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https://tris42.sharepoint.com/sites/nic_is_nic/Data Hub/Historic Infrastructure Data/"/>
    </mc:Choice>
  </mc:AlternateContent>
  <xr:revisionPtr revIDLastSave="4" documentId="11_43E2664C7CBBA664A1E38F34C341CF40020F38FA" xr6:coauthVersionLast="45" xr6:coauthVersionMax="45" xr10:uidLastSave="{5E93DE20-9B59-4CDD-A6ED-157460943B49}"/>
  <bookViews>
    <workbookView xWindow="-98" yWindow="-98" windowWidth="19396" windowHeight="10395" tabRatio="723" activeTab="4" xr2:uid="{00000000-000D-0000-FFFF-FFFF00000000}"/>
  </bookViews>
  <sheets>
    <sheet name="Front" sheetId="7" r:id="rId1"/>
    <sheet name="Notes" sheetId="1" r:id="rId2"/>
    <sheet name="Units" sheetId="30" r:id="rId3"/>
    <sheet name="1.1.1 PrimEnLR" sheetId="22" r:id="rId4"/>
    <sheet name="1.2.1 FinUserLR" sheetId="21" r:id="rId5"/>
    <sheet name="1.3.1 CoalLR" sheetId="9" r:id="rId6"/>
    <sheet name="1.3.2 Coal1" sheetId="2" r:id="rId7"/>
    <sheet name="1.3.3 Coal2" sheetId="23" r:id="rId8"/>
    <sheet name="1.3.4 Coal3" sheetId="8" r:id="rId9"/>
    <sheet name="1.4.1 MSFLR" sheetId="25" r:id="rId10"/>
    <sheet name="1.4.2 MSF1" sheetId="6" r:id="rId11"/>
    <sheet name="1.4.3 MSF2" sheetId="24" r:id="rId12"/>
    <sheet name="1.5.1 OilLR" sheetId="3" r:id="rId13"/>
    <sheet name="1.6.1 GasLR" sheetId="12" r:id="rId14"/>
    <sheet name="1.6.2 Gas1" sheetId="4" r:id="rId15"/>
    <sheet name="1.6.3 Gas2" sheetId="11" r:id="rId16"/>
    <sheet name="1.7.1 ElecLR" sheetId="15" r:id="rId17"/>
    <sheet name="1.7.2 Elec1" sheetId="5" r:id="rId18"/>
    <sheet name="1.7.3 Elec2" sheetId="16" r:id="rId19"/>
    <sheet name="1.8.1 RenElLR" sheetId="18" r:id="rId20"/>
    <sheet name="1.8.2 RenHLR" sheetId="43" r:id="rId21"/>
    <sheet name="1.8.3 RenPTLR" sheetId="44" r:id="rId22"/>
    <sheet name="2.1.1 PricesLR" sheetId="29" r:id="rId23"/>
    <sheet name="2.1.2 Prices ONS" sheetId="27" r:id="rId24"/>
    <sheet name="2.2.1 Prices RoadLR" sheetId="41" r:id="rId25"/>
    <sheet name="2.2.2 Prices Road1" sheetId="40" r:id="rId26"/>
    <sheet name="2.3.1 Prices IndLR" sheetId="39" r:id="rId27"/>
    <sheet name="2.3.2 Prices Ind1" sheetId="37" r:id="rId28"/>
    <sheet name="2.3.3. Prices Ind2" sheetId="38" r:id="rId29"/>
    <sheet name="3.1.1 CO2LR" sheetId="36" r:id="rId30"/>
    <sheet name="3.1.2 CO21" sheetId="31" r:id="rId31"/>
  </sheets>
  <externalReferences>
    <externalReference r:id="rId32"/>
    <externalReference r:id="rId33"/>
    <externalReference r:id="rId34"/>
    <externalReference r:id="rId35"/>
    <externalReference r:id="rId36"/>
    <externalReference r:id="rId37"/>
    <externalReference r:id="rId38"/>
  </externalReferenc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55" i="9" l="1"/>
  <c r="O155" i="21"/>
  <c r="R29" i="9"/>
  <c r="B29" i="22"/>
  <c r="G278" i="22"/>
  <c r="C278" i="22"/>
  <c r="J278" i="22"/>
  <c r="G277" i="22"/>
  <c r="C277" i="22"/>
  <c r="J277" i="22"/>
  <c r="G276" i="22"/>
  <c r="C276" i="22"/>
  <c r="J276" i="22"/>
  <c r="G275" i="22"/>
  <c r="C275" i="22"/>
  <c r="J275" i="22"/>
  <c r="G274" i="22"/>
  <c r="C274" i="22"/>
  <c r="J274" i="22"/>
  <c r="G273" i="22"/>
  <c r="C273" i="22"/>
  <c r="J273" i="22"/>
  <c r="G272" i="22"/>
  <c r="C272" i="22"/>
  <c r="J272" i="22"/>
  <c r="G271" i="22"/>
  <c r="C271" i="22"/>
  <c r="J271" i="22"/>
  <c r="G270" i="22"/>
  <c r="C270" i="22"/>
  <c r="J270" i="22"/>
  <c r="G269" i="22"/>
  <c r="C269" i="22"/>
  <c r="J269" i="22"/>
  <c r="G268" i="22"/>
  <c r="C268" i="22"/>
  <c r="J268" i="22"/>
  <c r="G267" i="22"/>
  <c r="C267" i="22"/>
  <c r="J267" i="22"/>
  <c r="G266" i="22"/>
  <c r="C266" i="22"/>
  <c r="J266" i="22"/>
  <c r="G265" i="22"/>
  <c r="C265" i="22"/>
  <c r="J265" i="22"/>
  <c r="G264" i="22"/>
  <c r="C264" i="22"/>
  <c r="J264" i="22"/>
  <c r="G263" i="22"/>
  <c r="C263" i="22"/>
  <c r="J263" i="22"/>
  <c r="G262" i="22"/>
  <c r="C262" i="22"/>
  <c r="J262" i="22"/>
  <c r="G261" i="22"/>
  <c r="C261" i="22"/>
  <c r="J261" i="22"/>
  <c r="G260" i="22"/>
  <c r="C260" i="22"/>
  <c r="J260" i="22"/>
  <c r="G259" i="22"/>
  <c r="C259" i="22"/>
  <c r="J259" i="22"/>
  <c r="G258" i="22"/>
  <c r="C258" i="22"/>
  <c r="J258" i="22"/>
  <c r="G257" i="22"/>
  <c r="C257" i="22"/>
  <c r="J257" i="22"/>
  <c r="G256" i="22"/>
  <c r="C256" i="22"/>
  <c r="J256" i="22"/>
  <c r="G255" i="22"/>
  <c r="C255" i="22"/>
  <c r="J255" i="22"/>
  <c r="G254" i="22"/>
  <c r="C254" i="22"/>
  <c r="J254" i="22"/>
  <c r="G253" i="22"/>
  <c r="C253" i="22"/>
  <c r="J253" i="22"/>
  <c r="G252" i="22"/>
  <c r="C252" i="22"/>
  <c r="J252" i="22"/>
  <c r="G251" i="22"/>
  <c r="C251" i="22"/>
  <c r="J251" i="22"/>
  <c r="G250" i="22"/>
  <c r="C250" i="22"/>
  <c r="J250" i="22"/>
  <c r="G249" i="22"/>
  <c r="C249" i="22"/>
  <c r="J249" i="22"/>
  <c r="G248" i="22"/>
  <c r="C248" i="22"/>
  <c r="J248" i="22"/>
  <c r="G247" i="22"/>
  <c r="C247" i="22"/>
  <c r="J247" i="22"/>
  <c r="G246" i="22"/>
  <c r="C246" i="22"/>
  <c r="J246" i="22"/>
  <c r="G245" i="22"/>
  <c r="C245" i="22"/>
  <c r="J245" i="22"/>
  <c r="G244" i="22"/>
  <c r="C244" i="22"/>
  <c r="J244" i="22"/>
  <c r="G243" i="22"/>
  <c r="C243" i="22"/>
  <c r="J243" i="22"/>
  <c r="G242" i="22"/>
  <c r="C242" i="22"/>
  <c r="J242" i="22"/>
  <c r="G241" i="22"/>
  <c r="C241" i="22"/>
  <c r="J241" i="22"/>
  <c r="G240" i="22"/>
  <c r="C240" i="22"/>
  <c r="J240" i="22"/>
  <c r="G239" i="22"/>
  <c r="C239" i="22"/>
  <c r="J239" i="22"/>
  <c r="G238" i="22"/>
  <c r="C238" i="22"/>
  <c r="J238" i="22"/>
  <c r="G237" i="22"/>
  <c r="C237" i="22"/>
  <c r="J237" i="22"/>
  <c r="G236" i="22"/>
  <c r="C236" i="22"/>
  <c r="J236" i="22"/>
  <c r="G235" i="22"/>
  <c r="C235" i="22"/>
  <c r="J235" i="22"/>
  <c r="G234" i="22"/>
  <c r="C234" i="22"/>
  <c r="J234" i="22"/>
  <c r="G233" i="22"/>
  <c r="C233" i="22"/>
  <c r="J233" i="22"/>
  <c r="G232" i="22"/>
  <c r="C232" i="22"/>
  <c r="J232" i="22"/>
  <c r="G231" i="22"/>
  <c r="C231" i="22"/>
  <c r="J231" i="22"/>
  <c r="G230" i="22"/>
  <c r="C230" i="22"/>
  <c r="J230" i="22"/>
  <c r="F229" i="22"/>
  <c r="G229" i="22"/>
  <c r="C229" i="22"/>
  <c r="J229" i="22"/>
  <c r="F228" i="22"/>
  <c r="G228" i="22"/>
  <c r="C228" i="22"/>
  <c r="J228" i="22"/>
  <c r="F227" i="22"/>
  <c r="G227" i="22"/>
  <c r="C227" i="22"/>
  <c r="J227" i="22"/>
  <c r="F226" i="22"/>
  <c r="G226" i="22"/>
  <c r="C226" i="22"/>
  <c r="J226" i="22"/>
  <c r="F225" i="22"/>
  <c r="G225" i="22"/>
  <c r="C225" i="22"/>
  <c r="J225" i="22"/>
  <c r="F224" i="22"/>
  <c r="G224" i="22"/>
  <c r="C224" i="22"/>
  <c r="J224" i="22"/>
  <c r="F223" i="22"/>
  <c r="G223" i="22"/>
  <c r="C223" i="22"/>
  <c r="J223" i="22"/>
  <c r="F222" i="22"/>
  <c r="G222" i="22"/>
  <c r="C222" i="22"/>
  <c r="J222" i="22"/>
  <c r="F221" i="22"/>
  <c r="G221" i="22"/>
  <c r="C221" i="22"/>
  <c r="J221" i="22"/>
  <c r="F220" i="22"/>
  <c r="G220" i="22"/>
  <c r="C220" i="22"/>
  <c r="J220" i="22"/>
  <c r="F219" i="22"/>
  <c r="G219" i="22"/>
  <c r="C219" i="22"/>
  <c r="J219" i="22"/>
  <c r="F218" i="22"/>
  <c r="G218" i="22"/>
  <c r="C218" i="22"/>
  <c r="J218" i="22"/>
  <c r="F217" i="22"/>
  <c r="G217" i="22"/>
  <c r="C217" i="22"/>
  <c r="J217" i="22"/>
  <c r="F216" i="22"/>
  <c r="G216" i="22"/>
  <c r="C216" i="22"/>
  <c r="J216" i="22"/>
  <c r="F215" i="22"/>
  <c r="G215" i="22"/>
  <c r="C215" i="22"/>
  <c r="J215" i="22"/>
  <c r="F214" i="22"/>
  <c r="G214" i="22"/>
  <c r="C214" i="22"/>
  <c r="J214" i="22"/>
  <c r="F213" i="22"/>
  <c r="G213" i="22"/>
  <c r="C213" i="22"/>
  <c r="J213" i="22"/>
  <c r="F212" i="22"/>
  <c r="G212" i="22"/>
  <c r="C212" i="22"/>
  <c r="J212" i="22"/>
  <c r="F211" i="22"/>
  <c r="G211" i="22"/>
  <c r="C211" i="22"/>
  <c r="J211" i="22"/>
  <c r="F210" i="22"/>
  <c r="G210" i="22"/>
  <c r="C210" i="22"/>
  <c r="J210" i="22"/>
  <c r="F209" i="22"/>
  <c r="G209" i="22"/>
  <c r="C209" i="22"/>
  <c r="J209" i="22"/>
  <c r="F208" i="22"/>
  <c r="G208" i="22"/>
  <c r="C208" i="22"/>
  <c r="J208" i="22"/>
  <c r="F207" i="22"/>
  <c r="G207" i="22"/>
  <c r="C207" i="22"/>
  <c r="J207" i="22"/>
  <c r="F206" i="22"/>
  <c r="G206" i="22"/>
  <c r="C206" i="22"/>
  <c r="J206" i="22"/>
  <c r="F205" i="22"/>
  <c r="G205" i="22"/>
  <c r="C205" i="22"/>
  <c r="J205" i="22"/>
  <c r="F204" i="22"/>
  <c r="G204" i="22"/>
  <c r="C204" i="22"/>
  <c r="J204" i="22"/>
  <c r="F203" i="22"/>
  <c r="G203" i="22"/>
  <c r="C203" i="22"/>
  <c r="J203" i="22"/>
  <c r="F202" i="22"/>
  <c r="G202" i="22"/>
  <c r="C202" i="22"/>
  <c r="J202" i="22"/>
  <c r="F201" i="22"/>
  <c r="G201" i="22"/>
  <c r="C201" i="22"/>
  <c r="J201" i="22"/>
  <c r="F200" i="22"/>
  <c r="G200" i="22"/>
  <c r="C200" i="22"/>
  <c r="J200" i="22"/>
  <c r="F199" i="22"/>
  <c r="G199" i="22"/>
  <c r="C199" i="22"/>
  <c r="J199" i="22"/>
  <c r="F198" i="22"/>
  <c r="G198" i="22"/>
  <c r="C198" i="22"/>
  <c r="J198" i="22"/>
  <c r="F197" i="22"/>
  <c r="G197" i="22"/>
  <c r="C197" i="22"/>
  <c r="J197" i="22"/>
  <c r="F196" i="22"/>
  <c r="G196" i="22"/>
  <c r="C196" i="22"/>
  <c r="J196" i="22"/>
  <c r="F195" i="22"/>
  <c r="G195" i="22"/>
  <c r="C195" i="22"/>
  <c r="J195" i="22"/>
  <c r="F194" i="22"/>
  <c r="G194" i="22"/>
  <c r="C194" i="22"/>
  <c r="J194" i="22"/>
  <c r="F193" i="22"/>
  <c r="G193" i="22"/>
  <c r="C193" i="22"/>
  <c r="J193" i="22"/>
  <c r="F192" i="22"/>
  <c r="G192" i="22"/>
  <c r="C192" i="22"/>
  <c r="J192" i="22"/>
  <c r="F191" i="22"/>
  <c r="G191" i="22"/>
  <c r="C191" i="22"/>
  <c r="J191" i="22"/>
  <c r="F190" i="22"/>
  <c r="G190" i="22"/>
  <c r="C190" i="22"/>
  <c r="J190" i="22"/>
  <c r="F189" i="22"/>
  <c r="G189" i="22"/>
  <c r="C189" i="22"/>
  <c r="J189" i="22"/>
  <c r="F188" i="22"/>
  <c r="G188" i="22"/>
  <c r="C188" i="22"/>
  <c r="J188" i="22"/>
  <c r="F187" i="22"/>
  <c r="G187" i="22"/>
  <c r="C187" i="22"/>
  <c r="J187" i="22"/>
  <c r="F186" i="22"/>
  <c r="G186" i="22"/>
  <c r="C186" i="22"/>
  <c r="J186" i="22"/>
  <c r="F185" i="22"/>
  <c r="G185" i="22"/>
  <c r="C185" i="22"/>
  <c r="J185" i="22"/>
  <c r="F184" i="22"/>
  <c r="G184" i="22"/>
  <c r="C184" i="22"/>
  <c r="J184" i="22"/>
  <c r="F183" i="22"/>
  <c r="G183" i="22"/>
  <c r="C183" i="22"/>
  <c r="J183" i="22"/>
  <c r="F182" i="22"/>
  <c r="G182" i="22"/>
  <c r="C182" i="22"/>
  <c r="J182" i="22"/>
  <c r="F181" i="22"/>
  <c r="G181" i="22"/>
  <c r="C181" i="22"/>
  <c r="J181" i="22"/>
  <c r="F180" i="22"/>
  <c r="G180" i="22"/>
  <c r="C180" i="22"/>
  <c r="J180" i="22"/>
  <c r="F179" i="22"/>
  <c r="G179" i="22"/>
  <c r="J179" i="22"/>
  <c r="F178" i="22"/>
  <c r="G178" i="22"/>
  <c r="J178" i="22"/>
  <c r="F177" i="22"/>
  <c r="G177" i="22"/>
  <c r="J177" i="22"/>
  <c r="F176" i="22"/>
  <c r="G176" i="22"/>
  <c r="J176" i="22"/>
  <c r="F175" i="22"/>
  <c r="G175" i="22"/>
  <c r="J175" i="22"/>
  <c r="F174" i="22"/>
  <c r="G174" i="22"/>
  <c r="J174" i="22"/>
  <c r="F173" i="22"/>
  <c r="G173" i="22"/>
  <c r="J173" i="22"/>
  <c r="F172" i="22"/>
  <c r="G172" i="22"/>
  <c r="J172" i="22"/>
  <c r="F171" i="22"/>
  <c r="G171" i="22"/>
  <c r="J171" i="22"/>
  <c r="F170" i="22"/>
  <c r="G170" i="22"/>
  <c r="J170" i="22"/>
  <c r="F169" i="22"/>
  <c r="G169" i="22"/>
  <c r="J169" i="22"/>
  <c r="F168" i="22"/>
  <c r="G168" i="22"/>
  <c r="J168" i="22"/>
  <c r="F167" i="22"/>
  <c r="G167" i="22"/>
  <c r="J167" i="22"/>
  <c r="F166" i="22"/>
  <c r="G166" i="22"/>
  <c r="J166" i="22"/>
  <c r="F165" i="22"/>
  <c r="G165" i="22"/>
  <c r="J165" i="22"/>
  <c r="F164" i="22"/>
  <c r="G164" i="22"/>
  <c r="J164" i="22"/>
  <c r="F163" i="22"/>
  <c r="G163" i="22"/>
  <c r="J163" i="22"/>
  <c r="F162" i="22"/>
  <c r="G162" i="22"/>
  <c r="J162" i="22"/>
  <c r="F161" i="22"/>
  <c r="G161" i="22"/>
  <c r="J161" i="22"/>
  <c r="F160" i="22"/>
  <c r="G160" i="22"/>
  <c r="J160" i="22"/>
  <c r="F159" i="22"/>
  <c r="G159" i="22"/>
  <c r="J159" i="22"/>
  <c r="F158" i="22"/>
  <c r="G158" i="22"/>
  <c r="J158" i="22"/>
  <c r="F157" i="22"/>
  <c r="G157" i="22"/>
  <c r="J157" i="22"/>
  <c r="F156" i="22"/>
  <c r="G156" i="22"/>
  <c r="J156" i="22"/>
  <c r="F155" i="22"/>
  <c r="G155" i="22"/>
  <c r="J155" i="22"/>
  <c r="F154" i="22"/>
  <c r="G154" i="22"/>
  <c r="J154" i="22"/>
  <c r="F153" i="22"/>
  <c r="G153" i="22"/>
  <c r="J153" i="22"/>
  <c r="F152" i="22"/>
  <c r="G152" i="22"/>
  <c r="J152" i="22"/>
  <c r="F151" i="22"/>
  <c r="G151" i="22"/>
  <c r="J151" i="22"/>
  <c r="F150" i="22"/>
  <c r="G150" i="22"/>
  <c r="J150" i="22"/>
  <c r="F149" i="22"/>
  <c r="G149" i="22"/>
  <c r="J149" i="22"/>
  <c r="F148" i="22"/>
  <c r="G148" i="22"/>
  <c r="J148" i="22"/>
  <c r="F147" i="22"/>
  <c r="G147" i="22"/>
  <c r="J147" i="22"/>
  <c r="F146" i="22"/>
  <c r="G146" i="22"/>
  <c r="J146" i="22"/>
  <c r="F145" i="22"/>
  <c r="G145" i="22"/>
  <c r="J145" i="22"/>
  <c r="F144" i="22"/>
  <c r="G144" i="22"/>
  <c r="J144" i="22"/>
  <c r="F143" i="22"/>
  <c r="G143" i="22"/>
  <c r="J143" i="22"/>
  <c r="F142" i="22"/>
  <c r="G142" i="22"/>
  <c r="J142" i="22"/>
  <c r="F141" i="22"/>
  <c r="G141" i="22"/>
  <c r="J141" i="22"/>
  <c r="F140" i="22"/>
  <c r="G140" i="22"/>
  <c r="J140" i="22"/>
  <c r="F139" i="22"/>
  <c r="G139" i="22"/>
  <c r="J139" i="22"/>
  <c r="F138" i="22"/>
  <c r="G138" i="22"/>
  <c r="J138" i="22"/>
  <c r="F137" i="22"/>
  <c r="G137" i="22"/>
  <c r="J137" i="22"/>
  <c r="F136" i="22"/>
  <c r="G136" i="22"/>
  <c r="J136" i="22"/>
  <c r="F135" i="22"/>
  <c r="G135" i="22"/>
  <c r="J135" i="22"/>
  <c r="F134" i="22"/>
  <c r="G134" i="22"/>
  <c r="J134" i="22"/>
  <c r="F133" i="22"/>
  <c r="G133" i="22"/>
  <c r="J133" i="22"/>
  <c r="F132" i="22"/>
  <c r="G132" i="22"/>
  <c r="J132" i="22"/>
  <c r="F131" i="22"/>
  <c r="G131" i="22"/>
  <c r="J131" i="22"/>
  <c r="F130" i="22"/>
  <c r="G130" i="22"/>
  <c r="J130" i="22"/>
  <c r="F129" i="22"/>
  <c r="G129" i="22"/>
  <c r="J129" i="22"/>
  <c r="F128" i="22"/>
  <c r="G128" i="22"/>
  <c r="J128" i="22"/>
  <c r="F127" i="22"/>
  <c r="G127" i="22"/>
  <c r="J127" i="22"/>
  <c r="F126" i="22"/>
  <c r="G126" i="22"/>
  <c r="J126" i="22"/>
  <c r="F125" i="22"/>
  <c r="G125" i="22"/>
  <c r="J125" i="22"/>
  <c r="F124" i="22"/>
  <c r="G124" i="22"/>
  <c r="J124" i="22"/>
  <c r="F123" i="22"/>
  <c r="G123" i="22"/>
  <c r="J123" i="22"/>
  <c r="F122" i="22"/>
  <c r="G122" i="22"/>
  <c r="J122" i="22"/>
  <c r="F121" i="22"/>
  <c r="G121" i="22"/>
  <c r="J121" i="22"/>
  <c r="F120" i="22"/>
  <c r="G120" i="22"/>
  <c r="J120" i="22"/>
  <c r="F119" i="22"/>
  <c r="G119" i="22"/>
  <c r="J119" i="22"/>
  <c r="F118" i="22"/>
  <c r="G118" i="22"/>
  <c r="J118" i="22"/>
  <c r="F117" i="22"/>
  <c r="G117" i="22"/>
  <c r="J117" i="22"/>
  <c r="F116" i="22"/>
  <c r="G116" i="22"/>
  <c r="J116" i="22"/>
  <c r="F115" i="22"/>
  <c r="G115" i="22"/>
  <c r="J115" i="22"/>
  <c r="F114" i="22"/>
  <c r="G114" i="22"/>
  <c r="J114" i="22"/>
  <c r="F113" i="22"/>
  <c r="G113" i="22"/>
  <c r="J113" i="22"/>
  <c r="F112" i="22"/>
  <c r="G112" i="22"/>
  <c r="J112" i="22"/>
  <c r="F111" i="22"/>
  <c r="G111" i="22"/>
  <c r="J111" i="22"/>
  <c r="F110" i="22"/>
  <c r="G110" i="22"/>
  <c r="J110" i="22"/>
  <c r="F109" i="22"/>
  <c r="G109" i="22"/>
  <c r="J109" i="22"/>
  <c r="F108" i="22"/>
  <c r="G108" i="22"/>
  <c r="J108" i="22"/>
  <c r="F107" i="22"/>
  <c r="G107" i="22"/>
  <c r="J107" i="22"/>
  <c r="F106" i="22"/>
  <c r="G106" i="22"/>
  <c r="J106" i="22"/>
  <c r="F105" i="22"/>
  <c r="G105" i="22"/>
  <c r="J105" i="22"/>
  <c r="F104" i="22"/>
  <c r="G104" i="22"/>
  <c r="J104" i="22"/>
  <c r="F103" i="22"/>
  <c r="G103" i="22"/>
  <c r="J103" i="22"/>
  <c r="F102" i="22"/>
  <c r="G102" i="22"/>
  <c r="J102" i="22"/>
  <c r="F101" i="22"/>
  <c r="G101" i="22"/>
  <c r="J101" i="22"/>
  <c r="F100" i="22"/>
  <c r="G100" i="22"/>
  <c r="J100" i="22"/>
  <c r="F99" i="22"/>
  <c r="G99" i="22"/>
  <c r="J99" i="22"/>
  <c r="F98" i="22"/>
  <c r="G98" i="22"/>
  <c r="J98" i="22"/>
  <c r="F97" i="22"/>
  <c r="G97" i="22"/>
  <c r="J97" i="22"/>
  <c r="F96" i="22"/>
  <c r="G96" i="22"/>
  <c r="J96" i="22"/>
  <c r="F95" i="22"/>
  <c r="G95" i="22"/>
  <c r="J95" i="22"/>
  <c r="F94" i="22"/>
  <c r="G94" i="22"/>
  <c r="J94" i="22"/>
  <c r="F93" i="22"/>
  <c r="G93" i="22"/>
  <c r="J93" i="22"/>
  <c r="F92" i="22"/>
  <c r="G92" i="22"/>
  <c r="J92" i="22"/>
  <c r="F91" i="22"/>
  <c r="G91" i="22"/>
  <c r="J91" i="22"/>
  <c r="F90" i="22"/>
  <c r="G90" i="22"/>
  <c r="J90" i="22"/>
  <c r="F89" i="22"/>
  <c r="G89" i="22"/>
  <c r="J89" i="22"/>
  <c r="F88" i="22"/>
  <c r="G88" i="22"/>
  <c r="J88" i="22"/>
  <c r="F87" i="22"/>
  <c r="G87" i="22"/>
  <c r="J87" i="22"/>
  <c r="F86" i="22"/>
  <c r="G86" i="22"/>
  <c r="J86" i="22"/>
  <c r="F85" i="22"/>
  <c r="G85" i="22"/>
  <c r="J85" i="22"/>
  <c r="F84" i="22"/>
  <c r="G84" i="22"/>
  <c r="J84" i="22"/>
  <c r="F83" i="22"/>
  <c r="G83" i="22"/>
  <c r="J83" i="22"/>
  <c r="F82" i="22"/>
  <c r="G82" i="22"/>
  <c r="J82" i="22"/>
  <c r="F81" i="22"/>
  <c r="G81" i="22"/>
  <c r="J81" i="22"/>
  <c r="F80" i="22"/>
  <c r="G80" i="22"/>
  <c r="J80" i="22"/>
  <c r="F79" i="22"/>
  <c r="G79" i="22"/>
  <c r="J79" i="22"/>
  <c r="F78" i="22"/>
  <c r="G78" i="22"/>
  <c r="J78" i="22"/>
  <c r="F77" i="22"/>
  <c r="G77" i="22"/>
  <c r="J77" i="22"/>
  <c r="F76" i="22"/>
  <c r="G76" i="22"/>
  <c r="J76" i="22"/>
  <c r="F75" i="22"/>
  <c r="G75" i="22"/>
  <c r="J75" i="22"/>
  <c r="F74" i="22"/>
  <c r="G74" i="22"/>
  <c r="J74" i="22"/>
  <c r="F73" i="22"/>
  <c r="G73" i="22"/>
  <c r="J73" i="22"/>
  <c r="F72" i="22"/>
  <c r="G72" i="22"/>
  <c r="J72" i="22"/>
  <c r="F71" i="22"/>
  <c r="G71" i="22"/>
  <c r="J71" i="22"/>
  <c r="F70" i="22"/>
  <c r="G70" i="22"/>
  <c r="J70" i="22"/>
  <c r="F69" i="22"/>
  <c r="G69" i="22"/>
  <c r="J69" i="22"/>
  <c r="F68" i="22"/>
  <c r="G68" i="22"/>
  <c r="J68" i="22"/>
  <c r="F67" i="22"/>
  <c r="G67" i="22"/>
  <c r="J67" i="22"/>
  <c r="F66" i="22"/>
  <c r="G66" i="22"/>
  <c r="J66" i="22"/>
  <c r="F65" i="22"/>
  <c r="G65" i="22"/>
  <c r="J65" i="22"/>
  <c r="F64" i="22"/>
  <c r="G64" i="22"/>
  <c r="J64" i="22"/>
  <c r="F63" i="22"/>
  <c r="G63" i="22"/>
  <c r="J63" i="22"/>
  <c r="F62" i="22"/>
  <c r="G62" i="22"/>
  <c r="J62" i="22"/>
  <c r="F61" i="22"/>
  <c r="G61" i="22"/>
  <c r="J61" i="22"/>
  <c r="F60" i="22"/>
  <c r="G60" i="22"/>
  <c r="J60" i="22"/>
  <c r="F59" i="22"/>
  <c r="G59" i="22"/>
  <c r="J59" i="22"/>
  <c r="F58" i="22"/>
  <c r="G58" i="22"/>
  <c r="J58" i="22"/>
  <c r="F57" i="22"/>
  <c r="G57" i="22"/>
  <c r="J57" i="22"/>
  <c r="F56" i="22"/>
  <c r="G56" i="22"/>
  <c r="J56" i="22"/>
  <c r="F55" i="22"/>
  <c r="G55" i="22"/>
  <c r="J55" i="22"/>
  <c r="F54" i="22"/>
  <c r="G54" i="22"/>
  <c r="J54" i="22"/>
  <c r="F53" i="22"/>
  <c r="G53" i="22"/>
  <c r="J53" i="22"/>
  <c r="F52" i="22"/>
  <c r="G52" i="22"/>
  <c r="J52" i="22"/>
  <c r="F51" i="22"/>
  <c r="G51" i="22"/>
  <c r="J51" i="22"/>
  <c r="F50" i="22"/>
  <c r="G50" i="22"/>
  <c r="J50" i="22"/>
  <c r="F49" i="22"/>
  <c r="G49" i="22"/>
  <c r="J49" i="22"/>
  <c r="F48" i="22"/>
  <c r="G48" i="22"/>
  <c r="J48" i="22"/>
  <c r="F47" i="22"/>
  <c r="G47" i="22"/>
  <c r="J47" i="22"/>
  <c r="F46" i="22"/>
  <c r="G46" i="22"/>
  <c r="J46" i="22"/>
  <c r="F45" i="22"/>
  <c r="G45" i="22"/>
  <c r="J45" i="22"/>
  <c r="F44" i="22"/>
  <c r="G44" i="22"/>
  <c r="J44" i="22"/>
  <c r="F43" i="22"/>
  <c r="G43" i="22"/>
  <c r="J43" i="22"/>
  <c r="F42" i="22"/>
  <c r="G42" i="22"/>
  <c r="J42" i="22"/>
  <c r="F41" i="22"/>
  <c r="G41" i="22"/>
  <c r="J41" i="22"/>
  <c r="F40" i="22"/>
  <c r="G40" i="22"/>
  <c r="J40" i="22"/>
  <c r="F39" i="22"/>
  <c r="G39" i="22"/>
  <c r="J39" i="22"/>
  <c r="F38" i="22"/>
  <c r="G38" i="22"/>
  <c r="J38" i="22"/>
  <c r="F37" i="22"/>
  <c r="G37" i="22"/>
  <c r="J37" i="22"/>
  <c r="F36" i="22"/>
  <c r="G36" i="22"/>
  <c r="J36" i="22"/>
  <c r="F35" i="22"/>
  <c r="G35" i="22"/>
  <c r="J35" i="22"/>
  <c r="F34" i="22"/>
  <c r="G34" i="22"/>
  <c r="J34" i="22"/>
  <c r="F33" i="22"/>
  <c r="G33" i="22"/>
  <c r="J33" i="22"/>
  <c r="F32" i="22"/>
  <c r="G32" i="22"/>
  <c r="J32" i="22"/>
  <c r="F31" i="22"/>
  <c r="G31" i="22"/>
  <c r="J31" i="22"/>
  <c r="F30" i="22"/>
  <c r="G30" i="22"/>
  <c r="J30" i="22"/>
  <c r="F29" i="22"/>
  <c r="G29" i="22"/>
  <c r="J29" i="22"/>
  <c r="F28" i="22"/>
  <c r="G28" i="22"/>
  <c r="J28" i="22"/>
  <c r="F27" i="22"/>
  <c r="G27" i="22"/>
  <c r="J27" i="22"/>
  <c r="F26" i="22"/>
  <c r="G26" i="22"/>
  <c r="J26" i="22"/>
  <c r="F25" i="22"/>
  <c r="G25" i="22"/>
  <c r="J25" i="22"/>
  <c r="F24" i="22"/>
  <c r="G24" i="22"/>
  <c r="J24" i="22"/>
  <c r="F23" i="22"/>
  <c r="G23" i="22"/>
  <c r="J23" i="22"/>
  <c r="F22" i="22"/>
  <c r="G22" i="22"/>
  <c r="J22" i="22"/>
  <c r="F21" i="22"/>
  <c r="G21" i="22"/>
  <c r="J21" i="22"/>
  <c r="F20" i="22"/>
  <c r="G20" i="22"/>
  <c r="J20" i="22"/>
  <c r="F19" i="22"/>
  <c r="G19" i="22"/>
  <c r="J19" i="22"/>
  <c r="F18" i="22"/>
  <c r="G18" i="22"/>
  <c r="J18" i="22"/>
  <c r="F17" i="22"/>
  <c r="G17" i="22"/>
  <c r="J17" i="22"/>
  <c r="F16" i="22"/>
  <c r="G16" i="22"/>
  <c r="J16" i="22"/>
  <c r="F15" i="22"/>
  <c r="G15" i="22"/>
  <c r="J15" i="22"/>
  <c r="F14" i="22"/>
  <c r="G14" i="22"/>
  <c r="J14" i="22"/>
  <c r="F13" i="22"/>
  <c r="G13" i="22"/>
  <c r="J13" i="22"/>
  <c r="F12" i="22"/>
  <c r="G12" i="22"/>
  <c r="J12" i="22"/>
  <c r="F11" i="22"/>
  <c r="G11" i="22"/>
  <c r="J11" i="22"/>
  <c r="F10" i="22"/>
  <c r="G10" i="22"/>
  <c r="J10" i="22"/>
  <c r="G279" i="22"/>
  <c r="C279" i="22"/>
  <c r="J279" i="22"/>
  <c r="N10" i="43"/>
  <c r="Q10" i="43"/>
  <c r="N11" i="43"/>
  <c r="Q11" i="43"/>
  <c r="N12" i="43"/>
  <c r="Q12" i="43"/>
  <c r="N13" i="43"/>
  <c r="Q13" i="43"/>
  <c r="N14" i="43"/>
  <c r="Q14" i="43"/>
  <c r="N15" i="43"/>
  <c r="Q15" i="43"/>
  <c r="N16" i="43"/>
  <c r="Q16" i="43"/>
  <c r="N17" i="43"/>
  <c r="Q17" i="43"/>
  <c r="N18" i="43"/>
  <c r="Q18" i="43"/>
  <c r="N19" i="43"/>
  <c r="Q19" i="43"/>
  <c r="N20" i="43"/>
  <c r="Q20" i="43"/>
  <c r="N21" i="43"/>
  <c r="Q21" i="43"/>
  <c r="N22" i="43"/>
  <c r="Q22" i="43"/>
  <c r="N23" i="43"/>
  <c r="Q23" i="43"/>
  <c r="N24" i="43"/>
  <c r="Q24" i="43"/>
  <c r="N25" i="43"/>
  <c r="Q25" i="43"/>
  <c r="N26" i="43"/>
  <c r="Q26" i="43"/>
  <c r="N27" i="43"/>
  <c r="Q27" i="43"/>
  <c r="N28" i="43"/>
  <c r="Q28" i="43"/>
  <c r="N29" i="43"/>
  <c r="Q29" i="43"/>
  <c r="N30" i="43"/>
  <c r="Q30" i="43"/>
  <c r="N31" i="43"/>
  <c r="Q31" i="43"/>
  <c r="N32" i="43"/>
  <c r="Q32" i="43"/>
  <c r="N33" i="43"/>
  <c r="Q33" i="43"/>
  <c r="N34" i="43"/>
  <c r="Q34" i="43"/>
  <c r="N35" i="43"/>
  <c r="Q35" i="43"/>
  <c r="N36" i="43"/>
  <c r="Q36" i="43"/>
  <c r="N37" i="43"/>
  <c r="Q37" i="43"/>
  <c r="N38" i="43"/>
  <c r="Q38" i="43"/>
  <c r="N39" i="43"/>
  <c r="Q39" i="43"/>
  <c r="N40" i="43"/>
  <c r="Q40" i="43"/>
  <c r="N41" i="43"/>
  <c r="Q41" i="43"/>
  <c r="N42" i="43"/>
  <c r="Q42" i="43"/>
  <c r="N43" i="43"/>
  <c r="Q43" i="43"/>
  <c r="N44" i="43"/>
  <c r="Q44" i="43"/>
  <c r="N45" i="43"/>
  <c r="Q45" i="43"/>
  <c r="N46" i="43"/>
  <c r="Q46" i="43"/>
  <c r="N47" i="43"/>
  <c r="Q47" i="43"/>
  <c r="N48" i="43"/>
  <c r="Q48" i="43"/>
  <c r="N49" i="43"/>
  <c r="Q49" i="43"/>
  <c r="N50" i="43"/>
  <c r="Q50" i="43"/>
  <c r="N51" i="43"/>
  <c r="Q51" i="43"/>
  <c r="N52" i="43"/>
  <c r="Q52" i="43"/>
  <c r="N53" i="43"/>
  <c r="Q53" i="43"/>
  <c r="N54" i="43"/>
  <c r="Q54" i="43"/>
  <c r="N55" i="43"/>
  <c r="Q55" i="43"/>
  <c r="N56" i="43"/>
  <c r="Q56" i="43"/>
  <c r="N57" i="43"/>
  <c r="Q57" i="43"/>
  <c r="N58" i="43"/>
  <c r="Q58" i="43"/>
  <c r="N59" i="43"/>
  <c r="Q59" i="43"/>
  <c r="N60" i="43"/>
  <c r="Q60" i="43"/>
  <c r="N61" i="43"/>
  <c r="Q61" i="43"/>
  <c r="N62" i="43"/>
  <c r="Q62" i="43"/>
  <c r="N63" i="43"/>
  <c r="Q63" i="43"/>
  <c r="N64" i="43"/>
  <c r="Q64" i="43"/>
  <c r="N65" i="43"/>
  <c r="Q65" i="43"/>
  <c r="N66" i="43"/>
  <c r="Q66" i="43"/>
  <c r="N67" i="43"/>
  <c r="Q67" i="43"/>
  <c r="N68" i="43"/>
  <c r="Q68" i="43"/>
  <c r="N69" i="43"/>
  <c r="Q69" i="43"/>
  <c r="N70" i="43"/>
  <c r="Q70" i="43"/>
  <c r="N71" i="43"/>
  <c r="Q71" i="43"/>
  <c r="N72" i="43"/>
  <c r="Q72" i="43"/>
  <c r="N73" i="43"/>
  <c r="Q73" i="43"/>
  <c r="N74" i="43"/>
  <c r="Q74" i="43"/>
  <c r="N75" i="43"/>
  <c r="Q75" i="43"/>
  <c r="N76" i="43"/>
  <c r="Q76" i="43"/>
  <c r="N77" i="43"/>
  <c r="Q77" i="43"/>
  <c r="N78" i="43"/>
  <c r="Q78" i="43"/>
  <c r="N79" i="43"/>
  <c r="Q79" i="43"/>
  <c r="N80" i="43"/>
  <c r="Q80" i="43"/>
  <c r="N81" i="43"/>
  <c r="Q81" i="43"/>
  <c r="N82" i="43"/>
  <c r="Q82" i="43"/>
  <c r="N83" i="43"/>
  <c r="Q83" i="43"/>
  <c r="N84" i="43"/>
  <c r="Q84" i="43"/>
  <c r="N85" i="43"/>
  <c r="Q85" i="43"/>
  <c r="N86" i="43"/>
  <c r="Q86" i="43"/>
  <c r="N87" i="43"/>
  <c r="Q87" i="43"/>
  <c r="N88" i="43"/>
  <c r="Q88" i="43"/>
  <c r="N89" i="43"/>
  <c r="Q89" i="43"/>
  <c r="N90" i="43"/>
  <c r="Q90" i="43"/>
  <c r="N91" i="43"/>
  <c r="Q91" i="43"/>
  <c r="N92" i="43"/>
  <c r="Q92" i="43"/>
  <c r="N93" i="43"/>
  <c r="Q93" i="43"/>
  <c r="N94" i="43"/>
  <c r="Q94" i="43"/>
  <c r="N95" i="43"/>
  <c r="Q95" i="43"/>
  <c r="N96" i="43"/>
  <c r="Q96" i="43"/>
  <c r="N97" i="43"/>
  <c r="Q97" i="43"/>
  <c r="N98" i="43"/>
  <c r="Q98" i="43"/>
  <c r="N99" i="43"/>
  <c r="Q99" i="43"/>
  <c r="N100" i="43"/>
  <c r="Q100" i="43"/>
  <c r="N101" i="43"/>
  <c r="Q101" i="43"/>
  <c r="N102" i="43"/>
  <c r="Q102" i="43"/>
  <c r="N103" i="43"/>
  <c r="Q103" i="43"/>
  <c r="N104" i="43"/>
  <c r="Q104" i="43"/>
  <c r="N105" i="43"/>
  <c r="Q105" i="43"/>
  <c r="N106" i="43"/>
  <c r="Q106" i="43"/>
  <c r="N107" i="43"/>
  <c r="Q107" i="43"/>
  <c r="N108" i="43"/>
  <c r="Q108" i="43"/>
  <c r="N109" i="43"/>
  <c r="Q109" i="43"/>
  <c r="N110" i="43"/>
  <c r="Q110" i="43"/>
  <c r="N111" i="43"/>
  <c r="Q111" i="43"/>
  <c r="N112" i="43"/>
  <c r="Q112" i="43"/>
  <c r="N113" i="43"/>
  <c r="Q113" i="43"/>
  <c r="N114" i="43"/>
  <c r="Q114" i="43"/>
  <c r="N115" i="43"/>
  <c r="Q115" i="43"/>
  <c r="N116" i="43"/>
  <c r="Q116" i="43"/>
  <c r="N117" i="43"/>
  <c r="Q117" i="43"/>
  <c r="N118" i="43"/>
  <c r="Q118" i="43"/>
  <c r="N119" i="43"/>
  <c r="Q119" i="43"/>
  <c r="N120" i="43"/>
  <c r="Q120" i="43"/>
  <c r="N121" i="43"/>
  <c r="Q121" i="43"/>
  <c r="N122" i="43"/>
  <c r="Q122" i="43"/>
  <c r="N123" i="43"/>
  <c r="Q123" i="43"/>
  <c r="N124" i="43"/>
  <c r="Q124" i="43"/>
  <c r="N125" i="43"/>
  <c r="Q125" i="43"/>
  <c r="N126" i="43"/>
  <c r="Q126" i="43"/>
  <c r="N127" i="43"/>
  <c r="Q127" i="43"/>
  <c r="N128" i="43"/>
  <c r="Q128" i="43"/>
  <c r="N129" i="43"/>
  <c r="Q129" i="43"/>
  <c r="N130" i="43"/>
  <c r="Q130" i="43"/>
  <c r="N131" i="43"/>
  <c r="Q131" i="43"/>
  <c r="N132" i="43"/>
  <c r="Q132" i="43"/>
  <c r="N133" i="43"/>
  <c r="Q133" i="43"/>
  <c r="N134" i="43"/>
  <c r="Q134" i="43"/>
  <c r="N135" i="43"/>
  <c r="Q135" i="43"/>
  <c r="N136" i="43"/>
  <c r="Q136" i="43"/>
  <c r="N137" i="43"/>
  <c r="Q137" i="43"/>
  <c r="N138" i="43"/>
  <c r="Q138" i="43"/>
  <c r="N139" i="43"/>
  <c r="Q139" i="43"/>
  <c r="N140" i="43"/>
  <c r="Q140" i="43"/>
  <c r="N141" i="43"/>
  <c r="Q141" i="43"/>
  <c r="N142" i="43"/>
  <c r="Q142" i="43"/>
  <c r="N143" i="43"/>
  <c r="Q143" i="43"/>
  <c r="N144" i="43"/>
  <c r="Q144" i="43"/>
  <c r="N145" i="43"/>
  <c r="Q145" i="43"/>
  <c r="N146" i="43"/>
  <c r="Q146" i="43"/>
  <c r="N147" i="43"/>
  <c r="Q147" i="43"/>
  <c r="N148" i="43"/>
  <c r="Q148" i="43"/>
  <c r="N149" i="43"/>
  <c r="Q149" i="43"/>
  <c r="N150" i="43"/>
  <c r="Q150" i="43"/>
  <c r="N151" i="43"/>
  <c r="Q151" i="43"/>
  <c r="N152" i="43"/>
  <c r="Q152" i="43"/>
  <c r="N153" i="43"/>
  <c r="Q153" i="43"/>
  <c r="N154" i="43"/>
  <c r="Q154" i="43"/>
  <c r="N155" i="43"/>
  <c r="Q155" i="43"/>
  <c r="N156" i="43"/>
  <c r="Q156" i="43"/>
  <c r="N157" i="43"/>
  <c r="Q157" i="43"/>
  <c r="N158" i="43"/>
  <c r="Q158" i="43"/>
  <c r="N159" i="43"/>
  <c r="Q159" i="43"/>
  <c r="N160" i="43"/>
  <c r="Q160" i="43"/>
  <c r="N161" i="43"/>
  <c r="Q161" i="43"/>
  <c r="N162" i="43"/>
  <c r="Q162" i="43"/>
  <c r="N163" i="43"/>
  <c r="Q163" i="43"/>
  <c r="N164" i="43"/>
  <c r="Q164" i="43"/>
  <c r="N165" i="43"/>
  <c r="Q165" i="43"/>
  <c r="N166" i="43"/>
  <c r="Q166" i="43"/>
  <c r="N167" i="43"/>
  <c r="Q167" i="43"/>
  <c r="N168" i="43"/>
  <c r="Q168" i="43"/>
  <c r="N169" i="43"/>
  <c r="Q169" i="43"/>
  <c r="N170" i="43"/>
  <c r="Q170" i="43"/>
  <c r="N171" i="43"/>
  <c r="Q171" i="43"/>
  <c r="N172" i="43"/>
  <c r="Q172" i="43"/>
  <c r="N173" i="43"/>
  <c r="Q173" i="43"/>
  <c r="N174" i="43"/>
  <c r="Q174" i="43"/>
  <c r="N175" i="43"/>
  <c r="Q175" i="43"/>
  <c r="N176" i="43"/>
  <c r="Q176" i="43"/>
  <c r="N177" i="43"/>
  <c r="Q177" i="43"/>
  <c r="N178" i="43"/>
  <c r="Q178" i="43"/>
  <c r="N179" i="43"/>
  <c r="Q179" i="43"/>
  <c r="N180" i="43"/>
  <c r="Q180" i="43"/>
  <c r="N181" i="43"/>
  <c r="Q181" i="43"/>
  <c r="N182" i="43"/>
  <c r="Q182" i="43"/>
  <c r="N183" i="43"/>
  <c r="Q183" i="43"/>
  <c r="N184" i="43"/>
  <c r="Q184" i="43"/>
  <c r="N185" i="43"/>
  <c r="Q185" i="43"/>
  <c r="N186" i="43"/>
  <c r="Q186" i="43"/>
  <c r="N187" i="43"/>
  <c r="Q187" i="43"/>
  <c r="N188" i="43"/>
  <c r="Q188" i="43"/>
  <c r="N189" i="43"/>
  <c r="Q189" i="43"/>
  <c r="N190" i="43"/>
  <c r="Q190" i="43"/>
  <c r="N191" i="43"/>
  <c r="Q191" i="43"/>
  <c r="N192" i="43"/>
  <c r="Q192" i="43"/>
  <c r="N193" i="43"/>
  <c r="Q193" i="43"/>
  <c r="N194" i="43"/>
  <c r="Q194" i="43"/>
  <c r="N195" i="43"/>
  <c r="Q195" i="43"/>
  <c r="N196" i="43"/>
  <c r="Q196" i="43"/>
  <c r="N197" i="43"/>
  <c r="Q197" i="43"/>
  <c r="N198" i="43"/>
  <c r="Q198" i="43"/>
  <c r="N199" i="43"/>
  <c r="Q199" i="43"/>
  <c r="N200" i="43"/>
  <c r="Q200" i="43"/>
  <c r="N201" i="43"/>
  <c r="Q201" i="43"/>
  <c r="N202" i="43"/>
  <c r="Q202" i="43"/>
  <c r="N203" i="43"/>
  <c r="Q203" i="43"/>
  <c r="N204" i="43"/>
  <c r="Q204" i="43"/>
  <c r="N205" i="43"/>
  <c r="Q205" i="43"/>
  <c r="N206" i="43"/>
  <c r="Q206" i="43"/>
  <c r="N207" i="43"/>
  <c r="Q207" i="43"/>
  <c r="N208" i="43"/>
  <c r="Q208" i="43"/>
  <c r="N209" i="43"/>
  <c r="Q209" i="43"/>
  <c r="N210" i="43"/>
  <c r="Q210" i="43"/>
  <c r="N211" i="43"/>
  <c r="Q211" i="43"/>
  <c r="N212" i="43"/>
  <c r="Q212" i="43"/>
  <c r="N213" i="43"/>
  <c r="Q213" i="43"/>
  <c r="N214" i="43"/>
  <c r="Q214" i="43"/>
  <c r="N215" i="43"/>
  <c r="Q215" i="43"/>
  <c r="N216" i="43"/>
  <c r="Q216" i="43"/>
  <c r="N217" i="43"/>
  <c r="Q217" i="43"/>
  <c r="N218" i="43"/>
  <c r="Q218" i="43"/>
  <c r="N219" i="43"/>
  <c r="Q219" i="43"/>
  <c r="N220" i="43"/>
  <c r="Q220" i="43"/>
  <c r="N221" i="43"/>
  <c r="Q221" i="43"/>
  <c r="N222" i="43"/>
  <c r="Q222" i="43"/>
  <c r="N223" i="43"/>
  <c r="Q223" i="43"/>
  <c r="N224" i="43"/>
  <c r="Q224" i="43"/>
  <c r="N225" i="43"/>
  <c r="Q225" i="43"/>
  <c r="N226" i="43"/>
  <c r="Q226" i="43"/>
  <c r="N227" i="43"/>
  <c r="Q227" i="43"/>
  <c r="N228" i="43"/>
  <c r="Q228" i="43"/>
  <c r="N229" i="43"/>
  <c r="Q229" i="43"/>
  <c r="N230" i="43"/>
  <c r="Q230" i="43"/>
  <c r="N231" i="43"/>
  <c r="Q231" i="43"/>
  <c r="N232" i="43"/>
  <c r="Q232" i="43"/>
  <c r="N233" i="43"/>
  <c r="Q233" i="43"/>
  <c r="N234" i="43"/>
  <c r="Q234" i="43"/>
  <c r="N235" i="43"/>
  <c r="Q235" i="43"/>
  <c r="N236" i="43"/>
  <c r="Q236" i="43"/>
  <c r="N237" i="43"/>
  <c r="Q237" i="43"/>
  <c r="N238" i="43"/>
  <c r="Q238" i="43"/>
  <c r="N239" i="43"/>
  <c r="Q239" i="43"/>
  <c r="N240" i="43"/>
  <c r="Q240" i="43"/>
  <c r="N241" i="43"/>
  <c r="Q241" i="43"/>
  <c r="N242" i="43"/>
  <c r="Q242" i="43"/>
  <c r="N243" i="43"/>
  <c r="Q243" i="43"/>
  <c r="N244" i="43"/>
  <c r="Q244" i="43"/>
  <c r="N245" i="43"/>
  <c r="Q245" i="43"/>
  <c r="N246" i="43"/>
  <c r="Q246" i="43"/>
  <c r="N247" i="43"/>
  <c r="Q247" i="43"/>
  <c r="N248" i="43"/>
  <c r="Q248" i="43"/>
  <c r="N249" i="43"/>
  <c r="Q249" i="43"/>
  <c r="N250" i="43"/>
  <c r="Q250" i="43"/>
  <c r="N251" i="43"/>
  <c r="Q251" i="43"/>
  <c r="N252" i="43"/>
  <c r="Q252" i="43"/>
  <c r="N253" i="43"/>
  <c r="Q253" i="43"/>
  <c r="N254" i="43"/>
  <c r="Q254" i="43"/>
  <c r="N255" i="43"/>
  <c r="Q255" i="43"/>
  <c r="N256" i="43"/>
  <c r="Q256" i="43"/>
  <c r="N257" i="43"/>
  <c r="Q257" i="43"/>
  <c r="N258" i="43"/>
  <c r="Q258" i="43"/>
  <c r="N259" i="43"/>
  <c r="Q259" i="43"/>
  <c r="N260" i="43"/>
  <c r="Q260" i="43"/>
  <c r="N261" i="43"/>
  <c r="Q261" i="43"/>
  <c r="N262" i="43"/>
  <c r="Q262" i="43"/>
  <c r="N263" i="43"/>
  <c r="Q263" i="43"/>
  <c r="N264" i="43"/>
  <c r="Q264" i="43"/>
  <c r="N265" i="43"/>
  <c r="Q265" i="43"/>
  <c r="N266" i="43"/>
  <c r="Q266" i="43"/>
  <c r="N267" i="43"/>
  <c r="Q267" i="43"/>
  <c r="N268" i="43"/>
  <c r="Q268" i="43"/>
  <c r="N269" i="43"/>
  <c r="Q269" i="43"/>
  <c r="N270" i="43"/>
  <c r="Q270" i="43"/>
  <c r="N271" i="43"/>
  <c r="Q271" i="43"/>
  <c r="N272" i="43"/>
  <c r="Q272" i="43"/>
  <c r="N273" i="43"/>
  <c r="Q273" i="43"/>
  <c r="N274" i="43"/>
  <c r="Q274" i="43"/>
  <c r="N275" i="43"/>
  <c r="Q275" i="43"/>
  <c r="N276" i="43"/>
  <c r="Q276" i="43"/>
  <c r="N277" i="43"/>
  <c r="Q277" i="43"/>
  <c r="N278" i="43"/>
  <c r="Q278" i="43"/>
  <c r="N279" i="43"/>
  <c r="Q279" i="43"/>
  <c r="N280" i="43"/>
  <c r="Q280" i="43"/>
  <c r="N281" i="43"/>
  <c r="Q281" i="43"/>
  <c r="N282" i="43"/>
  <c r="Q282" i="43"/>
  <c r="N283" i="43"/>
  <c r="Q283" i="43"/>
  <c r="N284" i="43"/>
  <c r="Q284" i="43"/>
  <c r="N285" i="43"/>
  <c r="Q285" i="43"/>
  <c r="N286" i="43"/>
  <c r="Q286" i="43"/>
  <c r="N287" i="43"/>
  <c r="Q287" i="43"/>
  <c r="N288" i="43"/>
  <c r="Q288" i="43"/>
  <c r="N289" i="43"/>
  <c r="Q289" i="43"/>
  <c r="N290" i="43"/>
  <c r="Q290" i="43"/>
  <c r="N291" i="43"/>
  <c r="Q291" i="43"/>
  <c r="N292" i="43"/>
  <c r="Q292" i="43"/>
  <c r="N293" i="43"/>
  <c r="Q293" i="43"/>
  <c r="N294" i="43"/>
  <c r="Q294" i="43"/>
  <c r="N295" i="43"/>
  <c r="Q295" i="43"/>
  <c r="N296" i="43"/>
  <c r="Q296" i="43"/>
  <c r="N297" i="43"/>
  <c r="Q297" i="43"/>
  <c r="N298" i="43"/>
  <c r="Q298" i="43"/>
  <c r="N299" i="43"/>
  <c r="Q299" i="43"/>
  <c r="I300" i="43"/>
  <c r="F327" i="22"/>
  <c r="G327"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8" i="22"/>
  <c r="J326" i="22"/>
  <c r="J325" i="22"/>
  <c r="J324" i="22"/>
  <c r="J323" i="22"/>
  <c r="J322" i="22"/>
  <c r="J321" i="22"/>
  <c r="J320" i="22"/>
  <c r="J319" i="22"/>
  <c r="J318" i="22"/>
  <c r="J317" i="22"/>
  <c r="J316" i="22"/>
  <c r="J315" i="22"/>
  <c r="J314" i="22"/>
  <c r="J313" i="22"/>
  <c r="J312" i="22"/>
  <c r="J311" i="22"/>
  <c r="J310" i="22"/>
  <c r="J309" i="22"/>
  <c r="J308" i="22"/>
  <c r="J307" i="22"/>
  <c r="J306" i="22"/>
  <c r="J305" i="22"/>
  <c r="J304" i="22"/>
  <c r="J303" i="22"/>
  <c r="J299" i="22"/>
  <c r="J298" i="22"/>
  <c r="J297" i="22"/>
  <c r="J296" i="22"/>
  <c r="J295" i="22"/>
  <c r="J294" i="22"/>
  <c r="J293" i="22"/>
  <c r="J292" i="22"/>
  <c r="J291" i="22"/>
  <c r="J290" i="22"/>
  <c r="J289" i="22"/>
  <c r="J288" i="22"/>
  <c r="J287" i="22"/>
  <c r="J286" i="22"/>
  <c r="J285" i="22"/>
  <c r="J284" i="22"/>
  <c r="J283" i="22"/>
  <c r="J282" i="22"/>
  <c r="J281" i="22"/>
  <c r="J280" i="22"/>
  <c r="J327" i="22"/>
  <c r="AA10" i="21"/>
  <c r="BK10" i="21"/>
  <c r="AA11" i="21"/>
  <c r="BK11" i="21"/>
  <c r="AA12" i="21"/>
  <c r="BK12" i="21"/>
  <c r="AA13" i="21"/>
  <c r="BK13" i="21"/>
  <c r="AA14" i="21"/>
  <c r="BK14" i="21"/>
  <c r="AA15" i="21"/>
  <c r="BK15" i="21"/>
  <c r="AA16" i="21"/>
  <c r="BK16" i="21"/>
  <c r="AA17" i="21"/>
  <c r="BK17" i="21"/>
  <c r="AA18" i="21"/>
  <c r="BK18" i="21"/>
  <c r="AA19" i="21"/>
  <c r="BK19" i="21"/>
  <c r="AA20" i="21"/>
  <c r="BK20" i="21"/>
  <c r="AA21" i="21"/>
  <c r="BK21" i="21"/>
  <c r="AA22" i="21"/>
  <c r="BK22" i="21"/>
  <c r="AA23" i="21"/>
  <c r="BK23" i="21"/>
  <c r="AA24" i="21"/>
  <c r="BK24" i="21"/>
  <c r="AA25" i="21"/>
  <c r="BK25" i="21"/>
  <c r="AA26" i="21"/>
  <c r="BK26" i="21"/>
  <c r="AA27" i="21"/>
  <c r="BK27" i="21"/>
  <c r="AA28" i="21"/>
  <c r="BK28" i="21"/>
  <c r="AA29" i="21"/>
  <c r="BK29" i="21"/>
  <c r="AA30" i="21"/>
  <c r="BK30" i="21"/>
  <c r="AA31" i="21"/>
  <c r="BK31" i="21"/>
  <c r="AA32" i="21"/>
  <c r="BK32" i="21"/>
  <c r="AA33" i="21"/>
  <c r="BK33" i="21"/>
  <c r="AA34" i="21"/>
  <c r="BK34" i="21"/>
  <c r="AA35" i="21"/>
  <c r="BK35" i="21"/>
  <c r="AA36" i="21"/>
  <c r="BK36" i="21"/>
  <c r="AA37" i="21"/>
  <c r="BK37" i="21"/>
  <c r="AA38" i="21"/>
  <c r="BK38" i="21"/>
  <c r="AA39" i="21"/>
  <c r="BK39" i="21"/>
  <c r="AA40" i="21"/>
  <c r="BK40" i="21"/>
  <c r="AA41" i="21"/>
  <c r="BK41" i="21"/>
  <c r="AA42" i="21"/>
  <c r="BK42" i="21"/>
  <c r="AA43" i="21"/>
  <c r="BK43" i="21"/>
  <c r="AA44" i="21"/>
  <c r="BK44" i="21"/>
  <c r="AA45" i="21"/>
  <c r="BK45" i="21"/>
  <c r="AA46" i="21"/>
  <c r="BK46" i="21"/>
  <c r="AA47" i="21"/>
  <c r="BK47" i="21"/>
  <c r="AA48" i="21"/>
  <c r="BK48" i="21"/>
  <c r="AA49" i="21"/>
  <c r="BK49" i="21"/>
  <c r="AA50" i="21"/>
  <c r="BK50" i="21"/>
  <c r="AA51" i="21"/>
  <c r="BK51" i="21"/>
  <c r="AA52" i="21"/>
  <c r="BK52" i="21"/>
  <c r="AA53" i="21"/>
  <c r="BK53" i="21"/>
  <c r="AA54" i="21"/>
  <c r="BK54" i="21"/>
  <c r="AA55" i="21"/>
  <c r="BK55" i="21"/>
  <c r="AA56" i="21"/>
  <c r="BK56" i="21"/>
  <c r="AA57" i="21"/>
  <c r="BK57" i="21"/>
  <c r="AA58" i="21"/>
  <c r="BK58" i="21"/>
  <c r="AA59" i="21"/>
  <c r="BK59" i="21"/>
  <c r="AA60" i="21"/>
  <c r="BK60" i="21"/>
  <c r="AA61" i="21"/>
  <c r="BK61" i="21"/>
  <c r="AA62" i="21"/>
  <c r="BK62" i="21"/>
  <c r="AA63" i="21"/>
  <c r="BK63" i="21"/>
  <c r="AA64" i="21"/>
  <c r="BK64" i="21"/>
  <c r="AA65" i="21"/>
  <c r="BK65" i="21"/>
  <c r="AA66" i="21"/>
  <c r="BK66" i="21"/>
  <c r="AA67" i="21"/>
  <c r="BK67" i="21"/>
  <c r="AA68" i="21"/>
  <c r="BK68" i="21"/>
  <c r="AA69" i="21"/>
  <c r="BK69" i="21"/>
  <c r="AA70" i="21"/>
  <c r="BK70" i="21"/>
  <c r="AA71" i="21"/>
  <c r="BK71" i="21"/>
  <c r="AA72" i="21"/>
  <c r="BK72" i="21"/>
  <c r="AA73" i="21"/>
  <c r="BK73" i="21"/>
  <c r="AA74" i="21"/>
  <c r="BK74" i="21"/>
  <c r="AA75" i="21"/>
  <c r="BK75" i="21"/>
  <c r="AA76" i="21"/>
  <c r="BK76" i="21"/>
  <c r="AA77" i="21"/>
  <c r="BK77" i="21"/>
  <c r="AA78" i="21"/>
  <c r="BK78" i="21"/>
  <c r="AA79" i="21"/>
  <c r="BK79" i="21"/>
  <c r="AA80" i="21"/>
  <c r="BK80" i="21"/>
  <c r="AA81" i="21"/>
  <c r="BK81" i="21"/>
  <c r="AA82" i="21"/>
  <c r="BK82" i="21"/>
  <c r="AA83" i="21"/>
  <c r="BK83" i="21"/>
  <c r="AA84" i="21"/>
  <c r="BK84" i="21"/>
  <c r="AA85" i="21"/>
  <c r="BK85" i="21"/>
  <c r="AA86" i="21"/>
  <c r="BK86" i="21"/>
  <c r="AA87" i="21"/>
  <c r="BK87" i="21"/>
  <c r="AA88" i="21"/>
  <c r="BK88" i="21"/>
  <c r="AA89" i="21"/>
  <c r="BK89" i="21"/>
  <c r="AA90" i="21"/>
  <c r="BK90" i="21"/>
  <c r="AA91" i="21"/>
  <c r="BK91" i="21"/>
  <c r="AA92" i="21"/>
  <c r="BK92" i="21"/>
  <c r="AA93" i="21"/>
  <c r="BK93" i="21"/>
  <c r="AA94" i="21"/>
  <c r="BK94" i="21"/>
  <c r="AA95" i="21"/>
  <c r="BK95" i="21"/>
  <c r="AA96" i="21"/>
  <c r="BK96" i="21"/>
  <c r="AA97" i="21"/>
  <c r="BK97" i="21"/>
  <c r="AA98" i="21"/>
  <c r="BK98" i="21"/>
  <c r="AA99" i="21"/>
  <c r="BK99" i="21"/>
  <c r="AA100" i="21"/>
  <c r="BK100" i="21"/>
  <c r="AA101" i="21"/>
  <c r="BK101" i="21"/>
  <c r="AA102" i="21"/>
  <c r="BK102" i="21"/>
  <c r="AA103" i="21"/>
  <c r="BK103" i="21"/>
  <c r="AA104" i="21"/>
  <c r="BK104" i="21"/>
  <c r="AA105" i="21"/>
  <c r="BK105" i="21"/>
  <c r="AA106" i="21"/>
  <c r="BK106" i="21"/>
  <c r="AA107" i="21"/>
  <c r="BK107" i="21"/>
  <c r="AA108" i="21"/>
  <c r="BK108" i="21"/>
  <c r="AA109" i="21"/>
  <c r="BK109" i="21"/>
  <c r="AA110" i="21"/>
  <c r="BK110" i="21"/>
  <c r="AA111" i="21"/>
  <c r="BK111" i="21"/>
  <c r="AA112" i="21"/>
  <c r="BK112" i="21"/>
  <c r="AA113" i="21"/>
  <c r="BK113" i="21"/>
  <c r="AA114" i="21"/>
  <c r="BK114" i="21"/>
  <c r="AA115" i="21"/>
  <c r="BK115" i="21"/>
  <c r="AA116" i="21"/>
  <c r="BK116" i="21"/>
  <c r="AA117" i="21"/>
  <c r="BK117" i="21"/>
  <c r="AA118" i="21"/>
  <c r="BK118" i="21"/>
  <c r="AA119" i="21"/>
  <c r="BK119" i="21"/>
  <c r="AA120" i="21"/>
  <c r="BK120" i="21"/>
  <c r="AA121" i="21"/>
  <c r="BK121" i="21"/>
  <c r="AA122" i="21"/>
  <c r="BK122" i="21"/>
  <c r="AA123" i="21"/>
  <c r="BK123" i="21"/>
  <c r="AA124" i="21"/>
  <c r="BK124" i="21"/>
  <c r="AA125" i="21"/>
  <c r="BK125" i="21"/>
  <c r="AA126" i="21"/>
  <c r="BK126" i="21"/>
  <c r="AA127" i="21"/>
  <c r="BK127" i="21"/>
  <c r="AA128" i="21"/>
  <c r="BK128" i="21"/>
  <c r="AA129" i="21"/>
  <c r="BK129" i="21"/>
  <c r="AA130" i="21"/>
  <c r="BK130" i="21"/>
  <c r="AA131" i="21"/>
  <c r="BK131" i="21"/>
  <c r="AA132" i="21"/>
  <c r="BK132" i="21"/>
  <c r="AA133" i="21"/>
  <c r="BK133" i="21"/>
  <c r="AA134" i="21"/>
  <c r="BK134" i="21"/>
  <c r="AA135" i="21"/>
  <c r="BK135" i="21"/>
  <c r="AA136" i="21"/>
  <c r="BK136" i="21"/>
  <c r="AA137" i="21"/>
  <c r="BK137" i="21"/>
  <c r="AA138" i="21"/>
  <c r="BK138" i="21"/>
  <c r="AA139" i="21"/>
  <c r="BK139" i="21"/>
  <c r="AA140" i="21"/>
  <c r="BK140" i="21"/>
  <c r="AA141" i="21"/>
  <c r="BK141" i="21"/>
  <c r="AA142" i="21"/>
  <c r="BK142" i="21"/>
  <c r="AA143" i="21"/>
  <c r="BK143" i="21"/>
  <c r="AA144" i="21"/>
  <c r="BK144" i="21"/>
  <c r="AA145" i="21"/>
  <c r="BK145" i="21"/>
  <c r="AA146" i="21"/>
  <c r="BK146" i="21"/>
  <c r="AA147" i="21"/>
  <c r="BK147" i="21"/>
  <c r="AA148" i="21"/>
  <c r="BK148" i="21"/>
  <c r="AA149" i="21"/>
  <c r="BK149" i="21"/>
  <c r="AA150" i="21"/>
  <c r="BK150" i="21"/>
  <c r="AA151" i="21"/>
  <c r="BK151" i="21"/>
  <c r="AA152" i="21"/>
  <c r="BK152" i="21"/>
  <c r="AA153" i="21"/>
  <c r="BK153" i="21"/>
  <c r="AA154" i="21"/>
  <c r="BK154" i="21"/>
  <c r="AA155" i="21"/>
  <c r="BK155" i="21"/>
  <c r="AA156" i="21"/>
  <c r="BK156" i="21"/>
  <c r="AA157" i="21"/>
  <c r="BK157" i="21"/>
  <c r="AA158" i="21"/>
  <c r="BK158" i="21"/>
  <c r="AA159" i="21"/>
  <c r="BK159" i="21"/>
  <c r="AA160" i="21"/>
  <c r="BK160" i="21"/>
  <c r="AA161" i="21"/>
  <c r="BK161" i="21"/>
  <c r="AA162" i="21"/>
  <c r="BK162" i="21"/>
  <c r="AA163" i="21"/>
  <c r="BK163" i="21"/>
  <c r="AA164" i="21"/>
  <c r="BK164" i="21"/>
  <c r="AA165" i="21"/>
  <c r="BK165" i="21"/>
  <c r="AA166" i="21"/>
  <c r="BK166" i="21"/>
  <c r="AA167" i="21"/>
  <c r="BK167" i="21"/>
  <c r="AA168" i="21"/>
  <c r="BK168" i="21"/>
  <c r="AA169" i="21"/>
  <c r="BK169" i="21"/>
  <c r="AA170" i="21"/>
  <c r="BK170" i="21"/>
  <c r="AA171" i="21"/>
  <c r="BK171" i="21"/>
  <c r="AA172" i="21"/>
  <c r="BK172" i="21"/>
  <c r="AA173" i="21"/>
  <c r="BK173" i="21"/>
  <c r="AA174" i="21"/>
  <c r="BK174" i="21"/>
  <c r="AA175" i="21"/>
  <c r="BK175" i="21"/>
  <c r="AA176" i="21"/>
  <c r="BK176" i="21"/>
  <c r="AA177" i="21"/>
  <c r="BK177" i="21"/>
  <c r="AA178" i="21"/>
  <c r="BK178" i="21"/>
  <c r="AA179" i="21"/>
  <c r="BK179" i="21"/>
  <c r="AA180" i="21"/>
  <c r="BK180" i="21"/>
  <c r="AA181" i="21"/>
  <c r="BK181" i="21"/>
  <c r="AA182" i="21"/>
  <c r="BK182" i="21"/>
  <c r="AA183" i="21"/>
  <c r="BK183" i="21"/>
  <c r="AA184" i="21"/>
  <c r="BK184" i="21"/>
  <c r="AA185" i="21"/>
  <c r="BK185" i="21"/>
  <c r="AA186" i="21"/>
  <c r="BK186" i="21"/>
  <c r="AA187" i="21"/>
  <c r="BK187" i="21"/>
  <c r="AA188" i="21"/>
  <c r="BK188" i="21"/>
  <c r="AA189" i="21"/>
  <c r="BK189" i="21"/>
  <c r="AA190" i="21"/>
  <c r="BK190" i="21"/>
  <c r="AA191" i="21"/>
  <c r="BK191" i="21"/>
  <c r="AA192" i="21"/>
  <c r="BK192" i="21"/>
  <c r="AA193" i="21"/>
  <c r="BK193" i="21"/>
  <c r="AA194" i="21"/>
  <c r="BK194" i="21"/>
  <c r="AA195" i="21"/>
  <c r="BK195" i="21"/>
  <c r="AA196" i="21"/>
  <c r="BK196" i="21"/>
  <c r="AA197" i="21"/>
  <c r="BK197" i="21"/>
  <c r="AA198" i="21"/>
  <c r="BK198" i="21"/>
  <c r="AA199" i="21"/>
  <c r="BK199" i="21"/>
  <c r="AA200" i="21"/>
  <c r="BK200" i="21"/>
  <c r="AA201" i="21"/>
  <c r="BK201" i="21"/>
  <c r="AA202" i="21"/>
  <c r="BK202" i="21"/>
  <c r="AA203" i="21"/>
  <c r="BK203" i="21"/>
  <c r="AA204" i="21"/>
  <c r="BK204" i="21"/>
  <c r="AA205" i="21"/>
  <c r="BK205" i="21"/>
  <c r="AA206" i="21"/>
  <c r="BK206" i="21"/>
  <c r="AA207" i="21"/>
  <c r="BK207" i="21"/>
  <c r="AA208" i="21"/>
  <c r="BK208" i="21"/>
  <c r="AA209" i="21"/>
  <c r="BK209" i="21"/>
  <c r="AA210" i="21"/>
  <c r="BK210" i="21"/>
  <c r="AA211" i="21"/>
  <c r="BK211" i="21"/>
  <c r="AA212" i="21"/>
  <c r="BK212" i="21"/>
  <c r="AA213" i="21"/>
  <c r="BK213" i="21"/>
  <c r="AA214" i="21"/>
  <c r="BK214" i="21"/>
  <c r="AA215" i="21"/>
  <c r="BK215" i="21"/>
  <c r="AA216" i="21"/>
  <c r="BK216" i="21"/>
  <c r="AA217" i="21"/>
  <c r="BK217" i="21"/>
  <c r="AA218" i="21"/>
  <c r="BK218" i="21"/>
  <c r="AA219" i="21"/>
  <c r="BK219" i="21"/>
  <c r="AA220" i="21"/>
  <c r="BK220" i="21"/>
  <c r="AA221" i="21"/>
  <c r="BK221" i="21"/>
  <c r="AA222" i="21"/>
  <c r="BK222" i="21"/>
  <c r="AA223" i="21"/>
  <c r="BK223" i="21"/>
  <c r="AA224" i="21"/>
  <c r="BK224" i="21"/>
  <c r="AA225" i="21"/>
  <c r="BK225" i="21"/>
  <c r="AA226" i="21"/>
  <c r="BK226" i="21"/>
  <c r="AA227" i="21"/>
  <c r="BK227" i="21"/>
  <c r="AA228" i="21"/>
  <c r="BK228" i="21"/>
  <c r="AA229" i="21"/>
  <c r="BK229" i="21"/>
  <c r="AA230" i="21"/>
  <c r="BK230" i="21"/>
  <c r="AA231" i="21"/>
  <c r="BK231" i="21"/>
  <c r="AA232" i="21"/>
  <c r="BK232" i="21"/>
  <c r="AA233" i="21"/>
  <c r="BK233" i="21"/>
  <c r="AA234" i="21"/>
  <c r="BK234" i="21"/>
  <c r="AA235" i="21"/>
  <c r="BK235" i="21"/>
  <c r="AA236" i="21"/>
  <c r="BK236" i="21"/>
  <c r="AA237" i="21"/>
  <c r="BK237" i="21"/>
  <c r="AA238" i="21"/>
  <c r="BK238" i="21"/>
  <c r="AA239" i="21"/>
  <c r="BK239" i="21"/>
  <c r="AA240" i="21"/>
  <c r="BK240" i="21"/>
  <c r="AA241" i="21"/>
  <c r="BK241" i="21"/>
  <c r="AA242" i="21"/>
  <c r="BK242" i="21"/>
  <c r="AA243" i="21"/>
  <c r="BK243" i="21"/>
  <c r="AA244" i="21"/>
  <c r="BK244" i="21"/>
  <c r="AA245" i="21"/>
  <c r="BK245" i="21"/>
  <c r="AA246" i="21"/>
  <c r="BK246" i="21"/>
  <c r="AA247" i="21"/>
  <c r="BK247" i="21"/>
  <c r="AA248" i="21"/>
  <c r="BK248" i="21"/>
  <c r="K10" i="21"/>
  <c r="AM10" i="21"/>
  <c r="K11" i="21"/>
  <c r="AM11" i="21"/>
  <c r="BL11" i="21"/>
  <c r="K12" i="21"/>
  <c r="AM12" i="21"/>
  <c r="BL12" i="21"/>
  <c r="K13" i="21"/>
  <c r="AM13" i="21"/>
  <c r="K14" i="21"/>
  <c r="AM14" i="21"/>
  <c r="BL14" i="21"/>
  <c r="K15" i="21"/>
  <c r="AM15" i="21"/>
  <c r="BL15" i="21"/>
  <c r="K16" i="21"/>
  <c r="AM16" i="21"/>
  <c r="BL16" i="21"/>
  <c r="K17" i="21"/>
  <c r="AM17" i="21"/>
  <c r="BL17" i="21"/>
  <c r="K18" i="21"/>
  <c r="AM18" i="21"/>
  <c r="K19" i="21"/>
  <c r="AM19" i="21"/>
  <c r="BL19" i="21"/>
  <c r="K20" i="21"/>
  <c r="AM20" i="21"/>
  <c r="BL20" i="21"/>
  <c r="K21" i="21"/>
  <c r="AM21" i="21"/>
  <c r="K22" i="21"/>
  <c r="AM22" i="21"/>
  <c r="BL22" i="21"/>
  <c r="K23" i="21"/>
  <c r="AM23" i="21"/>
  <c r="BL23" i="21"/>
  <c r="K24" i="21"/>
  <c r="AM24" i="21"/>
  <c r="BL24" i="21"/>
  <c r="K25" i="21"/>
  <c r="V25" i="21"/>
  <c r="AM25" i="21"/>
  <c r="BL25" i="21"/>
  <c r="K26" i="21"/>
  <c r="V26" i="21"/>
  <c r="AM26" i="21"/>
  <c r="BL26" i="21"/>
  <c r="K27" i="21"/>
  <c r="V27" i="21"/>
  <c r="AM27" i="21"/>
  <c r="K28" i="21"/>
  <c r="V28" i="21"/>
  <c r="AM28" i="21"/>
  <c r="K29" i="21"/>
  <c r="V29" i="21"/>
  <c r="AM29" i="21"/>
  <c r="BL29" i="21"/>
  <c r="K30" i="21"/>
  <c r="V30" i="21"/>
  <c r="AM30" i="21"/>
  <c r="BL30" i="21"/>
  <c r="K31" i="21"/>
  <c r="V31" i="21"/>
  <c r="AM31" i="21"/>
  <c r="K32" i="21"/>
  <c r="V32" i="21"/>
  <c r="AM32" i="21"/>
  <c r="K33" i="21"/>
  <c r="V33" i="21"/>
  <c r="AM33" i="21"/>
  <c r="BL33" i="21"/>
  <c r="K34" i="21"/>
  <c r="V34" i="21"/>
  <c r="AM34" i="21"/>
  <c r="BL34" i="21"/>
  <c r="K35" i="21"/>
  <c r="V35" i="21"/>
  <c r="AM35" i="21"/>
  <c r="K36" i="21"/>
  <c r="V36" i="21"/>
  <c r="AM36" i="21"/>
  <c r="K37" i="21"/>
  <c r="V37" i="21"/>
  <c r="AM37" i="21"/>
  <c r="BL37" i="21"/>
  <c r="K38" i="21"/>
  <c r="V38" i="21"/>
  <c r="AM38" i="21"/>
  <c r="BL38" i="21"/>
  <c r="K39" i="21"/>
  <c r="V39" i="21"/>
  <c r="AM39" i="21"/>
  <c r="K40" i="21"/>
  <c r="V40" i="21"/>
  <c r="AM40" i="21"/>
  <c r="K41" i="21"/>
  <c r="V41" i="21"/>
  <c r="AM41" i="21"/>
  <c r="BL41" i="21"/>
  <c r="K42" i="21"/>
  <c r="V42" i="21"/>
  <c r="AM42" i="21"/>
  <c r="BL42" i="21"/>
  <c r="K43" i="21"/>
  <c r="V43" i="21"/>
  <c r="AM43" i="21"/>
  <c r="K44" i="21"/>
  <c r="V44" i="21"/>
  <c r="AM44" i="21"/>
  <c r="K45" i="21"/>
  <c r="V45" i="21"/>
  <c r="AM45" i="21"/>
  <c r="BL45" i="21"/>
  <c r="K46" i="21"/>
  <c r="V46" i="21"/>
  <c r="AM46" i="21"/>
  <c r="BL46" i="21"/>
  <c r="K47" i="21"/>
  <c r="V47" i="21"/>
  <c r="AM47" i="21"/>
  <c r="K48" i="21"/>
  <c r="V48" i="21"/>
  <c r="AM48" i="21"/>
  <c r="K49" i="21"/>
  <c r="V49" i="21"/>
  <c r="AM49" i="21"/>
  <c r="BL49" i="21"/>
  <c r="K50" i="21"/>
  <c r="V50" i="21"/>
  <c r="AM50" i="21"/>
  <c r="BL50" i="21"/>
  <c r="K51" i="21"/>
  <c r="V51" i="21"/>
  <c r="AM51" i="21"/>
  <c r="K52" i="21"/>
  <c r="V52" i="21"/>
  <c r="AM52" i="21"/>
  <c r="K53" i="21"/>
  <c r="V53" i="21"/>
  <c r="AM53" i="21"/>
  <c r="BL53" i="21"/>
  <c r="K54" i="21"/>
  <c r="V54" i="21"/>
  <c r="AM54" i="21"/>
  <c r="BL54" i="21"/>
  <c r="K55" i="21"/>
  <c r="V55" i="21"/>
  <c r="AM55" i="21"/>
  <c r="K56" i="21"/>
  <c r="V56" i="21"/>
  <c r="AM56" i="21"/>
  <c r="K57" i="21"/>
  <c r="V57" i="21"/>
  <c r="AM57" i="21"/>
  <c r="BL57" i="21"/>
  <c r="K58" i="21"/>
  <c r="V58" i="21"/>
  <c r="AM58" i="21"/>
  <c r="BL58" i="21"/>
  <c r="K59" i="21"/>
  <c r="V59" i="21"/>
  <c r="AM59" i="21"/>
  <c r="K60" i="21"/>
  <c r="V60" i="21"/>
  <c r="AM60" i="21"/>
  <c r="K61" i="21"/>
  <c r="V61" i="21"/>
  <c r="AM61" i="21"/>
  <c r="BL61" i="21"/>
  <c r="K62" i="21"/>
  <c r="V62" i="21"/>
  <c r="AM62" i="21"/>
  <c r="BL62" i="21"/>
  <c r="K63" i="21"/>
  <c r="V63" i="21"/>
  <c r="AM63" i="21"/>
  <c r="K64" i="21"/>
  <c r="V64" i="21"/>
  <c r="AM64" i="21"/>
  <c r="K65" i="21"/>
  <c r="V65" i="21"/>
  <c r="AM65" i="21"/>
  <c r="BL65" i="21"/>
  <c r="K66" i="21"/>
  <c r="V66" i="21"/>
  <c r="AM66" i="21"/>
  <c r="BL66" i="21"/>
  <c r="K67" i="21"/>
  <c r="V67" i="21"/>
  <c r="AM67" i="21"/>
  <c r="K68" i="21"/>
  <c r="V68" i="21"/>
  <c r="AM68" i="21"/>
  <c r="K69" i="21"/>
  <c r="V69" i="21"/>
  <c r="AM69" i="21"/>
  <c r="BL69" i="21"/>
  <c r="K70" i="21"/>
  <c r="V70" i="21"/>
  <c r="AM70" i="21"/>
  <c r="BL70" i="21"/>
  <c r="K71" i="21"/>
  <c r="V71" i="21"/>
  <c r="AM71" i="21"/>
  <c r="K72" i="21"/>
  <c r="V72" i="21"/>
  <c r="AM72" i="21"/>
  <c r="K73" i="21"/>
  <c r="V73" i="21"/>
  <c r="AM73" i="21"/>
  <c r="BL73" i="21"/>
  <c r="K74" i="21"/>
  <c r="V74" i="21"/>
  <c r="AM74" i="21"/>
  <c r="BL74" i="21"/>
  <c r="K75" i="21"/>
  <c r="V75" i="21"/>
  <c r="AM75" i="21"/>
  <c r="K76" i="21"/>
  <c r="V76" i="21"/>
  <c r="AM76" i="21"/>
  <c r="K77" i="21"/>
  <c r="V77" i="21"/>
  <c r="AM77" i="21"/>
  <c r="BL77" i="21"/>
  <c r="K78" i="21"/>
  <c r="V78" i="21"/>
  <c r="AM78" i="21"/>
  <c r="BL78" i="21"/>
  <c r="K79" i="21"/>
  <c r="V79" i="21"/>
  <c r="AM79" i="21"/>
  <c r="K80" i="21"/>
  <c r="V80" i="21"/>
  <c r="AM80" i="21"/>
  <c r="K81" i="21"/>
  <c r="V81" i="21"/>
  <c r="AM81" i="21"/>
  <c r="BL81" i="21"/>
  <c r="K82" i="21"/>
  <c r="V82" i="21"/>
  <c r="AM82" i="21"/>
  <c r="BL82" i="21"/>
  <c r="K83" i="21"/>
  <c r="V83" i="21"/>
  <c r="AM83" i="21"/>
  <c r="K84" i="21"/>
  <c r="V84" i="21"/>
  <c r="AM84" i="21"/>
  <c r="K85" i="21"/>
  <c r="V85" i="21"/>
  <c r="AM85" i="21"/>
  <c r="BL85" i="21"/>
  <c r="K86" i="21"/>
  <c r="V86" i="21"/>
  <c r="AM86" i="21"/>
  <c r="BL86" i="21"/>
  <c r="K87" i="21"/>
  <c r="V87" i="21"/>
  <c r="AM87" i="21"/>
  <c r="K88" i="21"/>
  <c r="V88" i="21"/>
  <c r="AM88" i="21"/>
  <c r="K89" i="21"/>
  <c r="V89" i="21"/>
  <c r="AM89" i="21"/>
  <c r="BL89" i="21"/>
  <c r="K90" i="21"/>
  <c r="V90" i="21"/>
  <c r="AM90" i="21"/>
  <c r="BL90" i="21"/>
  <c r="K91" i="21"/>
  <c r="V91" i="21"/>
  <c r="AM91" i="21"/>
  <c r="K92" i="21"/>
  <c r="V92" i="21"/>
  <c r="AM92" i="21"/>
  <c r="K93" i="21"/>
  <c r="V93" i="21"/>
  <c r="AM93" i="21"/>
  <c r="BL93" i="21"/>
  <c r="K94" i="21"/>
  <c r="V94" i="21"/>
  <c r="AM94" i="21"/>
  <c r="BL94" i="21"/>
  <c r="K95" i="21"/>
  <c r="V95" i="21"/>
  <c r="AM95" i="21"/>
  <c r="K96" i="21"/>
  <c r="V96" i="21"/>
  <c r="AM96" i="21"/>
  <c r="K97" i="21"/>
  <c r="V97" i="21"/>
  <c r="AM97" i="21"/>
  <c r="BL97" i="21"/>
  <c r="K98" i="21"/>
  <c r="V98" i="21"/>
  <c r="AM98" i="21"/>
  <c r="BL98" i="21"/>
  <c r="K99" i="21"/>
  <c r="V99" i="21"/>
  <c r="AM99" i="21"/>
  <c r="K100" i="21"/>
  <c r="V100" i="21"/>
  <c r="AM100" i="21"/>
  <c r="K101" i="21"/>
  <c r="V101" i="21"/>
  <c r="AM101" i="21"/>
  <c r="BL101" i="21"/>
  <c r="K102" i="21"/>
  <c r="V102" i="21"/>
  <c r="AM102" i="21"/>
  <c r="BL102" i="21"/>
  <c r="K103" i="21"/>
  <c r="V103" i="21"/>
  <c r="AM103" i="21"/>
  <c r="K104" i="21"/>
  <c r="V104" i="21"/>
  <c r="AM104" i="21"/>
  <c r="K105" i="21"/>
  <c r="V105" i="21"/>
  <c r="AM105" i="21"/>
  <c r="BL105" i="21"/>
  <c r="K106" i="21"/>
  <c r="V106" i="21"/>
  <c r="AM106" i="21"/>
  <c r="BL106" i="21"/>
  <c r="K107" i="21"/>
  <c r="V107" i="21"/>
  <c r="AM107" i="21"/>
  <c r="K108" i="21"/>
  <c r="V108" i="21"/>
  <c r="AM108" i="21"/>
  <c r="K109" i="21"/>
  <c r="V109" i="21"/>
  <c r="AM109" i="21"/>
  <c r="BL109" i="21"/>
  <c r="K110" i="21"/>
  <c r="V110" i="21"/>
  <c r="AM110" i="21"/>
  <c r="BL110" i="21"/>
  <c r="K111" i="21"/>
  <c r="V111" i="21"/>
  <c r="AM111" i="21"/>
  <c r="K112" i="21"/>
  <c r="V112" i="21"/>
  <c r="AM112" i="21"/>
  <c r="K113" i="21"/>
  <c r="V113" i="21"/>
  <c r="AM113" i="21"/>
  <c r="BL113" i="21"/>
  <c r="K114" i="21"/>
  <c r="V114" i="21"/>
  <c r="AM114" i="21"/>
  <c r="BL114" i="21"/>
  <c r="K115" i="21"/>
  <c r="V115" i="21"/>
  <c r="AM115" i="21"/>
  <c r="K116" i="21"/>
  <c r="V116" i="21"/>
  <c r="AM116" i="21"/>
  <c r="K117" i="21"/>
  <c r="V117" i="21"/>
  <c r="AM117" i="21"/>
  <c r="BL117" i="21"/>
  <c r="K118" i="21"/>
  <c r="V118" i="21"/>
  <c r="AM118" i="21"/>
  <c r="BL118" i="21"/>
  <c r="K119" i="21"/>
  <c r="V119" i="21"/>
  <c r="AM119" i="21"/>
  <c r="K120" i="21"/>
  <c r="V120" i="21"/>
  <c r="AM120" i="21"/>
  <c r="K121" i="21"/>
  <c r="V121" i="21"/>
  <c r="AM121" i="21"/>
  <c r="BL121" i="21"/>
  <c r="K122" i="21"/>
  <c r="V122" i="21"/>
  <c r="AM122" i="21"/>
  <c r="BL122" i="21"/>
  <c r="K123" i="21"/>
  <c r="V123" i="21"/>
  <c r="AM123" i="21"/>
  <c r="K124" i="21"/>
  <c r="V124" i="21"/>
  <c r="AM124" i="21"/>
  <c r="K125" i="21"/>
  <c r="V125" i="21"/>
  <c r="AM125" i="21"/>
  <c r="BL125" i="21"/>
  <c r="K126" i="21"/>
  <c r="V126" i="21"/>
  <c r="AM126" i="21"/>
  <c r="BL126" i="21"/>
  <c r="K127" i="21"/>
  <c r="V127" i="21"/>
  <c r="AM127" i="21"/>
  <c r="K128" i="21"/>
  <c r="V128" i="21"/>
  <c r="AM128" i="21"/>
  <c r="K129" i="21"/>
  <c r="V129" i="21"/>
  <c r="AM129" i="21"/>
  <c r="BL129" i="21"/>
  <c r="K130" i="21"/>
  <c r="V130" i="21"/>
  <c r="AM130" i="21"/>
  <c r="BL130" i="21"/>
  <c r="K131" i="21"/>
  <c r="V131" i="21"/>
  <c r="AM131" i="21"/>
  <c r="K132" i="21"/>
  <c r="V132" i="21"/>
  <c r="AM132" i="21"/>
  <c r="K133" i="21"/>
  <c r="V133" i="21"/>
  <c r="AM133" i="21"/>
  <c r="BL133" i="21"/>
  <c r="K134" i="21"/>
  <c r="V134" i="21"/>
  <c r="AM134" i="21"/>
  <c r="BL134" i="21"/>
  <c r="K135" i="21"/>
  <c r="V135" i="21"/>
  <c r="AM135" i="21"/>
  <c r="K136" i="21"/>
  <c r="V136" i="21"/>
  <c r="AM136" i="21"/>
  <c r="K137" i="21"/>
  <c r="V137" i="21"/>
  <c r="AM137" i="21"/>
  <c r="BL137" i="21"/>
  <c r="K138" i="21"/>
  <c r="V138" i="21"/>
  <c r="AM138" i="21"/>
  <c r="BL138" i="21"/>
  <c r="K139" i="21"/>
  <c r="V139" i="21"/>
  <c r="AM139" i="21"/>
  <c r="K140" i="21"/>
  <c r="V140" i="21"/>
  <c r="AM140" i="21"/>
  <c r="K141" i="21"/>
  <c r="V141" i="21"/>
  <c r="AM141" i="21"/>
  <c r="BL141" i="21"/>
  <c r="K142" i="21"/>
  <c r="V142" i="21"/>
  <c r="AM142" i="21"/>
  <c r="BL142" i="21"/>
  <c r="K143" i="21"/>
  <c r="V143" i="21"/>
  <c r="AM143" i="21"/>
  <c r="K144" i="21"/>
  <c r="V144" i="21"/>
  <c r="AM144" i="21"/>
  <c r="K145" i="21"/>
  <c r="V145" i="21"/>
  <c r="AM145" i="21"/>
  <c r="BL145" i="21"/>
  <c r="K146" i="21"/>
  <c r="V146" i="21"/>
  <c r="AM146" i="21"/>
  <c r="BL146" i="21"/>
  <c r="K147" i="21"/>
  <c r="V147" i="21"/>
  <c r="AM147" i="21"/>
  <c r="K148" i="21"/>
  <c r="V148" i="21"/>
  <c r="AM148" i="21"/>
  <c r="K149" i="21"/>
  <c r="V149" i="21"/>
  <c r="AM149" i="21"/>
  <c r="BL149" i="21"/>
  <c r="K150" i="21"/>
  <c r="V150" i="21"/>
  <c r="AM150" i="21"/>
  <c r="BL150" i="21"/>
  <c r="K151" i="21"/>
  <c r="V151" i="21"/>
  <c r="AM151" i="21"/>
  <c r="K152" i="21"/>
  <c r="V152" i="21"/>
  <c r="AM152" i="21"/>
  <c r="K153" i="21"/>
  <c r="V153" i="21"/>
  <c r="AM153" i="21"/>
  <c r="BL153" i="21"/>
  <c r="K154" i="21"/>
  <c r="V154" i="21"/>
  <c r="AM154" i="21"/>
  <c r="BL154" i="21"/>
  <c r="K155" i="21"/>
  <c r="V155" i="21"/>
  <c r="AM155" i="21"/>
  <c r="K156" i="21"/>
  <c r="V156" i="21"/>
  <c r="AM156" i="21"/>
  <c r="K157" i="21"/>
  <c r="V157" i="21"/>
  <c r="AM157" i="21"/>
  <c r="BL157" i="21"/>
  <c r="K158" i="21"/>
  <c r="V158" i="21"/>
  <c r="AM158" i="21"/>
  <c r="BL158" i="21"/>
  <c r="K159" i="21"/>
  <c r="V159" i="21"/>
  <c r="AM159" i="21"/>
  <c r="K160" i="21"/>
  <c r="V160" i="21"/>
  <c r="AM160" i="21"/>
  <c r="K161" i="21"/>
  <c r="V161" i="21"/>
  <c r="AM161" i="21"/>
  <c r="BL161" i="21"/>
  <c r="K162" i="21"/>
  <c r="V162" i="21"/>
  <c r="AM162" i="21"/>
  <c r="BL162" i="21"/>
  <c r="K163" i="21"/>
  <c r="V163" i="21"/>
  <c r="AM163" i="21"/>
  <c r="K164" i="21"/>
  <c r="V164" i="21"/>
  <c r="AM164" i="21"/>
  <c r="K165" i="21"/>
  <c r="V165" i="21"/>
  <c r="AM165" i="21"/>
  <c r="BL165" i="21"/>
  <c r="K166" i="21"/>
  <c r="V166" i="21"/>
  <c r="AM166" i="21"/>
  <c r="BL166" i="21"/>
  <c r="K167" i="21"/>
  <c r="V167" i="21"/>
  <c r="AM167" i="21"/>
  <c r="K168" i="21"/>
  <c r="V168" i="21"/>
  <c r="AM168" i="21"/>
  <c r="K169" i="21"/>
  <c r="V169" i="21"/>
  <c r="AM169" i="21"/>
  <c r="K170" i="21"/>
  <c r="V170" i="21"/>
  <c r="AM170" i="21"/>
  <c r="K171" i="21"/>
  <c r="V171" i="21"/>
  <c r="AM171" i="21"/>
  <c r="K172" i="21"/>
  <c r="V172" i="21"/>
  <c r="AM172" i="21"/>
  <c r="K173" i="21"/>
  <c r="V173" i="21"/>
  <c r="AM173" i="21"/>
  <c r="K174" i="21"/>
  <c r="V174" i="21"/>
  <c r="AM174" i="21"/>
  <c r="K175" i="21"/>
  <c r="V175" i="21"/>
  <c r="AM175" i="21"/>
  <c r="K176" i="21"/>
  <c r="V176" i="21"/>
  <c r="AM176" i="21"/>
  <c r="K177" i="21"/>
  <c r="V177" i="21"/>
  <c r="AM177" i="21"/>
  <c r="K178" i="21"/>
  <c r="V178" i="21"/>
  <c r="AM178" i="21"/>
  <c r="K179" i="21"/>
  <c r="V179" i="21"/>
  <c r="AM179" i="21"/>
  <c r="K180" i="21"/>
  <c r="V180" i="21"/>
  <c r="AM180" i="21"/>
  <c r="K181" i="21"/>
  <c r="V181" i="21"/>
  <c r="AM181" i="21"/>
  <c r="K182" i="21"/>
  <c r="V182" i="21"/>
  <c r="AM182" i="21"/>
  <c r="K183" i="21"/>
  <c r="V183" i="21"/>
  <c r="AM183" i="21"/>
  <c r="K184" i="21"/>
  <c r="V184" i="21"/>
  <c r="AM184" i="21"/>
  <c r="K185" i="21"/>
  <c r="V185" i="21"/>
  <c r="AM185" i="21"/>
  <c r="K186" i="21"/>
  <c r="V186" i="21"/>
  <c r="AM186" i="21"/>
  <c r="K187" i="21"/>
  <c r="V187" i="21"/>
  <c r="AM187" i="21"/>
  <c r="K188" i="21"/>
  <c r="V188" i="21"/>
  <c r="AM188" i="21"/>
  <c r="K189" i="21"/>
  <c r="V189" i="21"/>
  <c r="AM189" i="21"/>
  <c r="K190" i="21"/>
  <c r="V190" i="21"/>
  <c r="AM190" i="21"/>
  <c r="K191" i="21"/>
  <c r="V191" i="21"/>
  <c r="AM191" i="21"/>
  <c r="K192" i="21"/>
  <c r="V192" i="21"/>
  <c r="AM192" i="21"/>
  <c r="K193" i="21"/>
  <c r="V193" i="21"/>
  <c r="AM193" i="21"/>
  <c r="K194" i="21"/>
  <c r="V194" i="21"/>
  <c r="AM194" i="21"/>
  <c r="K195" i="21"/>
  <c r="V195" i="21"/>
  <c r="AM195" i="21"/>
  <c r="K196" i="21"/>
  <c r="V196" i="21"/>
  <c r="AM196" i="21"/>
  <c r="K197" i="21"/>
  <c r="V197" i="21"/>
  <c r="AM197" i="21"/>
  <c r="K198" i="21"/>
  <c r="V198" i="21"/>
  <c r="AM198" i="21"/>
  <c r="K199" i="21"/>
  <c r="V199" i="21"/>
  <c r="AM199" i="21"/>
  <c r="K200" i="21"/>
  <c r="V200" i="21"/>
  <c r="AM200" i="21"/>
  <c r="K201" i="21"/>
  <c r="V201" i="21"/>
  <c r="AM201" i="21"/>
  <c r="K202" i="21"/>
  <c r="V202" i="21"/>
  <c r="AM202" i="21"/>
  <c r="K203" i="21"/>
  <c r="V203" i="21"/>
  <c r="AM203" i="21"/>
  <c r="K204" i="21"/>
  <c r="V204" i="21"/>
  <c r="AM204" i="21"/>
  <c r="K205" i="21"/>
  <c r="V205" i="21"/>
  <c r="AM205" i="21"/>
  <c r="K206" i="21"/>
  <c r="V206" i="21"/>
  <c r="AM206" i="21"/>
  <c r="K207" i="21"/>
  <c r="V207" i="21"/>
  <c r="AM207" i="21"/>
  <c r="K208" i="21"/>
  <c r="V208" i="21"/>
  <c r="AM208" i="21"/>
  <c r="K209" i="21"/>
  <c r="V209" i="21"/>
  <c r="AM209" i="21"/>
  <c r="K210" i="21"/>
  <c r="V210" i="21"/>
  <c r="AM210" i="21"/>
  <c r="K211" i="21"/>
  <c r="V211" i="21"/>
  <c r="AM211" i="21"/>
  <c r="K212" i="21"/>
  <c r="V212" i="21"/>
  <c r="AM212" i="21"/>
  <c r="K213" i="21"/>
  <c r="V213" i="21"/>
  <c r="AM213" i="21"/>
  <c r="K214" i="21"/>
  <c r="V214" i="21"/>
  <c r="AM214" i="21"/>
  <c r="K215" i="21"/>
  <c r="V215" i="21"/>
  <c r="AM215" i="21"/>
  <c r="K216" i="21"/>
  <c r="V216" i="21"/>
  <c r="AM216" i="21"/>
  <c r="K217" i="21"/>
  <c r="V217" i="21"/>
  <c r="AM217" i="21"/>
  <c r="K218" i="21"/>
  <c r="V218" i="21"/>
  <c r="AM218" i="21"/>
  <c r="K219" i="21"/>
  <c r="V219" i="21"/>
  <c r="AM219" i="21"/>
  <c r="K220" i="21"/>
  <c r="V220" i="21"/>
  <c r="AM220" i="21"/>
  <c r="K221" i="21"/>
  <c r="V221" i="21"/>
  <c r="AM221" i="21"/>
  <c r="K222" i="21"/>
  <c r="V222" i="21"/>
  <c r="AM222" i="21"/>
  <c r="K223" i="21"/>
  <c r="V223" i="21"/>
  <c r="AM223" i="21"/>
  <c r="K224" i="21"/>
  <c r="V224" i="21"/>
  <c r="AM224" i="21"/>
  <c r="K225" i="21"/>
  <c r="V225" i="21"/>
  <c r="AM225" i="21"/>
  <c r="K226" i="21"/>
  <c r="V226" i="21"/>
  <c r="AM226" i="21"/>
  <c r="K227" i="21"/>
  <c r="V227" i="21"/>
  <c r="AM227" i="21"/>
  <c r="K228" i="21"/>
  <c r="V228" i="21"/>
  <c r="AM228" i="21"/>
  <c r="K229" i="21"/>
  <c r="V229" i="21"/>
  <c r="AM229" i="21"/>
  <c r="K230" i="21"/>
  <c r="V230" i="21"/>
  <c r="AM230" i="21"/>
  <c r="K231" i="21"/>
  <c r="V231" i="21"/>
  <c r="AM231" i="21"/>
  <c r="K232" i="21"/>
  <c r="V232" i="21"/>
  <c r="AM232" i="21"/>
  <c r="K233" i="21"/>
  <c r="V233" i="21"/>
  <c r="AM233" i="21"/>
  <c r="K234" i="21"/>
  <c r="V234" i="21"/>
  <c r="AM234" i="21"/>
  <c r="K235" i="21"/>
  <c r="V235" i="21"/>
  <c r="AM235" i="21"/>
  <c r="K236" i="21"/>
  <c r="V236" i="21"/>
  <c r="AM236" i="21"/>
  <c r="K237" i="21"/>
  <c r="V237" i="21"/>
  <c r="AM237" i="21"/>
  <c r="K238" i="21"/>
  <c r="V238" i="21"/>
  <c r="AM238" i="21"/>
  <c r="K239" i="21"/>
  <c r="V239" i="21"/>
  <c r="AM239" i="21"/>
  <c r="K240" i="21"/>
  <c r="V240" i="21"/>
  <c r="AM240" i="21"/>
  <c r="K241" i="21"/>
  <c r="V241" i="21"/>
  <c r="AM241" i="21"/>
  <c r="K242" i="21"/>
  <c r="V242" i="21"/>
  <c r="AM242" i="21"/>
  <c r="K243" i="21"/>
  <c r="V243" i="21"/>
  <c r="AM243" i="21"/>
  <c r="BL243" i="21"/>
  <c r="K244" i="21"/>
  <c r="V244" i="21"/>
  <c r="AM244" i="21"/>
  <c r="BL244" i="21"/>
  <c r="K245" i="21"/>
  <c r="V245" i="21"/>
  <c r="AM245" i="21"/>
  <c r="BL245" i="21"/>
  <c r="K246" i="21"/>
  <c r="V246" i="21"/>
  <c r="AM246" i="21"/>
  <c r="BL246" i="21"/>
  <c r="K247" i="21"/>
  <c r="V247" i="21"/>
  <c r="AM247" i="21"/>
  <c r="BL247" i="21"/>
  <c r="K248" i="21"/>
  <c r="V248" i="21"/>
  <c r="AM248" i="21"/>
  <c r="BL248" i="21"/>
  <c r="K249" i="21"/>
  <c r="AM249" i="21"/>
  <c r="K250" i="21"/>
  <c r="AM250" i="21"/>
  <c r="BL250" i="21"/>
  <c r="K251" i="21"/>
  <c r="AM251" i="21"/>
  <c r="BL251" i="21"/>
  <c r="K252" i="21"/>
  <c r="AM252" i="21"/>
  <c r="K253" i="21"/>
  <c r="AM253" i="21"/>
  <c r="BL253" i="21"/>
  <c r="K254" i="21"/>
  <c r="AM254" i="21"/>
  <c r="BL254" i="21"/>
  <c r="K255" i="21"/>
  <c r="AM255" i="21"/>
  <c r="BL255" i="21"/>
  <c r="K256" i="21"/>
  <c r="AM256" i="21"/>
  <c r="BL256" i="21"/>
  <c r="K257" i="21"/>
  <c r="AM257" i="21"/>
  <c r="K258" i="21"/>
  <c r="AM258" i="21"/>
  <c r="BL258" i="21"/>
  <c r="K259" i="21"/>
  <c r="AM259" i="21"/>
  <c r="BL259" i="21"/>
  <c r="K260" i="21"/>
  <c r="AM260" i="21"/>
  <c r="BL260" i="21"/>
  <c r="K261" i="21"/>
  <c r="AM261" i="21"/>
  <c r="BL261" i="21"/>
  <c r="K262" i="21"/>
  <c r="AM262" i="21"/>
  <c r="BL262" i="21"/>
  <c r="K263" i="21"/>
  <c r="AM263" i="21"/>
  <c r="BL263" i="21"/>
  <c r="K264" i="21"/>
  <c r="AM264" i="21"/>
  <c r="BL264" i="21"/>
  <c r="K265" i="21"/>
  <c r="AM265" i="21"/>
  <c r="K266" i="21"/>
  <c r="AM266" i="21"/>
  <c r="BL266" i="21"/>
  <c r="K267" i="21"/>
  <c r="AM267" i="21"/>
  <c r="BL267" i="21"/>
  <c r="K268" i="21"/>
  <c r="AM268" i="21"/>
  <c r="K269" i="21"/>
  <c r="AM269" i="21"/>
  <c r="BL269" i="21"/>
  <c r="K270" i="21"/>
  <c r="AM270" i="21"/>
  <c r="K271" i="21"/>
  <c r="AM271" i="21"/>
  <c r="BL271" i="21"/>
  <c r="K272" i="21"/>
  <c r="AM272" i="21"/>
  <c r="BL272" i="21"/>
  <c r="K273" i="21"/>
  <c r="AM273" i="21"/>
  <c r="K274" i="21"/>
  <c r="AM274" i="21"/>
  <c r="BL274" i="21"/>
  <c r="K275" i="21"/>
  <c r="AM275" i="21"/>
  <c r="BL275" i="21"/>
  <c r="K276" i="21"/>
  <c r="AM276" i="21"/>
  <c r="BL276" i="21"/>
  <c r="K277" i="21"/>
  <c r="AM277" i="21"/>
  <c r="BL277" i="21"/>
  <c r="K278" i="21"/>
  <c r="AM278" i="21"/>
  <c r="BL278" i="21"/>
  <c r="K279" i="21"/>
  <c r="AM279" i="21"/>
  <c r="BL279" i="21"/>
  <c r="K280" i="21"/>
  <c r="AM280" i="21"/>
  <c r="BL280" i="21"/>
  <c r="K281" i="21"/>
  <c r="AM281" i="21"/>
  <c r="K282" i="21"/>
  <c r="AM282" i="21"/>
  <c r="BL282" i="21"/>
  <c r="K283" i="21"/>
  <c r="AM283" i="21"/>
  <c r="BL283" i="21"/>
  <c r="K284" i="21"/>
  <c r="AM284" i="21"/>
  <c r="K285" i="21"/>
  <c r="AM285" i="21"/>
  <c r="BL285" i="21"/>
  <c r="K286" i="21"/>
  <c r="AM286" i="21"/>
  <c r="K287" i="21"/>
  <c r="AM287" i="21"/>
  <c r="BL287" i="21"/>
  <c r="K288" i="21"/>
  <c r="AM288" i="21"/>
  <c r="BL288" i="21"/>
  <c r="K289" i="21"/>
  <c r="AM289" i="21"/>
  <c r="K290" i="21"/>
  <c r="AM290" i="21"/>
  <c r="BL290" i="21"/>
  <c r="K291" i="21"/>
  <c r="AM291" i="21"/>
  <c r="BL291" i="21"/>
  <c r="K292" i="21"/>
  <c r="AM292" i="21"/>
  <c r="BL292" i="21"/>
  <c r="K293" i="21"/>
  <c r="AM293" i="21"/>
  <c r="BL293" i="21"/>
  <c r="K294" i="21"/>
  <c r="AM294" i="21"/>
  <c r="BL294" i="21"/>
  <c r="K295" i="21"/>
  <c r="AM295" i="21"/>
  <c r="BL295" i="21"/>
  <c r="K296" i="21"/>
  <c r="AM296" i="21"/>
  <c r="BL296" i="21"/>
  <c r="K297" i="21"/>
  <c r="AM297" i="21"/>
  <c r="BI205" i="21"/>
  <c r="BI206" i="21"/>
  <c r="BI207" i="21"/>
  <c r="BI208" i="21"/>
  <c r="BI209" i="21"/>
  <c r="BI210" i="21"/>
  <c r="BI211" i="21"/>
  <c r="BI212" i="21"/>
  <c r="BI213" i="21"/>
  <c r="BI214" i="21"/>
  <c r="BI215" i="21"/>
  <c r="BI216" i="21"/>
  <c r="BI217" i="21"/>
  <c r="BI218" i="21"/>
  <c r="BI219" i="21"/>
  <c r="BI220" i="21"/>
  <c r="BI221" i="21"/>
  <c r="BI222" i="21"/>
  <c r="BI223" i="21"/>
  <c r="BI224" i="21"/>
  <c r="BI225" i="21"/>
  <c r="BI226" i="21"/>
  <c r="BI227" i="21"/>
  <c r="BI228" i="21"/>
  <c r="BI229" i="21"/>
  <c r="BI230" i="21"/>
  <c r="BI231" i="21"/>
  <c r="BI232" i="21"/>
  <c r="BI233" i="21"/>
  <c r="BI234" i="21"/>
  <c r="BI235" i="21"/>
  <c r="BI236" i="21"/>
  <c r="BI237" i="21"/>
  <c r="BI238" i="21"/>
  <c r="BI239" i="21"/>
  <c r="BI240" i="21"/>
  <c r="BI241" i="21"/>
  <c r="BI242" i="21"/>
  <c r="BI243" i="21"/>
  <c r="BI244" i="21"/>
  <c r="BI245" i="21"/>
  <c r="BI246" i="21"/>
  <c r="BI247" i="21"/>
  <c r="BI248" i="21"/>
  <c r="BI249" i="21"/>
  <c r="BI250" i="21"/>
  <c r="BI251" i="21"/>
  <c r="BI252" i="21"/>
  <c r="BI253" i="21"/>
  <c r="BI254" i="21"/>
  <c r="BI255" i="21"/>
  <c r="BI256" i="21"/>
  <c r="BI257" i="21"/>
  <c r="BI258" i="21"/>
  <c r="BI259" i="21"/>
  <c r="BI260" i="21"/>
  <c r="G261" i="21"/>
  <c r="BI261" i="21"/>
  <c r="G262" i="21"/>
  <c r="BI262" i="21"/>
  <c r="G263" i="21"/>
  <c r="BI263" i="21"/>
  <c r="G264" i="21"/>
  <c r="BI264" i="21"/>
  <c r="G265" i="21"/>
  <c r="BI265" i="21"/>
  <c r="G266" i="21"/>
  <c r="BI266" i="21"/>
  <c r="G267" i="21"/>
  <c r="BI267" i="21"/>
  <c r="G268" i="21"/>
  <c r="BI268" i="21"/>
  <c r="G269" i="21"/>
  <c r="BI269" i="21"/>
  <c r="BA140" i="8"/>
  <c r="U40" i="25"/>
  <c r="AN213" i="8"/>
  <c r="AH213" i="8"/>
  <c r="B160" i="25"/>
  <c r="C260" i="21"/>
  <c r="B161" i="25"/>
  <c r="C261" i="21"/>
  <c r="B162" i="25"/>
  <c r="C262" i="21"/>
  <c r="B163" i="25"/>
  <c r="C263" i="21"/>
  <c r="B164" i="25"/>
  <c r="C264" i="21"/>
  <c r="B165" i="25"/>
  <c r="C265" i="21"/>
  <c r="B166" i="25"/>
  <c r="C266" i="21"/>
  <c r="B167" i="25"/>
  <c r="C267" i="21"/>
  <c r="B168" i="25"/>
  <c r="C268" i="21"/>
  <c r="B169" i="25"/>
  <c r="C26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AD10" i="21"/>
  <c r="AD11" i="21"/>
  <c r="AD12" i="21"/>
  <c r="AD13" i="21"/>
  <c r="AD14" i="21"/>
  <c r="AD15" i="21"/>
  <c r="AD16" i="21"/>
  <c r="AD17" i="21"/>
  <c r="AD18" i="21"/>
  <c r="AD19" i="21"/>
  <c r="AD20" i="21"/>
  <c r="AD21" i="21"/>
  <c r="AD22" i="21"/>
  <c r="AD23" i="21"/>
  <c r="AD24" i="21"/>
  <c r="AD25" i="21"/>
  <c r="AD26" i="21"/>
  <c r="AD27" i="21"/>
  <c r="AD28" i="21"/>
  <c r="AD29" i="21"/>
  <c r="AD30" i="21"/>
  <c r="AD31" i="21"/>
  <c r="AD32" i="21"/>
  <c r="AD33" i="21"/>
  <c r="AD34" i="21"/>
  <c r="AD35" i="21"/>
  <c r="AD36" i="21"/>
  <c r="AD37" i="21"/>
  <c r="AD38" i="21"/>
  <c r="AD39" i="21"/>
  <c r="AD40" i="21"/>
  <c r="AD41" i="21"/>
  <c r="AD42" i="21"/>
  <c r="AD43" i="21"/>
  <c r="AD44" i="21"/>
  <c r="AD45" i="21"/>
  <c r="AD46" i="21"/>
  <c r="AD47" i="21"/>
  <c r="AD48" i="21"/>
  <c r="AD49" i="21"/>
  <c r="AD50" i="21"/>
  <c r="AD51" i="21"/>
  <c r="AD52" i="21"/>
  <c r="AD53" i="21"/>
  <c r="AD54" i="21"/>
  <c r="AD55" i="21"/>
  <c r="AD56" i="21"/>
  <c r="AD57" i="2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82" i="21"/>
  <c r="AD83" i="21"/>
  <c r="AD84" i="21"/>
  <c r="AD85" i="21"/>
  <c r="AD86" i="21"/>
  <c r="AD87" i="21"/>
  <c r="AD88" i="21"/>
  <c r="AD89" i="21"/>
  <c r="AD90" i="21"/>
  <c r="AD91" i="21"/>
  <c r="AD92" i="21"/>
  <c r="AD93" i="21"/>
  <c r="AD94" i="21"/>
  <c r="AD95" i="21"/>
  <c r="AD96" i="21"/>
  <c r="AD97" i="21"/>
  <c r="AD98" i="21"/>
  <c r="AD99" i="21"/>
  <c r="AD100" i="21"/>
  <c r="AD101" i="21"/>
  <c r="AD102" i="21"/>
  <c r="AD103" i="21"/>
  <c r="AD104" i="21"/>
  <c r="AD105" i="21"/>
  <c r="AD106" i="21"/>
  <c r="AD107" i="21"/>
  <c r="AD108" i="21"/>
  <c r="AD109" i="21"/>
  <c r="AD110" i="21"/>
  <c r="AD111" i="21"/>
  <c r="AD112" i="21"/>
  <c r="AD113" i="21"/>
  <c r="AD114" i="21"/>
  <c r="AD115" i="21"/>
  <c r="AD116" i="21"/>
  <c r="AD117" i="21"/>
  <c r="AD118" i="21"/>
  <c r="AD119" i="21"/>
  <c r="AD120" i="21"/>
  <c r="AD121" i="21"/>
  <c r="AD122" i="21"/>
  <c r="AD123" i="21"/>
  <c r="AD124" i="21"/>
  <c r="AD125" i="21"/>
  <c r="AD126" i="21"/>
  <c r="AD127" i="21"/>
  <c r="AD128" i="21"/>
  <c r="AD129" i="21"/>
  <c r="AD130" i="21"/>
  <c r="AD131" i="21"/>
  <c r="AD132" i="21"/>
  <c r="AD133" i="21"/>
  <c r="AD134" i="21"/>
  <c r="AD135" i="21"/>
  <c r="AD136" i="21"/>
  <c r="AD137" i="21"/>
  <c r="AD138" i="21"/>
  <c r="AD139" i="21"/>
  <c r="I212" i="9"/>
  <c r="O212" i="21"/>
  <c r="AD212" i="21"/>
  <c r="I213" i="9"/>
  <c r="O213" i="21"/>
  <c r="AD213" i="21"/>
  <c r="I216" i="9"/>
  <c r="O216" i="21"/>
  <c r="AD216" i="21"/>
  <c r="I217" i="9"/>
  <c r="O217" i="21"/>
  <c r="AD217" i="21"/>
  <c r="I220" i="9"/>
  <c r="O220" i="21"/>
  <c r="AD220" i="21"/>
  <c r="I221" i="9"/>
  <c r="O221" i="21"/>
  <c r="AD221" i="21"/>
  <c r="U260" i="21"/>
  <c r="Y260" i="21"/>
  <c r="AC260" i="21"/>
  <c r="AD260" i="21"/>
  <c r="I210" i="9"/>
  <c r="O210" i="21"/>
  <c r="AD210" i="21"/>
  <c r="I211" i="9"/>
  <c r="O211" i="21"/>
  <c r="AD211" i="21"/>
  <c r="I214" i="9"/>
  <c r="O214" i="21"/>
  <c r="AD214" i="21"/>
  <c r="I215" i="9"/>
  <c r="O215" i="21"/>
  <c r="AD215" i="21"/>
  <c r="I218" i="9"/>
  <c r="O218" i="21"/>
  <c r="AD218" i="21"/>
  <c r="I219" i="9"/>
  <c r="O219" i="21"/>
  <c r="AD219" i="21"/>
  <c r="I223" i="9"/>
  <c r="O223" i="21"/>
  <c r="AD223" i="21"/>
  <c r="I222" i="9"/>
  <c r="O222" i="21"/>
  <c r="AD222" i="21"/>
  <c r="H22" i="21"/>
  <c r="I22" i="21"/>
  <c r="H23" i="21"/>
  <c r="I23" i="21"/>
  <c r="H24" i="21"/>
  <c r="I24" i="21"/>
  <c r="H25" i="21"/>
  <c r="I25" i="21"/>
  <c r="H26" i="21"/>
  <c r="I26" i="21"/>
  <c r="H27" i="21"/>
  <c r="I27" i="21"/>
  <c r="H28" i="21"/>
  <c r="I28" i="21"/>
  <c r="H29" i="21"/>
  <c r="I29" i="21"/>
  <c r="H30" i="21"/>
  <c r="I30" i="21"/>
  <c r="H31" i="21"/>
  <c r="I31" i="21"/>
  <c r="H32" i="21"/>
  <c r="I32" i="21"/>
  <c r="H33" i="21"/>
  <c r="I33" i="21"/>
  <c r="H34" i="21"/>
  <c r="I34" i="21"/>
  <c r="H35" i="21"/>
  <c r="I35" i="21"/>
  <c r="H36" i="21"/>
  <c r="I36" i="21"/>
  <c r="H37" i="21"/>
  <c r="I37" i="21"/>
  <c r="H38" i="21"/>
  <c r="I38" i="21"/>
  <c r="H39" i="21"/>
  <c r="I39" i="21"/>
  <c r="H40" i="21"/>
  <c r="I40" i="21"/>
  <c r="H41" i="21"/>
  <c r="I41" i="21"/>
  <c r="H42" i="21"/>
  <c r="I42" i="21"/>
  <c r="H43" i="21"/>
  <c r="I43" i="21"/>
  <c r="H44" i="21"/>
  <c r="I44" i="21"/>
  <c r="H45" i="21"/>
  <c r="I45" i="21"/>
  <c r="H46" i="21"/>
  <c r="I46" i="21"/>
  <c r="H47" i="21"/>
  <c r="I47" i="21"/>
  <c r="H48" i="21"/>
  <c r="I48" i="21"/>
  <c r="H49" i="21"/>
  <c r="I49" i="21"/>
  <c r="H50" i="21"/>
  <c r="I50" i="21"/>
  <c r="H51" i="21"/>
  <c r="I51" i="21"/>
  <c r="H52" i="21"/>
  <c r="I52" i="21"/>
  <c r="H53" i="21"/>
  <c r="I53" i="21"/>
  <c r="H54" i="21"/>
  <c r="I54" i="21"/>
  <c r="H55" i="21"/>
  <c r="I55" i="21"/>
  <c r="H56" i="21"/>
  <c r="I56" i="21"/>
  <c r="H57" i="21"/>
  <c r="I57" i="21"/>
  <c r="H58" i="21"/>
  <c r="I58" i="21"/>
  <c r="H59" i="21"/>
  <c r="I59" i="21"/>
  <c r="H60" i="21"/>
  <c r="I60" i="21"/>
  <c r="H61" i="21"/>
  <c r="I61" i="21"/>
  <c r="H62" i="21"/>
  <c r="I62" i="21"/>
  <c r="H63" i="21"/>
  <c r="I63" i="21"/>
  <c r="H64" i="21"/>
  <c r="I64" i="21"/>
  <c r="H65" i="21"/>
  <c r="I65" i="21"/>
  <c r="H66" i="21"/>
  <c r="I66" i="21"/>
  <c r="H67" i="21"/>
  <c r="I67" i="21"/>
  <c r="H68" i="21"/>
  <c r="I68" i="21"/>
  <c r="H69" i="21"/>
  <c r="I69" i="21"/>
  <c r="H70" i="21"/>
  <c r="I70" i="21"/>
  <c r="H71" i="21"/>
  <c r="I71" i="21"/>
  <c r="H72" i="21"/>
  <c r="I72" i="21"/>
  <c r="H73" i="21"/>
  <c r="I73" i="21"/>
  <c r="H74" i="21"/>
  <c r="I74" i="21"/>
  <c r="H75" i="21"/>
  <c r="I75" i="21"/>
  <c r="H76" i="21"/>
  <c r="I76" i="21"/>
  <c r="H77" i="21"/>
  <c r="I77" i="21"/>
  <c r="H78" i="21"/>
  <c r="I78" i="21"/>
  <c r="H79" i="21"/>
  <c r="I79" i="21"/>
  <c r="H80" i="21"/>
  <c r="I80" i="21"/>
  <c r="H81" i="21"/>
  <c r="I81" i="21"/>
  <c r="H82" i="21"/>
  <c r="I82" i="21"/>
  <c r="H83" i="21"/>
  <c r="I83" i="21"/>
  <c r="H84" i="21"/>
  <c r="I84" i="21"/>
  <c r="H85" i="21"/>
  <c r="I85" i="21"/>
  <c r="H86" i="21"/>
  <c r="I86" i="21"/>
  <c r="H87" i="21"/>
  <c r="I87" i="21"/>
  <c r="H88" i="21"/>
  <c r="I88" i="21"/>
  <c r="H89" i="21"/>
  <c r="I89" i="21"/>
  <c r="H90" i="21"/>
  <c r="I90" i="21"/>
  <c r="H91" i="21"/>
  <c r="I91" i="21"/>
  <c r="H92" i="21"/>
  <c r="I92" i="21"/>
  <c r="H93" i="21"/>
  <c r="I93" i="21"/>
  <c r="H94" i="21"/>
  <c r="I94" i="21"/>
  <c r="H95" i="21"/>
  <c r="I95" i="21"/>
  <c r="H96" i="21"/>
  <c r="I96" i="21"/>
  <c r="H97" i="21"/>
  <c r="I97" i="21"/>
  <c r="H98" i="21"/>
  <c r="I98" i="21"/>
  <c r="H99" i="21"/>
  <c r="I99" i="21"/>
  <c r="H100" i="21"/>
  <c r="I100" i="21"/>
  <c r="H101" i="21"/>
  <c r="I101" i="21"/>
  <c r="H102" i="21"/>
  <c r="I102" i="21"/>
  <c r="H103" i="21"/>
  <c r="I103" i="21"/>
  <c r="H104" i="21"/>
  <c r="I104" i="21"/>
  <c r="H105" i="21"/>
  <c r="I105" i="21"/>
  <c r="H106" i="21"/>
  <c r="I106" i="21"/>
  <c r="H107" i="21"/>
  <c r="I107" i="21"/>
  <c r="H108" i="21"/>
  <c r="I108" i="21"/>
  <c r="H109" i="21"/>
  <c r="I109" i="21"/>
  <c r="H110" i="21"/>
  <c r="I110" i="21"/>
  <c r="H111" i="21"/>
  <c r="I111" i="21"/>
  <c r="H112" i="21"/>
  <c r="I112" i="21"/>
  <c r="H113" i="21"/>
  <c r="I113" i="21"/>
  <c r="H114" i="21"/>
  <c r="I114" i="21"/>
  <c r="H115" i="21"/>
  <c r="I115" i="21"/>
  <c r="H116" i="21"/>
  <c r="I116" i="21"/>
  <c r="H117" i="21"/>
  <c r="I117" i="21"/>
  <c r="H118" i="21"/>
  <c r="I118" i="21"/>
  <c r="H119" i="21"/>
  <c r="I119" i="21"/>
  <c r="H120" i="21"/>
  <c r="I120" i="21"/>
  <c r="H121" i="21"/>
  <c r="I121" i="21"/>
  <c r="H122" i="21"/>
  <c r="I122" i="21"/>
  <c r="H123" i="21"/>
  <c r="I123" i="21"/>
  <c r="H124" i="21"/>
  <c r="I124" i="21"/>
  <c r="H125" i="21"/>
  <c r="I125" i="21"/>
  <c r="H126" i="21"/>
  <c r="I126" i="21"/>
  <c r="H127" i="21"/>
  <c r="I127" i="21"/>
  <c r="H128" i="21"/>
  <c r="I128" i="21"/>
  <c r="H129" i="21"/>
  <c r="I129" i="21"/>
  <c r="H130" i="21"/>
  <c r="I130" i="21"/>
  <c r="H131" i="21"/>
  <c r="I131" i="21"/>
  <c r="H132" i="21"/>
  <c r="I132" i="21"/>
  <c r="H133" i="21"/>
  <c r="I133" i="21"/>
  <c r="H134" i="21"/>
  <c r="I134" i="21"/>
  <c r="H135" i="21"/>
  <c r="I135" i="21"/>
  <c r="H136" i="21"/>
  <c r="I136" i="21"/>
  <c r="H137" i="21"/>
  <c r="I137" i="21"/>
  <c r="H138" i="21"/>
  <c r="I138" i="21"/>
  <c r="H139" i="21"/>
  <c r="I139" i="21"/>
  <c r="H140" i="21"/>
  <c r="I140" i="21"/>
  <c r="H141" i="21"/>
  <c r="I141" i="21"/>
  <c r="H142" i="21"/>
  <c r="I142" i="21"/>
  <c r="H143" i="21"/>
  <c r="I143" i="21"/>
  <c r="H144" i="21"/>
  <c r="I144" i="21"/>
  <c r="H145" i="21"/>
  <c r="I145" i="21"/>
  <c r="H146" i="21"/>
  <c r="I146" i="21"/>
  <c r="H147" i="21"/>
  <c r="I147" i="21"/>
  <c r="H148" i="21"/>
  <c r="I148" i="21"/>
  <c r="H149" i="21"/>
  <c r="I149" i="21"/>
  <c r="H150" i="21"/>
  <c r="I150" i="21"/>
  <c r="H151" i="21"/>
  <c r="I151" i="21"/>
  <c r="H152" i="21"/>
  <c r="I152" i="21"/>
  <c r="H153" i="21"/>
  <c r="I153" i="21"/>
  <c r="H154" i="21"/>
  <c r="I154" i="21"/>
  <c r="H155" i="21"/>
  <c r="I155" i="21"/>
  <c r="H156" i="21"/>
  <c r="I156" i="21"/>
  <c r="H157" i="21"/>
  <c r="I157" i="21"/>
  <c r="H158" i="21"/>
  <c r="I158" i="21"/>
  <c r="H159" i="21"/>
  <c r="I159" i="21"/>
  <c r="H160" i="21"/>
  <c r="I160" i="21"/>
  <c r="H161" i="21"/>
  <c r="I161" i="21"/>
  <c r="H162" i="21"/>
  <c r="I162" i="21"/>
  <c r="H163" i="21"/>
  <c r="I163" i="21"/>
  <c r="H164" i="21"/>
  <c r="I164" i="21"/>
  <c r="H165" i="21"/>
  <c r="I165" i="21"/>
  <c r="H166" i="21"/>
  <c r="I166" i="21"/>
  <c r="H167" i="21"/>
  <c r="I167" i="21"/>
  <c r="H168" i="21"/>
  <c r="I168" i="21"/>
  <c r="H169" i="21"/>
  <c r="I169" i="21"/>
  <c r="H170" i="21"/>
  <c r="I170" i="21"/>
  <c r="H171" i="21"/>
  <c r="I171" i="21"/>
  <c r="H172" i="21"/>
  <c r="I172" i="21"/>
  <c r="H173" i="21"/>
  <c r="I173" i="21"/>
  <c r="H174" i="21"/>
  <c r="I174" i="21"/>
  <c r="H175" i="21"/>
  <c r="I175" i="21"/>
  <c r="H176" i="21"/>
  <c r="I176" i="21"/>
  <c r="H177" i="21"/>
  <c r="I177" i="21"/>
  <c r="H178" i="21"/>
  <c r="I178" i="21"/>
  <c r="H179" i="21"/>
  <c r="I179" i="21"/>
  <c r="H180" i="21"/>
  <c r="I180" i="21"/>
  <c r="H181" i="21"/>
  <c r="I181" i="21"/>
  <c r="H182" i="21"/>
  <c r="I182" i="21"/>
  <c r="H183" i="21"/>
  <c r="I183" i="21"/>
  <c r="H184" i="21"/>
  <c r="I184" i="21"/>
  <c r="H185" i="21"/>
  <c r="I185" i="21"/>
  <c r="H186" i="21"/>
  <c r="I186" i="21"/>
  <c r="H187" i="21"/>
  <c r="I187" i="21"/>
  <c r="H188" i="21"/>
  <c r="I188" i="21"/>
  <c r="H189" i="21"/>
  <c r="I189" i="21"/>
  <c r="H190" i="21"/>
  <c r="I190" i="21"/>
  <c r="H191" i="21"/>
  <c r="I191" i="21"/>
  <c r="H192" i="21"/>
  <c r="I192" i="21"/>
  <c r="H193" i="21"/>
  <c r="I193" i="21"/>
  <c r="H194" i="21"/>
  <c r="I194" i="21"/>
  <c r="H195" i="21"/>
  <c r="I195" i="21"/>
  <c r="H196" i="21"/>
  <c r="I196" i="21"/>
  <c r="H197" i="21"/>
  <c r="I197" i="21"/>
  <c r="H198" i="21"/>
  <c r="I198" i="21"/>
  <c r="H199" i="21"/>
  <c r="I199" i="21"/>
  <c r="H200" i="21"/>
  <c r="I200" i="21"/>
  <c r="H201" i="21"/>
  <c r="I201" i="21"/>
  <c r="H202" i="21"/>
  <c r="I202" i="21"/>
  <c r="H203" i="21"/>
  <c r="I203" i="21"/>
  <c r="H204" i="21"/>
  <c r="I204" i="21"/>
  <c r="H205" i="21"/>
  <c r="I205" i="21"/>
  <c r="H206" i="21"/>
  <c r="I206" i="21"/>
  <c r="H207" i="21"/>
  <c r="I207" i="21"/>
  <c r="H208" i="21"/>
  <c r="I208" i="21"/>
  <c r="H209" i="21"/>
  <c r="I209" i="21"/>
  <c r="H210" i="21"/>
  <c r="I210" i="21"/>
  <c r="H211" i="21"/>
  <c r="I211" i="21"/>
  <c r="H212" i="21"/>
  <c r="I212" i="21"/>
  <c r="H213" i="21"/>
  <c r="I213" i="21"/>
  <c r="H214" i="21"/>
  <c r="I214" i="21"/>
  <c r="H215" i="21"/>
  <c r="I215" i="21"/>
  <c r="H216" i="21"/>
  <c r="I216" i="21"/>
  <c r="H217" i="21"/>
  <c r="I217" i="21"/>
  <c r="H218" i="21"/>
  <c r="I218" i="21"/>
  <c r="H219" i="21"/>
  <c r="I219" i="21"/>
  <c r="H220" i="21"/>
  <c r="I220" i="21"/>
  <c r="H221" i="21"/>
  <c r="I221" i="21"/>
  <c r="H222" i="21"/>
  <c r="I222" i="21"/>
  <c r="H223" i="21"/>
  <c r="I223" i="21"/>
  <c r="H224" i="21"/>
  <c r="I224" i="21"/>
  <c r="H225" i="21"/>
  <c r="I225" i="21"/>
  <c r="H226" i="21"/>
  <c r="I226" i="21"/>
  <c r="H227" i="21"/>
  <c r="I227" i="21"/>
  <c r="H228" i="21"/>
  <c r="I228" i="21"/>
  <c r="H229" i="21"/>
  <c r="I229" i="21"/>
  <c r="H230" i="21"/>
  <c r="I230" i="21"/>
  <c r="H231" i="21"/>
  <c r="I231" i="21"/>
  <c r="H232" i="21"/>
  <c r="I232" i="21"/>
  <c r="H233" i="21"/>
  <c r="I233" i="21"/>
  <c r="H234" i="21"/>
  <c r="I234" i="21"/>
  <c r="H235" i="21"/>
  <c r="I235" i="21"/>
  <c r="H236" i="21"/>
  <c r="I236" i="21"/>
  <c r="H237" i="21"/>
  <c r="I237" i="21"/>
  <c r="H238" i="21"/>
  <c r="I238" i="21"/>
  <c r="H239" i="21"/>
  <c r="I239" i="21"/>
  <c r="H240" i="21"/>
  <c r="I240" i="21"/>
  <c r="H241" i="21"/>
  <c r="I241" i="21"/>
  <c r="H242" i="21"/>
  <c r="I242" i="21"/>
  <c r="H243" i="21"/>
  <c r="I243" i="21"/>
  <c r="H244" i="21"/>
  <c r="I244" i="21"/>
  <c r="H245" i="21"/>
  <c r="I245" i="21"/>
  <c r="H246" i="21"/>
  <c r="I246" i="21"/>
  <c r="H247" i="21"/>
  <c r="I247" i="21"/>
  <c r="H248" i="21"/>
  <c r="I248" i="21"/>
  <c r="H11" i="21"/>
  <c r="I11" i="21"/>
  <c r="H12" i="21"/>
  <c r="I12" i="21"/>
  <c r="H13" i="21"/>
  <c r="I13" i="21"/>
  <c r="H14" i="21"/>
  <c r="I14" i="21"/>
  <c r="H15" i="21"/>
  <c r="I15" i="21"/>
  <c r="H16" i="21"/>
  <c r="I16" i="21"/>
  <c r="H17" i="21"/>
  <c r="I17" i="21"/>
  <c r="H18" i="21"/>
  <c r="I18" i="21"/>
  <c r="H19" i="21"/>
  <c r="I19" i="21"/>
  <c r="H20" i="21"/>
  <c r="I20" i="21"/>
  <c r="H21" i="21"/>
  <c r="I21" i="21"/>
  <c r="I10" i="21"/>
  <c r="H10" i="21"/>
  <c r="K298" i="21"/>
  <c r="K299" i="21"/>
  <c r="K300" i="21"/>
  <c r="Z261" i="21"/>
  <c r="Z262" i="21"/>
  <c r="Z263" i="21"/>
  <c r="Z264" i="21"/>
  <c r="Z265" i="21"/>
  <c r="Z266" i="21"/>
  <c r="Z267" i="21"/>
  <c r="Z268" i="21"/>
  <c r="Z269" i="21"/>
  <c r="Z260" i="21"/>
  <c r="I300" i="22"/>
  <c r="I301" i="22"/>
  <c r="I302" i="22"/>
  <c r="I303" i="22"/>
  <c r="I304" i="22"/>
  <c r="I305" i="22"/>
  <c r="I306" i="22"/>
  <c r="I307" i="22"/>
  <c r="I308" i="22"/>
  <c r="I309" i="22"/>
  <c r="I310" i="22"/>
  <c r="I311" i="22"/>
  <c r="I312" i="22"/>
  <c r="I313" i="22"/>
  <c r="I314" i="22"/>
  <c r="I315" i="22"/>
  <c r="I316" i="22"/>
  <c r="I317" i="22"/>
  <c r="I318" i="22"/>
  <c r="I319" i="22"/>
  <c r="I328" i="22"/>
  <c r="I321" i="22"/>
  <c r="I322" i="22"/>
  <c r="I323" i="22"/>
  <c r="I324" i="22"/>
  <c r="I325" i="22"/>
  <c r="I326" i="22"/>
  <c r="I327" i="22"/>
  <c r="I320" i="22"/>
  <c r="H300" i="22"/>
  <c r="H301" i="22"/>
  <c r="H302" i="22"/>
  <c r="H303" i="22"/>
  <c r="H304" i="22"/>
  <c r="H305" i="22"/>
  <c r="H306" i="22"/>
  <c r="H307" i="22"/>
  <c r="H308" i="22"/>
  <c r="H309" i="22"/>
  <c r="H310" i="22"/>
  <c r="H311" i="22"/>
  <c r="H312" i="22"/>
  <c r="H313" i="22"/>
  <c r="H314" i="22"/>
  <c r="H315" i="22"/>
  <c r="H316" i="22"/>
  <c r="H317" i="22"/>
  <c r="H318" i="22"/>
  <c r="H319" i="22"/>
  <c r="H328" i="22"/>
  <c r="H321" i="22"/>
  <c r="H322" i="22"/>
  <c r="H323" i="22"/>
  <c r="H324" i="22"/>
  <c r="H325" i="22"/>
  <c r="H326" i="22"/>
  <c r="H327" i="22"/>
  <c r="H320"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8" i="22"/>
  <c r="E327" i="22"/>
  <c r="E321" i="22"/>
  <c r="E322" i="22"/>
  <c r="E323" i="22"/>
  <c r="E324" i="22"/>
  <c r="E325" i="22"/>
  <c r="E326" i="22"/>
  <c r="E320"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8" i="22"/>
  <c r="J11" i="44"/>
  <c r="K11" i="44"/>
  <c r="J12" i="44"/>
  <c r="K12" i="44"/>
  <c r="J13" i="44"/>
  <c r="K13" i="44"/>
  <c r="J14" i="44"/>
  <c r="K14" i="44"/>
  <c r="J15" i="44"/>
  <c r="K15" i="44"/>
  <c r="J16" i="44"/>
  <c r="K16" i="44"/>
  <c r="J17" i="44"/>
  <c r="K17" i="44"/>
  <c r="J18" i="44"/>
  <c r="K18" i="44"/>
  <c r="J19" i="44"/>
  <c r="K19" i="44"/>
  <c r="J20" i="44"/>
  <c r="K20" i="44"/>
  <c r="J21" i="44"/>
  <c r="K21" i="44"/>
  <c r="J22" i="44"/>
  <c r="K22" i="44"/>
  <c r="J23" i="44"/>
  <c r="K23" i="44"/>
  <c r="J24" i="44"/>
  <c r="K24" i="44"/>
  <c r="J25" i="44"/>
  <c r="K25" i="44"/>
  <c r="J26" i="44"/>
  <c r="K26" i="44"/>
  <c r="J27" i="44"/>
  <c r="K27" i="44"/>
  <c r="J28" i="44"/>
  <c r="K28" i="44"/>
  <c r="J29" i="44"/>
  <c r="K29" i="44"/>
  <c r="J30" i="44"/>
  <c r="K30" i="44"/>
  <c r="J31" i="44"/>
  <c r="K31" i="44"/>
  <c r="J32" i="44"/>
  <c r="K32" i="44"/>
  <c r="J33" i="44"/>
  <c r="K33" i="44"/>
  <c r="J34" i="44"/>
  <c r="K34" i="44"/>
  <c r="J35" i="44"/>
  <c r="K35" i="44"/>
  <c r="J36" i="44"/>
  <c r="K36" i="44"/>
  <c r="J37" i="44"/>
  <c r="K37" i="44"/>
  <c r="J38" i="44"/>
  <c r="K38" i="44"/>
  <c r="J39" i="44"/>
  <c r="K39" i="44"/>
  <c r="J40" i="44"/>
  <c r="K40" i="44"/>
  <c r="J41" i="44"/>
  <c r="K41" i="44"/>
  <c r="J42" i="44"/>
  <c r="K42" i="44"/>
  <c r="J43" i="44"/>
  <c r="K43" i="44"/>
  <c r="J44" i="44"/>
  <c r="K44" i="44"/>
  <c r="J45" i="44"/>
  <c r="K45" i="44"/>
  <c r="J46" i="44"/>
  <c r="K46" i="44"/>
  <c r="J47" i="44"/>
  <c r="K47" i="44"/>
  <c r="J48" i="44"/>
  <c r="K48" i="44"/>
  <c r="J49" i="44"/>
  <c r="K49" i="44"/>
  <c r="J50" i="44"/>
  <c r="K50" i="44"/>
  <c r="J51" i="44"/>
  <c r="K51" i="44"/>
  <c r="J52" i="44"/>
  <c r="K52" i="44"/>
  <c r="J53" i="44"/>
  <c r="K53" i="44"/>
  <c r="J54" i="44"/>
  <c r="K54" i="44"/>
  <c r="J55" i="44"/>
  <c r="K55" i="44"/>
  <c r="J56" i="44"/>
  <c r="K56" i="44"/>
  <c r="J57" i="44"/>
  <c r="K57" i="44"/>
  <c r="J58" i="44"/>
  <c r="K58" i="44"/>
  <c r="J59" i="44"/>
  <c r="K59" i="44"/>
  <c r="J60" i="44"/>
  <c r="K60" i="44"/>
  <c r="J61" i="44"/>
  <c r="K61" i="44"/>
  <c r="J62" i="44"/>
  <c r="K62" i="44"/>
  <c r="J63" i="44"/>
  <c r="K63" i="44"/>
  <c r="J64" i="44"/>
  <c r="K64" i="44"/>
  <c r="J65" i="44"/>
  <c r="K65" i="44"/>
  <c r="J66" i="44"/>
  <c r="K66" i="44"/>
  <c r="J67" i="44"/>
  <c r="K67" i="44"/>
  <c r="J68" i="44"/>
  <c r="K68" i="44"/>
  <c r="J69" i="44"/>
  <c r="K69" i="44"/>
  <c r="J70" i="44"/>
  <c r="K70" i="44"/>
  <c r="J71" i="44"/>
  <c r="K71" i="44"/>
  <c r="J72" i="44"/>
  <c r="K72" i="44"/>
  <c r="J73" i="44"/>
  <c r="K73" i="44"/>
  <c r="J74" i="44"/>
  <c r="K74" i="44"/>
  <c r="J75" i="44"/>
  <c r="K75" i="44"/>
  <c r="J76" i="44"/>
  <c r="K76" i="44"/>
  <c r="J77" i="44"/>
  <c r="K77" i="44"/>
  <c r="J78" i="44"/>
  <c r="K78" i="44"/>
  <c r="J79" i="44"/>
  <c r="K79" i="44"/>
  <c r="J80" i="44"/>
  <c r="K80" i="44"/>
  <c r="J81" i="44"/>
  <c r="K81" i="44"/>
  <c r="J82" i="44"/>
  <c r="K82" i="44"/>
  <c r="J83" i="44"/>
  <c r="K83" i="44"/>
  <c r="J84" i="44"/>
  <c r="K84" i="44"/>
  <c r="J85" i="44"/>
  <c r="K85" i="44"/>
  <c r="J86" i="44"/>
  <c r="K86" i="44"/>
  <c r="J87" i="44"/>
  <c r="K87" i="44"/>
  <c r="J88" i="44"/>
  <c r="K88" i="44"/>
  <c r="J89" i="44"/>
  <c r="K89" i="44"/>
  <c r="J90" i="44"/>
  <c r="K90" i="44"/>
  <c r="J91" i="44"/>
  <c r="K91" i="44"/>
  <c r="J92" i="44"/>
  <c r="K92" i="44"/>
  <c r="J93" i="44"/>
  <c r="K93" i="44"/>
  <c r="J94" i="44"/>
  <c r="K94" i="44"/>
  <c r="J95" i="44"/>
  <c r="K95" i="44"/>
  <c r="J96" i="44"/>
  <c r="K96" i="44"/>
  <c r="J97" i="44"/>
  <c r="K97" i="44"/>
  <c r="J98" i="44"/>
  <c r="K98" i="44"/>
  <c r="J99" i="44"/>
  <c r="K99" i="44"/>
  <c r="J100" i="44"/>
  <c r="K100" i="44"/>
  <c r="J101" i="44"/>
  <c r="K101" i="44"/>
  <c r="J102" i="44"/>
  <c r="K102" i="44"/>
  <c r="J103" i="44"/>
  <c r="K103" i="44"/>
  <c r="J104" i="44"/>
  <c r="K104" i="44"/>
  <c r="J105" i="44"/>
  <c r="K105" i="44"/>
  <c r="J106" i="44"/>
  <c r="K106" i="44"/>
  <c r="J107" i="44"/>
  <c r="K107" i="44"/>
  <c r="J108" i="44"/>
  <c r="K108" i="44"/>
  <c r="J109" i="44"/>
  <c r="K109" i="44"/>
  <c r="J110" i="44"/>
  <c r="K110" i="44"/>
  <c r="J111" i="44"/>
  <c r="K111" i="44"/>
  <c r="J112" i="44"/>
  <c r="K112" i="44"/>
  <c r="J113" i="44"/>
  <c r="K113" i="44"/>
  <c r="J114" i="44"/>
  <c r="K114" i="44"/>
  <c r="J115" i="44"/>
  <c r="K115" i="44"/>
  <c r="J116" i="44"/>
  <c r="K116" i="44"/>
  <c r="J117" i="44"/>
  <c r="K117" i="44"/>
  <c r="J118" i="44"/>
  <c r="K118" i="44"/>
  <c r="J119" i="44"/>
  <c r="K119" i="44"/>
  <c r="J120" i="44"/>
  <c r="K120" i="44"/>
  <c r="J121" i="44"/>
  <c r="K121" i="44"/>
  <c r="J122" i="44"/>
  <c r="K122" i="44"/>
  <c r="J123" i="44"/>
  <c r="K123" i="44"/>
  <c r="J124" i="44"/>
  <c r="K124" i="44"/>
  <c r="J125" i="44"/>
  <c r="K125" i="44"/>
  <c r="J126" i="44"/>
  <c r="K126" i="44"/>
  <c r="J127" i="44"/>
  <c r="K127" i="44"/>
  <c r="J128" i="44"/>
  <c r="K128" i="44"/>
  <c r="J129" i="44"/>
  <c r="K129" i="44"/>
  <c r="J130" i="44"/>
  <c r="K130" i="44"/>
  <c r="J131" i="44"/>
  <c r="K131" i="44"/>
  <c r="J132" i="44"/>
  <c r="K132" i="44"/>
  <c r="J133" i="44"/>
  <c r="K133" i="44"/>
  <c r="J134" i="44"/>
  <c r="K134" i="44"/>
  <c r="J135" i="44"/>
  <c r="K135" i="44"/>
  <c r="J136" i="44"/>
  <c r="K136" i="44"/>
  <c r="J137" i="44"/>
  <c r="K137" i="44"/>
  <c r="J138" i="44"/>
  <c r="K138" i="44"/>
  <c r="J139" i="44"/>
  <c r="K139" i="44"/>
  <c r="J140" i="44"/>
  <c r="K140" i="44"/>
  <c r="J141" i="44"/>
  <c r="K141" i="44"/>
  <c r="J142" i="44"/>
  <c r="K142" i="44"/>
  <c r="J143" i="44"/>
  <c r="K143" i="44"/>
  <c r="J144" i="44"/>
  <c r="K144" i="44"/>
  <c r="J145" i="44"/>
  <c r="K145" i="44"/>
  <c r="J146" i="44"/>
  <c r="K146" i="44"/>
  <c r="J147" i="44"/>
  <c r="K147" i="44"/>
  <c r="J148" i="44"/>
  <c r="K148" i="44"/>
  <c r="J149" i="44"/>
  <c r="K149" i="44"/>
  <c r="J150" i="44"/>
  <c r="K150" i="44"/>
  <c r="J151" i="44"/>
  <c r="K151" i="44"/>
  <c r="J152" i="44"/>
  <c r="K152" i="44"/>
  <c r="J153" i="44"/>
  <c r="K153" i="44"/>
  <c r="J154" i="44"/>
  <c r="K154" i="44"/>
  <c r="J155" i="44"/>
  <c r="K155" i="44"/>
  <c r="J156" i="44"/>
  <c r="K156" i="44"/>
  <c r="J157" i="44"/>
  <c r="K157" i="44"/>
  <c r="J158" i="44"/>
  <c r="K158" i="44"/>
  <c r="J159" i="44"/>
  <c r="K159" i="44"/>
  <c r="J160" i="44"/>
  <c r="K160" i="44"/>
  <c r="J161" i="44"/>
  <c r="K161" i="44"/>
  <c r="J162" i="44"/>
  <c r="K162" i="44"/>
  <c r="J163" i="44"/>
  <c r="K163" i="44"/>
  <c r="J164" i="44"/>
  <c r="K164" i="44"/>
  <c r="J165" i="44"/>
  <c r="K165" i="44"/>
  <c r="J166" i="44"/>
  <c r="K166" i="44"/>
  <c r="J167" i="44"/>
  <c r="K167" i="44"/>
  <c r="J168" i="44"/>
  <c r="K168" i="44"/>
  <c r="J169" i="44"/>
  <c r="K169" i="44"/>
  <c r="J170" i="44"/>
  <c r="K170" i="44"/>
  <c r="J171" i="44"/>
  <c r="K171" i="44"/>
  <c r="J172" i="44"/>
  <c r="K172" i="44"/>
  <c r="J173" i="44"/>
  <c r="K173" i="44"/>
  <c r="J174" i="44"/>
  <c r="K174" i="44"/>
  <c r="J175" i="44"/>
  <c r="K175" i="44"/>
  <c r="J176" i="44"/>
  <c r="K176" i="44"/>
  <c r="J177" i="44"/>
  <c r="K177" i="44"/>
  <c r="J178" i="44"/>
  <c r="K178" i="44"/>
  <c r="J179" i="44"/>
  <c r="K179" i="44"/>
  <c r="J180" i="44"/>
  <c r="K180" i="44"/>
  <c r="J181" i="44"/>
  <c r="K181" i="44"/>
  <c r="J182" i="44"/>
  <c r="K182" i="44"/>
  <c r="J183" i="44"/>
  <c r="K183" i="44"/>
  <c r="J184" i="44"/>
  <c r="K184" i="44"/>
  <c r="J185" i="44"/>
  <c r="K185" i="44"/>
  <c r="J186" i="44"/>
  <c r="K186" i="44"/>
  <c r="J187" i="44"/>
  <c r="K187" i="44"/>
  <c r="J188" i="44"/>
  <c r="K188" i="44"/>
  <c r="J189" i="44"/>
  <c r="K189" i="44"/>
  <c r="J190" i="44"/>
  <c r="K190" i="44"/>
  <c r="J191" i="44"/>
  <c r="K191" i="44"/>
  <c r="J192" i="44"/>
  <c r="K192" i="44"/>
  <c r="J193" i="44"/>
  <c r="K193" i="44"/>
  <c r="J194" i="44"/>
  <c r="K194" i="44"/>
  <c r="J195" i="44"/>
  <c r="K195" i="44"/>
  <c r="J196" i="44"/>
  <c r="K196" i="44"/>
  <c r="J197" i="44"/>
  <c r="K197" i="44"/>
  <c r="J198" i="44"/>
  <c r="K198" i="44"/>
  <c r="J199" i="44"/>
  <c r="K199" i="44"/>
  <c r="J200" i="44"/>
  <c r="K200" i="44"/>
  <c r="J201" i="44"/>
  <c r="K201" i="44"/>
  <c r="J202" i="44"/>
  <c r="K202" i="44"/>
  <c r="J203" i="44"/>
  <c r="K203" i="44"/>
  <c r="J204" i="44"/>
  <c r="K204" i="44"/>
  <c r="J205" i="44"/>
  <c r="K205" i="44"/>
  <c r="J206" i="44"/>
  <c r="K206" i="44"/>
  <c r="J207" i="44"/>
  <c r="K207" i="44"/>
  <c r="J208" i="44"/>
  <c r="K208" i="44"/>
  <c r="J209" i="44"/>
  <c r="K209" i="44"/>
  <c r="J210" i="44"/>
  <c r="K210" i="44"/>
  <c r="J211" i="44"/>
  <c r="K211" i="44"/>
  <c r="J212" i="44"/>
  <c r="K212" i="44"/>
  <c r="J213" i="44"/>
  <c r="K213" i="44"/>
  <c r="J214" i="44"/>
  <c r="K214" i="44"/>
  <c r="J215" i="44"/>
  <c r="K215" i="44"/>
  <c r="J216" i="44"/>
  <c r="K216" i="44"/>
  <c r="J217" i="44"/>
  <c r="K217" i="44"/>
  <c r="J218" i="44"/>
  <c r="K218" i="44"/>
  <c r="J219" i="44"/>
  <c r="K219" i="44"/>
  <c r="J220" i="44"/>
  <c r="K220" i="44"/>
  <c r="J221" i="44"/>
  <c r="K221" i="44"/>
  <c r="J222" i="44"/>
  <c r="K222" i="44"/>
  <c r="J223" i="44"/>
  <c r="K223" i="44"/>
  <c r="J224" i="44"/>
  <c r="K224" i="44"/>
  <c r="J225" i="44"/>
  <c r="K225" i="44"/>
  <c r="J226" i="44"/>
  <c r="K226" i="44"/>
  <c r="J227" i="44"/>
  <c r="K227" i="44"/>
  <c r="J228" i="44"/>
  <c r="K228" i="44"/>
  <c r="J229" i="44"/>
  <c r="K229" i="44"/>
  <c r="J230" i="44"/>
  <c r="K230" i="44"/>
  <c r="J231" i="44"/>
  <c r="K231" i="44"/>
  <c r="J232" i="44"/>
  <c r="K232" i="44"/>
  <c r="J233" i="44"/>
  <c r="K233" i="44"/>
  <c r="J234" i="44"/>
  <c r="K234" i="44"/>
  <c r="J235" i="44"/>
  <c r="K235" i="44"/>
  <c r="J236" i="44"/>
  <c r="K236" i="44"/>
  <c r="J237" i="44"/>
  <c r="K237" i="44"/>
  <c r="J238" i="44"/>
  <c r="K238" i="44"/>
  <c r="J239" i="44"/>
  <c r="K239" i="44"/>
  <c r="J240" i="44"/>
  <c r="K240" i="44"/>
  <c r="J241" i="44"/>
  <c r="K241" i="44"/>
  <c r="J242" i="44"/>
  <c r="K242" i="44"/>
  <c r="J243" i="44"/>
  <c r="K243" i="44"/>
  <c r="J244" i="44"/>
  <c r="K244" i="44"/>
  <c r="J245" i="44"/>
  <c r="K245" i="44"/>
  <c r="J246" i="44"/>
  <c r="K246" i="44"/>
  <c r="J247" i="44"/>
  <c r="K247" i="44"/>
  <c r="J248" i="44"/>
  <c r="K248" i="44"/>
  <c r="J249" i="44"/>
  <c r="K249" i="44"/>
  <c r="J250" i="44"/>
  <c r="K250" i="44"/>
  <c r="J251" i="44"/>
  <c r="K251" i="44"/>
  <c r="J252" i="44"/>
  <c r="K252" i="44"/>
  <c r="J253" i="44"/>
  <c r="K253" i="44"/>
  <c r="J254" i="44"/>
  <c r="K254" i="44"/>
  <c r="J255" i="44"/>
  <c r="K255" i="44"/>
  <c r="J256" i="44"/>
  <c r="K256" i="44"/>
  <c r="J257" i="44"/>
  <c r="K257" i="44"/>
  <c r="J258" i="44"/>
  <c r="K258" i="44"/>
  <c r="J259" i="44"/>
  <c r="K259" i="44"/>
  <c r="J260" i="44"/>
  <c r="K260" i="44"/>
  <c r="J261" i="44"/>
  <c r="K261" i="44"/>
  <c r="J262" i="44"/>
  <c r="K262" i="44"/>
  <c r="J263" i="44"/>
  <c r="K263" i="44"/>
  <c r="J264" i="44"/>
  <c r="K264" i="44"/>
  <c r="J265" i="44"/>
  <c r="K265" i="44"/>
  <c r="J266" i="44"/>
  <c r="K266" i="44"/>
  <c r="J267" i="44"/>
  <c r="K267" i="44"/>
  <c r="J268" i="44"/>
  <c r="K268" i="44"/>
  <c r="J269" i="44"/>
  <c r="K269" i="44"/>
  <c r="J270" i="44"/>
  <c r="K270" i="44"/>
  <c r="J271" i="44"/>
  <c r="K271" i="44"/>
  <c r="J272" i="44"/>
  <c r="K272" i="44"/>
  <c r="J273" i="44"/>
  <c r="K273" i="44"/>
  <c r="J274" i="44"/>
  <c r="K274" i="44"/>
  <c r="J275" i="44"/>
  <c r="K275" i="44"/>
  <c r="J276" i="44"/>
  <c r="K276" i="44"/>
  <c r="J277" i="44"/>
  <c r="K277" i="44"/>
  <c r="J278" i="44"/>
  <c r="K278" i="44"/>
  <c r="J279" i="44"/>
  <c r="K279" i="44"/>
  <c r="J280" i="44"/>
  <c r="K280" i="44"/>
  <c r="J281" i="44"/>
  <c r="K281" i="44"/>
  <c r="J282" i="44"/>
  <c r="K282" i="44"/>
  <c r="J283" i="44"/>
  <c r="K283" i="44"/>
  <c r="J284" i="44"/>
  <c r="K284" i="44"/>
  <c r="J285" i="44"/>
  <c r="K285" i="44"/>
  <c r="J286" i="44"/>
  <c r="K286" i="44"/>
  <c r="J287" i="44"/>
  <c r="K287" i="44"/>
  <c r="J288" i="44"/>
  <c r="K288" i="44"/>
  <c r="J289" i="44"/>
  <c r="K289" i="44"/>
  <c r="J290" i="44"/>
  <c r="K290" i="44"/>
  <c r="J291" i="44"/>
  <c r="K291" i="44"/>
  <c r="J292" i="44"/>
  <c r="K292" i="44"/>
  <c r="J293" i="44"/>
  <c r="K293" i="44"/>
  <c r="J294" i="44"/>
  <c r="K294" i="44"/>
  <c r="J295" i="44"/>
  <c r="K295" i="44"/>
  <c r="J296" i="44"/>
  <c r="K296" i="44"/>
  <c r="J297" i="44"/>
  <c r="K297" i="44"/>
  <c r="J298" i="44"/>
  <c r="K298" i="44"/>
  <c r="J299" i="44"/>
  <c r="K299" i="44"/>
  <c r="J300" i="44"/>
  <c r="K300" i="44"/>
  <c r="J301" i="44"/>
  <c r="K301" i="44"/>
  <c r="J302" i="44"/>
  <c r="K302" i="44"/>
  <c r="J303" i="44"/>
  <c r="K303" i="44"/>
  <c r="J304" i="44"/>
  <c r="K304" i="44"/>
  <c r="J305" i="44"/>
  <c r="K305" i="44"/>
  <c r="J306" i="44"/>
  <c r="K306" i="44"/>
  <c r="J307" i="44"/>
  <c r="K307" i="44"/>
  <c r="J308" i="44"/>
  <c r="K308" i="44"/>
  <c r="J309" i="44"/>
  <c r="K309" i="44"/>
  <c r="J310" i="44"/>
  <c r="K310" i="44"/>
  <c r="J311" i="44"/>
  <c r="K311" i="44"/>
  <c r="J312" i="44"/>
  <c r="K312" i="44"/>
  <c r="J313" i="44"/>
  <c r="K313" i="44"/>
  <c r="J314" i="44"/>
  <c r="K314" i="44"/>
  <c r="J315" i="44"/>
  <c r="K315" i="44"/>
  <c r="J316" i="44"/>
  <c r="K316" i="44"/>
  <c r="J317" i="44"/>
  <c r="K317" i="44"/>
  <c r="J318" i="44"/>
  <c r="K318" i="44"/>
  <c r="J319" i="44"/>
  <c r="K319" i="44"/>
  <c r="J320" i="44"/>
  <c r="K320" i="44"/>
  <c r="J321" i="44"/>
  <c r="K321" i="44"/>
  <c r="J322" i="44"/>
  <c r="K322" i="44"/>
  <c r="J323" i="44"/>
  <c r="K323" i="44"/>
  <c r="J324" i="44"/>
  <c r="K324" i="44"/>
  <c r="J325" i="44"/>
  <c r="K325" i="44"/>
  <c r="J326" i="44"/>
  <c r="K326" i="44"/>
  <c r="J327" i="44"/>
  <c r="K327" i="44"/>
  <c r="J328" i="44"/>
  <c r="K328" i="44"/>
  <c r="J329" i="44"/>
  <c r="K329" i="44"/>
  <c r="J330" i="44"/>
  <c r="K330" i="44"/>
  <c r="J10" i="44"/>
  <c r="K10" i="44"/>
  <c r="J328" i="22"/>
  <c r="J56" i="18"/>
  <c r="F276" i="22"/>
  <c r="J57" i="18"/>
  <c r="F277" i="22"/>
  <c r="J58" i="18"/>
  <c r="F278" i="22"/>
  <c r="J59" i="18"/>
  <c r="F279" i="22"/>
  <c r="J60" i="18"/>
  <c r="F280" i="22"/>
  <c r="J61" i="18"/>
  <c r="F281" i="22"/>
  <c r="J62" i="18"/>
  <c r="F282" i="22"/>
  <c r="J63" i="18"/>
  <c r="F283" i="22"/>
  <c r="J64" i="18"/>
  <c r="F284" i="22"/>
  <c r="J65" i="18"/>
  <c r="F285" i="22"/>
  <c r="J66" i="18"/>
  <c r="F286" i="22"/>
  <c r="J67" i="18"/>
  <c r="F287" i="22"/>
  <c r="J68" i="18"/>
  <c r="F288" i="22"/>
  <c r="J69" i="18"/>
  <c r="F289" i="22"/>
  <c r="J70" i="18"/>
  <c r="F290" i="22"/>
  <c r="J71" i="18"/>
  <c r="F291" i="22"/>
  <c r="J72" i="18"/>
  <c r="F292" i="22"/>
  <c r="J73" i="18"/>
  <c r="F293" i="22"/>
  <c r="J74" i="18"/>
  <c r="F294" i="22"/>
  <c r="J75" i="18"/>
  <c r="F295" i="22"/>
  <c r="J76" i="18"/>
  <c r="F296" i="22"/>
  <c r="J77" i="18"/>
  <c r="F297" i="22"/>
  <c r="J78" i="18"/>
  <c r="F298" i="22"/>
  <c r="J79" i="18"/>
  <c r="F299" i="22"/>
  <c r="T10" i="29"/>
  <c r="U10" i="29"/>
  <c r="T11" i="29"/>
  <c r="U11" i="29"/>
  <c r="T12" i="29"/>
  <c r="U12" i="29"/>
  <c r="T13" i="29"/>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T51" i="29"/>
  <c r="U51" i="29"/>
  <c r="T52" i="29"/>
  <c r="U52" i="29"/>
  <c r="T53" i="29"/>
  <c r="U53" i="29"/>
  <c r="T54" i="29"/>
  <c r="U54" i="29"/>
  <c r="T55" i="29"/>
  <c r="U55" i="29"/>
  <c r="T56" i="29"/>
  <c r="U56" i="29"/>
  <c r="T57" i="29"/>
  <c r="U57" i="29"/>
  <c r="T58" i="29"/>
  <c r="U58" i="29"/>
  <c r="T59" i="29"/>
  <c r="U59" i="29"/>
  <c r="T60" i="29"/>
  <c r="U60" i="29"/>
  <c r="T61" i="29"/>
  <c r="U61" i="29"/>
  <c r="T62" i="29"/>
  <c r="U62" i="29"/>
  <c r="T63" i="29"/>
  <c r="U63" i="29"/>
  <c r="T64" i="29"/>
  <c r="U64" i="29"/>
  <c r="T65" i="29"/>
  <c r="U65" i="29"/>
  <c r="T66" i="29"/>
  <c r="U66" i="29"/>
  <c r="T67" i="29"/>
  <c r="U67" i="29"/>
  <c r="T68" i="29"/>
  <c r="U68" i="29"/>
  <c r="T69" i="29"/>
  <c r="U69" i="29"/>
  <c r="T70" i="29"/>
  <c r="U70" i="29"/>
  <c r="T71" i="29"/>
  <c r="U71" i="29"/>
  <c r="T72" i="29"/>
  <c r="U72" i="29"/>
  <c r="T73" i="29"/>
  <c r="U73" i="29"/>
  <c r="T74" i="29"/>
  <c r="U74" i="29"/>
  <c r="T75" i="29"/>
  <c r="U75" i="29"/>
  <c r="T76" i="29"/>
  <c r="U76" i="29"/>
  <c r="T77" i="29"/>
  <c r="U77" i="29"/>
  <c r="T78" i="29"/>
  <c r="U78" i="29"/>
  <c r="T79" i="29"/>
  <c r="U79" i="29"/>
  <c r="T80" i="29"/>
  <c r="U80" i="29"/>
  <c r="T81" i="29"/>
  <c r="U81" i="29"/>
  <c r="T82" i="29"/>
  <c r="U82" i="29"/>
  <c r="T83" i="29"/>
  <c r="U83" i="29"/>
  <c r="T84" i="29"/>
  <c r="U84" i="29"/>
  <c r="T85" i="29"/>
  <c r="U85" i="29"/>
  <c r="T86" i="29"/>
  <c r="U86" i="29"/>
  <c r="T87" i="29"/>
  <c r="U87" i="29"/>
  <c r="T88" i="29"/>
  <c r="U88" i="29"/>
  <c r="T89" i="29"/>
  <c r="U89" i="29"/>
  <c r="T90" i="29"/>
  <c r="U90" i="29"/>
  <c r="T91" i="29"/>
  <c r="U91" i="29"/>
  <c r="T92" i="29"/>
  <c r="U92" i="29"/>
  <c r="T93" i="29"/>
  <c r="U93" i="29"/>
  <c r="T94" i="29"/>
  <c r="U94" i="29"/>
  <c r="T95" i="29"/>
  <c r="U95" i="29"/>
  <c r="T96" i="29"/>
  <c r="U96" i="29"/>
  <c r="T97" i="29"/>
  <c r="U97" i="29"/>
  <c r="T98" i="29"/>
  <c r="U98" i="29"/>
  <c r="T99" i="29"/>
  <c r="U99" i="29"/>
  <c r="T100" i="29"/>
  <c r="U100" i="29"/>
  <c r="T101" i="29"/>
  <c r="U101" i="29"/>
  <c r="T102" i="29"/>
  <c r="U102" i="29"/>
  <c r="T103" i="29"/>
  <c r="U103" i="29"/>
  <c r="T104" i="29"/>
  <c r="U104" i="29"/>
  <c r="T105" i="29"/>
  <c r="U105" i="29"/>
  <c r="T106" i="29"/>
  <c r="U106" i="29"/>
  <c r="T107" i="29"/>
  <c r="U107" i="29"/>
  <c r="T108" i="29"/>
  <c r="U108" i="29"/>
  <c r="T109" i="29"/>
  <c r="U109" i="29"/>
  <c r="T110" i="29"/>
  <c r="U110" i="29"/>
  <c r="T111" i="29"/>
  <c r="U111" i="29"/>
  <c r="T112" i="29"/>
  <c r="U112" i="29"/>
  <c r="T113" i="29"/>
  <c r="U113" i="29"/>
  <c r="T114" i="29"/>
  <c r="U114" i="29"/>
  <c r="T115" i="29"/>
  <c r="U115" i="29"/>
  <c r="T116" i="29"/>
  <c r="U116" i="29"/>
  <c r="T117" i="29"/>
  <c r="U117" i="29"/>
  <c r="T118" i="29"/>
  <c r="U118" i="29"/>
  <c r="T119" i="29"/>
  <c r="U119" i="29"/>
  <c r="T120" i="29"/>
  <c r="U120" i="29"/>
  <c r="T121" i="29"/>
  <c r="U121" i="29"/>
  <c r="T122" i="29"/>
  <c r="U122" i="29"/>
  <c r="T123" i="29"/>
  <c r="U123" i="29"/>
  <c r="T124" i="29"/>
  <c r="U124" i="29"/>
  <c r="T125" i="29"/>
  <c r="U125" i="29"/>
  <c r="T126" i="29"/>
  <c r="U126" i="29"/>
  <c r="T127" i="29"/>
  <c r="U127" i="29"/>
  <c r="T128" i="29"/>
  <c r="U128" i="29"/>
  <c r="T129" i="29"/>
  <c r="U129" i="29"/>
  <c r="T130" i="29"/>
  <c r="U130" i="29"/>
  <c r="T131" i="29"/>
  <c r="U131" i="29"/>
  <c r="T132" i="29"/>
  <c r="U132" i="29"/>
  <c r="W132" i="29"/>
  <c r="T133" i="29"/>
  <c r="U133" i="29"/>
  <c r="W133" i="29"/>
  <c r="T134" i="29"/>
  <c r="U134" i="29"/>
  <c r="W134" i="29"/>
  <c r="T135" i="29"/>
  <c r="U135" i="29"/>
  <c r="W135" i="29"/>
  <c r="T136" i="29"/>
  <c r="U136" i="29"/>
  <c r="W136" i="29"/>
  <c r="T137" i="29"/>
  <c r="U137" i="29"/>
  <c r="W137" i="29"/>
  <c r="T138" i="29"/>
  <c r="U138" i="29"/>
  <c r="W138" i="29"/>
  <c r="T139" i="29"/>
  <c r="U139" i="29"/>
  <c r="W139" i="29"/>
  <c r="T140" i="29"/>
  <c r="U140" i="29"/>
  <c r="W140" i="29"/>
  <c r="T141" i="29"/>
  <c r="U141" i="29"/>
  <c r="W141" i="29"/>
  <c r="T142" i="29"/>
  <c r="U142" i="29"/>
  <c r="W142" i="29"/>
  <c r="T143" i="29"/>
  <c r="U143" i="29"/>
  <c r="W143" i="29"/>
  <c r="T144" i="29"/>
  <c r="U144" i="29"/>
  <c r="W144" i="29"/>
  <c r="T145" i="29"/>
  <c r="U145" i="29"/>
  <c r="W145" i="29"/>
  <c r="T146" i="29"/>
  <c r="U146" i="29"/>
  <c r="W146" i="29"/>
  <c r="T147" i="29"/>
  <c r="U147" i="29"/>
  <c r="W147" i="29"/>
  <c r="T148" i="29"/>
  <c r="U148" i="29"/>
  <c r="W148" i="29"/>
  <c r="T149" i="29"/>
  <c r="U149" i="29"/>
  <c r="W149" i="29"/>
  <c r="T150" i="29"/>
  <c r="U150" i="29"/>
  <c r="W150" i="29"/>
  <c r="T151" i="29"/>
  <c r="U151" i="29"/>
  <c r="W151" i="29"/>
  <c r="T152" i="29"/>
  <c r="U152" i="29"/>
  <c r="W152" i="29"/>
  <c r="T153" i="29"/>
  <c r="U153" i="29"/>
  <c r="W153" i="29"/>
  <c r="T154" i="29"/>
  <c r="U154" i="29"/>
  <c r="W154" i="29"/>
  <c r="T155" i="29"/>
  <c r="U155" i="29"/>
  <c r="W155" i="29"/>
  <c r="T156" i="29"/>
  <c r="U156" i="29"/>
  <c r="W156" i="29"/>
  <c r="T157" i="29"/>
  <c r="U157" i="29"/>
  <c r="W157" i="29"/>
  <c r="T158" i="29"/>
  <c r="U158" i="29"/>
  <c r="W158" i="29"/>
  <c r="T159" i="29"/>
  <c r="U159" i="29"/>
  <c r="W159" i="29"/>
  <c r="T160" i="29"/>
  <c r="U160" i="29"/>
  <c r="W160" i="29"/>
  <c r="T161" i="29"/>
  <c r="U161" i="29"/>
  <c r="W161" i="29"/>
  <c r="T162" i="29"/>
  <c r="U162" i="29"/>
  <c r="W162" i="29"/>
  <c r="T163" i="29"/>
  <c r="U163" i="29"/>
  <c r="W163" i="29"/>
  <c r="T164" i="29"/>
  <c r="U164" i="29"/>
  <c r="W164" i="29"/>
  <c r="T165" i="29"/>
  <c r="U165" i="29"/>
  <c r="W165" i="29"/>
  <c r="T166" i="29"/>
  <c r="U166" i="29"/>
  <c r="W166" i="29"/>
  <c r="T167" i="29"/>
  <c r="U167" i="29"/>
  <c r="V167" i="29"/>
  <c r="W167" i="29"/>
  <c r="T168" i="29"/>
  <c r="U168" i="29"/>
  <c r="V168" i="29"/>
  <c r="W168" i="29"/>
  <c r="T169" i="29"/>
  <c r="U169" i="29"/>
  <c r="V169" i="29"/>
  <c r="W169" i="29"/>
  <c r="T170" i="29"/>
  <c r="U170" i="29"/>
  <c r="V170" i="29"/>
  <c r="W170" i="29"/>
  <c r="T171" i="29"/>
  <c r="U171" i="29"/>
  <c r="V171" i="29"/>
  <c r="W171" i="29"/>
  <c r="T172" i="29"/>
  <c r="U172" i="29"/>
  <c r="V172" i="29"/>
  <c r="W172" i="29"/>
  <c r="T173" i="29"/>
  <c r="U173" i="29"/>
  <c r="V173" i="29"/>
  <c r="W173" i="29"/>
  <c r="T174" i="29"/>
  <c r="U174" i="29"/>
  <c r="V174" i="29"/>
  <c r="W174" i="29"/>
  <c r="T175" i="29"/>
  <c r="U175" i="29"/>
  <c r="V175" i="29"/>
  <c r="W175" i="29"/>
  <c r="T176" i="29"/>
  <c r="U176" i="29"/>
  <c r="V176" i="29"/>
  <c r="W176" i="29"/>
  <c r="T177" i="29"/>
  <c r="U177" i="29"/>
  <c r="V177" i="29"/>
  <c r="W177" i="29"/>
  <c r="T178" i="29"/>
  <c r="U178" i="29"/>
  <c r="V178" i="29"/>
  <c r="W178" i="29"/>
  <c r="T179" i="29"/>
  <c r="U179" i="29"/>
  <c r="V179" i="29"/>
  <c r="W179" i="29"/>
  <c r="T180" i="29"/>
  <c r="U180" i="29"/>
  <c r="V180" i="29"/>
  <c r="W180" i="29"/>
  <c r="T181" i="29"/>
  <c r="U181" i="29"/>
  <c r="V181" i="29"/>
  <c r="W181" i="29"/>
  <c r="T182" i="29"/>
  <c r="U182" i="29"/>
  <c r="V182" i="29"/>
  <c r="W182" i="29"/>
  <c r="T183" i="29"/>
  <c r="U183" i="29"/>
  <c r="V183" i="29"/>
  <c r="W183" i="29"/>
  <c r="T184" i="29"/>
  <c r="U184" i="29"/>
  <c r="V184" i="29"/>
  <c r="W184" i="29"/>
  <c r="T185" i="29"/>
  <c r="U185" i="29"/>
  <c r="V185" i="29"/>
  <c r="W185" i="29"/>
  <c r="T186" i="29"/>
  <c r="U186" i="29"/>
  <c r="V186" i="29"/>
  <c r="W186" i="29"/>
  <c r="T187" i="29"/>
  <c r="U187" i="29"/>
  <c r="V187" i="29"/>
  <c r="W187" i="29"/>
  <c r="T188" i="29"/>
  <c r="U188" i="29"/>
  <c r="V188" i="29"/>
  <c r="W188" i="29"/>
  <c r="T189" i="29"/>
  <c r="U189" i="29"/>
  <c r="V189" i="29"/>
  <c r="W189" i="29"/>
  <c r="T190" i="29"/>
  <c r="U190" i="29"/>
  <c r="V190" i="29"/>
  <c r="W190" i="29"/>
  <c r="T191" i="29"/>
  <c r="U191" i="29"/>
  <c r="V191" i="29"/>
  <c r="W191" i="29"/>
  <c r="T192" i="29"/>
  <c r="U192" i="29"/>
  <c r="V192" i="29"/>
  <c r="W192" i="29"/>
  <c r="T193" i="29"/>
  <c r="U193" i="29"/>
  <c r="V193" i="29"/>
  <c r="W193" i="29"/>
  <c r="X193" i="29"/>
  <c r="T194" i="29"/>
  <c r="U194" i="29"/>
  <c r="V194" i="29"/>
  <c r="W194" i="29"/>
  <c r="X194" i="29"/>
  <c r="T195" i="29"/>
  <c r="U195" i="29"/>
  <c r="V195" i="29"/>
  <c r="W195" i="29"/>
  <c r="X195" i="29"/>
  <c r="T196" i="29"/>
  <c r="U196" i="29"/>
  <c r="V196" i="29"/>
  <c r="W196" i="29"/>
  <c r="X196" i="29"/>
  <c r="T197" i="29"/>
  <c r="U197" i="29"/>
  <c r="V197" i="29"/>
  <c r="W197" i="29"/>
  <c r="X197" i="29"/>
  <c r="T198" i="29"/>
  <c r="U198" i="29"/>
  <c r="V198" i="29"/>
  <c r="W198" i="29"/>
  <c r="X198" i="29"/>
  <c r="T199" i="29"/>
  <c r="U199" i="29"/>
  <c r="V199" i="29"/>
  <c r="W199" i="29"/>
  <c r="X199" i="29"/>
  <c r="T200" i="29"/>
  <c r="U200" i="29"/>
  <c r="V200" i="29"/>
  <c r="W200" i="29"/>
  <c r="X200" i="29"/>
  <c r="T201" i="29"/>
  <c r="U201" i="29"/>
  <c r="V201" i="29"/>
  <c r="W201" i="29"/>
  <c r="X201" i="29"/>
  <c r="T202" i="29"/>
  <c r="U202" i="29"/>
  <c r="V202" i="29"/>
  <c r="W202" i="29"/>
  <c r="X202" i="29"/>
  <c r="T203" i="29"/>
  <c r="U203" i="29"/>
  <c r="V203" i="29"/>
  <c r="W203" i="29"/>
  <c r="X203" i="29"/>
  <c r="T204" i="29"/>
  <c r="U204" i="29"/>
  <c r="V204" i="29"/>
  <c r="W204" i="29"/>
  <c r="X204" i="29"/>
  <c r="T205" i="29"/>
  <c r="U205" i="29"/>
  <c r="V205" i="29"/>
  <c r="W205" i="29"/>
  <c r="X205" i="29"/>
  <c r="T206" i="29"/>
  <c r="U206" i="29"/>
  <c r="V206" i="29"/>
  <c r="W206" i="29"/>
  <c r="X206" i="29"/>
  <c r="T207" i="29"/>
  <c r="U207" i="29"/>
  <c r="V207" i="29"/>
  <c r="W207" i="29"/>
  <c r="X207" i="29"/>
  <c r="T208" i="29"/>
  <c r="U208" i="29"/>
  <c r="V208" i="29"/>
  <c r="W208" i="29"/>
  <c r="X208" i="29"/>
  <c r="T209" i="29"/>
  <c r="U209" i="29"/>
  <c r="V209" i="29"/>
  <c r="W209" i="29"/>
  <c r="X209" i="29"/>
  <c r="T210" i="29"/>
  <c r="U210" i="29"/>
  <c r="V210" i="29"/>
  <c r="W210" i="29"/>
  <c r="X210" i="29"/>
  <c r="T211" i="29"/>
  <c r="U211" i="29"/>
  <c r="V211" i="29"/>
  <c r="W211" i="29"/>
  <c r="X211" i="29"/>
  <c r="T212" i="29"/>
  <c r="U212" i="29"/>
  <c r="V212" i="29"/>
  <c r="W212" i="29"/>
  <c r="X212" i="29"/>
  <c r="T213" i="29"/>
  <c r="U213" i="29"/>
  <c r="V213" i="29"/>
  <c r="W213" i="29"/>
  <c r="X213" i="29"/>
  <c r="T214" i="29"/>
  <c r="U214" i="29"/>
  <c r="V214" i="29"/>
  <c r="W214" i="29"/>
  <c r="X214" i="29"/>
  <c r="T215" i="29"/>
  <c r="U215" i="29"/>
  <c r="V215" i="29"/>
  <c r="W215" i="29"/>
  <c r="X215" i="29"/>
  <c r="T216" i="29"/>
  <c r="U216" i="29"/>
  <c r="V216" i="29"/>
  <c r="W216" i="29"/>
  <c r="X216" i="29"/>
  <c r="T217" i="29"/>
  <c r="U217" i="29"/>
  <c r="V217" i="29"/>
  <c r="W217" i="29"/>
  <c r="X217" i="29"/>
  <c r="T218" i="29"/>
  <c r="U218" i="29"/>
  <c r="V218" i="29"/>
  <c r="W218" i="29"/>
  <c r="X218" i="29"/>
  <c r="T219" i="29"/>
  <c r="U219" i="29"/>
  <c r="V219" i="29"/>
  <c r="W219" i="29"/>
  <c r="X219" i="29"/>
  <c r="T220" i="29"/>
  <c r="U220" i="29"/>
  <c r="V220" i="29"/>
  <c r="W220" i="29"/>
  <c r="X220" i="29"/>
  <c r="T221" i="29"/>
  <c r="U221" i="29"/>
  <c r="V221" i="29"/>
  <c r="W221" i="29"/>
  <c r="X221" i="29"/>
  <c r="T222" i="29"/>
  <c r="U222" i="29"/>
  <c r="V222" i="29"/>
  <c r="W222" i="29"/>
  <c r="X222" i="29"/>
  <c r="T223" i="29"/>
  <c r="U223" i="29"/>
  <c r="V223" i="29"/>
  <c r="W223" i="29"/>
  <c r="X223" i="29"/>
  <c r="T224" i="29"/>
  <c r="U224" i="29"/>
  <c r="V224" i="29"/>
  <c r="W224" i="29"/>
  <c r="X224" i="29"/>
  <c r="T225" i="29"/>
  <c r="U225" i="29"/>
  <c r="V225" i="29"/>
  <c r="W225" i="29"/>
  <c r="X225" i="29"/>
  <c r="T226" i="29"/>
  <c r="U226" i="29"/>
  <c r="V226" i="29"/>
  <c r="W226" i="29"/>
  <c r="X226" i="29"/>
  <c r="T227" i="29"/>
  <c r="U227" i="29"/>
  <c r="V227" i="29"/>
  <c r="W227" i="29"/>
  <c r="X227" i="29"/>
  <c r="T228" i="29"/>
  <c r="U228" i="29"/>
  <c r="V228" i="29"/>
  <c r="W228" i="29"/>
  <c r="X228" i="29"/>
  <c r="T229" i="29"/>
  <c r="U229" i="29"/>
  <c r="V229" i="29"/>
  <c r="W229" i="29"/>
  <c r="X229" i="29"/>
  <c r="T230" i="29"/>
  <c r="U230" i="29"/>
  <c r="V230" i="29"/>
  <c r="W230" i="29"/>
  <c r="X230" i="29"/>
  <c r="T231" i="29"/>
  <c r="U231" i="29"/>
  <c r="V231" i="29"/>
  <c r="W231" i="29"/>
  <c r="X231" i="29"/>
  <c r="T232" i="29"/>
  <c r="U232" i="29"/>
  <c r="V232" i="29"/>
  <c r="W232" i="29"/>
  <c r="X232" i="29"/>
  <c r="T233" i="29"/>
  <c r="U233" i="29"/>
  <c r="V233" i="29"/>
  <c r="W233" i="29"/>
  <c r="X233" i="29"/>
  <c r="T234" i="29"/>
  <c r="U234" i="29"/>
  <c r="V234" i="29"/>
  <c r="W234" i="29"/>
  <c r="X234" i="29"/>
  <c r="T235" i="29"/>
  <c r="U235" i="29"/>
  <c r="V235" i="29"/>
  <c r="W235" i="29"/>
  <c r="X235" i="29"/>
  <c r="T236" i="29"/>
  <c r="V236" i="29"/>
  <c r="W236" i="29"/>
  <c r="X236" i="29"/>
  <c r="T237" i="29"/>
  <c r="U237" i="29"/>
  <c r="V237" i="29"/>
  <c r="W237" i="29"/>
  <c r="X237" i="29"/>
  <c r="T238" i="29"/>
  <c r="U238" i="29"/>
  <c r="V238" i="29"/>
  <c r="W238" i="29"/>
  <c r="X238" i="29"/>
  <c r="T239" i="29"/>
  <c r="U239" i="29"/>
  <c r="V239" i="29"/>
  <c r="W239" i="29"/>
  <c r="X239" i="29"/>
  <c r="T240" i="29"/>
  <c r="U240" i="29"/>
  <c r="V240" i="29"/>
  <c r="W240" i="29"/>
  <c r="X240" i="29"/>
  <c r="T241" i="29"/>
  <c r="U241" i="29"/>
  <c r="V241" i="29"/>
  <c r="W241" i="29"/>
  <c r="X241" i="29"/>
  <c r="T242" i="29"/>
  <c r="U242" i="29"/>
  <c r="V242" i="29"/>
  <c r="W242" i="29"/>
  <c r="X242" i="29"/>
  <c r="T243" i="29"/>
  <c r="U243" i="29"/>
  <c r="V243" i="29"/>
  <c r="W243" i="29"/>
  <c r="X243" i="29"/>
  <c r="T244" i="29"/>
  <c r="U244" i="29"/>
  <c r="V244" i="29"/>
  <c r="W244" i="29"/>
  <c r="X244" i="29"/>
  <c r="T245" i="29"/>
  <c r="U245" i="29"/>
  <c r="V245" i="29"/>
  <c r="W245" i="29"/>
  <c r="X245" i="29"/>
  <c r="T246" i="29"/>
  <c r="U246" i="29"/>
  <c r="V246" i="29"/>
  <c r="W246" i="29"/>
  <c r="X246" i="29"/>
  <c r="T247" i="29"/>
  <c r="U247" i="29"/>
  <c r="V247" i="29"/>
  <c r="W247" i="29"/>
  <c r="X247" i="29"/>
  <c r="T248" i="29"/>
  <c r="U248" i="29"/>
  <c r="V248" i="29"/>
  <c r="W248" i="29"/>
  <c r="X248" i="29"/>
  <c r="T249" i="29"/>
  <c r="U249" i="29"/>
  <c r="V249" i="29"/>
  <c r="W249" i="29"/>
  <c r="X249" i="29"/>
  <c r="T250" i="29"/>
  <c r="U250" i="29"/>
  <c r="V250" i="29"/>
  <c r="W250" i="29"/>
  <c r="X250" i="29"/>
  <c r="T251" i="29"/>
  <c r="U251" i="29"/>
  <c r="V251" i="29"/>
  <c r="W251" i="29"/>
  <c r="X251" i="29"/>
  <c r="T252" i="29"/>
  <c r="U252" i="29"/>
  <c r="V252" i="29"/>
  <c r="W252" i="29"/>
  <c r="X252" i="29"/>
  <c r="T253" i="29"/>
  <c r="U253" i="29"/>
  <c r="V253" i="29"/>
  <c r="W253" i="29"/>
  <c r="X253" i="29"/>
  <c r="T254" i="29"/>
  <c r="U254" i="29"/>
  <c r="V254" i="29"/>
  <c r="W254" i="29"/>
  <c r="X254" i="29"/>
  <c r="T255" i="29"/>
  <c r="U255" i="29"/>
  <c r="V255" i="29"/>
  <c r="W255" i="29"/>
  <c r="X255" i="29"/>
  <c r="T256" i="29"/>
  <c r="U256" i="29"/>
  <c r="V256" i="29"/>
  <c r="W256" i="29"/>
  <c r="X256" i="29"/>
  <c r="T257" i="29"/>
  <c r="T273" i="29"/>
  <c r="U257" i="29"/>
  <c r="V257" i="29"/>
  <c r="W257" i="29"/>
  <c r="X257" i="29"/>
  <c r="U258" i="29"/>
  <c r="V258" i="29"/>
  <c r="W258" i="29"/>
  <c r="X258" i="29"/>
  <c r="U259" i="29"/>
  <c r="V259" i="29"/>
  <c r="W259" i="29"/>
  <c r="X259" i="29"/>
  <c r="U260" i="29"/>
  <c r="V260" i="29"/>
  <c r="W260" i="29"/>
  <c r="X260" i="29"/>
  <c r="U261" i="29"/>
  <c r="V261" i="29"/>
  <c r="W261" i="29"/>
  <c r="X261" i="29"/>
  <c r="U262" i="29"/>
  <c r="V262" i="29"/>
  <c r="W262" i="29"/>
  <c r="X262" i="29"/>
  <c r="U263" i="29"/>
  <c r="V263" i="29"/>
  <c r="W263" i="29"/>
  <c r="X263" i="29"/>
  <c r="U264" i="29"/>
  <c r="V264" i="29"/>
  <c r="W264" i="29"/>
  <c r="X264" i="29"/>
  <c r="U265" i="29"/>
  <c r="V265" i="29"/>
  <c r="W265" i="29"/>
  <c r="X265" i="29"/>
  <c r="U266" i="29"/>
  <c r="V266" i="29"/>
  <c r="W266" i="29"/>
  <c r="X266" i="29"/>
  <c r="U267" i="29"/>
  <c r="V267" i="29"/>
  <c r="W267" i="29"/>
  <c r="X267" i="29"/>
  <c r="U268" i="29"/>
  <c r="V268" i="29"/>
  <c r="W268" i="29"/>
  <c r="X268" i="29"/>
  <c r="U269" i="29"/>
  <c r="V269" i="29"/>
  <c r="W269" i="29"/>
  <c r="X269" i="29"/>
  <c r="U270" i="29"/>
  <c r="V270" i="29"/>
  <c r="W270" i="29"/>
  <c r="X270" i="29"/>
  <c r="U271" i="29"/>
  <c r="V271" i="29"/>
  <c r="W271" i="29"/>
  <c r="X271" i="29"/>
  <c r="U272" i="29"/>
  <c r="V272" i="29"/>
  <c r="W272" i="29"/>
  <c r="X272" i="29"/>
  <c r="U273" i="29"/>
  <c r="V273" i="29"/>
  <c r="W273" i="29"/>
  <c r="X273" i="29"/>
  <c r="U274" i="29"/>
  <c r="V274" i="29"/>
  <c r="W274" i="29"/>
  <c r="X274" i="29"/>
  <c r="U275" i="29"/>
  <c r="V275" i="29"/>
  <c r="W275" i="29"/>
  <c r="X275" i="29"/>
  <c r="U276" i="29"/>
  <c r="V276" i="29"/>
  <c r="W276" i="29"/>
  <c r="X276" i="29"/>
  <c r="U277" i="29"/>
  <c r="V277" i="29"/>
  <c r="W277" i="29"/>
  <c r="X277" i="29"/>
  <c r="U278" i="29"/>
  <c r="V278" i="29"/>
  <c r="W278" i="29"/>
  <c r="X278" i="29"/>
  <c r="U279" i="29"/>
  <c r="V279" i="29"/>
  <c r="W279" i="29"/>
  <c r="X279" i="29"/>
  <c r="U280" i="29"/>
  <c r="V280" i="29"/>
  <c r="W280" i="29"/>
  <c r="X280" i="29"/>
  <c r="U281" i="29"/>
  <c r="V281" i="29"/>
  <c r="W281" i="29"/>
  <c r="X281" i="29"/>
  <c r="U282" i="29"/>
  <c r="V282" i="29"/>
  <c r="W282" i="29"/>
  <c r="X282" i="29"/>
  <c r="U283" i="29"/>
  <c r="V283" i="29"/>
  <c r="W283" i="29"/>
  <c r="X283" i="29"/>
  <c r="U284" i="29"/>
  <c r="V284" i="29"/>
  <c r="W284" i="29"/>
  <c r="X284" i="29"/>
  <c r="U285" i="29"/>
  <c r="V285" i="29"/>
  <c r="W285" i="29"/>
  <c r="X285" i="29"/>
  <c r="U286" i="29"/>
  <c r="V286" i="29"/>
  <c r="W286" i="29"/>
  <c r="X286" i="29"/>
  <c r="U287" i="29"/>
  <c r="V287" i="29"/>
  <c r="W287" i="29"/>
  <c r="X287" i="29"/>
  <c r="U288" i="29"/>
  <c r="V288" i="29"/>
  <c r="W288" i="29"/>
  <c r="X288" i="29"/>
  <c r="U289" i="29"/>
  <c r="V289" i="29"/>
  <c r="W289" i="29"/>
  <c r="X289" i="29"/>
  <c r="U290" i="29"/>
  <c r="V290" i="29"/>
  <c r="W290" i="29"/>
  <c r="X290" i="29"/>
  <c r="U291" i="29"/>
  <c r="V291" i="29"/>
  <c r="W291" i="29"/>
  <c r="X291" i="29"/>
  <c r="U292" i="29"/>
  <c r="V292" i="29"/>
  <c r="W292" i="29"/>
  <c r="X292" i="29"/>
  <c r="U293" i="29"/>
  <c r="V293" i="29"/>
  <c r="W293" i="29"/>
  <c r="X293" i="29"/>
  <c r="U294" i="29"/>
  <c r="V294" i="29"/>
  <c r="W294" i="29"/>
  <c r="X294" i="29"/>
  <c r="U295" i="29"/>
  <c r="V295" i="29"/>
  <c r="W295" i="29"/>
  <c r="X295" i="29"/>
  <c r="U296" i="29"/>
  <c r="V296" i="29"/>
  <c r="W296" i="29"/>
  <c r="X296" i="29"/>
  <c r="U297" i="29"/>
  <c r="V297" i="29"/>
  <c r="V300" i="29"/>
  <c r="W297" i="29"/>
  <c r="W299" i="29"/>
  <c r="X297" i="29"/>
  <c r="X309" i="29"/>
  <c r="U298" i="29"/>
  <c r="W298" i="29"/>
  <c r="U299" i="29"/>
  <c r="V299" i="29"/>
  <c r="U300" i="29"/>
  <c r="W300" i="29"/>
  <c r="U301" i="29"/>
  <c r="V301" i="29"/>
  <c r="W301" i="29"/>
  <c r="X301" i="29"/>
  <c r="U302" i="29"/>
  <c r="W302" i="29"/>
  <c r="U303" i="29"/>
  <c r="V303" i="29"/>
  <c r="U304" i="29"/>
  <c r="W304" i="29"/>
  <c r="T305" i="29"/>
  <c r="U305" i="29"/>
  <c r="V305" i="29"/>
  <c r="W305" i="29"/>
  <c r="X305" i="29"/>
  <c r="U306" i="29"/>
  <c r="W306" i="29"/>
  <c r="U307" i="29"/>
  <c r="V307" i="29"/>
  <c r="U308" i="29"/>
  <c r="W308" i="29"/>
  <c r="U309" i="29"/>
  <c r="V309" i="29"/>
  <c r="W309" i="29"/>
  <c r="U310" i="29"/>
  <c r="W310" i="29"/>
  <c r="U311" i="29"/>
  <c r="V311" i="29"/>
  <c r="U312" i="29"/>
  <c r="W312" i="29"/>
  <c r="U313" i="29"/>
  <c r="V313" i="29"/>
  <c r="W313" i="29"/>
  <c r="X313" i="29"/>
  <c r="U314" i="29"/>
  <c r="W314" i="29"/>
  <c r="U315" i="29"/>
  <c r="V315" i="29"/>
  <c r="U316" i="29"/>
  <c r="W316" i="29"/>
  <c r="U317" i="29"/>
  <c r="V317" i="29"/>
  <c r="W317" i="29"/>
  <c r="X317" i="29"/>
  <c r="U318" i="29"/>
  <c r="W318" i="29"/>
  <c r="U319" i="29"/>
  <c r="V319" i="29"/>
  <c r="U320" i="29"/>
  <c r="W320" i="29"/>
  <c r="T321" i="29"/>
  <c r="U321" i="29"/>
  <c r="V321" i="29"/>
  <c r="W321" i="29"/>
  <c r="X321" i="29"/>
  <c r="U322" i="29"/>
  <c r="W322" i="29"/>
  <c r="U323" i="29"/>
  <c r="V323" i="29"/>
  <c r="U324" i="29"/>
  <c r="W324" i="29"/>
  <c r="U325" i="29"/>
  <c r="V325" i="29"/>
  <c r="W325" i="29"/>
  <c r="U326" i="29"/>
  <c r="W326" i="29"/>
  <c r="U327" i="29"/>
  <c r="V327" i="29"/>
  <c r="U328" i="29"/>
  <c r="W328" i="29"/>
  <c r="U329" i="29"/>
  <c r="V329" i="29"/>
  <c r="W329" i="29"/>
  <c r="X329" i="29"/>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I328" i="29"/>
  <c r="I327" i="29"/>
  <c r="E328" i="29"/>
  <c r="C128" i="41"/>
  <c r="I329" i="29"/>
  <c r="E329" i="29"/>
  <c r="C129" i="41"/>
  <c r="C99" i="41"/>
  <c r="L17" i="41"/>
  <c r="E17" i="41"/>
  <c r="C17" i="41"/>
  <c r="L53" i="41"/>
  <c r="E53" i="41"/>
  <c r="C53"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M13" i="41"/>
  <c r="L13" i="41"/>
  <c r="E13" i="41"/>
  <c r="C13" i="41"/>
  <c r="L15" i="41"/>
  <c r="E15" i="41"/>
  <c r="C15" i="41"/>
  <c r="L19" i="41"/>
  <c r="E19" i="41"/>
  <c r="C19" i="41"/>
  <c r="L23" i="41"/>
  <c r="E23" i="41"/>
  <c r="C23" i="41"/>
  <c r="L25" i="41"/>
  <c r="E25" i="41"/>
  <c r="C25" i="41"/>
  <c r="L35" i="41"/>
  <c r="E35" i="41"/>
  <c r="C35" i="41"/>
  <c r="M37" i="41"/>
  <c r="L37" i="41"/>
  <c r="E37" i="41"/>
  <c r="C37" i="41"/>
  <c r="L45" i="41"/>
  <c r="E45" i="41"/>
  <c r="C45" i="41"/>
  <c r="M49" i="41"/>
  <c r="L49" i="41"/>
  <c r="E49" i="41"/>
  <c r="C49" i="41"/>
  <c r="L51" i="41"/>
  <c r="E51" i="41"/>
  <c r="C51" i="41"/>
  <c r="L55" i="41"/>
  <c r="E55" i="41"/>
  <c r="C55" i="41"/>
  <c r="M57" i="41"/>
  <c r="L57" i="41"/>
  <c r="E57" i="41"/>
  <c r="C57" i="41"/>
  <c r="M61" i="41"/>
  <c r="L61" i="41"/>
  <c r="E61" i="41"/>
  <c r="C61" i="41"/>
  <c r="L16" i="41"/>
  <c r="E16" i="41"/>
  <c r="C16" i="41"/>
  <c r="L18" i="41"/>
  <c r="E18" i="41"/>
  <c r="C18" i="41"/>
  <c r="L20" i="41"/>
  <c r="E20" i="41"/>
  <c r="C20" i="41"/>
  <c r="L24" i="41"/>
  <c r="E24" i="41"/>
  <c r="C24" i="41"/>
  <c r="L26" i="41"/>
  <c r="E26" i="41"/>
  <c r="C26" i="41"/>
  <c r="M30" i="41"/>
  <c r="L30" i="41"/>
  <c r="E30" i="41"/>
  <c r="C30" i="41"/>
  <c r="L32" i="41"/>
  <c r="E32" i="41"/>
  <c r="C32" i="41"/>
  <c r="M34" i="41"/>
  <c r="L34" i="41"/>
  <c r="E34" i="41"/>
  <c r="C34" i="41"/>
  <c r="M38" i="41"/>
  <c r="L38" i="41"/>
  <c r="E38" i="41"/>
  <c r="C38" i="41"/>
  <c r="L40" i="41"/>
  <c r="E40" i="41"/>
  <c r="C40" i="41"/>
  <c r="L42" i="41"/>
  <c r="E42" i="41"/>
  <c r="C42" i="41"/>
  <c r="L44" i="41"/>
  <c r="E44" i="41"/>
  <c r="C44" i="41"/>
  <c r="L46" i="41"/>
  <c r="E46" i="41"/>
  <c r="C46" i="41"/>
  <c r="M48" i="41"/>
  <c r="L48" i="41"/>
  <c r="E48" i="41"/>
  <c r="C48" i="41"/>
  <c r="M50" i="41"/>
  <c r="L50" i="41"/>
  <c r="E50" i="41"/>
  <c r="C50" i="41"/>
  <c r="L52" i="41"/>
  <c r="E52" i="41"/>
  <c r="C52" i="41"/>
  <c r="L54" i="41"/>
  <c r="E54" i="41"/>
  <c r="C54" i="41"/>
  <c r="L56" i="41"/>
  <c r="E56" i="41"/>
  <c r="C56" i="41"/>
  <c r="L58" i="41"/>
  <c r="E58" i="41"/>
  <c r="C58" i="41"/>
  <c r="M62" i="41"/>
  <c r="L62" i="41"/>
  <c r="E62" i="41"/>
  <c r="C62" i="41"/>
  <c r="L12" i="41"/>
  <c r="E12" i="41"/>
  <c r="C12" i="41"/>
  <c r="M63" i="41"/>
  <c r="L63" i="41"/>
  <c r="E63" i="41"/>
  <c r="C63" i="41"/>
  <c r="M60" i="41"/>
  <c r="L60" i="41"/>
  <c r="E60" i="41"/>
  <c r="C60" i="41"/>
  <c r="M59" i="41"/>
  <c r="L59" i="41"/>
  <c r="E59" i="41"/>
  <c r="C59" i="41"/>
  <c r="M47" i="41"/>
  <c r="L47" i="41"/>
  <c r="E47" i="41"/>
  <c r="C47" i="41"/>
  <c r="M43" i="41"/>
  <c r="L43" i="41"/>
  <c r="E43" i="41"/>
  <c r="C43" i="41"/>
  <c r="M41" i="41"/>
  <c r="L41" i="41"/>
  <c r="E41" i="41"/>
  <c r="C41" i="41"/>
  <c r="M39" i="41"/>
  <c r="L39" i="41"/>
  <c r="E39" i="41"/>
  <c r="C39" i="41"/>
  <c r="M36" i="41"/>
  <c r="L36" i="41"/>
  <c r="E36" i="41"/>
  <c r="C36" i="41"/>
  <c r="M33" i="41"/>
  <c r="L33" i="41"/>
  <c r="E33" i="41"/>
  <c r="C33" i="41"/>
  <c r="M31" i="41"/>
  <c r="L31" i="41"/>
  <c r="E31" i="41"/>
  <c r="C31" i="41"/>
  <c r="M29" i="41"/>
  <c r="L29" i="41"/>
  <c r="E29" i="41"/>
  <c r="C29" i="41"/>
  <c r="M28" i="41"/>
  <c r="L28" i="41"/>
  <c r="E28" i="41"/>
  <c r="C28" i="41"/>
  <c r="M27" i="41"/>
  <c r="L27" i="41"/>
  <c r="E27" i="41"/>
  <c r="C27" i="41"/>
  <c r="M22" i="41"/>
  <c r="L22" i="41"/>
  <c r="E22" i="41"/>
  <c r="C22" i="41"/>
  <c r="M21" i="41"/>
  <c r="L21" i="41"/>
  <c r="E21" i="41"/>
  <c r="C21" i="41"/>
  <c r="M14" i="41"/>
  <c r="L14" i="41"/>
  <c r="E14" i="41"/>
  <c r="C14" i="41"/>
  <c r="J134" i="41"/>
  <c r="I134" i="41"/>
  <c r="H134" i="41"/>
  <c r="G134" i="41"/>
  <c r="F134" i="41"/>
  <c r="J133" i="41"/>
  <c r="I133" i="41"/>
  <c r="H133" i="41"/>
  <c r="G133" i="41"/>
  <c r="F133" i="41"/>
  <c r="J132" i="41"/>
  <c r="I132" i="41"/>
  <c r="H132" i="41"/>
  <c r="G132" i="41"/>
  <c r="F132" i="41"/>
  <c r="B113" i="41"/>
  <c r="B114" i="41"/>
  <c r="B115" i="41"/>
  <c r="B116" i="41"/>
  <c r="B117" i="41"/>
  <c r="B119" i="41"/>
  <c r="B121" i="41"/>
  <c r="B118" i="41"/>
  <c r="B120" i="41"/>
  <c r="J76" i="40"/>
  <c r="I76" i="40"/>
  <c r="H76" i="40"/>
  <c r="G76" i="40"/>
  <c r="F76" i="40"/>
  <c r="J75" i="40"/>
  <c r="I75" i="40"/>
  <c r="H75" i="40"/>
  <c r="G75" i="40"/>
  <c r="F75" i="40"/>
  <c r="J74" i="40"/>
  <c r="I74" i="40"/>
  <c r="H74" i="40"/>
  <c r="G74" i="40"/>
  <c r="F74" i="40"/>
  <c r="B55" i="40"/>
  <c r="B56" i="40"/>
  <c r="B57" i="40"/>
  <c r="B58" i="40"/>
  <c r="B59" i="40"/>
  <c r="B61" i="40"/>
  <c r="B63" i="40"/>
  <c r="T31" i="38"/>
  <c r="AQ31" i="39"/>
  <c r="T32" i="38"/>
  <c r="AQ32" i="39"/>
  <c r="T33" i="38"/>
  <c r="AQ33" i="39"/>
  <c r="T34" i="38"/>
  <c r="AQ34" i="39"/>
  <c r="T35" i="38"/>
  <c r="AQ35" i="39"/>
  <c r="T36" i="38"/>
  <c r="AQ36" i="39"/>
  <c r="T37" i="38"/>
  <c r="AQ37" i="39"/>
  <c r="T38" i="38"/>
  <c r="AQ38" i="39"/>
  <c r="T39" i="38"/>
  <c r="AQ39" i="39"/>
  <c r="T40" i="38"/>
  <c r="AQ40" i="39"/>
  <c r="T41" i="38"/>
  <c r="AQ41" i="39"/>
  <c r="T42" i="38"/>
  <c r="AQ42" i="39"/>
  <c r="T43" i="38"/>
  <c r="AQ43" i="39"/>
  <c r="T44" i="38"/>
  <c r="AQ44" i="39"/>
  <c r="T45" i="38"/>
  <c r="AQ45" i="39"/>
  <c r="T46" i="38"/>
  <c r="AQ46" i="39"/>
  <c r="T47" i="38"/>
  <c r="AQ47" i="39"/>
  <c r="T48" i="38"/>
  <c r="AQ48" i="39"/>
  <c r="T49" i="38"/>
  <c r="AQ49" i="39"/>
  <c r="T50" i="38"/>
  <c r="AQ50" i="39"/>
  <c r="T51" i="38"/>
  <c r="AQ51" i="39"/>
  <c r="T52" i="38"/>
  <c r="AQ52" i="39"/>
  <c r="T53" i="38"/>
  <c r="AQ53" i="39"/>
  <c r="T54" i="38"/>
  <c r="AQ54" i="39"/>
  <c r="T55" i="38"/>
  <c r="AQ55" i="39"/>
  <c r="T56" i="38"/>
  <c r="AQ56" i="39"/>
  <c r="T57" i="38"/>
  <c r="AQ57" i="39"/>
  <c r="T58" i="38"/>
  <c r="AQ58" i="39"/>
  <c r="T59" i="38"/>
  <c r="AQ59" i="39"/>
  <c r="T60" i="38"/>
  <c r="AQ60" i="39"/>
  <c r="T61" i="38"/>
  <c r="AQ61" i="39"/>
  <c r="T62" i="38"/>
  <c r="AQ62" i="39"/>
  <c r="T63" i="38"/>
  <c r="AQ63" i="39"/>
  <c r="T64" i="38"/>
  <c r="AQ64" i="39"/>
  <c r="T65" i="38"/>
  <c r="AQ65" i="39"/>
  <c r="T66" i="38"/>
  <c r="AQ66" i="39"/>
  <c r="T67" i="38"/>
  <c r="AQ67" i="39"/>
  <c r="T68" i="38"/>
  <c r="AQ68" i="39"/>
  <c r="T69" i="38"/>
  <c r="AQ69" i="39"/>
  <c r="T70" i="38"/>
  <c r="AQ70" i="39"/>
  <c r="T71" i="38"/>
  <c r="AQ71" i="39"/>
  <c r="T72" i="38"/>
  <c r="AQ72" i="39"/>
  <c r="T73" i="38"/>
  <c r="AQ73" i="39"/>
  <c r="T74" i="38"/>
  <c r="AQ74" i="39"/>
  <c r="T75" i="38"/>
  <c r="AQ75" i="39"/>
  <c r="T76" i="38"/>
  <c r="AQ76" i="39"/>
  <c r="T77" i="38"/>
  <c r="AQ77" i="39"/>
  <c r="T78" i="38"/>
  <c r="AQ78" i="39"/>
  <c r="T79" i="38"/>
  <c r="AQ79" i="39"/>
  <c r="T10" i="38"/>
  <c r="AQ10" i="39"/>
  <c r="T11" i="38"/>
  <c r="AQ11" i="39"/>
  <c r="T12" i="38"/>
  <c r="T13" i="38"/>
  <c r="AQ13" i="39"/>
  <c r="T14" i="38"/>
  <c r="AQ14" i="39"/>
  <c r="T15" i="38"/>
  <c r="AQ15" i="39"/>
  <c r="T16" i="38"/>
  <c r="AQ16" i="39"/>
  <c r="T17" i="38"/>
  <c r="AQ17" i="39"/>
  <c r="T18" i="38"/>
  <c r="AQ18" i="39"/>
  <c r="T19" i="38"/>
  <c r="AQ19" i="39"/>
  <c r="T20" i="38"/>
  <c r="AQ20" i="39"/>
  <c r="T21" i="38"/>
  <c r="AQ21" i="39"/>
  <c r="T22" i="38"/>
  <c r="AQ22" i="39"/>
  <c r="T23" i="38"/>
  <c r="AQ23" i="39"/>
  <c r="T24" i="38"/>
  <c r="AQ24" i="39"/>
  <c r="T25" i="38"/>
  <c r="AQ25" i="39"/>
  <c r="T26" i="38"/>
  <c r="AQ26" i="39"/>
  <c r="T27" i="38"/>
  <c r="AQ27" i="39"/>
  <c r="T28" i="38"/>
  <c r="T29" i="38"/>
  <c r="AQ29" i="39"/>
  <c r="T30" i="38"/>
  <c r="AQ30" i="39"/>
  <c r="H65" i="38"/>
  <c r="H34" i="38"/>
  <c r="H42" i="38"/>
  <c r="H50" i="38"/>
  <c r="H58" i="38"/>
  <c r="H63" i="38"/>
  <c r="H75" i="38"/>
  <c r="H80" i="38"/>
  <c r="X75" i="39"/>
  <c r="AH75" i="39"/>
  <c r="I65" i="38"/>
  <c r="I34" i="38"/>
  <c r="I80" i="38"/>
  <c r="Y34" i="39"/>
  <c r="I38" i="38"/>
  <c r="Y38" i="39"/>
  <c r="AI38" i="39"/>
  <c r="I44" i="38"/>
  <c r="Y44" i="39"/>
  <c r="AI44" i="39"/>
  <c r="I48" i="38"/>
  <c r="Y48" i="39"/>
  <c r="AI48" i="39"/>
  <c r="I52" i="38"/>
  <c r="Y52" i="39"/>
  <c r="AI52" i="39"/>
  <c r="I56" i="38"/>
  <c r="Y56" i="39"/>
  <c r="AI56" i="39"/>
  <c r="J71" i="38"/>
  <c r="J80" i="38"/>
  <c r="Z71" i="39"/>
  <c r="AJ71" i="39"/>
  <c r="J75" i="38"/>
  <c r="Z75" i="39"/>
  <c r="AJ75" i="39"/>
  <c r="I79" i="38"/>
  <c r="Y79" i="39"/>
  <c r="AI79" i="39"/>
  <c r="D79" i="39"/>
  <c r="V79" i="39"/>
  <c r="N79" i="39"/>
  <c r="V78" i="39"/>
  <c r="V77" i="39"/>
  <c r="V76" i="39"/>
  <c r="V75" i="39"/>
  <c r="V74" i="39"/>
  <c r="V73" i="39"/>
  <c r="V72" i="39"/>
  <c r="V71" i="39"/>
  <c r="V70" i="39"/>
  <c r="V69" i="39"/>
  <c r="V68" i="39"/>
  <c r="V67" i="39"/>
  <c r="V66" i="39"/>
  <c r="V65" i="39"/>
  <c r="V64" i="39"/>
  <c r="V63" i="39"/>
  <c r="V62" i="39"/>
  <c r="V61" i="39"/>
  <c r="V60" i="39"/>
  <c r="V59" i="39"/>
  <c r="V58" i="39"/>
  <c r="V57" i="39"/>
  <c r="V56" i="39"/>
  <c r="V55" i="39"/>
  <c r="V54" i="39"/>
  <c r="V53" i="39"/>
  <c r="V52" i="39"/>
  <c r="V51" i="39"/>
  <c r="V50" i="39"/>
  <c r="V49" i="39"/>
  <c r="V48" i="39"/>
  <c r="V47" i="39"/>
  <c r="V46" i="39"/>
  <c r="V45" i="39"/>
  <c r="V44" i="39"/>
  <c r="V43" i="39"/>
  <c r="V42" i="39"/>
  <c r="V41" i="39"/>
  <c r="V40" i="39"/>
  <c r="V39" i="39"/>
  <c r="V38" i="39"/>
  <c r="V37" i="39"/>
  <c r="V36" i="39"/>
  <c r="V35" i="39"/>
  <c r="V34" i="39"/>
  <c r="V31" i="39"/>
  <c r="V32" i="39"/>
  <c r="V33" i="39"/>
  <c r="I67" i="38"/>
  <c r="D67" i="39"/>
  <c r="N67" i="39"/>
  <c r="V10" i="39"/>
  <c r="V11" i="39"/>
  <c r="V13" i="39"/>
  <c r="V14" i="39"/>
  <c r="V15" i="39"/>
  <c r="V16" i="39"/>
  <c r="V17" i="39"/>
  <c r="V18" i="39"/>
  <c r="V19" i="39"/>
  <c r="V20" i="39"/>
  <c r="V21" i="39"/>
  <c r="V22" i="39"/>
  <c r="V23" i="39"/>
  <c r="V24" i="39"/>
  <c r="V25" i="39"/>
  <c r="V26" i="39"/>
  <c r="V27" i="39"/>
  <c r="V29" i="39"/>
  <c r="V30" i="39"/>
  <c r="C65" i="39"/>
  <c r="M65" i="39"/>
  <c r="I32" i="38"/>
  <c r="D32" i="39"/>
  <c r="N32" i="39"/>
  <c r="I41" i="38"/>
  <c r="D41" i="39"/>
  <c r="N41" i="39"/>
  <c r="I49" i="38"/>
  <c r="D49" i="39"/>
  <c r="N49" i="39"/>
  <c r="I59" i="38"/>
  <c r="D59" i="39"/>
  <c r="N59" i="39"/>
  <c r="H66" i="38"/>
  <c r="C66" i="39"/>
  <c r="M66" i="39"/>
  <c r="H67" i="38"/>
  <c r="C67" i="39"/>
  <c r="M67" i="39"/>
  <c r="H68" i="38"/>
  <c r="C68" i="39"/>
  <c r="H69" i="38"/>
  <c r="C69" i="39"/>
  <c r="M69" i="39"/>
  <c r="H70" i="38"/>
  <c r="C70" i="39"/>
  <c r="M70" i="39"/>
  <c r="H71" i="38"/>
  <c r="C71" i="39"/>
  <c r="M71" i="39"/>
  <c r="H72" i="38"/>
  <c r="C72" i="39"/>
  <c r="H73" i="38"/>
  <c r="C73" i="39"/>
  <c r="M73" i="39"/>
  <c r="H74" i="38"/>
  <c r="C74" i="39"/>
  <c r="M74" i="39"/>
  <c r="C75" i="39"/>
  <c r="M75" i="39"/>
  <c r="H76" i="38"/>
  <c r="C76" i="39"/>
  <c r="H77" i="38"/>
  <c r="C77" i="39"/>
  <c r="M77" i="39"/>
  <c r="H78" i="38"/>
  <c r="C78" i="39"/>
  <c r="M78" i="39"/>
  <c r="T125" i="38"/>
  <c r="T124" i="38"/>
  <c r="T123" i="38"/>
  <c r="T122" i="38"/>
  <c r="T121" i="38"/>
  <c r="T120" i="38"/>
  <c r="T119" i="38"/>
  <c r="T118" i="38"/>
  <c r="T117" i="38"/>
  <c r="T116" i="38"/>
  <c r="T115" i="38"/>
  <c r="T114" i="38"/>
  <c r="T113" i="38"/>
  <c r="T112" i="38"/>
  <c r="T111" i="38"/>
  <c r="T110" i="38"/>
  <c r="T109" i="38"/>
  <c r="T108" i="38"/>
  <c r="T107" i="38"/>
  <c r="T106" i="38"/>
  <c r="T105" i="38"/>
  <c r="T104" i="38"/>
  <c r="T103" i="38"/>
  <c r="T102" i="38"/>
  <c r="T101" i="38"/>
  <c r="T100" i="38"/>
  <c r="T99" i="38"/>
  <c r="T98" i="38"/>
  <c r="T97" i="38"/>
  <c r="T96" i="38"/>
  <c r="T95" i="38"/>
  <c r="T94" i="38"/>
  <c r="T93" i="38"/>
  <c r="T92" i="38"/>
  <c r="T91" i="38"/>
  <c r="T90" i="38"/>
  <c r="T89" i="38"/>
  <c r="T88" i="38"/>
  <c r="T87" i="38"/>
  <c r="T86" i="38"/>
  <c r="T85" i="38"/>
  <c r="T84" i="38"/>
  <c r="T83" i="38"/>
  <c r="T82" i="38"/>
  <c r="T81" i="38"/>
  <c r="T80" i="38"/>
  <c r="T126" i="38"/>
  <c r="AQ132" i="39"/>
  <c r="AL128" i="39"/>
  <c r="AL123" i="39"/>
  <c r="AK128" i="39"/>
  <c r="AK123" i="39"/>
  <c r="AK132" i="39"/>
  <c r="AJ128" i="39"/>
  <c r="AJ118" i="39"/>
  <c r="AJ131" i="39"/>
  <c r="AJ123" i="39"/>
  <c r="AJ132" i="39"/>
  <c r="AI128" i="39"/>
  <c r="AI123" i="39"/>
  <c r="AI132" i="39"/>
  <c r="AH128" i="39"/>
  <c r="AH123" i="39"/>
  <c r="AB132" i="39"/>
  <c r="AA132" i="39"/>
  <c r="Z132" i="39"/>
  <c r="Y132" i="39"/>
  <c r="X132" i="39"/>
  <c r="V132" i="39"/>
  <c r="Q128" i="39"/>
  <c r="Q123" i="39"/>
  <c r="Q132" i="39"/>
  <c r="P128" i="39"/>
  <c r="P123" i="39"/>
  <c r="O128" i="39"/>
  <c r="O123" i="39"/>
  <c r="O132" i="39"/>
  <c r="N128" i="39"/>
  <c r="N123" i="39"/>
  <c r="N132" i="39"/>
  <c r="M128" i="39"/>
  <c r="M123" i="39"/>
  <c r="M132" i="39"/>
  <c r="G132" i="39"/>
  <c r="F132" i="39"/>
  <c r="E132" i="39"/>
  <c r="D132" i="39"/>
  <c r="C132" i="39"/>
  <c r="AQ131" i="39"/>
  <c r="AL118" i="39"/>
  <c r="AK118" i="39"/>
  <c r="AK131" i="39"/>
  <c r="AI118" i="39"/>
  <c r="AI131" i="39"/>
  <c r="AH118" i="39"/>
  <c r="AB131" i="39"/>
  <c r="AA131" i="39"/>
  <c r="Z131" i="39"/>
  <c r="Y131" i="39"/>
  <c r="X131" i="39"/>
  <c r="V131" i="39"/>
  <c r="Q118" i="39"/>
  <c r="P118" i="39"/>
  <c r="O118" i="39"/>
  <c r="O131" i="39"/>
  <c r="N118" i="39"/>
  <c r="N131" i="39"/>
  <c r="M118" i="39"/>
  <c r="G131" i="39"/>
  <c r="F131" i="39"/>
  <c r="E131" i="39"/>
  <c r="D131" i="39"/>
  <c r="C131" i="39"/>
  <c r="AQ130" i="39"/>
  <c r="AL127" i="39"/>
  <c r="AK127" i="39"/>
  <c r="AK130" i="39"/>
  <c r="AJ127" i="39"/>
  <c r="AI127" i="39"/>
  <c r="AI130" i="39"/>
  <c r="AH127" i="39"/>
  <c r="AB130" i="39"/>
  <c r="AA130" i="39"/>
  <c r="Z130" i="39"/>
  <c r="Y130" i="39"/>
  <c r="X130" i="39"/>
  <c r="V130" i="39"/>
  <c r="Q127" i="39"/>
  <c r="P127" i="39"/>
  <c r="O127" i="39"/>
  <c r="O130" i="39"/>
  <c r="N127" i="39"/>
  <c r="N130" i="39"/>
  <c r="M127" i="39"/>
  <c r="G130" i="39"/>
  <c r="F130" i="39"/>
  <c r="E130" i="39"/>
  <c r="D130" i="39"/>
  <c r="C130" i="39"/>
  <c r="AL126" i="39"/>
  <c r="AK126" i="39"/>
  <c r="AJ126" i="39"/>
  <c r="AI126" i="39"/>
  <c r="AH126" i="39"/>
  <c r="Q126" i="39"/>
  <c r="P126" i="39"/>
  <c r="O126" i="39"/>
  <c r="N126" i="39"/>
  <c r="M126" i="39"/>
  <c r="AL125" i="39"/>
  <c r="AK125" i="39"/>
  <c r="AJ125" i="39"/>
  <c r="AI125" i="39"/>
  <c r="AH125" i="39"/>
  <c r="Q125" i="39"/>
  <c r="P125" i="39"/>
  <c r="O125" i="39"/>
  <c r="N125" i="39"/>
  <c r="M125" i="39"/>
  <c r="AL124" i="39"/>
  <c r="AK124" i="39"/>
  <c r="AJ124" i="39"/>
  <c r="AI124" i="39"/>
  <c r="AH124" i="39"/>
  <c r="Q124" i="39"/>
  <c r="P124" i="39"/>
  <c r="O124" i="39"/>
  <c r="N124" i="39"/>
  <c r="M124" i="39"/>
  <c r="AL122" i="39"/>
  <c r="AK122" i="39"/>
  <c r="AJ122" i="39"/>
  <c r="AI122" i="39"/>
  <c r="AH122" i="39"/>
  <c r="Q122" i="39"/>
  <c r="P122" i="39"/>
  <c r="O122" i="39"/>
  <c r="N122" i="39"/>
  <c r="M122" i="39"/>
  <c r="AL121" i="39"/>
  <c r="AK121" i="39"/>
  <c r="AJ121" i="39"/>
  <c r="AI121" i="39"/>
  <c r="AH121" i="39"/>
  <c r="Q121" i="39"/>
  <c r="P121" i="39"/>
  <c r="O121" i="39"/>
  <c r="N121" i="39"/>
  <c r="M121" i="39"/>
  <c r="AL120" i="39"/>
  <c r="AK120" i="39"/>
  <c r="AJ120" i="39"/>
  <c r="AI120" i="39"/>
  <c r="AH120" i="39"/>
  <c r="Q120" i="39"/>
  <c r="P120" i="39"/>
  <c r="O120" i="39"/>
  <c r="N120" i="39"/>
  <c r="M120" i="39"/>
  <c r="AL119" i="39"/>
  <c r="AK119" i="39"/>
  <c r="AJ119" i="39"/>
  <c r="AI119" i="39"/>
  <c r="AH119" i="39"/>
  <c r="Q119" i="39"/>
  <c r="P119" i="39"/>
  <c r="O119" i="39"/>
  <c r="N119" i="39"/>
  <c r="M119" i="39"/>
  <c r="AL117" i="39"/>
  <c r="AK117" i="39"/>
  <c r="AJ117" i="39"/>
  <c r="AI117" i="39"/>
  <c r="AH117" i="39"/>
  <c r="Q117" i="39"/>
  <c r="P117" i="39"/>
  <c r="O117" i="39"/>
  <c r="N117" i="39"/>
  <c r="M117" i="39"/>
  <c r="AL116" i="39"/>
  <c r="AK116" i="39"/>
  <c r="AJ116" i="39"/>
  <c r="AI116" i="39"/>
  <c r="AH116" i="39"/>
  <c r="Q116" i="39"/>
  <c r="P116" i="39"/>
  <c r="O116" i="39"/>
  <c r="N116" i="39"/>
  <c r="M116" i="39"/>
  <c r="AL115" i="39"/>
  <c r="AK115" i="39"/>
  <c r="AJ115" i="39"/>
  <c r="AI115" i="39"/>
  <c r="AH115" i="39"/>
  <c r="Q115" i="39"/>
  <c r="P115" i="39"/>
  <c r="O115" i="39"/>
  <c r="N115" i="39"/>
  <c r="M115" i="39"/>
  <c r="AL114" i="39"/>
  <c r="AK114" i="39"/>
  <c r="AJ114" i="39"/>
  <c r="AI114" i="39"/>
  <c r="AH114" i="39"/>
  <c r="Q114" i="39"/>
  <c r="P114" i="39"/>
  <c r="O114" i="39"/>
  <c r="N114" i="39"/>
  <c r="M114" i="39"/>
  <c r="AL113" i="39"/>
  <c r="AK113" i="39"/>
  <c r="AJ113" i="39"/>
  <c r="AI113" i="39"/>
  <c r="AH113" i="39"/>
  <c r="Q113" i="39"/>
  <c r="P113" i="39"/>
  <c r="O113" i="39"/>
  <c r="N113" i="39"/>
  <c r="M113" i="39"/>
  <c r="AL112" i="39"/>
  <c r="AK112" i="39"/>
  <c r="AJ112" i="39"/>
  <c r="AI112" i="39"/>
  <c r="AH112" i="39"/>
  <c r="Q112" i="39"/>
  <c r="P112" i="39"/>
  <c r="O112" i="39"/>
  <c r="N112" i="39"/>
  <c r="M112" i="39"/>
  <c r="AL111" i="39"/>
  <c r="AK111" i="39"/>
  <c r="AJ111" i="39"/>
  <c r="AI111" i="39"/>
  <c r="AH111" i="39"/>
  <c r="Q111" i="39"/>
  <c r="P111" i="39"/>
  <c r="O111" i="39"/>
  <c r="N111" i="39"/>
  <c r="M111" i="39"/>
  <c r="AL110" i="39"/>
  <c r="AK110" i="39"/>
  <c r="AJ110" i="39"/>
  <c r="AI110" i="39"/>
  <c r="AH110" i="39"/>
  <c r="Q110" i="39"/>
  <c r="P110" i="39"/>
  <c r="O110" i="39"/>
  <c r="N110" i="39"/>
  <c r="M110" i="39"/>
  <c r="AL109" i="39"/>
  <c r="AK109" i="39"/>
  <c r="AJ109" i="39"/>
  <c r="AI109" i="39"/>
  <c r="AH109" i="39"/>
  <c r="Q109" i="39"/>
  <c r="P109" i="39"/>
  <c r="O109" i="39"/>
  <c r="N109" i="39"/>
  <c r="M109" i="39"/>
  <c r="AL108" i="39"/>
  <c r="AK108" i="39"/>
  <c r="AJ108" i="39"/>
  <c r="AI108" i="39"/>
  <c r="AH108" i="39"/>
  <c r="Q108" i="39"/>
  <c r="P108" i="39"/>
  <c r="O108" i="39"/>
  <c r="N108" i="39"/>
  <c r="M108" i="39"/>
  <c r="AL107" i="39"/>
  <c r="AK107" i="39"/>
  <c r="AJ107" i="39"/>
  <c r="AI107" i="39"/>
  <c r="AH107" i="39"/>
  <c r="Q107" i="39"/>
  <c r="P107" i="39"/>
  <c r="O107" i="39"/>
  <c r="N107" i="39"/>
  <c r="M107" i="39"/>
  <c r="AL106" i="39"/>
  <c r="AK106" i="39"/>
  <c r="AJ106" i="39"/>
  <c r="AI106" i="39"/>
  <c r="AH106" i="39"/>
  <c r="Q106" i="39"/>
  <c r="P106" i="39"/>
  <c r="O106" i="39"/>
  <c r="N106" i="39"/>
  <c r="M106" i="39"/>
  <c r="AL105" i="39"/>
  <c r="AK105" i="39"/>
  <c r="AJ105" i="39"/>
  <c r="AI105" i="39"/>
  <c r="AH105" i="39"/>
  <c r="Q105" i="39"/>
  <c r="P105" i="39"/>
  <c r="O105" i="39"/>
  <c r="N105" i="39"/>
  <c r="M105" i="39"/>
  <c r="AL104" i="39"/>
  <c r="AK104" i="39"/>
  <c r="AJ104" i="39"/>
  <c r="AI104" i="39"/>
  <c r="AH104" i="39"/>
  <c r="Q104" i="39"/>
  <c r="P104" i="39"/>
  <c r="O104" i="39"/>
  <c r="N104" i="39"/>
  <c r="M104" i="39"/>
  <c r="AL103" i="39"/>
  <c r="AK103" i="39"/>
  <c r="AJ103" i="39"/>
  <c r="AI103" i="39"/>
  <c r="AH103" i="39"/>
  <c r="Q103" i="39"/>
  <c r="P103" i="39"/>
  <c r="O103" i="39"/>
  <c r="N103" i="39"/>
  <c r="M103" i="39"/>
  <c r="AL102" i="39"/>
  <c r="AK102" i="39"/>
  <c r="AJ102" i="39"/>
  <c r="AI102" i="39"/>
  <c r="AH102" i="39"/>
  <c r="Q102" i="39"/>
  <c r="P102" i="39"/>
  <c r="O102" i="39"/>
  <c r="N102" i="39"/>
  <c r="M102" i="39"/>
  <c r="AL101" i="39"/>
  <c r="AK101" i="39"/>
  <c r="AJ101" i="39"/>
  <c r="AI101" i="39"/>
  <c r="AH101" i="39"/>
  <c r="Q101" i="39"/>
  <c r="P101" i="39"/>
  <c r="O101" i="39"/>
  <c r="N101" i="39"/>
  <c r="M101" i="39"/>
  <c r="AL100" i="39"/>
  <c r="AK100" i="39"/>
  <c r="AJ100" i="39"/>
  <c r="AI100" i="39"/>
  <c r="AH100" i="39"/>
  <c r="Q100" i="39"/>
  <c r="P100" i="39"/>
  <c r="O100" i="39"/>
  <c r="N100" i="39"/>
  <c r="M100" i="39"/>
  <c r="AL99" i="39"/>
  <c r="AK99" i="39"/>
  <c r="AJ99" i="39"/>
  <c r="AI99" i="39"/>
  <c r="AH99" i="39"/>
  <c r="Q99" i="39"/>
  <c r="P99" i="39"/>
  <c r="O99" i="39"/>
  <c r="N99" i="39"/>
  <c r="M99" i="39"/>
  <c r="AL98" i="39"/>
  <c r="AK98" i="39"/>
  <c r="AJ98" i="39"/>
  <c r="AI98" i="39"/>
  <c r="AH98" i="39"/>
  <c r="Q98" i="39"/>
  <c r="P98" i="39"/>
  <c r="O98" i="39"/>
  <c r="N98" i="39"/>
  <c r="M98" i="39"/>
  <c r="AL97" i="39"/>
  <c r="AK97" i="39"/>
  <c r="AJ97" i="39"/>
  <c r="AI97" i="39"/>
  <c r="AH97" i="39"/>
  <c r="Q97" i="39"/>
  <c r="P97" i="39"/>
  <c r="O97" i="39"/>
  <c r="N97" i="39"/>
  <c r="M97" i="39"/>
  <c r="AL96" i="39"/>
  <c r="AK96" i="39"/>
  <c r="AJ96" i="39"/>
  <c r="AI96" i="39"/>
  <c r="AH96" i="39"/>
  <c r="Q96" i="39"/>
  <c r="P96" i="39"/>
  <c r="O96" i="39"/>
  <c r="N96" i="39"/>
  <c r="M96" i="39"/>
  <c r="AL95" i="39"/>
  <c r="AK95" i="39"/>
  <c r="AJ95" i="39"/>
  <c r="AI95" i="39"/>
  <c r="AH95" i="39"/>
  <c r="Q95" i="39"/>
  <c r="P95" i="39"/>
  <c r="O95" i="39"/>
  <c r="N95" i="39"/>
  <c r="M95" i="39"/>
  <c r="AL94" i="39"/>
  <c r="AK94" i="39"/>
  <c r="AJ94" i="39"/>
  <c r="AI94" i="39"/>
  <c r="AH94" i="39"/>
  <c r="Q94" i="39"/>
  <c r="P94" i="39"/>
  <c r="O94" i="39"/>
  <c r="N94" i="39"/>
  <c r="M94" i="39"/>
  <c r="AL93" i="39"/>
  <c r="AK93" i="39"/>
  <c r="AJ93" i="39"/>
  <c r="AI93" i="39"/>
  <c r="AH93" i="39"/>
  <c r="Q93" i="39"/>
  <c r="P93" i="39"/>
  <c r="O93" i="39"/>
  <c r="N93" i="39"/>
  <c r="M93" i="39"/>
  <c r="AL92" i="39"/>
  <c r="AK92" i="39"/>
  <c r="AJ92" i="39"/>
  <c r="AI92" i="39"/>
  <c r="AH92" i="39"/>
  <c r="Q92" i="39"/>
  <c r="P92" i="39"/>
  <c r="O92" i="39"/>
  <c r="N92" i="39"/>
  <c r="M92" i="39"/>
  <c r="AL91" i="39"/>
  <c r="AK91" i="39"/>
  <c r="AJ91" i="39"/>
  <c r="AI91" i="39"/>
  <c r="AH91" i="39"/>
  <c r="Q91" i="39"/>
  <c r="P91" i="39"/>
  <c r="O91" i="39"/>
  <c r="N91" i="39"/>
  <c r="M91" i="39"/>
  <c r="AL90" i="39"/>
  <c r="AK90" i="39"/>
  <c r="AJ90" i="39"/>
  <c r="AI90" i="39"/>
  <c r="AH90" i="39"/>
  <c r="Q90" i="39"/>
  <c r="P90" i="39"/>
  <c r="O90" i="39"/>
  <c r="N90" i="39"/>
  <c r="M90" i="39"/>
  <c r="AL89" i="39"/>
  <c r="AK89" i="39"/>
  <c r="AJ89" i="39"/>
  <c r="AI89" i="39"/>
  <c r="AH89" i="39"/>
  <c r="Q89" i="39"/>
  <c r="P89" i="39"/>
  <c r="O89" i="39"/>
  <c r="N89" i="39"/>
  <c r="M89" i="39"/>
  <c r="AL88" i="39"/>
  <c r="AK88" i="39"/>
  <c r="AJ88" i="39"/>
  <c r="AI88" i="39"/>
  <c r="AH88" i="39"/>
  <c r="Q88" i="39"/>
  <c r="P88" i="39"/>
  <c r="O88" i="39"/>
  <c r="N88" i="39"/>
  <c r="M88" i="39"/>
  <c r="AL87" i="39"/>
  <c r="AK87" i="39"/>
  <c r="AJ87" i="39"/>
  <c r="AI87" i="39"/>
  <c r="AH87" i="39"/>
  <c r="Q87" i="39"/>
  <c r="P87" i="39"/>
  <c r="O87" i="39"/>
  <c r="N87" i="39"/>
  <c r="M87" i="39"/>
  <c r="AL86" i="39"/>
  <c r="AK86" i="39"/>
  <c r="AJ86" i="39"/>
  <c r="AI86" i="39"/>
  <c r="AH86" i="39"/>
  <c r="Q86" i="39"/>
  <c r="P86" i="39"/>
  <c r="O86" i="39"/>
  <c r="N86" i="39"/>
  <c r="M86" i="39"/>
  <c r="AL85" i="39"/>
  <c r="AK85" i="39"/>
  <c r="AJ85" i="39"/>
  <c r="AI85" i="39"/>
  <c r="AH85" i="39"/>
  <c r="Q85" i="39"/>
  <c r="P85" i="39"/>
  <c r="O85" i="39"/>
  <c r="N85" i="39"/>
  <c r="M85" i="39"/>
  <c r="AL84" i="39"/>
  <c r="AK84" i="39"/>
  <c r="AJ84" i="39"/>
  <c r="AI84" i="39"/>
  <c r="AH84" i="39"/>
  <c r="Q84" i="39"/>
  <c r="P84" i="39"/>
  <c r="O84" i="39"/>
  <c r="N84" i="39"/>
  <c r="M84" i="39"/>
  <c r="AL83" i="39"/>
  <c r="AK83" i="39"/>
  <c r="AJ83" i="39"/>
  <c r="AI83" i="39"/>
  <c r="AH83" i="39"/>
  <c r="Q83" i="39"/>
  <c r="P83" i="39"/>
  <c r="O83" i="39"/>
  <c r="N83" i="39"/>
  <c r="M83" i="39"/>
  <c r="AL82" i="39"/>
  <c r="AK82" i="39"/>
  <c r="AJ82" i="39"/>
  <c r="AI82" i="39"/>
  <c r="AH82" i="39"/>
  <c r="Q82" i="39"/>
  <c r="P82" i="39"/>
  <c r="O82" i="39"/>
  <c r="N82" i="39"/>
  <c r="M82" i="39"/>
  <c r="AL81" i="39"/>
  <c r="AK81" i="39"/>
  <c r="AJ81" i="39"/>
  <c r="AI81" i="39"/>
  <c r="AH81" i="39"/>
  <c r="Q81" i="39"/>
  <c r="P81" i="39"/>
  <c r="O81" i="39"/>
  <c r="N81" i="39"/>
  <c r="M81" i="39"/>
  <c r="AL80" i="39"/>
  <c r="AK80" i="39"/>
  <c r="AJ80" i="39"/>
  <c r="AI80" i="39"/>
  <c r="AH80" i="39"/>
  <c r="Q80" i="39"/>
  <c r="P80" i="39"/>
  <c r="O80" i="39"/>
  <c r="N80" i="39"/>
  <c r="M80" i="39"/>
  <c r="K102" i="38"/>
  <c r="J102" i="38"/>
  <c r="I102" i="38"/>
  <c r="H102" i="38"/>
  <c r="F102" i="38"/>
  <c r="E102" i="38"/>
  <c r="D102" i="38"/>
  <c r="C102" i="38"/>
  <c r="K101" i="38"/>
  <c r="J101" i="38"/>
  <c r="E101" i="38"/>
  <c r="I101" i="38"/>
  <c r="H101" i="38"/>
  <c r="K100" i="38"/>
  <c r="J100" i="38"/>
  <c r="I100" i="38"/>
  <c r="H100" i="38"/>
  <c r="F100" i="38"/>
  <c r="E100" i="38"/>
  <c r="D100" i="38"/>
  <c r="C100" i="38"/>
  <c r="K99" i="38"/>
  <c r="J99" i="38"/>
  <c r="I99" i="38"/>
  <c r="H99" i="38"/>
  <c r="F99" i="38"/>
  <c r="E99" i="38"/>
  <c r="D99" i="38"/>
  <c r="C99" i="38"/>
  <c r="K98" i="38"/>
  <c r="J98" i="38"/>
  <c r="I98" i="38"/>
  <c r="H98" i="38"/>
  <c r="F98" i="38"/>
  <c r="E98" i="38"/>
  <c r="D98" i="38"/>
  <c r="C98" i="38"/>
  <c r="K97" i="38"/>
  <c r="J97" i="38"/>
  <c r="I97" i="38"/>
  <c r="H97" i="38"/>
  <c r="E97" i="38"/>
  <c r="K96" i="38"/>
  <c r="J96" i="38"/>
  <c r="I96" i="38"/>
  <c r="H96" i="38"/>
  <c r="F96" i="38"/>
  <c r="E96" i="38"/>
  <c r="D96" i="38"/>
  <c r="C96" i="38"/>
  <c r="K95" i="38"/>
  <c r="J95" i="38"/>
  <c r="I95" i="38"/>
  <c r="H95" i="38"/>
  <c r="F95" i="38"/>
  <c r="E95" i="38"/>
  <c r="D95" i="38"/>
  <c r="C95" i="38"/>
  <c r="K94" i="38"/>
  <c r="J94" i="38"/>
  <c r="I94" i="38"/>
  <c r="H94" i="38"/>
  <c r="F94" i="38"/>
  <c r="E94" i="38"/>
  <c r="D94" i="38"/>
  <c r="C94" i="38"/>
  <c r="K93" i="38"/>
  <c r="J93" i="38"/>
  <c r="E93" i="38"/>
  <c r="I93" i="38"/>
  <c r="H93" i="38"/>
  <c r="K92" i="38"/>
  <c r="J92" i="38"/>
  <c r="I92" i="38"/>
  <c r="H92" i="38"/>
  <c r="F92" i="38"/>
  <c r="E92" i="38"/>
  <c r="D92" i="38"/>
  <c r="C92" i="38"/>
  <c r="K91" i="38"/>
  <c r="J91" i="38"/>
  <c r="I91" i="38"/>
  <c r="H91" i="38"/>
  <c r="F91" i="38"/>
  <c r="E91" i="38"/>
  <c r="D91" i="38"/>
  <c r="C91" i="38"/>
  <c r="K90" i="38"/>
  <c r="J90" i="38"/>
  <c r="I90" i="38"/>
  <c r="H90" i="38"/>
  <c r="F90" i="38"/>
  <c r="E90" i="38"/>
  <c r="D90" i="38"/>
  <c r="C90" i="38"/>
  <c r="K89" i="38"/>
  <c r="J89" i="38"/>
  <c r="I89" i="38"/>
  <c r="H89" i="38"/>
  <c r="E89" i="38"/>
  <c r="K88" i="38"/>
  <c r="J88" i="38"/>
  <c r="I88" i="38"/>
  <c r="H88" i="38"/>
  <c r="F88" i="38"/>
  <c r="E88" i="38"/>
  <c r="D88" i="38"/>
  <c r="C88" i="38"/>
  <c r="K87" i="38"/>
  <c r="J87" i="38"/>
  <c r="I87" i="38"/>
  <c r="H87" i="38"/>
  <c r="F87" i="38"/>
  <c r="E87" i="38"/>
  <c r="D87" i="38"/>
  <c r="C87" i="38"/>
  <c r="K86" i="38"/>
  <c r="J86" i="38"/>
  <c r="I86" i="38"/>
  <c r="H86" i="38"/>
  <c r="F86" i="38"/>
  <c r="E86" i="38"/>
  <c r="D86" i="38"/>
  <c r="C86" i="38"/>
  <c r="K85" i="38"/>
  <c r="J85" i="38"/>
  <c r="E85" i="38"/>
  <c r="I85" i="38"/>
  <c r="H85" i="38"/>
  <c r="K84" i="38"/>
  <c r="J84" i="38"/>
  <c r="I84" i="38"/>
  <c r="H84" i="38"/>
  <c r="F84" i="38"/>
  <c r="E84" i="38"/>
  <c r="D84" i="38"/>
  <c r="C84" i="38"/>
  <c r="K83" i="38"/>
  <c r="J83" i="38"/>
  <c r="I83" i="38"/>
  <c r="H83" i="38"/>
  <c r="F83" i="38"/>
  <c r="E83" i="38"/>
  <c r="D83" i="38"/>
  <c r="C83" i="38"/>
  <c r="K82" i="38"/>
  <c r="J82" i="38"/>
  <c r="I82" i="38"/>
  <c r="H82" i="38"/>
  <c r="F82" i="38"/>
  <c r="E82" i="38"/>
  <c r="D82" i="38"/>
  <c r="C82" i="38"/>
  <c r="K81" i="38"/>
  <c r="J81" i="38"/>
  <c r="I81" i="38"/>
  <c r="H81" i="38"/>
  <c r="E81" i="38"/>
  <c r="K80" i="38"/>
  <c r="F80" i="38"/>
  <c r="E80" i="38"/>
  <c r="D80" i="38"/>
  <c r="C80" i="38"/>
  <c r="K79" i="38"/>
  <c r="AA79" i="39"/>
  <c r="AK79" i="39"/>
  <c r="J79" i="38"/>
  <c r="H79" i="38"/>
  <c r="X79" i="39"/>
  <c r="AH79" i="39"/>
  <c r="F79" i="38"/>
  <c r="E79" i="38"/>
  <c r="D79" i="38"/>
  <c r="C79" i="38"/>
  <c r="K78" i="38"/>
  <c r="AA78" i="39"/>
  <c r="AK78" i="39"/>
  <c r="J78" i="38"/>
  <c r="I78" i="38"/>
  <c r="D78" i="39"/>
  <c r="N78" i="39"/>
  <c r="X78" i="39"/>
  <c r="AH78" i="39"/>
  <c r="F78" i="38"/>
  <c r="E78" i="38"/>
  <c r="D78" i="38"/>
  <c r="C78" i="38"/>
  <c r="K77" i="38"/>
  <c r="AA77" i="39"/>
  <c r="AK77" i="39"/>
  <c r="J77" i="38"/>
  <c r="I77" i="38"/>
  <c r="D77" i="39"/>
  <c r="N77" i="39"/>
  <c r="X77" i="39"/>
  <c r="AH77" i="39"/>
  <c r="F77" i="38"/>
  <c r="E77" i="38"/>
  <c r="D77" i="38"/>
  <c r="C77" i="38"/>
  <c r="K76" i="38"/>
  <c r="AA76" i="39"/>
  <c r="AK76" i="39"/>
  <c r="J76" i="38"/>
  <c r="I76" i="38"/>
  <c r="D76" i="39"/>
  <c r="N76" i="39"/>
  <c r="X76" i="39"/>
  <c r="AH76" i="39"/>
  <c r="F76" i="38"/>
  <c r="E76" i="38"/>
  <c r="D76" i="38"/>
  <c r="C76" i="38"/>
  <c r="K75" i="38"/>
  <c r="AA75" i="39"/>
  <c r="AK75" i="39"/>
  <c r="E75" i="39"/>
  <c r="O75" i="39"/>
  <c r="I75" i="38"/>
  <c r="D75" i="39"/>
  <c r="N75" i="39"/>
  <c r="F75" i="38"/>
  <c r="E75" i="38"/>
  <c r="D75" i="38"/>
  <c r="C75" i="38"/>
  <c r="K74" i="38"/>
  <c r="AA74" i="39"/>
  <c r="AK74" i="39"/>
  <c r="J74" i="38"/>
  <c r="I74" i="38"/>
  <c r="D74" i="39"/>
  <c r="N74" i="39"/>
  <c r="X74" i="39"/>
  <c r="AH74" i="39"/>
  <c r="F74" i="38"/>
  <c r="E74" i="38"/>
  <c r="D74" i="38"/>
  <c r="C74" i="38"/>
  <c r="K73" i="38"/>
  <c r="AA73" i="39"/>
  <c r="AK73" i="39"/>
  <c r="J73" i="38"/>
  <c r="I73" i="38"/>
  <c r="D73" i="39"/>
  <c r="N73" i="39"/>
  <c r="X73" i="39"/>
  <c r="AH73" i="39"/>
  <c r="F73" i="38"/>
  <c r="E73" i="38"/>
  <c r="D73" i="38"/>
  <c r="C73" i="38"/>
  <c r="K72" i="38"/>
  <c r="AA72" i="39"/>
  <c r="AK72" i="39"/>
  <c r="J72" i="38"/>
  <c r="I72" i="38"/>
  <c r="D72" i="39"/>
  <c r="N72" i="39"/>
  <c r="X72" i="39"/>
  <c r="AH72" i="39"/>
  <c r="F72" i="38"/>
  <c r="E72" i="38"/>
  <c r="D72" i="38"/>
  <c r="C72" i="38"/>
  <c r="K71" i="38"/>
  <c r="AA71" i="39"/>
  <c r="AK71" i="39"/>
  <c r="E71" i="39"/>
  <c r="O71" i="39"/>
  <c r="I71" i="38"/>
  <c r="D71" i="39"/>
  <c r="N71" i="39"/>
  <c r="X71" i="39"/>
  <c r="AH71" i="39"/>
  <c r="F71" i="38"/>
  <c r="E71" i="38"/>
  <c r="D71" i="38"/>
  <c r="C71" i="38"/>
  <c r="K70" i="38"/>
  <c r="AA70" i="39"/>
  <c r="AK70" i="39"/>
  <c r="J70" i="38"/>
  <c r="I70" i="38"/>
  <c r="D70" i="39"/>
  <c r="N70" i="39"/>
  <c r="X70" i="39"/>
  <c r="AH70" i="39"/>
  <c r="F70" i="38"/>
  <c r="E70" i="38"/>
  <c r="D70" i="38"/>
  <c r="C70" i="38"/>
  <c r="K69" i="38"/>
  <c r="AA69" i="39"/>
  <c r="AK69" i="39"/>
  <c r="J69" i="38"/>
  <c r="I69" i="38"/>
  <c r="D69" i="39"/>
  <c r="N69" i="39"/>
  <c r="X69" i="39"/>
  <c r="AH69" i="39"/>
  <c r="F69" i="38"/>
  <c r="E69" i="38"/>
  <c r="D69" i="38"/>
  <c r="C69" i="38"/>
  <c r="K68" i="38"/>
  <c r="AA68" i="39"/>
  <c r="AK68" i="39"/>
  <c r="J68" i="38"/>
  <c r="I68" i="38"/>
  <c r="D68" i="39"/>
  <c r="N68" i="39"/>
  <c r="X68" i="39"/>
  <c r="AH68" i="39"/>
  <c r="F68" i="38"/>
  <c r="E68" i="38"/>
  <c r="D68" i="38"/>
  <c r="C68" i="38"/>
  <c r="K67" i="38"/>
  <c r="AA67" i="39"/>
  <c r="AK67" i="39"/>
  <c r="J67" i="38"/>
  <c r="E67" i="39"/>
  <c r="O67" i="39"/>
  <c r="X67" i="39"/>
  <c r="AH67" i="39"/>
  <c r="F67" i="38"/>
  <c r="E67" i="38"/>
  <c r="D67" i="38"/>
  <c r="C67" i="38"/>
  <c r="K66" i="38"/>
  <c r="AA66" i="39"/>
  <c r="AK66" i="39"/>
  <c r="J66" i="38"/>
  <c r="I66" i="38"/>
  <c r="D66" i="39"/>
  <c r="N66" i="39"/>
  <c r="X66" i="39"/>
  <c r="AH66" i="39"/>
  <c r="F66" i="38"/>
  <c r="E66" i="38"/>
  <c r="D66" i="38"/>
  <c r="C66" i="38"/>
  <c r="K65" i="38"/>
  <c r="AA65" i="39"/>
  <c r="AK65" i="39"/>
  <c r="J65" i="38"/>
  <c r="D65" i="39"/>
  <c r="N65" i="39"/>
  <c r="H12" i="38"/>
  <c r="F65" i="38"/>
  <c r="E65" i="38"/>
  <c r="D65" i="38"/>
  <c r="C65" i="38"/>
  <c r="K61" i="38"/>
  <c r="F61" i="39"/>
  <c r="P61" i="39"/>
  <c r="K62" i="38"/>
  <c r="F61" i="38"/>
  <c r="K60" i="38"/>
  <c r="AA60" i="39"/>
  <c r="AK60" i="39"/>
  <c r="I60" i="38"/>
  <c r="Y60" i="39"/>
  <c r="AI60" i="39"/>
  <c r="F60" i="38"/>
  <c r="K59" i="38"/>
  <c r="Y59" i="39"/>
  <c r="AI59" i="39"/>
  <c r="AA58" i="38"/>
  <c r="K58" i="38"/>
  <c r="AA58" i="39"/>
  <c r="AK58" i="39"/>
  <c r="F58" i="38"/>
  <c r="AA57" i="38"/>
  <c r="AB57" i="38"/>
  <c r="K57" i="38"/>
  <c r="AA56" i="38"/>
  <c r="AB56" i="38"/>
  <c r="K56" i="38"/>
  <c r="D56" i="39"/>
  <c r="N56" i="39"/>
  <c r="F56" i="38"/>
  <c r="AA55" i="38"/>
  <c r="AB55" i="38"/>
  <c r="K55" i="38"/>
  <c r="I55" i="38"/>
  <c r="AA54" i="38"/>
  <c r="AB54" i="38"/>
  <c r="K54" i="38"/>
  <c r="F54" i="38"/>
  <c r="AA53" i="38"/>
  <c r="AB53" i="38"/>
  <c r="K53" i="38"/>
  <c r="I53" i="38"/>
  <c r="AA52" i="38"/>
  <c r="AB52" i="38"/>
  <c r="K52" i="38"/>
  <c r="D52" i="39"/>
  <c r="N52" i="39"/>
  <c r="AA51" i="38"/>
  <c r="AB51" i="38"/>
  <c r="K51" i="38"/>
  <c r="I51" i="38"/>
  <c r="Y51" i="39"/>
  <c r="AI51" i="39"/>
  <c r="D51" i="38"/>
  <c r="AA50" i="38"/>
  <c r="AB50" i="38"/>
  <c r="K50" i="38"/>
  <c r="C50" i="38"/>
  <c r="AA49" i="38"/>
  <c r="AB49" i="38"/>
  <c r="K49" i="38"/>
  <c r="Y49" i="39"/>
  <c r="AI49" i="39"/>
  <c r="D49" i="38"/>
  <c r="AA48" i="38"/>
  <c r="AB48" i="38"/>
  <c r="K48" i="38"/>
  <c r="D48" i="39"/>
  <c r="N48" i="39"/>
  <c r="AA47" i="38"/>
  <c r="AB47" i="38"/>
  <c r="K47" i="38"/>
  <c r="I47" i="38"/>
  <c r="Y47" i="39"/>
  <c r="AI47" i="39"/>
  <c r="AA46" i="38"/>
  <c r="AB46" i="38"/>
  <c r="K46" i="38"/>
  <c r="AA45" i="38"/>
  <c r="AB45" i="38"/>
  <c r="K45" i="38"/>
  <c r="I45" i="38"/>
  <c r="Y45" i="39"/>
  <c r="AI45" i="39"/>
  <c r="AA44" i="38"/>
  <c r="AB44" i="38"/>
  <c r="K44" i="38"/>
  <c r="D44" i="39"/>
  <c r="N44" i="39"/>
  <c r="AA43" i="38"/>
  <c r="AB43" i="38"/>
  <c r="K43" i="38"/>
  <c r="I43" i="38"/>
  <c r="Y43" i="39"/>
  <c r="AI43" i="39"/>
  <c r="D43" i="38"/>
  <c r="AA42" i="38"/>
  <c r="AB42" i="38"/>
  <c r="K42" i="38"/>
  <c r="F42" i="38"/>
  <c r="C42" i="38"/>
  <c r="AA41" i="38"/>
  <c r="AB41" i="38"/>
  <c r="K41" i="38"/>
  <c r="Y41" i="39"/>
  <c r="AI41" i="39"/>
  <c r="D41" i="38"/>
  <c r="AK40" i="38"/>
  <c r="AF40" i="38"/>
  <c r="AA40" i="38"/>
  <c r="AB40" i="38"/>
  <c r="K40" i="38"/>
  <c r="AK39" i="38"/>
  <c r="AF39" i="38"/>
  <c r="AA39" i="38"/>
  <c r="AB39" i="38"/>
  <c r="K39" i="38"/>
  <c r="I39" i="38"/>
  <c r="Y39" i="39"/>
  <c r="AI39" i="39"/>
  <c r="AK38" i="38"/>
  <c r="AF38" i="38"/>
  <c r="AA38" i="38"/>
  <c r="AB38" i="38"/>
  <c r="K38" i="38"/>
  <c r="D38" i="39"/>
  <c r="N38" i="39"/>
  <c r="AK37" i="38"/>
  <c r="AF37" i="38"/>
  <c r="I37" i="38"/>
  <c r="Y37" i="39"/>
  <c r="AI37" i="39"/>
  <c r="AK36" i="38"/>
  <c r="AF36" i="38"/>
  <c r="AA36" i="38"/>
  <c r="AB36" i="38"/>
  <c r="K36" i="38"/>
  <c r="AK35" i="38"/>
  <c r="AF35" i="38"/>
  <c r="AA35" i="38"/>
  <c r="AB35" i="38"/>
  <c r="K35" i="38"/>
  <c r="I35" i="38"/>
  <c r="Y35" i="39"/>
  <c r="AI35" i="39"/>
  <c r="D35" i="38"/>
  <c r="AK34" i="38"/>
  <c r="AF34" i="38"/>
  <c r="AA34" i="38"/>
  <c r="AB34" i="38"/>
  <c r="K34" i="38"/>
  <c r="D34" i="39"/>
  <c r="N34" i="39"/>
  <c r="F34" i="38"/>
  <c r="C34" i="38"/>
  <c r="I33" i="38"/>
  <c r="D33" i="39"/>
  <c r="N33" i="39"/>
  <c r="D33" i="38"/>
  <c r="C12" i="38"/>
  <c r="AQ62" i="37"/>
  <c r="AL58" i="37"/>
  <c r="AL53" i="37"/>
  <c r="AL62" i="37"/>
  <c r="AK58" i="37"/>
  <c r="AK53" i="37"/>
  <c r="AK62" i="37"/>
  <c r="AJ58" i="37"/>
  <c r="AJ53" i="37"/>
  <c r="AI58" i="37"/>
  <c r="AI53" i="37"/>
  <c r="AH58" i="37"/>
  <c r="AH53" i="37"/>
  <c r="AH62" i="37"/>
  <c r="AB62" i="37"/>
  <c r="AA62" i="37"/>
  <c r="Z62" i="37"/>
  <c r="Y62" i="37"/>
  <c r="X62" i="37"/>
  <c r="V62" i="37"/>
  <c r="Q58" i="37"/>
  <c r="Q53" i="37"/>
  <c r="Q62" i="37"/>
  <c r="P58" i="37"/>
  <c r="P53" i="37"/>
  <c r="O58" i="37"/>
  <c r="O53" i="37"/>
  <c r="O62" i="37"/>
  <c r="N58" i="37"/>
  <c r="N53" i="37"/>
  <c r="N62" i="37"/>
  <c r="M58" i="37"/>
  <c r="M53" i="37"/>
  <c r="M62" i="37"/>
  <c r="G62" i="37"/>
  <c r="F62" i="37"/>
  <c r="E62" i="37"/>
  <c r="D62" i="37"/>
  <c r="C62" i="37"/>
  <c r="AQ61" i="37"/>
  <c r="AL48" i="37"/>
  <c r="AK48" i="37"/>
  <c r="AK61" i="37"/>
  <c r="AJ48" i="37"/>
  <c r="AI48" i="37"/>
  <c r="AI61" i="37"/>
  <c r="AH48" i="37"/>
  <c r="AB61" i="37"/>
  <c r="AA61" i="37"/>
  <c r="Z61" i="37"/>
  <c r="Y61" i="37"/>
  <c r="X61" i="37"/>
  <c r="V61" i="37"/>
  <c r="Q48" i="37"/>
  <c r="P48" i="37"/>
  <c r="O48" i="37"/>
  <c r="O61" i="37"/>
  <c r="N48" i="37"/>
  <c r="M48" i="37"/>
  <c r="G61" i="37"/>
  <c r="F61" i="37"/>
  <c r="E61" i="37"/>
  <c r="D61" i="37"/>
  <c r="C61" i="37"/>
  <c r="AQ60" i="37"/>
  <c r="AL57" i="37"/>
  <c r="AK57" i="37"/>
  <c r="AK60" i="37"/>
  <c r="AJ57" i="37"/>
  <c r="AI57" i="37"/>
  <c r="AI60" i="37"/>
  <c r="AH57" i="37"/>
  <c r="AB60" i="37"/>
  <c r="AA60" i="37"/>
  <c r="Z60" i="37"/>
  <c r="Y60" i="37"/>
  <c r="X60" i="37"/>
  <c r="V60" i="37"/>
  <c r="Q57" i="37"/>
  <c r="P57" i="37"/>
  <c r="O57" i="37"/>
  <c r="O60" i="37"/>
  <c r="N57" i="37"/>
  <c r="M57" i="37"/>
  <c r="G60" i="37"/>
  <c r="F60" i="37"/>
  <c r="E60" i="37"/>
  <c r="D60" i="37"/>
  <c r="C60" i="37"/>
  <c r="AL56" i="37"/>
  <c r="AK56" i="37"/>
  <c r="AJ56" i="37"/>
  <c r="AI56" i="37"/>
  <c r="AH56" i="37"/>
  <c r="Q56" i="37"/>
  <c r="P56" i="37"/>
  <c r="O56" i="37"/>
  <c r="N56" i="37"/>
  <c r="M56" i="37"/>
  <c r="AL55" i="37"/>
  <c r="AK55" i="37"/>
  <c r="AJ55" i="37"/>
  <c r="AI55" i="37"/>
  <c r="AH55" i="37"/>
  <c r="Q55" i="37"/>
  <c r="P55" i="37"/>
  <c r="O55" i="37"/>
  <c r="N55" i="37"/>
  <c r="M55" i="37"/>
  <c r="AL54" i="37"/>
  <c r="AK54" i="37"/>
  <c r="AJ54" i="37"/>
  <c r="AI54" i="37"/>
  <c r="AH54" i="37"/>
  <c r="Q54" i="37"/>
  <c r="P54" i="37"/>
  <c r="O54" i="37"/>
  <c r="N54" i="37"/>
  <c r="M54" i="37"/>
  <c r="AL52" i="37"/>
  <c r="AK52" i="37"/>
  <c r="AJ52" i="37"/>
  <c r="AI52" i="37"/>
  <c r="AH52" i="37"/>
  <c r="Q52" i="37"/>
  <c r="P52" i="37"/>
  <c r="O52" i="37"/>
  <c r="N52" i="37"/>
  <c r="M52" i="37"/>
  <c r="AL51" i="37"/>
  <c r="AK51" i="37"/>
  <c r="AJ51" i="37"/>
  <c r="AI51" i="37"/>
  <c r="AH51" i="37"/>
  <c r="Q51" i="37"/>
  <c r="P51" i="37"/>
  <c r="O51" i="37"/>
  <c r="N51" i="37"/>
  <c r="M51" i="37"/>
  <c r="AL50" i="37"/>
  <c r="AK50" i="37"/>
  <c r="AJ50" i="37"/>
  <c r="AI50" i="37"/>
  <c r="AH50" i="37"/>
  <c r="Q50" i="37"/>
  <c r="P50" i="37"/>
  <c r="O50" i="37"/>
  <c r="N50" i="37"/>
  <c r="M50" i="37"/>
  <c r="AL49" i="37"/>
  <c r="AK49" i="37"/>
  <c r="AJ49" i="37"/>
  <c r="AI49" i="37"/>
  <c r="AH49" i="37"/>
  <c r="Q49" i="37"/>
  <c r="P49" i="37"/>
  <c r="O49" i="37"/>
  <c r="N49" i="37"/>
  <c r="M49" i="37"/>
  <c r="AL47" i="37"/>
  <c r="AK47" i="37"/>
  <c r="AJ47" i="37"/>
  <c r="AI47" i="37"/>
  <c r="AH47" i="37"/>
  <c r="Q47" i="37"/>
  <c r="P47" i="37"/>
  <c r="O47" i="37"/>
  <c r="N47" i="37"/>
  <c r="M47" i="37"/>
  <c r="AL46" i="37"/>
  <c r="AK46" i="37"/>
  <c r="AJ46" i="37"/>
  <c r="AI46" i="37"/>
  <c r="AH46" i="37"/>
  <c r="Q46" i="37"/>
  <c r="P46" i="37"/>
  <c r="O46" i="37"/>
  <c r="N46" i="37"/>
  <c r="M46" i="37"/>
  <c r="AL45" i="37"/>
  <c r="AK45" i="37"/>
  <c r="AJ45" i="37"/>
  <c r="AI45" i="37"/>
  <c r="AH45" i="37"/>
  <c r="Q45" i="37"/>
  <c r="P45" i="37"/>
  <c r="O45" i="37"/>
  <c r="N45" i="37"/>
  <c r="M45" i="37"/>
  <c r="AL44" i="37"/>
  <c r="AK44" i="37"/>
  <c r="AJ44" i="37"/>
  <c r="AI44" i="37"/>
  <c r="AH44" i="37"/>
  <c r="Q44" i="37"/>
  <c r="P44" i="37"/>
  <c r="O44" i="37"/>
  <c r="N44" i="37"/>
  <c r="M44" i="37"/>
  <c r="AL43" i="37"/>
  <c r="AK43" i="37"/>
  <c r="AJ43" i="37"/>
  <c r="AI43" i="37"/>
  <c r="AH43" i="37"/>
  <c r="Q43" i="37"/>
  <c r="P43" i="37"/>
  <c r="O43" i="37"/>
  <c r="N43" i="37"/>
  <c r="M43" i="37"/>
  <c r="AL42" i="37"/>
  <c r="AK42" i="37"/>
  <c r="AJ42" i="37"/>
  <c r="AI42" i="37"/>
  <c r="AH42" i="37"/>
  <c r="Q42" i="37"/>
  <c r="P42" i="37"/>
  <c r="O42" i="37"/>
  <c r="N42" i="37"/>
  <c r="M42" i="37"/>
  <c r="AL41" i="37"/>
  <c r="AK41" i="37"/>
  <c r="AJ41" i="37"/>
  <c r="AI41" i="37"/>
  <c r="AH41" i="37"/>
  <c r="Q41" i="37"/>
  <c r="P41" i="37"/>
  <c r="O41" i="37"/>
  <c r="N41" i="37"/>
  <c r="M41" i="37"/>
  <c r="AL40" i="37"/>
  <c r="AK40" i="37"/>
  <c r="AJ40" i="37"/>
  <c r="AI40" i="37"/>
  <c r="AH40" i="37"/>
  <c r="Q40" i="37"/>
  <c r="P40" i="37"/>
  <c r="O40" i="37"/>
  <c r="N40" i="37"/>
  <c r="M40" i="37"/>
  <c r="AL39" i="37"/>
  <c r="AK39" i="37"/>
  <c r="AJ39" i="37"/>
  <c r="AI39" i="37"/>
  <c r="AH39" i="37"/>
  <c r="Q39" i="37"/>
  <c r="P39" i="37"/>
  <c r="O39" i="37"/>
  <c r="N39" i="37"/>
  <c r="M39" i="37"/>
  <c r="AL38" i="37"/>
  <c r="AK38" i="37"/>
  <c r="AJ38" i="37"/>
  <c r="AI38" i="37"/>
  <c r="AH38" i="37"/>
  <c r="Q38" i="37"/>
  <c r="P38" i="37"/>
  <c r="O38" i="37"/>
  <c r="N38" i="37"/>
  <c r="M38" i="37"/>
  <c r="AL37" i="37"/>
  <c r="AK37" i="37"/>
  <c r="AJ37" i="37"/>
  <c r="AI37" i="37"/>
  <c r="AH37" i="37"/>
  <c r="Q37" i="37"/>
  <c r="P37" i="37"/>
  <c r="O37" i="37"/>
  <c r="N37" i="37"/>
  <c r="M37" i="37"/>
  <c r="AL36" i="37"/>
  <c r="AK36" i="37"/>
  <c r="AJ36" i="37"/>
  <c r="AI36" i="37"/>
  <c r="AH36" i="37"/>
  <c r="Q36" i="37"/>
  <c r="P36" i="37"/>
  <c r="O36" i="37"/>
  <c r="N36" i="37"/>
  <c r="M36" i="37"/>
  <c r="AL35" i="37"/>
  <c r="AK35" i="37"/>
  <c r="AJ35" i="37"/>
  <c r="AI35" i="37"/>
  <c r="AH35" i="37"/>
  <c r="Q35" i="37"/>
  <c r="P35" i="37"/>
  <c r="O35" i="37"/>
  <c r="N35" i="37"/>
  <c r="M35" i="37"/>
  <c r="AL34" i="37"/>
  <c r="AK34" i="37"/>
  <c r="AJ34" i="37"/>
  <c r="AI34" i="37"/>
  <c r="AH34" i="37"/>
  <c r="Q34" i="37"/>
  <c r="P34" i="37"/>
  <c r="O34" i="37"/>
  <c r="N34" i="37"/>
  <c r="M34" i="37"/>
  <c r="AL33" i="37"/>
  <c r="AK33" i="37"/>
  <c r="AJ33" i="37"/>
  <c r="AI33" i="37"/>
  <c r="AH33" i="37"/>
  <c r="Q33" i="37"/>
  <c r="P33" i="37"/>
  <c r="O33" i="37"/>
  <c r="N33" i="37"/>
  <c r="M33" i="37"/>
  <c r="AL32" i="37"/>
  <c r="AK32" i="37"/>
  <c r="AJ32" i="37"/>
  <c r="AI32" i="37"/>
  <c r="AH32" i="37"/>
  <c r="Q32" i="37"/>
  <c r="P32" i="37"/>
  <c r="O32" i="37"/>
  <c r="N32" i="37"/>
  <c r="M32" i="37"/>
  <c r="AL31" i="37"/>
  <c r="AK31" i="37"/>
  <c r="AJ31" i="37"/>
  <c r="AI31" i="37"/>
  <c r="AH31" i="37"/>
  <c r="Q31" i="37"/>
  <c r="P31" i="37"/>
  <c r="O31" i="37"/>
  <c r="N31" i="37"/>
  <c r="M31" i="37"/>
  <c r="AL30" i="37"/>
  <c r="AK30" i="37"/>
  <c r="AJ30" i="37"/>
  <c r="AI30" i="37"/>
  <c r="AH30" i="37"/>
  <c r="Q30" i="37"/>
  <c r="P30" i="37"/>
  <c r="O30" i="37"/>
  <c r="N30" i="37"/>
  <c r="M30" i="37"/>
  <c r="AL29" i="37"/>
  <c r="AK29" i="37"/>
  <c r="AJ29" i="37"/>
  <c r="AI29" i="37"/>
  <c r="AH29" i="37"/>
  <c r="Q29" i="37"/>
  <c r="P29" i="37"/>
  <c r="O29" i="37"/>
  <c r="N29" i="37"/>
  <c r="M29" i="37"/>
  <c r="AL28" i="37"/>
  <c r="AK28" i="37"/>
  <c r="AJ28" i="37"/>
  <c r="AI28" i="37"/>
  <c r="AH28" i="37"/>
  <c r="Q28" i="37"/>
  <c r="P28" i="37"/>
  <c r="O28" i="37"/>
  <c r="N28" i="37"/>
  <c r="M28" i="37"/>
  <c r="AL27" i="37"/>
  <c r="AK27" i="37"/>
  <c r="AJ27" i="37"/>
  <c r="AI27" i="37"/>
  <c r="AH27" i="37"/>
  <c r="Q27" i="37"/>
  <c r="P27" i="37"/>
  <c r="O27" i="37"/>
  <c r="N27" i="37"/>
  <c r="M27" i="37"/>
  <c r="AL26" i="37"/>
  <c r="AK26" i="37"/>
  <c r="AJ26" i="37"/>
  <c r="AI26" i="37"/>
  <c r="AH26" i="37"/>
  <c r="Q26" i="37"/>
  <c r="P26" i="37"/>
  <c r="O26" i="37"/>
  <c r="N26" i="37"/>
  <c r="M26" i="37"/>
  <c r="AL25" i="37"/>
  <c r="AK25" i="37"/>
  <c r="AJ25" i="37"/>
  <c r="AI25" i="37"/>
  <c r="AH25" i="37"/>
  <c r="Q25" i="37"/>
  <c r="P25" i="37"/>
  <c r="O25" i="37"/>
  <c r="N25" i="37"/>
  <c r="M25" i="37"/>
  <c r="AL24" i="37"/>
  <c r="AK24" i="37"/>
  <c r="AJ24" i="37"/>
  <c r="AI24" i="37"/>
  <c r="AH24" i="37"/>
  <c r="Q24" i="37"/>
  <c r="P24" i="37"/>
  <c r="O24" i="37"/>
  <c r="N24" i="37"/>
  <c r="M24" i="37"/>
  <c r="AL23" i="37"/>
  <c r="AK23" i="37"/>
  <c r="AJ23" i="37"/>
  <c r="AI23" i="37"/>
  <c r="AH23" i="37"/>
  <c r="Q23" i="37"/>
  <c r="P23" i="37"/>
  <c r="O23" i="37"/>
  <c r="N23" i="37"/>
  <c r="M23" i="37"/>
  <c r="AL22" i="37"/>
  <c r="AK22" i="37"/>
  <c r="AJ22" i="37"/>
  <c r="AI22" i="37"/>
  <c r="AH22" i="37"/>
  <c r="Q22" i="37"/>
  <c r="P22" i="37"/>
  <c r="O22" i="37"/>
  <c r="N22" i="37"/>
  <c r="M22" i="37"/>
  <c r="AL21" i="37"/>
  <c r="AK21" i="37"/>
  <c r="AJ21" i="37"/>
  <c r="AI21" i="37"/>
  <c r="AH21" i="37"/>
  <c r="Q21" i="37"/>
  <c r="P21" i="37"/>
  <c r="O21" i="37"/>
  <c r="N21" i="37"/>
  <c r="M21" i="37"/>
  <c r="AL20" i="37"/>
  <c r="AK20" i="37"/>
  <c r="AJ20" i="37"/>
  <c r="AI20" i="37"/>
  <c r="AH20" i="37"/>
  <c r="Q20" i="37"/>
  <c r="P20" i="37"/>
  <c r="O20" i="37"/>
  <c r="N20" i="37"/>
  <c r="M20" i="37"/>
  <c r="AL19" i="37"/>
  <c r="AK19" i="37"/>
  <c r="AJ19" i="37"/>
  <c r="AI19" i="37"/>
  <c r="AH19" i="37"/>
  <c r="Q19" i="37"/>
  <c r="P19" i="37"/>
  <c r="O19" i="37"/>
  <c r="N19" i="37"/>
  <c r="M19" i="37"/>
  <c r="AL18" i="37"/>
  <c r="AK18" i="37"/>
  <c r="AJ18" i="37"/>
  <c r="AI18" i="37"/>
  <c r="AH18" i="37"/>
  <c r="Q18" i="37"/>
  <c r="P18" i="37"/>
  <c r="O18" i="37"/>
  <c r="N18" i="37"/>
  <c r="M18" i="37"/>
  <c r="AL17" i="37"/>
  <c r="AK17" i="37"/>
  <c r="AJ17" i="37"/>
  <c r="AI17" i="37"/>
  <c r="AH17" i="37"/>
  <c r="Q17" i="37"/>
  <c r="P17" i="37"/>
  <c r="O17" i="37"/>
  <c r="N17" i="37"/>
  <c r="M17" i="37"/>
  <c r="AL16" i="37"/>
  <c r="AK16" i="37"/>
  <c r="AJ16" i="37"/>
  <c r="AI16" i="37"/>
  <c r="AH16" i="37"/>
  <c r="Q16" i="37"/>
  <c r="P16" i="37"/>
  <c r="O16" i="37"/>
  <c r="N16" i="37"/>
  <c r="M16" i="37"/>
  <c r="AL15" i="37"/>
  <c r="AK15" i="37"/>
  <c r="AJ15" i="37"/>
  <c r="AI15" i="37"/>
  <c r="AH15" i="37"/>
  <c r="Q15" i="37"/>
  <c r="P15" i="37"/>
  <c r="O15" i="37"/>
  <c r="N15" i="37"/>
  <c r="M15" i="37"/>
  <c r="AL14" i="37"/>
  <c r="AK14" i="37"/>
  <c r="AJ14" i="37"/>
  <c r="AI14" i="37"/>
  <c r="AH14" i="37"/>
  <c r="Q14" i="37"/>
  <c r="P14" i="37"/>
  <c r="O14" i="37"/>
  <c r="N14" i="37"/>
  <c r="M14" i="37"/>
  <c r="AL13" i="37"/>
  <c r="AK13" i="37"/>
  <c r="AJ13" i="37"/>
  <c r="AI13" i="37"/>
  <c r="AH13" i="37"/>
  <c r="Q13" i="37"/>
  <c r="P13" i="37"/>
  <c r="O13" i="37"/>
  <c r="N13" i="37"/>
  <c r="M13" i="37"/>
  <c r="AL12" i="37"/>
  <c r="AK12" i="37"/>
  <c r="AJ12" i="37"/>
  <c r="AI12" i="37"/>
  <c r="AH12" i="37"/>
  <c r="Q12" i="37"/>
  <c r="P12" i="37"/>
  <c r="O12" i="37"/>
  <c r="N12" i="37"/>
  <c r="M12" i="37"/>
  <c r="AL11" i="37"/>
  <c r="AK11" i="37"/>
  <c r="AJ11" i="37"/>
  <c r="AI11" i="37"/>
  <c r="AH11" i="37"/>
  <c r="Q11" i="37"/>
  <c r="P11" i="37"/>
  <c r="O11" i="37"/>
  <c r="N11" i="37"/>
  <c r="M11" i="37"/>
  <c r="AL10" i="37"/>
  <c r="AK10" i="37"/>
  <c r="AJ10" i="37"/>
  <c r="AI10" i="37"/>
  <c r="AH10" i="37"/>
  <c r="Q10" i="37"/>
  <c r="P10" i="37"/>
  <c r="O10" i="37"/>
  <c r="N10" i="37"/>
  <c r="M10" i="37"/>
  <c r="I300" i="36"/>
  <c r="I301" i="36"/>
  <c r="I302" i="36"/>
  <c r="I303" i="36"/>
  <c r="I304" i="36"/>
  <c r="I305" i="36"/>
  <c r="I306" i="36"/>
  <c r="I307" i="36"/>
  <c r="I308" i="36"/>
  <c r="I309" i="36"/>
  <c r="I310" i="36"/>
  <c r="I311" i="36"/>
  <c r="I312" i="36"/>
  <c r="I313" i="36"/>
  <c r="I314" i="36"/>
  <c r="I315" i="36"/>
  <c r="I316" i="36"/>
  <c r="I317" i="36"/>
  <c r="I318" i="36"/>
  <c r="I319" i="36"/>
  <c r="I320" i="36"/>
  <c r="I321" i="36"/>
  <c r="I322" i="36"/>
  <c r="I323" i="36"/>
  <c r="I324" i="36"/>
  <c r="I325" i="36"/>
  <c r="I326" i="36"/>
  <c r="I327" i="36"/>
  <c r="E211" i="9"/>
  <c r="F211" i="9"/>
  <c r="G211" i="9"/>
  <c r="H211" i="9"/>
  <c r="J211" i="9"/>
  <c r="AG211" i="21"/>
  <c r="K211" i="9"/>
  <c r="B211" i="21"/>
  <c r="L211" i="9"/>
  <c r="AR211" i="21"/>
  <c r="BC211" i="21"/>
  <c r="M211" i="9"/>
  <c r="N211" i="9"/>
  <c r="Q211" i="9"/>
  <c r="R211" i="9"/>
  <c r="B211" i="22"/>
  <c r="E212" i="9"/>
  <c r="F212" i="9"/>
  <c r="G212" i="9"/>
  <c r="H212" i="9"/>
  <c r="J212" i="9"/>
  <c r="K212" i="9"/>
  <c r="B212" i="21"/>
  <c r="L212" i="9"/>
  <c r="AR212" i="21"/>
  <c r="M212" i="9"/>
  <c r="N212" i="9"/>
  <c r="E213" i="9"/>
  <c r="F213" i="9"/>
  <c r="G213" i="9"/>
  <c r="H213" i="9"/>
  <c r="J213" i="9"/>
  <c r="AG213" i="21"/>
  <c r="K213" i="9"/>
  <c r="B213" i="21"/>
  <c r="L213" i="9"/>
  <c r="AR213" i="21"/>
  <c r="M213" i="9"/>
  <c r="N213" i="9"/>
  <c r="Q213" i="9"/>
  <c r="R213" i="9"/>
  <c r="B213" i="22"/>
  <c r="E214" i="9"/>
  <c r="F214" i="9"/>
  <c r="G214" i="9"/>
  <c r="H214" i="9"/>
  <c r="J214" i="9"/>
  <c r="K214" i="9"/>
  <c r="B214" i="21"/>
  <c r="L214" i="9"/>
  <c r="AR214" i="21"/>
  <c r="M214" i="9"/>
  <c r="N214" i="9"/>
  <c r="E215" i="9"/>
  <c r="F215" i="9"/>
  <c r="G215" i="9"/>
  <c r="H215" i="9"/>
  <c r="J215" i="9"/>
  <c r="AG215" i="21"/>
  <c r="K215" i="9"/>
  <c r="B215" i="21"/>
  <c r="L215" i="9"/>
  <c r="AR215" i="21"/>
  <c r="BC215" i="21"/>
  <c r="M215" i="9"/>
  <c r="N215" i="9"/>
  <c r="Q215" i="9"/>
  <c r="R215" i="9"/>
  <c r="B215" i="22"/>
  <c r="E216" i="9"/>
  <c r="F216" i="9"/>
  <c r="G216" i="9"/>
  <c r="H216" i="9"/>
  <c r="J216" i="9"/>
  <c r="K216" i="9"/>
  <c r="B216" i="21"/>
  <c r="L216" i="9"/>
  <c r="AR216" i="21"/>
  <c r="M216" i="9"/>
  <c r="N216" i="9"/>
  <c r="E217" i="9"/>
  <c r="F217" i="9"/>
  <c r="G217" i="9"/>
  <c r="H217" i="9"/>
  <c r="J217" i="9"/>
  <c r="AG217" i="21"/>
  <c r="K217" i="9"/>
  <c r="B217" i="21"/>
  <c r="L217" i="9"/>
  <c r="AR217" i="21"/>
  <c r="M217" i="9"/>
  <c r="N217" i="9"/>
  <c r="Q217" i="9"/>
  <c r="R217" i="9"/>
  <c r="B217" i="22"/>
  <c r="E218" i="9"/>
  <c r="F218" i="9"/>
  <c r="G218" i="9"/>
  <c r="H218" i="9"/>
  <c r="J218" i="9"/>
  <c r="K218" i="9"/>
  <c r="B218" i="21"/>
  <c r="L218" i="9"/>
  <c r="AR218" i="21"/>
  <c r="M218" i="9"/>
  <c r="N218" i="9"/>
  <c r="E219" i="9"/>
  <c r="F219" i="9"/>
  <c r="G219" i="9"/>
  <c r="H219" i="9"/>
  <c r="J219" i="9"/>
  <c r="AG219" i="21"/>
  <c r="K219" i="9"/>
  <c r="B219" i="21"/>
  <c r="L219" i="9"/>
  <c r="AR219" i="21"/>
  <c r="BC219" i="21"/>
  <c r="M219" i="9"/>
  <c r="N219" i="9"/>
  <c r="Q219" i="9"/>
  <c r="R219" i="9"/>
  <c r="B219" i="22"/>
  <c r="E220" i="9"/>
  <c r="F220" i="9"/>
  <c r="G220" i="9"/>
  <c r="H220" i="9"/>
  <c r="J220" i="9"/>
  <c r="K220" i="9"/>
  <c r="B220" i="21"/>
  <c r="L220" i="9"/>
  <c r="AR220" i="21"/>
  <c r="M220" i="9"/>
  <c r="N220" i="9"/>
  <c r="E221" i="9"/>
  <c r="F221" i="9"/>
  <c r="G221" i="9"/>
  <c r="H221" i="9"/>
  <c r="J221" i="9"/>
  <c r="AG221" i="21"/>
  <c r="K221" i="9"/>
  <c r="B221" i="21"/>
  <c r="L221" i="9"/>
  <c r="AR221" i="21"/>
  <c r="M221" i="9"/>
  <c r="N221" i="9"/>
  <c r="Q221" i="9"/>
  <c r="R221" i="9"/>
  <c r="B221" i="22"/>
  <c r="E222" i="9"/>
  <c r="F222" i="9"/>
  <c r="G222" i="9"/>
  <c r="H222" i="9"/>
  <c r="J222" i="9"/>
  <c r="K222" i="9"/>
  <c r="B222" i="21"/>
  <c r="L222" i="9"/>
  <c r="AR222" i="21"/>
  <c r="M222" i="9"/>
  <c r="N222" i="9"/>
  <c r="J223" i="9"/>
  <c r="AG223" i="21"/>
  <c r="K223" i="9"/>
  <c r="L223" i="9"/>
  <c r="AR223" i="21"/>
  <c r="M223" i="9"/>
  <c r="J224" i="9"/>
  <c r="AG224" i="21"/>
  <c r="K224" i="9"/>
  <c r="B224" i="21"/>
  <c r="L224" i="9"/>
  <c r="AR224" i="21"/>
  <c r="M224" i="9"/>
  <c r="J225" i="9"/>
  <c r="AG225" i="21"/>
  <c r="K225" i="9"/>
  <c r="B225" i="21"/>
  <c r="L225" i="9"/>
  <c r="AR225" i="21"/>
  <c r="M225" i="9"/>
  <c r="J226" i="9"/>
  <c r="AG226" i="21"/>
  <c r="K226" i="9"/>
  <c r="B226" i="21"/>
  <c r="L226" i="9"/>
  <c r="AR226" i="21"/>
  <c r="M226" i="9"/>
  <c r="J227" i="9"/>
  <c r="AG227" i="21"/>
  <c r="K227" i="9"/>
  <c r="B227" i="21"/>
  <c r="L227" i="9"/>
  <c r="AR227" i="21"/>
  <c r="M227" i="9"/>
  <c r="J228" i="9"/>
  <c r="AG228" i="21"/>
  <c r="K228" i="9"/>
  <c r="B228" i="21"/>
  <c r="L228" i="9"/>
  <c r="AR228" i="21"/>
  <c r="M228" i="9"/>
  <c r="J229" i="9"/>
  <c r="AG229" i="21"/>
  <c r="K229" i="9"/>
  <c r="B229" i="21"/>
  <c r="L229" i="9"/>
  <c r="AR229" i="21"/>
  <c r="M229" i="9"/>
  <c r="J230" i="9"/>
  <c r="AG230" i="21"/>
  <c r="K230" i="9"/>
  <c r="B230" i="21"/>
  <c r="L230" i="9"/>
  <c r="AR230" i="21"/>
  <c r="M230" i="9"/>
  <c r="J231" i="9"/>
  <c r="AG231" i="21"/>
  <c r="K231" i="9"/>
  <c r="B231" i="21"/>
  <c r="L231" i="9"/>
  <c r="AR231" i="21"/>
  <c r="M231" i="9"/>
  <c r="J232" i="9"/>
  <c r="AG232" i="21"/>
  <c r="K232" i="9"/>
  <c r="B232" i="21"/>
  <c r="L232" i="9"/>
  <c r="AR232" i="21"/>
  <c r="M232" i="9"/>
  <c r="J233" i="9"/>
  <c r="AG233" i="21"/>
  <c r="K233" i="9"/>
  <c r="B233" i="21"/>
  <c r="L233" i="9"/>
  <c r="AR233" i="21"/>
  <c r="M233" i="9"/>
  <c r="J234" i="9"/>
  <c r="AG234" i="21"/>
  <c r="K234" i="9"/>
  <c r="B234" i="21"/>
  <c r="L234" i="9"/>
  <c r="AR234" i="21"/>
  <c r="M234" i="9"/>
  <c r="J235" i="9"/>
  <c r="AG235" i="21"/>
  <c r="K235" i="9"/>
  <c r="B235" i="21"/>
  <c r="L235" i="9"/>
  <c r="AR235" i="21"/>
  <c r="M235" i="9"/>
  <c r="J236" i="9"/>
  <c r="AG236" i="21"/>
  <c r="K236" i="9"/>
  <c r="B236" i="21"/>
  <c r="L236" i="9"/>
  <c r="AR236" i="21"/>
  <c r="M236" i="9"/>
  <c r="J237" i="9"/>
  <c r="AG237" i="21"/>
  <c r="K237" i="9"/>
  <c r="B237" i="21"/>
  <c r="L237" i="9"/>
  <c r="AR237" i="21"/>
  <c r="M237" i="9"/>
  <c r="J238" i="9"/>
  <c r="AG238" i="21"/>
  <c r="K238" i="9"/>
  <c r="B238" i="21"/>
  <c r="L238" i="9"/>
  <c r="AR238" i="21"/>
  <c r="M238" i="9"/>
  <c r="J239" i="9"/>
  <c r="AG239" i="21"/>
  <c r="K239" i="9"/>
  <c r="B239" i="21"/>
  <c r="L239" i="9"/>
  <c r="AR239" i="21"/>
  <c r="M239" i="9"/>
  <c r="J240" i="9"/>
  <c r="AG240" i="21"/>
  <c r="K240" i="9"/>
  <c r="B240" i="21"/>
  <c r="L240" i="9"/>
  <c r="AR240" i="21"/>
  <c r="M240" i="9"/>
  <c r="J241" i="9"/>
  <c r="AG241" i="21"/>
  <c r="K241" i="9"/>
  <c r="B241" i="21"/>
  <c r="L241" i="9"/>
  <c r="AR241" i="21"/>
  <c r="M241" i="9"/>
  <c r="J242" i="9"/>
  <c r="AG242" i="21"/>
  <c r="K242" i="9"/>
  <c r="B242" i="21"/>
  <c r="L242" i="9"/>
  <c r="AR242" i="21"/>
  <c r="M242" i="9"/>
  <c r="J243" i="9"/>
  <c r="AG243" i="21"/>
  <c r="K243" i="9"/>
  <c r="B243" i="21"/>
  <c r="L243" i="9"/>
  <c r="AR243" i="21"/>
  <c r="M243" i="9"/>
  <c r="J244" i="9"/>
  <c r="AG244" i="21"/>
  <c r="K244" i="9"/>
  <c r="B244" i="21"/>
  <c r="L244" i="9"/>
  <c r="AR244" i="21"/>
  <c r="M244" i="9"/>
  <c r="J245" i="9"/>
  <c r="AG245" i="21"/>
  <c r="K245" i="9"/>
  <c r="B245" i="21"/>
  <c r="L245" i="9"/>
  <c r="AR245" i="21"/>
  <c r="M245" i="9"/>
  <c r="J246" i="9"/>
  <c r="AG246" i="21"/>
  <c r="K246" i="9"/>
  <c r="B246" i="21"/>
  <c r="L246" i="9"/>
  <c r="AR246" i="21"/>
  <c r="M246" i="9"/>
  <c r="J247" i="9"/>
  <c r="AG247" i="21"/>
  <c r="K247" i="9"/>
  <c r="B247" i="21"/>
  <c r="L247" i="9"/>
  <c r="AR247" i="21"/>
  <c r="M247" i="9"/>
  <c r="J248" i="9"/>
  <c r="AG248" i="21"/>
  <c r="K248" i="9"/>
  <c r="B248" i="21"/>
  <c r="L248" i="9"/>
  <c r="AR248" i="21"/>
  <c r="M248" i="9"/>
  <c r="R10" i="9"/>
  <c r="B10" i="22"/>
  <c r="K10" i="22"/>
  <c r="AG10" i="36"/>
  <c r="E10" i="36"/>
  <c r="F10" i="36"/>
  <c r="H10" i="36"/>
  <c r="R11" i="9"/>
  <c r="B11" i="22"/>
  <c r="AG11" i="36"/>
  <c r="E11" i="36"/>
  <c r="F11" i="36"/>
  <c r="H11" i="36"/>
  <c r="R12" i="9"/>
  <c r="B12" i="22"/>
  <c r="K12" i="22"/>
  <c r="AG12" i="36"/>
  <c r="F12" i="36"/>
  <c r="R13" i="9"/>
  <c r="B13" i="22"/>
  <c r="AG13" i="36"/>
  <c r="F13" i="36"/>
  <c r="R14" i="9"/>
  <c r="B14" i="22"/>
  <c r="K14" i="22"/>
  <c r="F14" i="36"/>
  <c r="R15" i="9"/>
  <c r="B15" i="22"/>
  <c r="AG15" i="36"/>
  <c r="E15" i="36"/>
  <c r="F15" i="36"/>
  <c r="H15" i="36"/>
  <c r="R16" i="9"/>
  <c r="F16" i="36"/>
  <c r="R17" i="9"/>
  <c r="B17" i="22"/>
  <c r="AG17" i="36"/>
  <c r="E17" i="36"/>
  <c r="F17" i="36"/>
  <c r="H17" i="36"/>
  <c r="R18" i="9"/>
  <c r="B18" i="22"/>
  <c r="K18" i="22"/>
  <c r="AG18" i="36"/>
  <c r="E18" i="36"/>
  <c r="F18" i="36"/>
  <c r="H18" i="36"/>
  <c r="R19" i="9"/>
  <c r="B19" i="22"/>
  <c r="AG19" i="36"/>
  <c r="E19" i="36"/>
  <c r="F19" i="36"/>
  <c r="H19" i="36"/>
  <c r="R20" i="9"/>
  <c r="B20" i="22"/>
  <c r="K20" i="22"/>
  <c r="AG20" i="36"/>
  <c r="E20" i="36"/>
  <c r="F20" i="36"/>
  <c r="H20" i="36"/>
  <c r="R21" i="9"/>
  <c r="B21" i="22"/>
  <c r="AG21" i="36"/>
  <c r="E21" i="36"/>
  <c r="F21" i="36"/>
  <c r="H21" i="36"/>
  <c r="R22" i="9"/>
  <c r="B22" i="22"/>
  <c r="F22" i="36"/>
  <c r="R23" i="9"/>
  <c r="B23" i="22"/>
  <c r="AG23" i="36"/>
  <c r="E23" i="36"/>
  <c r="F23" i="36"/>
  <c r="H23" i="36"/>
  <c r="R24" i="9"/>
  <c r="B24" i="22"/>
  <c r="K24" i="22"/>
  <c r="F24" i="36"/>
  <c r="R25" i="9"/>
  <c r="B25" i="22"/>
  <c r="AG25" i="36"/>
  <c r="E25" i="36"/>
  <c r="F25" i="36"/>
  <c r="R26" i="9"/>
  <c r="B26" i="22"/>
  <c r="K26" i="22"/>
  <c r="AG26" i="36"/>
  <c r="E26" i="36"/>
  <c r="F26" i="36"/>
  <c r="H26" i="36"/>
  <c r="R27" i="9"/>
  <c r="B27" i="22"/>
  <c r="AG27" i="36"/>
  <c r="E27" i="36"/>
  <c r="F27" i="36"/>
  <c r="H27" i="36"/>
  <c r="R28" i="9"/>
  <c r="B28" i="22"/>
  <c r="K28" i="22"/>
  <c r="AG28" i="36"/>
  <c r="F28" i="36"/>
  <c r="AG29" i="36"/>
  <c r="E29" i="36"/>
  <c r="F29" i="36"/>
  <c r="H29" i="36"/>
  <c r="R30" i="9"/>
  <c r="B30" i="22"/>
  <c r="K30" i="22"/>
  <c r="F30" i="36"/>
  <c r="R31" i="9"/>
  <c r="B31" i="22"/>
  <c r="AG31" i="36"/>
  <c r="E31" i="36"/>
  <c r="F31" i="36"/>
  <c r="H31" i="36"/>
  <c r="R32" i="9"/>
  <c r="B32" i="22"/>
  <c r="F32" i="36"/>
  <c r="R33" i="9"/>
  <c r="B33" i="22"/>
  <c r="AG33" i="36"/>
  <c r="F33" i="36"/>
  <c r="R34" i="9"/>
  <c r="B34" i="22"/>
  <c r="K34" i="22"/>
  <c r="F34" i="36"/>
  <c r="R35" i="9"/>
  <c r="B35" i="22"/>
  <c r="AG35" i="36"/>
  <c r="E35" i="36"/>
  <c r="F35" i="36"/>
  <c r="H35" i="36"/>
  <c r="R36" i="9"/>
  <c r="B36" i="22"/>
  <c r="F36" i="36"/>
  <c r="R37" i="9"/>
  <c r="B37" i="22"/>
  <c r="AG37" i="36"/>
  <c r="E37" i="36"/>
  <c r="F37" i="36"/>
  <c r="H37" i="36"/>
  <c r="R38" i="9"/>
  <c r="B38" i="22"/>
  <c r="K38" i="22"/>
  <c r="F38" i="36"/>
  <c r="R39" i="9"/>
  <c r="B39" i="22"/>
  <c r="AG39" i="36"/>
  <c r="E39" i="36"/>
  <c r="F39" i="36"/>
  <c r="R40" i="9"/>
  <c r="B40" i="22"/>
  <c r="K40" i="22"/>
  <c r="AG40" i="36"/>
  <c r="E40" i="36"/>
  <c r="F40" i="36"/>
  <c r="H40" i="36"/>
  <c r="R41" i="9"/>
  <c r="B41" i="22"/>
  <c r="AG41" i="36"/>
  <c r="F41" i="36"/>
  <c r="R42" i="9"/>
  <c r="B42" i="22"/>
  <c r="K42" i="22"/>
  <c r="AG42" i="36"/>
  <c r="E42" i="36"/>
  <c r="F42" i="36"/>
  <c r="H42" i="36"/>
  <c r="R43" i="9"/>
  <c r="B43" i="22"/>
  <c r="AG43" i="36"/>
  <c r="E43" i="36"/>
  <c r="F43" i="36"/>
  <c r="H43" i="36"/>
  <c r="R44" i="9"/>
  <c r="B44" i="22"/>
  <c r="K44" i="22"/>
  <c r="F44" i="36"/>
  <c r="R45" i="9"/>
  <c r="B45" i="22"/>
  <c r="AG45" i="36"/>
  <c r="E45" i="36"/>
  <c r="F45" i="36"/>
  <c r="H45" i="36"/>
  <c r="R46" i="9"/>
  <c r="B46" i="22"/>
  <c r="F46" i="36"/>
  <c r="R47" i="9"/>
  <c r="B47" i="22"/>
  <c r="AG47" i="36"/>
  <c r="E47" i="36"/>
  <c r="F47" i="36"/>
  <c r="H47" i="36"/>
  <c r="R48" i="9"/>
  <c r="B48" i="22"/>
  <c r="K48" i="22"/>
  <c r="AG48" i="36"/>
  <c r="E48" i="36"/>
  <c r="F48" i="36"/>
  <c r="H48" i="36"/>
  <c r="R49" i="9"/>
  <c r="B49" i="22"/>
  <c r="AG49" i="36"/>
  <c r="E49" i="36"/>
  <c r="F49" i="36"/>
  <c r="R50" i="9"/>
  <c r="B50" i="22"/>
  <c r="K50" i="22"/>
  <c r="AG50" i="36"/>
  <c r="E50" i="36"/>
  <c r="F50" i="36"/>
  <c r="H50" i="36"/>
  <c r="R51" i="9"/>
  <c r="B51" i="22"/>
  <c r="AG51" i="36"/>
  <c r="E51" i="36"/>
  <c r="F51" i="36"/>
  <c r="H51" i="36"/>
  <c r="R52" i="9"/>
  <c r="B52" i="22"/>
  <c r="F52" i="36"/>
  <c r="R53" i="9"/>
  <c r="B53" i="22"/>
  <c r="AG53" i="36"/>
  <c r="E53" i="36"/>
  <c r="F53" i="36"/>
  <c r="H53" i="36"/>
  <c r="R54" i="9"/>
  <c r="B54" i="22"/>
  <c r="K54" i="22"/>
  <c r="F54" i="36"/>
  <c r="R55" i="9"/>
  <c r="B55" i="22"/>
  <c r="AG55" i="36"/>
  <c r="E55" i="36"/>
  <c r="F55" i="36"/>
  <c r="H55" i="36"/>
  <c r="R56" i="9"/>
  <c r="B56" i="22"/>
  <c r="K56" i="22"/>
  <c r="AG56" i="36"/>
  <c r="E56" i="36"/>
  <c r="F56" i="36"/>
  <c r="H56" i="36"/>
  <c r="R57" i="9"/>
  <c r="B57" i="22"/>
  <c r="AG57" i="36"/>
  <c r="E57" i="36"/>
  <c r="F57" i="36"/>
  <c r="H57" i="36"/>
  <c r="R58" i="9"/>
  <c r="B58" i="22"/>
  <c r="K58" i="22"/>
  <c r="AG58" i="36"/>
  <c r="E58" i="36"/>
  <c r="F58" i="36"/>
  <c r="H58" i="36"/>
  <c r="R59" i="9"/>
  <c r="B59" i="22"/>
  <c r="AG59" i="36"/>
  <c r="E59" i="36"/>
  <c r="F59" i="36"/>
  <c r="H59" i="36"/>
  <c r="R60" i="9"/>
  <c r="B60" i="22"/>
  <c r="K60" i="22"/>
  <c r="R61" i="9"/>
  <c r="B61" i="22"/>
  <c r="AG61" i="36"/>
  <c r="R62" i="9"/>
  <c r="B62" i="22"/>
  <c r="K62" i="22"/>
  <c r="R63" i="9"/>
  <c r="R64" i="9"/>
  <c r="B64" i="22"/>
  <c r="K64" i="22"/>
  <c r="R65" i="9"/>
  <c r="B65" i="22"/>
  <c r="AG65" i="36"/>
  <c r="R66" i="9"/>
  <c r="B66" i="22"/>
  <c r="K66" i="22"/>
  <c r="R67" i="9"/>
  <c r="R68" i="9"/>
  <c r="B68" i="22"/>
  <c r="K68" i="22"/>
  <c r="R69" i="9"/>
  <c r="B69" i="22"/>
  <c r="AG69" i="36"/>
  <c r="R70" i="9"/>
  <c r="B70" i="22"/>
  <c r="K70" i="22"/>
  <c r="R71" i="9"/>
  <c r="R72" i="9"/>
  <c r="B72" i="22"/>
  <c r="K72" i="22"/>
  <c r="R73" i="9"/>
  <c r="B73" i="22"/>
  <c r="AG73" i="36"/>
  <c r="R74" i="9"/>
  <c r="B74" i="22"/>
  <c r="K74" i="22"/>
  <c r="R75" i="9"/>
  <c r="R76" i="9"/>
  <c r="B76" i="22"/>
  <c r="K76" i="22"/>
  <c r="R77" i="9"/>
  <c r="B77" i="22"/>
  <c r="AG77" i="36"/>
  <c r="R78" i="9"/>
  <c r="B78" i="22"/>
  <c r="K78" i="22"/>
  <c r="R79" i="9"/>
  <c r="R80" i="9"/>
  <c r="B80" i="22"/>
  <c r="K80" i="22"/>
  <c r="R81" i="9"/>
  <c r="B81" i="22"/>
  <c r="AG81" i="36"/>
  <c r="R82" i="9"/>
  <c r="B82" i="22"/>
  <c r="K82" i="22"/>
  <c r="R83" i="9"/>
  <c r="R84" i="9"/>
  <c r="B84" i="22"/>
  <c r="K84" i="22"/>
  <c r="R85" i="9"/>
  <c r="B85" i="22"/>
  <c r="AG85" i="36"/>
  <c r="R86" i="9"/>
  <c r="B86" i="22"/>
  <c r="K86" i="22"/>
  <c r="R87" i="9"/>
  <c r="R88" i="9"/>
  <c r="B88" i="22"/>
  <c r="K88" i="22"/>
  <c r="R89" i="9"/>
  <c r="B89" i="22"/>
  <c r="AG89" i="36"/>
  <c r="R90" i="9"/>
  <c r="B90" i="22"/>
  <c r="K90" i="22"/>
  <c r="R91" i="9"/>
  <c r="B91" i="22"/>
  <c r="AG91" i="36"/>
  <c r="R92" i="9"/>
  <c r="B92" i="22"/>
  <c r="K92" i="22"/>
  <c r="R93" i="9"/>
  <c r="B93" i="22"/>
  <c r="AG93" i="36"/>
  <c r="R94" i="9"/>
  <c r="B94" i="22"/>
  <c r="K94" i="22"/>
  <c r="R95" i="9"/>
  <c r="B95" i="22"/>
  <c r="AG95" i="36"/>
  <c r="AH95" i="36"/>
  <c r="AI95" i="36"/>
  <c r="AF95" i="36"/>
  <c r="R96" i="9"/>
  <c r="B96" i="22"/>
  <c r="K96" i="22"/>
  <c r="R97" i="9"/>
  <c r="B97" i="22"/>
  <c r="AG97" i="36"/>
  <c r="R98" i="9"/>
  <c r="B98" i="22"/>
  <c r="K98" i="22"/>
  <c r="R99" i="9"/>
  <c r="R100" i="9"/>
  <c r="B100" i="22"/>
  <c r="K100" i="22"/>
  <c r="R101" i="9"/>
  <c r="B101" i="22"/>
  <c r="AG101" i="36"/>
  <c r="R102" i="9"/>
  <c r="B102" i="22"/>
  <c r="K102" i="22"/>
  <c r="R103" i="9"/>
  <c r="B103" i="22"/>
  <c r="AG103" i="36"/>
  <c r="R104" i="9"/>
  <c r="B104" i="22"/>
  <c r="K104" i="22"/>
  <c r="R105" i="9"/>
  <c r="B105" i="22"/>
  <c r="AG105" i="36"/>
  <c r="R106" i="9"/>
  <c r="B106" i="22"/>
  <c r="K106" i="22"/>
  <c r="R107" i="9"/>
  <c r="R108" i="9"/>
  <c r="B108" i="22"/>
  <c r="K108" i="22"/>
  <c r="R109" i="9"/>
  <c r="B109" i="22"/>
  <c r="AG109" i="36"/>
  <c r="R110" i="9"/>
  <c r="B110" i="22"/>
  <c r="K110" i="22"/>
  <c r="R111" i="9"/>
  <c r="R112" i="9"/>
  <c r="B112" i="22"/>
  <c r="K112" i="22"/>
  <c r="R113" i="9"/>
  <c r="B113" i="22"/>
  <c r="AG113" i="36"/>
  <c r="R114" i="9"/>
  <c r="B114" i="22"/>
  <c r="K114" i="22"/>
  <c r="R115" i="9"/>
  <c r="B115" i="22"/>
  <c r="AG115" i="36"/>
  <c r="R116" i="9"/>
  <c r="B116" i="22"/>
  <c r="K116" i="22"/>
  <c r="R117" i="9"/>
  <c r="B117" i="22"/>
  <c r="AG117" i="36"/>
  <c r="R118" i="9"/>
  <c r="B118" i="22"/>
  <c r="K118" i="22"/>
  <c r="R119" i="9"/>
  <c r="R120" i="9"/>
  <c r="B120" i="22"/>
  <c r="K120" i="22"/>
  <c r="R121" i="9"/>
  <c r="B121" i="22"/>
  <c r="AG121" i="36"/>
  <c r="R122" i="9"/>
  <c r="B122" i="22"/>
  <c r="K122" i="22"/>
  <c r="R123" i="9"/>
  <c r="R124" i="9"/>
  <c r="B124" i="22"/>
  <c r="K124" i="22"/>
  <c r="R125" i="9"/>
  <c r="B125" i="22"/>
  <c r="AG125" i="36"/>
  <c r="R126" i="9"/>
  <c r="B126" i="22"/>
  <c r="K126" i="22"/>
  <c r="R127" i="9"/>
  <c r="R128" i="9"/>
  <c r="B128" i="22"/>
  <c r="K128" i="22"/>
  <c r="R129" i="9"/>
  <c r="B129" i="22"/>
  <c r="AG129" i="36"/>
  <c r="R130" i="9"/>
  <c r="B130" i="22"/>
  <c r="K130" i="22"/>
  <c r="R131" i="9"/>
  <c r="B131" i="22"/>
  <c r="AG131" i="36"/>
  <c r="R132" i="9"/>
  <c r="B132" i="22"/>
  <c r="K132" i="22"/>
  <c r="R133" i="9"/>
  <c r="B133" i="22"/>
  <c r="AG133" i="36"/>
  <c r="R134" i="9"/>
  <c r="B134" i="22"/>
  <c r="K134" i="22"/>
  <c r="R135" i="9"/>
  <c r="B135" i="22"/>
  <c r="AG135" i="36"/>
  <c r="R136" i="9"/>
  <c r="B136" i="22"/>
  <c r="K136" i="22"/>
  <c r="R137" i="9"/>
  <c r="B137" i="22"/>
  <c r="AG137" i="36"/>
  <c r="R138" i="9"/>
  <c r="B138" i="22"/>
  <c r="K138" i="22"/>
  <c r="R139" i="9"/>
  <c r="S110" i="25"/>
  <c r="T110" i="25"/>
  <c r="U110" i="25"/>
  <c r="X110" i="25"/>
  <c r="R110" i="25"/>
  <c r="BF8" i="8"/>
  <c r="T113" i="25"/>
  <c r="AZ213" i="8"/>
  <c r="AT213" i="8"/>
  <c r="AT212" i="8"/>
  <c r="AT211" i="8"/>
  <c r="AT210" i="8"/>
  <c r="AT209" i="8"/>
  <c r="AT208" i="8"/>
  <c r="AT207" i="8"/>
  <c r="AT206" i="8"/>
  <c r="AT205" i="8"/>
  <c r="AT204" i="8"/>
  <c r="AT203" i="8"/>
  <c r="AT202" i="8"/>
  <c r="AT201" i="8"/>
  <c r="AT200" i="8"/>
  <c r="AT199" i="8"/>
  <c r="AT198" i="8"/>
  <c r="R140" i="9"/>
  <c r="B140" i="22"/>
  <c r="K140" i="22"/>
  <c r="U113" i="25"/>
  <c r="BA213" i="8"/>
  <c r="R141" i="9"/>
  <c r="B141" i="22"/>
  <c r="AG141" i="36"/>
  <c r="R142" i="9"/>
  <c r="B142" i="22"/>
  <c r="K142" i="22"/>
  <c r="AG142" i="36"/>
  <c r="R143" i="9"/>
  <c r="B143" i="22"/>
  <c r="AG143" i="36"/>
  <c r="R144" i="9"/>
  <c r="B144" i="22"/>
  <c r="K144" i="22"/>
  <c r="AG144" i="36"/>
  <c r="R145" i="9"/>
  <c r="B145" i="22"/>
  <c r="AG145" i="36"/>
  <c r="R146" i="9"/>
  <c r="B146" i="22"/>
  <c r="K146" i="22"/>
  <c r="AG146" i="36"/>
  <c r="R147" i="9"/>
  <c r="B147" i="22"/>
  <c r="AG147" i="36"/>
  <c r="R148" i="9"/>
  <c r="B148" i="22"/>
  <c r="K148" i="22"/>
  <c r="AG148" i="36"/>
  <c r="R149" i="9"/>
  <c r="B149" i="22"/>
  <c r="AG149" i="36"/>
  <c r="R150" i="9"/>
  <c r="B150" i="22"/>
  <c r="K150" i="22"/>
  <c r="AG150" i="36"/>
  <c r="R151" i="9"/>
  <c r="B151" i="22"/>
  <c r="AG151" i="36"/>
  <c r="R152" i="9"/>
  <c r="B152" i="22"/>
  <c r="K152" i="22"/>
  <c r="AG152" i="36"/>
  <c r="R153" i="9"/>
  <c r="B153" i="22"/>
  <c r="AG153" i="36"/>
  <c r="R154" i="9"/>
  <c r="B154" i="22"/>
  <c r="K154" i="22"/>
  <c r="AG154" i="36"/>
  <c r="R155" i="9"/>
  <c r="B155" i="22"/>
  <c r="AG155" i="36"/>
  <c r="R156" i="9"/>
  <c r="B156" i="22"/>
  <c r="K156" i="22"/>
  <c r="AG156" i="36"/>
  <c r="R157" i="9"/>
  <c r="B157" i="22"/>
  <c r="AG157" i="36"/>
  <c r="R158" i="9"/>
  <c r="B158" i="22"/>
  <c r="K158" i="22"/>
  <c r="AG158" i="36"/>
  <c r="R159" i="9"/>
  <c r="B159" i="22"/>
  <c r="AG159" i="36"/>
  <c r="R160" i="9"/>
  <c r="B160" i="22"/>
  <c r="K160" i="22"/>
  <c r="AG160" i="36"/>
  <c r="R161" i="9"/>
  <c r="B161" i="22"/>
  <c r="AG161" i="36"/>
  <c r="R162" i="9"/>
  <c r="B162" i="22"/>
  <c r="K162" i="22"/>
  <c r="AG162" i="36"/>
  <c r="R163" i="9"/>
  <c r="B163" i="22"/>
  <c r="AG163" i="36"/>
  <c r="R164" i="9"/>
  <c r="B164" i="22"/>
  <c r="K164" i="22"/>
  <c r="AG164" i="36"/>
  <c r="R165" i="9"/>
  <c r="B165" i="22"/>
  <c r="AG165" i="36"/>
  <c r="R166" i="9"/>
  <c r="B166" i="22"/>
  <c r="K166" i="22"/>
  <c r="AG166" i="36"/>
  <c r="R167" i="9"/>
  <c r="B167" i="22"/>
  <c r="AG167" i="36"/>
  <c r="R168" i="9"/>
  <c r="B168" i="22"/>
  <c r="K168" i="22"/>
  <c r="AG168" i="36"/>
  <c r="R169" i="9"/>
  <c r="B169" i="22"/>
  <c r="AG169" i="36"/>
  <c r="R170" i="9"/>
  <c r="B170" i="22"/>
  <c r="K170" i="22"/>
  <c r="AG170" i="36"/>
  <c r="R171" i="9"/>
  <c r="B171" i="22"/>
  <c r="AG171" i="36"/>
  <c r="R172" i="9"/>
  <c r="B172" i="22"/>
  <c r="K172" i="22"/>
  <c r="AG172" i="36"/>
  <c r="R173" i="9"/>
  <c r="B173" i="22"/>
  <c r="AG173" i="36"/>
  <c r="R174" i="9"/>
  <c r="B174" i="22"/>
  <c r="K174" i="22"/>
  <c r="AG174" i="36"/>
  <c r="R175" i="9"/>
  <c r="B175" i="22"/>
  <c r="AG175" i="36"/>
  <c r="R176" i="9"/>
  <c r="B176" i="22"/>
  <c r="K176" i="22"/>
  <c r="AG176" i="36"/>
  <c r="R177" i="9"/>
  <c r="B177" i="22"/>
  <c r="AG177" i="36"/>
  <c r="R178" i="9"/>
  <c r="B178" i="22"/>
  <c r="K178" i="22"/>
  <c r="AG178" i="36"/>
  <c r="R179" i="9"/>
  <c r="B179" i="22"/>
  <c r="AG179" i="36"/>
  <c r="R180" i="9"/>
  <c r="B180" i="22"/>
  <c r="K180" i="22"/>
  <c r="AG180" i="36"/>
  <c r="R181" i="9"/>
  <c r="B181" i="22"/>
  <c r="K181" i="22"/>
  <c r="AG181" i="36"/>
  <c r="R182" i="9"/>
  <c r="B182" i="22"/>
  <c r="K182" i="22"/>
  <c r="AG182" i="36"/>
  <c r="R183" i="9"/>
  <c r="B183" i="22"/>
  <c r="K183" i="22"/>
  <c r="AG183" i="36"/>
  <c r="R184" i="9"/>
  <c r="B184" i="22"/>
  <c r="K184" i="22"/>
  <c r="AG184" i="36"/>
  <c r="R185" i="9"/>
  <c r="B185" i="22"/>
  <c r="K185" i="22"/>
  <c r="AG185" i="36"/>
  <c r="R186" i="9"/>
  <c r="B186" i="22"/>
  <c r="K186" i="22"/>
  <c r="AG186" i="36"/>
  <c r="R187" i="9"/>
  <c r="B187" i="22"/>
  <c r="K187" i="22"/>
  <c r="AG187" i="36"/>
  <c r="R188" i="9"/>
  <c r="B188" i="22"/>
  <c r="K188" i="22"/>
  <c r="AG188" i="36"/>
  <c r="R189" i="9"/>
  <c r="B189" i="22"/>
  <c r="K189" i="22"/>
  <c r="AG189" i="36"/>
  <c r="R190" i="9"/>
  <c r="B190" i="22"/>
  <c r="K190" i="22"/>
  <c r="AG190" i="36"/>
  <c r="R191" i="9"/>
  <c r="B191" i="22"/>
  <c r="K191" i="22"/>
  <c r="AG191" i="36"/>
  <c r="R192" i="9"/>
  <c r="B192" i="22"/>
  <c r="K192" i="22"/>
  <c r="AG192" i="36"/>
  <c r="R193" i="9"/>
  <c r="B193" i="22"/>
  <c r="K193" i="22"/>
  <c r="AG193" i="36"/>
  <c r="R194" i="9"/>
  <c r="B194" i="22"/>
  <c r="K194" i="22"/>
  <c r="AG194" i="36"/>
  <c r="R195" i="9"/>
  <c r="B195" i="22"/>
  <c r="K195" i="22"/>
  <c r="R196" i="9"/>
  <c r="B196" i="22"/>
  <c r="AY197" i="8"/>
  <c r="R197" i="9"/>
  <c r="B197" i="22"/>
  <c r="K197" i="22"/>
  <c r="AG197" i="36"/>
  <c r="AK210" i="8"/>
  <c r="AL210" i="8"/>
  <c r="AM210" i="8"/>
  <c r="AN210" i="8"/>
  <c r="R198" i="9"/>
  <c r="B198" i="22"/>
  <c r="K198" i="22"/>
  <c r="AG198" i="36"/>
  <c r="R199" i="9"/>
  <c r="B199" i="22"/>
  <c r="K199" i="22"/>
  <c r="AG199" i="36"/>
  <c r="R200" i="9"/>
  <c r="B200" i="22"/>
  <c r="K200" i="22"/>
  <c r="AG200" i="36"/>
  <c r="R201" i="9"/>
  <c r="B201" i="22"/>
  <c r="K201" i="22"/>
  <c r="AG201" i="36"/>
  <c r="R202" i="9"/>
  <c r="B202" i="22"/>
  <c r="K202" i="22"/>
  <c r="AG202" i="36"/>
  <c r="R203" i="9"/>
  <c r="B203" i="22"/>
  <c r="K203" i="22"/>
  <c r="AG203" i="36"/>
  <c r="R204" i="9"/>
  <c r="B204" i="22"/>
  <c r="K204" i="22"/>
  <c r="AG204" i="36"/>
  <c r="R205" i="9"/>
  <c r="B205" i="22"/>
  <c r="K205" i="22"/>
  <c r="AG205" i="36"/>
  <c r="R206" i="9"/>
  <c r="B206" i="22"/>
  <c r="K206" i="22"/>
  <c r="AG206" i="36"/>
  <c r="R207" i="9"/>
  <c r="B207" i="22"/>
  <c r="K207" i="22"/>
  <c r="AG207" i="36"/>
  <c r="R208" i="9"/>
  <c r="B208" i="22"/>
  <c r="K208" i="22"/>
  <c r="AG208" i="36"/>
  <c r="R209" i="9"/>
  <c r="B209" i="22"/>
  <c r="K209" i="22"/>
  <c r="AG209" i="36"/>
  <c r="AG280" i="36"/>
  <c r="AG281" i="36"/>
  <c r="AG282" i="36"/>
  <c r="AG283" i="36"/>
  <c r="AG284" i="36"/>
  <c r="AG285" i="36"/>
  <c r="AG286" i="36"/>
  <c r="AG287" i="36"/>
  <c r="AG288" i="36"/>
  <c r="AH288" i="36"/>
  <c r="AI288" i="36"/>
  <c r="AF288" i="36"/>
  <c r="AG289" i="36"/>
  <c r="AG290" i="36"/>
  <c r="AG291" i="36"/>
  <c r="AG292" i="36"/>
  <c r="AG293" i="36"/>
  <c r="AG294" i="36"/>
  <c r="AG295" i="36"/>
  <c r="AG296" i="36"/>
  <c r="AH296" i="36"/>
  <c r="AI296" i="36"/>
  <c r="AF296" i="36"/>
  <c r="AG297" i="36"/>
  <c r="AG298" i="36"/>
  <c r="AG299" i="36"/>
  <c r="AG300" i="36"/>
  <c r="AG301" i="36"/>
  <c r="AG302" i="36"/>
  <c r="AG303" i="36"/>
  <c r="AG304" i="36"/>
  <c r="AH304" i="36"/>
  <c r="AI304" i="36"/>
  <c r="AF304" i="36"/>
  <c r="AG305" i="36"/>
  <c r="AG306" i="36"/>
  <c r="AG307" i="36"/>
  <c r="AG308" i="36"/>
  <c r="AG309" i="36"/>
  <c r="AG310" i="36"/>
  <c r="AG311" i="36"/>
  <c r="AG312" i="36"/>
  <c r="AG313" i="36"/>
  <c r="AG314" i="36"/>
  <c r="AG315" i="36"/>
  <c r="AG316" i="36"/>
  <c r="AG317" i="36"/>
  <c r="AG318" i="36"/>
  <c r="AG319" i="36"/>
  <c r="AG320" i="36"/>
  <c r="AH320" i="36"/>
  <c r="AI320" i="36"/>
  <c r="AF320" i="36"/>
  <c r="AG321" i="36"/>
  <c r="AG322" i="36"/>
  <c r="AG323" i="36"/>
  <c r="AG324" i="36"/>
  <c r="AG325" i="36"/>
  <c r="AG326" i="36"/>
  <c r="AG327" i="36"/>
  <c r="AG328" i="36"/>
  <c r="AH328" i="36"/>
  <c r="AI328" i="36"/>
  <c r="AF328" i="36"/>
  <c r="D60" i="36"/>
  <c r="F60" i="36"/>
  <c r="D61" i="36"/>
  <c r="E61" i="36"/>
  <c r="F61" i="36"/>
  <c r="H61" i="36"/>
  <c r="D62" i="36"/>
  <c r="E62" i="36"/>
  <c r="F62" i="36"/>
  <c r="H62" i="36"/>
  <c r="D63" i="36"/>
  <c r="E63" i="36"/>
  <c r="F63" i="36"/>
  <c r="H63" i="36"/>
  <c r="D64" i="36"/>
  <c r="E64" i="36"/>
  <c r="F64" i="36"/>
  <c r="H64" i="36"/>
  <c r="D65" i="36"/>
  <c r="E65" i="36"/>
  <c r="F65" i="36"/>
  <c r="H65" i="36"/>
  <c r="D66" i="36"/>
  <c r="E66" i="36"/>
  <c r="F66" i="36"/>
  <c r="H66" i="36"/>
  <c r="D67" i="36"/>
  <c r="E67" i="36"/>
  <c r="F67" i="36"/>
  <c r="H67" i="36"/>
  <c r="D68" i="36"/>
  <c r="E68" i="36"/>
  <c r="F68" i="36"/>
  <c r="H68" i="36"/>
  <c r="D69" i="36"/>
  <c r="E69" i="36"/>
  <c r="F69" i="36"/>
  <c r="H69" i="36"/>
  <c r="D70" i="36"/>
  <c r="E70" i="36"/>
  <c r="F70" i="36"/>
  <c r="H70" i="36"/>
  <c r="D71" i="36"/>
  <c r="E71" i="36"/>
  <c r="F71" i="36"/>
  <c r="H71" i="36"/>
  <c r="D72" i="36"/>
  <c r="E72" i="36"/>
  <c r="F72" i="36"/>
  <c r="H72" i="36"/>
  <c r="D73" i="36"/>
  <c r="E73" i="36"/>
  <c r="F73" i="36"/>
  <c r="H73" i="36"/>
  <c r="D74" i="36"/>
  <c r="E74" i="36"/>
  <c r="F74" i="36"/>
  <c r="H74" i="36"/>
  <c r="D75" i="36"/>
  <c r="E75" i="36"/>
  <c r="F75" i="36"/>
  <c r="H75" i="36"/>
  <c r="D76" i="36"/>
  <c r="E76" i="36"/>
  <c r="F76" i="36"/>
  <c r="H76" i="36"/>
  <c r="D77" i="36"/>
  <c r="E77" i="36"/>
  <c r="F77" i="36"/>
  <c r="H77" i="36"/>
  <c r="D78" i="36"/>
  <c r="E78" i="36"/>
  <c r="F78" i="36"/>
  <c r="H78" i="36"/>
  <c r="D79" i="36"/>
  <c r="E79" i="36"/>
  <c r="F79" i="36"/>
  <c r="H79" i="36"/>
  <c r="D80" i="36"/>
  <c r="E80" i="36"/>
  <c r="F80" i="36"/>
  <c r="H80" i="36"/>
  <c r="D81" i="36"/>
  <c r="E81" i="36"/>
  <c r="F81" i="36"/>
  <c r="H81" i="36"/>
  <c r="D82" i="36"/>
  <c r="E82" i="36"/>
  <c r="F82" i="36"/>
  <c r="H82" i="36"/>
  <c r="D83" i="36"/>
  <c r="E83" i="36"/>
  <c r="F83" i="36"/>
  <c r="H83" i="36"/>
  <c r="D84" i="36"/>
  <c r="E84" i="36"/>
  <c r="F84" i="36"/>
  <c r="H84" i="36"/>
  <c r="D85" i="36"/>
  <c r="E85" i="36"/>
  <c r="F85" i="36"/>
  <c r="H85" i="36"/>
  <c r="D86" i="36"/>
  <c r="E86" i="36"/>
  <c r="F86" i="36"/>
  <c r="H86" i="36"/>
  <c r="D87" i="36"/>
  <c r="E87" i="36"/>
  <c r="F87" i="36"/>
  <c r="H87" i="36"/>
  <c r="D88" i="36"/>
  <c r="E88" i="36"/>
  <c r="F88" i="36"/>
  <c r="H88" i="36"/>
  <c r="D89" i="36"/>
  <c r="E89" i="36"/>
  <c r="F89" i="36"/>
  <c r="H89" i="36"/>
  <c r="D90" i="36"/>
  <c r="E90" i="36"/>
  <c r="F90" i="36"/>
  <c r="H90" i="36"/>
  <c r="D91" i="36"/>
  <c r="E91" i="36"/>
  <c r="F91" i="36"/>
  <c r="H91" i="36"/>
  <c r="D92" i="36"/>
  <c r="E92" i="36"/>
  <c r="F92" i="36"/>
  <c r="H92" i="36"/>
  <c r="D93" i="36"/>
  <c r="E93" i="36"/>
  <c r="F93" i="36"/>
  <c r="H93" i="36"/>
  <c r="D94" i="36"/>
  <c r="E94" i="36"/>
  <c r="F94" i="36"/>
  <c r="H94" i="36"/>
  <c r="D95" i="36"/>
  <c r="E95" i="36"/>
  <c r="F95" i="36"/>
  <c r="H95" i="36"/>
  <c r="D96" i="36"/>
  <c r="E96" i="36"/>
  <c r="F96" i="36"/>
  <c r="H96" i="36"/>
  <c r="D97" i="36"/>
  <c r="E97" i="36"/>
  <c r="F97" i="36"/>
  <c r="H97" i="36"/>
  <c r="D98" i="36"/>
  <c r="E98" i="36"/>
  <c r="F98" i="36"/>
  <c r="H98" i="36"/>
  <c r="D99" i="36"/>
  <c r="E99" i="36"/>
  <c r="F99" i="36"/>
  <c r="H99" i="36"/>
  <c r="D100" i="36"/>
  <c r="E100" i="36"/>
  <c r="F100" i="36"/>
  <c r="H100" i="36"/>
  <c r="D101" i="36"/>
  <c r="E101" i="36"/>
  <c r="F101" i="36"/>
  <c r="H101" i="36"/>
  <c r="D102" i="36"/>
  <c r="E102" i="36"/>
  <c r="F102" i="36"/>
  <c r="H102" i="36"/>
  <c r="D103" i="36"/>
  <c r="E103" i="36"/>
  <c r="F103" i="36"/>
  <c r="H103" i="36"/>
  <c r="D104" i="36"/>
  <c r="E104" i="36"/>
  <c r="F104" i="36"/>
  <c r="H104" i="36"/>
  <c r="D105" i="36"/>
  <c r="E105" i="36"/>
  <c r="F105" i="36"/>
  <c r="H105" i="36"/>
  <c r="D106" i="36"/>
  <c r="E106" i="36"/>
  <c r="F106" i="36"/>
  <c r="H106" i="36"/>
  <c r="D107" i="36"/>
  <c r="E107" i="36"/>
  <c r="F107" i="36"/>
  <c r="H107" i="36"/>
  <c r="D108" i="36"/>
  <c r="E108" i="36"/>
  <c r="F108" i="36"/>
  <c r="H108" i="36"/>
  <c r="D109" i="36"/>
  <c r="E109" i="36"/>
  <c r="F109" i="36"/>
  <c r="H109" i="36"/>
  <c r="D110" i="36"/>
  <c r="E110" i="36"/>
  <c r="F110" i="36"/>
  <c r="H110" i="36"/>
  <c r="D111" i="36"/>
  <c r="E111" i="36"/>
  <c r="F111" i="36"/>
  <c r="H111" i="36"/>
  <c r="D112" i="36"/>
  <c r="E112" i="36"/>
  <c r="F112" i="36"/>
  <c r="H112" i="36"/>
  <c r="D113" i="36"/>
  <c r="E113" i="36"/>
  <c r="F113" i="36"/>
  <c r="H113" i="36"/>
  <c r="D114" i="36"/>
  <c r="E114" i="36"/>
  <c r="F114" i="36"/>
  <c r="H114" i="36"/>
  <c r="D115" i="36"/>
  <c r="E115" i="36"/>
  <c r="F115" i="36"/>
  <c r="H115" i="36"/>
  <c r="D116" i="36"/>
  <c r="E116" i="36"/>
  <c r="F116" i="36"/>
  <c r="H116" i="36"/>
  <c r="D117" i="36"/>
  <c r="E117" i="36"/>
  <c r="F117" i="36"/>
  <c r="H117" i="36"/>
  <c r="D118" i="36"/>
  <c r="E118" i="36"/>
  <c r="F118" i="36"/>
  <c r="H118" i="36"/>
  <c r="D119" i="36"/>
  <c r="E119" i="36"/>
  <c r="F119" i="36"/>
  <c r="H119" i="36"/>
  <c r="D120" i="36"/>
  <c r="E120" i="36"/>
  <c r="F120" i="36"/>
  <c r="H120" i="36"/>
  <c r="D121" i="36"/>
  <c r="E121" i="36"/>
  <c r="F121" i="36"/>
  <c r="H121" i="36"/>
  <c r="D122" i="36"/>
  <c r="E122" i="36"/>
  <c r="F122" i="36"/>
  <c r="H122" i="36"/>
  <c r="D123" i="36"/>
  <c r="E123" i="36"/>
  <c r="F123" i="36"/>
  <c r="H123" i="36"/>
  <c r="D124" i="36"/>
  <c r="E124" i="36"/>
  <c r="F124" i="36"/>
  <c r="H124" i="36"/>
  <c r="D125" i="36"/>
  <c r="E125" i="36"/>
  <c r="F125" i="36"/>
  <c r="H125" i="36"/>
  <c r="D126" i="36"/>
  <c r="E126" i="36"/>
  <c r="F126" i="36"/>
  <c r="H126" i="36"/>
  <c r="D127" i="36"/>
  <c r="E127" i="36"/>
  <c r="F127" i="36"/>
  <c r="H127" i="36"/>
  <c r="D128" i="36"/>
  <c r="E128" i="36"/>
  <c r="F128" i="36"/>
  <c r="H128" i="36"/>
  <c r="D129" i="36"/>
  <c r="E129" i="36"/>
  <c r="F129" i="36"/>
  <c r="H129" i="36"/>
  <c r="D130" i="36"/>
  <c r="E130" i="36"/>
  <c r="F130" i="36"/>
  <c r="H130" i="36"/>
  <c r="D131" i="36"/>
  <c r="E131" i="36"/>
  <c r="F131" i="36"/>
  <c r="H131" i="36"/>
  <c r="D132" i="36"/>
  <c r="E132" i="36"/>
  <c r="F132" i="36"/>
  <c r="H132" i="36"/>
  <c r="D133" i="36"/>
  <c r="E133" i="36"/>
  <c r="F133" i="36"/>
  <c r="H133" i="36"/>
  <c r="D134" i="36"/>
  <c r="E134" i="36"/>
  <c r="F134" i="36"/>
  <c r="H134" i="36"/>
  <c r="D135" i="36"/>
  <c r="E135" i="36"/>
  <c r="F135" i="36"/>
  <c r="H135" i="36"/>
  <c r="D136" i="36"/>
  <c r="E136" i="36"/>
  <c r="F136" i="36"/>
  <c r="H136" i="36"/>
  <c r="D137" i="36"/>
  <c r="E137" i="36"/>
  <c r="F137" i="36"/>
  <c r="H137" i="36"/>
  <c r="D138" i="36"/>
  <c r="E138" i="36"/>
  <c r="F138" i="36"/>
  <c r="H138" i="36"/>
  <c r="D139" i="36"/>
  <c r="E139" i="36"/>
  <c r="F139" i="36"/>
  <c r="H139" i="36"/>
  <c r="D140" i="36"/>
  <c r="E140" i="36"/>
  <c r="F140" i="36"/>
  <c r="H140" i="36"/>
  <c r="D141" i="36"/>
  <c r="E141" i="36"/>
  <c r="F141" i="36"/>
  <c r="H141" i="36"/>
  <c r="D142" i="36"/>
  <c r="E142" i="36"/>
  <c r="F142" i="36"/>
  <c r="H142" i="36"/>
  <c r="D143" i="36"/>
  <c r="E143" i="36"/>
  <c r="F143" i="36"/>
  <c r="H143" i="36"/>
  <c r="D144" i="36"/>
  <c r="E144" i="36"/>
  <c r="F144" i="36"/>
  <c r="H144" i="36"/>
  <c r="D145" i="36"/>
  <c r="E145" i="36"/>
  <c r="F145" i="36"/>
  <c r="H145" i="36"/>
  <c r="D146" i="36"/>
  <c r="E146" i="36"/>
  <c r="F146" i="36"/>
  <c r="H146" i="36"/>
  <c r="D147" i="36"/>
  <c r="E147" i="36"/>
  <c r="F147" i="36"/>
  <c r="H147" i="36"/>
  <c r="D148" i="36"/>
  <c r="E148" i="36"/>
  <c r="F148" i="36"/>
  <c r="H148" i="36"/>
  <c r="D149" i="36"/>
  <c r="E149" i="36"/>
  <c r="F149" i="36"/>
  <c r="H149" i="36"/>
  <c r="D150" i="36"/>
  <c r="E150" i="36"/>
  <c r="F150" i="36"/>
  <c r="H150" i="36"/>
  <c r="D151" i="36"/>
  <c r="E151" i="36"/>
  <c r="F151" i="36"/>
  <c r="H151" i="36"/>
  <c r="D152" i="36"/>
  <c r="E152" i="36"/>
  <c r="F152" i="36"/>
  <c r="H152" i="36"/>
  <c r="D153" i="36"/>
  <c r="E153" i="36"/>
  <c r="F153" i="36"/>
  <c r="H153" i="36"/>
  <c r="D154" i="36"/>
  <c r="E154" i="36"/>
  <c r="F154" i="36"/>
  <c r="H154" i="36"/>
  <c r="D155" i="36"/>
  <c r="E155" i="36"/>
  <c r="F155" i="36"/>
  <c r="H155" i="36"/>
  <c r="D156" i="36"/>
  <c r="E156" i="36"/>
  <c r="F156" i="36"/>
  <c r="H156" i="36"/>
  <c r="D157" i="36"/>
  <c r="E157" i="36"/>
  <c r="F157" i="36"/>
  <c r="H157" i="36"/>
  <c r="D158" i="36"/>
  <c r="E158" i="36"/>
  <c r="F158" i="36"/>
  <c r="H158" i="36"/>
  <c r="D159" i="36"/>
  <c r="E159" i="36"/>
  <c r="F159" i="36"/>
  <c r="H159" i="36"/>
  <c r="D160" i="36"/>
  <c r="E160" i="36"/>
  <c r="F160" i="36"/>
  <c r="H160" i="36"/>
  <c r="D161" i="36"/>
  <c r="E161" i="36"/>
  <c r="F161" i="36"/>
  <c r="H161" i="36"/>
  <c r="D162" i="36"/>
  <c r="E162" i="36"/>
  <c r="F162" i="36"/>
  <c r="H162" i="36"/>
  <c r="D163" i="36"/>
  <c r="E163" i="36"/>
  <c r="F163" i="36"/>
  <c r="H163" i="36"/>
  <c r="D164" i="36"/>
  <c r="E164" i="36"/>
  <c r="F164" i="36"/>
  <c r="H164" i="36"/>
  <c r="D165" i="36"/>
  <c r="E165" i="36"/>
  <c r="F165" i="36"/>
  <c r="H165" i="36"/>
  <c r="D166" i="36"/>
  <c r="E166" i="36"/>
  <c r="F166" i="36"/>
  <c r="H166" i="36"/>
  <c r="D167" i="36"/>
  <c r="E167" i="36"/>
  <c r="F167" i="36"/>
  <c r="H167" i="36"/>
  <c r="D168" i="36"/>
  <c r="E168" i="36"/>
  <c r="F168" i="36"/>
  <c r="H168" i="36"/>
  <c r="D169" i="36"/>
  <c r="E169" i="36"/>
  <c r="F169" i="36"/>
  <c r="H169" i="36"/>
  <c r="D170" i="36"/>
  <c r="E170" i="36"/>
  <c r="F170" i="36"/>
  <c r="H170" i="36"/>
  <c r="D171" i="36"/>
  <c r="E171" i="36"/>
  <c r="F171" i="36"/>
  <c r="H171" i="36"/>
  <c r="D172" i="36"/>
  <c r="E172" i="36"/>
  <c r="F172" i="36"/>
  <c r="H172" i="36"/>
  <c r="D173" i="36"/>
  <c r="E173" i="36"/>
  <c r="F173" i="36"/>
  <c r="H173" i="36"/>
  <c r="D174" i="36"/>
  <c r="E174" i="36"/>
  <c r="F174" i="36"/>
  <c r="H174" i="36"/>
  <c r="D175" i="36"/>
  <c r="E175" i="36"/>
  <c r="F175" i="36"/>
  <c r="H175" i="36"/>
  <c r="D176" i="36"/>
  <c r="E176" i="36"/>
  <c r="F176" i="36"/>
  <c r="H176" i="36"/>
  <c r="D177" i="36"/>
  <c r="E177" i="36"/>
  <c r="F177" i="36"/>
  <c r="H177" i="36"/>
  <c r="D178" i="36"/>
  <c r="E178" i="36"/>
  <c r="F178" i="36"/>
  <c r="H178" i="36"/>
  <c r="D179" i="36"/>
  <c r="E179" i="36"/>
  <c r="F179" i="36"/>
  <c r="H179" i="36"/>
  <c r="D180" i="36"/>
  <c r="E180" i="36"/>
  <c r="F180" i="36"/>
  <c r="H180" i="36"/>
  <c r="D181" i="36"/>
  <c r="E181" i="36"/>
  <c r="F181" i="36"/>
  <c r="H181" i="36"/>
  <c r="D182" i="36"/>
  <c r="E182" i="36"/>
  <c r="F182" i="36"/>
  <c r="H182" i="36"/>
  <c r="D183" i="36"/>
  <c r="E183" i="36"/>
  <c r="F183" i="36"/>
  <c r="H183" i="36"/>
  <c r="D184" i="36"/>
  <c r="E184" i="36"/>
  <c r="F184" i="36"/>
  <c r="H184" i="36"/>
  <c r="D185" i="36"/>
  <c r="E185" i="36"/>
  <c r="F185" i="36"/>
  <c r="H185" i="36"/>
  <c r="D186" i="36"/>
  <c r="E186" i="36"/>
  <c r="F186" i="36"/>
  <c r="H186" i="36"/>
  <c r="D187" i="36"/>
  <c r="E187" i="36"/>
  <c r="F187" i="36"/>
  <c r="H187" i="36"/>
  <c r="D188" i="36"/>
  <c r="E188" i="36"/>
  <c r="F188" i="36"/>
  <c r="H188" i="36"/>
  <c r="D189" i="36"/>
  <c r="E189" i="36"/>
  <c r="F189" i="36"/>
  <c r="H189" i="36"/>
  <c r="D190" i="36"/>
  <c r="E190" i="36"/>
  <c r="F190" i="36"/>
  <c r="H190" i="36"/>
  <c r="D191" i="36"/>
  <c r="E191" i="36"/>
  <c r="F191" i="36"/>
  <c r="H191" i="36"/>
  <c r="D192" i="36"/>
  <c r="E192" i="36"/>
  <c r="F192" i="36"/>
  <c r="H192" i="36"/>
  <c r="D193" i="36"/>
  <c r="E193" i="36"/>
  <c r="F193" i="36"/>
  <c r="H193" i="36"/>
  <c r="D194" i="36"/>
  <c r="E194" i="36"/>
  <c r="F194" i="36"/>
  <c r="H194" i="36"/>
  <c r="D195" i="36"/>
  <c r="E195" i="36"/>
  <c r="F195" i="36"/>
  <c r="H195" i="36"/>
  <c r="D196" i="36"/>
  <c r="E196" i="36"/>
  <c r="F196" i="36"/>
  <c r="H196" i="36"/>
  <c r="D197" i="36"/>
  <c r="E197" i="36"/>
  <c r="F197" i="36"/>
  <c r="H197" i="36"/>
  <c r="D198" i="36"/>
  <c r="E198" i="36"/>
  <c r="F198" i="36"/>
  <c r="H198" i="36"/>
  <c r="D199" i="36"/>
  <c r="E199" i="36"/>
  <c r="F199" i="36"/>
  <c r="H199" i="36"/>
  <c r="D200" i="36"/>
  <c r="E200" i="36"/>
  <c r="F200" i="36"/>
  <c r="H200" i="36"/>
  <c r="D201" i="36"/>
  <c r="E201" i="36"/>
  <c r="F201" i="36"/>
  <c r="H201" i="36"/>
  <c r="D202" i="36"/>
  <c r="E202" i="36"/>
  <c r="F202" i="36"/>
  <c r="H202" i="36"/>
  <c r="D203" i="36"/>
  <c r="E203" i="36"/>
  <c r="F203" i="36"/>
  <c r="H203" i="36"/>
  <c r="D204" i="36"/>
  <c r="E204" i="36"/>
  <c r="F204" i="36"/>
  <c r="H204" i="36"/>
  <c r="D205" i="36"/>
  <c r="E205" i="36"/>
  <c r="F205" i="36"/>
  <c r="H205" i="36"/>
  <c r="D206" i="36"/>
  <c r="E206" i="36"/>
  <c r="F206" i="36"/>
  <c r="H206" i="36"/>
  <c r="D207" i="36"/>
  <c r="E207" i="36"/>
  <c r="F207" i="36"/>
  <c r="H207" i="36"/>
  <c r="D208" i="36"/>
  <c r="E208" i="36"/>
  <c r="F208" i="36"/>
  <c r="H208" i="36"/>
  <c r="D209" i="36"/>
  <c r="E209" i="36"/>
  <c r="F209" i="36"/>
  <c r="H209" i="36"/>
  <c r="D210" i="36"/>
  <c r="E210" i="36"/>
  <c r="F210" i="36"/>
  <c r="H210" i="36"/>
  <c r="D211" i="36"/>
  <c r="E211" i="36"/>
  <c r="F211" i="36"/>
  <c r="H211" i="36"/>
  <c r="D212" i="36"/>
  <c r="E212" i="36"/>
  <c r="F212" i="36"/>
  <c r="H212" i="36"/>
  <c r="D213" i="36"/>
  <c r="E213" i="36"/>
  <c r="F213" i="36"/>
  <c r="H213" i="36"/>
  <c r="D214" i="36"/>
  <c r="E214" i="36"/>
  <c r="F214" i="36"/>
  <c r="H214" i="36"/>
  <c r="D215" i="36"/>
  <c r="E215" i="36"/>
  <c r="F215" i="36"/>
  <c r="H215" i="36"/>
  <c r="D216" i="36"/>
  <c r="E216" i="36"/>
  <c r="F216" i="36"/>
  <c r="H216" i="36"/>
  <c r="D217" i="36"/>
  <c r="E217" i="36"/>
  <c r="F217" i="36"/>
  <c r="H217" i="36"/>
  <c r="D218" i="36"/>
  <c r="E218" i="36"/>
  <c r="F218" i="36"/>
  <c r="H218" i="36"/>
  <c r="D219" i="36"/>
  <c r="E219" i="36"/>
  <c r="F219" i="36"/>
  <c r="H219" i="36"/>
  <c r="D220" i="36"/>
  <c r="E220" i="36"/>
  <c r="F220" i="36"/>
  <c r="H220" i="36"/>
  <c r="D221" i="36"/>
  <c r="E221" i="36"/>
  <c r="F221" i="36"/>
  <c r="H221" i="36"/>
  <c r="D222" i="36"/>
  <c r="E222" i="36"/>
  <c r="F222" i="36"/>
  <c r="H222" i="36"/>
  <c r="D223" i="36"/>
  <c r="E223" i="36"/>
  <c r="F223" i="36"/>
  <c r="H223" i="36"/>
  <c r="D224" i="36"/>
  <c r="E224" i="36"/>
  <c r="F224" i="36"/>
  <c r="H224" i="36"/>
  <c r="D225" i="36"/>
  <c r="E225" i="36"/>
  <c r="F225" i="36"/>
  <c r="H225" i="36"/>
  <c r="D226" i="36"/>
  <c r="E226" i="36"/>
  <c r="F226" i="36"/>
  <c r="H226" i="36"/>
  <c r="D227" i="36"/>
  <c r="E227" i="36"/>
  <c r="F227" i="36"/>
  <c r="H227" i="36"/>
  <c r="D228" i="36"/>
  <c r="E228" i="36"/>
  <c r="F228" i="36"/>
  <c r="H228" i="36"/>
  <c r="D229" i="36"/>
  <c r="E229" i="36"/>
  <c r="F229" i="36"/>
  <c r="H229" i="36"/>
  <c r="D230" i="36"/>
  <c r="E230" i="36"/>
  <c r="F230" i="36"/>
  <c r="H230" i="36"/>
  <c r="D231" i="36"/>
  <c r="E231" i="36"/>
  <c r="F231" i="36"/>
  <c r="H231" i="36"/>
  <c r="D232" i="36"/>
  <c r="E232" i="36"/>
  <c r="F232" i="36"/>
  <c r="H232" i="36"/>
  <c r="D233" i="36"/>
  <c r="E233" i="36"/>
  <c r="F233" i="36"/>
  <c r="H233" i="36"/>
  <c r="D234" i="36"/>
  <c r="E234" i="36"/>
  <c r="F234" i="36"/>
  <c r="H234" i="36"/>
  <c r="D235" i="36"/>
  <c r="E235" i="36"/>
  <c r="F235" i="36"/>
  <c r="H235" i="36"/>
  <c r="D236" i="36"/>
  <c r="E236" i="36"/>
  <c r="F236" i="36"/>
  <c r="H236" i="36"/>
  <c r="D237" i="36"/>
  <c r="E237" i="36"/>
  <c r="F237" i="36"/>
  <c r="H237" i="36"/>
  <c r="D238" i="36"/>
  <c r="E238" i="36"/>
  <c r="F238" i="36"/>
  <c r="H238" i="36"/>
  <c r="D239" i="36"/>
  <c r="E239" i="36"/>
  <c r="F239" i="36"/>
  <c r="H239" i="36"/>
  <c r="D240" i="36"/>
  <c r="E240" i="36"/>
  <c r="F240" i="36"/>
  <c r="H240" i="36"/>
  <c r="D241" i="36"/>
  <c r="E241" i="36"/>
  <c r="F241" i="36"/>
  <c r="H241" i="36"/>
  <c r="D242" i="36"/>
  <c r="E242" i="36"/>
  <c r="F242" i="36"/>
  <c r="H242" i="36"/>
  <c r="D243" i="36"/>
  <c r="E243" i="36"/>
  <c r="F243" i="36"/>
  <c r="H243" i="36"/>
  <c r="D244" i="36"/>
  <c r="E244" i="36"/>
  <c r="F244" i="36"/>
  <c r="H244" i="36"/>
  <c r="D245" i="36"/>
  <c r="E245" i="36"/>
  <c r="F245" i="36"/>
  <c r="H245" i="36"/>
  <c r="D246" i="36"/>
  <c r="E246" i="36"/>
  <c r="F246" i="36"/>
  <c r="H246" i="36"/>
  <c r="D247" i="36"/>
  <c r="E247" i="36"/>
  <c r="F247" i="36"/>
  <c r="H247" i="36"/>
  <c r="D248" i="36"/>
  <c r="E248" i="36"/>
  <c r="F248" i="36"/>
  <c r="H248" i="36"/>
  <c r="D249" i="36"/>
  <c r="E249" i="36"/>
  <c r="F249" i="36"/>
  <c r="H249" i="36"/>
  <c r="D250" i="36"/>
  <c r="E250" i="36"/>
  <c r="F250" i="36"/>
  <c r="H250" i="36"/>
  <c r="D251" i="36"/>
  <c r="E251" i="36"/>
  <c r="F251" i="36"/>
  <c r="H251" i="36"/>
  <c r="D252" i="36"/>
  <c r="E252" i="36"/>
  <c r="F252" i="36"/>
  <c r="H252" i="36"/>
  <c r="D253" i="36"/>
  <c r="E253" i="36"/>
  <c r="F253" i="36"/>
  <c r="H253" i="36"/>
  <c r="D254" i="36"/>
  <c r="E254" i="36"/>
  <c r="F254" i="36"/>
  <c r="H254" i="36"/>
  <c r="D255" i="36"/>
  <c r="E255" i="36"/>
  <c r="F255" i="36"/>
  <c r="H255" i="36"/>
  <c r="D256" i="36"/>
  <c r="E256" i="36"/>
  <c r="F256" i="36"/>
  <c r="H256" i="36"/>
  <c r="D257" i="36"/>
  <c r="E257" i="36"/>
  <c r="F257" i="36"/>
  <c r="H257" i="36"/>
  <c r="D258" i="36"/>
  <c r="E258" i="36"/>
  <c r="F258" i="36"/>
  <c r="H258" i="36"/>
  <c r="D259" i="36"/>
  <c r="E259" i="36"/>
  <c r="F259" i="36"/>
  <c r="H259" i="36"/>
  <c r="D260" i="36"/>
  <c r="E260" i="36"/>
  <c r="F260" i="36"/>
  <c r="H260" i="36"/>
  <c r="C261" i="36"/>
  <c r="D261" i="36"/>
  <c r="E261" i="36"/>
  <c r="F261" i="36"/>
  <c r="H261" i="36"/>
  <c r="C262" i="36"/>
  <c r="D262" i="36"/>
  <c r="E262" i="36"/>
  <c r="F262" i="36"/>
  <c r="H262" i="36"/>
  <c r="C263" i="36"/>
  <c r="D263" i="36"/>
  <c r="E263" i="36"/>
  <c r="F263" i="36"/>
  <c r="C264" i="36"/>
  <c r="D264" i="36"/>
  <c r="E264" i="36"/>
  <c r="F264" i="36"/>
  <c r="H264" i="36"/>
  <c r="C265" i="36"/>
  <c r="D265" i="36"/>
  <c r="E265" i="36"/>
  <c r="F265" i="36"/>
  <c r="H265" i="36"/>
  <c r="C266" i="36"/>
  <c r="D266" i="36"/>
  <c r="E266" i="36"/>
  <c r="F266" i="36"/>
  <c r="H266" i="36"/>
  <c r="C267" i="36"/>
  <c r="D267" i="36"/>
  <c r="E267" i="36"/>
  <c r="F267" i="36"/>
  <c r="C268" i="36"/>
  <c r="D268" i="36"/>
  <c r="E268" i="36"/>
  <c r="F268" i="36"/>
  <c r="H268" i="36"/>
  <c r="C269" i="36"/>
  <c r="D269" i="36"/>
  <c r="E269" i="36"/>
  <c r="F269" i="36"/>
  <c r="H269" i="36"/>
  <c r="C270" i="36"/>
  <c r="D270" i="36"/>
  <c r="E270" i="36"/>
  <c r="F270" i="36"/>
  <c r="H270" i="36"/>
  <c r="C271" i="36"/>
  <c r="D271" i="36"/>
  <c r="E271" i="36"/>
  <c r="F271" i="36"/>
  <c r="H271" i="36"/>
  <c r="C272" i="36"/>
  <c r="D272" i="36"/>
  <c r="E272" i="36"/>
  <c r="F272" i="36"/>
  <c r="H272" i="36"/>
  <c r="C273" i="36"/>
  <c r="D273" i="36"/>
  <c r="E273" i="36"/>
  <c r="F273" i="36"/>
  <c r="H273" i="36"/>
  <c r="C274" i="36"/>
  <c r="D274" i="36"/>
  <c r="E274" i="36"/>
  <c r="F274" i="36"/>
  <c r="H274" i="36"/>
  <c r="C275" i="36"/>
  <c r="D275" i="36"/>
  <c r="E275" i="36"/>
  <c r="F275" i="36"/>
  <c r="H275" i="36"/>
  <c r="C276" i="36"/>
  <c r="D276" i="36"/>
  <c r="E276" i="36"/>
  <c r="F276" i="36"/>
  <c r="H276" i="36"/>
  <c r="C277" i="36"/>
  <c r="D277" i="36"/>
  <c r="E277" i="36"/>
  <c r="F277" i="36"/>
  <c r="H277" i="36"/>
  <c r="C278" i="36"/>
  <c r="D278" i="36"/>
  <c r="E278" i="36"/>
  <c r="F278" i="36"/>
  <c r="H278" i="36"/>
  <c r="C279" i="36"/>
  <c r="D279" i="36"/>
  <c r="E279" i="36"/>
  <c r="F279" i="36"/>
  <c r="C280" i="36"/>
  <c r="D280" i="36"/>
  <c r="E280" i="36"/>
  <c r="F280" i="36"/>
  <c r="H280" i="36"/>
  <c r="C281" i="36"/>
  <c r="D281" i="36"/>
  <c r="E281" i="36"/>
  <c r="F281" i="36"/>
  <c r="H281" i="36"/>
  <c r="C282" i="36"/>
  <c r="D282" i="36"/>
  <c r="E282" i="36"/>
  <c r="F282" i="36"/>
  <c r="H282" i="36"/>
  <c r="C283" i="36"/>
  <c r="D283" i="36"/>
  <c r="E283" i="36"/>
  <c r="F283" i="36"/>
  <c r="C284" i="36"/>
  <c r="D284" i="36"/>
  <c r="E284" i="36"/>
  <c r="F284" i="36"/>
  <c r="H284" i="36"/>
  <c r="C285" i="36"/>
  <c r="D285" i="36"/>
  <c r="E285" i="36"/>
  <c r="F285" i="36"/>
  <c r="H285" i="36"/>
  <c r="C286" i="36"/>
  <c r="D286" i="36"/>
  <c r="E286" i="36"/>
  <c r="F286" i="36"/>
  <c r="H286" i="36"/>
  <c r="C287" i="36"/>
  <c r="D287" i="36"/>
  <c r="E287" i="36"/>
  <c r="F287" i="36"/>
  <c r="H287" i="36"/>
  <c r="C288" i="36"/>
  <c r="D288" i="36"/>
  <c r="E288" i="36"/>
  <c r="F288" i="36"/>
  <c r="H288" i="36"/>
  <c r="C289" i="36"/>
  <c r="D289" i="36"/>
  <c r="E289" i="36"/>
  <c r="F289" i="36"/>
  <c r="H289" i="36"/>
  <c r="C290" i="36"/>
  <c r="D290" i="36"/>
  <c r="E290" i="36"/>
  <c r="F290" i="36"/>
  <c r="H290" i="36"/>
  <c r="C291" i="36"/>
  <c r="D291" i="36"/>
  <c r="E291" i="36"/>
  <c r="F291" i="36"/>
  <c r="H291" i="36"/>
  <c r="C292" i="36"/>
  <c r="D292" i="36"/>
  <c r="E292" i="36"/>
  <c r="F292" i="36"/>
  <c r="H292" i="36"/>
  <c r="C293" i="36"/>
  <c r="D293" i="36"/>
  <c r="E293" i="36"/>
  <c r="F293" i="36"/>
  <c r="H293" i="36"/>
  <c r="C294" i="36"/>
  <c r="D294" i="36"/>
  <c r="E294" i="36"/>
  <c r="F294" i="36"/>
  <c r="H294" i="36"/>
  <c r="C295" i="36"/>
  <c r="D295" i="36"/>
  <c r="E295" i="36"/>
  <c r="F295" i="36"/>
  <c r="C296" i="36"/>
  <c r="D296" i="36"/>
  <c r="E296" i="36"/>
  <c r="F296" i="36"/>
  <c r="H296" i="36"/>
  <c r="C297" i="36"/>
  <c r="D297" i="36"/>
  <c r="E297" i="36"/>
  <c r="F297" i="36"/>
  <c r="H297" i="36"/>
  <c r="C298" i="36"/>
  <c r="D298" i="36"/>
  <c r="E298" i="36"/>
  <c r="F298" i="36"/>
  <c r="H298" i="36"/>
  <c r="D9" i="36"/>
  <c r="G306" i="36"/>
  <c r="F299" i="36"/>
  <c r="C299" i="36"/>
  <c r="D299" i="36"/>
  <c r="E299" i="36"/>
  <c r="H299" i="36"/>
  <c r="C302" i="36"/>
  <c r="C306" i="36"/>
  <c r="E315" i="36"/>
  <c r="E317" i="36"/>
  <c r="E323" i="36"/>
  <c r="E325" i="36"/>
  <c r="AI327" i="36"/>
  <c r="AH327" i="36"/>
  <c r="AI326" i="36"/>
  <c r="AH326" i="36"/>
  <c r="AI325" i="36"/>
  <c r="AH325" i="36"/>
  <c r="AI324" i="36"/>
  <c r="AH324" i="36"/>
  <c r="AF324" i="36"/>
  <c r="AI323" i="36"/>
  <c r="AH323" i="36"/>
  <c r="AI322" i="36"/>
  <c r="AH322" i="36"/>
  <c r="AF322" i="36"/>
  <c r="AI321" i="36"/>
  <c r="AH321" i="36"/>
  <c r="AF321" i="36"/>
  <c r="AI319" i="36"/>
  <c r="AH319" i="36"/>
  <c r="AI318" i="36"/>
  <c r="AH318" i="36"/>
  <c r="AI317" i="36"/>
  <c r="AH317" i="36"/>
  <c r="AI316" i="36"/>
  <c r="AH316" i="36"/>
  <c r="AF316" i="36"/>
  <c r="AI315" i="36"/>
  <c r="AH315" i="36"/>
  <c r="AI314" i="36"/>
  <c r="AH314" i="36"/>
  <c r="AF314" i="36"/>
  <c r="AI313" i="36"/>
  <c r="AH313" i="36"/>
  <c r="AF313" i="36"/>
  <c r="AI312" i="36"/>
  <c r="AH312" i="36"/>
  <c r="AI311" i="36"/>
  <c r="AH311" i="36"/>
  <c r="AI310" i="36"/>
  <c r="AH310" i="36"/>
  <c r="AI309" i="36"/>
  <c r="AH309" i="36"/>
  <c r="AI308" i="36"/>
  <c r="AH308" i="36"/>
  <c r="AF308" i="36"/>
  <c r="AI307" i="36"/>
  <c r="AH307" i="36"/>
  <c r="AF307" i="36"/>
  <c r="AI306" i="36"/>
  <c r="AH306" i="36"/>
  <c r="AF306" i="36"/>
  <c r="AI305" i="36"/>
  <c r="AH305" i="36"/>
  <c r="AF305" i="36"/>
  <c r="AI303" i="36"/>
  <c r="AH303" i="36"/>
  <c r="AI302" i="36"/>
  <c r="AH302" i="36"/>
  <c r="AI301" i="36"/>
  <c r="AH301" i="36"/>
  <c r="AI300" i="36"/>
  <c r="AH300" i="36"/>
  <c r="AF300" i="36"/>
  <c r="AI299" i="36"/>
  <c r="AH299" i="36"/>
  <c r="AF299" i="36"/>
  <c r="AI298" i="36"/>
  <c r="AH298" i="36"/>
  <c r="AF298" i="36"/>
  <c r="AI297" i="36"/>
  <c r="AH297" i="36"/>
  <c r="AF297" i="36"/>
  <c r="AI295" i="36"/>
  <c r="AH295" i="36"/>
  <c r="AI294" i="36"/>
  <c r="AH294" i="36"/>
  <c r="AI293" i="36"/>
  <c r="AH293" i="36"/>
  <c r="AI292" i="36"/>
  <c r="AH292" i="36"/>
  <c r="AF292" i="36"/>
  <c r="AI291" i="36"/>
  <c r="AH291" i="36"/>
  <c r="AF291" i="36"/>
  <c r="AI290" i="36"/>
  <c r="AH290" i="36"/>
  <c r="AF290" i="36"/>
  <c r="AI289" i="36"/>
  <c r="AH289" i="36"/>
  <c r="AF289" i="36"/>
  <c r="AI287" i="36"/>
  <c r="AH287" i="36"/>
  <c r="AI286" i="36"/>
  <c r="AH286" i="36"/>
  <c r="AI285" i="36"/>
  <c r="AH285" i="36"/>
  <c r="AI284" i="36"/>
  <c r="AH284" i="36"/>
  <c r="AF284" i="36"/>
  <c r="AI283" i="36"/>
  <c r="AH283" i="36"/>
  <c r="AF283" i="36"/>
  <c r="AI282" i="36"/>
  <c r="AH282" i="36"/>
  <c r="AF282" i="36"/>
  <c r="AI281" i="36"/>
  <c r="AH281" i="36"/>
  <c r="AF281" i="36"/>
  <c r="AI280" i="36"/>
  <c r="AH280" i="36"/>
  <c r="AH279" i="36"/>
  <c r="AH278" i="36"/>
  <c r="AH277" i="36"/>
  <c r="AH276" i="36"/>
  <c r="AH275" i="36"/>
  <c r="AH274" i="36"/>
  <c r="AH273" i="36"/>
  <c r="AH272" i="36"/>
  <c r="AH271" i="36"/>
  <c r="AH270" i="36"/>
  <c r="AI269" i="36"/>
  <c r="AH269" i="36"/>
  <c r="AI268" i="36"/>
  <c r="AH268" i="36"/>
  <c r="AI267" i="36"/>
  <c r="AH267" i="36"/>
  <c r="AI266" i="36"/>
  <c r="AH266" i="36"/>
  <c r="AI265" i="36"/>
  <c r="AH265" i="36"/>
  <c r="AI264" i="36"/>
  <c r="AH264" i="36"/>
  <c r="AI263" i="36"/>
  <c r="AH263" i="36"/>
  <c r="AI262" i="36"/>
  <c r="AH262" i="36"/>
  <c r="AI261" i="36"/>
  <c r="AH261" i="36"/>
  <c r="AI260" i="36"/>
  <c r="AH260" i="36"/>
  <c r="AI259" i="36"/>
  <c r="AH259" i="36"/>
  <c r="AI258" i="36"/>
  <c r="AH258" i="36"/>
  <c r="AI257" i="36"/>
  <c r="AH257" i="36"/>
  <c r="AI256" i="36"/>
  <c r="AH256" i="36"/>
  <c r="AI255" i="36"/>
  <c r="AH255" i="36"/>
  <c r="AI254" i="36"/>
  <c r="AH254" i="36"/>
  <c r="AI253" i="36"/>
  <c r="AH253" i="36"/>
  <c r="AI252" i="36"/>
  <c r="AH252" i="36"/>
  <c r="AI251" i="36"/>
  <c r="AH251" i="36"/>
  <c r="AI250" i="36"/>
  <c r="AH250" i="36"/>
  <c r="AI249" i="36"/>
  <c r="AH249" i="36"/>
  <c r="AI248" i="36"/>
  <c r="AH248" i="36"/>
  <c r="AI247" i="36"/>
  <c r="AH247" i="36"/>
  <c r="AI246" i="36"/>
  <c r="AH246" i="36"/>
  <c r="AI245" i="36"/>
  <c r="AH245" i="36"/>
  <c r="AI244" i="36"/>
  <c r="AH244" i="36"/>
  <c r="AI243" i="36"/>
  <c r="AH243" i="36"/>
  <c r="AI242" i="36"/>
  <c r="AH242" i="36"/>
  <c r="AI241" i="36"/>
  <c r="AH241" i="36"/>
  <c r="AI240" i="36"/>
  <c r="AH240" i="36"/>
  <c r="AI239" i="36"/>
  <c r="AH239" i="36"/>
  <c r="AI238" i="36"/>
  <c r="AH238" i="36"/>
  <c r="AI237" i="36"/>
  <c r="AH237" i="36"/>
  <c r="AI236" i="36"/>
  <c r="AH236" i="36"/>
  <c r="AI235" i="36"/>
  <c r="AH235" i="36"/>
  <c r="AI234" i="36"/>
  <c r="AH234" i="36"/>
  <c r="AI233" i="36"/>
  <c r="AH233" i="36"/>
  <c r="AI232" i="36"/>
  <c r="AH232" i="36"/>
  <c r="AI231" i="36"/>
  <c r="AH231" i="36"/>
  <c r="AI230" i="36"/>
  <c r="AH230" i="36"/>
  <c r="AI229" i="36"/>
  <c r="AH229" i="36"/>
  <c r="AI228" i="36"/>
  <c r="AH228" i="36"/>
  <c r="AI227" i="36"/>
  <c r="AH227" i="36"/>
  <c r="AI226" i="36"/>
  <c r="AH226" i="36"/>
  <c r="AI225" i="36"/>
  <c r="AH225" i="36"/>
  <c r="AI224" i="36"/>
  <c r="AH224" i="36"/>
  <c r="AI223" i="36"/>
  <c r="AH223" i="36"/>
  <c r="AI222" i="36"/>
  <c r="AH222" i="36"/>
  <c r="AI221" i="36"/>
  <c r="AH221" i="36"/>
  <c r="AI220" i="36"/>
  <c r="AH220" i="36"/>
  <c r="AI219" i="36"/>
  <c r="AH219" i="36"/>
  <c r="AI218" i="36"/>
  <c r="AH218" i="36"/>
  <c r="AI217" i="36"/>
  <c r="AH217" i="36"/>
  <c r="AI216" i="36"/>
  <c r="AH216" i="36"/>
  <c r="AI215" i="36"/>
  <c r="AH215" i="36"/>
  <c r="AI214" i="36"/>
  <c r="AH214" i="36"/>
  <c r="AI213" i="36"/>
  <c r="AH213" i="36"/>
  <c r="AI212" i="36"/>
  <c r="AH212" i="36"/>
  <c r="AI211" i="36"/>
  <c r="AH211" i="36"/>
  <c r="AI210" i="36"/>
  <c r="AH210" i="36"/>
  <c r="AI209" i="36"/>
  <c r="AH209" i="36"/>
  <c r="AI208" i="36"/>
  <c r="AH208" i="36"/>
  <c r="AI207" i="36"/>
  <c r="AH207" i="36"/>
  <c r="AI206" i="36"/>
  <c r="AH206" i="36"/>
  <c r="AI205" i="36"/>
  <c r="AH205" i="36"/>
  <c r="AF205" i="36"/>
  <c r="AI204" i="36"/>
  <c r="AH204" i="36"/>
  <c r="AF204" i="36"/>
  <c r="AI203" i="36"/>
  <c r="AH203" i="36"/>
  <c r="AF203" i="36"/>
  <c r="AI202" i="36"/>
  <c r="AH202" i="36"/>
  <c r="AF202" i="36"/>
  <c r="AI201" i="36"/>
  <c r="AH201" i="36"/>
  <c r="AI200" i="36"/>
  <c r="AH200" i="36"/>
  <c r="AI199" i="36"/>
  <c r="AH199" i="36"/>
  <c r="AI198" i="36"/>
  <c r="AH198" i="36"/>
  <c r="AI197" i="36"/>
  <c r="AH197" i="36"/>
  <c r="AF197" i="36"/>
  <c r="AI196" i="36"/>
  <c r="AH196" i="36"/>
  <c r="AI195" i="36"/>
  <c r="AH195" i="36"/>
  <c r="AI194" i="36"/>
  <c r="AH194" i="36"/>
  <c r="AF194" i="36"/>
  <c r="AI193" i="36"/>
  <c r="AH193" i="36"/>
  <c r="AF193" i="36"/>
  <c r="AI192" i="36"/>
  <c r="AH192" i="36"/>
  <c r="AI191" i="36"/>
  <c r="AH191" i="36"/>
  <c r="AI190" i="36"/>
  <c r="AH190" i="36"/>
  <c r="AI189" i="36"/>
  <c r="AH189" i="36"/>
  <c r="AF189" i="36"/>
  <c r="AI188" i="36"/>
  <c r="AH188" i="36"/>
  <c r="AF188" i="36"/>
  <c r="AI187" i="36"/>
  <c r="AH187" i="36"/>
  <c r="AF187" i="36"/>
  <c r="AI186" i="36"/>
  <c r="AH186" i="36"/>
  <c r="AF186" i="36"/>
  <c r="AI185" i="36"/>
  <c r="AH185" i="36"/>
  <c r="AF185" i="36"/>
  <c r="AI184" i="36"/>
  <c r="AH184" i="36"/>
  <c r="AI183" i="36"/>
  <c r="AH183" i="36"/>
  <c r="AI182" i="36"/>
  <c r="AH182" i="36"/>
  <c r="AI181" i="36"/>
  <c r="AH181" i="36"/>
  <c r="AF181" i="36"/>
  <c r="AI180" i="36"/>
  <c r="AH180" i="36"/>
  <c r="AI179" i="36"/>
  <c r="AH179" i="36"/>
  <c r="AI178" i="36"/>
  <c r="AH178" i="36"/>
  <c r="AI177" i="36"/>
  <c r="AH177" i="36"/>
  <c r="AF177" i="36"/>
  <c r="AI176" i="36"/>
  <c r="AH176" i="36"/>
  <c r="AI175" i="36"/>
  <c r="AH175" i="36"/>
  <c r="AI174" i="36"/>
  <c r="AH174" i="36"/>
  <c r="AI173" i="36"/>
  <c r="AH173" i="36"/>
  <c r="AF173" i="36"/>
  <c r="AI172" i="36"/>
  <c r="AH172" i="36"/>
  <c r="AF172" i="36"/>
  <c r="AI171" i="36"/>
  <c r="AH171" i="36"/>
  <c r="AI170" i="36"/>
  <c r="AH170" i="36"/>
  <c r="AF170" i="36"/>
  <c r="AI169" i="36"/>
  <c r="AH169" i="36"/>
  <c r="AF169" i="36"/>
  <c r="AI168" i="36"/>
  <c r="AH168" i="36"/>
  <c r="AI167" i="36"/>
  <c r="AH167" i="36"/>
  <c r="AF167" i="36"/>
  <c r="AI166" i="36"/>
  <c r="AH166" i="36"/>
  <c r="AI165" i="36"/>
  <c r="AH165" i="36"/>
  <c r="AF165" i="36"/>
  <c r="AI164" i="36"/>
  <c r="AH164" i="36"/>
  <c r="AI163" i="36"/>
  <c r="AH163" i="36"/>
  <c r="AI162" i="36"/>
  <c r="AH162" i="36"/>
  <c r="AF162" i="36"/>
  <c r="AI161" i="36"/>
  <c r="AH161" i="36"/>
  <c r="AI160" i="36"/>
  <c r="AH160" i="36"/>
  <c r="AF160" i="36"/>
  <c r="AI159" i="36"/>
  <c r="AH159" i="36"/>
  <c r="AI158" i="36"/>
  <c r="AH158" i="36"/>
  <c r="AF158" i="36"/>
  <c r="AI157" i="36"/>
  <c r="AH157" i="36"/>
  <c r="AF157" i="36"/>
  <c r="AI156" i="36"/>
  <c r="AH156" i="36"/>
  <c r="AI155" i="36"/>
  <c r="AH155" i="36"/>
  <c r="AF155" i="36"/>
  <c r="AI154" i="36"/>
  <c r="AH154" i="36"/>
  <c r="AI153" i="36"/>
  <c r="AH153" i="36"/>
  <c r="AF153" i="36"/>
  <c r="AI152" i="36"/>
  <c r="AH152" i="36"/>
  <c r="AF152" i="36"/>
  <c r="AI151" i="36"/>
  <c r="AH151" i="36"/>
  <c r="AF151" i="36"/>
  <c r="AI150" i="36"/>
  <c r="AH150" i="36"/>
  <c r="AF150" i="36"/>
  <c r="AI149" i="36"/>
  <c r="AH149" i="36"/>
  <c r="AF149" i="36"/>
  <c r="AI148" i="36"/>
  <c r="AH148" i="36"/>
  <c r="AI147" i="36"/>
  <c r="AH147" i="36"/>
  <c r="AI146" i="36"/>
  <c r="AH146" i="36"/>
  <c r="AF146" i="36"/>
  <c r="AI145" i="36"/>
  <c r="AH145" i="36"/>
  <c r="AF145" i="36"/>
  <c r="AI144" i="36"/>
  <c r="AH144" i="36"/>
  <c r="AI143" i="36"/>
  <c r="AH143" i="36"/>
  <c r="AI142" i="36"/>
  <c r="AH142" i="36"/>
  <c r="AI141" i="36"/>
  <c r="AH141" i="36"/>
  <c r="AF141" i="36"/>
  <c r="AI140" i="36"/>
  <c r="AH140" i="36"/>
  <c r="AI139" i="36"/>
  <c r="AH139" i="36"/>
  <c r="AI138" i="36"/>
  <c r="AH138" i="36"/>
  <c r="AI137" i="36"/>
  <c r="AH137" i="36"/>
  <c r="AF137" i="36"/>
  <c r="AI136" i="36"/>
  <c r="AH136" i="36"/>
  <c r="AI135" i="36"/>
  <c r="AH135" i="36"/>
  <c r="AI134" i="36"/>
  <c r="AH134" i="36"/>
  <c r="AI133" i="36"/>
  <c r="AH133" i="36"/>
  <c r="AF133" i="36"/>
  <c r="AI132" i="36"/>
  <c r="AH132" i="36"/>
  <c r="AI131" i="36"/>
  <c r="AH131" i="36"/>
  <c r="AI130" i="36"/>
  <c r="AH130" i="36"/>
  <c r="AI129" i="36"/>
  <c r="AH129" i="36"/>
  <c r="AI128" i="36"/>
  <c r="AH128" i="36"/>
  <c r="AI127" i="36"/>
  <c r="AH127" i="36"/>
  <c r="AI126" i="36"/>
  <c r="AH126" i="36"/>
  <c r="AI125" i="36"/>
  <c r="AH125" i="36"/>
  <c r="AF125" i="36"/>
  <c r="AI124" i="36"/>
  <c r="AH124" i="36"/>
  <c r="AI123" i="36"/>
  <c r="AH123" i="36"/>
  <c r="AI122" i="36"/>
  <c r="AH122" i="36"/>
  <c r="AI121" i="36"/>
  <c r="AH121" i="36"/>
  <c r="AF121" i="36"/>
  <c r="AI120" i="36"/>
  <c r="AH120" i="36"/>
  <c r="AI119" i="36"/>
  <c r="AH119" i="36"/>
  <c r="AI118" i="36"/>
  <c r="AH118" i="36"/>
  <c r="AI117" i="36"/>
  <c r="AH117" i="36"/>
  <c r="AI116" i="36"/>
  <c r="AH116" i="36"/>
  <c r="AI115" i="36"/>
  <c r="AH115" i="36"/>
  <c r="AI114" i="36"/>
  <c r="AH114" i="36"/>
  <c r="AI113" i="36"/>
  <c r="AH113" i="36"/>
  <c r="AF113" i="36"/>
  <c r="AI112" i="36"/>
  <c r="AH112" i="36"/>
  <c r="AI111" i="36"/>
  <c r="AH111" i="36"/>
  <c r="AI110" i="36"/>
  <c r="AH110" i="36"/>
  <c r="AI109" i="36"/>
  <c r="AH109" i="36"/>
  <c r="AF109" i="36"/>
  <c r="AI108" i="36"/>
  <c r="AH108" i="36"/>
  <c r="AI107" i="36"/>
  <c r="AH107" i="36"/>
  <c r="AI106" i="36"/>
  <c r="AH106" i="36"/>
  <c r="AI105" i="36"/>
  <c r="AH105" i="36"/>
  <c r="AF105" i="36"/>
  <c r="AI104" i="36"/>
  <c r="AH104" i="36"/>
  <c r="AI103" i="36"/>
  <c r="AH103" i="36"/>
  <c r="AI102" i="36"/>
  <c r="AH102" i="36"/>
  <c r="AI101" i="36"/>
  <c r="AH101" i="36"/>
  <c r="AF101" i="36"/>
  <c r="AI100" i="36"/>
  <c r="AH100" i="36"/>
  <c r="AI99" i="36"/>
  <c r="AH99" i="36"/>
  <c r="AI98" i="36"/>
  <c r="AH98" i="36"/>
  <c r="AI97" i="36"/>
  <c r="AH97" i="36"/>
  <c r="AI96" i="36"/>
  <c r="AH96" i="36"/>
  <c r="AI94" i="36"/>
  <c r="AH94" i="36"/>
  <c r="AI93" i="36"/>
  <c r="AH93" i="36"/>
  <c r="AF93" i="36"/>
  <c r="AI92" i="36"/>
  <c r="AH92" i="36"/>
  <c r="AI91" i="36"/>
  <c r="AH91" i="36"/>
  <c r="AI90" i="36"/>
  <c r="AH90" i="36"/>
  <c r="AI89" i="36"/>
  <c r="AH89" i="36"/>
  <c r="AF89" i="36"/>
  <c r="AI88" i="36"/>
  <c r="AH88" i="36"/>
  <c r="AI87" i="36"/>
  <c r="AH87" i="36"/>
  <c r="AI86" i="36"/>
  <c r="AH86" i="36"/>
  <c r="AI85" i="36"/>
  <c r="AH85" i="36"/>
  <c r="AF85" i="36"/>
  <c r="AI84" i="36"/>
  <c r="AH84" i="36"/>
  <c r="AI83" i="36"/>
  <c r="AH83" i="36"/>
  <c r="AI82" i="36"/>
  <c r="AH82" i="36"/>
  <c r="AI81" i="36"/>
  <c r="AH81" i="36"/>
  <c r="AF81" i="36"/>
  <c r="AI80" i="36"/>
  <c r="AH80" i="36"/>
  <c r="AI79" i="36"/>
  <c r="AH79" i="36"/>
  <c r="AI78" i="36"/>
  <c r="AH78" i="36"/>
  <c r="AI77" i="36"/>
  <c r="AH77" i="36"/>
  <c r="AF77" i="36"/>
  <c r="AI76" i="36"/>
  <c r="AH76" i="36"/>
  <c r="AI75" i="36"/>
  <c r="AH75" i="36"/>
  <c r="AI74" i="36"/>
  <c r="AH74" i="36"/>
  <c r="AI73" i="36"/>
  <c r="AH73" i="36"/>
  <c r="AF73" i="36"/>
  <c r="AI72" i="36"/>
  <c r="AH72" i="36"/>
  <c r="AI71" i="36"/>
  <c r="AH71" i="36"/>
  <c r="AI70" i="36"/>
  <c r="AH70" i="36"/>
  <c r="AI69" i="36"/>
  <c r="AH69" i="36"/>
  <c r="AF69" i="36"/>
  <c r="AI68" i="36"/>
  <c r="AH68" i="36"/>
  <c r="AI67" i="36"/>
  <c r="AH67" i="36"/>
  <c r="AI66" i="36"/>
  <c r="AH66" i="36"/>
  <c r="AI65" i="36"/>
  <c r="AH65" i="36"/>
  <c r="AF65" i="36"/>
  <c r="AI64" i="36"/>
  <c r="AH64" i="36"/>
  <c r="AI63" i="36"/>
  <c r="AH63" i="36"/>
  <c r="AI62" i="36"/>
  <c r="AH62" i="36"/>
  <c r="AI61" i="36"/>
  <c r="AH61" i="36"/>
  <c r="AF61" i="36"/>
  <c r="AI60" i="36"/>
  <c r="AH60" i="36"/>
  <c r="AI59" i="36"/>
  <c r="AH59" i="36"/>
  <c r="AF59" i="36"/>
  <c r="AI58" i="36"/>
  <c r="AH58" i="36"/>
  <c r="AI57" i="36"/>
  <c r="AH57" i="36"/>
  <c r="AF57" i="36"/>
  <c r="AI56" i="36"/>
  <c r="AH56" i="36"/>
  <c r="AF56" i="36"/>
  <c r="AI55" i="36"/>
  <c r="AH55" i="36"/>
  <c r="AF55" i="36"/>
  <c r="AI54" i="36"/>
  <c r="AH54" i="36"/>
  <c r="AI53" i="36"/>
  <c r="AH53" i="36"/>
  <c r="AF53" i="36"/>
  <c r="AI52" i="36"/>
  <c r="AH52" i="36"/>
  <c r="AI51" i="36"/>
  <c r="AH51" i="36"/>
  <c r="AI50" i="36"/>
  <c r="AH50" i="36"/>
  <c r="AI49" i="36"/>
  <c r="AH49" i="36"/>
  <c r="AF49" i="36"/>
  <c r="AI48" i="36"/>
  <c r="AH48" i="36"/>
  <c r="AF48" i="36"/>
  <c r="AI47" i="36"/>
  <c r="AH47" i="36"/>
  <c r="AI46" i="36"/>
  <c r="AH46" i="36"/>
  <c r="AI45" i="36"/>
  <c r="AH45" i="36"/>
  <c r="AF45" i="36"/>
  <c r="AI44" i="36"/>
  <c r="AH44" i="36"/>
  <c r="AI43" i="36"/>
  <c r="AH43" i="36"/>
  <c r="AF43" i="36"/>
  <c r="AI42" i="36"/>
  <c r="AH42" i="36"/>
  <c r="AI41" i="36"/>
  <c r="AH41" i="36"/>
  <c r="AI40" i="36"/>
  <c r="AH40" i="36"/>
  <c r="AF40" i="36"/>
  <c r="AI39" i="36"/>
  <c r="AH39" i="36"/>
  <c r="AF39" i="36"/>
  <c r="AI38" i="36"/>
  <c r="AH38" i="36"/>
  <c r="AI37" i="36"/>
  <c r="AH37" i="36"/>
  <c r="AF37" i="36"/>
  <c r="AI36" i="36"/>
  <c r="AH36" i="36"/>
  <c r="AI35" i="36"/>
  <c r="AH35" i="36"/>
  <c r="AF35" i="36"/>
  <c r="AI34" i="36"/>
  <c r="AH34" i="36"/>
  <c r="AI33" i="36"/>
  <c r="AH33" i="36"/>
  <c r="AI32" i="36"/>
  <c r="AH32" i="36"/>
  <c r="AI31" i="36"/>
  <c r="AH31" i="36"/>
  <c r="AF31" i="36"/>
  <c r="AI30" i="36"/>
  <c r="AH30" i="36"/>
  <c r="AI29" i="36"/>
  <c r="AH29" i="36"/>
  <c r="AF29" i="36"/>
  <c r="AI28" i="36"/>
  <c r="AH28" i="36"/>
  <c r="AI27" i="36"/>
  <c r="AH27" i="36"/>
  <c r="AI26" i="36"/>
  <c r="AH26" i="36"/>
  <c r="AI25" i="36"/>
  <c r="AH25" i="36"/>
  <c r="AF25" i="36"/>
  <c r="AI24" i="36"/>
  <c r="AH24" i="36"/>
  <c r="AI23" i="36"/>
  <c r="AH23" i="36"/>
  <c r="AF23" i="36"/>
  <c r="AI22" i="36"/>
  <c r="AH22" i="36"/>
  <c r="AI21" i="36"/>
  <c r="AH21" i="36"/>
  <c r="AF21" i="36"/>
  <c r="AI20" i="36"/>
  <c r="AH20" i="36"/>
  <c r="AI19" i="36"/>
  <c r="AH19" i="36"/>
  <c r="AI18" i="36"/>
  <c r="AH18" i="36"/>
  <c r="AI17" i="36"/>
  <c r="AH17" i="36"/>
  <c r="AF17" i="36"/>
  <c r="AI16" i="36"/>
  <c r="AH16" i="36"/>
  <c r="AI15" i="36"/>
  <c r="AH15" i="36"/>
  <c r="AF15" i="36"/>
  <c r="AI14" i="36"/>
  <c r="AH14" i="36"/>
  <c r="AI13" i="36"/>
  <c r="AH13" i="36"/>
  <c r="AI12" i="36"/>
  <c r="AH12" i="36"/>
  <c r="AI11" i="36"/>
  <c r="AH11" i="36"/>
  <c r="AF11" i="36"/>
  <c r="AI10" i="36"/>
  <c r="AH10" i="36"/>
  <c r="C23" i="30"/>
  <c r="F228" i="25"/>
  <c r="AH328" i="21"/>
  <c r="H264" i="29"/>
  <c r="H263" i="29"/>
  <c r="H262" i="29"/>
  <c r="H261" i="29"/>
  <c r="H260" i="29"/>
  <c r="H259" i="29"/>
  <c r="H258" i="29"/>
  <c r="H257" i="29"/>
  <c r="I257" i="29"/>
  <c r="H215" i="29"/>
  <c r="I215" i="29"/>
  <c r="H256" i="29"/>
  <c r="H255" i="29"/>
  <c r="H254" i="29"/>
  <c r="H253" i="29"/>
  <c r="I253" i="29"/>
  <c r="H252" i="29"/>
  <c r="H251" i="29"/>
  <c r="H250" i="29"/>
  <c r="H249" i="29"/>
  <c r="I249" i="29"/>
  <c r="H248" i="29"/>
  <c r="H247" i="29"/>
  <c r="H246" i="29"/>
  <c r="H245" i="29"/>
  <c r="I245" i="29"/>
  <c r="H244" i="29"/>
  <c r="H243" i="29"/>
  <c r="H242" i="29"/>
  <c r="H241" i="29"/>
  <c r="I241" i="29"/>
  <c r="H240" i="29"/>
  <c r="H239" i="29"/>
  <c r="H238" i="29"/>
  <c r="H237" i="29"/>
  <c r="I237" i="29"/>
  <c r="H236" i="29"/>
  <c r="H235" i="29"/>
  <c r="H234" i="29"/>
  <c r="H233" i="29"/>
  <c r="I233" i="29"/>
  <c r="H232" i="29"/>
  <c r="H231" i="29"/>
  <c r="H230" i="29"/>
  <c r="H229" i="29"/>
  <c r="I229" i="29"/>
  <c r="H228" i="29"/>
  <c r="H227" i="29"/>
  <c r="H226" i="29"/>
  <c r="H225" i="29"/>
  <c r="I225" i="29"/>
  <c r="H224" i="29"/>
  <c r="H223" i="29"/>
  <c r="H222" i="29"/>
  <c r="H221" i="29"/>
  <c r="I221" i="29"/>
  <c r="H220" i="29"/>
  <c r="H219" i="29"/>
  <c r="H218" i="29"/>
  <c r="H217" i="29"/>
  <c r="I217" i="29"/>
  <c r="H216" i="29"/>
  <c r="H214" i="29"/>
  <c r="H213" i="29"/>
  <c r="I213" i="29"/>
  <c r="H212" i="29"/>
  <c r="H211" i="29"/>
  <c r="H210" i="29"/>
  <c r="H209" i="29"/>
  <c r="I209" i="29"/>
  <c r="H208" i="29"/>
  <c r="H207" i="29"/>
  <c r="H206" i="29"/>
  <c r="H205" i="29"/>
  <c r="I205" i="29"/>
  <c r="H204" i="29"/>
  <c r="H203" i="29"/>
  <c r="H202" i="29"/>
  <c r="H201" i="29"/>
  <c r="I201" i="29"/>
  <c r="H200" i="29"/>
  <c r="H199" i="29"/>
  <c r="H198" i="29"/>
  <c r="H197" i="29"/>
  <c r="I197" i="29"/>
  <c r="H196" i="29"/>
  <c r="H195" i="29"/>
  <c r="H194" i="29"/>
  <c r="H193" i="29"/>
  <c r="I193" i="29"/>
  <c r="H192" i="29"/>
  <c r="H191" i="29"/>
  <c r="H190" i="29"/>
  <c r="H189" i="29"/>
  <c r="I189" i="29"/>
  <c r="H188" i="29"/>
  <c r="H187" i="29"/>
  <c r="H186" i="29"/>
  <c r="H185" i="29"/>
  <c r="I185" i="29"/>
  <c r="H184" i="29"/>
  <c r="H183" i="29"/>
  <c r="H182" i="29"/>
  <c r="H181" i="29"/>
  <c r="I181" i="29"/>
  <c r="H180" i="29"/>
  <c r="H179" i="29"/>
  <c r="H178" i="29"/>
  <c r="H177" i="29"/>
  <c r="I177" i="29"/>
  <c r="H176" i="29"/>
  <c r="H175" i="29"/>
  <c r="H174" i="29"/>
  <c r="H173" i="29"/>
  <c r="I173" i="29"/>
  <c r="H172" i="29"/>
  <c r="H171" i="29"/>
  <c r="H170" i="29"/>
  <c r="H169" i="29"/>
  <c r="I169" i="29"/>
  <c r="H168" i="29"/>
  <c r="H167" i="29"/>
  <c r="H166" i="29"/>
  <c r="H165" i="29"/>
  <c r="I165" i="29"/>
  <c r="H164" i="29"/>
  <c r="H163" i="29"/>
  <c r="H162" i="29"/>
  <c r="H161" i="29"/>
  <c r="I161" i="29"/>
  <c r="H160" i="29"/>
  <c r="H159" i="29"/>
  <c r="H158" i="29"/>
  <c r="H157" i="29"/>
  <c r="I157" i="29"/>
  <c r="H156" i="29"/>
  <c r="H155" i="29"/>
  <c r="H154" i="29"/>
  <c r="H153" i="29"/>
  <c r="I153" i="29"/>
  <c r="H152" i="29"/>
  <c r="H151" i="29"/>
  <c r="H150" i="29"/>
  <c r="H149" i="29"/>
  <c r="I149" i="29"/>
  <c r="H148" i="29"/>
  <c r="H147" i="29"/>
  <c r="H146" i="29"/>
  <c r="H145" i="29"/>
  <c r="I145" i="29"/>
  <c r="H144" i="29"/>
  <c r="H143" i="29"/>
  <c r="H142" i="29"/>
  <c r="H141" i="29"/>
  <c r="I141" i="29"/>
  <c r="H140" i="29"/>
  <c r="H139" i="29"/>
  <c r="H138" i="29"/>
  <c r="H137" i="29"/>
  <c r="I137" i="29"/>
  <c r="H136" i="29"/>
  <c r="H135" i="29"/>
  <c r="H134" i="29"/>
  <c r="H133" i="29"/>
  <c r="I133" i="29"/>
  <c r="H132" i="29"/>
  <c r="H131" i="29"/>
  <c r="H130" i="29"/>
  <c r="H129" i="29"/>
  <c r="I129" i="29"/>
  <c r="H128" i="29"/>
  <c r="H127" i="29"/>
  <c r="H126" i="29"/>
  <c r="H125" i="29"/>
  <c r="I125" i="29"/>
  <c r="H124" i="29"/>
  <c r="H123" i="29"/>
  <c r="H122" i="29"/>
  <c r="H121" i="29"/>
  <c r="I121" i="29"/>
  <c r="H120" i="29"/>
  <c r="H119" i="29"/>
  <c r="H118" i="29"/>
  <c r="H117" i="29"/>
  <c r="I117" i="29"/>
  <c r="H116" i="29"/>
  <c r="H115" i="29"/>
  <c r="H114" i="29"/>
  <c r="H113" i="29"/>
  <c r="I113" i="29"/>
  <c r="H112" i="29"/>
  <c r="H111" i="29"/>
  <c r="H110" i="29"/>
  <c r="H109" i="29"/>
  <c r="H108" i="29"/>
  <c r="H107" i="29"/>
  <c r="H106" i="29"/>
  <c r="H105" i="29"/>
  <c r="I105" i="29"/>
  <c r="H104" i="29"/>
  <c r="H103" i="29"/>
  <c r="H102" i="29"/>
  <c r="H101" i="29"/>
  <c r="I101" i="29"/>
  <c r="H100" i="29"/>
  <c r="H99" i="29"/>
  <c r="H98" i="29"/>
  <c r="H97" i="29"/>
  <c r="I97" i="29"/>
  <c r="H96" i="29"/>
  <c r="H95" i="29"/>
  <c r="H94" i="29"/>
  <c r="H93" i="29"/>
  <c r="I93" i="29"/>
  <c r="H92" i="29"/>
  <c r="H91" i="29"/>
  <c r="H90" i="29"/>
  <c r="H89" i="29"/>
  <c r="I89" i="29"/>
  <c r="H88" i="29"/>
  <c r="H87" i="29"/>
  <c r="H86" i="29"/>
  <c r="H85" i="29"/>
  <c r="I85" i="29"/>
  <c r="H84" i="29"/>
  <c r="H83" i="29"/>
  <c r="H82" i="29"/>
  <c r="H81" i="29"/>
  <c r="I81" i="29"/>
  <c r="H80" i="29"/>
  <c r="H79" i="29"/>
  <c r="H78" i="29"/>
  <c r="H77" i="29"/>
  <c r="I77" i="29"/>
  <c r="H76" i="29"/>
  <c r="H75" i="29"/>
  <c r="H74" i="29"/>
  <c r="H73" i="29"/>
  <c r="I73" i="29"/>
  <c r="H72" i="29"/>
  <c r="H71" i="29"/>
  <c r="H70" i="29"/>
  <c r="H69" i="29"/>
  <c r="I69" i="29"/>
  <c r="H68" i="29"/>
  <c r="H67" i="29"/>
  <c r="H66" i="29"/>
  <c r="H65" i="29"/>
  <c r="I65" i="29"/>
  <c r="H64" i="29"/>
  <c r="H63" i="29"/>
  <c r="H62" i="29"/>
  <c r="H61" i="29"/>
  <c r="I61" i="29"/>
  <c r="H60" i="29"/>
  <c r="H59" i="29"/>
  <c r="H58" i="29"/>
  <c r="H57" i="29"/>
  <c r="I57" i="29"/>
  <c r="H56" i="29"/>
  <c r="H55" i="29"/>
  <c r="H54" i="29"/>
  <c r="H53" i="29"/>
  <c r="I53" i="29"/>
  <c r="H52" i="29"/>
  <c r="H51" i="29"/>
  <c r="H50" i="29"/>
  <c r="H49" i="29"/>
  <c r="I49" i="29"/>
  <c r="H48" i="29"/>
  <c r="H47" i="29"/>
  <c r="H46" i="29"/>
  <c r="H45" i="29"/>
  <c r="I45" i="29"/>
  <c r="H44" i="29"/>
  <c r="H43" i="29"/>
  <c r="H42" i="29"/>
  <c r="H41" i="29"/>
  <c r="I41" i="29"/>
  <c r="H40" i="29"/>
  <c r="H39" i="29"/>
  <c r="H38" i="29"/>
  <c r="H37" i="29"/>
  <c r="I37" i="29"/>
  <c r="H36" i="29"/>
  <c r="H35" i="29"/>
  <c r="H34" i="29"/>
  <c r="H33" i="29"/>
  <c r="I33" i="29"/>
  <c r="H32" i="29"/>
  <c r="H31" i="29"/>
  <c r="H30" i="29"/>
  <c r="H29" i="29"/>
  <c r="I29" i="29"/>
  <c r="H28" i="29"/>
  <c r="H27" i="29"/>
  <c r="H26" i="29"/>
  <c r="H25" i="29"/>
  <c r="I25" i="29"/>
  <c r="H24" i="29"/>
  <c r="H23" i="29"/>
  <c r="H22" i="29"/>
  <c r="H21" i="29"/>
  <c r="I21" i="29"/>
  <c r="H20" i="29"/>
  <c r="H19" i="29"/>
  <c r="H18" i="29"/>
  <c r="H17" i="29"/>
  <c r="I17" i="29"/>
  <c r="H16" i="29"/>
  <c r="H15" i="29"/>
  <c r="H14" i="29"/>
  <c r="H13" i="29"/>
  <c r="H12" i="29"/>
  <c r="H11" i="29"/>
  <c r="H10" i="29"/>
  <c r="I326" i="29"/>
  <c r="I325" i="29"/>
  <c r="I324" i="29"/>
  <c r="I323" i="29"/>
  <c r="I322" i="29"/>
  <c r="I321" i="29"/>
  <c r="I320" i="29"/>
  <c r="I319" i="29"/>
  <c r="I318" i="29"/>
  <c r="I317" i="29"/>
  <c r="I316" i="29"/>
  <c r="I315" i="29"/>
  <c r="I314" i="29"/>
  <c r="I313" i="29"/>
  <c r="I312" i="29"/>
  <c r="I311" i="29"/>
  <c r="I310" i="29"/>
  <c r="I309" i="29"/>
  <c r="I308" i="29"/>
  <c r="I307" i="29"/>
  <c r="I306" i="29"/>
  <c r="I305" i="29"/>
  <c r="I304" i="29"/>
  <c r="I303" i="29"/>
  <c r="I302" i="29"/>
  <c r="I301" i="29"/>
  <c r="I300" i="29"/>
  <c r="I299" i="29"/>
  <c r="I298" i="29"/>
  <c r="I297" i="29"/>
  <c r="I296" i="29"/>
  <c r="I295" i="29"/>
  <c r="I294" i="29"/>
  <c r="I293" i="29"/>
  <c r="I292" i="29"/>
  <c r="I291" i="29"/>
  <c r="I290" i="29"/>
  <c r="I289" i="29"/>
  <c r="I288" i="29"/>
  <c r="I287" i="29"/>
  <c r="I286" i="29"/>
  <c r="I285" i="29"/>
  <c r="I284" i="29"/>
  <c r="I283" i="29"/>
  <c r="I282" i="29"/>
  <c r="I281" i="29"/>
  <c r="I280" i="29"/>
  <c r="I279" i="29"/>
  <c r="I278" i="29"/>
  <c r="I277" i="29"/>
  <c r="I276" i="29"/>
  <c r="I275" i="29"/>
  <c r="I274" i="29"/>
  <c r="I273" i="29"/>
  <c r="I272" i="29"/>
  <c r="I271" i="29"/>
  <c r="I270" i="29"/>
  <c r="I269" i="29"/>
  <c r="I268" i="29"/>
  <c r="I267" i="29"/>
  <c r="I266" i="29"/>
  <c r="I265" i="29"/>
  <c r="I264" i="29"/>
  <c r="I263" i="29"/>
  <c r="I262" i="29"/>
  <c r="I261" i="29"/>
  <c r="I260" i="29"/>
  <c r="I259" i="29"/>
  <c r="I258" i="29"/>
  <c r="I109" i="29"/>
  <c r="I13" i="29"/>
  <c r="J972" i="27"/>
  <c r="I972" i="27"/>
  <c r="H972" i="27"/>
  <c r="G972" i="27"/>
  <c r="D972" i="27"/>
  <c r="C972" i="27"/>
  <c r="J971" i="27"/>
  <c r="I971" i="27"/>
  <c r="H971" i="27"/>
  <c r="G971" i="27"/>
  <c r="D971" i="27"/>
  <c r="C971" i="27"/>
  <c r="F971" i="27"/>
  <c r="J970" i="27"/>
  <c r="I970" i="27"/>
  <c r="H970" i="27"/>
  <c r="G970" i="27"/>
  <c r="D970" i="27"/>
  <c r="C970" i="27"/>
  <c r="F970" i="27"/>
  <c r="J969" i="27"/>
  <c r="I969" i="27"/>
  <c r="H969" i="27"/>
  <c r="G969" i="27"/>
  <c r="D969" i="27"/>
  <c r="C969" i="27"/>
  <c r="F969" i="27"/>
  <c r="J968" i="27"/>
  <c r="I968" i="27"/>
  <c r="H968" i="27"/>
  <c r="G968" i="27"/>
  <c r="D968" i="27"/>
  <c r="C968" i="27"/>
  <c r="F968" i="27"/>
  <c r="J967" i="27"/>
  <c r="I967" i="27"/>
  <c r="H967" i="27"/>
  <c r="G967" i="27"/>
  <c r="D967" i="27"/>
  <c r="C967" i="27"/>
  <c r="F967" i="27"/>
  <c r="J966" i="27"/>
  <c r="I966" i="27"/>
  <c r="H966" i="27"/>
  <c r="G966" i="27"/>
  <c r="D966" i="27"/>
  <c r="C966" i="27"/>
  <c r="J965" i="27"/>
  <c r="I965" i="27"/>
  <c r="H965" i="27"/>
  <c r="G965" i="27"/>
  <c r="D965" i="27"/>
  <c r="C965" i="27"/>
  <c r="F965" i="27"/>
  <c r="J964" i="27"/>
  <c r="I964" i="27"/>
  <c r="H964" i="27"/>
  <c r="G964" i="27"/>
  <c r="D964" i="27"/>
  <c r="C964" i="27"/>
  <c r="J963" i="27"/>
  <c r="I963" i="27"/>
  <c r="H963" i="27"/>
  <c r="G963" i="27"/>
  <c r="D963" i="27"/>
  <c r="C963" i="27"/>
  <c r="J962" i="27"/>
  <c r="I962" i="27"/>
  <c r="H962" i="27"/>
  <c r="G962" i="27"/>
  <c r="D962" i="27"/>
  <c r="C962" i="27"/>
  <c r="F962" i="27"/>
  <c r="J961" i="27"/>
  <c r="I961" i="27"/>
  <c r="H961" i="27"/>
  <c r="G961" i="27"/>
  <c r="D961" i="27"/>
  <c r="C961" i="27"/>
  <c r="J960" i="27"/>
  <c r="I960" i="27"/>
  <c r="H960" i="27"/>
  <c r="G960" i="27"/>
  <c r="D960" i="27"/>
  <c r="C960" i="27"/>
  <c r="J959" i="27"/>
  <c r="I959" i="27"/>
  <c r="H959" i="27"/>
  <c r="G959" i="27"/>
  <c r="D959" i="27"/>
  <c r="C959" i="27"/>
  <c r="F959" i="27"/>
  <c r="J958" i="27"/>
  <c r="I958" i="27"/>
  <c r="H958" i="27"/>
  <c r="G958" i="27"/>
  <c r="D958" i="27"/>
  <c r="C958" i="27"/>
  <c r="F958" i="27"/>
  <c r="J957" i="27"/>
  <c r="I957" i="27"/>
  <c r="H957" i="27"/>
  <c r="G957" i="27"/>
  <c r="D957" i="27"/>
  <c r="C957" i="27"/>
  <c r="F957" i="27"/>
  <c r="J956" i="27"/>
  <c r="I956" i="27"/>
  <c r="H956" i="27"/>
  <c r="G956" i="27"/>
  <c r="D956" i="27"/>
  <c r="C956" i="27"/>
  <c r="J955" i="27"/>
  <c r="I955" i="27"/>
  <c r="H955" i="27"/>
  <c r="G955" i="27"/>
  <c r="D955" i="27"/>
  <c r="C955" i="27"/>
  <c r="J954" i="27"/>
  <c r="I954" i="27"/>
  <c r="H954" i="27"/>
  <c r="G954" i="27"/>
  <c r="D954" i="27"/>
  <c r="C954" i="27"/>
  <c r="F954" i="27"/>
  <c r="J953" i="27"/>
  <c r="I953" i="27"/>
  <c r="H953" i="27"/>
  <c r="G953" i="27"/>
  <c r="D953" i="27"/>
  <c r="C953" i="27"/>
  <c r="F953" i="27"/>
  <c r="J952" i="27"/>
  <c r="I952" i="27"/>
  <c r="H952" i="27"/>
  <c r="G952" i="27"/>
  <c r="D952" i="27"/>
  <c r="C952" i="27"/>
  <c r="F952" i="27"/>
  <c r="J951" i="27"/>
  <c r="I951" i="27"/>
  <c r="H951" i="27"/>
  <c r="G951" i="27"/>
  <c r="D951" i="27"/>
  <c r="C951" i="27"/>
  <c r="F951" i="27"/>
  <c r="J950" i="27"/>
  <c r="I950" i="27"/>
  <c r="H950" i="27"/>
  <c r="G950" i="27"/>
  <c r="D950" i="27"/>
  <c r="C950" i="27"/>
  <c r="J949" i="27"/>
  <c r="I949" i="27"/>
  <c r="H949" i="27"/>
  <c r="G949" i="27"/>
  <c r="D949" i="27"/>
  <c r="C949" i="27"/>
  <c r="F949" i="27"/>
  <c r="J948" i="27"/>
  <c r="I948" i="27"/>
  <c r="H948" i="27"/>
  <c r="G948" i="27"/>
  <c r="D948" i="27"/>
  <c r="C948" i="27"/>
  <c r="F948" i="27"/>
  <c r="J947" i="27"/>
  <c r="I947" i="27"/>
  <c r="H947" i="27"/>
  <c r="G947" i="27"/>
  <c r="D947" i="27"/>
  <c r="C947" i="27"/>
  <c r="J946" i="27"/>
  <c r="I946" i="27"/>
  <c r="H946" i="27"/>
  <c r="G946" i="27"/>
  <c r="D946" i="27"/>
  <c r="C946" i="27"/>
  <c r="J945" i="27"/>
  <c r="I945" i="27"/>
  <c r="H945" i="27"/>
  <c r="G945" i="27"/>
  <c r="D945" i="27"/>
  <c r="C945" i="27"/>
  <c r="F945" i="27"/>
  <c r="J944" i="27"/>
  <c r="I944" i="27"/>
  <c r="H944" i="27"/>
  <c r="G944" i="27"/>
  <c r="D944" i="27"/>
  <c r="C944" i="27"/>
  <c r="F944" i="27"/>
  <c r="J943" i="27"/>
  <c r="I943" i="27"/>
  <c r="H943" i="27"/>
  <c r="G943" i="27"/>
  <c r="D943" i="27"/>
  <c r="C943" i="27"/>
  <c r="J942" i="27"/>
  <c r="I942" i="27"/>
  <c r="H942" i="27"/>
  <c r="G942" i="27"/>
  <c r="D942" i="27"/>
  <c r="C942" i="27"/>
  <c r="J941" i="27"/>
  <c r="I941" i="27"/>
  <c r="H941" i="27"/>
  <c r="G941" i="27"/>
  <c r="D941" i="27"/>
  <c r="C941" i="27"/>
  <c r="J940" i="27"/>
  <c r="I940" i="27"/>
  <c r="H940" i="27"/>
  <c r="G940" i="27"/>
  <c r="D940" i="27"/>
  <c r="C940" i="27"/>
  <c r="F940" i="27"/>
  <c r="J939" i="27"/>
  <c r="I939" i="27"/>
  <c r="H939" i="27"/>
  <c r="G939" i="27"/>
  <c r="D939" i="27"/>
  <c r="C939" i="27"/>
  <c r="J938" i="27"/>
  <c r="I938" i="27"/>
  <c r="H938" i="27"/>
  <c r="G938" i="27"/>
  <c r="D938" i="27"/>
  <c r="C938" i="27"/>
  <c r="F938" i="27"/>
  <c r="J937" i="27"/>
  <c r="I937" i="27"/>
  <c r="H937" i="27"/>
  <c r="G937" i="27"/>
  <c r="D937" i="27"/>
  <c r="C937" i="27"/>
  <c r="F937" i="27"/>
  <c r="J936" i="27"/>
  <c r="I936" i="27"/>
  <c r="H936" i="27"/>
  <c r="G936" i="27"/>
  <c r="D936" i="27"/>
  <c r="C936" i="27"/>
  <c r="F936" i="27"/>
  <c r="J935" i="27"/>
  <c r="I935" i="27"/>
  <c r="H935" i="27"/>
  <c r="G935" i="27"/>
  <c r="D935" i="27"/>
  <c r="C935" i="27"/>
  <c r="F935" i="27"/>
  <c r="J934" i="27"/>
  <c r="I934" i="27"/>
  <c r="H934" i="27"/>
  <c r="G934" i="27"/>
  <c r="D934" i="27"/>
  <c r="C934" i="27"/>
  <c r="J933" i="27"/>
  <c r="I933" i="27"/>
  <c r="H933" i="27"/>
  <c r="G933" i="27"/>
  <c r="D933" i="27"/>
  <c r="C933" i="27"/>
  <c r="F933" i="27"/>
  <c r="J932" i="27"/>
  <c r="I932" i="27"/>
  <c r="H932" i="27"/>
  <c r="G932" i="27"/>
  <c r="D932" i="27"/>
  <c r="C932" i="27"/>
  <c r="F932" i="27"/>
  <c r="J931" i="27"/>
  <c r="I931" i="27"/>
  <c r="H931" i="27"/>
  <c r="G931" i="27"/>
  <c r="D931" i="27"/>
  <c r="C931" i="27"/>
  <c r="J930" i="27"/>
  <c r="I930" i="27"/>
  <c r="H930" i="27"/>
  <c r="G930" i="27"/>
  <c r="D930" i="27"/>
  <c r="C930" i="27"/>
  <c r="J929" i="27"/>
  <c r="I929" i="27"/>
  <c r="H929" i="27"/>
  <c r="G929" i="27"/>
  <c r="D929" i="27"/>
  <c r="C929" i="27"/>
  <c r="F929" i="27"/>
  <c r="J928" i="27"/>
  <c r="I928" i="27"/>
  <c r="H928" i="27"/>
  <c r="G928" i="27"/>
  <c r="D928" i="27"/>
  <c r="C928" i="27"/>
  <c r="F928" i="27"/>
  <c r="J927" i="27"/>
  <c r="I927" i="27"/>
  <c r="H927" i="27"/>
  <c r="G927" i="27"/>
  <c r="D927" i="27"/>
  <c r="C927" i="27"/>
  <c r="J926" i="27"/>
  <c r="I926" i="27"/>
  <c r="H926" i="27"/>
  <c r="G926" i="27"/>
  <c r="D926" i="27"/>
  <c r="C926" i="27"/>
  <c r="J925" i="27"/>
  <c r="I925" i="27"/>
  <c r="H925" i="27"/>
  <c r="G925" i="27"/>
  <c r="D925" i="27"/>
  <c r="C925" i="27"/>
  <c r="J924" i="27"/>
  <c r="I924" i="27"/>
  <c r="H924" i="27"/>
  <c r="G924" i="27"/>
  <c r="D924" i="27"/>
  <c r="C924" i="27"/>
  <c r="F924" i="27"/>
  <c r="J923" i="27"/>
  <c r="I923" i="27"/>
  <c r="H923" i="27"/>
  <c r="G923" i="27"/>
  <c r="D923" i="27"/>
  <c r="C923" i="27"/>
  <c r="J922" i="27"/>
  <c r="I922" i="27"/>
  <c r="H922" i="27"/>
  <c r="G922" i="27"/>
  <c r="D922" i="27"/>
  <c r="C922" i="27"/>
  <c r="F922" i="27"/>
  <c r="J921" i="27"/>
  <c r="I921" i="27"/>
  <c r="H921" i="27"/>
  <c r="G921" i="27"/>
  <c r="D921" i="27"/>
  <c r="C921" i="27"/>
  <c r="F921" i="27"/>
  <c r="J920" i="27"/>
  <c r="I920" i="27"/>
  <c r="H920" i="27"/>
  <c r="G920" i="27"/>
  <c r="D920" i="27"/>
  <c r="C920" i="27"/>
  <c r="F920" i="27"/>
  <c r="J919" i="27"/>
  <c r="I919" i="27"/>
  <c r="H919" i="27"/>
  <c r="G919" i="27"/>
  <c r="D919" i="27"/>
  <c r="C919" i="27"/>
  <c r="F919" i="27"/>
  <c r="J918" i="27"/>
  <c r="I918" i="27"/>
  <c r="H918" i="27"/>
  <c r="G918" i="27"/>
  <c r="D918" i="27"/>
  <c r="C918" i="27"/>
  <c r="J917" i="27"/>
  <c r="I917" i="27"/>
  <c r="H917" i="27"/>
  <c r="G917" i="27"/>
  <c r="D917" i="27"/>
  <c r="C917" i="27"/>
  <c r="F917" i="27"/>
  <c r="J916" i="27"/>
  <c r="I916" i="27"/>
  <c r="H916" i="27"/>
  <c r="G916" i="27"/>
  <c r="D916" i="27"/>
  <c r="C916" i="27"/>
  <c r="F916" i="27"/>
  <c r="J915" i="27"/>
  <c r="I915" i="27"/>
  <c r="H915" i="27"/>
  <c r="G915" i="27"/>
  <c r="D915" i="27"/>
  <c r="C915" i="27"/>
  <c r="J914" i="27"/>
  <c r="I914" i="27"/>
  <c r="H914" i="27"/>
  <c r="G914" i="27"/>
  <c r="D914" i="27"/>
  <c r="C914" i="27"/>
  <c r="J913" i="27"/>
  <c r="I913" i="27"/>
  <c r="H913" i="27"/>
  <c r="G913" i="27"/>
  <c r="D913" i="27"/>
  <c r="C913" i="27"/>
  <c r="F913" i="27"/>
  <c r="J912" i="27"/>
  <c r="I912" i="27"/>
  <c r="H912" i="27"/>
  <c r="G912" i="27"/>
  <c r="D912" i="27"/>
  <c r="C912" i="27"/>
  <c r="F912" i="27"/>
  <c r="J911" i="27"/>
  <c r="I911" i="27"/>
  <c r="H911" i="27"/>
  <c r="G911" i="27"/>
  <c r="D911" i="27"/>
  <c r="C911" i="27"/>
  <c r="J910" i="27"/>
  <c r="I910" i="27"/>
  <c r="H910" i="27"/>
  <c r="G910" i="27"/>
  <c r="D910" i="27"/>
  <c r="C910" i="27"/>
  <c r="J909" i="27"/>
  <c r="I909" i="27"/>
  <c r="H909" i="27"/>
  <c r="G909" i="27"/>
  <c r="D909" i="27"/>
  <c r="C909" i="27"/>
  <c r="J908" i="27"/>
  <c r="I908" i="27"/>
  <c r="H908" i="27"/>
  <c r="G908" i="27"/>
  <c r="D908" i="27"/>
  <c r="C908" i="27"/>
  <c r="F908" i="27"/>
  <c r="J907" i="27"/>
  <c r="I907" i="27"/>
  <c r="H907" i="27"/>
  <c r="G907" i="27"/>
  <c r="D907" i="27"/>
  <c r="C907" i="27"/>
  <c r="J906" i="27"/>
  <c r="I906" i="27"/>
  <c r="H906" i="27"/>
  <c r="G906" i="27"/>
  <c r="D906" i="27"/>
  <c r="C906" i="27"/>
  <c r="F906" i="27"/>
  <c r="J905" i="27"/>
  <c r="I905" i="27"/>
  <c r="H905" i="27"/>
  <c r="G905" i="27"/>
  <c r="D905" i="27"/>
  <c r="C905" i="27"/>
  <c r="F905" i="27"/>
  <c r="J904" i="27"/>
  <c r="I904" i="27"/>
  <c r="H904" i="27"/>
  <c r="G904" i="27"/>
  <c r="D904" i="27"/>
  <c r="C904" i="27"/>
  <c r="F904" i="27"/>
  <c r="J903" i="27"/>
  <c r="I903" i="27"/>
  <c r="H903" i="27"/>
  <c r="G903" i="27"/>
  <c r="D903" i="27"/>
  <c r="C903" i="27"/>
  <c r="F903" i="27"/>
  <c r="J902" i="27"/>
  <c r="I902" i="27"/>
  <c r="H902" i="27"/>
  <c r="G902" i="27"/>
  <c r="D902" i="27"/>
  <c r="C902" i="27"/>
  <c r="J901" i="27"/>
  <c r="I901" i="27"/>
  <c r="H901" i="27"/>
  <c r="G901" i="27"/>
  <c r="D901" i="27"/>
  <c r="C901" i="27"/>
  <c r="F901" i="27"/>
  <c r="J900" i="27"/>
  <c r="I900" i="27"/>
  <c r="H900" i="27"/>
  <c r="G900" i="27"/>
  <c r="D900" i="27"/>
  <c r="C900" i="27"/>
  <c r="F900" i="27"/>
  <c r="J899" i="27"/>
  <c r="I899" i="27"/>
  <c r="H899" i="27"/>
  <c r="G899" i="27"/>
  <c r="D899" i="27"/>
  <c r="C899" i="27"/>
  <c r="J898" i="27"/>
  <c r="I898" i="27"/>
  <c r="H898" i="27"/>
  <c r="G898" i="27"/>
  <c r="D898" i="27"/>
  <c r="C898" i="27"/>
  <c r="J897" i="27"/>
  <c r="I897" i="27"/>
  <c r="H897" i="27"/>
  <c r="G897" i="27"/>
  <c r="D897" i="27"/>
  <c r="C897" i="27"/>
  <c r="F897" i="27"/>
  <c r="J896" i="27"/>
  <c r="I896" i="27"/>
  <c r="H896" i="27"/>
  <c r="G896" i="27"/>
  <c r="D896" i="27"/>
  <c r="C896" i="27"/>
  <c r="F896" i="27"/>
  <c r="J895" i="27"/>
  <c r="I895" i="27"/>
  <c r="H895" i="27"/>
  <c r="G895" i="27"/>
  <c r="D895" i="27"/>
  <c r="C895" i="27"/>
  <c r="J894" i="27"/>
  <c r="I894" i="27"/>
  <c r="H894" i="27"/>
  <c r="G894" i="27"/>
  <c r="D894" i="27"/>
  <c r="C894" i="27"/>
  <c r="J893" i="27"/>
  <c r="I893" i="27"/>
  <c r="H893" i="27"/>
  <c r="G893" i="27"/>
  <c r="D893" i="27"/>
  <c r="C893" i="27"/>
  <c r="J892" i="27"/>
  <c r="I892" i="27"/>
  <c r="H892" i="27"/>
  <c r="G892" i="27"/>
  <c r="D892" i="27"/>
  <c r="C892" i="27"/>
  <c r="F892" i="27"/>
  <c r="J891" i="27"/>
  <c r="I891" i="27"/>
  <c r="H891" i="27"/>
  <c r="G891" i="27"/>
  <c r="D891" i="27"/>
  <c r="C891" i="27"/>
  <c r="J890" i="27"/>
  <c r="I890" i="27"/>
  <c r="H890" i="27"/>
  <c r="G890" i="27"/>
  <c r="D890" i="27"/>
  <c r="C890" i="27"/>
  <c r="F890" i="27"/>
  <c r="J889" i="27"/>
  <c r="I889" i="27"/>
  <c r="H889" i="27"/>
  <c r="G889" i="27"/>
  <c r="D889" i="27"/>
  <c r="C889" i="27"/>
  <c r="F889" i="27"/>
  <c r="J888" i="27"/>
  <c r="I888" i="27"/>
  <c r="H888" i="27"/>
  <c r="G888" i="27"/>
  <c r="D888" i="27"/>
  <c r="C888" i="27"/>
  <c r="F888" i="27"/>
  <c r="J887" i="27"/>
  <c r="I887" i="27"/>
  <c r="H887" i="27"/>
  <c r="G887" i="27"/>
  <c r="D887" i="27"/>
  <c r="C887" i="27"/>
  <c r="F887" i="27"/>
  <c r="J886" i="27"/>
  <c r="I886" i="27"/>
  <c r="H886" i="27"/>
  <c r="G886" i="27"/>
  <c r="D886" i="27"/>
  <c r="C886" i="27"/>
  <c r="J885" i="27"/>
  <c r="I885" i="27"/>
  <c r="H885" i="27"/>
  <c r="G885" i="27"/>
  <c r="D885" i="27"/>
  <c r="C885" i="27"/>
  <c r="F885" i="27"/>
  <c r="J884" i="27"/>
  <c r="I884" i="27"/>
  <c r="H884" i="27"/>
  <c r="G884" i="27"/>
  <c r="D884" i="27"/>
  <c r="C884" i="27"/>
  <c r="F884" i="27"/>
  <c r="J883" i="27"/>
  <c r="I883" i="27"/>
  <c r="H883" i="27"/>
  <c r="G883" i="27"/>
  <c r="D883" i="27"/>
  <c r="C883" i="27"/>
  <c r="J882" i="27"/>
  <c r="I882" i="27"/>
  <c r="H882" i="27"/>
  <c r="G882" i="27"/>
  <c r="D882" i="27"/>
  <c r="C882" i="27"/>
  <c r="J881" i="27"/>
  <c r="I881" i="27"/>
  <c r="H881" i="27"/>
  <c r="G881" i="27"/>
  <c r="D881" i="27"/>
  <c r="C881" i="27"/>
  <c r="F881" i="27"/>
  <c r="J880" i="27"/>
  <c r="I880" i="27"/>
  <c r="H880" i="27"/>
  <c r="G880" i="27"/>
  <c r="D880" i="27"/>
  <c r="C880" i="27"/>
  <c r="F880" i="27"/>
  <c r="J879" i="27"/>
  <c r="I879" i="27"/>
  <c r="H879" i="27"/>
  <c r="G879" i="27"/>
  <c r="D879" i="27"/>
  <c r="C879" i="27"/>
  <c r="J878" i="27"/>
  <c r="I878" i="27"/>
  <c r="H878" i="27"/>
  <c r="G878" i="27"/>
  <c r="D878" i="27"/>
  <c r="C878" i="27"/>
  <c r="J877" i="27"/>
  <c r="I877" i="27"/>
  <c r="H877" i="27"/>
  <c r="G877" i="27"/>
  <c r="D877" i="27"/>
  <c r="C877" i="27"/>
  <c r="J876" i="27"/>
  <c r="I876" i="27"/>
  <c r="H876" i="27"/>
  <c r="G876" i="27"/>
  <c r="D876" i="27"/>
  <c r="C876" i="27"/>
  <c r="F876" i="27"/>
  <c r="J875" i="27"/>
  <c r="I875" i="27"/>
  <c r="H875" i="27"/>
  <c r="G875" i="27"/>
  <c r="D875" i="27"/>
  <c r="C875" i="27"/>
  <c r="J874" i="27"/>
  <c r="I874" i="27"/>
  <c r="H874" i="27"/>
  <c r="G874" i="27"/>
  <c r="D874" i="27"/>
  <c r="C874" i="27"/>
  <c r="F874" i="27"/>
  <c r="J873" i="27"/>
  <c r="I873" i="27"/>
  <c r="H873" i="27"/>
  <c r="G873" i="27"/>
  <c r="D873" i="27"/>
  <c r="C873" i="27"/>
  <c r="F873" i="27"/>
  <c r="J872" i="27"/>
  <c r="I872" i="27"/>
  <c r="H872" i="27"/>
  <c r="G872" i="27"/>
  <c r="D872" i="27"/>
  <c r="C872" i="27"/>
  <c r="F872" i="27"/>
  <c r="J871" i="27"/>
  <c r="I871" i="27"/>
  <c r="H871" i="27"/>
  <c r="G871" i="27"/>
  <c r="D871" i="27"/>
  <c r="C871" i="27"/>
  <c r="F871" i="27"/>
  <c r="J870" i="27"/>
  <c r="I870" i="27"/>
  <c r="H870" i="27"/>
  <c r="G870" i="27"/>
  <c r="D870" i="27"/>
  <c r="C870" i="27"/>
  <c r="J869" i="27"/>
  <c r="I869" i="27"/>
  <c r="H869" i="27"/>
  <c r="G869" i="27"/>
  <c r="D869" i="27"/>
  <c r="C869" i="27"/>
  <c r="F869" i="27"/>
  <c r="J868" i="27"/>
  <c r="I868" i="27"/>
  <c r="H868" i="27"/>
  <c r="G868" i="27"/>
  <c r="D868" i="27"/>
  <c r="C868" i="27"/>
  <c r="F868" i="27"/>
  <c r="J867" i="27"/>
  <c r="I867" i="27"/>
  <c r="H867" i="27"/>
  <c r="G867" i="27"/>
  <c r="D867" i="27"/>
  <c r="C867" i="27"/>
  <c r="J866" i="27"/>
  <c r="I866" i="27"/>
  <c r="H866" i="27"/>
  <c r="G866" i="27"/>
  <c r="D866" i="27"/>
  <c r="C866" i="27"/>
  <c r="J865" i="27"/>
  <c r="I865" i="27"/>
  <c r="H865" i="27"/>
  <c r="G865" i="27"/>
  <c r="D865" i="27"/>
  <c r="C865" i="27"/>
  <c r="F865" i="27"/>
  <c r="J864" i="27"/>
  <c r="I864" i="27"/>
  <c r="H864" i="27"/>
  <c r="G864" i="27"/>
  <c r="D864" i="27"/>
  <c r="C864" i="27"/>
  <c r="F864" i="27"/>
  <c r="J863" i="27"/>
  <c r="I863" i="27"/>
  <c r="H863" i="27"/>
  <c r="G863" i="27"/>
  <c r="D863" i="27"/>
  <c r="C863" i="27"/>
  <c r="J862" i="27"/>
  <c r="I862" i="27"/>
  <c r="H862" i="27"/>
  <c r="G862" i="27"/>
  <c r="D862" i="27"/>
  <c r="C862" i="27"/>
  <c r="J861" i="27"/>
  <c r="I861" i="27"/>
  <c r="H861" i="27"/>
  <c r="G861" i="27"/>
  <c r="D861" i="27"/>
  <c r="C861" i="27"/>
  <c r="J860" i="27"/>
  <c r="I860" i="27"/>
  <c r="H860" i="27"/>
  <c r="G860" i="27"/>
  <c r="D860" i="27"/>
  <c r="C860" i="27"/>
  <c r="F860" i="27"/>
  <c r="J859" i="27"/>
  <c r="I859" i="27"/>
  <c r="H859" i="27"/>
  <c r="G859" i="27"/>
  <c r="D859" i="27"/>
  <c r="C859" i="27"/>
  <c r="J858" i="27"/>
  <c r="I858" i="27"/>
  <c r="H858" i="27"/>
  <c r="G858" i="27"/>
  <c r="D858" i="27"/>
  <c r="C858" i="27"/>
  <c r="F858" i="27"/>
  <c r="J857" i="27"/>
  <c r="I857" i="27"/>
  <c r="H857" i="27"/>
  <c r="G857" i="27"/>
  <c r="D857" i="27"/>
  <c r="C857" i="27"/>
  <c r="F857" i="27"/>
  <c r="J856" i="27"/>
  <c r="I856" i="27"/>
  <c r="H856" i="27"/>
  <c r="G856" i="27"/>
  <c r="D856" i="27"/>
  <c r="C856" i="27"/>
  <c r="F856" i="27"/>
  <c r="J855" i="27"/>
  <c r="I855" i="27"/>
  <c r="H855" i="27"/>
  <c r="G855" i="27"/>
  <c r="D855" i="27"/>
  <c r="C855" i="27"/>
  <c r="F855" i="27"/>
  <c r="J854" i="27"/>
  <c r="I854" i="27"/>
  <c r="H854" i="27"/>
  <c r="G854" i="27"/>
  <c r="D854" i="27"/>
  <c r="C854" i="27"/>
  <c r="F854" i="27"/>
  <c r="J853" i="27"/>
  <c r="I853" i="27"/>
  <c r="H853" i="27"/>
  <c r="G853" i="27"/>
  <c r="D853" i="27"/>
  <c r="C853" i="27"/>
  <c r="F853" i="27"/>
  <c r="J852" i="27"/>
  <c r="I852" i="27"/>
  <c r="H852" i="27"/>
  <c r="G852" i="27"/>
  <c r="D852" i="27"/>
  <c r="C852" i="27"/>
  <c r="F852" i="27"/>
  <c r="J851" i="27"/>
  <c r="I851" i="27"/>
  <c r="H851" i="27"/>
  <c r="G851" i="27"/>
  <c r="D851" i="27"/>
  <c r="C851" i="27"/>
  <c r="F851" i="27"/>
  <c r="J850" i="27"/>
  <c r="I850" i="27"/>
  <c r="H850" i="27"/>
  <c r="G850" i="27"/>
  <c r="D850" i="27"/>
  <c r="C850" i="27"/>
  <c r="F850" i="27"/>
  <c r="J849" i="27"/>
  <c r="I849" i="27"/>
  <c r="H849" i="27"/>
  <c r="G849" i="27"/>
  <c r="D849" i="27"/>
  <c r="C849" i="27"/>
  <c r="F849" i="27"/>
  <c r="J848" i="27"/>
  <c r="I848" i="27"/>
  <c r="H848" i="27"/>
  <c r="G848" i="27"/>
  <c r="D848" i="27"/>
  <c r="C848" i="27"/>
  <c r="J847" i="27"/>
  <c r="I847" i="27"/>
  <c r="H847" i="27"/>
  <c r="G847" i="27"/>
  <c r="D847" i="27"/>
  <c r="C847" i="27"/>
  <c r="F847" i="27"/>
  <c r="J846" i="27"/>
  <c r="I846" i="27"/>
  <c r="H846" i="27"/>
  <c r="G846" i="27"/>
  <c r="D846" i="27"/>
  <c r="C846" i="27"/>
  <c r="F846" i="27"/>
  <c r="J845" i="27"/>
  <c r="I845" i="27"/>
  <c r="H845" i="27"/>
  <c r="G845" i="27"/>
  <c r="D845" i="27"/>
  <c r="C845" i="27"/>
  <c r="F845" i="27"/>
  <c r="J844" i="27"/>
  <c r="I844" i="27"/>
  <c r="H844" i="27"/>
  <c r="G844" i="27"/>
  <c r="D844" i="27"/>
  <c r="C844" i="27"/>
  <c r="F844" i="27"/>
  <c r="J843" i="27"/>
  <c r="I843" i="27"/>
  <c r="H843" i="27"/>
  <c r="G843" i="27"/>
  <c r="D843" i="27"/>
  <c r="C843" i="27"/>
  <c r="F843" i="27"/>
  <c r="J842" i="27"/>
  <c r="I842" i="27"/>
  <c r="H842" i="27"/>
  <c r="G842" i="27"/>
  <c r="D842" i="27"/>
  <c r="C842" i="27"/>
  <c r="F842" i="27"/>
  <c r="J841" i="27"/>
  <c r="I841" i="27"/>
  <c r="H841" i="27"/>
  <c r="G841" i="27"/>
  <c r="D841" i="27"/>
  <c r="C841" i="27"/>
  <c r="F841" i="27"/>
  <c r="J840" i="27"/>
  <c r="I840" i="27"/>
  <c r="H840" i="27"/>
  <c r="G840" i="27"/>
  <c r="D840" i="27"/>
  <c r="C840" i="27"/>
  <c r="J839" i="27"/>
  <c r="I839" i="27"/>
  <c r="H839" i="27"/>
  <c r="G839" i="27"/>
  <c r="D839" i="27"/>
  <c r="C839" i="27"/>
  <c r="F839" i="27"/>
  <c r="J838" i="27"/>
  <c r="I838" i="27"/>
  <c r="H838" i="27"/>
  <c r="G838" i="27"/>
  <c r="D838" i="27"/>
  <c r="C838" i="27"/>
  <c r="F838" i="27"/>
  <c r="J837" i="27"/>
  <c r="I837" i="27"/>
  <c r="H837" i="27"/>
  <c r="G837" i="27"/>
  <c r="D837" i="27"/>
  <c r="C837" i="27"/>
  <c r="F837" i="27"/>
  <c r="J836" i="27"/>
  <c r="I836" i="27"/>
  <c r="H836" i="27"/>
  <c r="G836" i="27"/>
  <c r="D836" i="27"/>
  <c r="C836" i="27"/>
  <c r="F836" i="27"/>
  <c r="J835" i="27"/>
  <c r="I835" i="27"/>
  <c r="H835" i="27"/>
  <c r="G835" i="27"/>
  <c r="D835" i="27"/>
  <c r="C835" i="27"/>
  <c r="F835" i="27"/>
  <c r="J834" i="27"/>
  <c r="I834" i="27"/>
  <c r="H834" i="27"/>
  <c r="G834" i="27"/>
  <c r="D834" i="27"/>
  <c r="C834" i="27"/>
  <c r="F834" i="27"/>
  <c r="J833" i="27"/>
  <c r="I833" i="27"/>
  <c r="H833" i="27"/>
  <c r="G833" i="27"/>
  <c r="D833" i="27"/>
  <c r="C833" i="27"/>
  <c r="F833" i="27"/>
  <c r="J832" i="27"/>
  <c r="I832" i="27"/>
  <c r="H832" i="27"/>
  <c r="G832" i="27"/>
  <c r="D832" i="27"/>
  <c r="C832" i="27"/>
  <c r="F832" i="27"/>
  <c r="J831" i="27"/>
  <c r="I831" i="27"/>
  <c r="H831" i="27"/>
  <c r="G831" i="27"/>
  <c r="D831" i="27"/>
  <c r="C831" i="27"/>
  <c r="F831" i="27"/>
  <c r="J830" i="27"/>
  <c r="I830" i="27"/>
  <c r="H830" i="27"/>
  <c r="G830" i="27"/>
  <c r="D830" i="27"/>
  <c r="C830" i="27"/>
  <c r="F830" i="27"/>
  <c r="J829" i="27"/>
  <c r="I829" i="27"/>
  <c r="H829" i="27"/>
  <c r="G829" i="27"/>
  <c r="D829" i="27"/>
  <c r="C829" i="27"/>
  <c r="F829" i="27"/>
  <c r="J828" i="27"/>
  <c r="I828" i="27"/>
  <c r="H828" i="27"/>
  <c r="G828" i="27"/>
  <c r="D828" i="27"/>
  <c r="C828" i="27"/>
  <c r="F828" i="27"/>
  <c r="J827" i="27"/>
  <c r="I827" i="27"/>
  <c r="H827" i="27"/>
  <c r="G827" i="27"/>
  <c r="D827" i="27"/>
  <c r="C827" i="27"/>
  <c r="F827" i="27"/>
  <c r="J826" i="27"/>
  <c r="I826" i="27"/>
  <c r="H826" i="27"/>
  <c r="G826" i="27"/>
  <c r="D826" i="27"/>
  <c r="C826" i="27"/>
  <c r="F826" i="27"/>
  <c r="J825" i="27"/>
  <c r="I825" i="27"/>
  <c r="H825" i="27"/>
  <c r="G825" i="27"/>
  <c r="D825" i="27"/>
  <c r="C825" i="27"/>
  <c r="F825" i="27"/>
  <c r="J824" i="27"/>
  <c r="I824" i="27"/>
  <c r="H824" i="27"/>
  <c r="G824" i="27"/>
  <c r="D824" i="27"/>
  <c r="C824" i="27"/>
  <c r="F824" i="27"/>
  <c r="J823" i="27"/>
  <c r="I823" i="27"/>
  <c r="H823" i="27"/>
  <c r="G823" i="27"/>
  <c r="D823" i="27"/>
  <c r="C823" i="27"/>
  <c r="F823" i="27"/>
  <c r="J822" i="27"/>
  <c r="I822" i="27"/>
  <c r="H822" i="27"/>
  <c r="G822" i="27"/>
  <c r="D822" i="27"/>
  <c r="C822" i="27"/>
  <c r="F822" i="27"/>
  <c r="J821" i="27"/>
  <c r="I821" i="27"/>
  <c r="H821" i="27"/>
  <c r="G821" i="27"/>
  <c r="D821" i="27"/>
  <c r="C821" i="27"/>
  <c r="F821" i="27"/>
  <c r="J820" i="27"/>
  <c r="I820" i="27"/>
  <c r="H820" i="27"/>
  <c r="G820" i="27"/>
  <c r="D820" i="27"/>
  <c r="C820" i="27"/>
  <c r="F820" i="27"/>
  <c r="J819" i="27"/>
  <c r="I819" i="27"/>
  <c r="H819" i="27"/>
  <c r="G819" i="27"/>
  <c r="D819" i="27"/>
  <c r="C819" i="27"/>
  <c r="F819" i="27"/>
  <c r="J818" i="27"/>
  <c r="I818" i="27"/>
  <c r="H818" i="27"/>
  <c r="G818" i="27"/>
  <c r="D818" i="27"/>
  <c r="C818" i="27"/>
  <c r="F818" i="27"/>
  <c r="J817" i="27"/>
  <c r="I817" i="27"/>
  <c r="H817" i="27"/>
  <c r="G817" i="27"/>
  <c r="D817" i="27"/>
  <c r="C817" i="27"/>
  <c r="F817" i="27"/>
  <c r="J816" i="27"/>
  <c r="I816" i="27"/>
  <c r="H816" i="27"/>
  <c r="G816" i="27"/>
  <c r="D816" i="27"/>
  <c r="C816" i="27"/>
  <c r="J815" i="27"/>
  <c r="I815" i="27"/>
  <c r="H815" i="27"/>
  <c r="G815" i="27"/>
  <c r="D815" i="27"/>
  <c r="C815" i="27"/>
  <c r="F815" i="27"/>
  <c r="J814" i="27"/>
  <c r="I814" i="27"/>
  <c r="H814" i="27"/>
  <c r="G814" i="27"/>
  <c r="D814" i="27"/>
  <c r="C814" i="27"/>
  <c r="F814" i="27"/>
  <c r="J813" i="27"/>
  <c r="I813" i="27"/>
  <c r="H813" i="27"/>
  <c r="G813" i="27"/>
  <c r="D813" i="27"/>
  <c r="C813" i="27"/>
  <c r="F813" i="27"/>
  <c r="J812" i="27"/>
  <c r="I812" i="27"/>
  <c r="H812" i="27"/>
  <c r="G812" i="27"/>
  <c r="D812" i="27"/>
  <c r="C812" i="27"/>
  <c r="F812" i="27"/>
  <c r="J811" i="27"/>
  <c r="I811" i="27"/>
  <c r="H811" i="27"/>
  <c r="G811" i="27"/>
  <c r="D811" i="27"/>
  <c r="C811" i="27"/>
  <c r="F811" i="27"/>
  <c r="J810" i="27"/>
  <c r="I810" i="27"/>
  <c r="H810" i="27"/>
  <c r="G810" i="27"/>
  <c r="D810" i="27"/>
  <c r="C810" i="27"/>
  <c r="F810" i="27"/>
  <c r="J809" i="27"/>
  <c r="I809" i="27"/>
  <c r="H809" i="27"/>
  <c r="G809" i="27"/>
  <c r="D809" i="27"/>
  <c r="C809" i="27"/>
  <c r="F809" i="27"/>
  <c r="J808" i="27"/>
  <c r="I808" i="27"/>
  <c r="H808" i="27"/>
  <c r="G808" i="27"/>
  <c r="D808" i="27"/>
  <c r="C808" i="27"/>
  <c r="J807" i="27"/>
  <c r="I807" i="27"/>
  <c r="H807" i="27"/>
  <c r="G807" i="27"/>
  <c r="D807" i="27"/>
  <c r="C807" i="27"/>
  <c r="F807" i="27"/>
  <c r="J806" i="27"/>
  <c r="I806" i="27"/>
  <c r="H806" i="27"/>
  <c r="G806" i="27"/>
  <c r="D806" i="27"/>
  <c r="C806" i="27"/>
  <c r="F806" i="27"/>
  <c r="J805" i="27"/>
  <c r="I805" i="27"/>
  <c r="H805" i="27"/>
  <c r="G805" i="27"/>
  <c r="D805" i="27"/>
  <c r="C805" i="27"/>
  <c r="F805" i="27"/>
  <c r="J804" i="27"/>
  <c r="I804" i="27"/>
  <c r="H804" i="27"/>
  <c r="G804" i="27"/>
  <c r="D804" i="27"/>
  <c r="C804" i="27"/>
  <c r="F804" i="27"/>
  <c r="J803" i="27"/>
  <c r="I803" i="27"/>
  <c r="H803" i="27"/>
  <c r="G803" i="27"/>
  <c r="D803" i="27"/>
  <c r="C803" i="27"/>
  <c r="F803" i="27"/>
  <c r="J802" i="27"/>
  <c r="I802" i="27"/>
  <c r="H802" i="27"/>
  <c r="G802" i="27"/>
  <c r="D802" i="27"/>
  <c r="C802" i="27"/>
  <c r="F802" i="27"/>
  <c r="J801" i="27"/>
  <c r="I801" i="27"/>
  <c r="H801" i="27"/>
  <c r="G801" i="27"/>
  <c r="D801" i="27"/>
  <c r="C801" i="27"/>
  <c r="F801" i="27"/>
  <c r="J800" i="27"/>
  <c r="I800" i="27"/>
  <c r="H800" i="27"/>
  <c r="G800" i="27"/>
  <c r="D800" i="27"/>
  <c r="C800" i="27"/>
  <c r="F800" i="27"/>
  <c r="J799" i="27"/>
  <c r="I799" i="27"/>
  <c r="H799" i="27"/>
  <c r="G799" i="27"/>
  <c r="D799" i="27"/>
  <c r="C799" i="27"/>
  <c r="F799" i="27"/>
  <c r="J798" i="27"/>
  <c r="I798" i="27"/>
  <c r="H798" i="27"/>
  <c r="G798" i="27"/>
  <c r="D798" i="27"/>
  <c r="C798" i="27"/>
  <c r="F798" i="27"/>
  <c r="J797" i="27"/>
  <c r="I797" i="27"/>
  <c r="H797" i="27"/>
  <c r="G797" i="27"/>
  <c r="D797" i="27"/>
  <c r="C797" i="27"/>
  <c r="F797" i="27"/>
  <c r="J796" i="27"/>
  <c r="I796" i="27"/>
  <c r="H796" i="27"/>
  <c r="G796" i="27"/>
  <c r="D796" i="27"/>
  <c r="C796" i="27"/>
  <c r="F796" i="27"/>
  <c r="J795" i="27"/>
  <c r="I795" i="27"/>
  <c r="H795" i="27"/>
  <c r="G795" i="27"/>
  <c r="D795" i="27"/>
  <c r="C795" i="27"/>
  <c r="F795" i="27"/>
  <c r="J794" i="27"/>
  <c r="I794" i="27"/>
  <c r="H794" i="27"/>
  <c r="G794" i="27"/>
  <c r="D794" i="27"/>
  <c r="C794" i="27"/>
  <c r="F794" i="27"/>
  <c r="J793" i="27"/>
  <c r="I793" i="27"/>
  <c r="H793" i="27"/>
  <c r="G793" i="27"/>
  <c r="D793" i="27"/>
  <c r="C793" i="27"/>
  <c r="F793" i="27"/>
  <c r="J792" i="27"/>
  <c r="I792" i="27"/>
  <c r="H792" i="27"/>
  <c r="G792" i="27"/>
  <c r="D792" i="27"/>
  <c r="C792" i="27"/>
  <c r="F792" i="27"/>
  <c r="J791" i="27"/>
  <c r="I791" i="27"/>
  <c r="H791" i="27"/>
  <c r="G791" i="27"/>
  <c r="D791" i="27"/>
  <c r="C791" i="27"/>
  <c r="F791" i="27"/>
  <c r="J790" i="27"/>
  <c r="I790" i="27"/>
  <c r="H790" i="27"/>
  <c r="G790" i="27"/>
  <c r="D790" i="27"/>
  <c r="C790" i="27"/>
  <c r="F790" i="27"/>
  <c r="J789" i="27"/>
  <c r="I789" i="27"/>
  <c r="H789" i="27"/>
  <c r="G789" i="27"/>
  <c r="D789" i="27"/>
  <c r="C789" i="27"/>
  <c r="F789" i="27"/>
  <c r="J788" i="27"/>
  <c r="I788" i="27"/>
  <c r="H788" i="27"/>
  <c r="G788" i="27"/>
  <c r="D788" i="27"/>
  <c r="C788" i="27"/>
  <c r="F788" i="27"/>
  <c r="J787" i="27"/>
  <c r="I787" i="27"/>
  <c r="H787" i="27"/>
  <c r="G787" i="27"/>
  <c r="D787" i="27"/>
  <c r="C787" i="27"/>
  <c r="F787" i="27"/>
  <c r="J786" i="27"/>
  <c r="I786" i="27"/>
  <c r="H786" i="27"/>
  <c r="G786" i="27"/>
  <c r="D786" i="27"/>
  <c r="C786" i="27"/>
  <c r="F786" i="27"/>
  <c r="J785" i="27"/>
  <c r="I785" i="27"/>
  <c r="H785" i="27"/>
  <c r="G785" i="27"/>
  <c r="D785" i="27"/>
  <c r="C785" i="27"/>
  <c r="F785" i="27"/>
  <c r="J784" i="27"/>
  <c r="I784" i="27"/>
  <c r="H784" i="27"/>
  <c r="G784" i="27"/>
  <c r="D784" i="27"/>
  <c r="C784" i="27"/>
  <c r="J783" i="27"/>
  <c r="I783" i="27"/>
  <c r="H783" i="27"/>
  <c r="G783" i="27"/>
  <c r="D783" i="27"/>
  <c r="C783" i="27"/>
  <c r="F783" i="27"/>
  <c r="J782" i="27"/>
  <c r="I782" i="27"/>
  <c r="H782" i="27"/>
  <c r="G782" i="27"/>
  <c r="D782" i="27"/>
  <c r="C782" i="27"/>
  <c r="F782" i="27"/>
  <c r="J781" i="27"/>
  <c r="I781" i="27"/>
  <c r="H781" i="27"/>
  <c r="G781" i="27"/>
  <c r="D781" i="27"/>
  <c r="C781" i="27"/>
  <c r="F781" i="27"/>
  <c r="J780" i="27"/>
  <c r="I780" i="27"/>
  <c r="H780" i="27"/>
  <c r="G780" i="27"/>
  <c r="D780" i="27"/>
  <c r="C780" i="27"/>
  <c r="F780" i="27"/>
  <c r="J779" i="27"/>
  <c r="I779" i="27"/>
  <c r="H779" i="27"/>
  <c r="G779" i="27"/>
  <c r="D779" i="27"/>
  <c r="C779" i="27"/>
  <c r="F779" i="27"/>
  <c r="J778" i="27"/>
  <c r="I778" i="27"/>
  <c r="H778" i="27"/>
  <c r="G778" i="27"/>
  <c r="D778" i="27"/>
  <c r="C778" i="27"/>
  <c r="F778" i="27"/>
  <c r="J777" i="27"/>
  <c r="I777" i="27"/>
  <c r="H777" i="27"/>
  <c r="G777" i="27"/>
  <c r="D777" i="27"/>
  <c r="C777" i="27"/>
  <c r="F777" i="27"/>
  <c r="J776" i="27"/>
  <c r="I776" i="27"/>
  <c r="H776" i="27"/>
  <c r="G776" i="27"/>
  <c r="D776" i="27"/>
  <c r="C776" i="27"/>
  <c r="J775" i="27"/>
  <c r="I775" i="27"/>
  <c r="H775" i="27"/>
  <c r="G775" i="27"/>
  <c r="D775" i="27"/>
  <c r="C775" i="27"/>
  <c r="F775" i="27"/>
  <c r="J774" i="27"/>
  <c r="I774" i="27"/>
  <c r="H774" i="27"/>
  <c r="G774" i="27"/>
  <c r="D774" i="27"/>
  <c r="C774" i="27"/>
  <c r="F774" i="27"/>
  <c r="J773" i="27"/>
  <c r="I773" i="27"/>
  <c r="H773" i="27"/>
  <c r="G773" i="27"/>
  <c r="D773" i="27"/>
  <c r="C773" i="27"/>
  <c r="F773" i="27"/>
  <c r="J772" i="27"/>
  <c r="I772" i="27"/>
  <c r="H772" i="27"/>
  <c r="G772" i="27"/>
  <c r="D772" i="27"/>
  <c r="C772" i="27"/>
  <c r="F772" i="27"/>
  <c r="J771" i="27"/>
  <c r="I771" i="27"/>
  <c r="H771" i="27"/>
  <c r="G771" i="27"/>
  <c r="D771" i="27"/>
  <c r="C771" i="27"/>
  <c r="F771" i="27"/>
  <c r="J770" i="27"/>
  <c r="I770" i="27"/>
  <c r="H770" i="27"/>
  <c r="G770" i="27"/>
  <c r="D770" i="27"/>
  <c r="C770" i="27"/>
  <c r="F770" i="27"/>
  <c r="J769" i="27"/>
  <c r="I769" i="27"/>
  <c r="H769" i="27"/>
  <c r="G769" i="27"/>
  <c r="D769" i="27"/>
  <c r="C769" i="27"/>
  <c r="F769" i="27"/>
  <c r="J768" i="27"/>
  <c r="I768" i="27"/>
  <c r="H768" i="27"/>
  <c r="G768" i="27"/>
  <c r="D768" i="27"/>
  <c r="C768" i="27"/>
  <c r="F768" i="27"/>
  <c r="J767" i="27"/>
  <c r="I767" i="27"/>
  <c r="H767" i="27"/>
  <c r="G767" i="27"/>
  <c r="D767" i="27"/>
  <c r="C767" i="27"/>
  <c r="F767" i="27"/>
  <c r="J766" i="27"/>
  <c r="I766" i="27"/>
  <c r="H766" i="27"/>
  <c r="G766" i="27"/>
  <c r="D766" i="27"/>
  <c r="C766" i="27"/>
  <c r="F766" i="27"/>
  <c r="J765" i="27"/>
  <c r="I765" i="27"/>
  <c r="H765" i="27"/>
  <c r="G765" i="27"/>
  <c r="D765" i="27"/>
  <c r="C765" i="27"/>
  <c r="F765" i="27"/>
  <c r="J764" i="27"/>
  <c r="I764" i="27"/>
  <c r="H764" i="27"/>
  <c r="G764" i="27"/>
  <c r="D764" i="27"/>
  <c r="C764" i="27"/>
  <c r="F764" i="27"/>
  <c r="J763" i="27"/>
  <c r="I763" i="27"/>
  <c r="H763" i="27"/>
  <c r="G763" i="27"/>
  <c r="D763" i="27"/>
  <c r="C763" i="27"/>
  <c r="F763" i="27"/>
  <c r="J762" i="27"/>
  <c r="I762" i="27"/>
  <c r="H762" i="27"/>
  <c r="G762" i="27"/>
  <c r="D762" i="27"/>
  <c r="C762" i="27"/>
  <c r="F762" i="27"/>
  <c r="J761" i="27"/>
  <c r="I761" i="27"/>
  <c r="H761" i="27"/>
  <c r="G761" i="27"/>
  <c r="D761" i="27"/>
  <c r="C761" i="27"/>
  <c r="F761" i="27"/>
  <c r="J760" i="27"/>
  <c r="I760" i="27"/>
  <c r="H760" i="27"/>
  <c r="G760" i="27"/>
  <c r="D760" i="27"/>
  <c r="C760" i="27"/>
  <c r="J759" i="27"/>
  <c r="I759" i="27"/>
  <c r="H759" i="27"/>
  <c r="G759" i="27"/>
  <c r="D759" i="27"/>
  <c r="C759" i="27"/>
  <c r="F759" i="27"/>
  <c r="J758" i="27"/>
  <c r="I758" i="27"/>
  <c r="H758" i="27"/>
  <c r="G758" i="27"/>
  <c r="D758" i="27"/>
  <c r="C758" i="27"/>
  <c r="F758" i="27"/>
  <c r="J757" i="27"/>
  <c r="I757" i="27"/>
  <c r="H757" i="27"/>
  <c r="G757" i="27"/>
  <c r="D757" i="27"/>
  <c r="C757" i="27"/>
  <c r="F757" i="27"/>
  <c r="J756" i="27"/>
  <c r="I756" i="27"/>
  <c r="H756" i="27"/>
  <c r="G756" i="27"/>
  <c r="D756" i="27"/>
  <c r="C756" i="27"/>
  <c r="F756" i="27"/>
  <c r="J755" i="27"/>
  <c r="I755" i="27"/>
  <c r="H755" i="27"/>
  <c r="G755" i="27"/>
  <c r="D755" i="27"/>
  <c r="C755" i="27"/>
  <c r="F755" i="27"/>
  <c r="J754" i="27"/>
  <c r="I754" i="27"/>
  <c r="H754" i="27"/>
  <c r="G754" i="27"/>
  <c r="D754" i="27"/>
  <c r="C754" i="27"/>
  <c r="F754" i="27"/>
  <c r="J753" i="27"/>
  <c r="I753" i="27"/>
  <c r="H753" i="27"/>
  <c r="G753" i="27"/>
  <c r="D753" i="27"/>
  <c r="C753" i="27"/>
  <c r="F753" i="27"/>
  <c r="J752" i="27"/>
  <c r="I752" i="27"/>
  <c r="H752" i="27"/>
  <c r="G752" i="27"/>
  <c r="D752" i="27"/>
  <c r="C752" i="27"/>
  <c r="J751" i="27"/>
  <c r="I751" i="27"/>
  <c r="H751" i="27"/>
  <c r="G751" i="27"/>
  <c r="D751" i="27"/>
  <c r="C751" i="27"/>
  <c r="F751" i="27"/>
  <c r="J750" i="27"/>
  <c r="I750" i="27"/>
  <c r="H750" i="27"/>
  <c r="G750" i="27"/>
  <c r="D750" i="27"/>
  <c r="C750" i="27"/>
  <c r="F750" i="27"/>
  <c r="J749" i="27"/>
  <c r="I749" i="27"/>
  <c r="H749" i="27"/>
  <c r="G749" i="27"/>
  <c r="D749" i="27"/>
  <c r="C749" i="27"/>
  <c r="F749" i="27"/>
  <c r="J748" i="27"/>
  <c r="I748" i="27"/>
  <c r="H748" i="27"/>
  <c r="G748" i="27"/>
  <c r="D748" i="27"/>
  <c r="C748" i="27"/>
  <c r="F748" i="27"/>
  <c r="J747" i="27"/>
  <c r="I747" i="27"/>
  <c r="H747" i="27"/>
  <c r="G747" i="27"/>
  <c r="D747" i="27"/>
  <c r="C747" i="27"/>
  <c r="F747" i="27"/>
  <c r="J746" i="27"/>
  <c r="I746" i="27"/>
  <c r="H746" i="27"/>
  <c r="G746" i="27"/>
  <c r="D746" i="27"/>
  <c r="C746" i="27"/>
  <c r="F746" i="27"/>
  <c r="J745" i="27"/>
  <c r="I745" i="27"/>
  <c r="H745" i="27"/>
  <c r="G745" i="27"/>
  <c r="D745" i="27"/>
  <c r="C745" i="27"/>
  <c r="F745" i="27"/>
  <c r="J744" i="27"/>
  <c r="I744" i="27"/>
  <c r="H744" i="27"/>
  <c r="G744" i="27"/>
  <c r="D744" i="27"/>
  <c r="C744" i="27"/>
  <c r="J743" i="27"/>
  <c r="I743" i="27"/>
  <c r="H743" i="27"/>
  <c r="G743" i="27"/>
  <c r="D743" i="27"/>
  <c r="C743" i="27"/>
  <c r="F743" i="27"/>
  <c r="J742" i="27"/>
  <c r="I742" i="27"/>
  <c r="H742" i="27"/>
  <c r="G742" i="27"/>
  <c r="D742" i="27"/>
  <c r="C742" i="27"/>
  <c r="F742" i="27"/>
  <c r="J741" i="27"/>
  <c r="I741" i="27"/>
  <c r="H741" i="27"/>
  <c r="G741" i="27"/>
  <c r="D741" i="27"/>
  <c r="C741" i="27"/>
  <c r="F741" i="27"/>
  <c r="J740" i="27"/>
  <c r="I740" i="27"/>
  <c r="H740" i="27"/>
  <c r="G740" i="27"/>
  <c r="D740" i="27"/>
  <c r="C740" i="27"/>
  <c r="F740" i="27"/>
  <c r="J739" i="27"/>
  <c r="I739" i="27"/>
  <c r="H739" i="27"/>
  <c r="G739" i="27"/>
  <c r="D739" i="27"/>
  <c r="C739" i="27"/>
  <c r="F739" i="27"/>
  <c r="J738" i="27"/>
  <c r="I738" i="27"/>
  <c r="H738" i="27"/>
  <c r="G738" i="27"/>
  <c r="D738" i="27"/>
  <c r="C738" i="27"/>
  <c r="F738" i="27"/>
  <c r="J737" i="27"/>
  <c r="I737" i="27"/>
  <c r="H737" i="27"/>
  <c r="G737" i="27"/>
  <c r="D737" i="27"/>
  <c r="C737" i="27"/>
  <c r="F737" i="27"/>
  <c r="J736" i="27"/>
  <c r="I736" i="27"/>
  <c r="H736" i="27"/>
  <c r="G736" i="27"/>
  <c r="D736" i="27"/>
  <c r="C736" i="27"/>
  <c r="F736" i="27"/>
  <c r="J735" i="27"/>
  <c r="I735" i="27"/>
  <c r="H735" i="27"/>
  <c r="G735" i="27"/>
  <c r="D735" i="27"/>
  <c r="C735" i="27"/>
  <c r="F735" i="27"/>
  <c r="J734" i="27"/>
  <c r="I734" i="27"/>
  <c r="H734" i="27"/>
  <c r="G734" i="27"/>
  <c r="D734" i="27"/>
  <c r="C734" i="27"/>
  <c r="F734" i="27"/>
  <c r="J733" i="27"/>
  <c r="I733" i="27"/>
  <c r="H733" i="27"/>
  <c r="G733" i="27"/>
  <c r="D733" i="27"/>
  <c r="C733" i="27"/>
  <c r="F733" i="27"/>
  <c r="J732" i="27"/>
  <c r="I732" i="27"/>
  <c r="H732" i="27"/>
  <c r="G732" i="27"/>
  <c r="D732" i="27"/>
  <c r="C732" i="27"/>
  <c r="F732" i="27"/>
  <c r="J731" i="27"/>
  <c r="I731" i="27"/>
  <c r="H731" i="27"/>
  <c r="G731" i="27"/>
  <c r="D731" i="27"/>
  <c r="C731" i="27"/>
  <c r="F731" i="27"/>
  <c r="J730" i="27"/>
  <c r="I730" i="27"/>
  <c r="H730" i="27"/>
  <c r="G730" i="27"/>
  <c r="D730" i="27"/>
  <c r="C730" i="27"/>
  <c r="F730" i="27"/>
  <c r="J729" i="27"/>
  <c r="I729" i="27"/>
  <c r="H729" i="27"/>
  <c r="G729" i="27"/>
  <c r="D729" i="27"/>
  <c r="C729" i="27"/>
  <c r="F729" i="27"/>
  <c r="J728" i="27"/>
  <c r="I728" i="27"/>
  <c r="H728" i="27"/>
  <c r="G728" i="27"/>
  <c r="D728" i="27"/>
  <c r="C728" i="27"/>
  <c r="J727" i="27"/>
  <c r="I727" i="27"/>
  <c r="H727" i="27"/>
  <c r="G727" i="27"/>
  <c r="D727" i="27"/>
  <c r="C727" i="27"/>
  <c r="F727" i="27"/>
  <c r="J726" i="27"/>
  <c r="I726" i="27"/>
  <c r="H726" i="27"/>
  <c r="G726" i="27"/>
  <c r="D726" i="27"/>
  <c r="C726" i="27"/>
  <c r="F726" i="27"/>
  <c r="J725" i="27"/>
  <c r="I725" i="27"/>
  <c r="H725" i="27"/>
  <c r="G725" i="27"/>
  <c r="D725" i="27"/>
  <c r="C725" i="27"/>
  <c r="F725" i="27"/>
  <c r="J724" i="27"/>
  <c r="I724" i="27"/>
  <c r="H724" i="27"/>
  <c r="G724" i="27"/>
  <c r="D724" i="27"/>
  <c r="C724" i="27"/>
  <c r="F724" i="27"/>
  <c r="J723" i="27"/>
  <c r="I723" i="27"/>
  <c r="H723" i="27"/>
  <c r="G723" i="27"/>
  <c r="D723" i="27"/>
  <c r="C723" i="27"/>
  <c r="F723" i="27"/>
  <c r="J722" i="27"/>
  <c r="I722" i="27"/>
  <c r="H722" i="27"/>
  <c r="G722" i="27"/>
  <c r="D722" i="27"/>
  <c r="C722" i="27"/>
  <c r="F722" i="27"/>
  <c r="J721" i="27"/>
  <c r="I721" i="27"/>
  <c r="H721" i="27"/>
  <c r="G721" i="27"/>
  <c r="D721" i="27"/>
  <c r="C721" i="27"/>
  <c r="F721" i="27"/>
  <c r="J720" i="27"/>
  <c r="I720" i="27"/>
  <c r="H720" i="27"/>
  <c r="G720" i="27"/>
  <c r="D720" i="27"/>
  <c r="C720" i="27"/>
  <c r="J719" i="27"/>
  <c r="I719" i="27"/>
  <c r="H719" i="27"/>
  <c r="G719" i="27"/>
  <c r="D719" i="27"/>
  <c r="C719" i="27"/>
  <c r="F719" i="27"/>
  <c r="J718" i="27"/>
  <c r="I718" i="27"/>
  <c r="H718" i="27"/>
  <c r="G718" i="27"/>
  <c r="D718" i="27"/>
  <c r="C718" i="27"/>
  <c r="F718" i="27"/>
  <c r="J717" i="27"/>
  <c r="I717" i="27"/>
  <c r="H717" i="27"/>
  <c r="G717" i="27"/>
  <c r="D717" i="27"/>
  <c r="C717" i="27"/>
  <c r="F717" i="27"/>
  <c r="J716" i="27"/>
  <c r="I716" i="27"/>
  <c r="H716" i="27"/>
  <c r="G716" i="27"/>
  <c r="D716" i="27"/>
  <c r="C716" i="27"/>
  <c r="F716" i="27"/>
  <c r="J715" i="27"/>
  <c r="I715" i="27"/>
  <c r="H715" i="27"/>
  <c r="G715" i="27"/>
  <c r="D715" i="27"/>
  <c r="C715" i="27"/>
  <c r="F715" i="27"/>
  <c r="J714" i="27"/>
  <c r="I714" i="27"/>
  <c r="H714" i="27"/>
  <c r="G714" i="27"/>
  <c r="D714" i="27"/>
  <c r="C714" i="27"/>
  <c r="F714" i="27"/>
  <c r="J713" i="27"/>
  <c r="I713" i="27"/>
  <c r="H713" i="27"/>
  <c r="G713" i="27"/>
  <c r="D713" i="27"/>
  <c r="C713" i="27"/>
  <c r="F713" i="27"/>
  <c r="J712" i="27"/>
  <c r="I712" i="27"/>
  <c r="H712" i="27"/>
  <c r="G712" i="27"/>
  <c r="D712" i="27"/>
  <c r="C712" i="27"/>
  <c r="J711" i="27"/>
  <c r="I711" i="27"/>
  <c r="H711" i="27"/>
  <c r="G711" i="27"/>
  <c r="D711" i="27"/>
  <c r="C711" i="27"/>
  <c r="F711" i="27"/>
  <c r="J710" i="27"/>
  <c r="I710" i="27"/>
  <c r="H710" i="27"/>
  <c r="G710" i="27"/>
  <c r="D710" i="27"/>
  <c r="C710" i="27"/>
  <c r="F710" i="27"/>
  <c r="J709" i="27"/>
  <c r="I709" i="27"/>
  <c r="H709" i="27"/>
  <c r="G709" i="27"/>
  <c r="D709" i="27"/>
  <c r="C709" i="27"/>
  <c r="F709" i="27"/>
  <c r="J708" i="27"/>
  <c r="I708" i="27"/>
  <c r="H708" i="27"/>
  <c r="G708" i="27"/>
  <c r="D708" i="27"/>
  <c r="C708" i="27"/>
  <c r="F708" i="27"/>
  <c r="J707" i="27"/>
  <c r="I707" i="27"/>
  <c r="H707" i="27"/>
  <c r="G707" i="27"/>
  <c r="D707" i="27"/>
  <c r="C707" i="27"/>
  <c r="F707" i="27"/>
  <c r="J706" i="27"/>
  <c r="I706" i="27"/>
  <c r="H706" i="27"/>
  <c r="G706" i="27"/>
  <c r="D706" i="27"/>
  <c r="C706" i="27"/>
  <c r="F706" i="27"/>
  <c r="J705" i="27"/>
  <c r="I705" i="27"/>
  <c r="H705" i="27"/>
  <c r="G705" i="27"/>
  <c r="D705" i="27"/>
  <c r="C705" i="27"/>
  <c r="F705" i="27"/>
  <c r="J704" i="27"/>
  <c r="I704" i="27"/>
  <c r="H704" i="27"/>
  <c r="G704" i="27"/>
  <c r="D704" i="27"/>
  <c r="C704" i="27"/>
  <c r="F704" i="27"/>
  <c r="J703" i="27"/>
  <c r="I703" i="27"/>
  <c r="H703" i="27"/>
  <c r="G703" i="27"/>
  <c r="D703" i="27"/>
  <c r="C703" i="27"/>
  <c r="F703" i="27"/>
  <c r="J702" i="27"/>
  <c r="I702" i="27"/>
  <c r="H702" i="27"/>
  <c r="G702" i="27"/>
  <c r="D702" i="27"/>
  <c r="C702" i="27"/>
  <c r="F702" i="27"/>
  <c r="J701" i="27"/>
  <c r="I701" i="27"/>
  <c r="H701" i="27"/>
  <c r="G701" i="27"/>
  <c r="D701" i="27"/>
  <c r="C701" i="27"/>
  <c r="F701" i="27"/>
  <c r="J700" i="27"/>
  <c r="I700" i="27"/>
  <c r="H700" i="27"/>
  <c r="G700" i="27"/>
  <c r="D700" i="27"/>
  <c r="C700" i="27"/>
  <c r="F700" i="27"/>
  <c r="J699" i="27"/>
  <c r="I699" i="27"/>
  <c r="H699" i="27"/>
  <c r="G699" i="27"/>
  <c r="D699" i="27"/>
  <c r="C699" i="27"/>
  <c r="F699" i="27"/>
  <c r="J698" i="27"/>
  <c r="I698" i="27"/>
  <c r="H698" i="27"/>
  <c r="G698" i="27"/>
  <c r="D698" i="27"/>
  <c r="C698" i="27"/>
  <c r="F698" i="27"/>
  <c r="J697" i="27"/>
  <c r="I697" i="27"/>
  <c r="H697" i="27"/>
  <c r="G697" i="27"/>
  <c r="D697" i="27"/>
  <c r="C697" i="27"/>
  <c r="F697" i="27"/>
  <c r="J696" i="27"/>
  <c r="I696" i="27"/>
  <c r="H696" i="27"/>
  <c r="G696" i="27"/>
  <c r="D696" i="27"/>
  <c r="C696" i="27"/>
  <c r="F696" i="27"/>
  <c r="J695" i="27"/>
  <c r="I695" i="27"/>
  <c r="H695" i="27"/>
  <c r="G695" i="27"/>
  <c r="D695" i="27"/>
  <c r="C695" i="27"/>
  <c r="F695" i="27"/>
  <c r="J694" i="27"/>
  <c r="I694" i="27"/>
  <c r="H694" i="27"/>
  <c r="G694" i="27"/>
  <c r="D694" i="27"/>
  <c r="C694" i="27"/>
  <c r="F694" i="27"/>
  <c r="J693" i="27"/>
  <c r="I693" i="27"/>
  <c r="H693" i="27"/>
  <c r="G693" i="27"/>
  <c r="D693" i="27"/>
  <c r="C693" i="27"/>
  <c r="F693" i="27"/>
  <c r="J692" i="27"/>
  <c r="I692" i="27"/>
  <c r="H692" i="27"/>
  <c r="G692" i="27"/>
  <c r="D692" i="27"/>
  <c r="C692" i="27"/>
  <c r="F692" i="27"/>
  <c r="J691" i="27"/>
  <c r="I691" i="27"/>
  <c r="H691" i="27"/>
  <c r="G691" i="27"/>
  <c r="D691" i="27"/>
  <c r="C691" i="27"/>
  <c r="F691" i="27"/>
  <c r="J690" i="27"/>
  <c r="I690" i="27"/>
  <c r="H690" i="27"/>
  <c r="G690" i="27"/>
  <c r="D690" i="27"/>
  <c r="C690" i="27"/>
  <c r="F690" i="27"/>
  <c r="J689" i="27"/>
  <c r="I689" i="27"/>
  <c r="H689" i="27"/>
  <c r="G689" i="27"/>
  <c r="D689" i="27"/>
  <c r="C689" i="27"/>
  <c r="F689" i="27"/>
  <c r="J688" i="27"/>
  <c r="I688" i="27"/>
  <c r="H688" i="27"/>
  <c r="G688" i="27"/>
  <c r="D688" i="27"/>
  <c r="C688" i="27"/>
  <c r="F688" i="27"/>
  <c r="J687" i="27"/>
  <c r="I687" i="27"/>
  <c r="H687" i="27"/>
  <c r="G687" i="27"/>
  <c r="D687" i="27"/>
  <c r="C687" i="27"/>
  <c r="F687" i="27"/>
  <c r="J686" i="27"/>
  <c r="I686" i="27"/>
  <c r="H686" i="27"/>
  <c r="G686" i="27"/>
  <c r="D686" i="27"/>
  <c r="C686" i="27"/>
  <c r="F686" i="27"/>
  <c r="J685" i="27"/>
  <c r="I685" i="27"/>
  <c r="H685" i="27"/>
  <c r="G685" i="27"/>
  <c r="D685" i="27"/>
  <c r="C685" i="27"/>
  <c r="F685" i="27"/>
  <c r="J684" i="27"/>
  <c r="I684" i="27"/>
  <c r="H684" i="27"/>
  <c r="G684" i="27"/>
  <c r="D684" i="27"/>
  <c r="C684" i="27"/>
  <c r="F684" i="27"/>
  <c r="J683" i="27"/>
  <c r="I683" i="27"/>
  <c r="H683" i="27"/>
  <c r="G683" i="27"/>
  <c r="D683" i="27"/>
  <c r="C683" i="27"/>
  <c r="F683" i="27"/>
  <c r="J682" i="27"/>
  <c r="I682" i="27"/>
  <c r="H682" i="27"/>
  <c r="G682" i="27"/>
  <c r="D682" i="27"/>
  <c r="C682" i="27"/>
  <c r="F682" i="27"/>
  <c r="J681" i="27"/>
  <c r="I681" i="27"/>
  <c r="H681" i="27"/>
  <c r="G681" i="27"/>
  <c r="D681" i="27"/>
  <c r="C681" i="27"/>
  <c r="F681" i="27"/>
  <c r="J680" i="27"/>
  <c r="I680" i="27"/>
  <c r="H680" i="27"/>
  <c r="G680" i="27"/>
  <c r="D680" i="27"/>
  <c r="C680" i="27"/>
  <c r="J679" i="27"/>
  <c r="I679" i="27"/>
  <c r="H679" i="27"/>
  <c r="G679" i="27"/>
  <c r="D679" i="27"/>
  <c r="C679" i="27"/>
  <c r="F679" i="27"/>
  <c r="J678" i="27"/>
  <c r="I678" i="27"/>
  <c r="H678" i="27"/>
  <c r="G678" i="27"/>
  <c r="D678" i="27"/>
  <c r="C678" i="27"/>
  <c r="F678" i="27"/>
  <c r="J677" i="27"/>
  <c r="I677" i="27"/>
  <c r="H677" i="27"/>
  <c r="G677" i="27"/>
  <c r="D677" i="27"/>
  <c r="C677" i="27"/>
  <c r="J676" i="27"/>
  <c r="I676" i="27"/>
  <c r="H676" i="27"/>
  <c r="G676" i="27"/>
  <c r="D676" i="27"/>
  <c r="C676" i="27"/>
  <c r="J675" i="27"/>
  <c r="I675" i="27"/>
  <c r="H675" i="27"/>
  <c r="G675" i="27"/>
  <c r="D675" i="27"/>
  <c r="C675" i="27"/>
  <c r="F675" i="27"/>
  <c r="J674" i="27"/>
  <c r="I674" i="27"/>
  <c r="H674" i="27"/>
  <c r="G674" i="27"/>
  <c r="D674" i="27"/>
  <c r="C674" i="27"/>
  <c r="F674" i="27"/>
  <c r="J673" i="27"/>
  <c r="I673" i="27"/>
  <c r="H673" i="27"/>
  <c r="G673" i="27"/>
  <c r="D673" i="27"/>
  <c r="C673" i="27"/>
  <c r="F673" i="27"/>
  <c r="J672" i="27"/>
  <c r="I672" i="27"/>
  <c r="H672" i="27"/>
  <c r="G672" i="27"/>
  <c r="D672" i="27"/>
  <c r="C672" i="27"/>
  <c r="F672" i="27"/>
  <c r="J671" i="27"/>
  <c r="I671" i="27"/>
  <c r="H671" i="27"/>
  <c r="G671" i="27"/>
  <c r="D671" i="27"/>
  <c r="C671" i="27"/>
  <c r="J670" i="27"/>
  <c r="I670" i="27"/>
  <c r="H670" i="27"/>
  <c r="G670" i="27"/>
  <c r="D670" i="27"/>
  <c r="C670" i="27"/>
  <c r="F670" i="27"/>
  <c r="J669" i="27"/>
  <c r="I669" i="27"/>
  <c r="H669" i="27"/>
  <c r="G669" i="27"/>
  <c r="D669" i="27"/>
  <c r="C669" i="27"/>
  <c r="J668" i="27"/>
  <c r="I668" i="27"/>
  <c r="H668" i="27"/>
  <c r="G668" i="27"/>
  <c r="D668" i="27"/>
  <c r="C668" i="27"/>
  <c r="J667" i="27"/>
  <c r="I667" i="27"/>
  <c r="H667" i="27"/>
  <c r="G667" i="27"/>
  <c r="D667" i="27"/>
  <c r="C667" i="27"/>
  <c r="F667" i="27"/>
  <c r="J666" i="27"/>
  <c r="I666" i="27"/>
  <c r="H666" i="27"/>
  <c r="G666" i="27"/>
  <c r="D666" i="27"/>
  <c r="C666" i="27"/>
  <c r="F666" i="27"/>
  <c r="J665" i="27"/>
  <c r="I665" i="27"/>
  <c r="H665" i="27"/>
  <c r="G665" i="27"/>
  <c r="D665" i="27"/>
  <c r="C665" i="27"/>
  <c r="F665" i="27"/>
  <c r="J664" i="27"/>
  <c r="I664" i="27"/>
  <c r="H664" i="27"/>
  <c r="G664" i="27"/>
  <c r="D664" i="27"/>
  <c r="C664" i="27"/>
  <c r="F664" i="27"/>
  <c r="J663" i="27"/>
  <c r="I663" i="27"/>
  <c r="H663" i="27"/>
  <c r="G663" i="27"/>
  <c r="D663" i="27"/>
  <c r="C663" i="27"/>
  <c r="J662" i="27"/>
  <c r="I662" i="27"/>
  <c r="H662" i="27"/>
  <c r="G662" i="27"/>
  <c r="D662" i="27"/>
  <c r="C662" i="27"/>
  <c r="F662" i="27"/>
  <c r="J661" i="27"/>
  <c r="I661" i="27"/>
  <c r="H661" i="27"/>
  <c r="G661" i="27"/>
  <c r="D661" i="27"/>
  <c r="C661" i="27"/>
  <c r="J660" i="27"/>
  <c r="I660" i="27"/>
  <c r="H660" i="27"/>
  <c r="G660" i="27"/>
  <c r="D660" i="27"/>
  <c r="C660" i="27"/>
  <c r="J659" i="27"/>
  <c r="I659" i="27"/>
  <c r="H659" i="27"/>
  <c r="G659" i="27"/>
  <c r="D659" i="27"/>
  <c r="C659" i="27"/>
  <c r="F659" i="27"/>
  <c r="J658" i="27"/>
  <c r="I658" i="27"/>
  <c r="H658" i="27"/>
  <c r="G658" i="27"/>
  <c r="D658" i="27"/>
  <c r="C658" i="27"/>
  <c r="F658" i="27"/>
  <c r="J657" i="27"/>
  <c r="I657" i="27"/>
  <c r="H657" i="27"/>
  <c r="G657" i="27"/>
  <c r="D657" i="27"/>
  <c r="C657" i="27"/>
  <c r="F657" i="27"/>
  <c r="J656" i="27"/>
  <c r="I656" i="27"/>
  <c r="H656" i="27"/>
  <c r="G656" i="27"/>
  <c r="D656" i="27"/>
  <c r="C656" i="27"/>
  <c r="F656" i="27"/>
  <c r="J655" i="27"/>
  <c r="I655" i="27"/>
  <c r="H655" i="27"/>
  <c r="G655" i="27"/>
  <c r="D655" i="27"/>
  <c r="C655" i="27"/>
  <c r="J654" i="27"/>
  <c r="I654" i="27"/>
  <c r="H654" i="27"/>
  <c r="G654" i="27"/>
  <c r="D654" i="27"/>
  <c r="C654" i="27"/>
  <c r="F654" i="27"/>
  <c r="J653" i="27"/>
  <c r="I653" i="27"/>
  <c r="H653" i="27"/>
  <c r="G653" i="27"/>
  <c r="D653" i="27"/>
  <c r="C653" i="27"/>
  <c r="J652" i="27"/>
  <c r="I652" i="27"/>
  <c r="H652" i="27"/>
  <c r="G652" i="27"/>
  <c r="D652" i="27"/>
  <c r="C652" i="27"/>
  <c r="J651" i="27"/>
  <c r="I651" i="27"/>
  <c r="H651" i="27"/>
  <c r="G651" i="27"/>
  <c r="D651" i="27"/>
  <c r="C651" i="27"/>
  <c r="F651" i="27"/>
  <c r="J650" i="27"/>
  <c r="I650" i="27"/>
  <c r="H650" i="27"/>
  <c r="G650" i="27"/>
  <c r="D650" i="27"/>
  <c r="C650" i="27"/>
  <c r="J649" i="27"/>
  <c r="I649" i="27"/>
  <c r="H649" i="27"/>
  <c r="G649" i="27"/>
  <c r="D649" i="27"/>
  <c r="C649" i="27"/>
  <c r="F649" i="27"/>
  <c r="J648" i="27"/>
  <c r="I648" i="27"/>
  <c r="H648" i="27"/>
  <c r="G648" i="27"/>
  <c r="D648" i="27"/>
  <c r="C648" i="27"/>
  <c r="F648" i="27"/>
  <c r="J647" i="27"/>
  <c r="I647" i="27"/>
  <c r="H647" i="27"/>
  <c r="G647" i="27"/>
  <c r="D647" i="27"/>
  <c r="C647" i="27"/>
  <c r="J646" i="27"/>
  <c r="I646" i="27"/>
  <c r="H646" i="27"/>
  <c r="G646" i="27"/>
  <c r="D646" i="27"/>
  <c r="C646" i="27"/>
  <c r="F646" i="27"/>
  <c r="J645" i="27"/>
  <c r="I645" i="27"/>
  <c r="H645" i="27"/>
  <c r="G645" i="27"/>
  <c r="D645" i="27"/>
  <c r="C645" i="27"/>
  <c r="J644" i="27"/>
  <c r="I644" i="27"/>
  <c r="H644" i="27"/>
  <c r="G644" i="27"/>
  <c r="D644" i="27"/>
  <c r="C644" i="27"/>
  <c r="J643" i="27"/>
  <c r="I643" i="27"/>
  <c r="H643" i="27"/>
  <c r="G643" i="27"/>
  <c r="D643" i="27"/>
  <c r="C643" i="27"/>
  <c r="F643" i="27"/>
  <c r="J642" i="27"/>
  <c r="I642" i="27"/>
  <c r="H642" i="27"/>
  <c r="G642" i="27"/>
  <c r="D642" i="27"/>
  <c r="C642" i="27"/>
  <c r="F642" i="27"/>
  <c r="J641" i="27"/>
  <c r="I641" i="27"/>
  <c r="H641" i="27"/>
  <c r="G641" i="27"/>
  <c r="D641" i="27"/>
  <c r="C641" i="27"/>
  <c r="F641" i="27"/>
  <c r="J640" i="27"/>
  <c r="I640" i="27"/>
  <c r="H640" i="27"/>
  <c r="G640" i="27"/>
  <c r="D640" i="27"/>
  <c r="C640" i="27"/>
  <c r="F640" i="27"/>
  <c r="J639" i="27"/>
  <c r="I639" i="27"/>
  <c r="H639" i="27"/>
  <c r="G639" i="27"/>
  <c r="D639" i="27"/>
  <c r="C639" i="27"/>
  <c r="J638" i="27"/>
  <c r="I638" i="27"/>
  <c r="H638" i="27"/>
  <c r="G638" i="27"/>
  <c r="D638" i="27"/>
  <c r="C638" i="27"/>
  <c r="F638" i="27"/>
  <c r="J637" i="27"/>
  <c r="I637" i="27"/>
  <c r="H637" i="27"/>
  <c r="G637" i="27"/>
  <c r="D637" i="27"/>
  <c r="C637" i="27"/>
  <c r="J636" i="27"/>
  <c r="I636" i="27"/>
  <c r="H636" i="27"/>
  <c r="G636" i="27"/>
  <c r="D636" i="27"/>
  <c r="C636" i="27"/>
  <c r="J635" i="27"/>
  <c r="I635" i="27"/>
  <c r="H635" i="27"/>
  <c r="G635" i="27"/>
  <c r="D635" i="27"/>
  <c r="C635" i="27"/>
  <c r="J634" i="27"/>
  <c r="I634" i="27"/>
  <c r="H634" i="27"/>
  <c r="G634" i="27"/>
  <c r="D634" i="27"/>
  <c r="C634" i="27"/>
  <c r="F634" i="27"/>
  <c r="J633" i="27"/>
  <c r="I633" i="27"/>
  <c r="H633" i="27"/>
  <c r="G633" i="27"/>
  <c r="D633" i="27"/>
  <c r="C633" i="27"/>
  <c r="F633" i="27"/>
  <c r="J632" i="27"/>
  <c r="I632" i="27"/>
  <c r="H632" i="27"/>
  <c r="G632" i="27"/>
  <c r="D632" i="27"/>
  <c r="C632" i="27"/>
  <c r="F632" i="27"/>
  <c r="J631" i="27"/>
  <c r="I631" i="27"/>
  <c r="H631" i="27"/>
  <c r="G631" i="27"/>
  <c r="D631" i="27"/>
  <c r="C631" i="27"/>
  <c r="J630" i="27"/>
  <c r="I630" i="27"/>
  <c r="H630" i="27"/>
  <c r="G630" i="27"/>
  <c r="D630" i="27"/>
  <c r="C630" i="27"/>
  <c r="F630" i="27"/>
  <c r="J629" i="27"/>
  <c r="I629" i="27"/>
  <c r="H629" i="27"/>
  <c r="G629" i="27"/>
  <c r="D629" i="27"/>
  <c r="C629" i="27"/>
  <c r="J628" i="27"/>
  <c r="I628" i="27"/>
  <c r="H628" i="27"/>
  <c r="G628" i="27"/>
  <c r="D628" i="27"/>
  <c r="C628" i="27"/>
  <c r="F628" i="27"/>
  <c r="J627" i="27"/>
  <c r="I627" i="27"/>
  <c r="H627" i="27"/>
  <c r="G627" i="27"/>
  <c r="D627" i="27"/>
  <c r="C627" i="27"/>
  <c r="F627" i="27"/>
  <c r="J626" i="27"/>
  <c r="I626" i="27"/>
  <c r="H626" i="27"/>
  <c r="G626" i="27"/>
  <c r="D626" i="27"/>
  <c r="C626" i="27"/>
  <c r="F626" i="27"/>
  <c r="J625" i="27"/>
  <c r="I625" i="27"/>
  <c r="H625" i="27"/>
  <c r="G625" i="27"/>
  <c r="D625" i="27"/>
  <c r="C625" i="27"/>
  <c r="F625" i="27"/>
  <c r="J624" i="27"/>
  <c r="I624" i="27"/>
  <c r="H624" i="27"/>
  <c r="G624" i="27"/>
  <c r="D624" i="27"/>
  <c r="C624" i="27"/>
  <c r="F624" i="27"/>
  <c r="J623" i="27"/>
  <c r="I623" i="27"/>
  <c r="H623" i="27"/>
  <c r="G623" i="27"/>
  <c r="D623" i="27"/>
  <c r="C623" i="27"/>
  <c r="J622" i="27"/>
  <c r="I622" i="27"/>
  <c r="H622" i="27"/>
  <c r="G622" i="27"/>
  <c r="D622" i="27"/>
  <c r="C622" i="27"/>
  <c r="F622" i="27"/>
  <c r="J621" i="27"/>
  <c r="I621" i="27"/>
  <c r="H621" i="27"/>
  <c r="G621" i="27"/>
  <c r="D621" i="27"/>
  <c r="C621" i="27"/>
  <c r="F621" i="27"/>
  <c r="J620" i="27"/>
  <c r="I620" i="27"/>
  <c r="H620" i="27"/>
  <c r="G620" i="27"/>
  <c r="D620" i="27"/>
  <c r="C620" i="27"/>
  <c r="J619" i="27"/>
  <c r="I619" i="27"/>
  <c r="H619" i="27"/>
  <c r="G619" i="27"/>
  <c r="D619" i="27"/>
  <c r="C619" i="27"/>
  <c r="J618" i="27"/>
  <c r="I618" i="27"/>
  <c r="H618" i="27"/>
  <c r="G618" i="27"/>
  <c r="D618" i="27"/>
  <c r="C618" i="27"/>
  <c r="F618" i="27"/>
  <c r="J617" i="27"/>
  <c r="I617" i="27"/>
  <c r="H617" i="27"/>
  <c r="G617" i="27"/>
  <c r="D617" i="27"/>
  <c r="C617" i="27"/>
  <c r="J616" i="27"/>
  <c r="I616" i="27"/>
  <c r="H616" i="27"/>
  <c r="G616" i="27"/>
  <c r="D616" i="27"/>
  <c r="C616" i="27"/>
  <c r="F616" i="27"/>
  <c r="J615" i="27"/>
  <c r="I615" i="27"/>
  <c r="H615" i="27"/>
  <c r="G615" i="27"/>
  <c r="D615" i="27"/>
  <c r="C615" i="27"/>
  <c r="F615" i="27"/>
  <c r="J614" i="27"/>
  <c r="I614" i="27"/>
  <c r="H614" i="27"/>
  <c r="G614" i="27"/>
  <c r="D614" i="27"/>
  <c r="C614" i="27"/>
  <c r="F614" i="27"/>
  <c r="J613" i="27"/>
  <c r="I613" i="27"/>
  <c r="H613" i="27"/>
  <c r="G613" i="27"/>
  <c r="D613" i="27"/>
  <c r="C613" i="27"/>
  <c r="J612" i="27"/>
  <c r="I612" i="27"/>
  <c r="H612" i="27"/>
  <c r="G612" i="27"/>
  <c r="D612" i="27"/>
  <c r="C612" i="27"/>
  <c r="F612" i="27"/>
  <c r="J611" i="27"/>
  <c r="I611" i="27"/>
  <c r="H611" i="27"/>
  <c r="G611" i="27"/>
  <c r="D611" i="27"/>
  <c r="C611" i="27"/>
  <c r="F611" i="27"/>
  <c r="J610" i="27"/>
  <c r="I610" i="27"/>
  <c r="H610" i="27"/>
  <c r="G610" i="27"/>
  <c r="D610" i="27"/>
  <c r="C610" i="27"/>
  <c r="F610" i="27"/>
  <c r="J609" i="27"/>
  <c r="I609" i="27"/>
  <c r="H609" i="27"/>
  <c r="G609" i="27"/>
  <c r="D609" i="27"/>
  <c r="C609" i="27"/>
  <c r="F609" i="27"/>
  <c r="J608" i="27"/>
  <c r="I608" i="27"/>
  <c r="H608" i="27"/>
  <c r="G608" i="27"/>
  <c r="D608" i="27"/>
  <c r="C608" i="27"/>
  <c r="F608" i="27"/>
  <c r="J607" i="27"/>
  <c r="I607" i="27"/>
  <c r="H607" i="27"/>
  <c r="G607" i="27"/>
  <c r="D607" i="27"/>
  <c r="C607" i="27"/>
  <c r="J606" i="27"/>
  <c r="I606" i="27"/>
  <c r="H606" i="27"/>
  <c r="G606" i="27"/>
  <c r="D606" i="27"/>
  <c r="C606" i="27"/>
  <c r="F606" i="27"/>
  <c r="J605" i="27"/>
  <c r="I605" i="27"/>
  <c r="H605" i="27"/>
  <c r="G605" i="27"/>
  <c r="D605" i="27"/>
  <c r="C605" i="27"/>
  <c r="F605" i="27"/>
  <c r="J604" i="27"/>
  <c r="I604" i="27"/>
  <c r="H604" i="27"/>
  <c r="G604" i="27"/>
  <c r="D604" i="27"/>
  <c r="C604" i="27"/>
  <c r="J603" i="27"/>
  <c r="I603" i="27"/>
  <c r="H603" i="27"/>
  <c r="G603" i="27"/>
  <c r="D603" i="27"/>
  <c r="C603" i="27"/>
  <c r="J602" i="27"/>
  <c r="I602" i="27"/>
  <c r="H602" i="27"/>
  <c r="G602" i="27"/>
  <c r="D602" i="27"/>
  <c r="C602" i="27"/>
  <c r="F602" i="27"/>
  <c r="J601" i="27"/>
  <c r="I601" i="27"/>
  <c r="H601" i="27"/>
  <c r="G601" i="27"/>
  <c r="D601" i="27"/>
  <c r="C601" i="27"/>
  <c r="F601" i="27"/>
  <c r="J600" i="27"/>
  <c r="I600" i="27"/>
  <c r="H600" i="27"/>
  <c r="G600" i="27"/>
  <c r="D600" i="27"/>
  <c r="C600" i="27"/>
  <c r="F600" i="27"/>
  <c r="J599" i="27"/>
  <c r="I599" i="27"/>
  <c r="H599" i="27"/>
  <c r="G599" i="27"/>
  <c r="D599" i="27"/>
  <c r="C599" i="27"/>
  <c r="J598" i="27"/>
  <c r="I598" i="27"/>
  <c r="H598" i="27"/>
  <c r="G598" i="27"/>
  <c r="D598" i="27"/>
  <c r="C598" i="27"/>
  <c r="F598" i="27"/>
  <c r="J597" i="27"/>
  <c r="I597" i="27"/>
  <c r="H597" i="27"/>
  <c r="G597" i="27"/>
  <c r="D597" i="27"/>
  <c r="C597" i="27"/>
  <c r="J596" i="27"/>
  <c r="I596" i="27"/>
  <c r="H596" i="27"/>
  <c r="G596" i="27"/>
  <c r="D596" i="27"/>
  <c r="C596" i="27"/>
  <c r="F596" i="27"/>
  <c r="J595" i="27"/>
  <c r="I595" i="27"/>
  <c r="H595" i="27"/>
  <c r="G595" i="27"/>
  <c r="D595" i="27"/>
  <c r="C595" i="27"/>
  <c r="F595" i="27"/>
  <c r="J594" i="27"/>
  <c r="I594" i="27"/>
  <c r="H594" i="27"/>
  <c r="G594" i="27"/>
  <c r="D594" i="27"/>
  <c r="C594" i="27"/>
  <c r="F594" i="27"/>
  <c r="J593" i="27"/>
  <c r="I593" i="27"/>
  <c r="H593" i="27"/>
  <c r="G593" i="27"/>
  <c r="D593" i="27"/>
  <c r="C593" i="27"/>
  <c r="F593" i="27"/>
  <c r="J592" i="27"/>
  <c r="I592" i="27"/>
  <c r="H592" i="27"/>
  <c r="G592" i="27"/>
  <c r="D592" i="27"/>
  <c r="C592" i="27"/>
  <c r="F592" i="27"/>
  <c r="J591" i="27"/>
  <c r="I591" i="27"/>
  <c r="H591" i="27"/>
  <c r="G591" i="27"/>
  <c r="D591" i="27"/>
  <c r="C591" i="27"/>
  <c r="J590" i="27"/>
  <c r="I590" i="27"/>
  <c r="H590" i="27"/>
  <c r="G590" i="27"/>
  <c r="D590" i="27"/>
  <c r="C590" i="27"/>
  <c r="F590" i="27"/>
  <c r="J589" i="27"/>
  <c r="I589" i="27"/>
  <c r="H589" i="27"/>
  <c r="G589" i="27"/>
  <c r="D589" i="27"/>
  <c r="C589" i="27"/>
  <c r="F589" i="27"/>
  <c r="J588" i="27"/>
  <c r="I588" i="27"/>
  <c r="H588" i="27"/>
  <c r="G588" i="27"/>
  <c r="D588" i="27"/>
  <c r="C588" i="27"/>
  <c r="J587" i="27"/>
  <c r="I587" i="27"/>
  <c r="H587" i="27"/>
  <c r="G587" i="27"/>
  <c r="D587" i="27"/>
  <c r="C587" i="27"/>
  <c r="J586" i="27"/>
  <c r="I586" i="27"/>
  <c r="H586" i="27"/>
  <c r="G586" i="27"/>
  <c r="D586" i="27"/>
  <c r="C586" i="27"/>
  <c r="F586" i="27"/>
  <c r="J585" i="27"/>
  <c r="I585" i="27"/>
  <c r="H585" i="27"/>
  <c r="G585" i="27"/>
  <c r="D585" i="27"/>
  <c r="C585" i="27"/>
  <c r="F585" i="27"/>
  <c r="J584" i="27"/>
  <c r="I584" i="27"/>
  <c r="H584" i="27"/>
  <c r="G584" i="27"/>
  <c r="D584" i="27"/>
  <c r="C584" i="27"/>
  <c r="F584" i="27"/>
  <c r="J583" i="27"/>
  <c r="I583" i="27"/>
  <c r="H583" i="27"/>
  <c r="G583" i="27"/>
  <c r="D583" i="27"/>
  <c r="C583" i="27"/>
  <c r="J582" i="27"/>
  <c r="I582" i="27"/>
  <c r="H582" i="27"/>
  <c r="G582" i="27"/>
  <c r="D582" i="27"/>
  <c r="C582" i="27"/>
  <c r="F582" i="27"/>
  <c r="J581" i="27"/>
  <c r="I581" i="27"/>
  <c r="H581" i="27"/>
  <c r="G581" i="27"/>
  <c r="D581" i="27"/>
  <c r="C581" i="27"/>
  <c r="J580" i="27"/>
  <c r="I580" i="27"/>
  <c r="H580" i="27"/>
  <c r="G580" i="27"/>
  <c r="D580" i="27"/>
  <c r="C580" i="27"/>
  <c r="F580" i="27"/>
  <c r="J579" i="27"/>
  <c r="I579" i="27"/>
  <c r="H579" i="27"/>
  <c r="G579" i="27"/>
  <c r="D579" i="27"/>
  <c r="C579" i="27"/>
  <c r="F579" i="27"/>
  <c r="J578" i="27"/>
  <c r="I578" i="27"/>
  <c r="H578" i="27"/>
  <c r="G578" i="27"/>
  <c r="D578" i="27"/>
  <c r="C578" i="27"/>
  <c r="F578" i="27"/>
  <c r="J577" i="27"/>
  <c r="I577" i="27"/>
  <c r="H577" i="27"/>
  <c r="G577" i="27"/>
  <c r="D577" i="27"/>
  <c r="C577" i="27"/>
  <c r="F577" i="27"/>
  <c r="J576" i="27"/>
  <c r="I576" i="27"/>
  <c r="H576" i="27"/>
  <c r="G576" i="27"/>
  <c r="D576" i="27"/>
  <c r="C576" i="27"/>
  <c r="F576" i="27"/>
  <c r="D575" i="27"/>
  <c r="C575" i="27"/>
  <c r="D574" i="27"/>
  <c r="C574" i="27"/>
  <c r="F574" i="27"/>
  <c r="D573" i="27"/>
  <c r="C573" i="27"/>
  <c r="F573" i="27"/>
  <c r="D572" i="27"/>
  <c r="C572" i="27"/>
  <c r="D571" i="27"/>
  <c r="C571" i="27"/>
  <c r="D570" i="27"/>
  <c r="C570" i="27"/>
  <c r="F570" i="27"/>
  <c r="D569" i="27"/>
  <c r="C569" i="27"/>
  <c r="F569" i="27"/>
  <c r="D568" i="27"/>
  <c r="C568" i="27"/>
  <c r="F568" i="27"/>
  <c r="D567" i="27"/>
  <c r="C567" i="27"/>
  <c r="D566" i="27"/>
  <c r="C566" i="27"/>
  <c r="F566" i="27"/>
  <c r="D565" i="27"/>
  <c r="C565" i="27"/>
  <c r="D564" i="27"/>
  <c r="C564" i="27"/>
  <c r="F564" i="27"/>
  <c r="D563" i="27"/>
  <c r="C563" i="27"/>
  <c r="F563" i="27"/>
  <c r="D562" i="27"/>
  <c r="C562" i="27"/>
  <c r="F562" i="27"/>
  <c r="D561" i="27"/>
  <c r="C561" i="27"/>
  <c r="F561" i="27"/>
  <c r="D560" i="27"/>
  <c r="C560" i="27"/>
  <c r="F560" i="27"/>
  <c r="D559" i="27"/>
  <c r="C559" i="27"/>
  <c r="D558" i="27"/>
  <c r="C558" i="27"/>
  <c r="F558" i="27"/>
  <c r="D557" i="27"/>
  <c r="C557" i="27"/>
  <c r="F557" i="27"/>
  <c r="D556" i="27"/>
  <c r="C556" i="27"/>
  <c r="D555" i="27"/>
  <c r="C555" i="27"/>
  <c r="D554" i="27"/>
  <c r="C554" i="27"/>
  <c r="F554" i="27"/>
  <c r="D553" i="27"/>
  <c r="C553" i="27"/>
  <c r="F553" i="27"/>
  <c r="D552" i="27"/>
  <c r="C552" i="27"/>
  <c r="F552" i="27"/>
  <c r="D551" i="27"/>
  <c r="C551" i="27"/>
  <c r="D550" i="27"/>
  <c r="C550" i="27"/>
  <c r="F550" i="27"/>
  <c r="D549" i="27"/>
  <c r="C549" i="27"/>
  <c r="D548" i="27"/>
  <c r="C548" i="27"/>
  <c r="F548" i="27"/>
  <c r="D547" i="27"/>
  <c r="C547" i="27"/>
  <c r="F547" i="27"/>
  <c r="D546" i="27"/>
  <c r="C546" i="27"/>
  <c r="F546" i="27"/>
  <c r="D545" i="27"/>
  <c r="C545" i="27"/>
  <c r="F545" i="27"/>
  <c r="D544" i="27"/>
  <c r="C544" i="27"/>
  <c r="F544" i="27"/>
  <c r="D543" i="27"/>
  <c r="C543" i="27"/>
  <c r="D542" i="27"/>
  <c r="C542" i="27"/>
  <c r="F542" i="27"/>
  <c r="D541" i="27"/>
  <c r="C541" i="27"/>
  <c r="F541" i="27"/>
  <c r="D540" i="27"/>
  <c r="C540" i="27"/>
  <c r="D539" i="27"/>
  <c r="C539" i="27"/>
  <c r="D538" i="27"/>
  <c r="C538" i="27"/>
  <c r="F538" i="27"/>
  <c r="D537" i="27"/>
  <c r="C537" i="27"/>
  <c r="F537" i="27"/>
  <c r="D536" i="27"/>
  <c r="C536" i="27"/>
  <c r="F536" i="27"/>
  <c r="D535" i="27"/>
  <c r="C535" i="27"/>
  <c r="D534" i="27"/>
  <c r="C534" i="27"/>
  <c r="F534" i="27"/>
  <c r="D533" i="27"/>
  <c r="C533" i="27"/>
  <c r="D532" i="27"/>
  <c r="C532" i="27"/>
  <c r="F532" i="27"/>
  <c r="D531" i="27"/>
  <c r="C531" i="27"/>
  <c r="F531" i="27"/>
  <c r="D530" i="27"/>
  <c r="C530" i="27"/>
  <c r="F530" i="27"/>
  <c r="D529" i="27"/>
  <c r="C529" i="27"/>
  <c r="F529" i="27"/>
  <c r="D528" i="27"/>
  <c r="C528" i="27"/>
  <c r="F528" i="27"/>
  <c r="D527" i="27"/>
  <c r="C527" i="27"/>
  <c r="D526" i="27"/>
  <c r="C526" i="27"/>
  <c r="F526" i="27"/>
  <c r="D525" i="27"/>
  <c r="C525" i="27"/>
  <c r="F525" i="27"/>
  <c r="D524" i="27"/>
  <c r="C524" i="27"/>
  <c r="D523" i="27"/>
  <c r="C523" i="27"/>
  <c r="D522" i="27"/>
  <c r="C522" i="27"/>
  <c r="F522" i="27"/>
  <c r="D521" i="27"/>
  <c r="C521" i="27"/>
  <c r="F521" i="27"/>
  <c r="D520" i="27"/>
  <c r="C520" i="27"/>
  <c r="F520" i="27"/>
  <c r="D519" i="27"/>
  <c r="C519" i="27"/>
  <c r="D518" i="27"/>
  <c r="C518" i="27"/>
  <c r="F518" i="27"/>
  <c r="D517" i="27"/>
  <c r="C517" i="27"/>
  <c r="D516" i="27"/>
  <c r="C516" i="27"/>
  <c r="F516" i="27"/>
  <c r="D515" i="27"/>
  <c r="C515" i="27"/>
  <c r="F515" i="27"/>
  <c r="D514" i="27"/>
  <c r="C514" i="27"/>
  <c r="F514" i="27"/>
  <c r="D513" i="27"/>
  <c r="C513" i="27"/>
  <c r="F513" i="27"/>
  <c r="D512" i="27"/>
  <c r="C512" i="27"/>
  <c r="F512" i="27"/>
  <c r="D511" i="27"/>
  <c r="C511" i="27"/>
  <c r="D510" i="27"/>
  <c r="C510" i="27"/>
  <c r="F510" i="27"/>
  <c r="D509" i="27"/>
  <c r="C509" i="27"/>
  <c r="F509" i="27"/>
  <c r="D508" i="27"/>
  <c r="C508" i="27"/>
  <c r="D507" i="27"/>
  <c r="C507" i="27"/>
  <c r="D506" i="27"/>
  <c r="C506" i="27"/>
  <c r="F506" i="27"/>
  <c r="D505" i="27"/>
  <c r="C505" i="27"/>
  <c r="F505" i="27"/>
  <c r="D504" i="27"/>
  <c r="C504" i="27"/>
  <c r="F504" i="27"/>
  <c r="D503" i="27"/>
  <c r="C503" i="27"/>
  <c r="D502" i="27"/>
  <c r="C502" i="27"/>
  <c r="F502" i="27"/>
  <c r="D501" i="27"/>
  <c r="C501" i="27"/>
  <c r="D500" i="27"/>
  <c r="C500" i="27"/>
  <c r="F500" i="27"/>
  <c r="D499" i="27"/>
  <c r="C499" i="27"/>
  <c r="F499" i="27"/>
  <c r="D498" i="27"/>
  <c r="C498" i="27"/>
  <c r="F498" i="27"/>
  <c r="D497" i="27"/>
  <c r="C497" i="27"/>
  <c r="F497" i="27"/>
  <c r="D496" i="27"/>
  <c r="C496" i="27"/>
  <c r="F496" i="27"/>
  <c r="D495" i="27"/>
  <c r="C495" i="27"/>
  <c r="D494" i="27"/>
  <c r="C494" i="27"/>
  <c r="F494" i="27"/>
  <c r="D493" i="27"/>
  <c r="C493" i="27"/>
  <c r="F493" i="27"/>
  <c r="D492" i="27"/>
  <c r="C492" i="27"/>
  <c r="D491" i="27"/>
  <c r="C491" i="27"/>
  <c r="D490" i="27"/>
  <c r="C490" i="27"/>
  <c r="F490" i="27"/>
  <c r="D489" i="27"/>
  <c r="C489" i="27"/>
  <c r="F489" i="27"/>
  <c r="D488" i="27"/>
  <c r="C488" i="27"/>
  <c r="F488" i="27"/>
  <c r="D487" i="27"/>
  <c r="C487" i="27"/>
  <c r="D486" i="27"/>
  <c r="C486" i="27"/>
  <c r="F486" i="27"/>
  <c r="D485" i="27"/>
  <c r="C485" i="27"/>
  <c r="D484" i="27"/>
  <c r="C484" i="27"/>
  <c r="F484" i="27"/>
  <c r="D483" i="27"/>
  <c r="C483" i="27"/>
  <c r="F483" i="27"/>
  <c r="D482" i="27"/>
  <c r="C482" i="27"/>
  <c r="F482" i="27"/>
  <c r="D481" i="27"/>
  <c r="C481" i="27"/>
  <c r="F481" i="27"/>
  <c r="D480" i="27"/>
  <c r="C480" i="27"/>
  <c r="F480" i="27"/>
  <c r="D479" i="27"/>
  <c r="C479" i="27"/>
  <c r="D478" i="27"/>
  <c r="C478" i="27"/>
  <c r="F478" i="27"/>
  <c r="D477" i="27"/>
  <c r="C477" i="27"/>
  <c r="F477" i="27"/>
  <c r="D476" i="27"/>
  <c r="C476" i="27"/>
  <c r="D475" i="27"/>
  <c r="C475" i="27"/>
  <c r="D474" i="27"/>
  <c r="C474" i="27"/>
  <c r="F474" i="27"/>
  <c r="D473" i="27"/>
  <c r="C473" i="27"/>
  <c r="F473" i="27"/>
  <c r="D472" i="27"/>
  <c r="C472" i="27"/>
  <c r="F472" i="27"/>
  <c r="D471" i="27"/>
  <c r="C471" i="27"/>
  <c r="D470" i="27"/>
  <c r="C470" i="27"/>
  <c r="F470" i="27"/>
  <c r="D469" i="27"/>
  <c r="C469" i="27"/>
  <c r="D468" i="27"/>
  <c r="C468" i="27"/>
  <c r="F468" i="27"/>
  <c r="D467" i="27"/>
  <c r="C467" i="27"/>
  <c r="F467" i="27"/>
  <c r="D466" i="27"/>
  <c r="C466" i="27"/>
  <c r="F466" i="27"/>
  <c r="D465" i="27"/>
  <c r="C465" i="27"/>
  <c r="F465" i="27"/>
  <c r="D464" i="27"/>
  <c r="C464" i="27"/>
  <c r="F464" i="27"/>
  <c r="D463" i="27"/>
  <c r="C463" i="27"/>
  <c r="D462" i="27"/>
  <c r="C462" i="27"/>
  <c r="F462" i="27"/>
  <c r="D461" i="27"/>
  <c r="C461" i="27"/>
  <c r="F461" i="27"/>
  <c r="D460" i="27"/>
  <c r="C460" i="27"/>
  <c r="D459" i="27"/>
  <c r="C459" i="27"/>
  <c r="D458" i="27"/>
  <c r="C458" i="27"/>
  <c r="F458" i="27"/>
  <c r="D457" i="27"/>
  <c r="C457" i="27"/>
  <c r="F457" i="27"/>
  <c r="D456" i="27"/>
  <c r="C456" i="27"/>
  <c r="F456" i="27"/>
  <c r="D455" i="27"/>
  <c r="C455" i="27"/>
  <c r="D454" i="27"/>
  <c r="C454" i="27"/>
  <c r="F454" i="27"/>
  <c r="D453" i="27"/>
  <c r="C453" i="27"/>
  <c r="D452" i="27"/>
  <c r="C452" i="27"/>
  <c r="F452" i="27"/>
  <c r="D451" i="27"/>
  <c r="C451" i="27"/>
  <c r="F451" i="27"/>
  <c r="D450" i="27"/>
  <c r="C450" i="27"/>
  <c r="F450" i="27"/>
  <c r="D449" i="27"/>
  <c r="C449" i="27"/>
  <c r="F449" i="27"/>
  <c r="D448" i="27"/>
  <c r="C448" i="27"/>
  <c r="F448" i="27"/>
  <c r="D447" i="27"/>
  <c r="C447" i="27"/>
  <c r="D446" i="27"/>
  <c r="C446" i="27"/>
  <c r="F446" i="27"/>
  <c r="D445" i="27"/>
  <c r="C445" i="27"/>
  <c r="F445" i="27"/>
  <c r="D444" i="27"/>
  <c r="C444" i="27"/>
  <c r="D443" i="27"/>
  <c r="C443" i="27"/>
  <c r="D442" i="27"/>
  <c r="C442" i="27"/>
  <c r="F442" i="27"/>
  <c r="D441" i="27"/>
  <c r="C441" i="27"/>
  <c r="F441" i="27"/>
  <c r="D440" i="27"/>
  <c r="C440" i="27"/>
  <c r="F440" i="27"/>
  <c r="D439" i="27"/>
  <c r="C439" i="27"/>
  <c r="D438" i="27"/>
  <c r="C438" i="27"/>
  <c r="F438" i="27"/>
  <c r="D437" i="27"/>
  <c r="C437" i="27"/>
  <c r="D436" i="27"/>
  <c r="C436" i="27"/>
  <c r="F436" i="27"/>
  <c r="D435" i="27"/>
  <c r="C435" i="27"/>
  <c r="F435" i="27"/>
  <c r="D434" i="27"/>
  <c r="C434" i="27"/>
  <c r="F434" i="27"/>
  <c r="D433" i="27"/>
  <c r="C433" i="27"/>
  <c r="F433" i="27"/>
  <c r="D432" i="27"/>
  <c r="C432" i="27"/>
  <c r="F432" i="27"/>
  <c r="D431" i="27"/>
  <c r="C431" i="27"/>
  <c r="D430" i="27"/>
  <c r="C430" i="27"/>
  <c r="F430" i="27"/>
  <c r="D429" i="27"/>
  <c r="C429" i="27"/>
  <c r="F429" i="27"/>
  <c r="D428" i="27"/>
  <c r="C428" i="27"/>
  <c r="D427" i="27"/>
  <c r="C427" i="27"/>
  <c r="D426" i="27"/>
  <c r="C426" i="27"/>
  <c r="F426" i="27"/>
  <c r="D425" i="27"/>
  <c r="C425" i="27"/>
  <c r="F425" i="27"/>
  <c r="D424" i="27"/>
  <c r="C424" i="27"/>
  <c r="F424" i="27"/>
  <c r="D423" i="27"/>
  <c r="C423" i="27"/>
  <c r="D422" i="27"/>
  <c r="C422" i="27"/>
  <c r="F422" i="27"/>
  <c r="D421" i="27"/>
  <c r="C421" i="27"/>
  <c r="D420" i="27"/>
  <c r="C420" i="27"/>
  <c r="F420" i="27"/>
  <c r="D419" i="27"/>
  <c r="C419" i="27"/>
  <c r="F419" i="27"/>
  <c r="D418" i="27"/>
  <c r="C418" i="27"/>
  <c r="F418" i="27"/>
  <c r="D417" i="27"/>
  <c r="C417" i="27"/>
  <c r="F417" i="27"/>
  <c r="D416" i="27"/>
  <c r="C416" i="27"/>
  <c r="F416" i="27"/>
  <c r="D415" i="27"/>
  <c r="C415" i="27"/>
  <c r="D414" i="27"/>
  <c r="C414" i="27"/>
  <c r="F414" i="27"/>
  <c r="D413" i="27"/>
  <c r="C413" i="27"/>
  <c r="F413" i="27"/>
  <c r="D412" i="27"/>
  <c r="C412" i="27"/>
  <c r="D411" i="27"/>
  <c r="C411" i="27"/>
  <c r="D410" i="27"/>
  <c r="C410" i="27"/>
  <c r="F410" i="27"/>
  <c r="D409" i="27"/>
  <c r="C409" i="27"/>
  <c r="F409" i="27"/>
  <c r="D408" i="27"/>
  <c r="C408" i="27"/>
  <c r="F408" i="27"/>
  <c r="D407" i="27"/>
  <c r="C407" i="27"/>
  <c r="D406" i="27"/>
  <c r="C406" i="27"/>
  <c r="F406" i="27"/>
  <c r="D405" i="27"/>
  <c r="C405" i="27"/>
  <c r="D404" i="27"/>
  <c r="C404" i="27"/>
  <c r="F404" i="27"/>
  <c r="D403" i="27"/>
  <c r="C403" i="27"/>
  <c r="F403" i="27"/>
  <c r="D402" i="27"/>
  <c r="C402" i="27"/>
  <c r="F402" i="27"/>
  <c r="D401" i="27"/>
  <c r="C401" i="27"/>
  <c r="F401" i="27"/>
  <c r="D400" i="27"/>
  <c r="C400" i="27"/>
  <c r="F400" i="27"/>
  <c r="D399" i="27"/>
  <c r="C399" i="27"/>
  <c r="D398" i="27"/>
  <c r="C398" i="27"/>
  <c r="F398" i="27"/>
  <c r="D397" i="27"/>
  <c r="C397" i="27"/>
  <c r="F397" i="27"/>
  <c r="D396" i="27"/>
  <c r="C396" i="27"/>
  <c r="D395" i="27"/>
  <c r="C395" i="27"/>
  <c r="D394" i="27"/>
  <c r="C394" i="27"/>
  <c r="F394" i="27"/>
  <c r="D393" i="27"/>
  <c r="C393" i="27"/>
  <c r="F393" i="27"/>
  <c r="D392" i="27"/>
  <c r="C392" i="27"/>
  <c r="F392" i="27"/>
  <c r="D391" i="27"/>
  <c r="C391" i="27"/>
  <c r="D390" i="27"/>
  <c r="C390" i="27"/>
  <c r="F390" i="27"/>
  <c r="D389" i="27"/>
  <c r="C389" i="27"/>
  <c r="D388" i="27"/>
  <c r="C388" i="27"/>
  <c r="F388" i="27"/>
  <c r="D387" i="27"/>
  <c r="C387" i="27"/>
  <c r="F387" i="27"/>
  <c r="D386" i="27"/>
  <c r="C386" i="27"/>
  <c r="F386" i="27"/>
  <c r="D385" i="27"/>
  <c r="C385" i="27"/>
  <c r="F385" i="27"/>
  <c r="D384" i="27"/>
  <c r="C384" i="27"/>
  <c r="F384" i="27"/>
  <c r="D383" i="27"/>
  <c r="C383" i="27"/>
  <c r="D382" i="27"/>
  <c r="C382" i="27"/>
  <c r="F382" i="27"/>
  <c r="D381" i="27"/>
  <c r="C381" i="27"/>
  <c r="F381" i="27"/>
  <c r="D380" i="27"/>
  <c r="C380" i="27"/>
  <c r="D379" i="27"/>
  <c r="C379" i="27"/>
  <c r="F379" i="27"/>
  <c r="D378" i="27"/>
  <c r="C378" i="27"/>
  <c r="F378" i="27"/>
  <c r="D377" i="27"/>
  <c r="C377" i="27"/>
  <c r="D376" i="27"/>
  <c r="C376" i="27"/>
  <c r="D375" i="27"/>
  <c r="C375" i="27"/>
  <c r="F375" i="27"/>
  <c r="D374" i="27"/>
  <c r="C374" i="27"/>
  <c r="F374" i="27"/>
  <c r="D373" i="27"/>
  <c r="C373" i="27"/>
  <c r="F373" i="27"/>
  <c r="D372" i="27"/>
  <c r="C372" i="27"/>
  <c r="D371" i="27"/>
  <c r="C371" i="27"/>
  <c r="F371" i="27"/>
  <c r="D370" i="27"/>
  <c r="C370" i="27"/>
  <c r="F370" i="27"/>
  <c r="D369" i="27"/>
  <c r="C369" i="27"/>
  <c r="D368" i="27"/>
  <c r="C368" i="27"/>
  <c r="D367" i="27"/>
  <c r="C367" i="27"/>
  <c r="F367" i="27"/>
  <c r="D366" i="27"/>
  <c r="C366" i="27"/>
  <c r="F366" i="27"/>
  <c r="D365" i="27"/>
  <c r="C365" i="27"/>
  <c r="F365" i="27"/>
  <c r="D364" i="27"/>
  <c r="C364" i="27"/>
  <c r="D363" i="27"/>
  <c r="C363" i="27"/>
  <c r="F363" i="27"/>
  <c r="D362" i="27"/>
  <c r="C362" i="27"/>
  <c r="F362" i="27"/>
  <c r="D361" i="27"/>
  <c r="C361" i="27"/>
  <c r="D360" i="27"/>
  <c r="C360" i="27"/>
  <c r="D359" i="27"/>
  <c r="C359" i="27"/>
  <c r="F359" i="27"/>
  <c r="D358" i="27"/>
  <c r="C358" i="27"/>
  <c r="F358" i="27"/>
  <c r="D357" i="27"/>
  <c r="C357" i="27"/>
  <c r="F357" i="27"/>
  <c r="D356" i="27"/>
  <c r="C356" i="27"/>
  <c r="D355" i="27"/>
  <c r="C355" i="27"/>
  <c r="F355" i="27"/>
  <c r="D354" i="27"/>
  <c r="C354" i="27"/>
  <c r="F354" i="27"/>
  <c r="D353" i="27"/>
  <c r="C353" i="27"/>
  <c r="D352" i="27"/>
  <c r="C352" i="27"/>
  <c r="D351" i="27"/>
  <c r="C351" i="27"/>
  <c r="F351" i="27"/>
  <c r="D350" i="27"/>
  <c r="C350" i="27"/>
  <c r="F350" i="27"/>
  <c r="D349" i="27"/>
  <c r="C349" i="27"/>
  <c r="F349" i="27"/>
  <c r="D348" i="27"/>
  <c r="C348" i="27"/>
  <c r="D347" i="27"/>
  <c r="C347" i="27"/>
  <c r="F347" i="27"/>
  <c r="D346" i="27"/>
  <c r="C346" i="27"/>
  <c r="F346" i="27"/>
  <c r="D345" i="27"/>
  <c r="C345" i="27"/>
  <c r="D344" i="27"/>
  <c r="C344" i="27"/>
  <c r="D343" i="27"/>
  <c r="C343" i="27"/>
  <c r="F343" i="27"/>
  <c r="D342" i="27"/>
  <c r="C342" i="27"/>
  <c r="F342" i="27"/>
  <c r="D341" i="27"/>
  <c r="C341" i="27"/>
  <c r="F341" i="27"/>
  <c r="D340" i="27"/>
  <c r="C340" i="27"/>
  <c r="D339" i="27"/>
  <c r="C339" i="27"/>
  <c r="F339" i="27"/>
  <c r="D338" i="27"/>
  <c r="C338" i="27"/>
  <c r="F338" i="27"/>
  <c r="D337" i="27"/>
  <c r="C337" i="27"/>
  <c r="D336" i="27"/>
  <c r="C336" i="27"/>
  <c r="F336" i="27"/>
  <c r="D335" i="27"/>
  <c r="C335" i="27"/>
  <c r="F335" i="27"/>
  <c r="D334" i="27"/>
  <c r="C334" i="27"/>
  <c r="D333" i="27"/>
  <c r="C333" i="27"/>
  <c r="D332" i="27"/>
  <c r="C332" i="27"/>
  <c r="F332" i="27"/>
  <c r="D331" i="27"/>
  <c r="C331" i="27"/>
  <c r="F331" i="27"/>
  <c r="D330" i="27"/>
  <c r="C330" i="27"/>
  <c r="F330" i="27"/>
  <c r="D329" i="27"/>
  <c r="C329" i="27"/>
  <c r="F329" i="27"/>
  <c r="D328" i="27"/>
  <c r="C328" i="27"/>
  <c r="F328" i="27"/>
  <c r="D327" i="27"/>
  <c r="C327" i="27"/>
  <c r="F327" i="27"/>
  <c r="D326" i="27"/>
  <c r="C326" i="27"/>
  <c r="D325" i="27"/>
  <c r="C325" i="27"/>
  <c r="F325" i="27"/>
  <c r="D324" i="27"/>
  <c r="C324" i="27"/>
  <c r="F324" i="27"/>
  <c r="D323" i="27"/>
  <c r="C323" i="27"/>
  <c r="D322" i="27"/>
  <c r="C322" i="27"/>
  <c r="F322" i="27"/>
  <c r="D321" i="27"/>
  <c r="C321" i="27"/>
  <c r="F321" i="27"/>
  <c r="D320" i="27"/>
  <c r="C320" i="27"/>
  <c r="F320" i="27"/>
  <c r="D319" i="27"/>
  <c r="C319" i="27"/>
  <c r="F319" i="27"/>
  <c r="D318" i="27"/>
  <c r="C318" i="27"/>
  <c r="D317" i="27"/>
  <c r="C317" i="27"/>
  <c r="F317" i="27"/>
  <c r="D316" i="27"/>
  <c r="C316" i="27"/>
  <c r="F316" i="27"/>
  <c r="D315" i="27"/>
  <c r="C315" i="27"/>
  <c r="D314" i="27"/>
  <c r="C314" i="27"/>
  <c r="F314" i="27"/>
  <c r="D313" i="27"/>
  <c r="C313" i="27"/>
  <c r="F313" i="27"/>
  <c r="D312" i="27"/>
  <c r="C312" i="27"/>
  <c r="F312" i="27"/>
  <c r="D311" i="27"/>
  <c r="C311" i="27"/>
  <c r="F311" i="27"/>
  <c r="D310" i="27"/>
  <c r="C310" i="27"/>
  <c r="D309" i="27"/>
  <c r="C309" i="27"/>
  <c r="F309" i="27"/>
  <c r="D308" i="27"/>
  <c r="C308" i="27"/>
  <c r="F308" i="27"/>
  <c r="D307" i="27"/>
  <c r="C307" i="27"/>
  <c r="D306" i="27"/>
  <c r="C306" i="27"/>
  <c r="F306" i="27"/>
  <c r="D305" i="27"/>
  <c r="C305" i="27"/>
  <c r="F305" i="27"/>
  <c r="D304" i="27"/>
  <c r="C304" i="27"/>
  <c r="F304" i="27"/>
  <c r="D303" i="27"/>
  <c r="C303" i="27"/>
  <c r="F303" i="27"/>
  <c r="D302" i="27"/>
  <c r="C302" i="27"/>
  <c r="D301" i="27"/>
  <c r="C301" i="27"/>
  <c r="F301" i="27"/>
  <c r="D300" i="27"/>
  <c r="C300" i="27"/>
  <c r="F300" i="27"/>
  <c r="D299" i="27"/>
  <c r="C299" i="27"/>
  <c r="D298" i="27"/>
  <c r="C298" i="27"/>
  <c r="F298" i="27"/>
  <c r="D297" i="27"/>
  <c r="C297" i="27"/>
  <c r="F297" i="27"/>
  <c r="D296" i="27"/>
  <c r="C296" i="27"/>
  <c r="F296" i="27"/>
  <c r="D295" i="27"/>
  <c r="C295" i="27"/>
  <c r="F295" i="27"/>
  <c r="D294" i="27"/>
  <c r="C294" i="27"/>
  <c r="D293" i="27"/>
  <c r="C293" i="27"/>
  <c r="F293" i="27"/>
  <c r="D292" i="27"/>
  <c r="C292" i="27"/>
  <c r="F292" i="27"/>
  <c r="D291" i="27"/>
  <c r="C291" i="27"/>
  <c r="D290" i="27"/>
  <c r="C290" i="27"/>
  <c r="F290" i="27"/>
  <c r="D289" i="27"/>
  <c r="C289" i="27"/>
  <c r="F289" i="27"/>
  <c r="D288" i="27"/>
  <c r="C288" i="27"/>
  <c r="F288" i="27"/>
  <c r="D287" i="27"/>
  <c r="C287" i="27"/>
  <c r="F287" i="27"/>
  <c r="D286" i="27"/>
  <c r="C286" i="27"/>
  <c r="D285" i="27"/>
  <c r="C285" i="27"/>
  <c r="F285" i="27"/>
  <c r="D284" i="27"/>
  <c r="C284" i="27"/>
  <c r="F284" i="27"/>
  <c r="D283" i="27"/>
  <c r="C283" i="27"/>
  <c r="D282" i="27"/>
  <c r="C282" i="27"/>
  <c r="F282" i="27"/>
  <c r="D281" i="27"/>
  <c r="C281" i="27"/>
  <c r="F281" i="27"/>
  <c r="D280" i="27"/>
  <c r="C280" i="27"/>
  <c r="F280" i="27"/>
  <c r="D279" i="27"/>
  <c r="C279" i="27"/>
  <c r="F279" i="27"/>
  <c r="D278" i="27"/>
  <c r="C278" i="27"/>
  <c r="D277" i="27"/>
  <c r="C277" i="27"/>
  <c r="F277" i="27"/>
  <c r="D276" i="27"/>
  <c r="C276" i="27"/>
  <c r="F276" i="27"/>
  <c r="D275" i="27"/>
  <c r="C275" i="27"/>
  <c r="D274" i="27"/>
  <c r="C274" i="27"/>
  <c r="F274" i="27"/>
  <c r="D273" i="27"/>
  <c r="C273" i="27"/>
  <c r="F273" i="27"/>
  <c r="D272" i="27"/>
  <c r="C272" i="27"/>
  <c r="F272" i="27"/>
  <c r="D271" i="27"/>
  <c r="C271" i="27"/>
  <c r="F271" i="27"/>
  <c r="D270" i="27"/>
  <c r="C270" i="27"/>
  <c r="D269" i="27"/>
  <c r="C269" i="27"/>
  <c r="F269" i="27"/>
  <c r="D268" i="27"/>
  <c r="C268" i="27"/>
  <c r="F268" i="27"/>
  <c r="D267" i="27"/>
  <c r="C267" i="27"/>
  <c r="D266" i="27"/>
  <c r="C266" i="27"/>
  <c r="F266" i="27"/>
  <c r="D265" i="27"/>
  <c r="C265" i="27"/>
  <c r="F265" i="27"/>
  <c r="D264" i="27"/>
  <c r="C264" i="27"/>
  <c r="F264" i="27"/>
  <c r="D263" i="27"/>
  <c r="C263" i="27"/>
  <c r="F263" i="27"/>
  <c r="D262" i="27"/>
  <c r="C262" i="27"/>
  <c r="D261" i="27"/>
  <c r="C261" i="27"/>
  <c r="F261" i="27"/>
  <c r="D260" i="27"/>
  <c r="C260" i="27"/>
  <c r="F260" i="27"/>
  <c r="D259" i="27"/>
  <c r="C259" i="27"/>
  <c r="D258" i="27"/>
  <c r="C258" i="27"/>
  <c r="F258" i="27"/>
  <c r="D257" i="27"/>
  <c r="C257" i="27"/>
  <c r="F257" i="27"/>
  <c r="D256" i="27"/>
  <c r="C256" i="27"/>
  <c r="F256" i="27"/>
  <c r="D255" i="27"/>
  <c r="C255" i="27"/>
  <c r="F255" i="27"/>
  <c r="D254" i="27"/>
  <c r="C254" i="27"/>
  <c r="D253" i="27"/>
  <c r="C253" i="27"/>
  <c r="F253" i="27"/>
  <c r="D252" i="27"/>
  <c r="C252" i="27"/>
  <c r="F252" i="27"/>
  <c r="D251" i="27"/>
  <c r="C251" i="27"/>
  <c r="D250" i="27"/>
  <c r="C250" i="27"/>
  <c r="F250" i="27"/>
  <c r="D249" i="27"/>
  <c r="C249" i="27"/>
  <c r="F249" i="27"/>
  <c r="D248" i="27"/>
  <c r="C248" i="27"/>
  <c r="F248" i="27"/>
  <c r="D247" i="27"/>
  <c r="C247" i="27"/>
  <c r="F247" i="27"/>
  <c r="D246" i="27"/>
  <c r="C246" i="27"/>
  <c r="D245" i="27"/>
  <c r="C245" i="27"/>
  <c r="F245" i="27"/>
  <c r="D244" i="27"/>
  <c r="C244" i="27"/>
  <c r="F244" i="27"/>
  <c r="D243" i="27"/>
  <c r="C243" i="27"/>
  <c r="D242" i="27"/>
  <c r="C242" i="27"/>
  <c r="F242" i="27"/>
  <c r="D241" i="27"/>
  <c r="C241" i="27"/>
  <c r="F241" i="27"/>
  <c r="D240" i="27"/>
  <c r="C240" i="27"/>
  <c r="F240" i="27"/>
  <c r="D239" i="27"/>
  <c r="C239" i="27"/>
  <c r="F239" i="27"/>
  <c r="D238" i="27"/>
  <c r="C238" i="27"/>
  <c r="D237" i="27"/>
  <c r="C237" i="27"/>
  <c r="F237" i="27"/>
  <c r="D236" i="27"/>
  <c r="C236" i="27"/>
  <c r="F236" i="27"/>
  <c r="D235" i="27"/>
  <c r="C235" i="27"/>
  <c r="D234" i="27"/>
  <c r="C234" i="27"/>
  <c r="F234" i="27"/>
  <c r="D233" i="27"/>
  <c r="C233" i="27"/>
  <c r="F233" i="27"/>
  <c r="D232" i="27"/>
  <c r="C232" i="27"/>
  <c r="F232" i="27"/>
  <c r="D231" i="27"/>
  <c r="C231" i="27"/>
  <c r="F231" i="27"/>
  <c r="D230" i="27"/>
  <c r="C230" i="27"/>
  <c r="D229" i="27"/>
  <c r="C229" i="27"/>
  <c r="F229" i="27"/>
  <c r="D228" i="27"/>
  <c r="C228" i="27"/>
  <c r="F228" i="27"/>
  <c r="D227" i="27"/>
  <c r="C227" i="27"/>
  <c r="D226" i="27"/>
  <c r="C226" i="27"/>
  <c r="F226" i="27"/>
  <c r="D225" i="27"/>
  <c r="C225" i="27"/>
  <c r="F225" i="27"/>
  <c r="D224" i="27"/>
  <c r="C224" i="27"/>
  <c r="F224" i="27"/>
  <c r="D223" i="27"/>
  <c r="C223" i="27"/>
  <c r="F223" i="27"/>
  <c r="D222" i="27"/>
  <c r="C222" i="27"/>
  <c r="D221" i="27"/>
  <c r="C221" i="27"/>
  <c r="F221" i="27"/>
  <c r="D220" i="27"/>
  <c r="C220" i="27"/>
  <c r="F220" i="27"/>
  <c r="D219" i="27"/>
  <c r="C219" i="27"/>
  <c r="D218" i="27"/>
  <c r="C218" i="27"/>
  <c r="F218" i="27"/>
  <c r="D217" i="27"/>
  <c r="C217" i="27"/>
  <c r="F217" i="27"/>
  <c r="D216" i="27"/>
  <c r="C216" i="27"/>
  <c r="F216" i="27"/>
  <c r="D215" i="27"/>
  <c r="C215" i="27"/>
  <c r="F215" i="27"/>
  <c r="D214" i="27"/>
  <c r="C214" i="27"/>
  <c r="D213" i="27"/>
  <c r="C213" i="27"/>
  <c r="F213" i="27"/>
  <c r="D212" i="27"/>
  <c r="C212" i="27"/>
  <c r="F212" i="27"/>
  <c r="D211" i="27"/>
  <c r="C211" i="27"/>
  <c r="D210" i="27"/>
  <c r="C210" i="27"/>
  <c r="F210" i="27"/>
  <c r="D209" i="27"/>
  <c r="C209" i="27"/>
  <c r="F209" i="27"/>
  <c r="D208" i="27"/>
  <c r="C208" i="27"/>
  <c r="F208" i="27"/>
  <c r="D207" i="27"/>
  <c r="C207" i="27"/>
  <c r="F207" i="27"/>
  <c r="D206" i="27"/>
  <c r="C206" i="27"/>
  <c r="D205" i="27"/>
  <c r="C205" i="27"/>
  <c r="F205" i="27"/>
  <c r="D204" i="27"/>
  <c r="C204" i="27"/>
  <c r="F204" i="27"/>
  <c r="D203" i="27"/>
  <c r="C203" i="27"/>
  <c r="D202" i="27"/>
  <c r="C202" i="27"/>
  <c r="F202" i="27"/>
  <c r="D201" i="27"/>
  <c r="C201" i="27"/>
  <c r="F201" i="27"/>
  <c r="D200" i="27"/>
  <c r="C200" i="27"/>
  <c r="F200" i="27"/>
  <c r="D199" i="27"/>
  <c r="C199" i="27"/>
  <c r="F199" i="27"/>
  <c r="D198" i="27"/>
  <c r="C198" i="27"/>
  <c r="D197" i="27"/>
  <c r="C197" i="27"/>
  <c r="F197" i="27"/>
  <c r="D196" i="27"/>
  <c r="C196" i="27"/>
  <c r="F196" i="27"/>
  <c r="D195" i="27"/>
  <c r="C195" i="27"/>
  <c r="D194" i="27"/>
  <c r="C194" i="27"/>
  <c r="F194" i="27"/>
  <c r="D193" i="27"/>
  <c r="C193" i="27"/>
  <c r="F193" i="27"/>
  <c r="D192" i="27"/>
  <c r="C192" i="27"/>
  <c r="F192" i="27"/>
  <c r="D191" i="27"/>
  <c r="C191" i="27"/>
  <c r="F191" i="27"/>
  <c r="D190" i="27"/>
  <c r="C190" i="27"/>
  <c r="D189" i="27"/>
  <c r="C189" i="27"/>
  <c r="F189" i="27"/>
  <c r="D188" i="27"/>
  <c r="C188" i="27"/>
  <c r="F188" i="27"/>
  <c r="D187" i="27"/>
  <c r="C187" i="27"/>
  <c r="D186" i="27"/>
  <c r="C186" i="27"/>
  <c r="F186" i="27"/>
  <c r="D185" i="27"/>
  <c r="C185" i="27"/>
  <c r="F185" i="27"/>
  <c r="D184" i="27"/>
  <c r="C184" i="27"/>
  <c r="F184" i="27"/>
  <c r="D183" i="27"/>
  <c r="C183" i="27"/>
  <c r="F183" i="27"/>
  <c r="D182" i="27"/>
  <c r="C182" i="27"/>
  <c r="D181" i="27"/>
  <c r="C181" i="27"/>
  <c r="F181" i="27"/>
  <c r="D180" i="27"/>
  <c r="C180" i="27"/>
  <c r="F180" i="27"/>
  <c r="D179" i="27"/>
  <c r="C179" i="27"/>
  <c r="D178" i="27"/>
  <c r="C178" i="27"/>
  <c r="F178" i="27"/>
  <c r="D177" i="27"/>
  <c r="C177" i="27"/>
  <c r="F177" i="27"/>
  <c r="D176" i="27"/>
  <c r="C176" i="27"/>
  <c r="F176" i="27"/>
  <c r="D175" i="27"/>
  <c r="C175" i="27"/>
  <c r="F175" i="27"/>
  <c r="D174" i="27"/>
  <c r="C174" i="27"/>
  <c r="D173" i="27"/>
  <c r="C173" i="27"/>
  <c r="F173" i="27"/>
  <c r="D172" i="27"/>
  <c r="C172" i="27"/>
  <c r="F172" i="27"/>
  <c r="D171" i="27"/>
  <c r="C171" i="27"/>
  <c r="D170" i="27"/>
  <c r="C170" i="27"/>
  <c r="F170" i="27"/>
  <c r="D169" i="27"/>
  <c r="C169" i="27"/>
  <c r="F169" i="27"/>
  <c r="D168" i="27"/>
  <c r="C168" i="27"/>
  <c r="F168" i="27"/>
  <c r="D167" i="27"/>
  <c r="C167" i="27"/>
  <c r="F167" i="27"/>
  <c r="D166" i="27"/>
  <c r="C166" i="27"/>
  <c r="D165" i="27"/>
  <c r="C165" i="27"/>
  <c r="F165" i="27"/>
  <c r="D164" i="27"/>
  <c r="C164" i="27"/>
  <c r="F164" i="27"/>
  <c r="D163" i="27"/>
  <c r="C163" i="27"/>
  <c r="D162" i="27"/>
  <c r="C162" i="27"/>
  <c r="F162" i="27"/>
  <c r="D161" i="27"/>
  <c r="C161" i="27"/>
  <c r="F161" i="27"/>
  <c r="D160" i="27"/>
  <c r="C160" i="27"/>
  <c r="F160" i="27"/>
  <c r="D159" i="27"/>
  <c r="C159" i="27"/>
  <c r="F159" i="27"/>
  <c r="D158" i="27"/>
  <c r="C158" i="27"/>
  <c r="D157" i="27"/>
  <c r="C157" i="27"/>
  <c r="F157" i="27"/>
  <c r="D156" i="27"/>
  <c r="C156" i="27"/>
  <c r="F156" i="27"/>
  <c r="D155" i="27"/>
  <c r="C155" i="27"/>
  <c r="D154" i="27"/>
  <c r="C154" i="27"/>
  <c r="F154" i="27"/>
  <c r="D153" i="27"/>
  <c r="C153" i="27"/>
  <c r="F153" i="27"/>
  <c r="D152" i="27"/>
  <c r="C152" i="27"/>
  <c r="F152" i="27"/>
  <c r="D151" i="27"/>
  <c r="C151" i="27"/>
  <c r="F151" i="27"/>
  <c r="D150" i="27"/>
  <c r="C150" i="27"/>
  <c r="D149" i="27"/>
  <c r="C149" i="27"/>
  <c r="F149" i="27"/>
  <c r="D148" i="27"/>
  <c r="C148" i="27"/>
  <c r="F148" i="27"/>
  <c r="D147" i="27"/>
  <c r="C147" i="27"/>
  <c r="D146" i="27"/>
  <c r="C146" i="27"/>
  <c r="F146" i="27"/>
  <c r="D145" i="27"/>
  <c r="C145" i="27"/>
  <c r="F145" i="27"/>
  <c r="D144" i="27"/>
  <c r="C144" i="27"/>
  <c r="F144" i="27"/>
  <c r="D143" i="27"/>
  <c r="C143" i="27"/>
  <c r="F143" i="27"/>
  <c r="D142" i="27"/>
  <c r="C142" i="27"/>
  <c r="D141" i="27"/>
  <c r="C141" i="27"/>
  <c r="F141" i="27"/>
  <c r="D140" i="27"/>
  <c r="C140" i="27"/>
  <c r="F140" i="27"/>
  <c r="D139" i="27"/>
  <c r="C139" i="27"/>
  <c r="D138" i="27"/>
  <c r="C138" i="27"/>
  <c r="F138" i="27"/>
  <c r="D137" i="27"/>
  <c r="C137" i="27"/>
  <c r="F137" i="27"/>
  <c r="D136" i="27"/>
  <c r="C136" i="27"/>
  <c r="F136" i="27"/>
  <c r="D135" i="27"/>
  <c r="C135" i="27"/>
  <c r="F135" i="27"/>
  <c r="D134" i="27"/>
  <c r="C134" i="27"/>
  <c r="D133" i="27"/>
  <c r="C133" i="27"/>
  <c r="F133" i="27"/>
  <c r="D132" i="27"/>
  <c r="C132" i="27"/>
  <c r="F132" i="27"/>
  <c r="D131" i="27"/>
  <c r="C131" i="27"/>
  <c r="D130" i="27"/>
  <c r="C130" i="27"/>
  <c r="F130" i="27"/>
  <c r="D129" i="27"/>
  <c r="C129" i="27"/>
  <c r="F129" i="27"/>
  <c r="D128" i="27"/>
  <c r="C128" i="27"/>
  <c r="F128" i="27"/>
  <c r="D127" i="27"/>
  <c r="C127" i="27"/>
  <c r="F127" i="27"/>
  <c r="D126" i="27"/>
  <c r="C126" i="27"/>
  <c r="D125" i="27"/>
  <c r="C125" i="27"/>
  <c r="F125" i="27"/>
  <c r="D124" i="27"/>
  <c r="C124" i="27"/>
  <c r="F124" i="27"/>
  <c r="D123" i="27"/>
  <c r="C123" i="27"/>
  <c r="D122" i="27"/>
  <c r="C122" i="27"/>
  <c r="F122" i="27"/>
  <c r="D121" i="27"/>
  <c r="C121" i="27"/>
  <c r="F121" i="27"/>
  <c r="D120" i="27"/>
  <c r="C120" i="27"/>
  <c r="F120" i="27"/>
  <c r="D119" i="27"/>
  <c r="C119" i="27"/>
  <c r="F119" i="27"/>
  <c r="D118" i="27"/>
  <c r="C118" i="27"/>
  <c r="D117" i="27"/>
  <c r="C117" i="27"/>
  <c r="F117" i="27"/>
  <c r="D116" i="27"/>
  <c r="C116" i="27"/>
  <c r="F116" i="27"/>
  <c r="D115" i="27"/>
  <c r="C115" i="27"/>
  <c r="D114" i="27"/>
  <c r="C114" i="27"/>
  <c r="F114" i="27"/>
  <c r="D113" i="27"/>
  <c r="C113" i="27"/>
  <c r="F113" i="27"/>
  <c r="D112" i="27"/>
  <c r="C112" i="27"/>
  <c r="F112" i="27"/>
  <c r="D111" i="27"/>
  <c r="C111" i="27"/>
  <c r="F111" i="27"/>
  <c r="D110" i="27"/>
  <c r="C110" i="27"/>
  <c r="D109" i="27"/>
  <c r="C109" i="27"/>
  <c r="F109" i="27"/>
  <c r="D108" i="27"/>
  <c r="C108" i="27"/>
  <c r="F108" i="27"/>
  <c r="D107" i="27"/>
  <c r="C107" i="27"/>
  <c r="D106" i="27"/>
  <c r="C106" i="27"/>
  <c r="F106" i="27"/>
  <c r="D105" i="27"/>
  <c r="C105" i="27"/>
  <c r="F105" i="27"/>
  <c r="D104" i="27"/>
  <c r="C104" i="27"/>
  <c r="F104" i="27"/>
  <c r="D103" i="27"/>
  <c r="C103" i="27"/>
  <c r="F103" i="27"/>
  <c r="D102" i="27"/>
  <c r="C102" i="27"/>
  <c r="D101" i="27"/>
  <c r="C101" i="27"/>
  <c r="F101" i="27"/>
  <c r="J89" i="27"/>
  <c r="I89" i="27"/>
  <c r="H89" i="27"/>
  <c r="G89" i="27"/>
  <c r="J88" i="27"/>
  <c r="I88" i="27"/>
  <c r="H88" i="27"/>
  <c r="G88" i="27"/>
  <c r="F88" i="27"/>
  <c r="F89" i="27"/>
  <c r="J87" i="27"/>
  <c r="I87" i="27"/>
  <c r="H87" i="27"/>
  <c r="G87" i="27"/>
  <c r="F87" i="27"/>
  <c r="J86" i="27"/>
  <c r="I86" i="27"/>
  <c r="H86" i="27"/>
  <c r="G86" i="27"/>
  <c r="F86" i="27"/>
  <c r="J85" i="27"/>
  <c r="I85" i="27"/>
  <c r="H85" i="27"/>
  <c r="G85" i="27"/>
  <c r="F85" i="27"/>
  <c r="J84" i="27"/>
  <c r="I84" i="27"/>
  <c r="H84" i="27"/>
  <c r="G84" i="27"/>
  <c r="F84" i="27"/>
  <c r="J83" i="27"/>
  <c r="I83" i="27"/>
  <c r="H83" i="27"/>
  <c r="G83" i="27"/>
  <c r="F83" i="27"/>
  <c r="J82" i="27"/>
  <c r="I82" i="27"/>
  <c r="H82" i="27"/>
  <c r="G82" i="27"/>
  <c r="F82" i="27"/>
  <c r="J81" i="27"/>
  <c r="I81" i="27"/>
  <c r="H81" i="27"/>
  <c r="G81" i="27"/>
  <c r="F81" i="27"/>
  <c r="J80" i="27"/>
  <c r="I80" i="27"/>
  <c r="H80" i="27"/>
  <c r="G80" i="27"/>
  <c r="F80" i="27"/>
  <c r="J79" i="27"/>
  <c r="I79" i="27"/>
  <c r="H79" i="27"/>
  <c r="G79" i="27"/>
  <c r="F79" i="27"/>
  <c r="J78" i="27"/>
  <c r="I78" i="27"/>
  <c r="H78" i="27"/>
  <c r="G78" i="27"/>
  <c r="F78" i="27"/>
  <c r="J77" i="27"/>
  <c r="I77" i="27"/>
  <c r="H77" i="27"/>
  <c r="G77" i="27"/>
  <c r="F77" i="27"/>
  <c r="J76" i="27"/>
  <c r="I76" i="27"/>
  <c r="H76" i="27"/>
  <c r="G76" i="27"/>
  <c r="F76" i="27"/>
  <c r="J75" i="27"/>
  <c r="I75" i="27"/>
  <c r="H75" i="27"/>
  <c r="G75" i="27"/>
  <c r="F75" i="27"/>
  <c r="J74" i="27"/>
  <c r="I74" i="27"/>
  <c r="H74" i="27"/>
  <c r="G74" i="27"/>
  <c r="F74" i="27"/>
  <c r="J73" i="27"/>
  <c r="I73" i="27"/>
  <c r="H73" i="27"/>
  <c r="G73" i="27"/>
  <c r="F73" i="27"/>
  <c r="J72" i="27"/>
  <c r="I72" i="27"/>
  <c r="H72" i="27"/>
  <c r="G72" i="27"/>
  <c r="F72" i="27"/>
  <c r="J71" i="27"/>
  <c r="I71" i="27"/>
  <c r="H71" i="27"/>
  <c r="G71" i="27"/>
  <c r="F71" i="27"/>
  <c r="J70" i="27"/>
  <c r="I70" i="27"/>
  <c r="H70" i="27"/>
  <c r="G70" i="27"/>
  <c r="F70" i="27"/>
  <c r="J69" i="27"/>
  <c r="I69" i="27"/>
  <c r="H69" i="27"/>
  <c r="G69" i="27"/>
  <c r="F69" i="27"/>
  <c r="J68" i="27"/>
  <c r="I68" i="27"/>
  <c r="H68" i="27"/>
  <c r="G68" i="27"/>
  <c r="F68" i="27"/>
  <c r="J67" i="27"/>
  <c r="I67" i="27"/>
  <c r="H67" i="27"/>
  <c r="G67" i="27"/>
  <c r="F67" i="27"/>
  <c r="J66" i="27"/>
  <c r="I66" i="27"/>
  <c r="H66" i="27"/>
  <c r="G66" i="27"/>
  <c r="F66" i="27"/>
  <c r="J65" i="27"/>
  <c r="I65" i="27"/>
  <c r="H65" i="27"/>
  <c r="G65" i="27"/>
  <c r="F65" i="27"/>
  <c r="J64" i="27"/>
  <c r="I64" i="27"/>
  <c r="H64" i="27"/>
  <c r="G64" i="27"/>
  <c r="F64" i="27"/>
  <c r="J63" i="27"/>
  <c r="I63" i="27"/>
  <c r="H63" i="27"/>
  <c r="G63" i="27"/>
  <c r="F63" i="27"/>
  <c r="J62" i="27"/>
  <c r="I62" i="27"/>
  <c r="H62" i="27"/>
  <c r="G62" i="27"/>
  <c r="F62" i="27"/>
  <c r="J61" i="27"/>
  <c r="I61" i="27"/>
  <c r="H61" i="27"/>
  <c r="G61" i="27"/>
  <c r="F61" i="27"/>
  <c r="J60" i="27"/>
  <c r="I60" i="27"/>
  <c r="H60" i="27"/>
  <c r="G60" i="27"/>
  <c r="F60" i="27"/>
  <c r="J59" i="27"/>
  <c r="I59" i="27"/>
  <c r="H59" i="27"/>
  <c r="G59" i="27"/>
  <c r="F59" i="27"/>
  <c r="J58" i="27"/>
  <c r="I58" i="27"/>
  <c r="H58" i="27"/>
  <c r="G58" i="27"/>
  <c r="F58" i="27"/>
  <c r="J57" i="27"/>
  <c r="I57" i="27"/>
  <c r="H57" i="27"/>
  <c r="G57"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I226" i="29"/>
  <c r="I194" i="29"/>
  <c r="I162" i="29"/>
  <c r="I130" i="29"/>
  <c r="I98" i="29"/>
  <c r="B110" i="25"/>
  <c r="C210" i="21"/>
  <c r="T111" i="25"/>
  <c r="U111" i="25"/>
  <c r="B111" i="25"/>
  <c r="C211" i="21"/>
  <c r="T112" i="25"/>
  <c r="U112" i="25"/>
  <c r="BA212" i="8"/>
  <c r="AH212" i="8"/>
  <c r="AG212" i="8"/>
  <c r="B113" i="25"/>
  <c r="C213" i="21"/>
  <c r="T114" i="25"/>
  <c r="U114" i="25"/>
  <c r="T115" i="25"/>
  <c r="U115" i="25"/>
  <c r="T116" i="25"/>
  <c r="U116" i="25"/>
  <c r="B116" i="25"/>
  <c r="C216" i="21"/>
  <c r="T117" i="25"/>
  <c r="U117" i="25"/>
  <c r="T118" i="25"/>
  <c r="U118" i="25"/>
  <c r="BA218" i="8"/>
  <c r="T119" i="25"/>
  <c r="U119" i="25"/>
  <c r="B119" i="25"/>
  <c r="C219" i="21"/>
  <c r="T120" i="25"/>
  <c r="U120" i="25"/>
  <c r="T121" i="25"/>
  <c r="U121" i="25"/>
  <c r="B121" i="25"/>
  <c r="C221" i="21"/>
  <c r="M221" i="21"/>
  <c r="T122" i="25"/>
  <c r="U122" i="25"/>
  <c r="T123" i="25"/>
  <c r="U123" i="25"/>
  <c r="T124" i="25"/>
  <c r="U124" i="25"/>
  <c r="T125" i="25"/>
  <c r="U125" i="25"/>
  <c r="B125" i="25"/>
  <c r="C225" i="21"/>
  <c r="M225" i="21"/>
  <c r="T126" i="25"/>
  <c r="U126" i="25"/>
  <c r="B126" i="25"/>
  <c r="C226" i="21"/>
  <c r="T127" i="25"/>
  <c r="U127" i="25"/>
  <c r="T128" i="25"/>
  <c r="U128" i="25"/>
  <c r="T129" i="25"/>
  <c r="U129" i="25"/>
  <c r="B129" i="25"/>
  <c r="C229" i="21"/>
  <c r="M229" i="21"/>
  <c r="T130" i="25"/>
  <c r="U130" i="25"/>
  <c r="T131" i="25"/>
  <c r="U131" i="25"/>
  <c r="T132" i="25"/>
  <c r="U132" i="25"/>
  <c r="B132" i="25"/>
  <c r="C232" i="21"/>
  <c r="T133" i="25"/>
  <c r="U133" i="25"/>
  <c r="B133" i="25"/>
  <c r="C233" i="21"/>
  <c r="T134" i="25"/>
  <c r="U134" i="25"/>
  <c r="T135" i="25"/>
  <c r="U135" i="25"/>
  <c r="B135" i="25"/>
  <c r="C235" i="21"/>
  <c r="T136" i="25"/>
  <c r="U136" i="25"/>
  <c r="B136" i="25"/>
  <c r="C236" i="21"/>
  <c r="M236" i="21"/>
  <c r="T137" i="25"/>
  <c r="U137" i="25"/>
  <c r="B137" i="25"/>
  <c r="C237" i="21"/>
  <c r="M237" i="21"/>
  <c r="T138" i="25"/>
  <c r="U138" i="25"/>
  <c r="B138" i="25"/>
  <c r="C238" i="21"/>
  <c r="M238" i="21"/>
  <c r="T139" i="25"/>
  <c r="U139" i="25"/>
  <c r="T140" i="25"/>
  <c r="U140" i="25"/>
  <c r="T141" i="25"/>
  <c r="U141" i="25"/>
  <c r="B141" i="25"/>
  <c r="C241" i="21"/>
  <c r="M241" i="21"/>
  <c r="T142" i="25"/>
  <c r="U142" i="25"/>
  <c r="B142" i="25"/>
  <c r="C242" i="21"/>
  <c r="T143" i="25"/>
  <c r="U143" i="25"/>
  <c r="T144" i="25"/>
  <c r="U144" i="25"/>
  <c r="T145" i="25"/>
  <c r="U145" i="25"/>
  <c r="T146" i="25"/>
  <c r="U146" i="25"/>
  <c r="B146" i="25"/>
  <c r="C246" i="21"/>
  <c r="T147" i="25"/>
  <c r="U147" i="25"/>
  <c r="B147" i="25"/>
  <c r="C247" i="21"/>
  <c r="T148" i="25"/>
  <c r="U148" i="25"/>
  <c r="E49" i="24"/>
  <c r="F49" i="24"/>
  <c r="U149" i="25"/>
  <c r="T151" i="25"/>
  <c r="U151" i="25"/>
  <c r="B151" i="25"/>
  <c r="C251" i="21"/>
  <c r="T152" i="25"/>
  <c r="U152" i="25"/>
  <c r="T153" i="25"/>
  <c r="U153" i="25"/>
  <c r="B153" i="25"/>
  <c r="C253" i="21"/>
  <c r="T154" i="25"/>
  <c r="U154" i="25"/>
  <c r="T155" i="25"/>
  <c r="U155" i="25"/>
  <c r="B155" i="25"/>
  <c r="C255" i="21"/>
  <c r="T156" i="25"/>
  <c r="U156" i="25"/>
  <c r="B156" i="25"/>
  <c r="C256" i="21"/>
  <c r="T157" i="25"/>
  <c r="U157" i="25"/>
  <c r="B157" i="25"/>
  <c r="C257" i="21"/>
  <c r="T158" i="25"/>
  <c r="U158" i="25"/>
  <c r="T159" i="25"/>
  <c r="U15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113" i="25"/>
  <c r="AY213" i="8"/>
  <c r="AE213" i="8"/>
  <c r="AQ213" i="8"/>
  <c r="AQ198" i="8"/>
  <c r="U10" i="25"/>
  <c r="U11" i="25"/>
  <c r="U12" i="25"/>
  <c r="U13" i="25"/>
  <c r="U14" i="25"/>
  <c r="U15" i="25"/>
  <c r="U16" i="25"/>
  <c r="U17" i="25"/>
  <c r="U18" i="25"/>
  <c r="U19" i="25"/>
  <c r="U20" i="25"/>
  <c r="U21" i="25"/>
  <c r="U22" i="25"/>
  <c r="U23" i="25"/>
  <c r="U24" i="25"/>
  <c r="U25" i="25"/>
  <c r="U26" i="25"/>
  <c r="U27" i="25"/>
  <c r="U28" i="25"/>
  <c r="U29" i="25"/>
  <c r="U30" i="25"/>
  <c r="U31" i="25"/>
  <c r="U32" i="25"/>
  <c r="U33" i="25"/>
  <c r="U34" i="25"/>
  <c r="U35" i="25"/>
  <c r="U36" i="25"/>
  <c r="U37" i="25"/>
  <c r="U38" i="25"/>
  <c r="U39" i="25"/>
  <c r="K136" i="9"/>
  <c r="K137" i="9"/>
  <c r="K138" i="9"/>
  <c r="K139" i="9"/>
  <c r="BB197" i="8"/>
  <c r="AB110" i="8"/>
  <c r="AB111" i="8"/>
  <c r="AB112" i="8"/>
  <c r="AH199" i="8"/>
  <c r="AH200" i="8"/>
  <c r="AH201" i="8"/>
  <c r="AH202" i="8"/>
  <c r="AH203" i="8"/>
  <c r="AH204" i="8"/>
  <c r="AH205" i="8"/>
  <c r="AH206" i="8"/>
  <c r="AH207" i="8"/>
  <c r="AH208" i="8"/>
  <c r="AH209" i="8"/>
  <c r="AH210" i="8"/>
  <c r="AH211" i="8"/>
  <c r="Z10" i="8"/>
  <c r="AA10" i="8"/>
  <c r="AB10" i="8"/>
  <c r="Z60" i="8"/>
  <c r="AA60" i="8"/>
  <c r="AB60" i="8"/>
  <c r="Z85" i="8"/>
  <c r="AA85" i="8"/>
  <c r="AB85" i="8"/>
  <c r="AA110" i="8"/>
  <c r="AA111" i="8"/>
  <c r="AA112" i="8"/>
  <c r="AA113" i="8"/>
  <c r="AA114" i="8"/>
  <c r="AA115" i="8"/>
  <c r="AA116" i="8"/>
  <c r="AA117" i="8"/>
  <c r="AA118" i="8"/>
  <c r="AA119" i="8"/>
  <c r="AA120" i="8"/>
  <c r="AA121" i="8"/>
  <c r="AA122" i="8"/>
  <c r="AA123" i="8"/>
  <c r="AA124" i="8"/>
  <c r="AA125" i="8"/>
  <c r="AA126" i="8"/>
  <c r="AA127" i="8"/>
  <c r="AA128" i="8"/>
  <c r="AA129" i="8"/>
  <c r="AA130" i="8"/>
  <c r="AA131" i="8"/>
  <c r="AA132" i="8"/>
  <c r="AA133" i="8"/>
  <c r="AA134" i="8"/>
  <c r="AA135" i="8"/>
  <c r="AA136" i="8"/>
  <c r="AA137" i="8"/>
  <c r="AA138" i="8"/>
  <c r="AA139" i="8"/>
  <c r="Z110" i="8"/>
  <c r="Z111" i="8"/>
  <c r="Z112" i="8"/>
  <c r="Z113" i="8"/>
  <c r="Z114" i="8"/>
  <c r="Z115" i="8"/>
  <c r="Z116" i="8"/>
  <c r="Z117" i="8"/>
  <c r="Z118" i="8"/>
  <c r="Z119" i="8"/>
  <c r="Z120" i="8"/>
  <c r="Z121" i="8"/>
  <c r="Z122" i="8"/>
  <c r="Z123" i="8"/>
  <c r="Z124" i="8"/>
  <c r="Z125" i="8"/>
  <c r="Z126" i="8"/>
  <c r="Z127" i="8"/>
  <c r="Z128" i="8"/>
  <c r="Z129" i="8"/>
  <c r="Z130" i="8"/>
  <c r="Z131" i="8"/>
  <c r="Z132" i="8"/>
  <c r="Z133" i="8"/>
  <c r="Z134" i="8"/>
  <c r="Z135" i="8"/>
  <c r="Z136" i="8"/>
  <c r="Z137" i="8"/>
  <c r="Z138" i="8"/>
  <c r="Z139" i="8"/>
  <c r="AN214" i="8"/>
  <c r="AH214" i="8"/>
  <c r="AN215" i="8"/>
  <c r="AH215" i="8"/>
  <c r="AN216" i="8"/>
  <c r="AH216" i="8"/>
  <c r="AN217" i="8"/>
  <c r="AH217" i="8"/>
  <c r="AN218" i="8"/>
  <c r="AH218" i="8"/>
  <c r="AN219" i="8"/>
  <c r="AH219" i="8"/>
  <c r="AN220" i="8"/>
  <c r="AH220" i="8"/>
  <c r="AN221" i="8"/>
  <c r="AH221" i="8"/>
  <c r="AN222" i="8"/>
  <c r="AH222" i="8"/>
  <c r="AN223" i="8"/>
  <c r="AH223" i="8"/>
  <c r="AL211" i="8"/>
  <c r="AM211" i="8"/>
  <c r="AN211" i="8"/>
  <c r="AL212" i="8"/>
  <c r="AK212" i="8"/>
  <c r="AM212" i="8"/>
  <c r="AN212" i="8"/>
  <c r="AO212" i="8"/>
  <c r="AL213" i="8"/>
  <c r="AM213" i="8"/>
  <c r="AL214" i="8"/>
  <c r="AM214" i="8"/>
  <c r="AL215" i="8"/>
  <c r="AM215" i="8"/>
  <c r="AK215" i="8"/>
  <c r="AO215" i="8"/>
  <c r="AL216" i="8"/>
  <c r="AM216" i="8"/>
  <c r="AL217" i="8"/>
  <c r="AM217" i="8"/>
  <c r="AL218" i="8"/>
  <c r="AM218" i="8"/>
  <c r="AL219" i="8"/>
  <c r="AM219" i="8"/>
  <c r="AK219" i="8"/>
  <c r="AO219" i="8"/>
  <c r="AL220" i="8"/>
  <c r="AK220" i="8"/>
  <c r="AM220" i="8"/>
  <c r="AO220" i="8"/>
  <c r="AL221" i="8"/>
  <c r="AM221" i="8"/>
  <c r="AK221" i="8"/>
  <c r="AO221" i="8"/>
  <c r="AL222" i="8"/>
  <c r="AM222" i="8"/>
  <c r="AM223" i="8"/>
  <c r="AL223" i="8"/>
  <c r="AK211" i="8"/>
  <c r="AK213" i="8"/>
  <c r="AK214" i="8"/>
  <c r="AK216" i="8"/>
  <c r="AK217" i="8"/>
  <c r="AO217" i="8"/>
  <c r="AK218" i="8"/>
  <c r="AK222" i="8"/>
  <c r="AK223" i="8"/>
  <c r="AO214" i="8"/>
  <c r="AO211" i="8"/>
  <c r="AO210" i="8"/>
  <c r="AO216" i="8"/>
  <c r="BF210" i="8"/>
  <c r="BF211" i="8"/>
  <c r="BF212" i="8"/>
  <c r="BF213" i="8"/>
  <c r="BF214" i="8"/>
  <c r="BF215" i="8"/>
  <c r="BF216" i="8"/>
  <c r="BF217" i="8"/>
  <c r="BF218" i="8"/>
  <c r="BF219" i="8"/>
  <c r="BF220" i="8"/>
  <c r="BF221" i="8"/>
  <c r="BF222" i="8"/>
  <c r="H210" i="9"/>
  <c r="X151" i="25"/>
  <c r="S151" i="25"/>
  <c r="V151" i="25"/>
  <c r="R151" i="25"/>
  <c r="X152" i="25"/>
  <c r="X153" i="25"/>
  <c r="X154" i="25"/>
  <c r="X155" i="25"/>
  <c r="X156" i="25"/>
  <c r="X157" i="25"/>
  <c r="I59" i="24"/>
  <c r="X159" i="25"/>
  <c r="V148" i="25"/>
  <c r="V152" i="25"/>
  <c r="V153" i="25"/>
  <c r="V154" i="25"/>
  <c r="V155" i="25"/>
  <c r="V156" i="25"/>
  <c r="S156" i="25"/>
  <c r="R156" i="25"/>
  <c r="V157" i="25"/>
  <c r="V158" i="25"/>
  <c r="V159" i="25"/>
  <c r="V160" i="25"/>
  <c r="U160" i="25"/>
  <c r="C51" i="24"/>
  <c r="C52" i="24"/>
  <c r="C53" i="24"/>
  <c r="C54" i="24"/>
  <c r="C55" i="24"/>
  <c r="C56" i="24"/>
  <c r="C57" i="24"/>
  <c r="D58" i="24"/>
  <c r="I58" i="24"/>
  <c r="C58" i="24"/>
  <c r="I60" i="24"/>
  <c r="X160" i="25"/>
  <c r="X158" i="25"/>
  <c r="T160" i="25"/>
  <c r="G49" i="24"/>
  <c r="G50" i="24"/>
  <c r="V150" i="25"/>
  <c r="H49" i="24"/>
  <c r="H50" i="24"/>
  <c r="S152" i="25"/>
  <c r="S153" i="25"/>
  <c r="S154" i="25"/>
  <c r="S155" i="25"/>
  <c r="S157" i="25"/>
  <c r="D60" i="24"/>
  <c r="D59" i="24"/>
  <c r="C59" i="24"/>
  <c r="S158" i="25"/>
  <c r="I49" i="24"/>
  <c r="D49" i="24"/>
  <c r="I50" i="24"/>
  <c r="X150" i="25"/>
  <c r="X149" i="25"/>
  <c r="V149" i="25"/>
  <c r="BF223" i="8"/>
  <c r="D260" i="21"/>
  <c r="D261" i="21"/>
  <c r="D262" i="21"/>
  <c r="D263" i="21"/>
  <c r="D264" i="21"/>
  <c r="D265" i="21"/>
  <c r="D266" i="21"/>
  <c r="D267" i="21"/>
  <c r="D268" i="21"/>
  <c r="D269" i="21"/>
  <c r="D179" i="25"/>
  <c r="D178" i="25"/>
  <c r="D177" i="25"/>
  <c r="C177" i="25"/>
  <c r="C277" i="21"/>
  <c r="AH277" i="21"/>
  <c r="BD277" i="21"/>
  <c r="D176" i="25"/>
  <c r="C176" i="25"/>
  <c r="B176" i="25"/>
  <c r="D175" i="25"/>
  <c r="D174" i="25"/>
  <c r="D173" i="25"/>
  <c r="C173" i="25"/>
  <c r="C273" i="21"/>
  <c r="P273" i="21"/>
  <c r="AH273" i="21"/>
  <c r="BD273" i="21"/>
  <c r="D172" i="25"/>
  <c r="D171" i="25"/>
  <c r="D170" i="25"/>
  <c r="C179" i="25"/>
  <c r="C178" i="25"/>
  <c r="C175" i="25"/>
  <c r="C275" i="21"/>
  <c r="C174" i="25"/>
  <c r="C274" i="21"/>
  <c r="C172" i="25"/>
  <c r="C171" i="25"/>
  <c r="C271" i="21"/>
  <c r="C170" i="25"/>
  <c r="U261" i="21"/>
  <c r="U262" i="21"/>
  <c r="U263" i="21"/>
  <c r="Y263" i="21"/>
  <c r="AC263" i="21"/>
  <c r="AD263" i="21"/>
  <c r="U264" i="21"/>
  <c r="U265" i="21"/>
  <c r="U266" i="21"/>
  <c r="U267" i="21"/>
  <c r="U268" i="21"/>
  <c r="U269" i="21"/>
  <c r="P270" i="21"/>
  <c r="AD270" i="21"/>
  <c r="P271" i="21"/>
  <c r="AD271" i="21"/>
  <c r="P272" i="21"/>
  <c r="AD272" i="21"/>
  <c r="AD273" i="21"/>
  <c r="P274" i="21"/>
  <c r="AD274" i="21"/>
  <c r="AD275" i="21"/>
  <c r="AD276" i="21"/>
  <c r="AD277" i="21"/>
  <c r="AD278" i="21"/>
  <c r="Y261" i="21"/>
  <c r="AC261" i="21"/>
  <c r="AD261" i="21"/>
  <c r="Y262" i="21"/>
  <c r="AC262" i="21"/>
  <c r="Y264" i="21"/>
  <c r="AC264" i="21"/>
  <c r="Y265" i="21"/>
  <c r="AC265" i="21"/>
  <c r="Y266" i="21"/>
  <c r="AC266" i="21"/>
  <c r="AD266" i="21"/>
  <c r="Y267" i="21"/>
  <c r="AC267" i="21"/>
  <c r="Y268" i="21"/>
  <c r="AC268" i="21"/>
  <c r="AD268" i="21"/>
  <c r="Y269" i="21"/>
  <c r="AC269" i="21"/>
  <c r="AD269" i="21"/>
  <c r="AB260" i="21"/>
  <c r="AB261" i="21"/>
  <c r="AB262" i="21"/>
  <c r="AB263" i="21"/>
  <c r="AB264" i="21"/>
  <c r="AB265" i="21"/>
  <c r="AB266" i="21"/>
  <c r="AB267" i="21"/>
  <c r="AB268" i="21"/>
  <c r="AB269" i="21"/>
  <c r="B172" i="25"/>
  <c r="B179" i="25"/>
  <c r="B171" i="25"/>
  <c r="C272" i="21"/>
  <c r="AH272" i="21"/>
  <c r="BD272" i="21"/>
  <c r="BM270" i="21"/>
  <c r="BM271" i="21"/>
  <c r="BM272" i="21"/>
  <c r="BM273" i="21"/>
  <c r="BM274" i="21"/>
  <c r="BM275" i="21"/>
  <c r="BM276" i="21"/>
  <c r="BM277" i="21"/>
  <c r="BM278" i="21"/>
  <c r="BM279" i="21"/>
  <c r="BH290" i="21"/>
  <c r="BH291" i="21"/>
  <c r="BH292" i="21"/>
  <c r="BH293" i="21"/>
  <c r="BH294" i="21"/>
  <c r="BH295" i="21"/>
  <c r="BH296" i="21"/>
  <c r="BH297" i="21"/>
  <c r="BH298" i="21"/>
  <c r="BH299" i="21"/>
  <c r="BH300" i="21"/>
  <c r="BH301" i="21"/>
  <c r="BH302" i="21"/>
  <c r="BH303" i="21"/>
  <c r="BH304" i="21"/>
  <c r="BH305" i="21"/>
  <c r="BH306" i="21"/>
  <c r="BH307" i="21"/>
  <c r="BH308" i="21"/>
  <c r="BH309" i="21"/>
  <c r="BH310" i="21"/>
  <c r="BH311" i="21"/>
  <c r="BH312" i="21"/>
  <c r="BH313" i="21"/>
  <c r="BH314" i="21"/>
  <c r="BH315" i="21"/>
  <c r="BH316" i="21"/>
  <c r="BH317" i="21"/>
  <c r="BH318" i="21"/>
  <c r="BH319" i="21"/>
  <c r="BH320" i="21"/>
  <c r="BH321" i="21"/>
  <c r="BH322" i="21"/>
  <c r="BH323" i="21"/>
  <c r="BH324" i="21"/>
  <c r="BH325" i="21"/>
  <c r="BH326" i="21"/>
  <c r="BH327" i="21"/>
  <c r="BI270" i="21"/>
  <c r="BI271" i="21"/>
  <c r="BI272" i="21"/>
  <c r="BI273" i="21"/>
  <c r="BI274" i="21"/>
  <c r="BI275" i="21"/>
  <c r="BI276" i="21"/>
  <c r="BI277" i="21"/>
  <c r="BI278" i="21"/>
  <c r="BI279" i="21"/>
  <c r="BF270" i="21"/>
  <c r="BF271" i="21"/>
  <c r="BF272" i="21"/>
  <c r="BF273" i="21"/>
  <c r="BF274" i="21"/>
  <c r="BF275" i="21"/>
  <c r="BF276" i="21"/>
  <c r="BF277" i="21"/>
  <c r="BF278" i="21"/>
  <c r="BF279" i="21"/>
  <c r="AH279" i="21"/>
  <c r="AH278" i="21"/>
  <c r="AH276" i="21"/>
  <c r="AH275" i="21"/>
  <c r="AH274" i="21"/>
  <c r="AH271" i="21"/>
  <c r="AH270" i="21"/>
  <c r="C13" i="24"/>
  <c r="C17" i="24"/>
  <c r="C21" i="24"/>
  <c r="C25" i="24"/>
  <c r="C28" i="24"/>
  <c r="C30" i="24"/>
  <c r="C32" i="24"/>
  <c r="C34" i="24"/>
  <c r="C36" i="24"/>
  <c r="C38" i="24"/>
  <c r="C40" i="24"/>
  <c r="C42" i="24"/>
  <c r="C44" i="24"/>
  <c r="C46" i="24"/>
  <c r="C48" i="24"/>
  <c r="BB210" i="8"/>
  <c r="AZ210" i="8"/>
  <c r="AY210" i="8"/>
  <c r="C45" i="24"/>
  <c r="C41" i="24"/>
  <c r="C37" i="24"/>
  <c r="C33" i="24"/>
  <c r="C29" i="24"/>
  <c r="C47" i="24"/>
  <c r="C43" i="24"/>
  <c r="C39" i="24"/>
  <c r="C35" i="24"/>
  <c r="C31" i="24"/>
  <c r="C27" i="24"/>
  <c r="C23" i="24"/>
  <c r="C19" i="24"/>
  <c r="C15" i="24"/>
  <c r="C26" i="24"/>
  <c r="C24" i="24"/>
  <c r="C22" i="24"/>
  <c r="C20" i="24"/>
  <c r="C18" i="24"/>
  <c r="C16" i="24"/>
  <c r="C14" i="24"/>
  <c r="C12" i="24"/>
  <c r="C11" i="24"/>
  <c r="AS281" i="21"/>
  <c r="AS282" i="21"/>
  <c r="AS283" i="21"/>
  <c r="AS284" i="21"/>
  <c r="AS285" i="21"/>
  <c r="AS286" i="21"/>
  <c r="AS287" i="21"/>
  <c r="AS288" i="21"/>
  <c r="AS289" i="21"/>
  <c r="AS290" i="21"/>
  <c r="AS291" i="21"/>
  <c r="AS292" i="21"/>
  <c r="AS293" i="21"/>
  <c r="AS294" i="21"/>
  <c r="AS295" i="21"/>
  <c r="AS296" i="21"/>
  <c r="AS297" i="21"/>
  <c r="AS298" i="21"/>
  <c r="AS299" i="21"/>
  <c r="AS300" i="21"/>
  <c r="AS301" i="21"/>
  <c r="AS302" i="21"/>
  <c r="AS303" i="21"/>
  <c r="AS304" i="21"/>
  <c r="AS305" i="21"/>
  <c r="AS280" i="21"/>
  <c r="F226" i="25"/>
  <c r="AH326" i="21"/>
  <c r="F227" i="25"/>
  <c r="AH327" i="21"/>
  <c r="B225" i="25"/>
  <c r="B226" i="25"/>
  <c r="B227" i="25"/>
  <c r="B228" i="25"/>
  <c r="B221" i="25"/>
  <c r="B217" i="25"/>
  <c r="B213" i="25"/>
  <c r="B205" i="25"/>
  <c r="B222" i="25"/>
  <c r="B214" i="25"/>
  <c r="B201" i="25"/>
  <c r="B197" i="25"/>
  <c r="B189" i="25"/>
  <c r="B181" i="25"/>
  <c r="F224" i="25"/>
  <c r="AH324" i="21"/>
  <c r="F222" i="25"/>
  <c r="AH322" i="21"/>
  <c r="F220" i="25"/>
  <c r="AH320" i="21"/>
  <c r="F218" i="25"/>
  <c r="AH318" i="21"/>
  <c r="F216" i="25"/>
  <c r="AH316" i="21"/>
  <c r="F214" i="25"/>
  <c r="AH314" i="21"/>
  <c r="B218" i="25"/>
  <c r="C310" i="21"/>
  <c r="B206" i="25"/>
  <c r="C302" i="21"/>
  <c r="B198" i="25"/>
  <c r="C294" i="21"/>
  <c r="B190" i="25"/>
  <c r="C286" i="21"/>
  <c r="B182" i="25"/>
  <c r="B223" i="25"/>
  <c r="C311" i="21"/>
  <c r="C303" i="21"/>
  <c r="C295" i="21"/>
  <c r="C287" i="21"/>
  <c r="B183" i="25"/>
  <c r="F225" i="25"/>
  <c r="AH325" i="21"/>
  <c r="F223" i="25"/>
  <c r="AH323" i="21"/>
  <c r="F221" i="25"/>
  <c r="AH321" i="21"/>
  <c r="F219" i="25"/>
  <c r="AH319" i="21"/>
  <c r="F217" i="25"/>
  <c r="AH317" i="21"/>
  <c r="F215" i="25"/>
  <c r="AH315" i="21"/>
  <c r="F213" i="25"/>
  <c r="AH313" i="21"/>
  <c r="F211" i="25"/>
  <c r="AH311" i="21"/>
  <c r="F209" i="25"/>
  <c r="AH309" i="21"/>
  <c r="F207" i="25"/>
  <c r="AH307" i="21"/>
  <c r="F205" i="25"/>
  <c r="AH305" i="21"/>
  <c r="F203" i="25"/>
  <c r="AH303" i="21"/>
  <c r="F201" i="25"/>
  <c r="AH301" i="21"/>
  <c r="F199" i="25"/>
  <c r="AH299" i="21"/>
  <c r="F197" i="25"/>
  <c r="AH297" i="21"/>
  <c r="F195" i="25"/>
  <c r="AH295" i="21"/>
  <c r="F193" i="25"/>
  <c r="AH293" i="21"/>
  <c r="F191" i="25"/>
  <c r="AH291" i="21"/>
  <c r="F189" i="25"/>
  <c r="AH289" i="21"/>
  <c r="F187" i="25"/>
  <c r="AH287" i="21"/>
  <c r="F185" i="25"/>
  <c r="AH285" i="21"/>
  <c r="F183" i="25"/>
  <c r="AH283" i="21"/>
  <c r="F181" i="25"/>
  <c r="AH281" i="21"/>
  <c r="C319" i="21"/>
  <c r="B212" i="25"/>
  <c r="B200" i="25"/>
  <c r="B196" i="25"/>
  <c r="B192" i="25"/>
  <c r="B188" i="25"/>
  <c r="B184" i="25"/>
  <c r="B180" i="25"/>
  <c r="C326" i="21"/>
  <c r="B215" i="25"/>
  <c r="F180" i="25"/>
  <c r="AH280" i="21"/>
  <c r="F212" i="25"/>
  <c r="AH312" i="21"/>
  <c r="F210" i="25"/>
  <c r="AH310" i="21"/>
  <c r="F208" i="25"/>
  <c r="AH308" i="21"/>
  <c r="F206" i="25"/>
  <c r="AH306" i="21"/>
  <c r="F204" i="25"/>
  <c r="AH304" i="21"/>
  <c r="F202" i="25"/>
  <c r="AH302" i="21"/>
  <c r="F200" i="25"/>
  <c r="AH300" i="21"/>
  <c r="F198" i="25"/>
  <c r="AH298" i="21"/>
  <c r="F196" i="25"/>
  <c r="AH296" i="21"/>
  <c r="F194" i="25"/>
  <c r="AH294" i="21"/>
  <c r="F192" i="25"/>
  <c r="AH292" i="21"/>
  <c r="F190" i="25"/>
  <c r="AH290" i="21"/>
  <c r="F188" i="25"/>
  <c r="AH288" i="21"/>
  <c r="F186" i="25"/>
  <c r="AH286" i="21"/>
  <c r="F184" i="25"/>
  <c r="AH284" i="21"/>
  <c r="F182" i="25"/>
  <c r="AH282" i="21"/>
  <c r="C318" i="21"/>
  <c r="B210" i="25"/>
  <c r="B202" i="25"/>
  <c r="B194" i="25"/>
  <c r="B186" i="25"/>
  <c r="C322" i="21"/>
  <c r="C314" i="21"/>
  <c r="C306" i="21"/>
  <c r="C298" i="21"/>
  <c r="C290" i="21"/>
  <c r="C282" i="21"/>
  <c r="B207" i="25"/>
  <c r="B199" i="25"/>
  <c r="B191" i="25"/>
  <c r="C321" i="21"/>
  <c r="C313" i="21"/>
  <c r="C305" i="21"/>
  <c r="C297" i="21"/>
  <c r="C289" i="21"/>
  <c r="C281" i="21"/>
  <c r="B220" i="25"/>
  <c r="B204" i="25"/>
  <c r="C280" i="21"/>
  <c r="C320" i="21"/>
  <c r="C312" i="21"/>
  <c r="C304" i="21"/>
  <c r="C296" i="21"/>
  <c r="C288" i="21"/>
  <c r="C328" i="21"/>
  <c r="B209" i="25"/>
  <c r="B193" i="25"/>
  <c r="B185" i="25"/>
  <c r="C327" i="21"/>
  <c r="B219" i="25"/>
  <c r="B211" i="25"/>
  <c r="B203" i="25"/>
  <c r="B195" i="25"/>
  <c r="B187" i="25"/>
  <c r="C325" i="21"/>
  <c r="C317" i="21"/>
  <c r="C309" i="21"/>
  <c r="C301" i="21"/>
  <c r="C293" i="21"/>
  <c r="C285" i="21"/>
  <c r="B224" i="25"/>
  <c r="B216" i="25"/>
  <c r="B208" i="25"/>
  <c r="C324" i="21"/>
  <c r="C316" i="21"/>
  <c r="C308" i="21"/>
  <c r="C300" i="21"/>
  <c r="C292" i="21"/>
  <c r="C284" i="21"/>
  <c r="C323" i="21"/>
  <c r="C315" i="21"/>
  <c r="C307" i="21"/>
  <c r="C299" i="21"/>
  <c r="C291" i="21"/>
  <c r="C283" i="21"/>
  <c r="BI53" i="6"/>
  <c r="BI54" i="6"/>
  <c r="BI55" i="6"/>
  <c r="AQ53" i="6"/>
  <c r="AQ54" i="6"/>
  <c r="AQ55" i="6"/>
  <c r="AQ56" i="6"/>
  <c r="AT50" i="6"/>
  <c r="AS50" i="6"/>
  <c r="AQ50" i="6"/>
  <c r="AQ46" i="6"/>
  <c r="AQ47" i="6"/>
  <c r="AQ48" i="6"/>
  <c r="AS46" i="6"/>
  <c r="AS47" i="6"/>
  <c r="AS48" i="6"/>
  <c r="AT46" i="6"/>
  <c r="AT47" i="6"/>
  <c r="AT48" i="6"/>
  <c r="AU46" i="6"/>
  <c r="AU47" i="6"/>
  <c r="AU48" i="6"/>
  <c r="AR46" i="6"/>
  <c r="AR47" i="6"/>
  <c r="AR48" i="6"/>
  <c r="Q80" i="6"/>
  <c r="Q81" i="6"/>
  <c r="Q82" i="6"/>
  <c r="Q83" i="6"/>
  <c r="S183" i="25"/>
  <c r="R183" i="25"/>
  <c r="S228" i="25"/>
  <c r="S227" i="25"/>
  <c r="R227" i="25"/>
  <c r="S161" i="25"/>
  <c r="R161" i="25"/>
  <c r="S162" i="25"/>
  <c r="R162" i="25"/>
  <c r="S163" i="25"/>
  <c r="R163" i="25"/>
  <c r="S164" i="25"/>
  <c r="R164" i="25"/>
  <c r="S165" i="25"/>
  <c r="R165" i="25"/>
  <c r="S166" i="25"/>
  <c r="S167" i="25"/>
  <c r="S168" i="25"/>
  <c r="S169" i="25"/>
  <c r="R169" i="25"/>
  <c r="S170" i="25"/>
  <c r="R170" i="25"/>
  <c r="S171" i="25"/>
  <c r="R171" i="25"/>
  <c r="S172" i="25"/>
  <c r="R172" i="25"/>
  <c r="S173" i="25"/>
  <c r="S174" i="25"/>
  <c r="S175" i="25"/>
  <c r="R175" i="25"/>
  <c r="S176" i="25"/>
  <c r="R176" i="25"/>
  <c r="S177" i="25"/>
  <c r="R177" i="25"/>
  <c r="S178" i="25"/>
  <c r="R178" i="25"/>
  <c r="S179" i="25"/>
  <c r="R179" i="25"/>
  <c r="S180" i="25"/>
  <c r="R180" i="25"/>
  <c r="S181" i="25"/>
  <c r="S182" i="25"/>
  <c r="S184" i="25"/>
  <c r="R184" i="25"/>
  <c r="S185" i="25"/>
  <c r="R185" i="25"/>
  <c r="S186" i="25"/>
  <c r="R186" i="25"/>
  <c r="S187" i="25"/>
  <c r="R187" i="25"/>
  <c r="S188" i="25"/>
  <c r="R188" i="25"/>
  <c r="S189" i="25"/>
  <c r="R189" i="25"/>
  <c r="S190" i="25"/>
  <c r="R190" i="25"/>
  <c r="S191" i="25"/>
  <c r="R191" i="25"/>
  <c r="S192" i="25"/>
  <c r="R192" i="25"/>
  <c r="S193" i="25"/>
  <c r="R193" i="25"/>
  <c r="S194" i="25"/>
  <c r="R194" i="25"/>
  <c r="S195" i="25"/>
  <c r="R195" i="25"/>
  <c r="S196" i="25"/>
  <c r="R196" i="25"/>
  <c r="S197" i="25"/>
  <c r="R197" i="25"/>
  <c r="S198" i="25"/>
  <c r="R198" i="25"/>
  <c r="S199" i="25"/>
  <c r="R199" i="25"/>
  <c r="S200" i="25"/>
  <c r="R200" i="25"/>
  <c r="S201" i="25"/>
  <c r="S202" i="25"/>
  <c r="S203" i="25"/>
  <c r="R203" i="25"/>
  <c r="S204" i="25"/>
  <c r="R204" i="25"/>
  <c r="S205" i="25"/>
  <c r="R205" i="25"/>
  <c r="S206" i="25"/>
  <c r="R206" i="25"/>
  <c r="S207" i="25"/>
  <c r="R207" i="25"/>
  <c r="S208" i="25"/>
  <c r="R208" i="25"/>
  <c r="S209" i="25"/>
  <c r="R209" i="25"/>
  <c r="S210" i="25"/>
  <c r="R210" i="25"/>
  <c r="S211" i="25"/>
  <c r="R211" i="25"/>
  <c r="S212" i="25"/>
  <c r="R212" i="25"/>
  <c r="S213" i="25"/>
  <c r="R213" i="25"/>
  <c r="S214" i="25"/>
  <c r="R214" i="25"/>
  <c r="S215" i="25"/>
  <c r="R215" i="25"/>
  <c r="S216" i="25"/>
  <c r="R216" i="25"/>
  <c r="S217" i="25"/>
  <c r="R217" i="25"/>
  <c r="S218" i="25"/>
  <c r="R218" i="25"/>
  <c r="S219" i="25"/>
  <c r="R219" i="25"/>
  <c r="S220" i="25"/>
  <c r="R220" i="25"/>
  <c r="S221" i="25"/>
  <c r="R221" i="25"/>
  <c r="S222" i="25"/>
  <c r="R222" i="25"/>
  <c r="S223" i="25"/>
  <c r="R223" i="25"/>
  <c r="S224" i="25"/>
  <c r="R224" i="25"/>
  <c r="S225" i="25"/>
  <c r="R225" i="25"/>
  <c r="S226" i="25"/>
  <c r="R226" i="25"/>
  <c r="S111" i="25"/>
  <c r="AZ211" i="8"/>
  <c r="BA211" i="8"/>
  <c r="X111" i="25"/>
  <c r="BB211" i="8"/>
  <c r="S112" i="25"/>
  <c r="AY212" i="8"/>
  <c r="AZ212" i="8"/>
  <c r="X112" i="25"/>
  <c r="BB212" i="8"/>
  <c r="BC212" i="8"/>
  <c r="X113" i="25"/>
  <c r="BB213" i="8"/>
  <c r="S114" i="25"/>
  <c r="AZ214" i="8"/>
  <c r="BA214" i="8"/>
  <c r="X114" i="25"/>
  <c r="BB214" i="8"/>
  <c r="S115" i="25"/>
  <c r="AZ215" i="8"/>
  <c r="BA215" i="8"/>
  <c r="X115" i="25"/>
  <c r="BB215" i="8"/>
  <c r="S116" i="25"/>
  <c r="AZ216" i="8"/>
  <c r="BA216" i="8"/>
  <c r="X116" i="25"/>
  <c r="BB216" i="8"/>
  <c r="S117" i="25"/>
  <c r="AY217" i="8"/>
  <c r="BA217" i="8"/>
  <c r="X117" i="25"/>
  <c r="BB217" i="8"/>
  <c r="S118" i="25"/>
  <c r="AZ218" i="8"/>
  <c r="X118" i="25"/>
  <c r="BB218" i="8"/>
  <c r="S119" i="25"/>
  <c r="X119" i="25"/>
  <c r="R119" i="25"/>
  <c r="AZ219" i="8"/>
  <c r="BA219" i="8"/>
  <c r="BB219" i="8"/>
  <c r="S120" i="25"/>
  <c r="AZ220" i="8"/>
  <c r="X120" i="25"/>
  <c r="BB220" i="8"/>
  <c r="S121" i="25"/>
  <c r="AZ221" i="8"/>
  <c r="BA221" i="8"/>
  <c r="X121" i="25"/>
  <c r="S122" i="25"/>
  <c r="BA222" i="8"/>
  <c r="X122" i="25"/>
  <c r="BB222" i="8"/>
  <c r="S123" i="25"/>
  <c r="AZ223" i="8"/>
  <c r="BA223" i="8"/>
  <c r="AG223" i="8"/>
  <c r="AS223" i="8"/>
  <c r="X123" i="25"/>
  <c r="BB223" i="8"/>
  <c r="S124" i="25"/>
  <c r="X124" i="25"/>
  <c r="R124" i="25"/>
  <c r="S125" i="25"/>
  <c r="X125" i="25"/>
  <c r="S126" i="25"/>
  <c r="X126" i="25"/>
  <c r="R126" i="25"/>
  <c r="S127" i="25"/>
  <c r="X127" i="25"/>
  <c r="S128" i="25"/>
  <c r="X128" i="25"/>
  <c r="R128" i="25"/>
  <c r="S129" i="25"/>
  <c r="X129" i="25"/>
  <c r="S130" i="25"/>
  <c r="X130" i="25"/>
  <c r="R130" i="25"/>
  <c r="S131" i="25"/>
  <c r="X131" i="25"/>
  <c r="S132" i="25"/>
  <c r="X132" i="25"/>
  <c r="R132" i="25"/>
  <c r="S133" i="25"/>
  <c r="X133" i="25"/>
  <c r="S134" i="25"/>
  <c r="X134" i="25"/>
  <c r="R134" i="25"/>
  <c r="S135" i="25"/>
  <c r="X135" i="25"/>
  <c r="S136" i="25"/>
  <c r="X136" i="25"/>
  <c r="R136" i="25"/>
  <c r="S137" i="25"/>
  <c r="X137" i="25"/>
  <c r="S138" i="25"/>
  <c r="X138" i="25"/>
  <c r="S139" i="25"/>
  <c r="X139" i="25"/>
  <c r="S140" i="25"/>
  <c r="X140" i="25"/>
  <c r="S141" i="25"/>
  <c r="X141" i="25"/>
  <c r="S142" i="25"/>
  <c r="X142" i="25"/>
  <c r="S143" i="25"/>
  <c r="X143" i="25"/>
  <c r="S144" i="25"/>
  <c r="X144" i="25"/>
  <c r="R144" i="25"/>
  <c r="S145" i="25"/>
  <c r="X145" i="25"/>
  <c r="S146" i="25"/>
  <c r="X146" i="25"/>
  <c r="R146" i="25"/>
  <c r="S147" i="25"/>
  <c r="X147" i="25"/>
  <c r="X148" i="25"/>
  <c r="S148" i="25"/>
  <c r="M211" i="21"/>
  <c r="M213" i="21"/>
  <c r="M216" i="21"/>
  <c r="M219" i="21"/>
  <c r="M226" i="21"/>
  <c r="M235" i="21"/>
  <c r="M242" i="21"/>
  <c r="M246" i="21"/>
  <c r="M210" i="9"/>
  <c r="L210" i="9"/>
  <c r="AR210" i="21"/>
  <c r="K210" i="9"/>
  <c r="B210" i="21"/>
  <c r="M210" i="21"/>
  <c r="J210" i="9"/>
  <c r="AG210" i="21"/>
  <c r="M233" i="21"/>
  <c r="M247" i="21"/>
  <c r="S38" i="2"/>
  <c r="S33" i="23"/>
  <c r="S34" i="2"/>
  <c r="S29" i="23"/>
  <c r="S30" i="2"/>
  <c r="S25" i="23"/>
  <c r="S28" i="2"/>
  <c r="S23" i="23"/>
  <c r="R139" i="25"/>
  <c r="R137" i="25"/>
  <c r="AY222" i="8"/>
  <c r="AY216" i="8"/>
  <c r="R112" i="25"/>
  <c r="BA210" i="8"/>
  <c r="AY223" i="8"/>
  <c r="AY221" i="8"/>
  <c r="R117" i="25"/>
  <c r="AY215" i="8"/>
  <c r="R114" i="25"/>
  <c r="AY214" i="8"/>
  <c r="BC214" i="8"/>
  <c r="R142" i="25"/>
  <c r="R228" i="25"/>
  <c r="R141" i="25"/>
  <c r="R201" i="25"/>
  <c r="R182" i="25"/>
  <c r="R174" i="25"/>
  <c r="R181" i="25"/>
  <c r="R173" i="25"/>
  <c r="R166" i="25"/>
  <c r="R168" i="25"/>
  <c r="R167" i="25"/>
  <c r="R202" i="25"/>
  <c r="C10" i="24"/>
  <c r="Q38" i="23"/>
  <c r="Q32" i="23"/>
  <c r="Q35" i="23"/>
  <c r="Q31" i="23"/>
  <c r="Q28" i="23"/>
  <c r="Q44" i="23"/>
  <c r="Q47" i="23"/>
  <c r="Q37" i="23"/>
  <c r="Q39" i="23"/>
  <c r="Q42" i="23"/>
  <c r="Q46" i="23"/>
  <c r="Q26" i="23"/>
  <c r="Q33" i="23"/>
  <c r="Q24" i="23"/>
  <c r="Q10" i="23"/>
  <c r="Q18" i="23"/>
  <c r="Q13" i="23"/>
  <c r="Q21" i="23"/>
  <c r="Q30" i="23"/>
  <c r="Q27" i="23"/>
  <c r="Q36" i="23"/>
  <c r="Q40" i="23"/>
  <c r="Q43" i="23"/>
  <c r="Q45" i="23"/>
  <c r="Q11" i="23"/>
  <c r="Q48" i="23"/>
  <c r="Q34" i="23"/>
  <c r="Q14" i="23"/>
  <c r="Q25" i="23"/>
  <c r="Q41" i="23"/>
  <c r="Q17" i="23"/>
  <c r="Q22" i="23"/>
  <c r="Q23" i="23"/>
  <c r="Q19" i="23"/>
  <c r="Q15" i="23"/>
  <c r="Q29" i="23"/>
  <c r="Q12" i="23"/>
  <c r="Q16" i="23"/>
  <c r="Q20" i="23"/>
  <c r="BM228" i="21"/>
  <c r="BM227" i="21"/>
  <c r="BM226" i="21"/>
  <c r="BM225" i="21"/>
  <c r="BM224" i="21"/>
  <c r="BM223" i="21"/>
  <c r="BM222" i="21"/>
  <c r="BM221" i="21"/>
  <c r="BM220" i="21"/>
  <c r="BM219" i="21"/>
  <c r="BM218" i="21"/>
  <c r="BM217" i="21"/>
  <c r="BM216" i="21"/>
  <c r="BM215" i="21"/>
  <c r="BM214" i="21"/>
  <c r="BM213" i="21"/>
  <c r="BM212" i="21"/>
  <c r="BM211" i="21"/>
  <c r="BM210" i="21"/>
  <c r="BM209" i="21"/>
  <c r="BM208" i="21"/>
  <c r="BM207" i="21"/>
  <c r="BM206" i="21"/>
  <c r="BM205" i="21"/>
  <c r="BM204" i="21"/>
  <c r="BM203" i="21"/>
  <c r="BM202" i="21"/>
  <c r="BM201" i="21"/>
  <c r="BM200" i="21"/>
  <c r="BM199" i="21"/>
  <c r="BM198" i="21"/>
  <c r="BM197" i="21"/>
  <c r="BM196" i="21"/>
  <c r="BM195" i="21"/>
  <c r="BM194" i="21"/>
  <c r="BM193" i="21"/>
  <c r="BM192" i="21"/>
  <c r="BM191" i="21"/>
  <c r="BM190" i="21"/>
  <c r="BM189" i="21"/>
  <c r="BM188" i="21"/>
  <c r="BM187" i="21"/>
  <c r="BM186" i="21"/>
  <c r="BM185" i="21"/>
  <c r="BM184" i="21"/>
  <c r="BM183" i="21"/>
  <c r="BM182" i="21"/>
  <c r="BM181" i="21"/>
  <c r="BM180" i="21"/>
  <c r="BM229" i="21"/>
  <c r="O71" i="12"/>
  <c r="BG191" i="21"/>
  <c r="BG225" i="21"/>
  <c r="BG226" i="21"/>
  <c r="BG227" i="21"/>
  <c r="BG228" i="21"/>
  <c r="BG229" i="21"/>
  <c r="BG230" i="21"/>
  <c r="AG211" i="8"/>
  <c r="AF223" i="8"/>
  <c r="AR223" i="8"/>
  <c r="BC213" i="8"/>
  <c r="N328" i="21"/>
  <c r="AF328" i="21"/>
  <c r="AQ328" i="21"/>
  <c r="BB328" i="21"/>
  <c r="N327" i="21"/>
  <c r="AF327" i="21"/>
  <c r="AQ327" i="21"/>
  <c r="BB327" i="21"/>
  <c r="N326" i="21"/>
  <c r="AF326" i="21"/>
  <c r="AQ326" i="21"/>
  <c r="BB326" i="21"/>
  <c r="N325" i="21"/>
  <c r="AF325" i="21"/>
  <c r="AQ325" i="21"/>
  <c r="BB325" i="21"/>
  <c r="N324" i="21"/>
  <c r="AF324" i="21"/>
  <c r="AQ324" i="21"/>
  <c r="BB324" i="21"/>
  <c r="N323" i="21"/>
  <c r="AF323" i="21"/>
  <c r="AQ323" i="21"/>
  <c r="BB323" i="21"/>
  <c r="N322" i="21"/>
  <c r="AF322" i="21"/>
  <c r="AQ322" i="21"/>
  <c r="BB322" i="21"/>
  <c r="N321" i="21"/>
  <c r="AF321" i="21"/>
  <c r="AQ321" i="21"/>
  <c r="BB321" i="21"/>
  <c r="N320" i="21"/>
  <c r="AF320" i="21"/>
  <c r="AQ320" i="21"/>
  <c r="BB320" i="21"/>
  <c r="N319" i="21"/>
  <c r="AF319" i="21"/>
  <c r="AQ319" i="21"/>
  <c r="BB319" i="21"/>
  <c r="N318" i="21"/>
  <c r="AF318" i="21"/>
  <c r="AQ318" i="21"/>
  <c r="BB318" i="21"/>
  <c r="N317" i="21"/>
  <c r="AF317" i="21"/>
  <c r="AQ317" i="21"/>
  <c r="BB317" i="21"/>
  <c r="N316" i="21"/>
  <c r="AF316" i="21"/>
  <c r="AQ316" i="21"/>
  <c r="BB316" i="21"/>
  <c r="N315" i="21"/>
  <c r="AF315" i="21"/>
  <c r="AQ315" i="21"/>
  <c r="BB315" i="21"/>
  <c r="N314" i="21"/>
  <c r="AF314" i="21"/>
  <c r="AQ314" i="21"/>
  <c r="BB314" i="21"/>
  <c r="N313" i="21"/>
  <c r="AF313" i="21"/>
  <c r="AQ313" i="21"/>
  <c r="BB313" i="21"/>
  <c r="N312" i="21"/>
  <c r="AF312" i="21"/>
  <c r="AQ312" i="21"/>
  <c r="BB312" i="21"/>
  <c r="N311" i="21"/>
  <c r="AF311" i="21"/>
  <c r="AQ311" i="21"/>
  <c r="BB311" i="21"/>
  <c r="N310" i="21"/>
  <c r="AF310" i="21"/>
  <c r="AQ310" i="21"/>
  <c r="BB310" i="21"/>
  <c r="AN107" i="15"/>
  <c r="AN108" i="15"/>
  <c r="AN109" i="15"/>
  <c r="AN110" i="15"/>
  <c r="AN111" i="15"/>
  <c r="AN112" i="15"/>
  <c r="AN113" i="15"/>
  <c r="AN114" i="15"/>
  <c r="AN115" i="15"/>
  <c r="AN116" i="15"/>
  <c r="AN117" i="15"/>
  <c r="AN118" i="15"/>
  <c r="AN119" i="15"/>
  <c r="AN120" i="15"/>
  <c r="AN121" i="15"/>
  <c r="AN122" i="15"/>
  <c r="AN123" i="15"/>
  <c r="AN124" i="15"/>
  <c r="AN125" i="15"/>
  <c r="AN126" i="15"/>
  <c r="AN127" i="15"/>
  <c r="AN128" i="15"/>
  <c r="AN129" i="15"/>
  <c r="AN130" i="15"/>
  <c r="AN131" i="15"/>
  <c r="AN132" i="15"/>
  <c r="AN133" i="15"/>
  <c r="AN134" i="15"/>
  <c r="AN135" i="15"/>
  <c r="AN136" i="15"/>
  <c r="AN137" i="15"/>
  <c r="AN138" i="15"/>
  <c r="AJ110" i="15"/>
  <c r="AK110" i="15"/>
  <c r="AL110" i="15"/>
  <c r="AJ111" i="15"/>
  <c r="AK111" i="15"/>
  <c r="AL111" i="15"/>
  <c r="AJ112" i="15"/>
  <c r="AK112" i="15"/>
  <c r="AL112" i="15"/>
  <c r="AJ113" i="15"/>
  <c r="AK113" i="15"/>
  <c r="AL113" i="15"/>
  <c r="AJ114" i="15"/>
  <c r="AK114" i="15"/>
  <c r="AL114" i="15"/>
  <c r="AJ115" i="15"/>
  <c r="AK115" i="15"/>
  <c r="AL115" i="15"/>
  <c r="AJ116" i="15"/>
  <c r="AK116" i="15"/>
  <c r="AL116" i="15"/>
  <c r="AJ117" i="15"/>
  <c r="AK117" i="15"/>
  <c r="AL117" i="15"/>
  <c r="AJ118" i="15"/>
  <c r="AK118" i="15"/>
  <c r="AL118" i="15"/>
  <c r="AJ119" i="15"/>
  <c r="AK119" i="15"/>
  <c r="AL119" i="15"/>
  <c r="AJ120" i="15"/>
  <c r="AK120" i="15"/>
  <c r="AL120" i="15"/>
  <c r="AJ121" i="15"/>
  <c r="AK121" i="15"/>
  <c r="AL121" i="15"/>
  <c r="AJ122" i="15"/>
  <c r="AK122" i="15"/>
  <c r="AL122" i="15"/>
  <c r="AJ123" i="15"/>
  <c r="AK123" i="15"/>
  <c r="AL123" i="15"/>
  <c r="AJ124" i="15"/>
  <c r="AK124" i="15"/>
  <c r="AL124" i="15"/>
  <c r="AJ125" i="15"/>
  <c r="AK125" i="15"/>
  <c r="AL125" i="15"/>
  <c r="AJ126" i="15"/>
  <c r="AK126" i="15"/>
  <c r="AL126" i="15"/>
  <c r="AJ127" i="15"/>
  <c r="AK127" i="15"/>
  <c r="AL127" i="15"/>
  <c r="AJ128" i="15"/>
  <c r="AK128" i="15"/>
  <c r="AL128" i="15"/>
  <c r="AJ129" i="15"/>
  <c r="AK129" i="15"/>
  <c r="AL129" i="15"/>
  <c r="AJ130" i="15"/>
  <c r="AK130" i="15"/>
  <c r="AL130" i="15"/>
  <c r="AJ131" i="15"/>
  <c r="AK131" i="15"/>
  <c r="AL131" i="15"/>
  <c r="AJ132" i="15"/>
  <c r="AK132" i="15"/>
  <c r="AL132" i="15"/>
  <c r="AJ133" i="15"/>
  <c r="AK133" i="15"/>
  <c r="AL133" i="15"/>
  <c r="AJ134" i="15"/>
  <c r="AK134" i="15"/>
  <c r="AL134" i="15"/>
  <c r="AJ135" i="15"/>
  <c r="AK135" i="15"/>
  <c r="AL135" i="15"/>
  <c r="AJ136" i="15"/>
  <c r="AK136" i="15"/>
  <c r="AL136" i="15"/>
  <c r="AL137" i="15"/>
  <c r="AK137" i="15"/>
  <c r="AJ137" i="15"/>
  <c r="AL138" i="15"/>
  <c r="AK138" i="15"/>
  <c r="AJ138" i="15"/>
  <c r="AE40" i="15"/>
  <c r="V136" i="15"/>
  <c r="V135" i="15"/>
  <c r="V134" i="15"/>
  <c r="V133" i="15"/>
  <c r="V132" i="15"/>
  <c r="V131" i="15"/>
  <c r="V130" i="15"/>
  <c r="U129" i="15"/>
  <c r="U128" i="15"/>
  <c r="U127" i="15"/>
  <c r="U126" i="15"/>
  <c r="U125" i="15"/>
  <c r="U124" i="15"/>
  <c r="U123" i="15"/>
  <c r="L89" i="15"/>
  <c r="L88" i="15"/>
  <c r="L87" i="15"/>
  <c r="L86" i="15"/>
  <c r="AI85" i="15"/>
  <c r="J55" i="18"/>
  <c r="F275" i="22"/>
  <c r="S85" i="15"/>
  <c r="R85" i="15"/>
  <c r="Q85" i="15"/>
  <c r="P85" i="15"/>
  <c r="O85" i="15"/>
  <c r="N85" i="15"/>
  <c r="L85" i="15"/>
  <c r="AM84" i="15"/>
  <c r="AI84" i="15"/>
  <c r="J54" i="18"/>
  <c r="F274" i="22"/>
  <c r="AH84" i="15"/>
  <c r="AF84" i="15"/>
  <c r="AE84" i="15"/>
  <c r="S84" i="15"/>
  <c r="R84" i="15"/>
  <c r="Q84" i="15"/>
  <c r="P84" i="15"/>
  <c r="O84" i="15"/>
  <c r="N84" i="15"/>
  <c r="E84" i="15"/>
  <c r="D84" i="15"/>
  <c r="C84" i="15"/>
  <c r="B84" i="15"/>
  <c r="AM83" i="15"/>
  <c r="AI83" i="15"/>
  <c r="J53" i="18"/>
  <c r="F273" i="22"/>
  <c r="AH83" i="15"/>
  <c r="E273" i="22"/>
  <c r="AF83" i="15"/>
  <c r="AE83" i="15"/>
  <c r="AD83" i="15"/>
  <c r="S83" i="15"/>
  <c r="R83" i="15"/>
  <c r="Q83" i="15"/>
  <c r="P83" i="15"/>
  <c r="O83" i="15"/>
  <c r="N83" i="15"/>
  <c r="E83" i="15"/>
  <c r="D83" i="15"/>
  <c r="C83" i="15"/>
  <c r="B83" i="15"/>
  <c r="AM82" i="15"/>
  <c r="AI82" i="15"/>
  <c r="J52" i="18"/>
  <c r="F272" i="22"/>
  <c r="AH82" i="15"/>
  <c r="E272" i="22"/>
  <c r="AF82" i="15"/>
  <c r="AE82" i="15"/>
  <c r="AD82" i="15"/>
  <c r="S82" i="15"/>
  <c r="R82" i="15"/>
  <c r="Q82" i="15"/>
  <c r="P82" i="15"/>
  <c r="O82" i="15"/>
  <c r="N82" i="15"/>
  <c r="E82" i="15"/>
  <c r="D82" i="15"/>
  <c r="C82" i="15"/>
  <c r="AM81" i="15"/>
  <c r="AI81" i="15"/>
  <c r="J51" i="18"/>
  <c r="F271" i="22"/>
  <c r="AH81" i="15"/>
  <c r="AF81" i="15"/>
  <c r="AE81" i="15"/>
  <c r="S81" i="15"/>
  <c r="R81" i="15"/>
  <c r="Q81" i="15"/>
  <c r="P81" i="15"/>
  <c r="O81" i="15"/>
  <c r="N81" i="15"/>
  <c r="E81" i="15"/>
  <c r="D81" i="15"/>
  <c r="C81" i="15"/>
  <c r="B81" i="15"/>
  <c r="AI80" i="15"/>
  <c r="AH80" i="15"/>
  <c r="E270" i="22"/>
  <c r="S80" i="15"/>
  <c r="R80" i="15"/>
  <c r="Q80" i="15"/>
  <c r="P80" i="15"/>
  <c r="O80" i="15"/>
  <c r="N80" i="15"/>
  <c r="L80" i="15"/>
  <c r="D80" i="15"/>
  <c r="AM79" i="15"/>
  <c r="AI79" i="15"/>
  <c r="J49" i="18"/>
  <c r="F269" i="22"/>
  <c r="AH79" i="15"/>
  <c r="E269" i="22"/>
  <c r="AF79" i="15"/>
  <c r="AE79" i="15"/>
  <c r="S79" i="15"/>
  <c r="G79" i="15"/>
  <c r="R79" i="15"/>
  <c r="Q79" i="15"/>
  <c r="P79" i="15"/>
  <c r="O79" i="15"/>
  <c r="N79" i="15"/>
  <c r="E79" i="15"/>
  <c r="D79" i="15"/>
  <c r="C79" i="15"/>
  <c r="AM78" i="15"/>
  <c r="AI78" i="15"/>
  <c r="J48" i="18"/>
  <c r="F268" i="22"/>
  <c r="AH78" i="15"/>
  <c r="E268" i="22"/>
  <c r="AF78" i="15"/>
  <c r="BM268" i="21"/>
  <c r="AE78" i="15"/>
  <c r="S78" i="15"/>
  <c r="G78" i="15"/>
  <c r="R78" i="15"/>
  <c r="Q78" i="15"/>
  <c r="P78" i="15"/>
  <c r="O78" i="15"/>
  <c r="N78" i="15"/>
  <c r="E78" i="15"/>
  <c r="D78" i="15"/>
  <c r="C78" i="15"/>
  <c r="B78" i="15"/>
  <c r="AM77" i="15"/>
  <c r="AI77" i="15"/>
  <c r="J47" i="18"/>
  <c r="F267" i="22"/>
  <c r="AH77" i="15"/>
  <c r="E267" i="22"/>
  <c r="AF77" i="15"/>
  <c r="BM267" i="21"/>
  <c r="AE77" i="15"/>
  <c r="AD77" i="15"/>
  <c r="S77" i="15"/>
  <c r="G77" i="15"/>
  <c r="R77" i="15"/>
  <c r="Q77" i="15"/>
  <c r="P77" i="15"/>
  <c r="O77" i="15"/>
  <c r="N77" i="15"/>
  <c r="E77" i="15"/>
  <c r="D77" i="15"/>
  <c r="C77" i="15"/>
  <c r="B77" i="15"/>
  <c r="AM76" i="15"/>
  <c r="AI76" i="15"/>
  <c r="J46" i="18"/>
  <c r="F266" i="22"/>
  <c r="AH76" i="15"/>
  <c r="E266" i="22"/>
  <c r="AF76" i="15"/>
  <c r="AE76" i="15"/>
  <c r="S76" i="15"/>
  <c r="G76" i="15"/>
  <c r="R76" i="15"/>
  <c r="Q76" i="15"/>
  <c r="P76" i="15"/>
  <c r="O76" i="15"/>
  <c r="N76" i="15"/>
  <c r="E76" i="15"/>
  <c r="D76" i="15"/>
  <c r="C76" i="15"/>
  <c r="B76" i="15"/>
  <c r="AM75" i="15"/>
  <c r="AI75" i="15"/>
  <c r="AF75" i="15"/>
  <c r="BM265" i="21"/>
  <c r="AE75" i="15"/>
  <c r="S75" i="15"/>
  <c r="G75" i="15"/>
  <c r="R75" i="15"/>
  <c r="Q75" i="15"/>
  <c r="P75" i="15"/>
  <c r="O75" i="15"/>
  <c r="N75" i="15"/>
  <c r="E75" i="15"/>
  <c r="D75" i="15"/>
  <c r="C75" i="15"/>
  <c r="AM74" i="15"/>
  <c r="AI74" i="15"/>
  <c r="J44" i="18"/>
  <c r="F264" i="22"/>
  <c r="AF74" i="15"/>
  <c r="AE74" i="15"/>
  <c r="S74" i="15"/>
  <c r="G74" i="15"/>
  <c r="R74" i="15"/>
  <c r="Q74" i="15"/>
  <c r="P74" i="15"/>
  <c r="O74" i="15"/>
  <c r="N74" i="15"/>
  <c r="E74" i="15"/>
  <c r="D74" i="15"/>
  <c r="C74" i="15"/>
  <c r="AM73" i="15"/>
  <c r="AI73" i="15"/>
  <c r="J43" i="18"/>
  <c r="F263" i="22"/>
  <c r="AF73" i="15"/>
  <c r="BM263" i="21"/>
  <c r="AE73" i="15"/>
  <c r="S73" i="15"/>
  <c r="G73" i="15"/>
  <c r="R73" i="15"/>
  <c r="Q73" i="15"/>
  <c r="P73" i="15"/>
  <c r="O73" i="15"/>
  <c r="N73" i="15"/>
  <c r="E73" i="15"/>
  <c r="D73" i="15"/>
  <c r="C73" i="15"/>
  <c r="AM72" i="15"/>
  <c r="AI72" i="15"/>
  <c r="J42" i="18"/>
  <c r="F262" i="22"/>
  <c r="AF72" i="15"/>
  <c r="BM262" i="21"/>
  <c r="AE72" i="15"/>
  <c r="S72" i="15"/>
  <c r="G72" i="15"/>
  <c r="R72" i="15"/>
  <c r="Q72" i="15"/>
  <c r="P72" i="15"/>
  <c r="O72" i="15"/>
  <c r="N72" i="15"/>
  <c r="E72" i="15"/>
  <c r="D72" i="15"/>
  <c r="C72" i="15"/>
  <c r="B72" i="15"/>
  <c r="AM71" i="15"/>
  <c r="AI71" i="15"/>
  <c r="J41" i="18"/>
  <c r="F261" i="22"/>
  <c r="AF71" i="15"/>
  <c r="AE71" i="15"/>
  <c r="S71" i="15"/>
  <c r="G71" i="15"/>
  <c r="R71" i="15"/>
  <c r="Q71" i="15"/>
  <c r="P71" i="15"/>
  <c r="O71" i="15"/>
  <c r="N71" i="15"/>
  <c r="E71" i="15"/>
  <c r="D71" i="15"/>
  <c r="C71" i="15"/>
  <c r="B71" i="15"/>
  <c r="AM70" i="15"/>
  <c r="AI70" i="15"/>
  <c r="J40" i="18"/>
  <c r="F260" i="22"/>
  <c r="AF70" i="15"/>
  <c r="BM260" i="21"/>
  <c r="AE70" i="15"/>
  <c r="AD70" i="15"/>
  <c r="S70" i="15"/>
  <c r="G70" i="15"/>
  <c r="R70" i="15"/>
  <c r="Q70" i="15"/>
  <c r="P70" i="15"/>
  <c r="O70" i="15"/>
  <c r="N70" i="15"/>
  <c r="E70" i="15"/>
  <c r="C70" i="15"/>
  <c r="AM69" i="15"/>
  <c r="AI69" i="15"/>
  <c r="J39" i="18"/>
  <c r="F259" i="22"/>
  <c r="AF69" i="15"/>
  <c r="BM259" i="21"/>
  <c r="AE69" i="15"/>
  <c r="AD69" i="15"/>
  <c r="S69" i="15"/>
  <c r="G69" i="15"/>
  <c r="R69" i="15"/>
  <c r="Q69" i="15"/>
  <c r="P69" i="15"/>
  <c r="O69" i="15"/>
  <c r="N69" i="15"/>
  <c r="E69" i="15"/>
  <c r="C69" i="15"/>
  <c r="AM68" i="15"/>
  <c r="AI68" i="15"/>
  <c r="J38" i="18"/>
  <c r="F258" i="22"/>
  <c r="AF68" i="15"/>
  <c r="AE68" i="15"/>
  <c r="S68" i="15"/>
  <c r="G68" i="15"/>
  <c r="R68" i="15"/>
  <c r="Q68" i="15"/>
  <c r="P68" i="15"/>
  <c r="O68" i="15"/>
  <c r="N68" i="15"/>
  <c r="E68" i="15"/>
  <c r="C68" i="15"/>
  <c r="B68" i="15"/>
  <c r="AM67" i="15"/>
  <c r="AI67" i="15"/>
  <c r="J37" i="18"/>
  <c r="F257" i="22"/>
  <c r="AF67" i="15"/>
  <c r="AE67" i="15"/>
  <c r="S67" i="15"/>
  <c r="G67" i="15"/>
  <c r="R67" i="15"/>
  <c r="Q67" i="15"/>
  <c r="P67" i="15"/>
  <c r="O67" i="15"/>
  <c r="N67" i="15"/>
  <c r="E67" i="15"/>
  <c r="C67" i="15"/>
  <c r="B67" i="15"/>
  <c r="AM66" i="15"/>
  <c r="AI66" i="15"/>
  <c r="J36" i="18"/>
  <c r="F256" i="22"/>
  <c r="AF66" i="15"/>
  <c r="AE66" i="15"/>
  <c r="S66" i="15"/>
  <c r="G66" i="15"/>
  <c r="R66" i="15"/>
  <c r="Q66" i="15"/>
  <c r="P66" i="15"/>
  <c r="O66" i="15"/>
  <c r="N66" i="15"/>
  <c r="E66" i="15"/>
  <c r="C66" i="15"/>
  <c r="AM65" i="15"/>
  <c r="AI65" i="15"/>
  <c r="AF65" i="15"/>
  <c r="BM255" i="21"/>
  <c r="AE65" i="15"/>
  <c r="S65" i="15"/>
  <c r="G65" i="15"/>
  <c r="R65" i="15"/>
  <c r="Q65" i="15"/>
  <c r="P65" i="15"/>
  <c r="O65" i="15"/>
  <c r="N65" i="15"/>
  <c r="E65" i="15"/>
  <c r="C65" i="15"/>
  <c r="B65" i="15"/>
  <c r="AM64" i="15"/>
  <c r="AI64" i="15"/>
  <c r="J34" i="18"/>
  <c r="F254" i="22"/>
  <c r="AF64" i="15"/>
  <c r="BM254" i="21"/>
  <c r="AE64" i="15"/>
  <c r="S64" i="15"/>
  <c r="G64" i="15"/>
  <c r="R64" i="15"/>
  <c r="Q64" i="15"/>
  <c r="P64" i="15"/>
  <c r="O64" i="15"/>
  <c r="N64" i="15"/>
  <c r="E64" i="15"/>
  <c r="C64" i="15"/>
  <c r="AM63" i="15"/>
  <c r="AI63" i="15"/>
  <c r="J33" i="18"/>
  <c r="F253" i="22"/>
  <c r="AF63" i="15"/>
  <c r="BM253" i="21"/>
  <c r="AE63" i="15"/>
  <c r="S63" i="15"/>
  <c r="G63" i="15"/>
  <c r="R63" i="15"/>
  <c r="Q63" i="15"/>
  <c r="P63" i="15"/>
  <c r="O63" i="15"/>
  <c r="N63" i="15"/>
  <c r="E63" i="15"/>
  <c r="C63" i="15"/>
  <c r="AM62" i="15"/>
  <c r="AI62" i="15"/>
  <c r="J32" i="18"/>
  <c r="F252" i="22"/>
  <c r="AF62" i="15"/>
  <c r="AE62" i="15"/>
  <c r="S62" i="15"/>
  <c r="G62" i="15"/>
  <c r="R62" i="15"/>
  <c r="Q62" i="15"/>
  <c r="P62" i="15"/>
  <c r="O62" i="15"/>
  <c r="N62" i="15"/>
  <c r="E62" i="15"/>
  <c r="C62" i="15"/>
  <c r="AM61" i="15"/>
  <c r="AI61" i="15"/>
  <c r="J31" i="18"/>
  <c r="F251" i="22"/>
  <c r="AF61" i="15"/>
  <c r="AE61" i="15"/>
  <c r="S61" i="15"/>
  <c r="G61" i="15"/>
  <c r="R61" i="15"/>
  <c r="Q61" i="15"/>
  <c r="P61" i="15"/>
  <c r="O61" i="15"/>
  <c r="N61" i="15"/>
  <c r="E61" i="15"/>
  <c r="C61" i="15"/>
  <c r="B61" i="15"/>
  <c r="AM60" i="15"/>
  <c r="AI60" i="15"/>
  <c r="J30" i="18"/>
  <c r="F250" i="22"/>
  <c r="AF60" i="15"/>
  <c r="BM250" i="21"/>
  <c r="AE60" i="15"/>
  <c r="S60" i="15"/>
  <c r="G60" i="15"/>
  <c r="R60" i="15"/>
  <c r="Q60" i="15"/>
  <c r="P60" i="15"/>
  <c r="O60" i="15"/>
  <c r="N60" i="15"/>
  <c r="E60" i="15"/>
  <c r="C60" i="15"/>
  <c r="AM59" i="15"/>
  <c r="AI59" i="15"/>
  <c r="J29" i="18"/>
  <c r="F249" i="22"/>
  <c r="AF59" i="15"/>
  <c r="AE59" i="15"/>
  <c r="S59" i="15"/>
  <c r="G59" i="15"/>
  <c r="R59" i="15"/>
  <c r="Q59" i="15"/>
  <c r="P59" i="15"/>
  <c r="O59" i="15"/>
  <c r="N59" i="15"/>
  <c r="E59" i="15"/>
  <c r="C59" i="15"/>
  <c r="AM58" i="15"/>
  <c r="AI58" i="15"/>
  <c r="J28" i="18"/>
  <c r="F248" i="22"/>
  <c r="AF58" i="15"/>
  <c r="BM248" i="21"/>
  <c r="AE58" i="15"/>
  <c r="S58" i="15"/>
  <c r="G58" i="15"/>
  <c r="R58" i="15"/>
  <c r="Q58" i="15"/>
  <c r="P58" i="15"/>
  <c r="O58" i="15"/>
  <c r="N58" i="15"/>
  <c r="E58" i="15"/>
  <c r="C58" i="15"/>
  <c r="B58" i="15"/>
  <c r="AM57" i="15"/>
  <c r="AI57" i="15"/>
  <c r="J27" i="18"/>
  <c r="F247" i="22"/>
  <c r="AF57" i="15"/>
  <c r="BM247" i="21"/>
  <c r="AE57" i="15"/>
  <c r="AD57" i="15"/>
  <c r="S57" i="15"/>
  <c r="G57" i="15"/>
  <c r="R57" i="15"/>
  <c r="Q57" i="15"/>
  <c r="P57" i="15"/>
  <c r="O57" i="15"/>
  <c r="N57" i="15"/>
  <c r="E57" i="15"/>
  <c r="C57" i="15"/>
  <c r="B57" i="15"/>
  <c r="AM56" i="15"/>
  <c r="AI56" i="15"/>
  <c r="J26" i="18"/>
  <c r="F246" i="22"/>
  <c r="AF56" i="15"/>
  <c r="BM246" i="21"/>
  <c r="AE56" i="15"/>
  <c r="S56" i="15"/>
  <c r="G56" i="15"/>
  <c r="R56" i="15"/>
  <c r="Q56" i="15"/>
  <c r="P56" i="15"/>
  <c r="O56" i="15"/>
  <c r="N56" i="15"/>
  <c r="E56" i="15"/>
  <c r="C56" i="15"/>
  <c r="AM55" i="15"/>
  <c r="AI55" i="15"/>
  <c r="J25" i="18"/>
  <c r="F245" i="22"/>
  <c r="AF55" i="15"/>
  <c r="BM245" i="21"/>
  <c r="AE55" i="15"/>
  <c r="S55" i="15"/>
  <c r="G55" i="15"/>
  <c r="R55" i="15"/>
  <c r="Q55" i="15"/>
  <c r="P55" i="15"/>
  <c r="O55" i="15"/>
  <c r="N55" i="15"/>
  <c r="E55" i="15"/>
  <c r="C55" i="15"/>
  <c r="AM54" i="15"/>
  <c r="AI54" i="15"/>
  <c r="J24" i="18"/>
  <c r="F244" i="22"/>
  <c r="AF54" i="15"/>
  <c r="AE54" i="15"/>
  <c r="AD54" i="15"/>
  <c r="S54" i="15"/>
  <c r="G54" i="15"/>
  <c r="R54" i="15"/>
  <c r="Q54" i="15"/>
  <c r="P54" i="15"/>
  <c r="O54" i="15"/>
  <c r="N54" i="15"/>
  <c r="E54" i="15"/>
  <c r="C54" i="15"/>
  <c r="B54" i="15"/>
  <c r="AM53" i="15"/>
  <c r="AI53" i="15"/>
  <c r="J23" i="18"/>
  <c r="F243" i="22"/>
  <c r="AF53" i="15"/>
  <c r="BM243" i="21"/>
  <c r="AE53" i="15"/>
  <c r="S53" i="15"/>
  <c r="G53" i="15"/>
  <c r="R53" i="15"/>
  <c r="Q53" i="15"/>
  <c r="P53" i="15"/>
  <c r="O53" i="15"/>
  <c r="N53" i="15"/>
  <c r="E53" i="15"/>
  <c r="C53" i="15"/>
  <c r="AM52" i="15"/>
  <c r="AI52" i="15"/>
  <c r="J22" i="18"/>
  <c r="F242" i="22"/>
  <c r="AF52" i="15"/>
  <c r="AE52" i="15"/>
  <c r="S52" i="15"/>
  <c r="G52" i="15"/>
  <c r="R52" i="15"/>
  <c r="Q52" i="15"/>
  <c r="P52" i="15"/>
  <c r="O52" i="15"/>
  <c r="N52" i="15"/>
  <c r="E52" i="15"/>
  <c r="C52" i="15"/>
  <c r="B52" i="15"/>
  <c r="AM51" i="15"/>
  <c r="AI51" i="15"/>
  <c r="J21" i="18"/>
  <c r="F241" i="22"/>
  <c r="AF51" i="15"/>
  <c r="BM241" i="21"/>
  <c r="AE51" i="15"/>
  <c r="S51" i="15"/>
  <c r="G51" i="15"/>
  <c r="R51" i="15"/>
  <c r="Q51" i="15"/>
  <c r="P51" i="15"/>
  <c r="O51" i="15"/>
  <c r="N51" i="15"/>
  <c r="E51" i="15"/>
  <c r="C51" i="15"/>
  <c r="AM50" i="15"/>
  <c r="AI50" i="15"/>
  <c r="J20" i="18"/>
  <c r="F240" i="22"/>
  <c r="AF50" i="15"/>
  <c r="BM240" i="21"/>
  <c r="AE50" i="15"/>
  <c r="S50" i="15"/>
  <c r="G50" i="15"/>
  <c r="R50" i="15"/>
  <c r="Q50" i="15"/>
  <c r="P50" i="15"/>
  <c r="O50" i="15"/>
  <c r="N50" i="15"/>
  <c r="E50" i="15"/>
  <c r="C50" i="15"/>
  <c r="AM49" i="15"/>
  <c r="AI49" i="15"/>
  <c r="J19" i="18"/>
  <c r="F239" i="22"/>
  <c r="AF49" i="15"/>
  <c r="BM239" i="21"/>
  <c r="AE49" i="15"/>
  <c r="S49" i="15"/>
  <c r="G49" i="15"/>
  <c r="R49" i="15"/>
  <c r="Q49" i="15"/>
  <c r="P49" i="15"/>
  <c r="O49" i="15"/>
  <c r="N49" i="15"/>
  <c r="E49" i="15"/>
  <c r="C49" i="15"/>
  <c r="AM48" i="15"/>
  <c r="AI48" i="15"/>
  <c r="J18" i="18"/>
  <c r="F238" i="22"/>
  <c r="AF48" i="15"/>
  <c r="BM238" i="21"/>
  <c r="AE48" i="15"/>
  <c r="S48" i="15"/>
  <c r="G48" i="15"/>
  <c r="R48" i="15"/>
  <c r="Q48" i="15"/>
  <c r="P48" i="15"/>
  <c r="O48" i="15"/>
  <c r="N48" i="15"/>
  <c r="E48" i="15"/>
  <c r="C48" i="15"/>
  <c r="AM47" i="15"/>
  <c r="AI47" i="15"/>
  <c r="J17" i="18"/>
  <c r="F237" i="22"/>
  <c r="AF47" i="15"/>
  <c r="BM237" i="21"/>
  <c r="AE47" i="15"/>
  <c r="S47" i="15"/>
  <c r="G47" i="15"/>
  <c r="R47" i="15"/>
  <c r="Q47" i="15"/>
  <c r="P47" i="15"/>
  <c r="O47" i="15"/>
  <c r="N47" i="15"/>
  <c r="E47" i="15"/>
  <c r="C47" i="15"/>
  <c r="AM46" i="15"/>
  <c r="AI46" i="15"/>
  <c r="J16" i="18"/>
  <c r="F236" i="22"/>
  <c r="AF46" i="15"/>
  <c r="BM236" i="21"/>
  <c r="AE46" i="15"/>
  <c r="AD46" i="15"/>
  <c r="S46" i="15"/>
  <c r="G46" i="15"/>
  <c r="R46" i="15"/>
  <c r="Q46" i="15"/>
  <c r="P46" i="15"/>
  <c r="O46" i="15"/>
  <c r="N46" i="15"/>
  <c r="E46" i="15"/>
  <c r="C46" i="15"/>
  <c r="AM45" i="15"/>
  <c r="AI45" i="15"/>
  <c r="J15" i="18"/>
  <c r="F235" i="22"/>
  <c r="AF45" i="15"/>
  <c r="BM235" i="21"/>
  <c r="AE45" i="15"/>
  <c r="S45" i="15"/>
  <c r="G45" i="15"/>
  <c r="R45" i="15"/>
  <c r="Q45" i="15"/>
  <c r="P45" i="15"/>
  <c r="O45" i="15"/>
  <c r="N45" i="15"/>
  <c r="E45" i="15"/>
  <c r="C45" i="15"/>
  <c r="AM44" i="15"/>
  <c r="AI44" i="15"/>
  <c r="J14" i="18"/>
  <c r="F234" i="22"/>
  <c r="AF44" i="15"/>
  <c r="BM234" i="21"/>
  <c r="AE44" i="15"/>
  <c r="S44" i="15"/>
  <c r="R44" i="15"/>
  <c r="Q44" i="15"/>
  <c r="P44" i="15"/>
  <c r="O44" i="15"/>
  <c r="N44" i="15"/>
  <c r="G44" i="15"/>
  <c r="E44" i="15"/>
  <c r="C44" i="15"/>
  <c r="AM43" i="15"/>
  <c r="AI43" i="15"/>
  <c r="AF43" i="15"/>
  <c r="BM233" i="21"/>
  <c r="AE43" i="15"/>
  <c r="S43" i="15"/>
  <c r="G43" i="15"/>
  <c r="R43" i="15"/>
  <c r="Q43" i="15"/>
  <c r="P43" i="15"/>
  <c r="O43" i="15"/>
  <c r="N43" i="15"/>
  <c r="E43" i="15"/>
  <c r="C43" i="15"/>
  <c r="AM42" i="15"/>
  <c r="AI42" i="15"/>
  <c r="AF42" i="15"/>
  <c r="BM232" i="21"/>
  <c r="AE42" i="15"/>
  <c r="S42" i="15"/>
  <c r="G42" i="15"/>
  <c r="R42" i="15"/>
  <c r="Q42" i="15"/>
  <c r="P42" i="15"/>
  <c r="O42" i="15"/>
  <c r="N42" i="15"/>
  <c r="E42" i="15"/>
  <c r="C42" i="15"/>
  <c r="AM41" i="15"/>
  <c r="AI41" i="15"/>
  <c r="J11" i="18"/>
  <c r="F231" i="22"/>
  <c r="AF41" i="15"/>
  <c r="BM231" i="21"/>
  <c r="AE41" i="15"/>
  <c r="S41" i="15"/>
  <c r="G41" i="15"/>
  <c r="R41" i="15"/>
  <c r="Q41" i="15"/>
  <c r="P41" i="15"/>
  <c r="O41" i="15"/>
  <c r="N41" i="15"/>
  <c r="E41" i="15"/>
  <c r="C41" i="15"/>
  <c r="AM40" i="15"/>
  <c r="AI40" i="15"/>
  <c r="J10" i="18"/>
  <c r="F230" i="22"/>
  <c r="AF40" i="15"/>
  <c r="BM230" i="21"/>
  <c r="S40" i="15"/>
  <c r="G40" i="15"/>
  <c r="R40" i="15"/>
  <c r="Q40" i="15"/>
  <c r="P40" i="15"/>
  <c r="O40" i="15"/>
  <c r="N40" i="15"/>
  <c r="E40" i="15"/>
  <c r="C40" i="15"/>
  <c r="B40" i="15"/>
  <c r="BM252" i="21"/>
  <c r="AD68" i="15"/>
  <c r="BM258" i="21"/>
  <c r="BM264" i="21"/>
  <c r="AD51" i="15"/>
  <c r="AD79" i="15"/>
  <c r="BM269" i="21"/>
  <c r="AD64" i="15"/>
  <c r="B79" i="15"/>
  <c r="AD50" i="15"/>
  <c r="B73" i="15"/>
  <c r="B49" i="15"/>
  <c r="B51" i="15"/>
  <c r="B55" i="15"/>
  <c r="B59" i="15"/>
  <c r="B63" i="15"/>
  <c r="AD72" i="15"/>
  <c r="B50" i="15"/>
  <c r="B56" i="15"/>
  <c r="B60" i="15"/>
  <c r="B62" i="15"/>
  <c r="B64" i="15"/>
  <c r="B66" i="15"/>
  <c r="B75" i="15"/>
  <c r="N16" i="15"/>
  <c r="N17" i="15"/>
  <c r="N18" i="15"/>
  <c r="N19" i="15"/>
  <c r="N20" i="15"/>
  <c r="N21" i="15"/>
  <c r="N22" i="15"/>
  <c r="N23" i="15"/>
  <c r="N24" i="15"/>
  <c r="N25" i="15"/>
  <c r="N26" i="15"/>
  <c r="N27" i="15"/>
  <c r="N28" i="15"/>
  <c r="N29" i="15"/>
  <c r="N30" i="15"/>
  <c r="N31" i="15"/>
  <c r="N32" i="15"/>
  <c r="N33" i="15"/>
  <c r="N15" i="15"/>
  <c r="P15" i="15"/>
  <c r="R15" i="15"/>
  <c r="P16" i="15"/>
  <c r="R16" i="15"/>
  <c r="P17" i="15"/>
  <c r="R17" i="15"/>
  <c r="P18" i="15"/>
  <c r="R18" i="15"/>
  <c r="P19" i="15"/>
  <c r="R19" i="15"/>
  <c r="R20" i="15"/>
  <c r="R21" i="15"/>
  <c r="R22" i="15"/>
  <c r="R23" i="15"/>
  <c r="R24" i="15"/>
  <c r="R25" i="15"/>
  <c r="R26" i="15"/>
  <c r="R27" i="15"/>
  <c r="R28" i="15"/>
  <c r="R29" i="15"/>
  <c r="R30" i="15"/>
  <c r="R31" i="15"/>
  <c r="R32" i="15"/>
  <c r="R33" i="15"/>
  <c r="P40" i="16"/>
  <c r="I40" i="16"/>
  <c r="P41" i="16"/>
  <c r="I41" i="16"/>
  <c r="P20" i="15"/>
  <c r="P21" i="15"/>
  <c r="P22" i="15"/>
  <c r="P23" i="15"/>
  <c r="P24" i="15"/>
  <c r="P25" i="15"/>
  <c r="P26" i="15"/>
  <c r="P27" i="15"/>
  <c r="P28" i="15"/>
  <c r="P29" i="15"/>
  <c r="P30" i="15"/>
  <c r="P31" i="15"/>
  <c r="P32" i="15"/>
  <c r="P33" i="15"/>
  <c r="L80" i="16"/>
  <c r="V136" i="16"/>
  <c r="V135" i="16"/>
  <c r="V134" i="16"/>
  <c r="V133" i="16"/>
  <c r="V132" i="16"/>
  <c r="V131" i="16"/>
  <c r="V130" i="16"/>
  <c r="U129" i="16"/>
  <c r="U128" i="16"/>
  <c r="U127" i="16"/>
  <c r="U126" i="16"/>
  <c r="U125" i="16"/>
  <c r="U124" i="16"/>
  <c r="U123" i="16"/>
  <c r="L89" i="16"/>
  <c r="L88" i="16"/>
  <c r="L87" i="16"/>
  <c r="L86" i="16"/>
  <c r="AI85" i="16"/>
  <c r="S85" i="16"/>
  <c r="R85" i="16"/>
  <c r="Q85" i="16"/>
  <c r="P85" i="16"/>
  <c r="O85" i="16"/>
  <c r="N85" i="16"/>
  <c r="L85" i="16"/>
  <c r="AL84" i="16"/>
  <c r="AI84" i="16"/>
  <c r="AH84" i="16"/>
  <c r="AF84" i="16"/>
  <c r="AE84" i="16"/>
  <c r="AD84" i="16"/>
  <c r="S84" i="16"/>
  <c r="R84" i="16"/>
  <c r="Q84" i="16"/>
  <c r="P84" i="16"/>
  <c r="O84" i="16"/>
  <c r="N84" i="16"/>
  <c r="E84" i="16"/>
  <c r="D84" i="16"/>
  <c r="C84" i="16"/>
  <c r="B84" i="16"/>
  <c r="AL83" i="16"/>
  <c r="AI83" i="16"/>
  <c r="AH83" i="16"/>
  <c r="AF83" i="16"/>
  <c r="AE83" i="16"/>
  <c r="S83" i="16"/>
  <c r="R83" i="16"/>
  <c r="Q83" i="16"/>
  <c r="P83" i="16"/>
  <c r="O83" i="16"/>
  <c r="N83" i="16"/>
  <c r="E83" i="16"/>
  <c r="D83" i="16"/>
  <c r="C83" i="16"/>
  <c r="B83" i="16"/>
  <c r="AL82" i="16"/>
  <c r="AI82" i="16"/>
  <c r="AH82" i="16"/>
  <c r="AE82" i="16"/>
  <c r="AF82" i="16"/>
  <c r="AD82" i="16"/>
  <c r="S82" i="16"/>
  <c r="R82" i="16"/>
  <c r="Q82" i="16"/>
  <c r="P82" i="16"/>
  <c r="O82" i="16"/>
  <c r="N82" i="16"/>
  <c r="E82" i="16"/>
  <c r="D82" i="16"/>
  <c r="C82" i="16"/>
  <c r="AL81" i="16"/>
  <c r="AI81" i="16"/>
  <c r="AH81" i="16"/>
  <c r="AF81" i="16"/>
  <c r="AE81" i="16"/>
  <c r="S81" i="16"/>
  <c r="R81" i="16"/>
  <c r="Q81" i="16"/>
  <c r="P81" i="16"/>
  <c r="O81" i="16"/>
  <c r="N81" i="16"/>
  <c r="E81" i="16"/>
  <c r="D81" i="16"/>
  <c r="C81" i="16"/>
  <c r="B81" i="16"/>
  <c r="AI80" i="16"/>
  <c r="AH80" i="16"/>
  <c r="AD80" i="16"/>
  <c r="S80" i="16"/>
  <c r="R80" i="16"/>
  <c r="Q80" i="16"/>
  <c r="P80" i="16"/>
  <c r="O80" i="16"/>
  <c r="N80" i="16"/>
  <c r="D80" i="16"/>
  <c r="AL79" i="16"/>
  <c r="AI79" i="16"/>
  <c r="AH79" i="16"/>
  <c r="AF79" i="16"/>
  <c r="AE79" i="16"/>
  <c r="AD79" i="16"/>
  <c r="S79" i="16"/>
  <c r="G79" i="16"/>
  <c r="R79" i="16"/>
  <c r="Q79" i="16"/>
  <c r="P79" i="16"/>
  <c r="I79" i="16"/>
  <c r="O79" i="16"/>
  <c r="N79" i="16"/>
  <c r="E79" i="16"/>
  <c r="D79" i="16"/>
  <c r="C79" i="16"/>
  <c r="AL78" i="16"/>
  <c r="AI78" i="16"/>
  <c r="AH78" i="16"/>
  <c r="AF78" i="16"/>
  <c r="AE78" i="16"/>
  <c r="S78" i="16"/>
  <c r="G78" i="16"/>
  <c r="R78" i="16"/>
  <c r="Q78" i="16"/>
  <c r="P78" i="16"/>
  <c r="I78" i="16"/>
  <c r="O78" i="16"/>
  <c r="N78" i="16"/>
  <c r="E78" i="16"/>
  <c r="D78" i="16"/>
  <c r="C78" i="16"/>
  <c r="AL77" i="16"/>
  <c r="AI77" i="16"/>
  <c r="AH77" i="16"/>
  <c r="AF77" i="16"/>
  <c r="AE77" i="16"/>
  <c r="S77" i="16"/>
  <c r="G77" i="16"/>
  <c r="R77" i="16"/>
  <c r="Q77" i="16"/>
  <c r="P77" i="16"/>
  <c r="I77" i="16"/>
  <c r="O77" i="16"/>
  <c r="N77" i="16"/>
  <c r="E77" i="16"/>
  <c r="D77" i="16"/>
  <c r="C77" i="16"/>
  <c r="AL76" i="16"/>
  <c r="AI76" i="16"/>
  <c r="AH76" i="16"/>
  <c r="AF76" i="16"/>
  <c r="AE76" i="16"/>
  <c r="S76" i="16"/>
  <c r="G76" i="16"/>
  <c r="R76" i="16"/>
  <c r="Q76" i="16"/>
  <c r="P76" i="16"/>
  <c r="I76" i="16"/>
  <c r="O76" i="16"/>
  <c r="N76" i="16"/>
  <c r="E76" i="16"/>
  <c r="D76" i="16"/>
  <c r="C76" i="16"/>
  <c r="AL75" i="16"/>
  <c r="AI75" i="16"/>
  <c r="AF75" i="16"/>
  <c r="AE75" i="16"/>
  <c r="S75" i="16"/>
  <c r="G75" i="16"/>
  <c r="R75" i="16"/>
  <c r="Q75" i="16"/>
  <c r="P75" i="16"/>
  <c r="I75" i="16"/>
  <c r="O75" i="16"/>
  <c r="N75" i="16"/>
  <c r="E75" i="16"/>
  <c r="D75" i="16"/>
  <c r="C75" i="16"/>
  <c r="AL74" i="16"/>
  <c r="AI74" i="16"/>
  <c r="AF74" i="16"/>
  <c r="AE74" i="16"/>
  <c r="AD74" i="16"/>
  <c r="S74" i="16"/>
  <c r="G74" i="16"/>
  <c r="R74" i="16"/>
  <c r="Q74" i="16"/>
  <c r="P74" i="16"/>
  <c r="I74" i="16"/>
  <c r="O74" i="16"/>
  <c r="N74" i="16"/>
  <c r="E74" i="16"/>
  <c r="D74" i="16"/>
  <c r="C74" i="16"/>
  <c r="B74" i="16"/>
  <c r="AL73" i="16"/>
  <c r="AI73" i="16"/>
  <c r="AF73" i="16"/>
  <c r="AE73" i="16"/>
  <c r="AD73" i="16"/>
  <c r="S73" i="16"/>
  <c r="G73" i="16"/>
  <c r="R73" i="16"/>
  <c r="Q73" i="16"/>
  <c r="P73" i="16"/>
  <c r="I73" i="16"/>
  <c r="O73" i="16"/>
  <c r="N73" i="16"/>
  <c r="E73" i="16"/>
  <c r="D73" i="16"/>
  <c r="C73" i="16"/>
  <c r="B73" i="16"/>
  <c r="AL72" i="16"/>
  <c r="AI72" i="16"/>
  <c r="AF72" i="16"/>
  <c r="AE72" i="16"/>
  <c r="S72" i="16"/>
  <c r="G72" i="16"/>
  <c r="R72" i="16"/>
  <c r="Q72" i="16"/>
  <c r="P72" i="16"/>
  <c r="I72" i="16"/>
  <c r="O72" i="16"/>
  <c r="N72" i="16"/>
  <c r="E72" i="16"/>
  <c r="D72" i="16"/>
  <c r="C72" i="16"/>
  <c r="B72" i="16"/>
  <c r="AL71" i="16"/>
  <c r="AI71" i="16"/>
  <c r="AF71" i="16"/>
  <c r="AE71" i="16"/>
  <c r="AD71" i="16"/>
  <c r="S71" i="16"/>
  <c r="G71" i="16"/>
  <c r="R71" i="16"/>
  <c r="Q71" i="16"/>
  <c r="P71" i="16"/>
  <c r="I71" i="16"/>
  <c r="O71" i="16"/>
  <c r="N71" i="16"/>
  <c r="E71" i="16"/>
  <c r="D71" i="16"/>
  <c r="C71" i="16"/>
  <c r="AL70" i="16"/>
  <c r="AI70" i="16"/>
  <c r="AF70" i="16"/>
  <c r="AE70" i="16"/>
  <c r="AD70" i="16"/>
  <c r="S70" i="16"/>
  <c r="G70" i="16"/>
  <c r="R70" i="16"/>
  <c r="Q70" i="16"/>
  <c r="P70" i="16"/>
  <c r="I70" i="16"/>
  <c r="O70" i="16"/>
  <c r="N70" i="16"/>
  <c r="E70" i="16"/>
  <c r="C70" i="16"/>
  <c r="AL69" i="16"/>
  <c r="AI69" i="16"/>
  <c r="AF69" i="16"/>
  <c r="AE69" i="16"/>
  <c r="AD69" i="16"/>
  <c r="S69" i="16"/>
  <c r="G69" i="16"/>
  <c r="R69" i="16"/>
  <c r="Q69" i="16"/>
  <c r="P69" i="16"/>
  <c r="I69" i="16"/>
  <c r="O69" i="16"/>
  <c r="N69" i="16"/>
  <c r="E69" i="16"/>
  <c r="C69" i="16"/>
  <c r="B69" i="16"/>
  <c r="AL68" i="16"/>
  <c r="AI68" i="16"/>
  <c r="AF68" i="16"/>
  <c r="AE68" i="16"/>
  <c r="AD68" i="16"/>
  <c r="S68" i="16"/>
  <c r="G68" i="16"/>
  <c r="R68" i="16"/>
  <c r="Q68" i="16"/>
  <c r="P68" i="16"/>
  <c r="I68" i="16"/>
  <c r="O68" i="16"/>
  <c r="N68" i="16"/>
  <c r="E68" i="16"/>
  <c r="C68" i="16"/>
  <c r="AL67" i="16"/>
  <c r="AE67" i="16"/>
  <c r="AF67" i="16"/>
  <c r="AI67" i="16"/>
  <c r="AD67" i="16"/>
  <c r="S67" i="16"/>
  <c r="G67" i="16"/>
  <c r="R67" i="16"/>
  <c r="Q67" i="16"/>
  <c r="P67" i="16"/>
  <c r="I67" i="16"/>
  <c r="O67" i="16"/>
  <c r="N67" i="16"/>
  <c r="E67" i="16"/>
  <c r="C67" i="16"/>
  <c r="B67" i="16"/>
  <c r="AL66" i="16"/>
  <c r="AI66" i="16"/>
  <c r="AF66" i="16"/>
  <c r="AE66" i="16"/>
  <c r="AD66" i="16"/>
  <c r="S66" i="16"/>
  <c r="G66" i="16"/>
  <c r="R66" i="16"/>
  <c r="Q66" i="16"/>
  <c r="P66" i="16"/>
  <c r="I66" i="16"/>
  <c r="O66" i="16"/>
  <c r="N66" i="16"/>
  <c r="E66" i="16"/>
  <c r="C66" i="16"/>
  <c r="B66" i="16"/>
  <c r="AL65" i="16"/>
  <c r="AE65" i="16"/>
  <c r="AF65" i="16"/>
  <c r="AI65" i="16"/>
  <c r="AD65" i="16"/>
  <c r="S65" i="16"/>
  <c r="G65" i="16"/>
  <c r="R65" i="16"/>
  <c r="Q65" i="16"/>
  <c r="P65" i="16"/>
  <c r="I65" i="16"/>
  <c r="O65" i="16"/>
  <c r="N65" i="16"/>
  <c r="E65" i="16"/>
  <c r="C65" i="16"/>
  <c r="AL64" i="16"/>
  <c r="AI64" i="16"/>
  <c r="AF64" i="16"/>
  <c r="AE64" i="16"/>
  <c r="AD64" i="16"/>
  <c r="S64" i="16"/>
  <c r="G64" i="16"/>
  <c r="R64" i="16"/>
  <c r="Q64" i="16"/>
  <c r="P64" i="16"/>
  <c r="I64" i="16"/>
  <c r="O64" i="16"/>
  <c r="N64" i="16"/>
  <c r="E64" i="16"/>
  <c r="C64" i="16"/>
  <c r="AL63" i="16"/>
  <c r="AI63" i="16"/>
  <c r="AF63" i="16"/>
  <c r="AE63" i="16"/>
  <c r="S63" i="16"/>
  <c r="G63" i="16"/>
  <c r="R63" i="16"/>
  <c r="Q63" i="16"/>
  <c r="P63" i="16"/>
  <c r="I63" i="16"/>
  <c r="O63" i="16"/>
  <c r="N63" i="16"/>
  <c r="E63" i="16"/>
  <c r="C63" i="16"/>
  <c r="B63" i="16"/>
  <c r="AL62" i="16"/>
  <c r="AI62" i="16"/>
  <c r="AF62" i="16"/>
  <c r="AE62" i="16"/>
  <c r="AD62" i="16"/>
  <c r="S62" i="16"/>
  <c r="G62" i="16"/>
  <c r="R62" i="16"/>
  <c r="Q62" i="16"/>
  <c r="P62" i="16"/>
  <c r="I62" i="16"/>
  <c r="O62" i="16"/>
  <c r="N62" i="16"/>
  <c r="E62" i="16"/>
  <c r="C62" i="16"/>
  <c r="B62" i="16"/>
  <c r="AL61" i="16"/>
  <c r="AE61" i="16"/>
  <c r="AF61" i="16"/>
  <c r="AI61" i="16"/>
  <c r="AD61" i="16"/>
  <c r="S61" i="16"/>
  <c r="G61" i="16"/>
  <c r="R61" i="16"/>
  <c r="Q61" i="16"/>
  <c r="P61" i="16"/>
  <c r="I61" i="16"/>
  <c r="O61" i="16"/>
  <c r="N61" i="16"/>
  <c r="E61" i="16"/>
  <c r="C61" i="16"/>
  <c r="B61" i="16"/>
  <c r="AL60" i="16"/>
  <c r="AI60" i="16"/>
  <c r="AF60" i="16"/>
  <c r="AE60" i="16"/>
  <c r="AD60" i="16"/>
  <c r="S60" i="16"/>
  <c r="G60" i="16"/>
  <c r="R60" i="16"/>
  <c r="Q60" i="16"/>
  <c r="P60" i="16"/>
  <c r="I60" i="16"/>
  <c r="O60" i="16"/>
  <c r="N60" i="16"/>
  <c r="E60" i="16"/>
  <c r="C60" i="16"/>
  <c r="B60" i="16"/>
  <c r="AL59" i="16"/>
  <c r="AI59" i="16"/>
  <c r="AF59" i="16"/>
  <c r="AE59" i="16"/>
  <c r="S59" i="16"/>
  <c r="G59" i="16"/>
  <c r="R59" i="16"/>
  <c r="Q59" i="16"/>
  <c r="P59" i="16"/>
  <c r="I59" i="16"/>
  <c r="O59" i="16"/>
  <c r="N59" i="16"/>
  <c r="E59" i="16"/>
  <c r="C59" i="16"/>
  <c r="AL58" i="16"/>
  <c r="AI58" i="16"/>
  <c r="AF58" i="16"/>
  <c r="AE58" i="16"/>
  <c r="AD58" i="16"/>
  <c r="S58" i="16"/>
  <c r="G58" i="16"/>
  <c r="R58" i="16"/>
  <c r="Q58" i="16"/>
  <c r="P58" i="16"/>
  <c r="I58" i="16"/>
  <c r="O58" i="16"/>
  <c r="N58" i="16"/>
  <c r="E58" i="16"/>
  <c r="C58" i="16"/>
  <c r="AL57" i="16"/>
  <c r="AI57" i="16"/>
  <c r="AF57" i="16"/>
  <c r="AE57" i="16"/>
  <c r="S57" i="16"/>
  <c r="G57" i="16"/>
  <c r="R57" i="16"/>
  <c r="Q57" i="16"/>
  <c r="P57" i="16"/>
  <c r="I57" i="16"/>
  <c r="O57" i="16"/>
  <c r="N57" i="16"/>
  <c r="E57" i="16"/>
  <c r="C57" i="16"/>
  <c r="B57" i="16"/>
  <c r="AL56" i="16"/>
  <c r="AI56" i="16"/>
  <c r="AF56" i="16"/>
  <c r="AE56" i="16"/>
  <c r="AD56" i="16"/>
  <c r="S56" i="16"/>
  <c r="G56" i="16"/>
  <c r="R56" i="16"/>
  <c r="Q56" i="16"/>
  <c r="P56" i="16"/>
  <c r="I56" i="16"/>
  <c r="O56" i="16"/>
  <c r="N56" i="16"/>
  <c r="E56" i="16"/>
  <c r="C56" i="16"/>
  <c r="B56" i="16"/>
  <c r="AL55" i="16"/>
  <c r="AE55" i="16"/>
  <c r="AF55" i="16"/>
  <c r="AI55" i="16"/>
  <c r="AD55" i="16"/>
  <c r="S55" i="16"/>
  <c r="G55" i="16"/>
  <c r="R55" i="16"/>
  <c r="Q55" i="16"/>
  <c r="P55" i="16"/>
  <c r="I55" i="16"/>
  <c r="O55" i="16"/>
  <c r="N55" i="16"/>
  <c r="E55" i="16"/>
  <c r="C55" i="16"/>
  <c r="B55" i="16"/>
  <c r="AL54" i="16"/>
  <c r="AI54" i="16"/>
  <c r="AF54" i="16"/>
  <c r="AE54" i="16"/>
  <c r="AD54" i="16"/>
  <c r="S54" i="16"/>
  <c r="G54" i="16"/>
  <c r="R54" i="16"/>
  <c r="Q54" i="16"/>
  <c r="P54" i="16"/>
  <c r="I54" i="16"/>
  <c r="O54" i="16"/>
  <c r="N54" i="16"/>
  <c r="E54" i="16"/>
  <c r="C54" i="16"/>
  <c r="B54" i="16"/>
  <c r="AL53" i="16"/>
  <c r="AI53" i="16"/>
  <c r="AF53" i="16"/>
  <c r="AE53" i="16"/>
  <c r="S53" i="16"/>
  <c r="G53" i="16"/>
  <c r="R53" i="16"/>
  <c r="Q53" i="16"/>
  <c r="P53" i="16"/>
  <c r="I53" i="16"/>
  <c r="O53" i="16"/>
  <c r="N53" i="16"/>
  <c r="E53" i="16"/>
  <c r="C53" i="16"/>
  <c r="B53" i="16"/>
  <c r="AL52" i="16"/>
  <c r="AI52" i="16"/>
  <c r="AE52" i="16"/>
  <c r="AF52" i="16"/>
  <c r="AD52" i="16"/>
  <c r="S52" i="16"/>
  <c r="G52" i="16"/>
  <c r="R52" i="16"/>
  <c r="Q52" i="16"/>
  <c r="P52" i="16"/>
  <c r="I52" i="16"/>
  <c r="O52" i="16"/>
  <c r="N52" i="16"/>
  <c r="E52" i="16"/>
  <c r="C52" i="16"/>
  <c r="AL51" i="16"/>
  <c r="AI51" i="16"/>
  <c r="AF51" i="16"/>
  <c r="AE51" i="16"/>
  <c r="AD51" i="16"/>
  <c r="S51" i="16"/>
  <c r="G51" i="16"/>
  <c r="R51" i="16"/>
  <c r="Q51" i="16"/>
  <c r="P51" i="16"/>
  <c r="I51" i="16"/>
  <c r="O51" i="16"/>
  <c r="N51" i="16"/>
  <c r="E51" i="16"/>
  <c r="C51" i="16"/>
  <c r="B51" i="16"/>
  <c r="AL50" i="16"/>
  <c r="AI50" i="16"/>
  <c r="AE50" i="16"/>
  <c r="AF50" i="16"/>
  <c r="AD50" i="16"/>
  <c r="S50" i="16"/>
  <c r="G50" i="16"/>
  <c r="R50" i="16"/>
  <c r="Q50" i="16"/>
  <c r="P50" i="16"/>
  <c r="I50" i="16"/>
  <c r="O50" i="16"/>
  <c r="N50" i="16"/>
  <c r="E50" i="16"/>
  <c r="C50" i="16"/>
  <c r="AL49" i="16"/>
  <c r="AI49" i="16"/>
  <c r="AF49" i="16"/>
  <c r="AE49" i="16"/>
  <c r="AD49" i="16"/>
  <c r="S49" i="16"/>
  <c r="G49" i="16"/>
  <c r="R49" i="16"/>
  <c r="Q49" i="16"/>
  <c r="P49" i="16"/>
  <c r="I49" i="16"/>
  <c r="O49" i="16"/>
  <c r="N49" i="16"/>
  <c r="E49" i="16"/>
  <c r="C49" i="16"/>
  <c r="AL48" i="16"/>
  <c r="AI48" i="16"/>
  <c r="AF48" i="16"/>
  <c r="AE48" i="16"/>
  <c r="S48" i="16"/>
  <c r="G48" i="16"/>
  <c r="R48" i="16"/>
  <c r="Q48" i="16"/>
  <c r="P48" i="16"/>
  <c r="I48" i="16"/>
  <c r="O48" i="16"/>
  <c r="N48" i="16"/>
  <c r="E48" i="16"/>
  <c r="C48" i="16"/>
  <c r="AL47" i="16"/>
  <c r="AI47" i="16"/>
  <c r="AF47" i="16"/>
  <c r="AE47" i="16"/>
  <c r="AD47" i="16"/>
  <c r="S47" i="16"/>
  <c r="G47" i="16"/>
  <c r="R47" i="16"/>
  <c r="Q47" i="16"/>
  <c r="P47" i="16"/>
  <c r="I47" i="16"/>
  <c r="O47" i="16"/>
  <c r="N47" i="16"/>
  <c r="E47" i="16"/>
  <c r="C47" i="16"/>
  <c r="AL46" i="16"/>
  <c r="AI46" i="16"/>
  <c r="AE46" i="16"/>
  <c r="AF46" i="16"/>
  <c r="AD46" i="16"/>
  <c r="S46" i="16"/>
  <c r="G46" i="16"/>
  <c r="R46" i="16"/>
  <c r="Q46" i="16"/>
  <c r="P46" i="16"/>
  <c r="I46" i="16"/>
  <c r="O46" i="16"/>
  <c r="N46" i="16"/>
  <c r="E46" i="16"/>
  <c r="C46" i="16"/>
  <c r="B46" i="16"/>
  <c r="AL45" i="16"/>
  <c r="AI45" i="16"/>
  <c r="AF45" i="16"/>
  <c r="AE45" i="16"/>
  <c r="AD45" i="16"/>
  <c r="S45" i="16"/>
  <c r="G45" i="16"/>
  <c r="R45" i="16"/>
  <c r="Q45" i="16"/>
  <c r="P45" i="16"/>
  <c r="I45" i="16"/>
  <c r="O45" i="16"/>
  <c r="N45" i="16"/>
  <c r="E45" i="16"/>
  <c r="C45" i="16"/>
  <c r="AL44" i="16"/>
  <c r="AI44" i="16"/>
  <c r="AF44" i="16"/>
  <c r="AE44" i="16"/>
  <c r="AD44" i="16"/>
  <c r="S44" i="16"/>
  <c r="G44" i="16"/>
  <c r="R44" i="16"/>
  <c r="Q44" i="16"/>
  <c r="P44" i="16"/>
  <c r="I44" i="16"/>
  <c r="O44" i="16"/>
  <c r="N44" i="16"/>
  <c r="E44" i="16"/>
  <c r="C44" i="16"/>
  <c r="B44" i="16"/>
  <c r="AL43" i="16"/>
  <c r="AI43" i="16"/>
  <c r="AF43" i="16"/>
  <c r="AE43" i="16"/>
  <c r="AD43" i="16"/>
  <c r="S43" i="16"/>
  <c r="G43" i="16"/>
  <c r="R43" i="16"/>
  <c r="Q43" i="16"/>
  <c r="P43" i="16"/>
  <c r="I43" i="16"/>
  <c r="O43" i="16"/>
  <c r="N43" i="16"/>
  <c r="E43" i="16"/>
  <c r="C43" i="16"/>
  <c r="AL42" i="16"/>
  <c r="AI42" i="16"/>
  <c r="AF42" i="16"/>
  <c r="AE42" i="16"/>
  <c r="S42" i="16"/>
  <c r="G42" i="16"/>
  <c r="R42" i="16"/>
  <c r="Q42" i="16"/>
  <c r="P42" i="16"/>
  <c r="I42" i="16"/>
  <c r="O42" i="16"/>
  <c r="N42" i="16"/>
  <c r="E42" i="16"/>
  <c r="C42" i="16"/>
  <c r="AL41" i="16"/>
  <c r="AI41" i="16"/>
  <c r="AF41" i="16"/>
  <c r="AE41" i="16"/>
  <c r="AD41" i="16"/>
  <c r="S41" i="16"/>
  <c r="G41" i="16"/>
  <c r="R41" i="16"/>
  <c r="Q41" i="16"/>
  <c r="O41" i="16"/>
  <c r="N41" i="16"/>
  <c r="E41" i="16"/>
  <c r="C41" i="16"/>
  <c r="AL40" i="16"/>
  <c r="AI40" i="16"/>
  <c r="AF40" i="16"/>
  <c r="AE40" i="16"/>
  <c r="AD40" i="16"/>
  <c r="S40" i="16"/>
  <c r="G40" i="16"/>
  <c r="R40" i="16"/>
  <c r="Q40" i="16"/>
  <c r="O40" i="16"/>
  <c r="N40" i="16"/>
  <c r="E40" i="16"/>
  <c r="C40" i="16"/>
  <c r="B76" i="16"/>
  <c r="AD81" i="16"/>
  <c r="B78" i="16"/>
  <c r="B43" i="16"/>
  <c r="B47" i="16"/>
  <c r="B45" i="16"/>
  <c r="AD83" i="16"/>
  <c r="G38" i="16"/>
  <c r="S38" i="15"/>
  <c r="G38" i="15"/>
  <c r="G34" i="16"/>
  <c r="S34" i="15"/>
  <c r="G34" i="15"/>
  <c r="G29" i="16"/>
  <c r="S29" i="15"/>
  <c r="G29" i="15"/>
  <c r="G25" i="16"/>
  <c r="S25" i="15"/>
  <c r="G25" i="15"/>
  <c r="G21" i="16"/>
  <c r="S21" i="15"/>
  <c r="G21" i="15"/>
  <c r="G17" i="16"/>
  <c r="S17" i="15"/>
  <c r="G17" i="15"/>
  <c r="G37" i="16"/>
  <c r="S37" i="15"/>
  <c r="G37" i="15"/>
  <c r="G32" i="16"/>
  <c r="S32" i="15"/>
  <c r="G32" i="15"/>
  <c r="G28" i="16"/>
  <c r="S28" i="15"/>
  <c r="G28" i="15"/>
  <c r="G24" i="16"/>
  <c r="S24" i="15"/>
  <c r="G24" i="15"/>
  <c r="G20" i="16"/>
  <c r="S20" i="15"/>
  <c r="G20" i="15"/>
  <c r="G16" i="16"/>
  <c r="S16" i="15"/>
  <c r="G16" i="15"/>
  <c r="G33" i="16"/>
  <c r="S33" i="15"/>
  <c r="G33" i="15"/>
  <c r="G36" i="16"/>
  <c r="S36" i="15"/>
  <c r="G36" i="15"/>
  <c r="G31" i="16"/>
  <c r="S31" i="15"/>
  <c r="G31" i="15"/>
  <c r="G27" i="16"/>
  <c r="S27" i="15"/>
  <c r="G27" i="15"/>
  <c r="G23" i="16"/>
  <c r="S23" i="15"/>
  <c r="G23" i="15"/>
  <c r="G19" i="16"/>
  <c r="S19" i="15"/>
  <c r="G19" i="15"/>
  <c r="G15" i="16"/>
  <c r="S15" i="15"/>
  <c r="G15" i="15"/>
  <c r="G39" i="16"/>
  <c r="S39" i="15"/>
  <c r="G39" i="15"/>
  <c r="G35" i="16"/>
  <c r="S35" i="15"/>
  <c r="G35" i="15"/>
  <c r="G30" i="16"/>
  <c r="S30" i="15"/>
  <c r="G30" i="15"/>
  <c r="G26" i="16"/>
  <c r="S26" i="15"/>
  <c r="G26" i="15"/>
  <c r="G22" i="16"/>
  <c r="S22" i="15"/>
  <c r="G22" i="15"/>
  <c r="G18" i="16"/>
  <c r="S18" i="15"/>
  <c r="G18" i="15"/>
  <c r="B58" i="16"/>
  <c r="B59" i="16"/>
  <c r="AD76" i="16"/>
  <c r="AD78" i="16"/>
  <c r="B65" i="16"/>
  <c r="B49" i="16"/>
  <c r="B50" i="16"/>
  <c r="B41" i="16"/>
  <c r="B71" i="16"/>
  <c r="AD57" i="16"/>
  <c r="B68" i="16"/>
  <c r="B77" i="16"/>
  <c r="B79" i="16"/>
  <c r="AD48" i="16"/>
  <c r="AD59" i="16"/>
  <c r="B70" i="16"/>
  <c r="AD75" i="16"/>
  <c r="AD77" i="16"/>
  <c r="AD42" i="16"/>
  <c r="AD53" i="16"/>
  <c r="B64" i="16"/>
  <c r="B82" i="16"/>
  <c r="F111" i="12"/>
  <c r="G111" i="12"/>
  <c r="H111" i="12"/>
  <c r="I111" i="12"/>
  <c r="J111" i="12"/>
  <c r="K111" i="12"/>
  <c r="M111" i="12"/>
  <c r="P111" i="12"/>
  <c r="F112" i="12"/>
  <c r="G112" i="12"/>
  <c r="H112" i="12"/>
  <c r="I112" i="12"/>
  <c r="J112" i="12"/>
  <c r="K112" i="12"/>
  <c r="M112" i="12"/>
  <c r="P112" i="12"/>
  <c r="F113" i="12"/>
  <c r="G113" i="12"/>
  <c r="H113" i="12"/>
  <c r="I113" i="12"/>
  <c r="J113" i="12"/>
  <c r="K113" i="12"/>
  <c r="M113" i="12"/>
  <c r="P113" i="12"/>
  <c r="F114" i="12"/>
  <c r="G114" i="12"/>
  <c r="H114" i="12"/>
  <c r="I114" i="12"/>
  <c r="J114" i="12"/>
  <c r="K114" i="12"/>
  <c r="M114" i="12"/>
  <c r="P114" i="12"/>
  <c r="F115" i="12"/>
  <c r="G115" i="12"/>
  <c r="H115" i="12"/>
  <c r="I115" i="12"/>
  <c r="J115" i="12"/>
  <c r="K115" i="12"/>
  <c r="M115" i="12"/>
  <c r="P115" i="12"/>
  <c r="F116" i="12"/>
  <c r="G116" i="12"/>
  <c r="H116" i="12"/>
  <c r="I116" i="12"/>
  <c r="J116" i="12"/>
  <c r="K116" i="12"/>
  <c r="M116" i="12"/>
  <c r="P116" i="12"/>
  <c r="F117" i="12"/>
  <c r="G117" i="12"/>
  <c r="H117" i="12"/>
  <c r="I117" i="12"/>
  <c r="J117" i="12"/>
  <c r="K117" i="12"/>
  <c r="M117" i="12"/>
  <c r="P117" i="12"/>
  <c r="F118" i="12"/>
  <c r="G118" i="12"/>
  <c r="H118" i="12"/>
  <c r="I118" i="12"/>
  <c r="J118" i="12"/>
  <c r="K118" i="12"/>
  <c r="M118" i="12"/>
  <c r="P118" i="12"/>
  <c r="F119" i="12"/>
  <c r="G119" i="12"/>
  <c r="H119" i="12"/>
  <c r="I119" i="12"/>
  <c r="J119" i="12"/>
  <c r="K119" i="12"/>
  <c r="M119" i="12"/>
  <c r="P119" i="12"/>
  <c r="F120" i="12"/>
  <c r="G120" i="12"/>
  <c r="H120" i="12"/>
  <c r="I120" i="12"/>
  <c r="J120" i="12"/>
  <c r="K120" i="12"/>
  <c r="M120" i="12"/>
  <c r="P120" i="12"/>
  <c r="F121" i="12"/>
  <c r="G121" i="12"/>
  <c r="H121" i="12"/>
  <c r="I121" i="12"/>
  <c r="J121" i="12"/>
  <c r="K121" i="12"/>
  <c r="M121" i="12"/>
  <c r="P121" i="12"/>
  <c r="F122" i="12"/>
  <c r="G122" i="12"/>
  <c r="H122" i="12"/>
  <c r="I122" i="12"/>
  <c r="J122" i="12"/>
  <c r="K122" i="12"/>
  <c r="M122" i="12"/>
  <c r="P122" i="12"/>
  <c r="F123" i="12"/>
  <c r="G123" i="12"/>
  <c r="H123" i="12"/>
  <c r="I123" i="12"/>
  <c r="J123" i="12"/>
  <c r="K123" i="12"/>
  <c r="M123" i="12"/>
  <c r="P123" i="12"/>
  <c r="F124" i="12"/>
  <c r="G124" i="12"/>
  <c r="H124" i="12"/>
  <c r="I124" i="12"/>
  <c r="J124" i="12"/>
  <c r="K124" i="12"/>
  <c r="M124" i="12"/>
  <c r="P124" i="12"/>
  <c r="F125" i="12"/>
  <c r="G125" i="12"/>
  <c r="H125" i="12"/>
  <c r="I125" i="12"/>
  <c r="J125" i="12"/>
  <c r="K125" i="12"/>
  <c r="M125" i="12"/>
  <c r="P125" i="12"/>
  <c r="F126" i="12"/>
  <c r="G126" i="12"/>
  <c r="H126" i="12"/>
  <c r="I126" i="12"/>
  <c r="J126" i="12"/>
  <c r="K126" i="12"/>
  <c r="M126" i="12"/>
  <c r="P126" i="12"/>
  <c r="F127" i="12"/>
  <c r="G127" i="12"/>
  <c r="H127" i="12"/>
  <c r="I127" i="12"/>
  <c r="J127" i="12"/>
  <c r="K127" i="12"/>
  <c r="M127" i="12"/>
  <c r="P127" i="12"/>
  <c r="F128" i="12"/>
  <c r="G128" i="12"/>
  <c r="H128" i="12"/>
  <c r="I128" i="12"/>
  <c r="J128" i="12"/>
  <c r="K128" i="12"/>
  <c r="M128" i="12"/>
  <c r="P128" i="12"/>
  <c r="F129" i="12"/>
  <c r="G129" i="12"/>
  <c r="H129" i="12"/>
  <c r="I129" i="12"/>
  <c r="J129" i="12"/>
  <c r="K129" i="12"/>
  <c r="M129" i="12"/>
  <c r="P129" i="12"/>
  <c r="F130" i="12"/>
  <c r="G130" i="12"/>
  <c r="H130" i="12"/>
  <c r="I130" i="12"/>
  <c r="J130" i="12"/>
  <c r="K130" i="12"/>
  <c r="M130" i="12"/>
  <c r="P130" i="12"/>
  <c r="F131" i="12"/>
  <c r="G131" i="12"/>
  <c r="H131" i="12"/>
  <c r="I131" i="12"/>
  <c r="J131" i="12"/>
  <c r="K131" i="12"/>
  <c r="M131" i="12"/>
  <c r="P131" i="12"/>
  <c r="P132" i="12"/>
  <c r="M132" i="12"/>
  <c r="K132" i="12"/>
  <c r="J132" i="12"/>
  <c r="I132" i="12"/>
  <c r="H132" i="12"/>
  <c r="G132" i="12"/>
  <c r="F132" i="12"/>
  <c r="F133" i="12"/>
  <c r="H133" i="12"/>
  <c r="I133" i="12"/>
  <c r="J133" i="12"/>
  <c r="K133" i="12"/>
  <c r="M133" i="12"/>
  <c r="P133" i="12"/>
  <c r="D134" i="12"/>
  <c r="F134" i="12"/>
  <c r="H134" i="12"/>
  <c r="I134" i="12"/>
  <c r="J134" i="12"/>
  <c r="K134" i="12"/>
  <c r="M134" i="12"/>
  <c r="P134" i="12"/>
  <c r="D135" i="12"/>
  <c r="F135" i="12"/>
  <c r="H135" i="12"/>
  <c r="I135" i="12"/>
  <c r="J135" i="12"/>
  <c r="K135" i="12"/>
  <c r="M135" i="12"/>
  <c r="P135" i="12"/>
  <c r="D136" i="12"/>
  <c r="F136" i="12"/>
  <c r="H136" i="12"/>
  <c r="I136" i="12"/>
  <c r="J136" i="12"/>
  <c r="K136" i="12"/>
  <c r="M136" i="12"/>
  <c r="P136" i="12"/>
  <c r="D137" i="12"/>
  <c r="F137" i="12"/>
  <c r="H137" i="12"/>
  <c r="I137" i="12"/>
  <c r="J137" i="12"/>
  <c r="K137" i="12"/>
  <c r="M137" i="12"/>
  <c r="P137" i="12"/>
  <c r="D138" i="12"/>
  <c r="F138" i="12"/>
  <c r="H138" i="12"/>
  <c r="I138" i="12"/>
  <c r="J138" i="12"/>
  <c r="K138" i="12"/>
  <c r="M138" i="12"/>
  <c r="P138" i="12"/>
  <c r="D139" i="12"/>
  <c r="F139" i="12"/>
  <c r="H139" i="12"/>
  <c r="I139" i="12"/>
  <c r="J139" i="12"/>
  <c r="K139" i="12"/>
  <c r="M139" i="12"/>
  <c r="P139" i="12"/>
  <c r="D140" i="12"/>
  <c r="F140" i="12"/>
  <c r="H140" i="12"/>
  <c r="I140" i="12"/>
  <c r="J140" i="12"/>
  <c r="K140" i="12"/>
  <c r="M140" i="12"/>
  <c r="P140" i="12"/>
  <c r="D141" i="12"/>
  <c r="F141" i="12"/>
  <c r="H141" i="12"/>
  <c r="I141" i="12"/>
  <c r="J141" i="12"/>
  <c r="K141" i="12"/>
  <c r="M141" i="12"/>
  <c r="P141" i="12"/>
  <c r="D142" i="12"/>
  <c r="F142" i="12"/>
  <c r="H142" i="12"/>
  <c r="I142" i="12"/>
  <c r="J142" i="12"/>
  <c r="K142" i="12"/>
  <c r="M142" i="12"/>
  <c r="N142" i="12"/>
  <c r="P142" i="12"/>
  <c r="D143" i="12"/>
  <c r="F143" i="12"/>
  <c r="H143" i="12"/>
  <c r="I143" i="12"/>
  <c r="J143" i="12"/>
  <c r="K143" i="12"/>
  <c r="M143" i="12"/>
  <c r="N143" i="12"/>
  <c r="P143" i="12"/>
  <c r="D144" i="12"/>
  <c r="F144" i="12"/>
  <c r="H144" i="12"/>
  <c r="I144" i="12"/>
  <c r="J144" i="12"/>
  <c r="K144" i="12"/>
  <c r="M144" i="12"/>
  <c r="N144" i="12"/>
  <c r="P144" i="12"/>
  <c r="D145" i="12"/>
  <c r="F145" i="12"/>
  <c r="H145" i="12"/>
  <c r="I145" i="12"/>
  <c r="J145" i="12"/>
  <c r="K145" i="12"/>
  <c r="M145" i="12"/>
  <c r="N145" i="12"/>
  <c r="P145" i="12"/>
  <c r="D146" i="12"/>
  <c r="F146" i="12"/>
  <c r="H146" i="12"/>
  <c r="I146" i="12"/>
  <c r="J146" i="12"/>
  <c r="K146" i="12"/>
  <c r="M146" i="12"/>
  <c r="N146" i="12"/>
  <c r="P146" i="12"/>
  <c r="D147" i="12"/>
  <c r="F147" i="12"/>
  <c r="H147" i="12"/>
  <c r="I147" i="12"/>
  <c r="J147" i="12"/>
  <c r="K147" i="12"/>
  <c r="M147" i="12"/>
  <c r="N147" i="12"/>
  <c r="P147" i="12"/>
  <c r="D148" i="12"/>
  <c r="F148" i="12"/>
  <c r="H148" i="12"/>
  <c r="I148" i="12"/>
  <c r="J148" i="12"/>
  <c r="K148" i="12"/>
  <c r="M148" i="12"/>
  <c r="N148" i="12"/>
  <c r="P148" i="12"/>
  <c r="D149" i="12"/>
  <c r="F149" i="12"/>
  <c r="H149" i="12"/>
  <c r="I149" i="12"/>
  <c r="J149" i="12"/>
  <c r="K149" i="12"/>
  <c r="M149" i="12"/>
  <c r="N149" i="12"/>
  <c r="P149" i="12"/>
  <c r="D150" i="12"/>
  <c r="E150" i="12"/>
  <c r="F150" i="12"/>
  <c r="G150" i="12"/>
  <c r="E270" i="21"/>
  <c r="H150" i="12"/>
  <c r="I150" i="12"/>
  <c r="J150" i="12"/>
  <c r="K150" i="12"/>
  <c r="M150" i="12"/>
  <c r="AU270" i="21"/>
  <c r="N150" i="12"/>
  <c r="O150" i="12"/>
  <c r="P150" i="12"/>
  <c r="D270" i="22"/>
  <c r="Q150" i="12"/>
  <c r="D151" i="12"/>
  <c r="E151" i="12"/>
  <c r="AI271" i="21"/>
  <c r="F151" i="12"/>
  <c r="G151" i="12"/>
  <c r="E271" i="21"/>
  <c r="H151" i="12"/>
  <c r="I151" i="12"/>
  <c r="J151" i="12"/>
  <c r="K151" i="12"/>
  <c r="M151" i="12"/>
  <c r="AU271" i="21"/>
  <c r="N151" i="12"/>
  <c r="O151" i="12"/>
  <c r="P151" i="12"/>
  <c r="D271" i="22"/>
  <c r="Q151" i="12"/>
  <c r="D152" i="12"/>
  <c r="E152" i="12"/>
  <c r="F152" i="12"/>
  <c r="G152" i="12"/>
  <c r="E272" i="21"/>
  <c r="H152" i="12"/>
  <c r="I152" i="12"/>
  <c r="J152" i="12"/>
  <c r="K152" i="12"/>
  <c r="M152" i="12"/>
  <c r="AU272" i="21"/>
  <c r="N152" i="12"/>
  <c r="O152" i="12"/>
  <c r="P152" i="12"/>
  <c r="D272" i="22"/>
  <c r="Q152" i="12"/>
  <c r="D153" i="12"/>
  <c r="E153" i="12"/>
  <c r="AI273" i="21"/>
  <c r="F153" i="12"/>
  <c r="G153" i="12"/>
  <c r="E273" i="21"/>
  <c r="H153" i="12"/>
  <c r="I153" i="12"/>
  <c r="J153" i="12"/>
  <c r="K153" i="12"/>
  <c r="M153" i="12"/>
  <c r="AU273" i="21"/>
  <c r="N153" i="12"/>
  <c r="O153" i="12"/>
  <c r="P153" i="12"/>
  <c r="D273" i="22"/>
  <c r="Q153" i="12"/>
  <c r="D154" i="12"/>
  <c r="E154" i="12"/>
  <c r="F154" i="12"/>
  <c r="G154" i="12"/>
  <c r="E274" i="21"/>
  <c r="H154" i="12"/>
  <c r="I154" i="12"/>
  <c r="J154" i="12"/>
  <c r="K154" i="12"/>
  <c r="M154" i="12"/>
  <c r="AU274" i="21"/>
  <c r="N154" i="12"/>
  <c r="O154" i="12"/>
  <c r="P154" i="12"/>
  <c r="D274" i="22"/>
  <c r="Q154" i="12"/>
  <c r="D155" i="12"/>
  <c r="E155" i="12"/>
  <c r="AI275" i="21"/>
  <c r="F155" i="12"/>
  <c r="G155" i="12"/>
  <c r="E275" i="21"/>
  <c r="H155" i="12"/>
  <c r="I155" i="12"/>
  <c r="J155" i="12"/>
  <c r="K155" i="12"/>
  <c r="M155" i="12"/>
  <c r="AU275" i="21"/>
  <c r="N155" i="12"/>
  <c r="O155" i="12"/>
  <c r="P155" i="12"/>
  <c r="D275" i="22"/>
  <c r="Q155" i="12"/>
  <c r="D156" i="12"/>
  <c r="E156" i="12"/>
  <c r="F156" i="12"/>
  <c r="G156" i="12"/>
  <c r="E276" i="21"/>
  <c r="H156" i="12"/>
  <c r="I156" i="12"/>
  <c r="J156" i="12"/>
  <c r="K156" i="12"/>
  <c r="M156" i="12"/>
  <c r="AU276" i="21"/>
  <c r="N156" i="12"/>
  <c r="O156" i="12"/>
  <c r="P156" i="12"/>
  <c r="D276" i="22"/>
  <c r="Q156" i="12"/>
  <c r="D157" i="12"/>
  <c r="E157" i="12"/>
  <c r="AI277" i="21"/>
  <c r="F157" i="12"/>
  <c r="AJ277" i="21"/>
  <c r="G157" i="12"/>
  <c r="E277" i="21"/>
  <c r="H157" i="12"/>
  <c r="I157" i="12"/>
  <c r="J157" i="12"/>
  <c r="K157" i="12"/>
  <c r="M157" i="12"/>
  <c r="AU277" i="21"/>
  <c r="N157" i="12"/>
  <c r="O157" i="12"/>
  <c r="P157" i="12"/>
  <c r="D277" i="22"/>
  <c r="Q157" i="12"/>
  <c r="D158" i="12"/>
  <c r="E158" i="12"/>
  <c r="F158" i="12"/>
  <c r="AJ278" i="21"/>
  <c r="G158" i="12"/>
  <c r="E278" i="21"/>
  <c r="H158" i="12"/>
  <c r="F278" i="21"/>
  <c r="I158" i="12"/>
  <c r="J158" i="12"/>
  <c r="K158" i="12"/>
  <c r="M158" i="12"/>
  <c r="AU278" i="21"/>
  <c r="N158" i="12"/>
  <c r="O158" i="12"/>
  <c r="P158" i="12"/>
  <c r="D278" i="22"/>
  <c r="Q158" i="12"/>
  <c r="D159" i="12"/>
  <c r="E159" i="12"/>
  <c r="AI279" i="21"/>
  <c r="F159" i="12"/>
  <c r="AJ279" i="21"/>
  <c r="G159" i="12"/>
  <c r="E279" i="21"/>
  <c r="H159" i="12"/>
  <c r="F279" i="21"/>
  <c r="I159" i="12"/>
  <c r="J159" i="12"/>
  <c r="K159" i="12"/>
  <c r="M159" i="12"/>
  <c r="AU279" i="21"/>
  <c r="N159" i="12"/>
  <c r="O159" i="12"/>
  <c r="P159" i="12"/>
  <c r="D279" i="22"/>
  <c r="Q159" i="12"/>
  <c r="D160" i="12"/>
  <c r="E160" i="12"/>
  <c r="F160" i="12"/>
  <c r="G160" i="12"/>
  <c r="H160" i="12"/>
  <c r="I160" i="12"/>
  <c r="J160" i="12"/>
  <c r="K160" i="12"/>
  <c r="L160" i="12"/>
  <c r="M160" i="12"/>
  <c r="AU280" i="21"/>
  <c r="BH280" i="21"/>
  <c r="N160" i="12"/>
  <c r="O160" i="12"/>
  <c r="P160" i="12"/>
  <c r="Q160" i="12"/>
  <c r="D161" i="12"/>
  <c r="E161" i="12"/>
  <c r="F161" i="12"/>
  <c r="G161" i="12"/>
  <c r="H161" i="12"/>
  <c r="I161" i="12"/>
  <c r="J161" i="12"/>
  <c r="K161" i="12"/>
  <c r="L161" i="12"/>
  <c r="M161" i="12"/>
  <c r="AU281" i="21"/>
  <c r="BH281" i="21"/>
  <c r="N161" i="12"/>
  <c r="O161" i="12"/>
  <c r="P161" i="12"/>
  <c r="Q161" i="12"/>
  <c r="C162" i="12"/>
  <c r="D162" i="12"/>
  <c r="E162" i="12"/>
  <c r="AI282" i="21"/>
  <c r="F162" i="12"/>
  <c r="G162" i="12"/>
  <c r="H162" i="12"/>
  <c r="I162" i="12"/>
  <c r="J162" i="12"/>
  <c r="K162" i="12"/>
  <c r="L162" i="12"/>
  <c r="M162" i="12"/>
  <c r="AU282" i="21"/>
  <c r="BH282" i="21"/>
  <c r="N162" i="12"/>
  <c r="O162" i="12"/>
  <c r="P162" i="12"/>
  <c r="Q162" i="12"/>
  <c r="C163" i="12"/>
  <c r="D163" i="12"/>
  <c r="E163" i="12"/>
  <c r="F163" i="12"/>
  <c r="G163" i="12"/>
  <c r="H163" i="12"/>
  <c r="I163" i="12"/>
  <c r="J163" i="12"/>
  <c r="K163" i="12"/>
  <c r="L163" i="12"/>
  <c r="M163" i="12"/>
  <c r="AU283" i="21"/>
  <c r="BH283" i="21"/>
  <c r="N163" i="12"/>
  <c r="O163" i="12"/>
  <c r="P163" i="12"/>
  <c r="Q163" i="12"/>
  <c r="C164" i="12"/>
  <c r="D164" i="12"/>
  <c r="E164" i="12"/>
  <c r="AI284" i="21"/>
  <c r="F164" i="12"/>
  <c r="G164" i="12"/>
  <c r="H164" i="12"/>
  <c r="I164" i="12"/>
  <c r="J164" i="12"/>
  <c r="K164" i="12"/>
  <c r="L164" i="12"/>
  <c r="M164" i="12"/>
  <c r="AU284" i="21"/>
  <c r="BH284" i="21"/>
  <c r="N164" i="12"/>
  <c r="O164" i="12"/>
  <c r="P164" i="12"/>
  <c r="Q164" i="12"/>
  <c r="C165" i="12"/>
  <c r="D165" i="12"/>
  <c r="E165" i="12"/>
  <c r="F165" i="12"/>
  <c r="G165" i="12"/>
  <c r="H165" i="12"/>
  <c r="I165" i="12"/>
  <c r="J165" i="12"/>
  <c r="K165" i="12"/>
  <c r="L165" i="12"/>
  <c r="M165" i="12"/>
  <c r="AU285" i="21"/>
  <c r="BH285" i="21"/>
  <c r="N165" i="12"/>
  <c r="O165" i="12"/>
  <c r="P165" i="12"/>
  <c r="Q165" i="12"/>
  <c r="C166" i="12"/>
  <c r="D166" i="12"/>
  <c r="E166" i="12"/>
  <c r="AI286" i="21"/>
  <c r="F166" i="12"/>
  <c r="G166" i="12"/>
  <c r="H166" i="12"/>
  <c r="I166" i="12"/>
  <c r="J166" i="12"/>
  <c r="K166" i="12"/>
  <c r="L166" i="12"/>
  <c r="M166" i="12"/>
  <c r="AU286" i="21"/>
  <c r="BH286" i="21"/>
  <c r="N166" i="12"/>
  <c r="O166" i="12"/>
  <c r="P166" i="12"/>
  <c r="Q166" i="12"/>
  <c r="C167" i="12"/>
  <c r="D167" i="12"/>
  <c r="E167" i="12"/>
  <c r="F167" i="12"/>
  <c r="G167" i="12"/>
  <c r="H167" i="12"/>
  <c r="I167" i="12"/>
  <c r="J167" i="12"/>
  <c r="K167" i="12"/>
  <c r="L167" i="12"/>
  <c r="M167" i="12"/>
  <c r="AU287" i="21"/>
  <c r="BH287" i="21"/>
  <c r="N167" i="12"/>
  <c r="O167" i="12"/>
  <c r="P167" i="12"/>
  <c r="Q167" i="12"/>
  <c r="C168" i="12"/>
  <c r="D168" i="12"/>
  <c r="E168" i="12"/>
  <c r="AI288" i="21"/>
  <c r="F168" i="12"/>
  <c r="G168" i="12"/>
  <c r="H168" i="12"/>
  <c r="I168" i="12"/>
  <c r="J168" i="12"/>
  <c r="K168" i="12"/>
  <c r="L168" i="12"/>
  <c r="M168" i="12"/>
  <c r="AU288" i="21"/>
  <c r="BH288" i="21"/>
  <c r="N168" i="12"/>
  <c r="O168" i="12"/>
  <c r="P168" i="12"/>
  <c r="Q168" i="12"/>
  <c r="C169" i="12"/>
  <c r="D169" i="12"/>
  <c r="E169" i="12"/>
  <c r="F169" i="12"/>
  <c r="G169" i="12"/>
  <c r="H169" i="12"/>
  <c r="I169" i="12"/>
  <c r="J169" i="12"/>
  <c r="K169" i="12"/>
  <c r="L169" i="12"/>
  <c r="M169" i="12"/>
  <c r="AU289" i="21"/>
  <c r="BH289" i="21"/>
  <c r="N169" i="12"/>
  <c r="O169" i="12"/>
  <c r="P169" i="12"/>
  <c r="Q169" i="12"/>
  <c r="C170" i="12"/>
  <c r="D170" i="12"/>
  <c r="E170" i="12"/>
  <c r="AI290" i="21"/>
  <c r="F170" i="12"/>
  <c r="G170" i="12"/>
  <c r="H170" i="12"/>
  <c r="I170" i="12"/>
  <c r="J170" i="12"/>
  <c r="K170" i="12"/>
  <c r="L170" i="12"/>
  <c r="M170" i="12"/>
  <c r="N170" i="12"/>
  <c r="O170" i="12"/>
  <c r="P170" i="12"/>
  <c r="Q170" i="12"/>
  <c r="C171" i="12"/>
  <c r="D171" i="12"/>
  <c r="E171" i="12"/>
  <c r="F171" i="12"/>
  <c r="G171" i="12"/>
  <c r="H171" i="12"/>
  <c r="I171" i="12"/>
  <c r="J171" i="12"/>
  <c r="K171" i="12"/>
  <c r="L171" i="12"/>
  <c r="M171" i="12"/>
  <c r="N171" i="12"/>
  <c r="O171" i="12"/>
  <c r="P171" i="12"/>
  <c r="Q171" i="12"/>
  <c r="C172" i="12"/>
  <c r="D172" i="12"/>
  <c r="E172" i="12"/>
  <c r="AI292" i="21"/>
  <c r="F172" i="12"/>
  <c r="G172" i="12"/>
  <c r="H172" i="12"/>
  <c r="I172" i="12"/>
  <c r="J172" i="12"/>
  <c r="K172" i="12"/>
  <c r="L172" i="12"/>
  <c r="M172" i="12"/>
  <c r="N172" i="12"/>
  <c r="O172" i="12"/>
  <c r="P172" i="12"/>
  <c r="Q172" i="12"/>
  <c r="C173" i="12"/>
  <c r="D173" i="12"/>
  <c r="E173" i="12"/>
  <c r="F173" i="12"/>
  <c r="G173" i="12"/>
  <c r="H173" i="12"/>
  <c r="I173" i="12"/>
  <c r="J173" i="12"/>
  <c r="K173" i="12"/>
  <c r="L173" i="12"/>
  <c r="M173" i="12"/>
  <c r="N173" i="12"/>
  <c r="O173" i="12"/>
  <c r="P173" i="12"/>
  <c r="Q173" i="12"/>
  <c r="C174" i="12"/>
  <c r="D174" i="12"/>
  <c r="E174" i="12"/>
  <c r="AI294" i="21"/>
  <c r="F174" i="12"/>
  <c r="G174" i="12"/>
  <c r="H174" i="12"/>
  <c r="I174" i="12"/>
  <c r="J174" i="12"/>
  <c r="K174" i="12"/>
  <c r="L174" i="12"/>
  <c r="M174" i="12"/>
  <c r="N174" i="12"/>
  <c r="O174" i="12"/>
  <c r="P174" i="12"/>
  <c r="Q174" i="12"/>
  <c r="C175" i="12"/>
  <c r="D175" i="12"/>
  <c r="E175" i="12"/>
  <c r="F175" i="12"/>
  <c r="G175" i="12"/>
  <c r="H175" i="12"/>
  <c r="I175" i="12"/>
  <c r="J175" i="12"/>
  <c r="K175" i="12"/>
  <c r="L175" i="12"/>
  <c r="M175" i="12"/>
  <c r="N175" i="12"/>
  <c r="O175" i="12"/>
  <c r="P175" i="12"/>
  <c r="Q175" i="12"/>
  <c r="C176" i="12"/>
  <c r="D176" i="12"/>
  <c r="E176" i="12"/>
  <c r="AI296" i="21"/>
  <c r="F176" i="12"/>
  <c r="G176" i="12"/>
  <c r="H176" i="12"/>
  <c r="I176" i="12"/>
  <c r="J176" i="12"/>
  <c r="K176" i="12"/>
  <c r="L176" i="12"/>
  <c r="M176" i="12"/>
  <c r="N176" i="12"/>
  <c r="O176" i="12"/>
  <c r="P176" i="12"/>
  <c r="Q176" i="12"/>
  <c r="C177" i="12"/>
  <c r="D177" i="12"/>
  <c r="E177" i="12"/>
  <c r="F177" i="12"/>
  <c r="G177" i="12"/>
  <c r="H177" i="12"/>
  <c r="I177" i="12"/>
  <c r="J177" i="12"/>
  <c r="K177" i="12"/>
  <c r="L177" i="12"/>
  <c r="M177" i="12"/>
  <c r="N177" i="12"/>
  <c r="O177" i="12"/>
  <c r="P177" i="12"/>
  <c r="Q177" i="12"/>
  <c r="C178" i="12"/>
  <c r="D178" i="12"/>
  <c r="E178" i="12"/>
  <c r="AI298" i="21"/>
  <c r="F178" i="12"/>
  <c r="G178" i="12"/>
  <c r="H178" i="12"/>
  <c r="I178" i="12"/>
  <c r="J178" i="12"/>
  <c r="K178" i="12"/>
  <c r="L178" i="12"/>
  <c r="M178" i="12"/>
  <c r="N178" i="12"/>
  <c r="O178" i="12"/>
  <c r="P178" i="12"/>
  <c r="Q178" i="12"/>
  <c r="C179" i="12"/>
  <c r="D179" i="12"/>
  <c r="E179" i="12"/>
  <c r="F179" i="12"/>
  <c r="G179" i="12"/>
  <c r="H179" i="12"/>
  <c r="I179" i="12"/>
  <c r="J179" i="12"/>
  <c r="K179" i="12"/>
  <c r="L179" i="12"/>
  <c r="M179" i="12"/>
  <c r="N179" i="12"/>
  <c r="O179" i="12"/>
  <c r="P179" i="12"/>
  <c r="Q179" i="12"/>
  <c r="C180" i="12"/>
  <c r="D180" i="12"/>
  <c r="E180" i="12"/>
  <c r="F180" i="12"/>
  <c r="G180" i="12"/>
  <c r="H180" i="12"/>
  <c r="I180" i="12"/>
  <c r="J180" i="12"/>
  <c r="K180" i="12"/>
  <c r="L180" i="12"/>
  <c r="M180" i="12"/>
  <c r="N180" i="12"/>
  <c r="O180" i="12"/>
  <c r="P180" i="12"/>
  <c r="Q180" i="12"/>
  <c r="C181" i="12"/>
  <c r="D181" i="12"/>
  <c r="E181" i="12"/>
  <c r="F181" i="12"/>
  <c r="G181" i="12"/>
  <c r="H181" i="12"/>
  <c r="I181" i="12"/>
  <c r="J181" i="12"/>
  <c r="K181" i="12"/>
  <c r="L181" i="12"/>
  <c r="M181" i="12"/>
  <c r="N181" i="12"/>
  <c r="O181" i="12"/>
  <c r="P181" i="12"/>
  <c r="Q181" i="12"/>
  <c r="C182" i="12"/>
  <c r="D182" i="12"/>
  <c r="E182" i="12"/>
  <c r="F182" i="12"/>
  <c r="G182" i="12"/>
  <c r="H182" i="12"/>
  <c r="I182" i="12"/>
  <c r="J182" i="12"/>
  <c r="K182" i="12"/>
  <c r="L182" i="12"/>
  <c r="M182" i="12"/>
  <c r="N182" i="12"/>
  <c r="O182" i="12"/>
  <c r="P182" i="12"/>
  <c r="Q182" i="12"/>
  <c r="C183" i="12"/>
  <c r="D183" i="12"/>
  <c r="E183" i="12"/>
  <c r="F183" i="12"/>
  <c r="G183" i="12"/>
  <c r="H183" i="12"/>
  <c r="I183" i="12"/>
  <c r="J183" i="12"/>
  <c r="K183" i="12"/>
  <c r="L183" i="12"/>
  <c r="M183" i="12"/>
  <c r="N183" i="12"/>
  <c r="O183" i="12"/>
  <c r="P183" i="12"/>
  <c r="Q183" i="12"/>
  <c r="C184" i="12"/>
  <c r="D184" i="12"/>
  <c r="E184" i="12"/>
  <c r="F184" i="12"/>
  <c r="G184" i="12"/>
  <c r="H184" i="12"/>
  <c r="I184" i="12"/>
  <c r="J184" i="12"/>
  <c r="K184" i="12"/>
  <c r="L184" i="12"/>
  <c r="M184" i="12"/>
  <c r="N184" i="12"/>
  <c r="O184" i="12"/>
  <c r="P184" i="12"/>
  <c r="Q184" i="12"/>
  <c r="C185" i="12"/>
  <c r="D185" i="12"/>
  <c r="E185" i="12"/>
  <c r="F185" i="12"/>
  <c r="G185" i="12"/>
  <c r="H185" i="12"/>
  <c r="I185" i="12"/>
  <c r="J185" i="12"/>
  <c r="K185" i="12"/>
  <c r="L185" i="12"/>
  <c r="M185" i="12"/>
  <c r="N185" i="12"/>
  <c r="O185" i="12"/>
  <c r="P185" i="12"/>
  <c r="Q185" i="12"/>
  <c r="C186" i="12"/>
  <c r="D186" i="12"/>
  <c r="E186" i="12"/>
  <c r="F186" i="12"/>
  <c r="G186" i="12"/>
  <c r="H186" i="12"/>
  <c r="I186" i="12"/>
  <c r="J186" i="12"/>
  <c r="K186" i="12"/>
  <c r="L186" i="12"/>
  <c r="M186" i="12"/>
  <c r="N186" i="12"/>
  <c r="O186" i="12"/>
  <c r="P186" i="12"/>
  <c r="Q186" i="12"/>
  <c r="C187" i="12"/>
  <c r="D187" i="12"/>
  <c r="E187" i="12"/>
  <c r="F187" i="12"/>
  <c r="G187" i="12"/>
  <c r="H187" i="12"/>
  <c r="I187" i="12"/>
  <c r="J187" i="12"/>
  <c r="K187" i="12"/>
  <c r="L187" i="12"/>
  <c r="M187" i="12"/>
  <c r="N187" i="12"/>
  <c r="O187" i="12"/>
  <c r="P187" i="12"/>
  <c r="Q187" i="12"/>
  <c r="C188" i="12"/>
  <c r="D188" i="12"/>
  <c r="E188" i="12"/>
  <c r="F188" i="12"/>
  <c r="G188" i="12"/>
  <c r="H188" i="12"/>
  <c r="I188" i="12"/>
  <c r="J188" i="12"/>
  <c r="K188" i="12"/>
  <c r="L188" i="12"/>
  <c r="M188" i="12"/>
  <c r="N188" i="12"/>
  <c r="O188" i="12"/>
  <c r="P188" i="12"/>
  <c r="Q188" i="12"/>
  <c r="C189" i="12"/>
  <c r="D189" i="12"/>
  <c r="E189" i="12"/>
  <c r="F189" i="12"/>
  <c r="G189" i="12"/>
  <c r="H189" i="12"/>
  <c r="I189" i="12"/>
  <c r="J189" i="12"/>
  <c r="K189" i="12"/>
  <c r="L189" i="12"/>
  <c r="M189" i="12"/>
  <c r="N189" i="12"/>
  <c r="O189" i="12"/>
  <c r="P189" i="12"/>
  <c r="Q189" i="12"/>
  <c r="C190" i="12"/>
  <c r="D190" i="12"/>
  <c r="E190" i="12"/>
  <c r="F190" i="12"/>
  <c r="G190" i="12"/>
  <c r="H190" i="12"/>
  <c r="I190" i="12"/>
  <c r="J190" i="12"/>
  <c r="K190" i="12"/>
  <c r="L190" i="12"/>
  <c r="M190" i="12"/>
  <c r="N190" i="12"/>
  <c r="O190" i="12"/>
  <c r="P190" i="12"/>
  <c r="Q190" i="12"/>
  <c r="C191" i="12"/>
  <c r="D191" i="12"/>
  <c r="E191" i="12"/>
  <c r="F191" i="12"/>
  <c r="G191" i="12"/>
  <c r="H191" i="12"/>
  <c r="I191" i="12"/>
  <c r="J191" i="12"/>
  <c r="K191" i="12"/>
  <c r="L191" i="12"/>
  <c r="M191" i="12"/>
  <c r="N191" i="12"/>
  <c r="O191" i="12"/>
  <c r="P191" i="12"/>
  <c r="Q191" i="12"/>
  <c r="C192" i="12"/>
  <c r="D192" i="12"/>
  <c r="E192" i="12"/>
  <c r="F192" i="12"/>
  <c r="G192" i="12"/>
  <c r="H192" i="12"/>
  <c r="I192" i="12"/>
  <c r="J192" i="12"/>
  <c r="K192" i="12"/>
  <c r="L192" i="12"/>
  <c r="M192" i="12"/>
  <c r="N192" i="12"/>
  <c r="O192" i="12"/>
  <c r="P192" i="12"/>
  <c r="Q192" i="12"/>
  <c r="C193" i="12"/>
  <c r="D193" i="12"/>
  <c r="E193" i="12"/>
  <c r="F193" i="12"/>
  <c r="G193" i="12"/>
  <c r="H193" i="12"/>
  <c r="I193" i="12"/>
  <c r="J193" i="12"/>
  <c r="K193" i="12"/>
  <c r="L193" i="12"/>
  <c r="M193" i="12"/>
  <c r="N193" i="12"/>
  <c r="O193" i="12"/>
  <c r="P193" i="12"/>
  <c r="Q193" i="12"/>
  <c r="C194" i="12"/>
  <c r="D194" i="12"/>
  <c r="E194" i="12"/>
  <c r="F194" i="12"/>
  <c r="G194" i="12"/>
  <c r="H194" i="12"/>
  <c r="I194" i="12"/>
  <c r="J194" i="12"/>
  <c r="K194" i="12"/>
  <c r="L194" i="12"/>
  <c r="M194" i="12"/>
  <c r="N194" i="12"/>
  <c r="O194" i="12"/>
  <c r="P194" i="12"/>
  <c r="Q194" i="12"/>
  <c r="C195" i="12"/>
  <c r="D195" i="12"/>
  <c r="E195" i="12"/>
  <c r="F195" i="12"/>
  <c r="G195" i="12"/>
  <c r="H195" i="12"/>
  <c r="I195" i="12"/>
  <c r="J195" i="12"/>
  <c r="K195" i="12"/>
  <c r="L195" i="12"/>
  <c r="M195" i="12"/>
  <c r="N195" i="12"/>
  <c r="O195" i="12"/>
  <c r="P195" i="12"/>
  <c r="Q195" i="12"/>
  <c r="C196" i="12"/>
  <c r="D196" i="12"/>
  <c r="E196" i="12"/>
  <c r="F196" i="12"/>
  <c r="G196" i="12"/>
  <c r="H196" i="12"/>
  <c r="I196" i="12"/>
  <c r="J196" i="12"/>
  <c r="K196" i="12"/>
  <c r="L196" i="12"/>
  <c r="M196" i="12"/>
  <c r="N196" i="12"/>
  <c r="O196" i="12"/>
  <c r="P196" i="12"/>
  <c r="Q196" i="12"/>
  <c r="Q197" i="12"/>
  <c r="P197" i="12"/>
  <c r="O197" i="12"/>
  <c r="N197" i="12"/>
  <c r="M197" i="12"/>
  <c r="L197" i="12"/>
  <c r="K197" i="12"/>
  <c r="J197" i="12"/>
  <c r="I197" i="12"/>
  <c r="H197" i="12"/>
  <c r="G197" i="12"/>
  <c r="F197" i="12"/>
  <c r="E197" i="12"/>
  <c r="D197" i="12"/>
  <c r="C197" i="12"/>
  <c r="C198" i="12"/>
  <c r="D198" i="12"/>
  <c r="E198" i="12"/>
  <c r="F198" i="12"/>
  <c r="G198" i="12"/>
  <c r="H198" i="12"/>
  <c r="I198" i="12"/>
  <c r="J198" i="12"/>
  <c r="K198" i="12"/>
  <c r="L198" i="12"/>
  <c r="M198" i="12"/>
  <c r="N198" i="12"/>
  <c r="O198" i="12"/>
  <c r="P198" i="12"/>
  <c r="Q198" i="12"/>
  <c r="C199" i="12"/>
  <c r="D199" i="12"/>
  <c r="E199" i="12"/>
  <c r="F199" i="12"/>
  <c r="G199" i="12"/>
  <c r="H199" i="12"/>
  <c r="I199" i="12"/>
  <c r="J199" i="12"/>
  <c r="K199" i="12"/>
  <c r="L199" i="12"/>
  <c r="M199" i="12"/>
  <c r="N199" i="12"/>
  <c r="O199" i="12"/>
  <c r="P199" i="12"/>
  <c r="Q199" i="12"/>
  <c r="C200" i="12"/>
  <c r="D200" i="12"/>
  <c r="E200" i="12"/>
  <c r="F200" i="12"/>
  <c r="G200" i="12"/>
  <c r="H200" i="12"/>
  <c r="I200" i="12"/>
  <c r="J200" i="12"/>
  <c r="K200" i="12"/>
  <c r="L200" i="12"/>
  <c r="M200" i="12"/>
  <c r="N200" i="12"/>
  <c r="O200" i="12"/>
  <c r="P200" i="12"/>
  <c r="Q200" i="12"/>
  <c r="C201" i="12"/>
  <c r="D201" i="12"/>
  <c r="E201" i="12"/>
  <c r="F201" i="12"/>
  <c r="G201" i="12"/>
  <c r="H201" i="12"/>
  <c r="I201" i="12"/>
  <c r="J201" i="12"/>
  <c r="K201" i="12"/>
  <c r="L201" i="12"/>
  <c r="M201" i="12"/>
  <c r="N201" i="12"/>
  <c r="O201" i="12"/>
  <c r="P201" i="12"/>
  <c r="Q201" i="12"/>
  <c r="C202" i="12"/>
  <c r="D202" i="12"/>
  <c r="E202" i="12"/>
  <c r="F202" i="12"/>
  <c r="G202" i="12"/>
  <c r="H202" i="12"/>
  <c r="I202" i="12"/>
  <c r="J202" i="12"/>
  <c r="K202" i="12"/>
  <c r="L202" i="12"/>
  <c r="M202" i="12"/>
  <c r="N202" i="12"/>
  <c r="O202" i="12"/>
  <c r="P202" i="12"/>
  <c r="Q202" i="12"/>
  <c r="C203" i="12"/>
  <c r="D203" i="12"/>
  <c r="E203" i="12"/>
  <c r="F203" i="12"/>
  <c r="G203" i="12"/>
  <c r="H203" i="12"/>
  <c r="I203" i="12"/>
  <c r="J203" i="12"/>
  <c r="K203" i="12"/>
  <c r="L203" i="12"/>
  <c r="M203" i="12"/>
  <c r="N203" i="12"/>
  <c r="O203" i="12"/>
  <c r="P203" i="12"/>
  <c r="Q203" i="12"/>
  <c r="C204" i="12"/>
  <c r="D204" i="12"/>
  <c r="E204" i="12"/>
  <c r="F204" i="12"/>
  <c r="G204" i="12"/>
  <c r="H204" i="12"/>
  <c r="I204" i="12"/>
  <c r="J204" i="12"/>
  <c r="K204" i="12"/>
  <c r="L204" i="12"/>
  <c r="M204" i="12"/>
  <c r="N204" i="12"/>
  <c r="O204" i="12"/>
  <c r="P204" i="12"/>
  <c r="Q204" i="12"/>
  <c r="C205" i="12"/>
  <c r="D205" i="12"/>
  <c r="E205" i="12"/>
  <c r="F205" i="12"/>
  <c r="G205" i="12"/>
  <c r="H205" i="12"/>
  <c r="I205" i="12"/>
  <c r="J205" i="12"/>
  <c r="K205" i="12"/>
  <c r="L205" i="12"/>
  <c r="M205" i="12"/>
  <c r="N205" i="12"/>
  <c r="O205" i="12"/>
  <c r="P205" i="12"/>
  <c r="Q205" i="12"/>
  <c r="C206" i="12"/>
  <c r="D206" i="12"/>
  <c r="E206" i="12"/>
  <c r="F206" i="12"/>
  <c r="G206" i="12"/>
  <c r="H206" i="12"/>
  <c r="I206" i="12"/>
  <c r="J206" i="12"/>
  <c r="K206" i="12"/>
  <c r="L206" i="12"/>
  <c r="M206" i="12"/>
  <c r="N206" i="12"/>
  <c r="O206" i="12"/>
  <c r="P206" i="12"/>
  <c r="Q206" i="12"/>
  <c r="C207" i="12"/>
  <c r="D207" i="12"/>
  <c r="E207" i="12"/>
  <c r="F207" i="12"/>
  <c r="G207" i="12"/>
  <c r="H207" i="12"/>
  <c r="I207" i="12"/>
  <c r="J207" i="12"/>
  <c r="K207" i="12"/>
  <c r="L207" i="12"/>
  <c r="M207" i="12"/>
  <c r="N207" i="12"/>
  <c r="O207" i="12"/>
  <c r="P207" i="12"/>
  <c r="Q207" i="12"/>
  <c r="C208" i="12"/>
  <c r="D208" i="12"/>
  <c r="E208" i="12"/>
  <c r="F208" i="12"/>
  <c r="G208" i="12"/>
  <c r="H208" i="12"/>
  <c r="I208" i="12"/>
  <c r="J208" i="12"/>
  <c r="K208" i="12"/>
  <c r="L208" i="12"/>
  <c r="M208" i="12"/>
  <c r="N208" i="12"/>
  <c r="O208" i="12"/>
  <c r="P208" i="12"/>
  <c r="Q208" i="12"/>
  <c r="H111" i="9"/>
  <c r="H112" i="9"/>
  <c r="H113" i="9"/>
  <c r="H114" i="9"/>
  <c r="H115" i="9"/>
  <c r="H116" i="9"/>
  <c r="H117" i="9"/>
  <c r="H118" i="9"/>
  <c r="H119" i="9"/>
  <c r="H120" i="9"/>
  <c r="H121" i="9"/>
  <c r="H122" i="9"/>
  <c r="H123" i="9"/>
  <c r="H124" i="9"/>
  <c r="E124" i="9"/>
  <c r="O124" i="9"/>
  <c r="Q124" i="9"/>
  <c r="H125" i="9"/>
  <c r="H126" i="9"/>
  <c r="H127" i="9"/>
  <c r="H128" i="9"/>
  <c r="E128" i="9"/>
  <c r="O128" i="9"/>
  <c r="Q128" i="9"/>
  <c r="H129" i="9"/>
  <c r="H130" i="9"/>
  <c r="H131" i="9"/>
  <c r="H132" i="9"/>
  <c r="H133" i="9"/>
  <c r="H134" i="9"/>
  <c r="H135" i="9"/>
  <c r="H136" i="9"/>
  <c r="H137" i="9"/>
  <c r="H138" i="9"/>
  <c r="H139" i="9"/>
  <c r="B134" i="12"/>
  <c r="B135" i="12"/>
  <c r="B136" i="12"/>
  <c r="B137" i="12"/>
  <c r="B138" i="12"/>
  <c r="B133" i="12"/>
  <c r="B112" i="12"/>
  <c r="B113" i="12"/>
  <c r="B114" i="12"/>
  <c r="B115" i="12"/>
  <c r="B116" i="12"/>
  <c r="B117" i="12"/>
  <c r="B118" i="12"/>
  <c r="B119" i="12"/>
  <c r="B120" i="12"/>
  <c r="B121" i="12"/>
  <c r="B122" i="12"/>
  <c r="B123" i="12"/>
  <c r="B124" i="12"/>
  <c r="B125" i="12"/>
  <c r="B126" i="12"/>
  <c r="B127" i="12"/>
  <c r="B128" i="12"/>
  <c r="B129" i="12"/>
  <c r="B130" i="12"/>
  <c r="B131" i="12"/>
  <c r="B132" i="12"/>
  <c r="B111" i="12"/>
  <c r="B110" i="12"/>
  <c r="Q71" i="12"/>
  <c r="AJ66" i="12"/>
  <c r="AJ65" i="12"/>
  <c r="AH65" i="12"/>
  <c r="AJ64" i="12"/>
  <c r="AH64" i="12"/>
  <c r="Q64" i="12"/>
  <c r="AJ62" i="12"/>
  <c r="AJ61" i="12"/>
  <c r="AJ58" i="12"/>
  <c r="AH58" i="12"/>
  <c r="AJ57" i="12"/>
  <c r="AH57" i="12"/>
  <c r="O57" i="12"/>
  <c r="BG177" i="21"/>
  <c r="AJ56" i="12"/>
  <c r="AJ54" i="12"/>
  <c r="AH54" i="12"/>
  <c r="Q54" i="12"/>
  <c r="AJ53" i="12"/>
  <c r="AH53" i="12"/>
  <c r="AJ52" i="12"/>
  <c r="AH52" i="12"/>
  <c r="Q52" i="12"/>
  <c r="AJ50" i="12"/>
  <c r="AJ46" i="12"/>
  <c r="AJ45" i="12"/>
  <c r="AJ41" i="12"/>
  <c r="AJ37" i="12"/>
  <c r="AJ33" i="12"/>
  <c r="AH33" i="12"/>
  <c r="AJ32" i="12"/>
  <c r="AH32" i="12"/>
  <c r="AJ31" i="12"/>
  <c r="AH31" i="12"/>
  <c r="AJ30" i="12"/>
  <c r="AJ28" i="12"/>
  <c r="AH28" i="12"/>
  <c r="AJ26" i="12"/>
  <c r="AH26" i="12"/>
  <c r="AJ25" i="12"/>
  <c r="AH25" i="12"/>
  <c r="Q25" i="12"/>
  <c r="AJ24" i="12"/>
  <c r="AJ22" i="12"/>
  <c r="AH22" i="12"/>
  <c r="Q22" i="12"/>
  <c r="AJ21" i="12"/>
  <c r="AJ18" i="12"/>
  <c r="AH18" i="12"/>
  <c r="O18" i="12"/>
  <c r="BG138" i="21"/>
  <c r="AJ17" i="12"/>
  <c r="AJ14"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G100" i="12"/>
  <c r="AG101" i="12"/>
  <c r="AG102" i="12"/>
  <c r="AG103" i="12"/>
  <c r="AG104" i="12"/>
  <c r="AG109" i="12"/>
  <c r="AG110" i="12"/>
  <c r="AG72" i="12"/>
  <c r="AJ35" i="12"/>
  <c r="AH35" i="12"/>
  <c r="Q35" i="12"/>
  <c r="AJ39" i="12"/>
  <c r="AH39" i="12"/>
  <c r="AV181" i="12"/>
  <c r="AU181" i="12"/>
  <c r="AT181" i="12"/>
  <c r="AR181" i="12"/>
  <c r="AV180" i="12"/>
  <c r="AU180" i="12"/>
  <c r="AT180" i="12"/>
  <c r="AR180" i="12"/>
  <c r="AV179" i="12"/>
  <c r="AU179" i="12"/>
  <c r="AT179" i="12"/>
  <c r="AR179" i="12"/>
  <c r="AV178" i="12"/>
  <c r="AU178" i="12"/>
  <c r="AT178" i="12"/>
  <c r="AR178" i="12"/>
  <c r="AQ178" i="12"/>
  <c r="AV177" i="12"/>
  <c r="AU177" i="12"/>
  <c r="AT177" i="12"/>
  <c r="AR177" i="12"/>
  <c r="AQ177" i="12"/>
  <c r="AV176" i="12"/>
  <c r="AU176" i="12"/>
  <c r="AT176" i="12"/>
  <c r="AR176" i="12"/>
  <c r="AQ176" i="12"/>
  <c r="AV175" i="12"/>
  <c r="AU175" i="12"/>
  <c r="AT175" i="12"/>
  <c r="AR175" i="12"/>
  <c r="AQ175" i="12"/>
  <c r="AV174" i="12"/>
  <c r="AU174" i="12"/>
  <c r="AT174" i="12"/>
  <c r="AR174" i="12"/>
  <c r="AQ174" i="12"/>
  <c r="AV173" i="12"/>
  <c r="AU173" i="12"/>
  <c r="AT173" i="12"/>
  <c r="AR173" i="12"/>
  <c r="AQ173" i="12"/>
  <c r="AV172" i="12"/>
  <c r="AU172" i="12"/>
  <c r="AT172" i="12"/>
  <c r="AR172" i="12"/>
  <c r="AQ172" i="12"/>
  <c r="AV171" i="12"/>
  <c r="AU171" i="12"/>
  <c r="AT171" i="12"/>
  <c r="AR171" i="12"/>
  <c r="AQ171" i="12"/>
  <c r="AV170" i="12"/>
  <c r="AU170" i="12"/>
  <c r="AT170" i="12"/>
  <c r="AR170" i="12"/>
  <c r="AQ170" i="12"/>
  <c r="BB169" i="12"/>
  <c r="AZ169" i="12"/>
  <c r="AW169" i="12"/>
  <c r="AV169" i="12"/>
  <c r="AU169" i="12"/>
  <c r="AT169" i="12"/>
  <c r="AR169" i="12"/>
  <c r="AQ169" i="12"/>
  <c r="AO169" i="12"/>
  <c r="BB168" i="12"/>
  <c r="BA168" i="12"/>
  <c r="AZ168" i="12"/>
  <c r="AW168" i="12"/>
  <c r="AV168" i="12"/>
  <c r="AU168" i="12"/>
  <c r="AT168" i="12"/>
  <c r="AR168" i="12"/>
  <c r="AQ168" i="12"/>
  <c r="AP168" i="12"/>
  <c r="AO168" i="12"/>
  <c r="BB167" i="12"/>
  <c r="BA167" i="12"/>
  <c r="AZ167" i="12"/>
  <c r="AW167" i="12"/>
  <c r="AV167" i="12"/>
  <c r="AU167" i="12"/>
  <c r="AT167" i="12"/>
  <c r="AR167" i="12"/>
  <c r="AQ167" i="12"/>
  <c r="AP167" i="12"/>
  <c r="AO167" i="12"/>
  <c r="AZ166" i="12"/>
  <c r="AW166" i="12"/>
  <c r="AV166" i="12"/>
  <c r="AU166" i="12"/>
  <c r="AT166" i="12"/>
  <c r="AS166" i="12"/>
  <c r="AR166" i="12"/>
  <c r="AQ166" i="12"/>
  <c r="AP166" i="12"/>
  <c r="AO166" i="12"/>
  <c r="AZ165" i="12"/>
  <c r="AW165" i="12"/>
  <c r="AV165" i="12"/>
  <c r="AU165" i="12"/>
  <c r="AT165" i="12"/>
  <c r="AS165" i="12"/>
  <c r="AR165" i="12"/>
  <c r="AQ165" i="12"/>
  <c r="AP165" i="12"/>
  <c r="AO165" i="12"/>
  <c r="AZ164" i="12"/>
  <c r="AX164" i="12"/>
  <c r="AW164" i="12"/>
  <c r="AV164" i="12"/>
  <c r="AU164" i="12"/>
  <c r="AT164" i="12"/>
  <c r="AS164" i="12"/>
  <c r="AR164" i="12"/>
  <c r="AQ164" i="12"/>
  <c r="AP164" i="12"/>
  <c r="AO164" i="12"/>
  <c r="AZ163" i="12"/>
  <c r="AY163" i="12"/>
  <c r="AX163" i="12"/>
  <c r="AW163" i="12"/>
  <c r="AV163" i="12"/>
  <c r="AU163" i="12"/>
  <c r="AT163" i="12"/>
  <c r="AS163" i="12"/>
  <c r="AR163" i="12"/>
  <c r="AQ163" i="12"/>
  <c r="AP163" i="12"/>
  <c r="AO163" i="12"/>
  <c r="AZ162" i="12"/>
  <c r="AY162" i="12"/>
  <c r="AX162" i="12"/>
  <c r="AW162" i="12"/>
  <c r="AV162" i="12"/>
  <c r="AU162" i="12"/>
  <c r="AT162" i="12"/>
  <c r="AS162" i="12"/>
  <c r="AR162" i="12"/>
  <c r="AQ162" i="12"/>
  <c r="AP162" i="12"/>
  <c r="AO162" i="12"/>
  <c r="AZ161" i="12"/>
  <c r="AY161" i="12"/>
  <c r="AX161" i="12"/>
  <c r="AW161" i="12"/>
  <c r="AV161" i="12"/>
  <c r="AU161" i="12"/>
  <c r="AT161" i="12"/>
  <c r="AS161" i="12"/>
  <c r="AR161" i="12"/>
  <c r="AQ161" i="12"/>
  <c r="AP161" i="12"/>
  <c r="AO161" i="12"/>
  <c r="AZ160" i="12"/>
  <c r="AY160" i="12"/>
  <c r="AX160" i="12"/>
  <c r="AW160" i="12"/>
  <c r="AV160" i="12"/>
  <c r="AU160" i="12"/>
  <c r="AT160" i="12"/>
  <c r="AS160" i="12"/>
  <c r="AR160" i="12"/>
  <c r="AQ160" i="12"/>
  <c r="AP160" i="12"/>
  <c r="AO160" i="12"/>
  <c r="AZ159" i="12"/>
  <c r="AY159" i="12"/>
  <c r="AX159" i="12"/>
  <c r="AW159" i="12"/>
  <c r="AV159" i="12"/>
  <c r="AU159" i="12"/>
  <c r="AT159" i="12"/>
  <c r="AS159" i="12"/>
  <c r="AR159" i="12"/>
  <c r="AQ159" i="12"/>
  <c r="AP159" i="12"/>
  <c r="AO159" i="12"/>
  <c r="AZ158" i="12"/>
  <c r="AY158" i="12"/>
  <c r="AX158" i="12"/>
  <c r="AW158" i="12"/>
  <c r="AV158" i="12"/>
  <c r="AU158" i="12"/>
  <c r="AT158" i="12"/>
  <c r="AS158" i="12"/>
  <c r="AR158" i="12"/>
  <c r="AQ158" i="12"/>
  <c r="AP158" i="12"/>
  <c r="AO158" i="12"/>
  <c r="AZ157" i="12"/>
  <c r="AY157" i="12"/>
  <c r="AX157" i="12"/>
  <c r="AW157" i="12"/>
  <c r="AV157" i="12"/>
  <c r="AT157" i="12"/>
  <c r="AS157" i="12"/>
  <c r="AR157" i="12"/>
  <c r="AQ157" i="12"/>
  <c r="AP157" i="12"/>
  <c r="AO157" i="12"/>
  <c r="AZ156" i="12"/>
  <c r="AY156" i="12"/>
  <c r="AX156" i="12"/>
  <c r="AW156" i="12"/>
  <c r="AV156" i="12"/>
  <c r="AT156" i="12"/>
  <c r="AS156" i="12"/>
  <c r="AR156" i="12"/>
  <c r="AQ156" i="12"/>
  <c r="AP156" i="12"/>
  <c r="AO156" i="12"/>
  <c r="AZ155" i="12"/>
  <c r="AY155" i="12"/>
  <c r="AX155" i="12"/>
  <c r="AW155" i="12"/>
  <c r="AV155" i="12"/>
  <c r="AT155" i="12"/>
  <c r="AS155" i="12"/>
  <c r="AR155" i="12"/>
  <c r="AQ155" i="12"/>
  <c r="AP155" i="12"/>
  <c r="AO155" i="12"/>
  <c r="AZ154" i="12"/>
  <c r="AY154" i="12"/>
  <c r="AX154" i="12"/>
  <c r="AW154" i="12"/>
  <c r="AZ153" i="12"/>
  <c r="AY153" i="12"/>
  <c r="AX153" i="12"/>
  <c r="AW153" i="12"/>
  <c r="AZ152" i="12"/>
  <c r="AY152" i="12"/>
  <c r="AX152" i="12"/>
  <c r="AW152" i="12"/>
  <c r="AZ151" i="12"/>
  <c r="AY151" i="12"/>
  <c r="AX151" i="12"/>
  <c r="AW151" i="12"/>
  <c r="AZ150" i="12"/>
  <c r="AY150" i="12"/>
  <c r="AX150" i="12"/>
  <c r="AW150" i="12"/>
  <c r="AV150" i="12"/>
  <c r="AT150" i="12"/>
  <c r="AS150" i="12"/>
  <c r="AR150" i="12"/>
  <c r="AQ150" i="12"/>
  <c r="AP150" i="12"/>
  <c r="AO150" i="12"/>
  <c r="AZ149" i="12"/>
  <c r="AY149" i="12"/>
  <c r="AX149" i="12"/>
  <c r="AW149" i="12"/>
  <c r="AZ148" i="12"/>
  <c r="AY148" i="12"/>
  <c r="AX148" i="12"/>
  <c r="AW148" i="12"/>
  <c r="AZ147" i="12"/>
  <c r="AX147" i="12"/>
  <c r="AW147" i="12"/>
  <c r="AZ146" i="12"/>
  <c r="AX146" i="12"/>
  <c r="AW146" i="12"/>
  <c r="AZ145" i="12"/>
  <c r="AX145" i="12"/>
  <c r="AW145" i="12"/>
  <c r="AZ144" i="12"/>
  <c r="AX144" i="12"/>
  <c r="AW144" i="12"/>
  <c r="AZ143" i="12"/>
  <c r="AX143" i="12"/>
  <c r="AW143" i="12"/>
  <c r="AZ142" i="12"/>
  <c r="AX142" i="12"/>
  <c r="AW142" i="12"/>
  <c r="AZ141" i="12"/>
  <c r="AX141" i="12"/>
  <c r="AW141" i="12"/>
  <c r="AZ140" i="12"/>
  <c r="AX140" i="12"/>
  <c r="AW140" i="12"/>
  <c r="AZ139" i="12"/>
  <c r="AX139" i="12"/>
  <c r="AW139" i="12"/>
  <c r="AZ138" i="12"/>
  <c r="AX138" i="12"/>
  <c r="AW138" i="12"/>
  <c r="AZ137" i="12"/>
  <c r="AX137" i="12"/>
  <c r="AW137" i="12"/>
  <c r="AZ136" i="12"/>
  <c r="AX136" i="12"/>
  <c r="AW136" i="12"/>
  <c r="AZ135" i="12"/>
  <c r="AX135" i="12"/>
  <c r="AW135" i="12"/>
  <c r="AZ134" i="12"/>
  <c r="AX134" i="12"/>
  <c r="AW134" i="12"/>
  <c r="AZ133" i="12"/>
  <c r="AX133" i="12"/>
  <c r="AW133" i="12"/>
  <c r="AZ132" i="12"/>
  <c r="AX132" i="12"/>
  <c r="AW132" i="12"/>
  <c r="AZ131" i="12"/>
  <c r="AX131" i="12"/>
  <c r="AW131" i="12"/>
  <c r="AZ130" i="12"/>
  <c r="AX130" i="12"/>
  <c r="AW130" i="12"/>
  <c r="AZ129" i="12"/>
  <c r="AX129" i="12"/>
  <c r="AW129" i="12"/>
  <c r="AZ128" i="12"/>
  <c r="AX128" i="12"/>
  <c r="AW128" i="12"/>
  <c r="AZ127" i="12"/>
  <c r="AX127" i="12"/>
  <c r="AW127" i="12"/>
  <c r="AZ126" i="12"/>
  <c r="AX126" i="12"/>
  <c r="AW126" i="12"/>
  <c r="AZ125" i="12"/>
  <c r="AX125" i="12"/>
  <c r="AW125" i="12"/>
  <c r="AZ124" i="12"/>
  <c r="AX124" i="12"/>
  <c r="AW124" i="12"/>
  <c r="AZ123" i="12"/>
  <c r="AX123" i="12"/>
  <c r="AW123" i="12"/>
  <c r="AZ122" i="12"/>
  <c r="AX122" i="12"/>
  <c r="AW122" i="12"/>
  <c r="AZ121" i="12"/>
  <c r="AX121" i="12"/>
  <c r="AW121" i="12"/>
  <c r="AZ120" i="12"/>
  <c r="AX120" i="12"/>
  <c r="AW120" i="12"/>
  <c r="AZ119" i="12"/>
  <c r="AX119" i="12"/>
  <c r="AW119" i="12"/>
  <c r="AZ118" i="12"/>
  <c r="AX118" i="12"/>
  <c r="AW118" i="12"/>
  <c r="AZ117" i="12"/>
  <c r="AX117" i="12"/>
  <c r="AW117" i="12"/>
  <c r="AZ116" i="12"/>
  <c r="AX116" i="12"/>
  <c r="AW116" i="12"/>
  <c r="AZ115" i="12"/>
  <c r="AX115" i="12"/>
  <c r="AW115" i="12"/>
  <c r="AZ114" i="12"/>
  <c r="AX114" i="12"/>
  <c r="AW114" i="12"/>
  <c r="AZ113" i="12"/>
  <c r="AX113" i="12"/>
  <c r="AW113" i="12"/>
  <c r="AZ112" i="12"/>
  <c r="AX112" i="12"/>
  <c r="AW112" i="12"/>
  <c r="AZ111" i="12"/>
  <c r="AX111" i="12"/>
  <c r="AW111" i="12"/>
  <c r="AW110" i="12"/>
  <c r="AJ69" i="12"/>
  <c r="AH69" i="12"/>
  <c r="AJ68" i="12"/>
  <c r="AH68" i="12"/>
  <c r="AJ67" i="12"/>
  <c r="AJ63" i="12"/>
  <c r="AH63" i="12"/>
  <c r="AJ59" i="12"/>
  <c r="AH59" i="12"/>
  <c r="AJ55" i="12"/>
  <c r="AH55" i="12"/>
  <c r="AJ51" i="12"/>
  <c r="AH51" i="12"/>
  <c r="Q51" i="12"/>
  <c r="AJ48" i="12"/>
  <c r="AH48" i="12"/>
  <c r="AJ47" i="12"/>
  <c r="AH47" i="12"/>
  <c r="Q47" i="12"/>
  <c r="AJ40" i="12"/>
  <c r="AH40" i="12"/>
  <c r="Q40" i="12"/>
  <c r="AJ36" i="12"/>
  <c r="AH36" i="12"/>
  <c r="AJ27" i="12"/>
  <c r="AH27" i="12"/>
  <c r="AJ23" i="12"/>
  <c r="AH23" i="12"/>
  <c r="AJ19" i="12"/>
  <c r="AJ15" i="12"/>
  <c r="AH15" i="12"/>
  <c r="AH15" i="11"/>
  <c r="O15" i="11"/>
  <c r="Q15" i="11"/>
  <c r="AH24" i="11"/>
  <c r="O24" i="11"/>
  <c r="Q24" i="11"/>
  <c r="AH37" i="11"/>
  <c r="O37" i="11"/>
  <c r="Q37" i="11"/>
  <c r="AH55" i="11"/>
  <c r="O55" i="11"/>
  <c r="Q55" i="11"/>
  <c r="AH63" i="11"/>
  <c r="O63" i="11"/>
  <c r="Q63" i="11"/>
  <c r="AH69" i="11"/>
  <c r="O69" i="11"/>
  <c r="Q69" i="11"/>
  <c r="AH19" i="11"/>
  <c r="O19" i="11"/>
  <c r="Q19" i="11"/>
  <c r="AH61" i="11"/>
  <c r="O61" i="11"/>
  <c r="Q61" i="11"/>
  <c r="AH31" i="11"/>
  <c r="O31" i="11"/>
  <c r="Q31" i="11"/>
  <c r="AH67" i="11"/>
  <c r="O67" i="11"/>
  <c r="Q67" i="11"/>
  <c r="AH53" i="11"/>
  <c r="O53" i="11"/>
  <c r="Q53" i="11"/>
  <c r="AH23" i="11"/>
  <c r="O23" i="11"/>
  <c r="Q23" i="11"/>
  <c r="AH43" i="11"/>
  <c r="O43" i="11"/>
  <c r="Q43" i="11"/>
  <c r="AH17" i="12"/>
  <c r="O17" i="12"/>
  <c r="BG137" i="21"/>
  <c r="AH41" i="12"/>
  <c r="AH47" i="11"/>
  <c r="O47" i="11"/>
  <c r="Q47" i="11"/>
  <c r="AH39" i="11"/>
  <c r="O39" i="11"/>
  <c r="Q39" i="11"/>
  <c r="AH19" i="12"/>
  <c r="Q19" i="12"/>
  <c r="AH33" i="11"/>
  <c r="O33" i="11"/>
  <c r="Q33" i="11"/>
  <c r="AH12" i="11"/>
  <c r="O12" i="11"/>
  <c r="Q12" i="11"/>
  <c r="AH20" i="11"/>
  <c r="O20" i="11"/>
  <c r="Q20" i="11"/>
  <c r="AH44" i="11"/>
  <c r="O44" i="11"/>
  <c r="Q44" i="11"/>
  <c r="AH60" i="11"/>
  <c r="O60" i="11"/>
  <c r="Q60" i="11"/>
  <c r="AH68" i="11"/>
  <c r="O68" i="11"/>
  <c r="Q68" i="11"/>
  <c r="AH13" i="11"/>
  <c r="O13" i="11"/>
  <c r="Q13" i="11"/>
  <c r="AH21" i="12"/>
  <c r="O21" i="12"/>
  <c r="BG141" i="21"/>
  <c r="AH37" i="12"/>
  <c r="O37" i="12"/>
  <c r="BG157" i="21"/>
  <c r="AH45" i="12"/>
  <c r="Q45" i="12"/>
  <c r="AH61" i="12"/>
  <c r="Q61" i="12"/>
  <c r="AH30" i="12"/>
  <c r="AH16" i="11"/>
  <c r="O16" i="11"/>
  <c r="Q16" i="11"/>
  <c r="AH40" i="11"/>
  <c r="O40" i="11"/>
  <c r="Q40" i="11"/>
  <c r="AH48" i="11"/>
  <c r="O48" i="11"/>
  <c r="Q48" i="11"/>
  <c r="AH56" i="12"/>
  <c r="Q56" i="12"/>
  <c r="AJ16" i="12"/>
  <c r="AH16" i="12"/>
  <c r="Q17" i="12"/>
  <c r="Q57" i="12"/>
  <c r="AJ13" i="12"/>
  <c r="AH13" i="12"/>
  <c r="Q13" i="12"/>
  <c r="AJ20" i="12"/>
  <c r="AH20" i="12"/>
  <c r="AJ44" i="12"/>
  <c r="AH44" i="12"/>
  <c r="AH34" i="11"/>
  <c r="O34" i="11"/>
  <c r="Q34" i="11"/>
  <c r="AH38" i="11"/>
  <c r="O38" i="11"/>
  <c r="Q38" i="11"/>
  <c r="AH42" i="11"/>
  <c r="O42" i="11"/>
  <c r="Q42" i="11"/>
  <c r="AH46" i="12"/>
  <c r="O46" i="12"/>
  <c r="BG166" i="21"/>
  <c r="AH50" i="12"/>
  <c r="AH62" i="12"/>
  <c r="Q62" i="12"/>
  <c r="AH66" i="12"/>
  <c r="Q66" i="12"/>
  <c r="AH65" i="11"/>
  <c r="O65" i="11"/>
  <c r="Q65" i="11"/>
  <c r="AH59" i="11"/>
  <c r="O59" i="11"/>
  <c r="Q59" i="11"/>
  <c r="AH52" i="11"/>
  <c r="O52" i="11"/>
  <c r="Q52" i="11"/>
  <c r="AH45" i="11"/>
  <c r="O45" i="11"/>
  <c r="Q45" i="11"/>
  <c r="AH36" i="11"/>
  <c r="O36" i="11"/>
  <c r="Q36" i="11"/>
  <c r="AH27" i="11"/>
  <c r="O27" i="11"/>
  <c r="Q27" i="11"/>
  <c r="AH21" i="11"/>
  <c r="O21" i="11"/>
  <c r="Q21" i="11"/>
  <c r="AH29" i="11"/>
  <c r="O29" i="11"/>
  <c r="Q29" i="11"/>
  <c r="AH14" i="12"/>
  <c r="AH70" i="11"/>
  <c r="O70" i="11"/>
  <c r="Q70" i="11"/>
  <c r="AH64" i="11"/>
  <c r="O64" i="11"/>
  <c r="Q64" i="11"/>
  <c r="AH57" i="11"/>
  <c r="O57" i="11"/>
  <c r="Q57" i="11"/>
  <c r="AH51" i="11"/>
  <c r="O51" i="11"/>
  <c r="Q51" i="11"/>
  <c r="AH41" i="11"/>
  <c r="O41" i="11"/>
  <c r="Q41" i="11"/>
  <c r="AH35" i="11"/>
  <c r="O35" i="11"/>
  <c r="Q35" i="11"/>
  <c r="AH25" i="11"/>
  <c r="O25" i="11"/>
  <c r="Q25" i="11"/>
  <c r="AH24" i="12"/>
  <c r="Q24" i="12"/>
  <c r="AH67" i="12"/>
  <c r="O67" i="12"/>
  <c r="BG187" i="21"/>
  <c r="AH28" i="11"/>
  <c r="O28" i="11"/>
  <c r="Q28" i="11"/>
  <c r="AH56" i="11"/>
  <c r="O56" i="11"/>
  <c r="Q56" i="11"/>
  <c r="AH32" i="11"/>
  <c r="O32" i="11"/>
  <c r="Q32" i="11"/>
  <c r="AH46" i="11"/>
  <c r="O46" i="11"/>
  <c r="Q46" i="11"/>
  <c r="AH17" i="11"/>
  <c r="O17" i="11"/>
  <c r="Q17" i="11"/>
  <c r="AJ42" i="12"/>
  <c r="AH42" i="12"/>
  <c r="N138" i="12"/>
  <c r="N135" i="12"/>
  <c r="AH58" i="11"/>
  <c r="O58" i="11"/>
  <c r="Q58" i="11"/>
  <c r="AH54" i="11"/>
  <c r="O54" i="11"/>
  <c r="Q54" i="11"/>
  <c r="AH66" i="11"/>
  <c r="O66" i="11"/>
  <c r="Q66" i="11"/>
  <c r="AH50" i="11"/>
  <c r="O50" i="11"/>
  <c r="Q50" i="11"/>
  <c r="AH62" i="11"/>
  <c r="O62" i="11"/>
  <c r="Q62" i="11"/>
  <c r="AH26" i="11"/>
  <c r="O26" i="11"/>
  <c r="Q26" i="11"/>
  <c r="AH22" i="11"/>
  <c r="O22" i="11"/>
  <c r="Q22" i="11"/>
  <c r="AH18" i="11"/>
  <c r="O18" i="11"/>
  <c r="Q18" i="11"/>
  <c r="AH14" i="11"/>
  <c r="O14" i="11"/>
  <c r="Q14" i="11"/>
  <c r="AJ70" i="12"/>
  <c r="AH70" i="12"/>
  <c r="AJ60" i="12"/>
  <c r="AH60" i="12"/>
  <c r="Q60" i="12"/>
  <c r="AJ49" i="12"/>
  <c r="AH49" i="12"/>
  <c r="AH49" i="11"/>
  <c r="O49" i="11"/>
  <c r="Q49" i="11"/>
  <c r="AJ43" i="12"/>
  <c r="AH43" i="12"/>
  <c r="AJ38" i="12"/>
  <c r="AH38" i="12"/>
  <c r="Q38" i="12"/>
  <c r="AJ34" i="12"/>
  <c r="AH34" i="12"/>
  <c r="AH30" i="11"/>
  <c r="O30" i="11"/>
  <c r="Q30" i="11"/>
  <c r="AJ29" i="12"/>
  <c r="AH29" i="12"/>
  <c r="AJ12" i="12"/>
  <c r="AH12" i="12"/>
  <c r="Q12" i="12"/>
  <c r="O64" i="12"/>
  <c r="BG184" i="21"/>
  <c r="O62" i="12"/>
  <c r="BG182" i="21"/>
  <c r="Q18" i="12"/>
  <c r="N139" i="12"/>
  <c r="N136" i="12"/>
  <c r="N137" i="12"/>
  <c r="C232" i="9"/>
  <c r="N233" i="9"/>
  <c r="N234" i="9"/>
  <c r="N235" i="9"/>
  <c r="N236" i="9"/>
  <c r="N237" i="9"/>
  <c r="N238" i="9"/>
  <c r="N239" i="9"/>
  <c r="N240" i="9"/>
  <c r="N241" i="9"/>
  <c r="N242" i="9"/>
  <c r="N243" i="9"/>
  <c r="N244" i="9"/>
  <c r="N245" i="9"/>
  <c r="N246" i="9"/>
  <c r="N247" i="9"/>
  <c r="N248" i="9"/>
  <c r="N249" i="9"/>
  <c r="N250" i="9"/>
  <c r="N251" i="9"/>
  <c r="N252" i="9"/>
  <c r="B253" i="9"/>
  <c r="M253" i="9"/>
  <c r="N253" i="9"/>
  <c r="M254" i="9"/>
  <c r="N254" i="9"/>
  <c r="M255" i="9"/>
  <c r="N255" i="9"/>
  <c r="M256" i="9"/>
  <c r="N256" i="9"/>
  <c r="M257" i="9"/>
  <c r="N257" i="9"/>
  <c r="M258" i="9"/>
  <c r="N258" i="9"/>
  <c r="M259" i="9"/>
  <c r="N259" i="9"/>
  <c r="M260" i="9"/>
  <c r="N260" i="9"/>
  <c r="M261" i="9"/>
  <c r="N261" i="9"/>
  <c r="M262" i="9"/>
  <c r="N262" i="9"/>
  <c r="M263" i="9"/>
  <c r="N263" i="9"/>
  <c r="M264" i="9"/>
  <c r="N264" i="9"/>
  <c r="M265" i="9"/>
  <c r="N265" i="9"/>
  <c r="M266" i="9"/>
  <c r="N266" i="9"/>
  <c r="M267" i="9"/>
  <c r="N267" i="9"/>
  <c r="M268" i="9"/>
  <c r="N268" i="9"/>
  <c r="M269" i="9"/>
  <c r="N269" i="9"/>
  <c r="E270" i="9"/>
  <c r="F270" i="9"/>
  <c r="G270" i="9"/>
  <c r="J270" i="9"/>
  <c r="M270" i="9"/>
  <c r="N270" i="9"/>
  <c r="D271" i="9"/>
  <c r="E271" i="9"/>
  <c r="F271" i="9"/>
  <c r="G271" i="9"/>
  <c r="J271" i="9"/>
  <c r="M271" i="9"/>
  <c r="N271" i="9"/>
  <c r="D272" i="9"/>
  <c r="E272" i="9"/>
  <c r="F272" i="9"/>
  <c r="G272" i="9"/>
  <c r="J272" i="9"/>
  <c r="M272" i="9"/>
  <c r="N272" i="9"/>
  <c r="D273" i="9"/>
  <c r="E273" i="9"/>
  <c r="F273" i="9"/>
  <c r="G273" i="9"/>
  <c r="H273" i="9"/>
  <c r="J273" i="9"/>
  <c r="M273" i="9"/>
  <c r="N273" i="9"/>
  <c r="E274" i="9"/>
  <c r="F274" i="9"/>
  <c r="G274" i="9"/>
  <c r="J274" i="9"/>
  <c r="M274" i="9"/>
  <c r="N274" i="9"/>
  <c r="E275" i="9"/>
  <c r="F275" i="9"/>
  <c r="G275" i="9"/>
  <c r="J275" i="9"/>
  <c r="M275" i="9"/>
  <c r="N275" i="9"/>
  <c r="E276" i="9"/>
  <c r="F276" i="9"/>
  <c r="G276" i="9"/>
  <c r="J276" i="9"/>
  <c r="M276" i="9"/>
  <c r="N276" i="9"/>
  <c r="E277" i="9"/>
  <c r="F277" i="9"/>
  <c r="G277" i="9"/>
  <c r="I277" i="9"/>
  <c r="J277" i="9"/>
  <c r="M277" i="9"/>
  <c r="N277" i="9"/>
  <c r="S277" i="9"/>
  <c r="E278" i="9"/>
  <c r="F278" i="9"/>
  <c r="G278" i="9"/>
  <c r="I278" i="9"/>
  <c r="J278" i="9"/>
  <c r="M278" i="9"/>
  <c r="N278" i="9"/>
  <c r="S278" i="9"/>
  <c r="E279" i="9"/>
  <c r="F279" i="9"/>
  <c r="G279" i="9"/>
  <c r="I279" i="9"/>
  <c r="J279" i="9"/>
  <c r="M279" i="9"/>
  <c r="N279" i="9"/>
  <c r="S279" i="9"/>
  <c r="B280" i="9"/>
  <c r="C280" i="9"/>
  <c r="D280" i="9"/>
  <c r="E280" i="9"/>
  <c r="F280" i="9"/>
  <c r="G280" i="9"/>
  <c r="H280" i="9"/>
  <c r="I280" i="9"/>
  <c r="J280" i="9"/>
  <c r="K280" i="9"/>
  <c r="M280" i="9"/>
  <c r="N280" i="9"/>
  <c r="S280" i="9"/>
  <c r="B281" i="9"/>
  <c r="C281" i="9"/>
  <c r="D281" i="9"/>
  <c r="E281" i="9"/>
  <c r="F281" i="9"/>
  <c r="G281" i="9"/>
  <c r="H281" i="9"/>
  <c r="I281" i="9"/>
  <c r="J281" i="9"/>
  <c r="K281" i="9"/>
  <c r="M281" i="9"/>
  <c r="N281" i="9"/>
  <c r="S281" i="9"/>
  <c r="B282" i="9"/>
  <c r="C282" i="9"/>
  <c r="D282" i="9"/>
  <c r="E282" i="9"/>
  <c r="F282" i="9"/>
  <c r="G282" i="9"/>
  <c r="H282" i="9"/>
  <c r="I282" i="9"/>
  <c r="J282" i="9"/>
  <c r="K282" i="9"/>
  <c r="M282" i="9"/>
  <c r="N282" i="9"/>
  <c r="S282" i="9"/>
  <c r="B283" i="9"/>
  <c r="C283" i="9"/>
  <c r="D283" i="9"/>
  <c r="E283" i="9"/>
  <c r="F283" i="9"/>
  <c r="G283" i="9"/>
  <c r="H283" i="9"/>
  <c r="I283" i="9"/>
  <c r="J283" i="9"/>
  <c r="K283" i="9"/>
  <c r="M283" i="9"/>
  <c r="N283" i="9"/>
  <c r="S283" i="9"/>
  <c r="B284" i="9"/>
  <c r="C284" i="9"/>
  <c r="D284" i="9"/>
  <c r="E284" i="9"/>
  <c r="F284" i="9"/>
  <c r="G284" i="9"/>
  <c r="H284" i="9"/>
  <c r="I284" i="9"/>
  <c r="J284" i="9"/>
  <c r="K284" i="9"/>
  <c r="M284" i="9"/>
  <c r="N284" i="9"/>
  <c r="S284" i="9"/>
  <c r="B285" i="9"/>
  <c r="C285" i="9"/>
  <c r="D285" i="9"/>
  <c r="E285" i="9"/>
  <c r="F285" i="9"/>
  <c r="G285" i="9"/>
  <c r="H285" i="9"/>
  <c r="I285" i="9"/>
  <c r="J285" i="9"/>
  <c r="K285" i="9"/>
  <c r="M285" i="9"/>
  <c r="N285" i="9"/>
  <c r="S285" i="9"/>
  <c r="B286" i="9"/>
  <c r="C286" i="9"/>
  <c r="D286" i="9"/>
  <c r="E286" i="9"/>
  <c r="F286" i="9"/>
  <c r="G286" i="9"/>
  <c r="H286" i="9"/>
  <c r="I286" i="9"/>
  <c r="J286" i="9"/>
  <c r="K286" i="9"/>
  <c r="M286" i="9"/>
  <c r="N286" i="9"/>
  <c r="S286" i="9"/>
  <c r="B287" i="9"/>
  <c r="C287" i="9"/>
  <c r="D287" i="9"/>
  <c r="E287" i="9"/>
  <c r="F287" i="9"/>
  <c r="G287" i="9"/>
  <c r="H287" i="9"/>
  <c r="I287" i="9"/>
  <c r="J287" i="9"/>
  <c r="K287" i="9"/>
  <c r="M287" i="9"/>
  <c r="N287" i="9"/>
  <c r="S287" i="9"/>
  <c r="B288" i="9"/>
  <c r="C288" i="9"/>
  <c r="D288" i="9"/>
  <c r="E288" i="9"/>
  <c r="F288" i="9"/>
  <c r="G288" i="9"/>
  <c r="H288" i="9"/>
  <c r="I288" i="9"/>
  <c r="J288" i="9"/>
  <c r="K288" i="9"/>
  <c r="M288" i="9"/>
  <c r="N288" i="9"/>
  <c r="S288" i="9"/>
  <c r="B289" i="9"/>
  <c r="C289" i="9"/>
  <c r="D289" i="9"/>
  <c r="E289" i="9"/>
  <c r="F289" i="9"/>
  <c r="G289" i="9"/>
  <c r="H289" i="9"/>
  <c r="I289" i="9"/>
  <c r="J289" i="9"/>
  <c r="K289" i="9"/>
  <c r="M289" i="9"/>
  <c r="N289" i="9"/>
  <c r="S289" i="9"/>
  <c r="B290" i="9"/>
  <c r="C290" i="9"/>
  <c r="D290" i="9"/>
  <c r="E290" i="9"/>
  <c r="F290" i="9"/>
  <c r="G290" i="9"/>
  <c r="H290" i="9"/>
  <c r="I290" i="9"/>
  <c r="J290" i="9"/>
  <c r="K290" i="9"/>
  <c r="M290" i="9"/>
  <c r="N290" i="9"/>
  <c r="S290" i="9"/>
  <c r="B291" i="9"/>
  <c r="C291" i="9"/>
  <c r="D291" i="9"/>
  <c r="E291" i="9"/>
  <c r="F291" i="9"/>
  <c r="G291" i="9"/>
  <c r="H291" i="9"/>
  <c r="I291" i="9"/>
  <c r="J291" i="9"/>
  <c r="K291" i="9"/>
  <c r="M291" i="9"/>
  <c r="N291" i="9"/>
  <c r="S291" i="9"/>
  <c r="B292" i="9"/>
  <c r="C292" i="9"/>
  <c r="D292" i="9"/>
  <c r="E292" i="9"/>
  <c r="F292" i="9"/>
  <c r="G292" i="9"/>
  <c r="H292" i="9"/>
  <c r="I292" i="9"/>
  <c r="J292" i="9"/>
  <c r="K292" i="9"/>
  <c r="M292" i="9"/>
  <c r="N292" i="9"/>
  <c r="S292" i="9"/>
  <c r="B293" i="9"/>
  <c r="C293" i="9"/>
  <c r="D293" i="9"/>
  <c r="E293" i="9"/>
  <c r="F293" i="9"/>
  <c r="G293" i="9"/>
  <c r="H293" i="9"/>
  <c r="I293" i="9"/>
  <c r="J293" i="9"/>
  <c r="K293" i="9"/>
  <c r="M293" i="9"/>
  <c r="N293" i="9"/>
  <c r="S293" i="9"/>
  <c r="B294" i="9"/>
  <c r="C294" i="9"/>
  <c r="D294" i="9"/>
  <c r="E294" i="9"/>
  <c r="F294" i="9"/>
  <c r="G294" i="9"/>
  <c r="H294" i="9"/>
  <c r="I294" i="9"/>
  <c r="J294" i="9"/>
  <c r="K294" i="9"/>
  <c r="M294" i="9"/>
  <c r="N294" i="9"/>
  <c r="S294" i="9"/>
  <c r="B295" i="9"/>
  <c r="C295" i="9"/>
  <c r="D295" i="9"/>
  <c r="E295" i="9"/>
  <c r="F295" i="9"/>
  <c r="G295" i="9"/>
  <c r="H295" i="9"/>
  <c r="I295" i="9"/>
  <c r="J295" i="9"/>
  <c r="K295" i="9"/>
  <c r="M295" i="9"/>
  <c r="N295" i="9"/>
  <c r="S295" i="9"/>
  <c r="B296" i="9"/>
  <c r="C296" i="9"/>
  <c r="D296" i="9"/>
  <c r="E296" i="9"/>
  <c r="F296" i="9"/>
  <c r="G296" i="9"/>
  <c r="H296" i="9"/>
  <c r="I296" i="9"/>
  <c r="J296" i="9"/>
  <c r="K296" i="9"/>
  <c r="M296" i="9"/>
  <c r="N296" i="9"/>
  <c r="S296" i="9"/>
  <c r="B297" i="9"/>
  <c r="C297" i="9"/>
  <c r="D297" i="9"/>
  <c r="E297" i="9"/>
  <c r="F297" i="9"/>
  <c r="G297" i="9"/>
  <c r="H297" i="9"/>
  <c r="I297" i="9"/>
  <c r="J297" i="9"/>
  <c r="K297" i="9"/>
  <c r="M297" i="9"/>
  <c r="N297" i="9"/>
  <c r="S297" i="9"/>
  <c r="B298" i="9"/>
  <c r="C298" i="9"/>
  <c r="D298" i="9"/>
  <c r="E298" i="9"/>
  <c r="F298" i="9"/>
  <c r="G298" i="9"/>
  <c r="H298" i="9"/>
  <c r="I298" i="9"/>
  <c r="J298" i="9"/>
  <c r="K298" i="9"/>
  <c r="M298" i="9"/>
  <c r="N298" i="9"/>
  <c r="S298" i="9"/>
  <c r="B299" i="9"/>
  <c r="C299" i="9"/>
  <c r="D299" i="9"/>
  <c r="E299" i="9"/>
  <c r="F299" i="9"/>
  <c r="G299" i="9"/>
  <c r="H299" i="9"/>
  <c r="I299" i="9"/>
  <c r="J299" i="9"/>
  <c r="K299" i="9"/>
  <c r="M299" i="9"/>
  <c r="N299" i="9"/>
  <c r="S299" i="9"/>
  <c r="B300" i="9"/>
  <c r="C300" i="9"/>
  <c r="D300" i="9"/>
  <c r="E300" i="9"/>
  <c r="F300" i="9"/>
  <c r="G300" i="9"/>
  <c r="H300" i="9"/>
  <c r="I300" i="9"/>
  <c r="J300" i="9"/>
  <c r="K300" i="9"/>
  <c r="M300" i="9"/>
  <c r="N300" i="9"/>
  <c r="S300" i="9"/>
  <c r="B301" i="9"/>
  <c r="C301" i="9"/>
  <c r="D301" i="9"/>
  <c r="E301" i="9"/>
  <c r="F301" i="9"/>
  <c r="G301" i="9"/>
  <c r="H301" i="9"/>
  <c r="I301" i="9"/>
  <c r="J301" i="9"/>
  <c r="K301" i="9"/>
  <c r="M301" i="9"/>
  <c r="N301" i="9"/>
  <c r="S301" i="9"/>
  <c r="B302" i="9"/>
  <c r="C302" i="9"/>
  <c r="D302" i="9"/>
  <c r="E302" i="9"/>
  <c r="F302" i="9"/>
  <c r="G302" i="9"/>
  <c r="H302" i="9"/>
  <c r="I302" i="9"/>
  <c r="J302" i="9"/>
  <c r="K302" i="9"/>
  <c r="M302" i="9"/>
  <c r="N302" i="9"/>
  <c r="S302" i="9"/>
  <c r="B303" i="9"/>
  <c r="C303" i="9"/>
  <c r="D303" i="9"/>
  <c r="E303" i="9"/>
  <c r="F303" i="9"/>
  <c r="G303" i="9"/>
  <c r="H303" i="9"/>
  <c r="I303" i="9"/>
  <c r="J303" i="9"/>
  <c r="K303" i="9"/>
  <c r="M303" i="9"/>
  <c r="N303" i="9"/>
  <c r="S303" i="9"/>
  <c r="B304" i="9"/>
  <c r="C304" i="9"/>
  <c r="D304" i="9"/>
  <c r="E304" i="9"/>
  <c r="F304" i="9"/>
  <c r="G304" i="9"/>
  <c r="H304" i="9"/>
  <c r="I304" i="9"/>
  <c r="J304" i="9"/>
  <c r="K304" i="9"/>
  <c r="M304" i="9"/>
  <c r="N304" i="9"/>
  <c r="S304" i="9"/>
  <c r="B305" i="9"/>
  <c r="C305" i="9"/>
  <c r="D305" i="9"/>
  <c r="E305" i="9"/>
  <c r="F305" i="9"/>
  <c r="G305" i="9"/>
  <c r="H305" i="9"/>
  <c r="I305" i="9"/>
  <c r="J305" i="9"/>
  <c r="K305" i="9"/>
  <c r="M305" i="9"/>
  <c r="N305" i="9"/>
  <c r="S305" i="9"/>
  <c r="B306" i="9"/>
  <c r="C306" i="9"/>
  <c r="D306" i="9"/>
  <c r="E306" i="9"/>
  <c r="F306" i="9"/>
  <c r="G306" i="9"/>
  <c r="H306" i="9"/>
  <c r="I306" i="9"/>
  <c r="J306" i="9"/>
  <c r="K306" i="9"/>
  <c r="M306" i="9"/>
  <c r="N306" i="9"/>
  <c r="S306" i="9"/>
  <c r="B307" i="9"/>
  <c r="C307" i="9"/>
  <c r="D307" i="9"/>
  <c r="E307" i="9"/>
  <c r="F307" i="9"/>
  <c r="G307" i="9"/>
  <c r="H307" i="9"/>
  <c r="I307" i="9"/>
  <c r="J307" i="9"/>
  <c r="K307" i="9"/>
  <c r="M307" i="9"/>
  <c r="N307" i="9"/>
  <c r="S307" i="9"/>
  <c r="B308" i="9"/>
  <c r="C308" i="9"/>
  <c r="D308" i="9"/>
  <c r="E308" i="9"/>
  <c r="F308" i="9"/>
  <c r="G308" i="9"/>
  <c r="H308" i="9"/>
  <c r="I308" i="9"/>
  <c r="J308" i="9"/>
  <c r="K308" i="9"/>
  <c r="M308" i="9"/>
  <c r="N308" i="9"/>
  <c r="S308" i="9"/>
  <c r="B309" i="9"/>
  <c r="C309" i="9"/>
  <c r="D309" i="9"/>
  <c r="E309" i="9"/>
  <c r="F309" i="9"/>
  <c r="G309" i="9"/>
  <c r="H309" i="9"/>
  <c r="I309" i="9"/>
  <c r="J309" i="9"/>
  <c r="K309" i="9"/>
  <c r="M309" i="9"/>
  <c r="N309" i="9"/>
  <c r="S309" i="9"/>
  <c r="B310" i="9"/>
  <c r="C310" i="9"/>
  <c r="D310" i="9"/>
  <c r="E310" i="9"/>
  <c r="F310" i="9"/>
  <c r="G310" i="9"/>
  <c r="H310" i="9"/>
  <c r="I310" i="9"/>
  <c r="J310" i="9"/>
  <c r="K310" i="9"/>
  <c r="M310" i="9"/>
  <c r="N310" i="9"/>
  <c r="S310" i="9"/>
  <c r="B311" i="9"/>
  <c r="C311" i="9"/>
  <c r="D311" i="9"/>
  <c r="E311" i="9"/>
  <c r="F311" i="9"/>
  <c r="G311" i="9"/>
  <c r="H311" i="9"/>
  <c r="I311" i="9"/>
  <c r="J311" i="9"/>
  <c r="K311" i="9"/>
  <c r="M311" i="9"/>
  <c r="N311" i="9"/>
  <c r="S311" i="9"/>
  <c r="B312" i="9"/>
  <c r="C312" i="9"/>
  <c r="D312" i="9"/>
  <c r="E312" i="9"/>
  <c r="F312" i="9"/>
  <c r="G312" i="9"/>
  <c r="H312" i="9"/>
  <c r="I312" i="9"/>
  <c r="J312" i="9"/>
  <c r="K312" i="9"/>
  <c r="M312" i="9"/>
  <c r="N312" i="9"/>
  <c r="S312" i="9"/>
  <c r="B313" i="9"/>
  <c r="C313" i="9"/>
  <c r="D313" i="9"/>
  <c r="E313" i="9"/>
  <c r="F313" i="9"/>
  <c r="G313" i="9"/>
  <c r="H313" i="9"/>
  <c r="I313" i="9"/>
  <c r="J313" i="9"/>
  <c r="K313" i="9"/>
  <c r="M313" i="9"/>
  <c r="N313" i="9"/>
  <c r="S313" i="9"/>
  <c r="B314" i="9"/>
  <c r="C314" i="9"/>
  <c r="D314" i="9"/>
  <c r="E314" i="9"/>
  <c r="F314" i="9"/>
  <c r="G314" i="9"/>
  <c r="H314" i="9"/>
  <c r="I314" i="9"/>
  <c r="J314" i="9"/>
  <c r="K314" i="9"/>
  <c r="M314" i="9"/>
  <c r="N314" i="9"/>
  <c r="S314" i="9"/>
  <c r="B315" i="9"/>
  <c r="C315" i="9"/>
  <c r="D315" i="9"/>
  <c r="E315" i="9"/>
  <c r="F315" i="9"/>
  <c r="G315" i="9"/>
  <c r="H315" i="9"/>
  <c r="I315" i="9"/>
  <c r="J315" i="9"/>
  <c r="K315" i="9"/>
  <c r="M315" i="9"/>
  <c r="N315" i="9"/>
  <c r="S315" i="9"/>
  <c r="B316" i="9"/>
  <c r="C316" i="9"/>
  <c r="D316" i="9"/>
  <c r="E316" i="9"/>
  <c r="F316" i="9"/>
  <c r="G316" i="9"/>
  <c r="H316" i="9"/>
  <c r="I316" i="9"/>
  <c r="J316" i="9"/>
  <c r="K316" i="9"/>
  <c r="M316" i="9"/>
  <c r="N316" i="9"/>
  <c r="S316" i="9"/>
  <c r="B317" i="9"/>
  <c r="C317" i="9"/>
  <c r="D317" i="9"/>
  <c r="E317" i="9"/>
  <c r="F317" i="9"/>
  <c r="G317" i="9"/>
  <c r="H317" i="9"/>
  <c r="I317" i="9"/>
  <c r="J317" i="9"/>
  <c r="K317" i="9"/>
  <c r="M317" i="9"/>
  <c r="N317" i="9"/>
  <c r="S317" i="9"/>
  <c r="B318" i="9"/>
  <c r="C318" i="9"/>
  <c r="D318" i="9"/>
  <c r="E318" i="9"/>
  <c r="F318" i="9"/>
  <c r="G318" i="9"/>
  <c r="H318" i="9"/>
  <c r="I318" i="9"/>
  <c r="J318" i="9"/>
  <c r="K318" i="9"/>
  <c r="M318" i="9"/>
  <c r="N318" i="9"/>
  <c r="S318" i="9"/>
  <c r="B319" i="9"/>
  <c r="C319" i="9"/>
  <c r="D319" i="9"/>
  <c r="E319" i="9"/>
  <c r="F319" i="9"/>
  <c r="G319" i="9"/>
  <c r="H319" i="9"/>
  <c r="I319" i="9"/>
  <c r="J319" i="9"/>
  <c r="K319" i="9"/>
  <c r="T124" i="2"/>
  <c r="L124" i="2"/>
  <c r="L319" i="9"/>
  <c r="M319" i="9"/>
  <c r="N319" i="9"/>
  <c r="Q319" i="9"/>
  <c r="R319" i="9"/>
  <c r="S319" i="9"/>
  <c r="B320" i="9"/>
  <c r="C320" i="9"/>
  <c r="D320" i="9"/>
  <c r="E320" i="9"/>
  <c r="F320" i="9"/>
  <c r="G320" i="9"/>
  <c r="H320" i="9"/>
  <c r="I320" i="9"/>
  <c r="J320" i="9"/>
  <c r="K320" i="9"/>
  <c r="M320" i="9"/>
  <c r="N320" i="9"/>
  <c r="S320" i="9"/>
  <c r="B321" i="9"/>
  <c r="C321" i="9"/>
  <c r="D321" i="9"/>
  <c r="E321" i="9"/>
  <c r="F321" i="9"/>
  <c r="G321" i="9"/>
  <c r="H321" i="9"/>
  <c r="I321" i="9"/>
  <c r="J321" i="9"/>
  <c r="K321" i="9"/>
  <c r="T126" i="2"/>
  <c r="L126" i="2"/>
  <c r="L321" i="9"/>
  <c r="M321" i="9"/>
  <c r="N321" i="9"/>
  <c r="Q321" i="9"/>
  <c r="R321" i="9"/>
  <c r="S321" i="9"/>
  <c r="B322" i="9"/>
  <c r="C322" i="9"/>
  <c r="D322" i="9"/>
  <c r="E322" i="9"/>
  <c r="F322" i="9"/>
  <c r="G322" i="9"/>
  <c r="H322" i="9"/>
  <c r="I322" i="9"/>
  <c r="J322" i="9"/>
  <c r="K322" i="9"/>
  <c r="M322" i="9"/>
  <c r="N322" i="9"/>
  <c r="S322" i="9"/>
  <c r="B323" i="9"/>
  <c r="C323" i="9"/>
  <c r="D323" i="9"/>
  <c r="E323" i="9"/>
  <c r="F323" i="9"/>
  <c r="G323" i="9"/>
  <c r="H323" i="9"/>
  <c r="I323" i="9"/>
  <c r="J323" i="9"/>
  <c r="K323" i="9"/>
  <c r="T128" i="2"/>
  <c r="L128" i="2"/>
  <c r="L323" i="9"/>
  <c r="M323" i="9"/>
  <c r="N323" i="9"/>
  <c r="Q323" i="9"/>
  <c r="R323" i="9"/>
  <c r="S323" i="9"/>
  <c r="B324" i="9"/>
  <c r="C324" i="9"/>
  <c r="D324" i="9"/>
  <c r="E324" i="9"/>
  <c r="F324" i="9"/>
  <c r="G324" i="9"/>
  <c r="H324" i="9"/>
  <c r="I324" i="9"/>
  <c r="J324" i="9"/>
  <c r="K324" i="9"/>
  <c r="M324" i="9"/>
  <c r="N324" i="9"/>
  <c r="S324" i="9"/>
  <c r="T324" i="9"/>
  <c r="B325" i="9"/>
  <c r="C325" i="9"/>
  <c r="D325" i="9"/>
  <c r="E325" i="9"/>
  <c r="F325" i="9"/>
  <c r="G325" i="9"/>
  <c r="H325" i="9"/>
  <c r="I325" i="9"/>
  <c r="J325" i="9"/>
  <c r="K325" i="9"/>
  <c r="M325" i="9"/>
  <c r="N325" i="9"/>
  <c r="S325" i="9"/>
  <c r="B326" i="9"/>
  <c r="C326" i="9"/>
  <c r="D326" i="9"/>
  <c r="E326" i="9"/>
  <c r="F326" i="9"/>
  <c r="G326" i="9"/>
  <c r="H326" i="9"/>
  <c r="I326" i="9"/>
  <c r="J326" i="9"/>
  <c r="K326" i="9"/>
  <c r="M326" i="9"/>
  <c r="N326" i="9"/>
  <c r="S326" i="9"/>
  <c r="B327" i="9"/>
  <c r="C327" i="9"/>
  <c r="D327" i="9"/>
  <c r="E327" i="9"/>
  <c r="F327" i="9"/>
  <c r="G327" i="9"/>
  <c r="H327" i="9"/>
  <c r="I327" i="9"/>
  <c r="J327" i="9"/>
  <c r="K327" i="9"/>
  <c r="M327" i="9"/>
  <c r="N327" i="9"/>
  <c r="S327" i="9"/>
  <c r="B328" i="9"/>
  <c r="C328" i="9"/>
  <c r="D328" i="9"/>
  <c r="E328" i="9"/>
  <c r="F328" i="9"/>
  <c r="G328" i="9"/>
  <c r="H328" i="9"/>
  <c r="I328" i="9"/>
  <c r="J328" i="9"/>
  <c r="K328" i="9"/>
  <c r="M328" i="9"/>
  <c r="N328" i="9"/>
  <c r="S328" i="9"/>
  <c r="K141" i="9"/>
  <c r="B141" i="21"/>
  <c r="K142" i="9"/>
  <c r="B142" i="21"/>
  <c r="K143" i="9"/>
  <c r="K144" i="9"/>
  <c r="B144" i="21"/>
  <c r="K145" i="9"/>
  <c r="B145" i="21"/>
  <c r="K146" i="9"/>
  <c r="B146" i="21"/>
  <c r="K147" i="9"/>
  <c r="B147" i="21"/>
  <c r="I147" i="9"/>
  <c r="O147" i="21"/>
  <c r="J147" i="9"/>
  <c r="AG147" i="21"/>
  <c r="BC147" i="21"/>
  <c r="K148" i="9"/>
  <c r="B148" i="21"/>
  <c r="K149" i="9"/>
  <c r="B149" i="21"/>
  <c r="I149" i="9"/>
  <c r="O149" i="21"/>
  <c r="J149" i="9"/>
  <c r="AG149" i="21"/>
  <c r="BC149" i="21"/>
  <c r="K150" i="9"/>
  <c r="B150" i="21"/>
  <c r="K151" i="9"/>
  <c r="B151" i="21"/>
  <c r="I151" i="9"/>
  <c r="O151" i="21"/>
  <c r="J151" i="9"/>
  <c r="AG151" i="21"/>
  <c r="BC151" i="21"/>
  <c r="K152" i="9"/>
  <c r="B152" i="21"/>
  <c r="K153" i="9"/>
  <c r="B153" i="21"/>
  <c r="K154" i="9"/>
  <c r="B154" i="21"/>
  <c r="K155" i="9"/>
  <c r="B155" i="21"/>
  <c r="J155" i="9"/>
  <c r="AG155" i="21"/>
  <c r="BC155" i="21"/>
  <c r="K156" i="9"/>
  <c r="B156" i="21"/>
  <c r="K157" i="9"/>
  <c r="B157" i="21"/>
  <c r="K158" i="9"/>
  <c r="B158" i="21"/>
  <c r="K159" i="9"/>
  <c r="B159" i="21"/>
  <c r="K160" i="9"/>
  <c r="B160" i="21"/>
  <c r="K161" i="9"/>
  <c r="B161" i="21"/>
  <c r="K162" i="9"/>
  <c r="B162" i="21"/>
  <c r="K163" i="9"/>
  <c r="K164" i="9"/>
  <c r="B164" i="21"/>
  <c r="K165" i="9"/>
  <c r="B165" i="21"/>
  <c r="K166" i="9"/>
  <c r="B166" i="21"/>
  <c r="K167" i="9"/>
  <c r="K168" i="9"/>
  <c r="B168" i="21"/>
  <c r="K169" i="9"/>
  <c r="B169" i="21"/>
  <c r="K170" i="9"/>
  <c r="B170" i="21"/>
  <c r="K171" i="9"/>
  <c r="B171" i="21"/>
  <c r="K172" i="9"/>
  <c r="B172" i="21"/>
  <c r="K173" i="9"/>
  <c r="B173" i="21"/>
  <c r="K174" i="9"/>
  <c r="B174" i="21"/>
  <c r="I174" i="9"/>
  <c r="O174" i="21"/>
  <c r="J174" i="9"/>
  <c r="AG174" i="21"/>
  <c r="BC174" i="21"/>
  <c r="K175" i="9"/>
  <c r="B175" i="21"/>
  <c r="K176" i="9"/>
  <c r="B176" i="21"/>
  <c r="K177" i="9"/>
  <c r="B177" i="21"/>
  <c r="K178" i="9"/>
  <c r="B178" i="21"/>
  <c r="K179" i="9"/>
  <c r="K180" i="9"/>
  <c r="B180" i="21"/>
  <c r="K181" i="9"/>
  <c r="B181" i="21"/>
  <c r="K182" i="9"/>
  <c r="B182" i="21"/>
  <c r="K183" i="9"/>
  <c r="B183" i="21"/>
  <c r="K184" i="9"/>
  <c r="B184" i="21"/>
  <c r="K185" i="9"/>
  <c r="B185" i="21"/>
  <c r="K186" i="9"/>
  <c r="B186" i="21"/>
  <c r="K187" i="9"/>
  <c r="B187" i="21"/>
  <c r="I187" i="9"/>
  <c r="O187" i="21"/>
  <c r="J187" i="9"/>
  <c r="AG187" i="21"/>
  <c r="BC187" i="21"/>
  <c r="K188" i="9"/>
  <c r="B188" i="21"/>
  <c r="K189" i="9"/>
  <c r="B189" i="21"/>
  <c r="K190" i="9"/>
  <c r="B190" i="21"/>
  <c r="K191" i="9"/>
  <c r="B191" i="21"/>
  <c r="I191" i="9"/>
  <c r="O191" i="21"/>
  <c r="J191" i="9"/>
  <c r="AG191" i="21"/>
  <c r="BC191" i="21"/>
  <c r="K192" i="9"/>
  <c r="B192" i="21"/>
  <c r="K193" i="9"/>
  <c r="B193" i="21"/>
  <c r="K194" i="9"/>
  <c r="B194" i="21"/>
  <c r="K195" i="9"/>
  <c r="B195" i="21"/>
  <c r="I195" i="9"/>
  <c r="O195" i="21"/>
  <c r="J195" i="9"/>
  <c r="AG195" i="21"/>
  <c r="BC195" i="21"/>
  <c r="K196" i="9"/>
  <c r="B196" i="21"/>
  <c r="K197" i="9"/>
  <c r="B197" i="21"/>
  <c r="I197" i="9"/>
  <c r="O197" i="21"/>
  <c r="J197" i="9"/>
  <c r="AG197" i="21"/>
  <c r="BC197" i="21"/>
  <c r="K198" i="9"/>
  <c r="B198" i="21"/>
  <c r="K199" i="9"/>
  <c r="B199" i="21"/>
  <c r="I199" i="9"/>
  <c r="O199" i="21"/>
  <c r="J199" i="9"/>
  <c r="AG199" i="21"/>
  <c r="BC199" i="21"/>
  <c r="K200" i="9"/>
  <c r="B200" i="21"/>
  <c r="K201" i="9"/>
  <c r="B201" i="21"/>
  <c r="K202" i="9"/>
  <c r="B202" i="21"/>
  <c r="K203" i="9"/>
  <c r="B203" i="21"/>
  <c r="I203" i="9"/>
  <c r="O203" i="21"/>
  <c r="J203" i="9"/>
  <c r="AG203" i="21"/>
  <c r="BC203" i="21"/>
  <c r="K204" i="9"/>
  <c r="B204" i="21"/>
  <c r="K205" i="9"/>
  <c r="B205" i="21"/>
  <c r="K206" i="9"/>
  <c r="B206" i="21"/>
  <c r="I206" i="9"/>
  <c r="O206" i="21"/>
  <c r="J206" i="9"/>
  <c r="AG206" i="21"/>
  <c r="BC206" i="21"/>
  <c r="K207" i="9"/>
  <c r="K208" i="9"/>
  <c r="B208" i="21"/>
  <c r="K209" i="9"/>
  <c r="B209" i="21"/>
  <c r="I140" i="9"/>
  <c r="O140" i="21"/>
  <c r="AD140" i="21"/>
  <c r="K140" i="9"/>
  <c r="B10" i="9"/>
  <c r="E10" i="9"/>
  <c r="O10" i="9"/>
  <c r="Q10" i="9"/>
  <c r="B103" i="9"/>
  <c r="E111" i="9"/>
  <c r="T111" i="9"/>
  <c r="E113" i="9"/>
  <c r="E114" i="9"/>
  <c r="E115" i="9"/>
  <c r="E117" i="9"/>
  <c r="E118" i="9"/>
  <c r="O118" i="9"/>
  <c r="Q118" i="9"/>
  <c r="B119" i="9"/>
  <c r="E119" i="9"/>
  <c r="B120" i="9"/>
  <c r="T124" i="9"/>
  <c r="B126" i="9"/>
  <c r="T126" i="9"/>
  <c r="B127" i="9"/>
  <c r="T127" i="9"/>
  <c r="B128" i="9"/>
  <c r="T128" i="9"/>
  <c r="E135" i="9"/>
  <c r="E137" i="9"/>
  <c r="O137" i="9"/>
  <c r="Q137" i="9"/>
  <c r="E138" i="9"/>
  <c r="E139" i="9"/>
  <c r="T12" i="23"/>
  <c r="B12" i="23"/>
  <c r="T11" i="23"/>
  <c r="B11" i="23"/>
  <c r="T10" i="23"/>
  <c r="B10" i="23"/>
  <c r="B140" i="9"/>
  <c r="T13" i="23"/>
  <c r="B13" i="23"/>
  <c r="AE23" i="16"/>
  <c r="AE15" i="16"/>
  <c r="F205" i="9"/>
  <c r="AE16" i="16"/>
  <c r="F206" i="9"/>
  <c r="AE17" i="16"/>
  <c r="F207" i="9"/>
  <c r="AE18" i="16"/>
  <c r="F208" i="9"/>
  <c r="AE19" i="16"/>
  <c r="F209" i="9"/>
  <c r="AE20" i="16"/>
  <c r="F210" i="9"/>
  <c r="AE21" i="16"/>
  <c r="AE21" i="15"/>
  <c r="AE22" i="16"/>
  <c r="AD22" i="16"/>
  <c r="AD22" i="15"/>
  <c r="O117" i="9"/>
  <c r="Q117" i="9"/>
  <c r="O138" i="9"/>
  <c r="Q138" i="9"/>
  <c r="N141" i="12"/>
  <c r="N140" i="12"/>
  <c r="S54" i="9"/>
  <c r="S124" i="9"/>
  <c r="S22" i="9"/>
  <c r="T213" i="9"/>
  <c r="J140" i="9"/>
  <c r="AG140" i="21"/>
  <c r="AO140" i="21"/>
  <c r="E141" i="9"/>
  <c r="N141" i="9"/>
  <c r="E142" i="9"/>
  <c r="N142" i="9"/>
  <c r="G143" i="9"/>
  <c r="T143" i="9"/>
  <c r="I144" i="9"/>
  <c r="O144" i="21"/>
  <c r="AD144" i="21"/>
  <c r="B145" i="9"/>
  <c r="I145" i="9"/>
  <c r="O145" i="21"/>
  <c r="AD145" i="21"/>
  <c r="B146" i="9"/>
  <c r="J146" i="9"/>
  <c r="AG146" i="21"/>
  <c r="AO146" i="21"/>
  <c r="E147" i="9"/>
  <c r="N147" i="9"/>
  <c r="G148" i="9"/>
  <c r="T148" i="9"/>
  <c r="AD149" i="21"/>
  <c r="T149" i="9"/>
  <c r="I150" i="9"/>
  <c r="O150" i="21"/>
  <c r="AD150" i="21"/>
  <c r="B151" i="9"/>
  <c r="AO151" i="21"/>
  <c r="E152" i="9"/>
  <c r="N152" i="9"/>
  <c r="N153" i="9"/>
  <c r="G154" i="9"/>
  <c r="T154" i="9"/>
  <c r="AD155" i="21"/>
  <c r="B156" i="9"/>
  <c r="J156" i="9"/>
  <c r="AG156" i="21"/>
  <c r="AO156" i="21"/>
  <c r="E157" i="9"/>
  <c r="N157" i="9"/>
  <c r="E158" i="9"/>
  <c r="N158" i="9"/>
  <c r="G159" i="9"/>
  <c r="T159" i="9"/>
  <c r="I160" i="9"/>
  <c r="B161" i="9"/>
  <c r="J161" i="9"/>
  <c r="AG161" i="21"/>
  <c r="AO161" i="21"/>
  <c r="E162" i="9"/>
  <c r="N162" i="9"/>
  <c r="I162" i="9"/>
  <c r="J162" i="9"/>
  <c r="Q162" i="9"/>
  <c r="G163" i="9"/>
  <c r="T163" i="9"/>
  <c r="I164" i="9"/>
  <c r="O164" i="21"/>
  <c r="AD164" i="21"/>
  <c r="B165" i="9"/>
  <c r="J165" i="9"/>
  <c r="AG165" i="21"/>
  <c r="AO165" i="21"/>
  <c r="B166" i="9"/>
  <c r="J166" i="9"/>
  <c r="AG166" i="21"/>
  <c r="AO166" i="21"/>
  <c r="E167" i="9"/>
  <c r="N167" i="9"/>
  <c r="G168" i="9"/>
  <c r="T168" i="9"/>
  <c r="I169" i="9"/>
  <c r="B170" i="9"/>
  <c r="J170" i="9"/>
  <c r="AG170" i="21"/>
  <c r="AO170" i="21"/>
  <c r="E171" i="9"/>
  <c r="N171" i="9"/>
  <c r="G172" i="9"/>
  <c r="T172" i="9"/>
  <c r="I173" i="9"/>
  <c r="O173" i="21"/>
  <c r="AD173" i="21"/>
  <c r="T173" i="9"/>
  <c r="AD174" i="21"/>
  <c r="B175" i="9"/>
  <c r="J175" i="9"/>
  <c r="AG175" i="21"/>
  <c r="AO175" i="21"/>
  <c r="E176" i="9"/>
  <c r="N176" i="9"/>
  <c r="G177" i="9"/>
  <c r="T177" i="9"/>
  <c r="I178" i="9"/>
  <c r="O178" i="21"/>
  <c r="AD178" i="21"/>
  <c r="B179" i="9"/>
  <c r="J179" i="9"/>
  <c r="AG179" i="21"/>
  <c r="AO179" i="21"/>
  <c r="E180" i="9"/>
  <c r="N180" i="9"/>
  <c r="G181" i="9"/>
  <c r="G182" i="9"/>
  <c r="T182" i="9"/>
  <c r="I183" i="9"/>
  <c r="B184" i="9"/>
  <c r="J184" i="9"/>
  <c r="AG184" i="21"/>
  <c r="AO184" i="21"/>
  <c r="E185" i="9"/>
  <c r="N185" i="9"/>
  <c r="G186" i="9"/>
  <c r="T186" i="9"/>
  <c r="AD187" i="21"/>
  <c r="B188" i="9"/>
  <c r="J188" i="9"/>
  <c r="AG188" i="21"/>
  <c r="AO188" i="21"/>
  <c r="E189" i="9"/>
  <c r="N189" i="9"/>
  <c r="E190" i="9"/>
  <c r="N190" i="9"/>
  <c r="G191" i="9"/>
  <c r="T191" i="9"/>
  <c r="I192" i="9"/>
  <c r="B193" i="9"/>
  <c r="I193" i="9"/>
  <c r="O193" i="21"/>
  <c r="AD193" i="21"/>
  <c r="B194" i="9"/>
  <c r="J194" i="9"/>
  <c r="E195" i="9"/>
  <c r="N195" i="9"/>
  <c r="G196" i="9"/>
  <c r="T196" i="9"/>
  <c r="AD197" i="21"/>
  <c r="T197" i="9"/>
  <c r="I198" i="9"/>
  <c r="O198" i="21"/>
  <c r="AD198" i="21"/>
  <c r="B199" i="9"/>
  <c r="AO199" i="21"/>
  <c r="E200" i="9"/>
  <c r="N200" i="9"/>
  <c r="N201" i="9"/>
  <c r="I201" i="9"/>
  <c r="J201" i="9"/>
  <c r="Q201" i="9"/>
  <c r="G202" i="9"/>
  <c r="T202" i="9"/>
  <c r="AD203" i="21"/>
  <c r="B204" i="9"/>
  <c r="J204" i="9"/>
  <c r="AG204" i="21"/>
  <c r="AO204" i="21"/>
  <c r="E205" i="9"/>
  <c r="J205" i="9"/>
  <c r="AG205" i="21"/>
  <c r="AO205" i="21"/>
  <c r="B206" i="9"/>
  <c r="AD206" i="21"/>
  <c r="B207" i="9"/>
  <c r="I207" i="9"/>
  <c r="O207" i="21"/>
  <c r="AD207" i="21"/>
  <c r="B208" i="9"/>
  <c r="I208" i="9"/>
  <c r="O208" i="21"/>
  <c r="AD208" i="21"/>
  <c r="B209" i="9"/>
  <c r="I209" i="9"/>
  <c r="O209" i="21"/>
  <c r="AD209" i="21"/>
  <c r="B210" i="9"/>
  <c r="B211" i="9"/>
  <c r="B212" i="9"/>
  <c r="B137" i="9"/>
  <c r="E132" i="9"/>
  <c r="O132" i="9"/>
  <c r="Q132" i="9"/>
  <c r="T121" i="9"/>
  <c r="B117" i="9"/>
  <c r="B113" i="9"/>
  <c r="E109" i="9"/>
  <c r="E108" i="9"/>
  <c r="E107" i="9"/>
  <c r="E105" i="9"/>
  <c r="E104" i="9"/>
  <c r="E103" i="9"/>
  <c r="S101" i="9"/>
  <c r="T100" i="9"/>
  <c r="T99" i="9"/>
  <c r="T98" i="9"/>
  <c r="T97" i="9"/>
  <c r="T96" i="9"/>
  <c r="T95" i="9"/>
  <c r="T94" i="9"/>
  <c r="B94" i="9"/>
  <c r="E93" i="9"/>
  <c r="E92" i="9"/>
  <c r="E91" i="9"/>
  <c r="E90" i="9"/>
  <c r="O90" i="9"/>
  <c r="Q90" i="9"/>
  <c r="E89" i="9"/>
  <c r="S86" i="9"/>
  <c r="T85" i="9"/>
  <c r="T84" i="9"/>
  <c r="T83" i="9"/>
  <c r="T82" i="9"/>
  <c r="T81" i="9"/>
  <c r="T80" i="9"/>
  <c r="B80" i="9"/>
  <c r="B79" i="9"/>
  <c r="E78" i="9"/>
  <c r="O78" i="9"/>
  <c r="Q78" i="9"/>
  <c r="E77" i="9"/>
  <c r="O77" i="9"/>
  <c r="Q77" i="9"/>
  <c r="E76" i="9"/>
  <c r="E75" i="9"/>
  <c r="E74" i="9"/>
  <c r="E73" i="9"/>
  <c r="S70" i="9"/>
  <c r="T69" i="9"/>
  <c r="T68" i="9"/>
  <c r="T67" i="9"/>
  <c r="T66" i="9"/>
  <c r="T65" i="9"/>
  <c r="T64" i="9"/>
  <c r="B64" i="9"/>
  <c r="B63" i="9"/>
  <c r="E62" i="9"/>
  <c r="E61" i="9"/>
  <c r="O61" i="9"/>
  <c r="Q61" i="9"/>
  <c r="E60" i="9"/>
  <c r="O60" i="9"/>
  <c r="Q60" i="9"/>
  <c r="E59" i="9"/>
  <c r="E58" i="9"/>
  <c r="E57" i="9"/>
  <c r="T53" i="9"/>
  <c r="T52" i="9"/>
  <c r="T51" i="9"/>
  <c r="T50" i="9"/>
  <c r="T49" i="9"/>
  <c r="T48" i="9"/>
  <c r="T47" i="9"/>
  <c r="T46" i="9"/>
  <c r="B46" i="9"/>
  <c r="B45" i="9"/>
  <c r="B44" i="9"/>
  <c r="B43" i="9"/>
  <c r="B42" i="9"/>
  <c r="B41" i="9"/>
  <c r="B40" i="9"/>
  <c r="B39" i="9"/>
  <c r="E38" i="9"/>
  <c r="O38" i="9"/>
  <c r="Q38" i="9"/>
  <c r="E37" i="9"/>
  <c r="E36" i="9"/>
  <c r="E35" i="9"/>
  <c r="E34" i="9"/>
  <c r="O34" i="9"/>
  <c r="Q34" i="9"/>
  <c r="E33" i="9"/>
  <c r="E32" i="9"/>
  <c r="E31" i="9"/>
  <c r="T21" i="9"/>
  <c r="T20" i="9"/>
  <c r="T19" i="9"/>
  <c r="T18" i="9"/>
  <c r="T17" i="9"/>
  <c r="T16" i="9"/>
  <c r="T15" i="9"/>
  <c r="T14" i="9"/>
  <c r="B14" i="9"/>
  <c r="B13" i="9"/>
  <c r="B12" i="9"/>
  <c r="B11" i="9"/>
  <c r="E131" i="9"/>
  <c r="E130" i="9"/>
  <c r="E129" i="9"/>
  <c r="O129" i="9"/>
  <c r="Q129" i="9"/>
  <c r="T123" i="9"/>
  <c r="T122" i="9"/>
  <c r="E106" i="9"/>
  <c r="N140" i="9"/>
  <c r="G141" i="9"/>
  <c r="G142" i="9"/>
  <c r="T142" i="9"/>
  <c r="I143" i="9"/>
  <c r="O143" i="21"/>
  <c r="AD143" i="21"/>
  <c r="B144" i="9"/>
  <c r="J144" i="9"/>
  <c r="AG144" i="21"/>
  <c r="AO144" i="21"/>
  <c r="E145" i="9"/>
  <c r="J145" i="9"/>
  <c r="AG145" i="21"/>
  <c r="AO145" i="21"/>
  <c r="E146" i="9"/>
  <c r="N146" i="9"/>
  <c r="G147" i="9"/>
  <c r="T147" i="9"/>
  <c r="I148" i="9"/>
  <c r="O148" i="21"/>
  <c r="AD148" i="21"/>
  <c r="B149" i="9"/>
  <c r="AO149" i="21"/>
  <c r="B150" i="9"/>
  <c r="J150" i="9"/>
  <c r="AG150" i="21"/>
  <c r="AO150" i="21"/>
  <c r="E151" i="9"/>
  <c r="N151" i="9"/>
  <c r="G152" i="9"/>
  <c r="T152" i="9"/>
  <c r="G153" i="9"/>
  <c r="T153" i="9"/>
  <c r="I154" i="9"/>
  <c r="O154" i="21"/>
  <c r="AD154" i="21"/>
  <c r="B155" i="9"/>
  <c r="AO155" i="21"/>
  <c r="E156" i="9"/>
  <c r="N156" i="9"/>
  <c r="G157" i="9"/>
  <c r="G158" i="9"/>
  <c r="T158" i="9"/>
  <c r="I159" i="9"/>
  <c r="O159" i="21"/>
  <c r="AD159" i="21"/>
  <c r="B160" i="9"/>
  <c r="J160" i="9"/>
  <c r="AG160" i="21"/>
  <c r="AO160" i="21"/>
  <c r="E161" i="9"/>
  <c r="N161" i="9"/>
  <c r="G162" i="9"/>
  <c r="T162" i="9"/>
  <c r="I163" i="9"/>
  <c r="O163" i="21"/>
  <c r="AD163" i="21"/>
  <c r="B164" i="9"/>
  <c r="J164" i="9"/>
  <c r="AG164" i="21"/>
  <c r="AO164" i="21"/>
  <c r="E165" i="9"/>
  <c r="N165" i="9"/>
  <c r="E166" i="9"/>
  <c r="N166" i="9"/>
  <c r="G167" i="9"/>
  <c r="T167" i="9"/>
  <c r="I168" i="9"/>
  <c r="O168" i="21"/>
  <c r="AD168" i="21"/>
  <c r="B169" i="9"/>
  <c r="J169" i="9"/>
  <c r="AG169" i="21"/>
  <c r="AO169" i="21"/>
  <c r="E170" i="9"/>
  <c r="N170" i="9"/>
  <c r="G171" i="9"/>
  <c r="T171" i="9"/>
  <c r="I172" i="9"/>
  <c r="O172" i="21"/>
  <c r="AD172" i="21"/>
  <c r="B173" i="9"/>
  <c r="J173" i="9"/>
  <c r="AG173" i="21"/>
  <c r="AO173" i="21"/>
  <c r="B174" i="9"/>
  <c r="AO174" i="21"/>
  <c r="E175" i="9"/>
  <c r="N175" i="9"/>
  <c r="G176" i="9"/>
  <c r="T176" i="9"/>
  <c r="I177" i="9"/>
  <c r="O177" i="21"/>
  <c r="AD177" i="21"/>
  <c r="B178" i="9"/>
  <c r="J178" i="9"/>
  <c r="AG178" i="21"/>
  <c r="AO178" i="21"/>
  <c r="E179" i="9"/>
  <c r="N179" i="9"/>
  <c r="G180" i="9"/>
  <c r="T180" i="9"/>
  <c r="I181" i="9"/>
  <c r="O181" i="21"/>
  <c r="AD181" i="21"/>
  <c r="T181" i="9"/>
  <c r="I182" i="9"/>
  <c r="O182" i="21"/>
  <c r="AD182" i="21"/>
  <c r="B183" i="9"/>
  <c r="J183" i="9"/>
  <c r="AG183" i="21"/>
  <c r="AO183" i="21"/>
  <c r="E184" i="9"/>
  <c r="N184" i="9"/>
  <c r="G185" i="9"/>
  <c r="T185" i="9"/>
  <c r="I186" i="9"/>
  <c r="O186" i="21"/>
  <c r="AD186" i="21"/>
  <c r="B187" i="9"/>
  <c r="AO187" i="21"/>
  <c r="E188" i="9"/>
  <c r="N188" i="9"/>
  <c r="G189" i="9"/>
  <c r="G190" i="9"/>
  <c r="T190" i="9"/>
  <c r="AD191" i="21"/>
  <c r="B192" i="9"/>
  <c r="J192" i="9"/>
  <c r="AG192" i="21"/>
  <c r="AO192" i="21"/>
  <c r="E193" i="9"/>
  <c r="J193" i="9"/>
  <c r="AG193" i="21"/>
  <c r="AO193" i="21"/>
  <c r="E194" i="9"/>
  <c r="N194" i="9"/>
  <c r="G195" i="9"/>
  <c r="T195" i="9"/>
  <c r="I196" i="9"/>
  <c r="O196" i="21"/>
  <c r="AD196" i="21"/>
  <c r="B197" i="9"/>
  <c r="AO197" i="21"/>
  <c r="B198" i="9"/>
  <c r="J198" i="9"/>
  <c r="AG198" i="21"/>
  <c r="AO198" i="21"/>
  <c r="E199" i="9"/>
  <c r="N199" i="9"/>
  <c r="G200" i="9"/>
  <c r="T200" i="9"/>
  <c r="G201" i="9"/>
  <c r="T201" i="9"/>
  <c r="I202" i="9"/>
  <c r="O202" i="21"/>
  <c r="AD202" i="21"/>
  <c r="B203" i="9"/>
  <c r="AO203" i="21"/>
  <c r="E204" i="9"/>
  <c r="N204" i="9"/>
  <c r="N205" i="9"/>
  <c r="E206" i="9"/>
  <c r="AO206" i="21"/>
  <c r="E207" i="9"/>
  <c r="J207" i="9"/>
  <c r="AG207" i="21"/>
  <c r="AO207" i="21"/>
  <c r="E208" i="9"/>
  <c r="J208" i="9"/>
  <c r="AG208" i="21"/>
  <c r="AO208" i="21"/>
  <c r="E209" i="9"/>
  <c r="J209" i="9"/>
  <c r="AG209" i="21"/>
  <c r="AO209" i="21"/>
  <c r="R10" i="23"/>
  <c r="E210" i="9"/>
  <c r="R11" i="23"/>
  <c r="R12" i="23"/>
  <c r="B133" i="9"/>
  <c r="B129" i="9"/>
  <c r="T117" i="9"/>
  <c r="T113" i="9"/>
  <c r="T110" i="9"/>
  <c r="B110" i="9"/>
  <c r="B109" i="9"/>
  <c r="B108" i="9"/>
  <c r="B106" i="9"/>
  <c r="B105" i="9"/>
  <c r="B104" i="9"/>
  <c r="E102" i="9"/>
  <c r="T93" i="9"/>
  <c r="B93" i="9"/>
  <c r="B92" i="9"/>
  <c r="B91" i="9"/>
  <c r="B90" i="9"/>
  <c r="B89" i="9"/>
  <c r="E88" i="9"/>
  <c r="E87" i="9"/>
  <c r="T79" i="9"/>
  <c r="T78" i="9"/>
  <c r="B78" i="9"/>
  <c r="B77" i="9"/>
  <c r="B76" i="9"/>
  <c r="B75" i="9"/>
  <c r="B74" i="9"/>
  <c r="B73" i="9"/>
  <c r="E72" i="9"/>
  <c r="O72" i="9"/>
  <c r="Q72" i="9"/>
  <c r="E71" i="9"/>
  <c r="S64" i="9"/>
  <c r="T63" i="9"/>
  <c r="T62" i="9"/>
  <c r="B62" i="9"/>
  <c r="B61" i="9"/>
  <c r="B60" i="9"/>
  <c r="B59" i="9"/>
  <c r="B58" i="9"/>
  <c r="B57" i="9"/>
  <c r="E56" i="9"/>
  <c r="O56" i="9"/>
  <c r="Q56" i="9"/>
  <c r="E55" i="9"/>
  <c r="S46" i="9"/>
  <c r="T45" i="9"/>
  <c r="T44" i="9"/>
  <c r="T43" i="9"/>
  <c r="T42" i="9"/>
  <c r="T41" i="9"/>
  <c r="T40" i="9"/>
  <c r="T39" i="9"/>
  <c r="T38" i="9"/>
  <c r="B38" i="9"/>
  <c r="B37" i="9"/>
  <c r="B36" i="9"/>
  <c r="B35" i="9"/>
  <c r="B34" i="9"/>
  <c r="B33" i="9"/>
  <c r="B32" i="9"/>
  <c r="B31" i="9"/>
  <c r="E30" i="9"/>
  <c r="E29" i="9"/>
  <c r="E28" i="9"/>
  <c r="E27" i="9"/>
  <c r="E26" i="9"/>
  <c r="E25" i="9"/>
  <c r="O25" i="9"/>
  <c r="Q25" i="9"/>
  <c r="E24" i="9"/>
  <c r="O24" i="9"/>
  <c r="Q24" i="9"/>
  <c r="E23" i="9"/>
  <c r="S14" i="9"/>
  <c r="T13" i="9"/>
  <c r="T12" i="9"/>
  <c r="T11" i="9"/>
  <c r="T139" i="9"/>
  <c r="B139" i="9"/>
  <c r="E134" i="9"/>
  <c r="O134" i="9"/>
  <c r="Q134" i="9"/>
  <c r="E133" i="9"/>
  <c r="O133" i="9"/>
  <c r="Q133" i="9"/>
  <c r="B132" i="9"/>
  <c r="B131" i="9"/>
  <c r="B130" i="9"/>
  <c r="B116" i="9"/>
  <c r="B115" i="9"/>
  <c r="B114" i="9"/>
  <c r="T112" i="9"/>
  <c r="T141" i="9"/>
  <c r="B143" i="9"/>
  <c r="E144" i="9"/>
  <c r="N144" i="9"/>
  <c r="N145" i="9"/>
  <c r="G146" i="9"/>
  <c r="T146" i="9"/>
  <c r="AD147" i="21"/>
  <c r="B148" i="9"/>
  <c r="J148" i="9"/>
  <c r="AG148" i="21"/>
  <c r="AO148" i="21"/>
  <c r="E149" i="9"/>
  <c r="N149" i="9"/>
  <c r="E150" i="9"/>
  <c r="N150" i="9"/>
  <c r="Q150" i="9"/>
  <c r="G151" i="9"/>
  <c r="T151" i="9"/>
  <c r="I152" i="9"/>
  <c r="O152" i="21"/>
  <c r="AD152" i="21"/>
  <c r="B153" i="9"/>
  <c r="I153" i="9"/>
  <c r="O153" i="21"/>
  <c r="AD153" i="21"/>
  <c r="B154" i="9"/>
  <c r="J154" i="9"/>
  <c r="AG154" i="21"/>
  <c r="AO154" i="21"/>
  <c r="E155" i="9"/>
  <c r="N155" i="9"/>
  <c r="G156" i="9"/>
  <c r="T156" i="9"/>
  <c r="I157" i="9"/>
  <c r="T157" i="9"/>
  <c r="I158" i="9"/>
  <c r="O158" i="21"/>
  <c r="AD158" i="21"/>
  <c r="B159" i="9"/>
  <c r="J159" i="9"/>
  <c r="E160" i="9"/>
  <c r="N160" i="9"/>
  <c r="G161" i="9"/>
  <c r="T161" i="9"/>
  <c r="O162" i="21"/>
  <c r="AD162" i="21"/>
  <c r="B163" i="9"/>
  <c r="J163" i="9"/>
  <c r="AG163" i="21"/>
  <c r="AO163" i="21"/>
  <c r="E164" i="9"/>
  <c r="N164" i="9"/>
  <c r="G165" i="9"/>
  <c r="G166" i="9"/>
  <c r="T166" i="9"/>
  <c r="I167" i="9"/>
  <c r="O167" i="21"/>
  <c r="AD167" i="21"/>
  <c r="B168" i="9"/>
  <c r="J168" i="9"/>
  <c r="AG168" i="21"/>
  <c r="AO168" i="21"/>
  <c r="E169" i="9"/>
  <c r="N169" i="9"/>
  <c r="G170" i="9"/>
  <c r="T170" i="9"/>
  <c r="I171" i="9"/>
  <c r="B172" i="9"/>
  <c r="J172" i="9"/>
  <c r="AG172" i="21"/>
  <c r="AO172" i="21"/>
  <c r="E173" i="9"/>
  <c r="N173" i="9"/>
  <c r="E174" i="9"/>
  <c r="N174" i="9"/>
  <c r="G175" i="9"/>
  <c r="T175" i="9"/>
  <c r="I176" i="9"/>
  <c r="O176" i="21"/>
  <c r="AD176" i="21"/>
  <c r="B177" i="9"/>
  <c r="J177" i="9"/>
  <c r="AG177" i="21"/>
  <c r="AO177" i="21"/>
  <c r="E178" i="9"/>
  <c r="N178" i="9"/>
  <c r="G179" i="9"/>
  <c r="T179" i="9"/>
  <c r="I180" i="9"/>
  <c r="B181" i="9"/>
  <c r="J181" i="9"/>
  <c r="AG181" i="21"/>
  <c r="AO181" i="21"/>
  <c r="B182" i="9"/>
  <c r="J182" i="9"/>
  <c r="E183" i="9"/>
  <c r="N183" i="9"/>
  <c r="G184" i="9"/>
  <c r="T184" i="9"/>
  <c r="I185" i="9"/>
  <c r="O185" i="21"/>
  <c r="AD185" i="21"/>
  <c r="B186" i="9"/>
  <c r="J186" i="9"/>
  <c r="AG186" i="21"/>
  <c r="AO186" i="21"/>
  <c r="E187" i="9"/>
  <c r="N187" i="9"/>
  <c r="G188" i="9"/>
  <c r="T188" i="9"/>
  <c r="I189" i="9"/>
  <c r="T189" i="9"/>
  <c r="I190" i="9"/>
  <c r="O190" i="21"/>
  <c r="AD190" i="21"/>
  <c r="B191" i="9"/>
  <c r="AO191" i="21"/>
  <c r="E192" i="9"/>
  <c r="N192" i="9"/>
  <c r="N193" i="9"/>
  <c r="G194" i="9"/>
  <c r="T194" i="9"/>
  <c r="AD195" i="21"/>
  <c r="B196" i="9"/>
  <c r="J196" i="9"/>
  <c r="AG196" i="21"/>
  <c r="AO196" i="21"/>
  <c r="E197" i="9"/>
  <c r="N197" i="9"/>
  <c r="E198" i="9"/>
  <c r="N198" i="9"/>
  <c r="G199" i="9"/>
  <c r="T199" i="9"/>
  <c r="I200" i="9"/>
  <c r="O200" i="21"/>
  <c r="AD200" i="21"/>
  <c r="B201" i="9"/>
  <c r="O201" i="21"/>
  <c r="AD201" i="21"/>
  <c r="B202" i="9"/>
  <c r="J202" i="9"/>
  <c r="AG202" i="21"/>
  <c r="AO202" i="21"/>
  <c r="E203" i="9"/>
  <c r="N203" i="9"/>
  <c r="G204" i="9"/>
  <c r="T204" i="9"/>
  <c r="G205" i="9"/>
  <c r="N206" i="9"/>
  <c r="N207" i="9"/>
  <c r="N208" i="9"/>
  <c r="Q208" i="9"/>
  <c r="N209" i="9"/>
  <c r="N210" i="9"/>
  <c r="T133" i="9"/>
  <c r="T129" i="9"/>
  <c r="B125" i="9"/>
  <c r="E120" i="9"/>
  <c r="T109" i="9"/>
  <c r="T108" i="9"/>
  <c r="T106" i="9"/>
  <c r="T105" i="9"/>
  <c r="T104" i="9"/>
  <c r="T102" i="9"/>
  <c r="B102" i="9"/>
  <c r="E101" i="9"/>
  <c r="E100" i="9"/>
  <c r="E99" i="9"/>
  <c r="E98" i="9"/>
  <c r="E97" i="9"/>
  <c r="E96" i="9"/>
  <c r="E95" i="9"/>
  <c r="T92" i="9"/>
  <c r="T91" i="9"/>
  <c r="T90" i="9"/>
  <c r="T89" i="9"/>
  <c r="T88" i="9"/>
  <c r="B88" i="9"/>
  <c r="B87" i="9"/>
  <c r="E86" i="9"/>
  <c r="O86" i="9"/>
  <c r="Q86" i="9"/>
  <c r="E85" i="9"/>
  <c r="E84" i="9"/>
  <c r="E83" i="9"/>
  <c r="E82" i="9"/>
  <c r="O82" i="9"/>
  <c r="Q82" i="9"/>
  <c r="E81" i="9"/>
  <c r="T77" i="9"/>
  <c r="T76" i="9"/>
  <c r="T75" i="9"/>
  <c r="T74" i="9"/>
  <c r="T73" i="9"/>
  <c r="T72" i="9"/>
  <c r="B72" i="9"/>
  <c r="B71" i="9"/>
  <c r="E70" i="9"/>
  <c r="E69" i="9"/>
  <c r="E68" i="9"/>
  <c r="O68" i="9"/>
  <c r="Q68" i="9"/>
  <c r="E67" i="9"/>
  <c r="E66" i="9"/>
  <c r="E65" i="9"/>
  <c r="O65" i="9"/>
  <c r="Q65" i="9"/>
  <c r="T61" i="9"/>
  <c r="T60" i="9"/>
  <c r="T59" i="9"/>
  <c r="T58" i="9"/>
  <c r="T57" i="9"/>
  <c r="T56" i="9"/>
  <c r="B56" i="9"/>
  <c r="B55" i="9"/>
  <c r="E54" i="9"/>
  <c r="E53" i="9"/>
  <c r="E52" i="9"/>
  <c r="E51" i="9"/>
  <c r="E50" i="9"/>
  <c r="O50" i="9"/>
  <c r="Q50" i="9"/>
  <c r="E49" i="9"/>
  <c r="E48" i="9"/>
  <c r="E47" i="9"/>
  <c r="O47" i="9"/>
  <c r="Q47" i="9"/>
  <c r="T37" i="9"/>
  <c r="T36" i="9"/>
  <c r="T35" i="9"/>
  <c r="T34" i="9"/>
  <c r="T33" i="9"/>
  <c r="T32" i="9"/>
  <c r="T31" i="9"/>
  <c r="T30" i="9"/>
  <c r="B30" i="9"/>
  <c r="B29" i="9"/>
  <c r="B28" i="9"/>
  <c r="B27" i="9"/>
  <c r="B26" i="9"/>
  <c r="B25" i="9"/>
  <c r="B24" i="9"/>
  <c r="B23" i="9"/>
  <c r="E22" i="9"/>
  <c r="O22" i="9"/>
  <c r="Q22" i="9"/>
  <c r="E21" i="9"/>
  <c r="E20" i="9"/>
  <c r="O20" i="9"/>
  <c r="Q20" i="9"/>
  <c r="E19" i="9"/>
  <c r="O19" i="9"/>
  <c r="Q19" i="9"/>
  <c r="E18" i="9"/>
  <c r="E17" i="9"/>
  <c r="E16" i="9"/>
  <c r="E15" i="9"/>
  <c r="T10" i="9"/>
  <c r="T140" i="9"/>
  <c r="T138" i="9"/>
  <c r="B138" i="9"/>
  <c r="B136" i="9"/>
  <c r="B135" i="9"/>
  <c r="B134" i="9"/>
  <c r="T132" i="9"/>
  <c r="T131" i="9"/>
  <c r="T130" i="9"/>
  <c r="E123" i="9"/>
  <c r="E122" i="9"/>
  <c r="O122" i="9"/>
  <c r="Q122" i="9"/>
  <c r="E121" i="9"/>
  <c r="O121" i="9"/>
  <c r="Q121" i="9"/>
  <c r="B118" i="9"/>
  <c r="T116" i="9"/>
  <c r="T115" i="9"/>
  <c r="T114" i="9"/>
  <c r="B111" i="9"/>
  <c r="T107" i="9"/>
  <c r="I141" i="9"/>
  <c r="O141" i="21"/>
  <c r="AD141" i="21"/>
  <c r="I142" i="9"/>
  <c r="J143" i="9"/>
  <c r="AG143" i="21"/>
  <c r="AO143" i="21"/>
  <c r="B213" i="9"/>
  <c r="G140" i="9"/>
  <c r="B141" i="9"/>
  <c r="J141" i="9"/>
  <c r="AG141" i="21"/>
  <c r="AO141" i="21"/>
  <c r="B142" i="9"/>
  <c r="J142" i="9"/>
  <c r="AG142" i="21"/>
  <c r="AO142" i="21"/>
  <c r="E143" i="9"/>
  <c r="N143" i="9"/>
  <c r="G144" i="9"/>
  <c r="T144" i="9"/>
  <c r="G145" i="9"/>
  <c r="T145" i="9"/>
  <c r="I146" i="9"/>
  <c r="O146" i="21"/>
  <c r="AD146" i="21"/>
  <c r="B147" i="9"/>
  <c r="AO147" i="21"/>
  <c r="E148" i="9"/>
  <c r="N148" i="9"/>
  <c r="G149" i="9"/>
  <c r="G150" i="9"/>
  <c r="T150" i="9"/>
  <c r="AD151" i="21"/>
  <c r="B152" i="9"/>
  <c r="J152" i="9"/>
  <c r="AG152" i="21"/>
  <c r="AO152" i="21"/>
  <c r="E153" i="9"/>
  <c r="J153" i="9"/>
  <c r="AG153" i="21"/>
  <c r="AO153" i="21"/>
  <c r="E154" i="9"/>
  <c r="N154" i="9"/>
  <c r="G155" i="9"/>
  <c r="T155" i="9"/>
  <c r="I156" i="9"/>
  <c r="O156" i="21"/>
  <c r="AD156" i="21"/>
  <c r="B157" i="9"/>
  <c r="J157" i="9"/>
  <c r="AG157" i="21"/>
  <c r="AO157" i="21"/>
  <c r="B158" i="9"/>
  <c r="J158" i="9"/>
  <c r="AG158" i="21"/>
  <c r="AO158" i="21"/>
  <c r="E159" i="9"/>
  <c r="N159" i="9"/>
  <c r="G160" i="9"/>
  <c r="T160" i="9"/>
  <c r="I161" i="9"/>
  <c r="O161" i="21"/>
  <c r="AD161" i="21"/>
  <c r="B162" i="9"/>
  <c r="AG162" i="21"/>
  <c r="AO162" i="21"/>
  <c r="E163" i="9"/>
  <c r="N163" i="9"/>
  <c r="G164" i="9"/>
  <c r="T164" i="9"/>
  <c r="I165" i="9"/>
  <c r="O165" i="21"/>
  <c r="AD165" i="21"/>
  <c r="T165" i="9"/>
  <c r="I166" i="9"/>
  <c r="O166" i="21"/>
  <c r="AD166" i="21"/>
  <c r="B167" i="9"/>
  <c r="J167" i="9"/>
  <c r="AG167" i="21"/>
  <c r="AO167" i="21"/>
  <c r="E168" i="9"/>
  <c r="N168" i="9"/>
  <c r="G169" i="9"/>
  <c r="T169" i="9"/>
  <c r="I170" i="9"/>
  <c r="O170" i="21"/>
  <c r="AD170" i="21"/>
  <c r="B171" i="9"/>
  <c r="J171" i="9"/>
  <c r="AG171" i="21"/>
  <c r="AO171" i="21"/>
  <c r="E172" i="9"/>
  <c r="N172" i="9"/>
  <c r="G173" i="9"/>
  <c r="G174" i="9"/>
  <c r="T174" i="9"/>
  <c r="I175" i="9"/>
  <c r="B176" i="9"/>
  <c r="J176" i="9"/>
  <c r="AG176" i="21"/>
  <c r="AO176" i="21"/>
  <c r="E177" i="9"/>
  <c r="N177" i="9"/>
  <c r="G178" i="9"/>
  <c r="T178" i="9"/>
  <c r="I179" i="9"/>
  <c r="O179" i="21"/>
  <c r="AD179" i="21"/>
  <c r="B180" i="9"/>
  <c r="J180" i="9"/>
  <c r="AG180" i="21"/>
  <c r="AO180" i="21"/>
  <c r="E181" i="9"/>
  <c r="N181" i="9"/>
  <c r="E182" i="9"/>
  <c r="N182" i="9"/>
  <c r="G183" i="9"/>
  <c r="T183" i="9"/>
  <c r="I184" i="9"/>
  <c r="B185" i="9"/>
  <c r="J185" i="9"/>
  <c r="AG185" i="21"/>
  <c r="AO185" i="21"/>
  <c r="E186" i="9"/>
  <c r="N186" i="9"/>
  <c r="Q186" i="9"/>
  <c r="G187" i="9"/>
  <c r="T187" i="9"/>
  <c r="I188" i="9"/>
  <c r="O188" i="21"/>
  <c r="AD188" i="21"/>
  <c r="B189" i="9"/>
  <c r="J189" i="9"/>
  <c r="AG189" i="21"/>
  <c r="AO189" i="21"/>
  <c r="B190" i="9"/>
  <c r="J190" i="9"/>
  <c r="AG190" i="21"/>
  <c r="AO190" i="21"/>
  <c r="E191" i="9"/>
  <c r="N191" i="9"/>
  <c r="G192" i="9"/>
  <c r="T192" i="9"/>
  <c r="G193" i="9"/>
  <c r="T193" i="9"/>
  <c r="I194" i="9"/>
  <c r="O194" i="21"/>
  <c r="AD194" i="21"/>
  <c r="B195" i="9"/>
  <c r="AO195" i="21"/>
  <c r="E196" i="9"/>
  <c r="N196" i="9"/>
  <c r="G197" i="9"/>
  <c r="G198" i="9"/>
  <c r="T198" i="9"/>
  <c r="AD199" i="21"/>
  <c r="B200" i="9"/>
  <c r="J200" i="9"/>
  <c r="AG200" i="21"/>
  <c r="AO200" i="21"/>
  <c r="E201" i="9"/>
  <c r="AG201" i="21"/>
  <c r="AO201" i="21"/>
  <c r="E202" i="9"/>
  <c r="N202" i="9"/>
  <c r="Q202" i="9"/>
  <c r="G203" i="9"/>
  <c r="T203" i="9"/>
  <c r="I204" i="9"/>
  <c r="O204" i="21"/>
  <c r="AD204" i="21"/>
  <c r="B205" i="9"/>
  <c r="I205" i="9"/>
  <c r="O205" i="21"/>
  <c r="AD205" i="21"/>
  <c r="T205" i="9"/>
  <c r="G206" i="9"/>
  <c r="T206" i="9"/>
  <c r="G207" i="9"/>
  <c r="T207" i="9"/>
  <c r="G208" i="9"/>
  <c r="T208" i="9"/>
  <c r="G209" i="9"/>
  <c r="T209" i="9"/>
  <c r="G210" i="9"/>
  <c r="T210" i="9"/>
  <c r="T211" i="9"/>
  <c r="T212" i="9"/>
  <c r="E136" i="9"/>
  <c r="T125" i="9"/>
  <c r="B121" i="9"/>
  <c r="E116" i="9"/>
  <c r="E112" i="9"/>
  <c r="O112" i="9"/>
  <c r="Q112" i="9"/>
  <c r="T101" i="9"/>
  <c r="B101" i="9"/>
  <c r="B100" i="9"/>
  <c r="B99" i="9"/>
  <c r="B98" i="9"/>
  <c r="B97" i="9"/>
  <c r="B96" i="9"/>
  <c r="B95" i="9"/>
  <c r="E94" i="9"/>
  <c r="T87" i="9"/>
  <c r="T86" i="9"/>
  <c r="B86" i="9"/>
  <c r="B85" i="9"/>
  <c r="B84" i="9"/>
  <c r="B83" i="9"/>
  <c r="B82" i="9"/>
  <c r="B81" i="9"/>
  <c r="E80" i="9"/>
  <c r="E79" i="9"/>
  <c r="T71" i="9"/>
  <c r="T70" i="9"/>
  <c r="B70" i="9"/>
  <c r="B69" i="9"/>
  <c r="B68" i="9"/>
  <c r="B67" i="9"/>
  <c r="B66" i="9"/>
  <c r="B65" i="9"/>
  <c r="E64" i="9"/>
  <c r="E63" i="9"/>
  <c r="T55" i="9"/>
  <c r="T54" i="9"/>
  <c r="B54" i="9"/>
  <c r="B53" i="9"/>
  <c r="B52" i="9"/>
  <c r="B51" i="9"/>
  <c r="B50" i="9"/>
  <c r="B49" i="9"/>
  <c r="B48" i="9"/>
  <c r="B47" i="9"/>
  <c r="E46" i="9"/>
  <c r="E45" i="9"/>
  <c r="O45" i="9"/>
  <c r="Q45" i="9"/>
  <c r="E44" i="9"/>
  <c r="E43" i="9"/>
  <c r="O43" i="9"/>
  <c r="Q43" i="9"/>
  <c r="E42" i="9"/>
  <c r="E41" i="9"/>
  <c r="E40" i="9"/>
  <c r="E39" i="9"/>
  <c r="S30" i="9"/>
  <c r="T29" i="9"/>
  <c r="T28" i="9"/>
  <c r="T27" i="9"/>
  <c r="T26" i="9"/>
  <c r="T25" i="9"/>
  <c r="T24" i="9"/>
  <c r="T23" i="9"/>
  <c r="T22" i="9"/>
  <c r="B22" i="9"/>
  <c r="B21" i="9"/>
  <c r="B20" i="9"/>
  <c r="B19" i="9"/>
  <c r="B18" i="9"/>
  <c r="B17" i="9"/>
  <c r="B16" i="9"/>
  <c r="B15" i="9"/>
  <c r="E14" i="9"/>
  <c r="O14" i="9"/>
  <c r="Q14" i="9"/>
  <c r="E13" i="9"/>
  <c r="E12" i="9"/>
  <c r="E11" i="9"/>
  <c r="O11" i="9"/>
  <c r="Q11" i="9"/>
  <c r="E140" i="9"/>
  <c r="T137" i="9"/>
  <c r="T136" i="9"/>
  <c r="T135" i="9"/>
  <c r="T134" i="9"/>
  <c r="E127" i="9"/>
  <c r="E126" i="9"/>
  <c r="O126" i="9"/>
  <c r="Q126" i="9"/>
  <c r="E125" i="9"/>
  <c r="O125" i="9"/>
  <c r="Q125" i="9"/>
  <c r="B124" i="9"/>
  <c r="B123" i="9"/>
  <c r="B122" i="9"/>
  <c r="T120" i="9"/>
  <c r="T119" i="9"/>
  <c r="T118" i="9"/>
  <c r="B112" i="9"/>
  <c r="E110" i="9"/>
  <c r="B107" i="9"/>
  <c r="T103" i="9"/>
  <c r="S12" i="23"/>
  <c r="CG56" i="6"/>
  <c r="BC63" i="6"/>
  <c r="BD63" i="6"/>
  <c r="BD62" i="6"/>
  <c r="BE63" i="6"/>
  <c r="BD61" i="6"/>
  <c r="BD60" i="6"/>
  <c r="BE61" i="6"/>
  <c r="BD59" i="6"/>
  <c r="BD58" i="6"/>
  <c r="BD57" i="6"/>
  <c r="BE58" i="6"/>
  <c r="BD56" i="6"/>
  <c r="BE57" i="6"/>
  <c r="BD55" i="6"/>
  <c r="BD54" i="6"/>
  <c r="BD53" i="6"/>
  <c r="BE54" i="6"/>
  <c r="BD52" i="6"/>
  <c r="BE53" i="6"/>
  <c r="BD51" i="6"/>
  <c r="BD50" i="6"/>
  <c r="BD49" i="6"/>
  <c r="BE50" i="6"/>
  <c r="BD48" i="6"/>
  <c r="BD47" i="6"/>
  <c r="BD46" i="6"/>
  <c r="BD45" i="6"/>
  <c r="BE46"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2" i="6"/>
  <c r="S161" i="9"/>
  <c r="S148" i="9"/>
  <c r="R13" i="23"/>
  <c r="S11" i="23"/>
  <c r="O40" i="9"/>
  <c r="Q40" i="9"/>
  <c r="O27" i="9"/>
  <c r="Q27" i="9"/>
  <c r="AE16" i="15"/>
  <c r="AD16" i="16"/>
  <c r="AD16" i="15"/>
  <c r="O36" i="9"/>
  <c r="Q36" i="9"/>
  <c r="O57" i="9"/>
  <c r="Q57" i="9"/>
  <c r="O41" i="9"/>
  <c r="Q41" i="9"/>
  <c r="O48" i="9"/>
  <c r="Q48" i="9"/>
  <c r="O69" i="9"/>
  <c r="Q69" i="9"/>
  <c r="O28" i="9"/>
  <c r="Q28" i="9"/>
  <c r="AE19" i="15"/>
  <c r="AD19" i="16"/>
  <c r="AD19" i="15"/>
  <c r="S13" i="23"/>
  <c r="O130" i="9"/>
  <c r="Q130" i="9"/>
  <c r="O37" i="9"/>
  <c r="Q37" i="9"/>
  <c r="O58" i="9"/>
  <c r="Q58" i="9"/>
  <c r="O42" i="9"/>
  <c r="Q42" i="9"/>
  <c r="O17" i="9"/>
  <c r="Q17" i="9"/>
  <c r="O49" i="9"/>
  <c r="Q49" i="9"/>
  <c r="O29" i="9"/>
  <c r="Q29" i="9"/>
  <c r="AE15" i="15"/>
  <c r="AD15" i="16"/>
  <c r="AD15" i="15"/>
  <c r="O15" i="9"/>
  <c r="Q15" i="9"/>
  <c r="O54" i="9"/>
  <c r="Q54" i="9"/>
  <c r="O59" i="9"/>
  <c r="Q59" i="9"/>
  <c r="O131" i="9"/>
  <c r="Q131" i="9"/>
  <c r="O18" i="9"/>
  <c r="Q18" i="9"/>
  <c r="O70" i="9"/>
  <c r="Q70" i="9"/>
  <c r="O55" i="9"/>
  <c r="Q55" i="9"/>
  <c r="AE22" i="15"/>
  <c r="O31" i="9"/>
  <c r="Q31" i="9"/>
  <c r="O73" i="9"/>
  <c r="Q73" i="9"/>
  <c r="O12" i="9"/>
  <c r="Q12" i="9"/>
  <c r="O44" i="9"/>
  <c r="Q44" i="9"/>
  <c r="O135" i="9"/>
  <c r="Q135" i="9"/>
  <c r="O51" i="9"/>
  <c r="Q51" i="9"/>
  <c r="O23" i="9"/>
  <c r="Q23" i="9"/>
  <c r="O30" i="9"/>
  <c r="Q30" i="9"/>
  <c r="O80" i="9"/>
  <c r="Q80" i="9"/>
  <c r="AD18" i="16"/>
  <c r="AD18" i="15"/>
  <c r="AE18" i="15"/>
  <c r="AE23" i="15"/>
  <c r="AD23" i="16"/>
  <c r="AD23" i="15"/>
  <c r="O113" i="9"/>
  <c r="Q113" i="9"/>
  <c r="O32" i="9"/>
  <c r="Q32" i="9"/>
  <c r="O74" i="9"/>
  <c r="Q74" i="9"/>
  <c r="O13" i="9"/>
  <c r="Q13" i="9"/>
  <c r="O52" i="9"/>
  <c r="Q52" i="9"/>
  <c r="AD21" i="16"/>
  <c r="AD21" i="15"/>
  <c r="O35" i="9"/>
  <c r="Q35" i="9"/>
  <c r="O114" i="9"/>
  <c r="Q114" i="9"/>
  <c r="O33" i="9"/>
  <c r="Q33" i="9"/>
  <c r="O64" i="9"/>
  <c r="Q64" i="9"/>
  <c r="O21" i="9"/>
  <c r="Q21" i="9"/>
  <c r="O53" i="9"/>
  <c r="Q53" i="9"/>
  <c r="O66" i="9"/>
  <c r="Q66" i="9"/>
  <c r="AD17" i="16"/>
  <c r="AD17" i="15"/>
  <c r="AE17" i="15"/>
  <c r="O62" i="9"/>
  <c r="Q62" i="9"/>
  <c r="O76" i="9"/>
  <c r="Q76" i="9"/>
  <c r="O39" i="9"/>
  <c r="Q39" i="9"/>
  <c r="O46" i="9"/>
  <c r="Q46" i="9"/>
  <c r="O115" i="9"/>
  <c r="Q115" i="9"/>
  <c r="O26" i="9"/>
  <c r="Q26" i="9"/>
  <c r="AE20" i="15"/>
  <c r="AD20" i="16"/>
  <c r="AD20" i="15"/>
  <c r="Q154" i="9"/>
  <c r="Q170" i="9"/>
  <c r="Q164" i="9"/>
  <c r="Q209" i="9"/>
  <c r="O81" i="9"/>
  <c r="Q81" i="9"/>
  <c r="Q198" i="9"/>
  <c r="Q156" i="9"/>
  <c r="Q148" i="9"/>
  <c r="S182" i="9"/>
  <c r="S176" i="9"/>
  <c r="S174" i="9"/>
  <c r="S207" i="9"/>
  <c r="S183" i="9"/>
  <c r="S203" i="9"/>
  <c r="S153" i="9"/>
  <c r="S159" i="9"/>
  <c r="S201" i="9"/>
  <c r="S144" i="9"/>
  <c r="S199" i="9"/>
  <c r="S191" i="9"/>
  <c r="S173" i="9"/>
  <c r="S213" i="9"/>
  <c r="S168" i="9"/>
  <c r="S188" i="9"/>
  <c r="S165" i="9"/>
  <c r="S23" i="9"/>
  <c r="S24" i="9"/>
  <c r="S25" i="9"/>
  <c r="S26" i="9"/>
  <c r="S27" i="9"/>
  <c r="S28" i="9"/>
  <c r="S37" i="9"/>
  <c r="S87" i="9"/>
  <c r="S102" i="9"/>
  <c r="S126" i="9"/>
  <c r="S31" i="9"/>
  <c r="S32" i="9"/>
  <c r="S33" i="9"/>
  <c r="S34" i="9"/>
  <c r="S35" i="9"/>
  <c r="S36" i="9"/>
  <c r="S38" i="9"/>
  <c r="S89" i="9"/>
  <c r="S90" i="9"/>
  <c r="S91" i="9"/>
  <c r="S92" i="9"/>
  <c r="S128" i="9"/>
  <c r="S129" i="9"/>
  <c r="S132" i="9"/>
  <c r="S133" i="9"/>
  <c r="S79" i="9"/>
  <c r="S112" i="9"/>
  <c r="S113" i="9"/>
  <c r="S135" i="9"/>
  <c r="S15" i="9"/>
  <c r="S16" i="9"/>
  <c r="S17" i="9"/>
  <c r="S18" i="9"/>
  <c r="S19" i="9"/>
  <c r="S20" i="9"/>
  <c r="S120" i="9"/>
  <c r="S121" i="9"/>
  <c r="S152" i="9"/>
  <c r="S71" i="9"/>
  <c r="S88" i="9"/>
  <c r="S131" i="9"/>
  <c r="S93" i="9"/>
  <c r="S107" i="9"/>
  <c r="S108" i="9"/>
  <c r="S109" i="9"/>
  <c r="S127" i="9"/>
  <c r="S134" i="9"/>
  <c r="S39" i="9"/>
  <c r="S40" i="9"/>
  <c r="S41" i="9"/>
  <c r="S42" i="9"/>
  <c r="S43" i="9"/>
  <c r="S44" i="9"/>
  <c r="S53" i="9"/>
  <c r="S80" i="9"/>
  <c r="S85" i="9"/>
  <c r="S94" i="9"/>
  <c r="S111" i="9"/>
  <c r="S116" i="9"/>
  <c r="S117" i="9"/>
  <c r="S138" i="9"/>
  <c r="S29" i="9"/>
  <c r="S187" i="9"/>
  <c r="S189" i="9"/>
  <c r="S169" i="9"/>
  <c r="S180" i="9"/>
  <c r="S141" i="9"/>
  <c r="S175" i="9"/>
  <c r="S149" i="9"/>
  <c r="S55" i="9"/>
  <c r="S72" i="9"/>
  <c r="S77" i="9"/>
  <c r="S13" i="9"/>
  <c r="S45" i="9"/>
  <c r="S57" i="9"/>
  <c r="S58" i="9"/>
  <c r="S59" i="9"/>
  <c r="S60" i="9"/>
  <c r="S62" i="9"/>
  <c r="S103" i="9"/>
  <c r="S104" i="9"/>
  <c r="S105" i="9"/>
  <c r="S106" i="9"/>
  <c r="S110" i="9"/>
  <c r="S69" i="9"/>
  <c r="S115" i="9"/>
  <c r="S118" i="9"/>
  <c r="S119" i="9"/>
  <c r="S137" i="9"/>
  <c r="S81" i="9"/>
  <c r="S82" i="9"/>
  <c r="S83" i="9"/>
  <c r="S84" i="9"/>
  <c r="S123" i="9"/>
  <c r="S139" i="9"/>
  <c r="S209" i="9"/>
  <c r="S185" i="9"/>
  <c r="S184" i="9"/>
  <c r="S177" i="9"/>
  <c r="S147" i="9"/>
  <c r="S167" i="9"/>
  <c r="S145" i="9"/>
  <c r="S164" i="9"/>
  <c r="S157" i="9"/>
  <c r="S204" i="9"/>
  <c r="S212" i="9"/>
  <c r="S140" i="9"/>
  <c r="S160" i="9"/>
  <c r="S166" i="9"/>
  <c r="S151" i="9"/>
  <c r="S143" i="9"/>
  <c r="S156" i="9"/>
  <c r="S181" i="9"/>
  <c r="S200" i="9"/>
  <c r="S205" i="9"/>
  <c r="S56" i="9"/>
  <c r="S61" i="9"/>
  <c r="S125" i="9"/>
  <c r="S73" i="9"/>
  <c r="S74" i="9"/>
  <c r="S75" i="9"/>
  <c r="S76" i="9"/>
  <c r="S78" i="9"/>
  <c r="S130" i="9"/>
  <c r="S10" i="9"/>
  <c r="S11" i="9"/>
  <c r="S12" i="9"/>
  <c r="S21" i="9"/>
  <c r="S63" i="9"/>
  <c r="S114" i="9"/>
  <c r="S136" i="9"/>
  <c r="S10" i="23"/>
  <c r="S47" i="9"/>
  <c r="S48" i="9"/>
  <c r="S49" i="9"/>
  <c r="S50" i="9"/>
  <c r="S51" i="9"/>
  <c r="S52" i="9"/>
  <c r="S65" i="9"/>
  <c r="S66" i="9"/>
  <c r="S67" i="9"/>
  <c r="S68" i="9"/>
  <c r="S95" i="9"/>
  <c r="S96" i="9"/>
  <c r="S97" i="9"/>
  <c r="S98" i="9"/>
  <c r="S99" i="9"/>
  <c r="S100" i="9"/>
  <c r="S122" i="9"/>
  <c r="BE62" i="6"/>
  <c r="BE59" i="6"/>
  <c r="AI55" i="5"/>
  <c r="AK54" i="5"/>
  <c r="AI54" i="5"/>
  <c r="AH54" i="5"/>
  <c r="AF54" i="5"/>
  <c r="AE54" i="5"/>
  <c r="AD54" i="5"/>
  <c r="AK53" i="5"/>
  <c r="AI53" i="5"/>
  <c r="AH53" i="5"/>
  <c r="AF53" i="5"/>
  <c r="AE53" i="5"/>
  <c r="AD53" i="5"/>
  <c r="AK52" i="5"/>
  <c r="AI52" i="5"/>
  <c r="AH52" i="5"/>
  <c r="AF52" i="5"/>
  <c r="AE52" i="5"/>
  <c r="AK51" i="5"/>
  <c r="AI51" i="5"/>
  <c r="AH51" i="5"/>
  <c r="AF51" i="5"/>
  <c r="AE51" i="5"/>
  <c r="AD51" i="5"/>
  <c r="AI50" i="5"/>
  <c r="AH50" i="5"/>
  <c r="AK49" i="5"/>
  <c r="AI49" i="5"/>
  <c r="AH49" i="5"/>
  <c r="AF49" i="5"/>
  <c r="AE49" i="5"/>
  <c r="AK48" i="5"/>
  <c r="AI48" i="5"/>
  <c r="AH48" i="5"/>
  <c r="AF48" i="5"/>
  <c r="AE48" i="5"/>
  <c r="AD48" i="5"/>
  <c r="AK47" i="5"/>
  <c r="AI47" i="5"/>
  <c r="AH47" i="5"/>
  <c r="AF47" i="5"/>
  <c r="AE47" i="5"/>
  <c r="AD47" i="5"/>
  <c r="AK46" i="5"/>
  <c r="AI46" i="5"/>
  <c r="AH46" i="5"/>
  <c r="AF46" i="5"/>
  <c r="AE46" i="5"/>
  <c r="AK45" i="5"/>
  <c r="AI45" i="5"/>
  <c r="AF45" i="5"/>
  <c r="AE45" i="5"/>
  <c r="AD45" i="5"/>
  <c r="AK44" i="5"/>
  <c r="AI44" i="5"/>
  <c r="AF44" i="5"/>
  <c r="AE44" i="5"/>
  <c r="AD44" i="5"/>
  <c r="AK43" i="5"/>
  <c r="AI43" i="5"/>
  <c r="AF43" i="5"/>
  <c r="AE43" i="5"/>
  <c r="AD43" i="5"/>
  <c r="AK42" i="5"/>
  <c r="AI42" i="5"/>
  <c r="AF42" i="5"/>
  <c r="AE42" i="5"/>
  <c r="AD42" i="5"/>
  <c r="AK41" i="5"/>
  <c r="AI41" i="5"/>
  <c r="AF41" i="5"/>
  <c r="AE41" i="5"/>
  <c r="AK40" i="5"/>
  <c r="AI40" i="5"/>
  <c r="AF40" i="5"/>
  <c r="AE40" i="5"/>
  <c r="AD40" i="5"/>
  <c r="AK39" i="5"/>
  <c r="AI39" i="5"/>
  <c r="AF39" i="5"/>
  <c r="AE39" i="5"/>
  <c r="AD39" i="5"/>
  <c r="AK38" i="5"/>
  <c r="AI38" i="5"/>
  <c r="AF38" i="5"/>
  <c r="AE38" i="5"/>
  <c r="AD38" i="5"/>
  <c r="AK37" i="5"/>
  <c r="AI37" i="5"/>
  <c r="AE37" i="5"/>
  <c r="AF37" i="5"/>
  <c r="AD37" i="5"/>
  <c r="AK36" i="5"/>
  <c r="AI36" i="5"/>
  <c r="AF36" i="5"/>
  <c r="AE36" i="5"/>
  <c r="AD36" i="5"/>
  <c r="AK35" i="5"/>
  <c r="AI35" i="5"/>
  <c r="AF35" i="5"/>
  <c r="AE35" i="5"/>
  <c r="AK34" i="5"/>
  <c r="AI34" i="5"/>
  <c r="AF34" i="5"/>
  <c r="AE34" i="5"/>
  <c r="AD34" i="5"/>
  <c r="AK33" i="5"/>
  <c r="AI33" i="5"/>
  <c r="AF33" i="5"/>
  <c r="AE33" i="5"/>
  <c r="AD33" i="5"/>
  <c r="AK32" i="5"/>
  <c r="AI32" i="5"/>
  <c r="AF32" i="5"/>
  <c r="AE32" i="5"/>
  <c r="AD32" i="5"/>
  <c r="AK31" i="5"/>
  <c r="AI31" i="5"/>
  <c r="AF31" i="5"/>
  <c r="AE31" i="5"/>
  <c r="AD31" i="5"/>
  <c r="AK30" i="5"/>
  <c r="AI30" i="5"/>
  <c r="AF30" i="5"/>
  <c r="AE30" i="5"/>
  <c r="AD30" i="5"/>
  <c r="AK29" i="5"/>
  <c r="AI29" i="5"/>
  <c r="AE29" i="5"/>
  <c r="AF29" i="5"/>
  <c r="AD29" i="5"/>
  <c r="AK28" i="5"/>
  <c r="AI28" i="5"/>
  <c r="AF28" i="5"/>
  <c r="AE28" i="5"/>
  <c r="AD28" i="5"/>
  <c r="AK27" i="5"/>
  <c r="AI27" i="5"/>
  <c r="AF27" i="5"/>
  <c r="AE27" i="5"/>
  <c r="AD27" i="5"/>
  <c r="AK26" i="5"/>
  <c r="AI26" i="5"/>
  <c r="AF26" i="5"/>
  <c r="AE26" i="5"/>
  <c r="AD26" i="5"/>
  <c r="AK25" i="5"/>
  <c r="AI25" i="5"/>
  <c r="AF25" i="5"/>
  <c r="AE25" i="5"/>
  <c r="AD25" i="5"/>
  <c r="AK24" i="5"/>
  <c r="AI24" i="5"/>
  <c r="AF24" i="5"/>
  <c r="AE24" i="5"/>
  <c r="AD24" i="5"/>
  <c r="AK23" i="5"/>
  <c r="AI23" i="5"/>
  <c r="AF23" i="5"/>
  <c r="AE23" i="5"/>
  <c r="AD23" i="5"/>
  <c r="AK22" i="5"/>
  <c r="AI22" i="5"/>
  <c r="AF22" i="5"/>
  <c r="AE22" i="5"/>
  <c r="AD22" i="5"/>
  <c r="AK21" i="5"/>
  <c r="AI21" i="5"/>
  <c r="AE21" i="5"/>
  <c r="AF21" i="5"/>
  <c r="AD21" i="5"/>
  <c r="AK20" i="5"/>
  <c r="AI20" i="5"/>
  <c r="AF20" i="5"/>
  <c r="AE20" i="5"/>
  <c r="AK19" i="5"/>
  <c r="AE19" i="5"/>
  <c r="AF19" i="5"/>
  <c r="AI19" i="5"/>
  <c r="AD19" i="5"/>
  <c r="AK18" i="5"/>
  <c r="AI18" i="5"/>
  <c r="AF18" i="5"/>
  <c r="AE18" i="5"/>
  <c r="AD18" i="5"/>
  <c r="AK17" i="5"/>
  <c r="AI17" i="5"/>
  <c r="AF17" i="5"/>
  <c r="AE17" i="5"/>
  <c r="AK16" i="5"/>
  <c r="AI16" i="5"/>
  <c r="AF16" i="5"/>
  <c r="AE16" i="5"/>
  <c r="AK15" i="5"/>
  <c r="AE15" i="5"/>
  <c r="AF15" i="5"/>
  <c r="AI15" i="5"/>
  <c r="AD15" i="5"/>
  <c r="AK14" i="5"/>
  <c r="AI14" i="5"/>
  <c r="AF14" i="5"/>
  <c r="AE14" i="5"/>
  <c r="AD14" i="5"/>
  <c r="AK13" i="5"/>
  <c r="AI13" i="5"/>
  <c r="AF13" i="5"/>
  <c r="AE13" i="5"/>
  <c r="AD13" i="5"/>
  <c r="AK12" i="5"/>
  <c r="AI12" i="5"/>
  <c r="AF12" i="5"/>
  <c r="AE12" i="5"/>
  <c r="AK11" i="5"/>
  <c r="AI11" i="5"/>
  <c r="AF11" i="5"/>
  <c r="AE11" i="5"/>
  <c r="AD11" i="5"/>
  <c r="AK10" i="5"/>
  <c r="AE10" i="5"/>
  <c r="AF10" i="5"/>
  <c r="AI10" i="5"/>
  <c r="AD10" i="5"/>
  <c r="V106" i="5"/>
  <c r="V105" i="5"/>
  <c r="V104" i="5"/>
  <c r="V103" i="5"/>
  <c r="V102" i="5"/>
  <c r="V101" i="5"/>
  <c r="V100" i="5"/>
  <c r="U99" i="5"/>
  <c r="U98" i="5"/>
  <c r="U97" i="5"/>
  <c r="U96" i="5"/>
  <c r="U95" i="5"/>
  <c r="U94" i="5"/>
  <c r="U93" i="5"/>
  <c r="L59" i="5"/>
  <c r="L58" i="5"/>
  <c r="L57" i="5"/>
  <c r="L56" i="5"/>
  <c r="S55" i="5"/>
  <c r="R55" i="5"/>
  <c r="Q55" i="5"/>
  <c r="P55" i="5"/>
  <c r="O55" i="5"/>
  <c r="N55" i="5"/>
  <c r="L55" i="5"/>
  <c r="S54" i="5"/>
  <c r="R54" i="5"/>
  <c r="Q54" i="5"/>
  <c r="P54" i="5"/>
  <c r="O54" i="5"/>
  <c r="N54" i="5"/>
  <c r="E54" i="5"/>
  <c r="D54" i="5"/>
  <c r="C54" i="5"/>
  <c r="B54" i="5"/>
  <c r="S53" i="5"/>
  <c r="R53" i="5"/>
  <c r="Q53" i="5"/>
  <c r="P53" i="5"/>
  <c r="O53" i="5"/>
  <c r="N53" i="5"/>
  <c r="E53" i="5"/>
  <c r="D53" i="5"/>
  <c r="C53" i="5"/>
  <c r="B53" i="5"/>
  <c r="S52" i="5"/>
  <c r="R52" i="5"/>
  <c r="Q52" i="5"/>
  <c r="P52" i="5"/>
  <c r="O52" i="5"/>
  <c r="N52" i="5"/>
  <c r="E52" i="5"/>
  <c r="D52" i="5"/>
  <c r="C52" i="5"/>
  <c r="B52" i="5"/>
  <c r="S51" i="5"/>
  <c r="R51" i="5"/>
  <c r="Q51" i="5"/>
  <c r="P51" i="5"/>
  <c r="O51" i="5"/>
  <c r="N51" i="5"/>
  <c r="E51" i="5"/>
  <c r="D51" i="5"/>
  <c r="C51" i="5"/>
  <c r="B51" i="5"/>
  <c r="S50" i="5"/>
  <c r="R50" i="5"/>
  <c r="Q50" i="5"/>
  <c r="P50" i="5"/>
  <c r="O50" i="5"/>
  <c r="N50" i="5"/>
  <c r="L50" i="5"/>
  <c r="D50" i="5"/>
  <c r="S49" i="5"/>
  <c r="R49" i="5"/>
  <c r="Q49" i="5"/>
  <c r="P49" i="5"/>
  <c r="O49" i="5"/>
  <c r="N49" i="5"/>
  <c r="E49" i="5"/>
  <c r="D49" i="5"/>
  <c r="C49" i="5"/>
  <c r="B49" i="5"/>
  <c r="S48" i="5"/>
  <c r="R48" i="5"/>
  <c r="Q48" i="5"/>
  <c r="P48" i="5"/>
  <c r="O48" i="5"/>
  <c r="N48" i="5"/>
  <c r="E48" i="5"/>
  <c r="D48" i="5"/>
  <c r="C48" i="5"/>
  <c r="S47" i="5"/>
  <c r="R47" i="5"/>
  <c r="Q47" i="5"/>
  <c r="P47" i="5"/>
  <c r="O47" i="5"/>
  <c r="N47" i="5"/>
  <c r="E47" i="5"/>
  <c r="D47" i="5"/>
  <c r="C47" i="5"/>
  <c r="B47" i="5"/>
  <c r="S46" i="5"/>
  <c r="R46" i="5"/>
  <c r="Q46" i="5"/>
  <c r="P46" i="5"/>
  <c r="O46" i="5"/>
  <c r="N46" i="5"/>
  <c r="E46" i="5"/>
  <c r="D46" i="5"/>
  <c r="C46" i="5"/>
  <c r="B46" i="5"/>
  <c r="S45" i="5"/>
  <c r="R45" i="5"/>
  <c r="Q45" i="5"/>
  <c r="P45" i="5"/>
  <c r="O45" i="5"/>
  <c r="N45" i="5"/>
  <c r="E45" i="5"/>
  <c r="D45" i="5"/>
  <c r="C45" i="5"/>
  <c r="B45" i="5"/>
  <c r="S44" i="5"/>
  <c r="R44" i="5"/>
  <c r="Q44" i="5"/>
  <c r="P44" i="5"/>
  <c r="O44" i="5"/>
  <c r="N44" i="5"/>
  <c r="E44" i="5"/>
  <c r="D44" i="5"/>
  <c r="C44" i="5"/>
  <c r="B44" i="5"/>
  <c r="S43" i="5"/>
  <c r="R43" i="5"/>
  <c r="Q43" i="5"/>
  <c r="P43" i="5"/>
  <c r="O43" i="5"/>
  <c r="N43" i="5"/>
  <c r="E43" i="5"/>
  <c r="D43" i="5"/>
  <c r="C43" i="5"/>
  <c r="B43" i="5"/>
  <c r="S42" i="5"/>
  <c r="R42" i="5"/>
  <c r="Q42" i="5"/>
  <c r="P42" i="5"/>
  <c r="O42" i="5"/>
  <c r="N42" i="5"/>
  <c r="E42" i="5"/>
  <c r="D42" i="5"/>
  <c r="C42" i="5"/>
  <c r="B42" i="5"/>
  <c r="S41" i="5"/>
  <c r="R41" i="5"/>
  <c r="Q41" i="5"/>
  <c r="P41" i="5"/>
  <c r="O41" i="5"/>
  <c r="N41" i="5"/>
  <c r="E41" i="5"/>
  <c r="D41" i="5"/>
  <c r="C41" i="5"/>
  <c r="B41" i="5"/>
  <c r="S40" i="5"/>
  <c r="R40" i="5"/>
  <c r="Q40" i="5"/>
  <c r="P40" i="5"/>
  <c r="O40" i="5"/>
  <c r="N40" i="5"/>
  <c r="E40" i="5"/>
  <c r="C40" i="5"/>
  <c r="S39" i="5"/>
  <c r="R39" i="5"/>
  <c r="Q39" i="5"/>
  <c r="P39" i="5"/>
  <c r="O39" i="5"/>
  <c r="N39" i="5"/>
  <c r="E39" i="5"/>
  <c r="C39" i="5"/>
  <c r="B39" i="5"/>
  <c r="S38" i="5"/>
  <c r="R38" i="5"/>
  <c r="Q38" i="5"/>
  <c r="P38" i="5"/>
  <c r="O38" i="5"/>
  <c r="N38" i="5"/>
  <c r="E38" i="5"/>
  <c r="C38" i="5"/>
  <c r="B38" i="5"/>
  <c r="S37" i="5"/>
  <c r="R37" i="5"/>
  <c r="Q37" i="5"/>
  <c r="P37" i="5"/>
  <c r="O37" i="5"/>
  <c r="N37" i="5"/>
  <c r="E37" i="5"/>
  <c r="C37" i="5"/>
  <c r="S36" i="5"/>
  <c r="R36" i="5"/>
  <c r="Q36" i="5"/>
  <c r="P36" i="5"/>
  <c r="O36" i="5"/>
  <c r="N36" i="5"/>
  <c r="E36" i="5"/>
  <c r="C36" i="5"/>
  <c r="B36" i="5"/>
  <c r="S35" i="5"/>
  <c r="R35" i="5"/>
  <c r="Q35" i="5"/>
  <c r="P35" i="5"/>
  <c r="O35" i="5"/>
  <c r="N35" i="5"/>
  <c r="E35" i="5"/>
  <c r="C35" i="5"/>
  <c r="B35" i="5"/>
  <c r="S34" i="5"/>
  <c r="R34" i="5"/>
  <c r="Q34" i="5"/>
  <c r="P34" i="5"/>
  <c r="O34" i="5"/>
  <c r="N34" i="5"/>
  <c r="E34" i="5"/>
  <c r="C34" i="5"/>
  <c r="B34" i="5"/>
  <c r="S33" i="5"/>
  <c r="R33" i="5"/>
  <c r="Q33" i="5"/>
  <c r="P33" i="5"/>
  <c r="O33" i="5"/>
  <c r="N33" i="5"/>
  <c r="E33" i="5"/>
  <c r="C33" i="5"/>
  <c r="B33" i="5"/>
  <c r="S32" i="5"/>
  <c r="R32" i="5"/>
  <c r="Q32" i="5"/>
  <c r="P32" i="5"/>
  <c r="O32" i="5"/>
  <c r="N32" i="5"/>
  <c r="E32" i="5"/>
  <c r="C32" i="5"/>
  <c r="S31" i="5"/>
  <c r="R31" i="5"/>
  <c r="Q31" i="5"/>
  <c r="P31" i="5"/>
  <c r="O31" i="5"/>
  <c r="N31" i="5"/>
  <c r="E31" i="5"/>
  <c r="C31" i="5"/>
  <c r="S30" i="5"/>
  <c r="R30" i="5"/>
  <c r="Q30" i="5"/>
  <c r="P30" i="5"/>
  <c r="O30" i="5"/>
  <c r="N30" i="5"/>
  <c r="E30" i="5"/>
  <c r="C30" i="5"/>
  <c r="S29" i="5"/>
  <c r="R29" i="5"/>
  <c r="Q29" i="5"/>
  <c r="P29" i="5"/>
  <c r="O29" i="5"/>
  <c r="N29" i="5"/>
  <c r="E29" i="5"/>
  <c r="C29" i="5"/>
  <c r="B29" i="5"/>
  <c r="S28" i="5"/>
  <c r="R28" i="5"/>
  <c r="Q28" i="5"/>
  <c r="P28" i="5"/>
  <c r="O28" i="5"/>
  <c r="N28" i="5"/>
  <c r="E28" i="5"/>
  <c r="C28" i="5"/>
  <c r="B28" i="5"/>
  <c r="S27" i="5"/>
  <c r="R27" i="5"/>
  <c r="Q27" i="5"/>
  <c r="P27" i="5"/>
  <c r="O27" i="5"/>
  <c r="N27" i="5"/>
  <c r="E27" i="5"/>
  <c r="C27" i="5"/>
  <c r="B27" i="5"/>
  <c r="S26" i="5"/>
  <c r="R26" i="5"/>
  <c r="Q26" i="5"/>
  <c r="P26" i="5"/>
  <c r="O26" i="5"/>
  <c r="N26" i="5"/>
  <c r="E26" i="5"/>
  <c r="C26" i="5"/>
  <c r="B26" i="5"/>
  <c r="S25" i="5"/>
  <c r="R25" i="5"/>
  <c r="Q25" i="5"/>
  <c r="P25" i="5"/>
  <c r="O25" i="5"/>
  <c r="N25" i="5"/>
  <c r="E25" i="5"/>
  <c r="C25" i="5"/>
  <c r="B25" i="5"/>
  <c r="S24" i="5"/>
  <c r="R24" i="5"/>
  <c r="Q24" i="5"/>
  <c r="P24" i="5"/>
  <c r="O24" i="5"/>
  <c r="N24" i="5"/>
  <c r="E24" i="5"/>
  <c r="C24" i="5"/>
  <c r="S23" i="5"/>
  <c r="R23" i="5"/>
  <c r="Q23" i="5"/>
  <c r="P23" i="5"/>
  <c r="O23" i="5"/>
  <c r="N23" i="5"/>
  <c r="E23" i="5"/>
  <c r="C23" i="5"/>
  <c r="B23" i="5"/>
  <c r="S22" i="5"/>
  <c r="R22" i="5"/>
  <c r="Q22" i="5"/>
  <c r="P22" i="5"/>
  <c r="O22" i="5"/>
  <c r="N22" i="5"/>
  <c r="E22" i="5"/>
  <c r="C22" i="5"/>
  <c r="S21" i="5"/>
  <c r="R21" i="5"/>
  <c r="Q21" i="5"/>
  <c r="P21" i="5"/>
  <c r="O21" i="5"/>
  <c r="N21" i="5"/>
  <c r="E21" i="5"/>
  <c r="C21" i="5"/>
  <c r="B21" i="5"/>
  <c r="S20" i="5"/>
  <c r="R20" i="5"/>
  <c r="Q20" i="5"/>
  <c r="P20" i="5"/>
  <c r="O20" i="5"/>
  <c r="N20" i="5"/>
  <c r="E20" i="5"/>
  <c r="C20" i="5"/>
  <c r="S19" i="5"/>
  <c r="R19" i="5"/>
  <c r="Q19" i="5"/>
  <c r="P19" i="5"/>
  <c r="O19" i="5"/>
  <c r="N19" i="5"/>
  <c r="E19" i="5"/>
  <c r="C19" i="5"/>
  <c r="B19" i="5"/>
  <c r="S18" i="5"/>
  <c r="R18" i="5"/>
  <c r="Q18" i="5"/>
  <c r="P18" i="5"/>
  <c r="O18" i="5"/>
  <c r="N18" i="5"/>
  <c r="E18" i="5"/>
  <c r="C18" i="5"/>
  <c r="S17" i="5"/>
  <c r="R17" i="5"/>
  <c r="Q17" i="5"/>
  <c r="P17" i="5"/>
  <c r="O17" i="5"/>
  <c r="N17" i="5"/>
  <c r="E17" i="5"/>
  <c r="C17" i="5"/>
  <c r="B17" i="5"/>
  <c r="S16" i="5"/>
  <c r="R16" i="5"/>
  <c r="Q16" i="5"/>
  <c r="P16" i="5"/>
  <c r="O16" i="5"/>
  <c r="N16" i="5"/>
  <c r="E16" i="5"/>
  <c r="C16" i="5"/>
  <c r="S15" i="5"/>
  <c r="R15" i="5"/>
  <c r="Q15" i="5"/>
  <c r="P15" i="5"/>
  <c r="O15" i="5"/>
  <c r="N15" i="5"/>
  <c r="E15" i="5"/>
  <c r="C15" i="5"/>
  <c r="B15" i="5"/>
  <c r="S14" i="5"/>
  <c r="R14" i="5"/>
  <c r="Q14" i="5"/>
  <c r="P14" i="5"/>
  <c r="O14" i="5"/>
  <c r="N14" i="5"/>
  <c r="E14" i="5"/>
  <c r="C14" i="5"/>
  <c r="S13" i="5"/>
  <c r="R13" i="5"/>
  <c r="Q13" i="5"/>
  <c r="P13" i="5"/>
  <c r="O13" i="5"/>
  <c r="N13" i="5"/>
  <c r="E13" i="5"/>
  <c r="C13" i="5"/>
  <c r="S12" i="5"/>
  <c r="R12" i="5"/>
  <c r="Q12" i="5"/>
  <c r="P12" i="5"/>
  <c r="O12" i="5"/>
  <c r="N12" i="5"/>
  <c r="E12" i="5"/>
  <c r="C12" i="5"/>
  <c r="B12" i="5"/>
  <c r="S11" i="5"/>
  <c r="R11" i="5"/>
  <c r="Q11" i="5"/>
  <c r="P11" i="5"/>
  <c r="O11" i="5"/>
  <c r="N11" i="5"/>
  <c r="E11" i="5"/>
  <c r="C11" i="5"/>
  <c r="B11" i="5"/>
  <c r="S10" i="5"/>
  <c r="R10" i="5"/>
  <c r="Q10" i="5"/>
  <c r="P10" i="5"/>
  <c r="O10" i="5"/>
  <c r="N10" i="5"/>
  <c r="E10" i="5"/>
  <c r="C10" i="5"/>
  <c r="S211" i="9"/>
  <c r="B20" i="5"/>
  <c r="B48" i="5"/>
  <c r="Q152" i="9"/>
  <c r="Q147" i="9"/>
  <c r="Q181" i="9"/>
  <c r="Q166" i="9"/>
  <c r="Q174" i="9"/>
  <c r="Q141" i="9"/>
  <c r="Q200" i="9"/>
  <c r="Q173" i="9"/>
  <c r="Q165" i="9"/>
  <c r="Q144" i="9"/>
  <c r="Q168" i="9"/>
  <c r="Q161" i="9"/>
  <c r="Q149" i="9"/>
  <c r="B13" i="5"/>
  <c r="B24" i="5"/>
  <c r="AD52" i="5"/>
  <c r="S208" i="9"/>
  <c r="S186" i="9"/>
  <c r="S146" i="9"/>
  <c r="S154" i="9"/>
  <c r="S170" i="9"/>
  <c r="S150" i="9"/>
  <c r="S198" i="9"/>
  <c r="S172" i="9"/>
  <c r="S206" i="9"/>
  <c r="S162" i="9"/>
  <c r="S158" i="9"/>
  <c r="S171" i="9"/>
  <c r="S155" i="9"/>
  <c r="S179" i="9"/>
  <c r="S210" i="9"/>
  <c r="S178" i="9"/>
  <c r="S163" i="9"/>
  <c r="S202" i="9"/>
  <c r="S142" i="9"/>
  <c r="S190" i="9"/>
  <c r="S192" i="9"/>
  <c r="B32" i="5"/>
  <c r="AD35" i="5"/>
  <c r="B16" i="5"/>
  <c r="AD50" i="5"/>
  <c r="B10" i="5"/>
  <c r="AD41" i="5"/>
  <c r="B18" i="5"/>
  <c r="AD17" i="5"/>
  <c r="AD49" i="5"/>
  <c r="AD12" i="5"/>
  <c r="AD46" i="5"/>
  <c r="B14" i="5"/>
  <c r="B22" i="5"/>
  <c r="B30" i="5"/>
  <c r="AD16" i="5"/>
  <c r="BV121" i="4"/>
  <c r="BU121" i="4"/>
  <c r="BT121" i="4"/>
  <c r="BR121" i="4"/>
  <c r="BV120" i="4"/>
  <c r="BU120" i="4"/>
  <c r="BT120" i="4"/>
  <c r="BR120" i="4"/>
  <c r="BV119" i="4"/>
  <c r="BU119" i="4"/>
  <c r="BT119" i="4"/>
  <c r="BR119" i="4"/>
  <c r="BV118" i="4"/>
  <c r="BU118" i="4"/>
  <c r="BT118" i="4"/>
  <c r="BR118" i="4"/>
  <c r="BQ118" i="4"/>
  <c r="BV117" i="4"/>
  <c r="BU117" i="4"/>
  <c r="BT117" i="4"/>
  <c r="BR117" i="4"/>
  <c r="BQ117" i="4"/>
  <c r="BV116" i="4"/>
  <c r="BU116" i="4"/>
  <c r="BT116" i="4"/>
  <c r="BR116" i="4"/>
  <c r="BQ116" i="4"/>
  <c r="BV115" i="4"/>
  <c r="BU115" i="4"/>
  <c r="BT115" i="4"/>
  <c r="BR115" i="4"/>
  <c r="BQ115" i="4"/>
  <c r="BV114" i="4"/>
  <c r="BU114" i="4"/>
  <c r="BT114" i="4"/>
  <c r="BR114" i="4"/>
  <c r="BQ114" i="4"/>
  <c r="BV113" i="4"/>
  <c r="BU113" i="4"/>
  <c r="BT113" i="4"/>
  <c r="BR113" i="4"/>
  <c r="BQ113" i="4"/>
  <c r="BV112" i="4"/>
  <c r="BU112" i="4"/>
  <c r="BT112" i="4"/>
  <c r="BR112" i="4"/>
  <c r="BQ112" i="4"/>
  <c r="BV111" i="4"/>
  <c r="BU111" i="4"/>
  <c r="BT111" i="4"/>
  <c r="BR111" i="4"/>
  <c r="BQ111" i="4"/>
  <c r="BV110" i="4"/>
  <c r="BU110" i="4"/>
  <c r="BT110" i="4"/>
  <c r="BR110" i="4"/>
  <c r="BQ110" i="4"/>
  <c r="CB109" i="4"/>
  <c r="BZ109" i="4"/>
  <c r="BW109" i="4"/>
  <c r="BV109" i="4"/>
  <c r="BU109" i="4"/>
  <c r="BT109" i="4"/>
  <c r="BR109" i="4"/>
  <c r="BQ109" i="4"/>
  <c r="BO109" i="4"/>
  <c r="CB108" i="4"/>
  <c r="CA108" i="4"/>
  <c r="BZ108" i="4"/>
  <c r="BW108" i="4"/>
  <c r="BV108" i="4"/>
  <c r="BU108" i="4"/>
  <c r="BT108" i="4"/>
  <c r="BR108" i="4"/>
  <c r="BQ108" i="4"/>
  <c r="BP108" i="4"/>
  <c r="BO108" i="4"/>
  <c r="CB107" i="4"/>
  <c r="CA107" i="4"/>
  <c r="BZ107" i="4"/>
  <c r="BW107" i="4"/>
  <c r="BV107" i="4"/>
  <c r="BU107" i="4"/>
  <c r="BT107" i="4"/>
  <c r="BR107" i="4"/>
  <c r="BQ107" i="4"/>
  <c r="BP107" i="4"/>
  <c r="BO107" i="4"/>
  <c r="BZ106" i="4"/>
  <c r="BW106" i="4"/>
  <c r="BV106" i="4"/>
  <c r="BU106" i="4"/>
  <c r="BT106" i="4"/>
  <c r="BS106" i="4"/>
  <c r="BR106" i="4"/>
  <c r="BQ106" i="4"/>
  <c r="BP106" i="4"/>
  <c r="BO106" i="4"/>
  <c r="BZ105" i="4"/>
  <c r="BW105" i="4"/>
  <c r="BV105" i="4"/>
  <c r="BU105" i="4"/>
  <c r="BT105" i="4"/>
  <c r="BS105" i="4"/>
  <c r="BR105" i="4"/>
  <c r="BQ105" i="4"/>
  <c r="BP105" i="4"/>
  <c r="BO105" i="4"/>
  <c r="BZ104" i="4"/>
  <c r="BX104" i="4"/>
  <c r="BW104" i="4"/>
  <c r="BV104" i="4"/>
  <c r="BU104" i="4"/>
  <c r="BT104" i="4"/>
  <c r="BS104" i="4"/>
  <c r="BR104" i="4"/>
  <c r="BQ104" i="4"/>
  <c r="BP104" i="4"/>
  <c r="BO104" i="4"/>
  <c r="BZ103" i="4"/>
  <c r="BY103" i="4"/>
  <c r="BX103" i="4"/>
  <c r="BW103" i="4"/>
  <c r="BV103" i="4"/>
  <c r="BU103" i="4"/>
  <c r="BT103" i="4"/>
  <c r="BS103" i="4"/>
  <c r="BR103" i="4"/>
  <c r="BQ103" i="4"/>
  <c r="BP103" i="4"/>
  <c r="BO103" i="4"/>
  <c r="BZ102" i="4"/>
  <c r="BY102" i="4"/>
  <c r="BX102" i="4"/>
  <c r="BW102" i="4"/>
  <c r="BV102" i="4"/>
  <c r="BU102" i="4"/>
  <c r="BT102" i="4"/>
  <c r="BS102" i="4"/>
  <c r="BR102" i="4"/>
  <c r="BQ102" i="4"/>
  <c r="BP102" i="4"/>
  <c r="BO102" i="4"/>
  <c r="BZ101" i="4"/>
  <c r="BY101" i="4"/>
  <c r="BX101" i="4"/>
  <c r="BW101" i="4"/>
  <c r="BV101" i="4"/>
  <c r="BU101" i="4"/>
  <c r="BT101" i="4"/>
  <c r="BS101" i="4"/>
  <c r="BR101" i="4"/>
  <c r="BQ101" i="4"/>
  <c r="BP101" i="4"/>
  <c r="BO101" i="4"/>
  <c r="BZ100" i="4"/>
  <c r="BY100" i="4"/>
  <c r="BX100" i="4"/>
  <c r="BW100" i="4"/>
  <c r="BV100" i="4"/>
  <c r="BU100" i="4"/>
  <c r="BT100" i="4"/>
  <c r="BS100" i="4"/>
  <c r="BR100" i="4"/>
  <c r="BQ100" i="4"/>
  <c r="BP100" i="4"/>
  <c r="BO100" i="4"/>
  <c r="BZ99" i="4"/>
  <c r="BY99" i="4"/>
  <c r="BX99" i="4"/>
  <c r="BW99" i="4"/>
  <c r="BV99" i="4"/>
  <c r="BU99" i="4"/>
  <c r="BT99" i="4"/>
  <c r="BS99" i="4"/>
  <c r="BR99" i="4"/>
  <c r="BQ99" i="4"/>
  <c r="BP99" i="4"/>
  <c r="BO99" i="4"/>
  <c r="BZ98" i="4"/>
  <c r="BY98" i="4"/>
  <c r="BX98" i="4"/>
  <c r="BW98" i="4"/>
  <c r="BV98" i="4"/>
  <c r="BU98" i="4"/>
  <c r="BT98" i="4"/>
  <c r="BS98" i="4"/>
  <c r="BR98" i="4"/>
  <c r="BQ98" i="4"/>
  <c r="BP98" i="4"/>
  <c r="BO98" i="4"/>
  <c r="BZ97" i="4"/>
  <c r="BY97" i="4"/>
  <c r="BX97" i="4"/>
  <c r="BW97" i="4"/>
  <c r="BV97" i="4"/>
  <c r="BT97" i="4"/>
  <c r="BS97" i="4"/>
  <c r="BR97" i="4"/>
  <c r="BQ97" i="4"/>
  <c r="BP97" i="4"/>
  <c r="BO97" i="4"/>
  <c r="BZ96" i="4"/>
  <c r="BY96" i="4"/>
  <c r="BX96" i="4"/>
  <c r="BW96" i="4"/>
  <c r="BV96" i="4"/>
  <c r="BT96" i="4"/>
  <c r="BS96" i="4"/>
  <c r="BR96" i="4"/>
  <c r="BQ96" i="4"/>
  <c r="BP96" i="4"/>
  <c r="BO96" i="4"/>
  <c r="BZ95" i="4"/>
  <c r="BY95" i="4"/>
  <c r="BX95" i="4"/>
  <c r="BW95" i="4"/>
  <c r="BV95" i="4"/>
  <c r="BT95" i="4"/>
  <c r="BS95" i="4"/>
  <c r="BR95" i="4"/>
  <c r="BQ95" i="4"/>
  <c r="BP95" i="4"/>
  <c r="BO95" i="4"/>
  <c r="BZ94" i="4"/>
  <c r="BY94" i="4"/>
  <c r="BX94" i="4"/>
  <c r="BW94" i="4"/>
  <c r="BZ93" i="4"/>
  <c r="BY93" i="4"/>
  <c r="BX93" i="4"/>
  <c r="BW93" i="4"/>
  <c r="BZ92" i="4"/>
  <c r="BY92" i="4"/>
  <c r="BX92" i="4"/>
  <c r="BW92" i="4"/>
  <c r="BZ91" i="4"/>
  <c r="BY91" i="4"/>
  <c r="BX91" i="4"/>
  <c r="BW91" i="4"/>
  <c r="BZ90" i="4"/>
  <c r="BY90" i="4"/>
  <c r="BX90" i="4"/>
  <c r="BW90" i="4"/>
  <c r="BV90" i="4"/>
  <c r="BT90" i="4"/>
  <c r="BS90" i="4"/>
  <c r="BR90" i="4"/>
  <c r="BQ90" i="4"/>
  <c r="BP90" i="4"/>
  <c r="BO90" i="4"/>
  <c r="BZ89" i="4"/>
  <c r="BY89" i="4"/>
  <c r="BX89" i="4"/>
  <c r="BW89" i="4"/>
  <c r="BZ88" i="4"/>
  <c r="BY88" i="4"/>
  <c r="BX88" i="4"/>
  <c r="BW88" i="4"/>
  <c r="BZ87" i="4"/>
  <c r="BX87" i="4"/>
  <c r="BW87" i="4"/>
  <c r="BZ86" i="4"/>
  <c r="BX86" i="4"/>
  <c r="BW86" i="4"/>
  <c r="BZ85" i="4"/>
  <c r="BX85" i="4"/>
  <c r="BW85" i="4"/>
  <c r="BZ84" i="4"/>
  <c r="BX84" i="4"/>
  <c r="BW84" i="4"/>
  <c r="BZ83" i="4"/>
  <c r="BX83" i="4"/>
  <c r="BW83" i="4"/>
  <c r="BZ82" i="4"/>
  <c r="BX82" i="4"/>
  <c r="BW82" i="4"/>
  <c r="BZ81" i="4"/>
  <c r="BX81" i="4"/>
  <c r="BW81" i="4"/>
  <c r="BZ80" i="4"/>
  <c r="BX80" i="4"/>
  <c r="BW80" i="4"/>
  <c r="BZ79" i="4"/>
  <c r="BX79" i="4"/>
  <c r="BW79" i="4"/>
  <c r="BZ78" i="4"/>
  <c r="BX78" i="4"/>
  <c r="BW78" i="4"/>
  <c r="BZ77" i="4"/>
  <c r="BX77" i="4"/>
  <c r="BW77" i="4"/>
  <c r="BZ76" i="4"/>
  <c r="BX76" i="4"/>
  <c r="BW76" i="4"/>
  <c r="BZ75" i="4"/>
  <c r="BX75" i="4"/>
  <c r="BW75" i="4"/>
  <c r="BZ74" i="4"/>
  <c r="BX74" i="4"/>
  <c r="BW74" i="4"/>
  <c r="BZ73" i="4"/>
  <c r="BX73" i="4"/>
  <c r="BW73" i="4"/>
  <c r="BZ72" i="4"/>
  <c r="BX72" i="4"/>
  <c r="BW72" i="4"/>
  <c r="BZ71" i="4"/>
  <c r="BX71" i="4"/>
  <c r="BW71" i="4"/>
  <c r="BZ70" i="4"/>
  <c r="BX70" i="4"/>
  <c r="BW70" i="4"/>
  <c r="BZ69" i="4"/>
  <c r="BX69" i="4"/>
  <c r="BW69" i="4"/>
  <c r="BZ68" i="4"/>
  <c r="BX68" i="4"/>
  <c r="BW68" i="4"/>
  <c r="BZ67" i="4"/>
  <c r="BX67" i="4"/>
  <c r="BW67" i="4"/>
  <c r="BZ66" i="4"/>
  <c r="BX66" i="4"/>
  <c r="BW66" i="4"/>
  <c r="BZ65" i="4"/>
  <c r="BX65" i="4"/>
  <c r="BW65" i="4"/>
  <c r="BZ64" i="4"/>
  <c r="BX64" i="4"/>
  <c r="BW64" i="4"/>
  <c r="BZ63" i="4"/>
  <c r="BX63" i="4"/>
  <c r="BW63" i="4"/>
  <c r="BZ62" i="4"/>
  <c r="BX62" i="4"/>
  <c r="BW62" i="4"/>
  <c r="BZ61" i="4"/>
  <c r="BX61" i="4"/>
  <c r="BW61" i="4"/>
  <c r="BZ60" i="4"/>
  <c r="BX60" i="4"/>
  <c r="BW60" i="4"/>
  <c r="BZ59" i="4"/>
  <c r="BX59" i="4"/>
  <c r="BW59" i="4"/>
  <c r="BZ58" i="4"/>
  <c r="BX58" i="4"/>
  <c r="BW58" i="4"/>
  <c r="BZ57" i="4"/>
  <c r="BX57" i="4"/>
  <c r="BW57" i="4"/>
  <c r="BZ56" i="4"/>
  <c r="BX56" i="4"/>
  <c r="BW56" i="4"/>
  <c r="BZ55" i="4"/>
  <c r="BX55" i="4"/>
  <c r="BW55" i="4"/>
  <c r="BZ54" i="4"/>
  <c r="BX54" i="4"/>
  <c r="BW54" i="4"/>
  <c r="BZ53" i="4"/>
  <c r="BX53" i="4"/>
  <c r="BW53" i="4"/>
  <c r="BZ52" i="4"/>
  <c r="BX52" i="4"/>
  <c r="BW52" i="4"/>
  <c r="BZ51" i="4"/>
  <c r="BX51" i="4"/>
  <c r="BW51" i="4"/>
  <c r="BW50" i="4"/>
  <c r="S193" i="9"/>
  <c r="Q193" i="9"/>
  <c r="B13" i="4"/>
  <c r="B73" i="12"/>
  <c r="B14" i="4"/>
  <c r="B74" i="12"/>
  <c r="B15" i="4"/>
  <c r="B75" i="12"/>
  <c r="B16" i="4"/>
  <c r="B76" i="12"/>
  <c r="B17" i="4"/>
  <c r="B77" i="12"/>
  <c r="B18" i="4"/>
  <c r="B78" i="12"/>
  <c r="B19" i="4"/>
  <c r="B79" i="12"/>
  <c r="B20" i="4"/>
  <c r="B80" i="12"/>
  <c r="B21" i="4"/>
  <c r="B81" i="12"/>
  <c r="B22" i="4"/>
  <c r="B82" i="12"/>
  <c r="B23" i="4"/>
  <c r="B83" i="12"/>
  <c r="B24" i="4"/>
  <c r="B84" i="12"/>
  <c r="B25" i="4"/>
  <c r="B85" i="12"/>
  <c r="B26" i="4"/>
  <c r="B86" i="12"/>
  <c r="B27" i="4"/>
  <c r="B87" i="12"/>
  <c r="B28" i="4"/>
  <c r="B88" i="12"/>
  <c r="B29" i="4"/>
  <c r="B89" i="12"/>
  <c r="B30" i="4"/>
  <c r="B90" i="12"/>
  <c r="B31" i="4"/>
  <c r="B91" i="12"/>
  <c r="B32" i="4"/>
  <c r="B92" i="12"/>
  <c r="B33" i="4"/>
  <c r="B93" i="12"/>
  <c r="B34" i="4"/>
  <c r="B94" i="12"/>
  <c r="B35" i="4"/>
  <c r="B95" i="12"/>
  <c r="B36" i="4"/>
  <c r="B96" i="12"/>
  <c r="B37" i="4"/>
  <c r="B97" i="12"/>
  <c r="B38" i="4"/>
  <c r="B98" i="12"/>
  <c r="B39" i="4"/>
  <c r="B99" i="12"/>
  <c r="B40" i="4"/>
  <c r="B100" i="12"/>
  <c r="B41" i="4"/>
  <c r="B101" i="12"/>
  <c r="B42" i="4"/>
  <c r="B102" i="12"/>
  <c r="B43" i="4"/>
  <c r="B103" i="12"/>
  <c r="B44" i="4"/>
  <c r="B104" i="12"/>
  <c r="B49" i="4"/>
  <c r="B109" i="12"/>
  <c r="B12" i="4"/>
  <c r="B72" i="12"/>
  <c r="AD148" i="4"/>
  <c r="AD147" i="4"/>
  <c r="AD146" i="4"/>
  <c r="AD145" i="4"/>
  <c r="AD144" i="4"/>
  <c r="AD143" i="4"/>
  <c r="AD142" i="4"/>
  <c r="AD141" i="4"/>
  <c r="AD140" i="4"/>
  <c r="T109" i="4"/>
  <c r="T108" i="4"/>
  <c r="T107" i="4"/>
  <c r="T106" i="4"/>
  <c r="T105" i="4"/>
  <c r="T104" i="4"/>
  <c r="T103" i="4"/>
  <c r="T102" i="4"/>
  <c r="T101" i="4"/>
  <c r="C101" i="4"/>
  <c r="T100" i="4"/>
  <c r="BB60" i="4"/>
  <c r="C100" i="4"/>
  <c r="C160" i="12"/>
  <c r="AT280" i="21"/>
  <c r="T99" i="4"/>
  <c r="C99" i="4"/>
  <c r="T98" i="4"/>
  <c r="C98" i="4"/>
  <c r="C158" i="12"/>
  <c r="L98" i="4"/>
  <c r="L158" i="12"/>
  <c r="AT278" i="21"/>
  <c r="T97" i="4"/>
  <c r="C97" i="4"/>
  <c r="C157" i="12"/>
  <c r="T96" i="4"/>
  <c r="C96" i="4"/>
  <c r="T95" i="4"/>
  <c r="C95" i="4"/>
  <c r="T94" i="4"/>
  <c r="C94" i="4"/>
  <c r="T93" i="4"/>
  <c r="C93" i="4"/>
  <c r="T92" i="4"/>
  <c r="T90" i="4"/>
  <c r="T91" i="4"/>
  <c r="BB59" i="4"/>
  <c r="C92" i="4"/>
  <c r="C91" i="4"/>
  <c r="C151" i="12"/>
  <c r="U90" i="4"/>
  <c r="BC59" i="4"/>
  <c r="C90" i="4"/>
  <c r="L90" i="4"/>
  <c r="AI50" i="4"/>
  <c r="AI110" i="12"/>
  <c r="AH50" i="4"/>
  <c r="AH110" i="12"/>
  <c r="U89" i="4"/>
  <c r="T89" i="4"/>
  <c r="R89" i="4"/>
  <c r="Q89" i="4"/>
  <c r="Q149" i="12"/>
  <c r="O89" i="4"/>
  <c r="O149" i="12"/>
  <c r="BG269" i="21"/>
  <c r="L89" i="4"/>
  <c r="L149" i="12"/>
  <c r="G89" i="4"/>
  <c r="G149" i="12"/>
  <c r="E269" i="21"/>
  <c r="E89" i="4"/>
  <c r="E149" i="12"/>
  <c r="AI269" i="21"/>
  <c r="C89" i="4"/>
  <c r="C149" i="12"/>
  <c r="AT269" i="21"/>
  <c r="AI49" i="4"/>
  <c r="AH49" i="4"/>
  <c r="Q88" i="4"/>
  <c r="Q148" i="12"/>
  <c r="O88" i="4"/>
  <c r="O148" i="12"/>
  <c r="BG268" i="21"/>
  <c r="L88" i="4"/>
  <c r="L148" i="12"/>
  <c r="G88" i="4"/>
  <c r="G148" i="12"/>
  <c r="E268" i="21"/>
  <c r="E88" i="4"/>
  <c r="E148" i="12"/>
  <c r="AI268" i="21"/>
  <c r="C88" i="4"/>
  <c r="C148" i="12"/>
  <c r="AT268" i="21"/>
  <c r="Q87" i="4"/>
  <c r="Q147" i="12"/>
  <c r="O87" i="4"/>
  <c r="O147" i="12"/>
  <c r="BG267" i="21"/>
  <c r="L87" i="4"/>
  <c r="L147" i="12"/>
  <c r="G87" i="4"/>
  <c r="G147" i="12"/>
  <c r="E267" i="21"/>
  <c r="E87" i="4"/>
  <c r="E147" i="12"/>
  <c r="AI267" i="21"/>
  <c r="C87" i="4"/>
  <c r="C147" i="12"/>
  <c r="AT267" i="21"/>
  <c r="Q86" i="4"/>
  <c r="Q146" i="12"/>
  <c r="O86" i="4"/>
  <c r="O146" i="12"/>
  <c r="BG266" i="21"/>
  <c r="L86" i="4"/>
  <c r="L146" i="12"/>
  <c r="G86" i="4"/>
  <c r="G146" i="12"/>
  <c r="E266" i="21"/>
  <c r="E86" i="4"/>
  <c r="E146" i="12"/>
  <c r="AI266" i="21"/>
  <c r="C86" i="4"/>
  <c r="C146" i="12"/>
  <c r="AT266" i="21"/>
  <c r="Q85" i="4"/>
  <c r="Q145" i="12"/>
  <c r="O85" i="4"/>
  <c r="O145" i="12"/>
  <c r="BG265" i="21"/>
  <c r="L85" i="4"/>
  <c r="L145" i="12"/>
  <c r="G85" i="4"/>
  <c r="G145" i="12"/>
  <c r="E265" i="21"/>
  <c r="E85" i="4"/>
  <c r="E145" i="12"/>
  <c r="AI265" i="21"/>
  <c r="C85" i="4"/>
  <c r="C145" i="12"/>
  <c r="Q84" i="4"/>
  <c r="Q144" i="12"/>
  <c r="O84" i="4"/>
  <c r="O144" i="12"/>
  <c r="BG264" i="21"/>
  <c r="L84" i="4"/>
  <c r="L144" i="12"/>
  <c r="G84" i="4"/>
  <c r="G144" i="12"/>
  <c r="E264" i="21"/>
  <c r="E84" i="4"/>
  <c r="E144" i="12"/>
  <c r="AI264" i="21"/>
  <c r="C84" i="4"/>
  <c r="C144" i="12"/>
  <c r="AI44" i="4"/>
  <c r="AI104" i="12"/>
  <c r="AH44" i="4"/>
  <c r="Q83" i="4"/>
  <c r="Q143" i="12"/>
  <c r="O83" i="4"/>
  <c r="O143" i="12"/>
  <c r="BG263" i="21"/>
  <c r="L83" i="4"/>
  <c r="L143" i="12"/>
  <c r="G83" i="4"/>
  <c r="E83" i="4"/>
  <c r="E143" i="12"/>
  <c r="AI263" i="21"/>
  <c r="C83" i="4"/>
  <c r="C143" i="12"/>
  <c r="AT263" i="21"/>
  <c r="AI43" i="4"/>
  <c r="AI103" i="12"/>
  <c r="AH43" i="4"/>
  <c r="Q43" i="4"/>
  <c r="Q82" i="4"/>
  <c r="Q142" i="12"/>
  <c r="O82" i="4"/>
  <c r="O142" i="12"/>
  <c r="BG262" i="21"/>
  <c r="L82" i="4"/>
  <c r="L142" i="12"/>
  <c r="G82" i="4"/>
  <c r="G142" i="12"/>
  <c r="E262" i="21"/>
  <c r="E82" i="4"/>
  <c r="E142" i="12"/>
  <c r="C82" i="4"/>
  <c r="C142" i="12"/>
  <c r="AT262" i="21"/>
  <c r="AI42" i="4"/>
  <c r="AH42" i="4"/>
  <c r="Q81" i="4"/>
  <c r="Q141" i="12"/>
  <c r="O81" i="4"/>
  <c r="O141" i="12"/>
  <c r="BG261" i="21"/>
  <c r="L81" i="4"/>
  <c r="L141" i="12"/>
  <c r="G81" i="4"/>
  <c r="G141" i="12"/>
  <c r="E261" i="21"/>
  <c r="E81" i="4"/>
  <c r="E141" i="12"/>
  <c r="C81" i="4"/>
  <c r="C141" i="12"/>
  <c r="AT261" i="21"/>
  <c r="AI41" i="4"/>
  <c r="AH41" i="4"/>
  <c r="Q41" i="4"/>
  <c r="Q80" i="4"/>
  <c r="Q140" i="12"/>
  <c r="O80" i="4"/>
  <c r="L80" i="4"/>
  <c r="AU58" i="4"/>
  <c r="L140" i="12"/>
  <c r="G80" i="4"/>
  <c r="E80" i="4"/>
  <c r="E140" i="12"/>
  <c r="AI260" i="21"/>
  <c r="C80" i="4"/>
  <c r="C140" i="12"/>
  <c r="AI40" i="4"/>
  <c r="AH40" i="4"/>
  <c r="Q40" i="4"/>
  <c r="Q79" i="4"/>
  <c r="Q139" i="12"/>
  <c r="O79" i="4"/>
  <c r="O139" i="12"/>
  <c r="BG259" i="21"/>
  <c r="L79" i="4"/>
  <c r="L139" i="12"/>
  <c r="G79" i="4"/>
  <c r="G139" i="12"/>
  <c r="E259" i="21"/>
  <c r="E79" i="4"/>
  <c r="E139" i="12"/>
  <c r="AI259" i="21"/>
  <c r="C79" i="4"/>
  <c r="C139" i="12"/>
  <c r="AI39" i="4"/>
  <c r="AH39" i="4"/>
  <c r="AH99" i="12"/>
  <c r="Q78" i="4"/>
  <c r="Q138" i="12"/>
  <c r="O78" i="4"/>
  <c r="O138" i="12"/>
  <c r="BG258" i="21"/>
  <c r="L78" i="4"/>
  <c r="L138" i="12"/>
  <c r="G78" i="4"/>
  <c r="G138" i="12"/>
  <c r="E258" i="21"/>
  <c r="E78" i="4"/>
  <c r="E138" i="12"/>
  <c r="AI258" i="21"/>
  <c r="C78" i="4"/>
  <c r="C138" i="12"/>
  <c r="AI38" i="4"/>
  <c r="AI98" i="12"/>
  <c r="AH38" i="4"/>
  <c r="Q77" i="4"/>
  <c r="Q137" i="12"/>
  <c r="O77" i="4"/>
  <c r="O137" i="12"/>
  <c r="BG257" i="21"/>
  <c r="L77" i="4"/>
  <c r="L137" i="12"/>
  <c r="G77" i="4"/>
  <c r="G137" i="12"/>
  <c r="E257" i="21"/>
  <c r="E77" i="4"/>
  <c r="E137" i="12"/>
  <c r="C77" i="4"/>
  <c r="C137" i="12"/>
  <c r="AT257" i="21"/>
  <c r="AI37" i="4"/>
  <c r="AH37" i="4"/>
  <c r="Q37" i="4"/>
  <c r="Q76" i="4"/>
  <c r="Q136" i="12"/>
  <c r="O76" i="4"/>
  <c r="O136" i="12"/>
  <c r="BG256" i="21"/>
  <c r="L76" i="4"/>
  <c r="L136" i="12"/>
  <c r="G76" i="4"/>
  <c r="G136" i="12"/>
  <c r="E256" i="21"/>
  <c r="E76" i="4"/>
  <c r="E136" i="12"/>
  <c r="AI256" i="21"/>
  <c r="C76" i="4"/>
  <c r="C136" i="12"/>
  <c r="AI36" i="4"/>
  <c r="AI96" i="12"/>
  <c r="AH36" i="4"/>
  <c r="Q36" i="4"/>
  <c r="Q75" i="4"/>
  <c r="Q135" i="12"/>
  <c r="O75" i="4"/>
  <c r="O135" i="12"/>
  <c r="BG255" i="21"/>
  <c r="L75" i="4"/>
  <c r="L135" i="12"/>
  <c r="G75" i="4"/>
  <c r="G135" i="12"/>
  <c r="E255" i="21"/>
  <c r="E75" i="4"/>
  <c r="E135" i="12"/>
  <c r="C75" i="4"/>
  <c r="C135" i="12"/>
  <c r="AT255" i="21"/>
  <c r="AI35" i="4"/>
  <c r="AH35" i="4"/>
  <c r="Q35" i="4"/>
  <c r="Q74" i="4"/>
  <c r="O74" i="4"/>
  <c r="O134" i="12"/>
  <c r="BG254" i="21"/>
  <c r="L74" i="4"/>
  <c r="L134" i="12"/>
  <c r="G74" i="4"/>
  <c r="E74" i="4"/>
  <c r="E134" i="12"/>
  <c r="AI254" i="21"/>
  <c r="C74" i="4"/>
  <c r="C134" i="12"/>
  <c r="AT254" i="21"/>
  <c r="AI34" i="4"/>
  <c r="AI94" i="12"/>
  <c r="AH34" i="4"/>
  <c r="AC73" i="4"/>
  <c r="W73" i="4"/>
  <c r="X58" i="4"/>
  <c r="Z58" i="4"/>
  <c r="X72" i="4"/>
  <c r="Z72" i="4"/>
  <c r="Q73" i="4"/>
  <c r="O73" i="4"/>
  <c r="O133" i="12"/>
  <c r="BG253" i="21"/>
  <c r="L73" i="4"/>
  <c r="L133" i="12"/>
  <c r="G73" i="4"/>
  <c r="G133" i="12"/>
  <c r="E253" i="21"/>
  <c r="E73" i="4"/>
  <c r="E133" i="12"/>
  <c r="C73" i="4"/>
  <c r="C133" i="12"/>
  <c r="AI33" i="4"/>
  <c r="AI93" i="12"/>
  <c r="AH33" i="4"/>
  <c r="Q72" i="4"/>
  <c r="Q132" i="12"/>
  <c r="O72" i="4"/>
  <c r="O132" i="12"/>
  <c r="BG252" i="21"/>
  <c r="N72" i="4"/>
  <c r="D72" i="4"/>
  <c r="D132" i="12"/>
  <c r="C72" i="4"/>
  <c r="C132" i="12"/>
  <c r="AI32" i="4"/>
  <c r="AI92" i="12"/>
  <c r="AH32" i="4"/>
  <c r="Q71" i="4"/>
  <c r="Q131" i="12"/>
  <c r="O71" i="4"/>
  <c r="O131" i="12"/>
  <c r="BG251" i="21"/>
  <c r="N71" i="4"/>
  <c r="N131" i="12"/>
  <c r="D71" i="4"/>
  <c r="D131" i="12"/>
  <c r="C71" i="4"/>
  <c r="C131" i="12"/>
  <c r="AI31" i="4"/>
  <c r="AH31" i="4"/>
  <c r="Q70" i="4"/>
  <c r="Q130" i="12"/>
  <c r="O70" i="4"/>
  <c r="N70" i="4"/>
  <c r="N130" i="12"/>
  <c r="D70" i="4"/>
  <c r="C70" i="4"/>
  <c r="AN57" i="4"/>
  <c r="AI30" i="4"/>
  <c r="AH30" i="4"/>
  <c r="Q69" i="4"/>
  <c r="Q129" i="12"/>
  <c r="O69" i="4"/>
  <c r="N69" i="4"/>
  <c r="N129" i="12"/>
  <c r="D69" i="4"/>
  <c r="D129" i="12"/>
  <c r="C69" i="4"/>
  <c r="C129" i="12"/>
  <c r="AI29" i="4"/>
  <c r="AH29" i="4"/>
  <c r="Q68" i="4"/>
  <c r="Q128" i="12"/>
  <c r="O68" i="4"/>
  <c r="O128" i="12"/>
  <c r="BG248" i="21"/>
  <c r="N68" i="4"/>
  <c r="N128" i="12"/>
  <c r="D68" i="4"/>
  <c r="D128" i="12"/>
  <c r="C68" i="4"/>
  <c r="C128" i="12"/>
  <c r="AI28" i="4"/>
  <c r="AH28" i="4"/>
  <c r="Q67" i="4"/>
  <c r="Q127" i="12"/>
  <c r="O67" i="4"/>
  <c r="N67" i="4"/>
  <c r="N127" i="12"/>
  <c r="D67" i="4"/>
  <c r="D127" i="12"/>
  <c r="C67" i="4"/>
  <c r="C127" i="12"/>
  <c r="AI27" i="4"/>
  <c r="AH27" i="4"/>
  <c r="AH87" i="12"/>
  <c r="Q87" i="12"/>
  <c r="Q66" i="4"/>
  <c r="Q126" i="12"/>
  <c r="O66" i="4"/>
  <c r="O126" i="12"/>
  <c r="BG246" i="21"/>
  <c r="N66" i="4"/>
  <c r="N126" i="12"/>
  <c r="D66" i="4"/>
  <c r="D126" i="12"/>
  <c r="C66" i="4"/>
  <c r="C126" i="12"/>
  <c r="AI26" i="4"/>
  <c r="AH26" i="4"/>
  <c r="Q26" i="4"/>
  <c r="Q65" i="4"/>
  <c r="Q125" i="12"/>
  <c r="O65" i="4"/>
  <c r="O125" i="12"/>
  <c r="BG245" i="21"/>
  <c r="N65" i="4"/>
  <c r="N125" i="12"/>
  <c r="D65" i="4"/>
  <c r="D125" i="12"/>
  <c r="C65" i="4"/>
  <c r="C125" i="12"/>
  <c r="AI25" i="4"/>
  <c r="AH25" i="4"/>
  <c r="AH85" i="12"/>
  <c r="O85" i="12"/>
  <c r="BG205" i="21"/>
  <c r="Q64" i="4"/>
  <c r="Q124" i="12"/>
  <c r="O64" i="4"/>
  <c r="O124" i="12"/>
  <c r="BG244" i="21"/>
  <c r="N64" i="4"/>
  <c r="N124" i="12"/>
  <c r="D64" i="4"/>
  <c r="D124" i="12"/>
  <c r="C64" i="4"/>
  <c r="C124" i="12"/>
  <c r="BI63" i="4"/>
  <c r="BE63" i="4"/>
  <c r="BD63" i="4"/>
  <c r="BC63" i="4"/>
  <c r="BA63" i="4"/>
  <c r="AY63" i="4"/>
  <c r="AX63" i="4"/>
  <c r="AV63" i="4"/>
  <c r="AT63" i="4"/>
  <c r="AS63" i="4"/>
  <c r="AR63" i="4"/>
  <c r="AP63" i="4"/>
  <c r="AM63" i="4"/>
  <c r="AI24" i="4"/>
  <c r="AB24" i="4"/>
  <c r="AH24" i="4"/>
  <c r="Q63" i="4"/>
  <c r="Q123" i="12"/>
  <c r="O63" i="4"/>
  <c r="O123" i="12"/>
  <c r="BG243" i="21"/>
  <c r="N63" i="4"/>
  <c r="D63" i="4"/>
  <c r="D123" i="12"/>
  <c r="C63" i="4"/>
  <c r="C123" i="12"/>
  <c r="BI62" i="4"/>
  <c r="BE62" i="4"/>
  <c r="BD62" i="4"/>
  <c r="BC62" i="4"/>
  <c r="BA62" i="4"/>
  <c r="AY62" i="4"/>
  <c r="AX62" i="4"/>
  <c r="AV62" i="4"/>
  <c r="AT62" i="4"/>
  <c r="AS62" i="4"/>
  <c r="AR62" i="4"/>
  <c r="AP62" i="4"/>
  <c r="AM62" i="4"/>
  <c r="AI23" i="4"/>
  <c r="AH23" i="4"/>
  <c r="AH83" i="12"/>
  <c r="O83" i="12"/>
  <c r="BG203" i="21"/>
  <c r="Q62" i="4"/>
  <c r="Q122" i="12"/>
  <c r="O62" i="4"/>
  <c r="O122" i="12"/>
  <c r="BG242" i="21"/>
  <c r="N62" i="4"/>
  <c r="N122" i="12"/>
  <c r="D62" i="4"/>
  <c r="D122" i="12"/>
  <c r="C62" i="4"/>
  <c r="C122" i="12"/>
  <c r="BI61" i="4"/>
  <c r="BH61" i="4"/>
  <c r="BG61" i="4"/>
  <c r="BF61" i="4"/>
  <c r="BE61" i="4"/>
  <c r="BC61" i="4"/>
  <c r="BA61" i="4"/>
  <c r="AZ61" i="4"/>
  <c r="AY61" i="4"/>
  <c r="AX61" i="4"/>
  <c r="AW61" i="4"/>
  <c r="AV61" i="4"/>
  <c r="AU61" i="4"/>
  <c r="AT61" i="4"/>
  <c r="AS61" i="4"/>
  <c r="AR61" i="4"/>
  <c r="AQ61" i="4"/>
  <c r="AP61" i="4"/>
  <c r="AO61" i="4"/>
  <c r="AM61" i="4"/>
  <c r="AI22" i="4"/>
  <c r="AH22" i="4"/>
  <c r="Q61" i="4"/>
  <c r="Q121" i="12"/>
  <c r="O61" i="4"/>
  <c r="O121" i="12"/>
  <c r="BG241" i="21"/>
  <c r="N61" i="4"/>
  <c r="N121" i="12"/>
  <c r="D61" i="4"/>
  <c r="D121" i="12"/>
  <c r="C61" i="4"/>
  <c r="C121" i="12"/>
  <c r="BI60" i="4"/>
  <c r="BH60" i="4"/>
  <c r="BG60" i="4"/>
  <c r="BF60" i="4"/>
  <c r="BE60" i="4"/>
  <c r="BC60" i="4"/>
  <c r="BA60" i="4"/>
  <c r="AZ60" i="4"/>
  <c r="AY60" i="4"/>
  <c r="AX60" i="4"/>
  <c r="AW60" i="4"/>
  <c r="AV60" i="4"/>
  <c r="AU60" i="4"/>
  <c r="AT60" i="4"/>
  <c r="AS60" i="4"/>
  <c r="AR60" i="4"/>
  <c r="AQ60" i="4"/>
  <c r="AP60" i="4"/>
  <c r="AO60" i="4"/>
  <c r="AI21" i="4"/>
  <c r="AI81" i="12"/>
  <c r="AH21" i="4"/>
  <c r="Q60" i="4"/>
  <c r="Q120" i="12"/>
  <c r="O60" i="4"/>
  <c r="O120" i="12"/>
  <c r="BG240" i="21"/>
  <c r="N60" i="4"/>
  <c r="N120" i="12"/>
  <c r="D60" i="4"/>
  <c r="D120" i="12"/>
  <c r="C60" i="4"/>
  <c r="C120" i="12"/>
  <c r="BI59" i="4"/>
  <c r="BH59" i="4"/>
  <c r="BG59" i="4"/>
  <c r="BF59" i="4"/>
  <c r="BE59" i="4"/>
  <c r="BA59" i="4"/>
  <c r="AZ59" i="4"/>
  <c r="AY59" i="4"/>
  <c r="AX59" i="4"/>
  <c r="AW59" i="4"/>
  <c r="AV59" i="4"/>
  <c r="AS59" i="4"/>
  <c r="AR59" i="4"/>
  <c r="AQ59" i="4"/>
  <c r="AP59" i="4"/>
  <c r="AO59" i="4"/>
  <c r="AI20" i="4"/>
  <c r="AB20" i="4"/>
  <c r="AH20" i="4"/>
  <c r="Q59" i="4"/>
  <c r="Q119" i="12"/>
  <c r="O59" i="4"/>
  <c r="O119" i="12"/>
  <c r="BG239" i="21"/>
  <c r="N59" i="4"/>
  <c r="N119" i="12"/>
  <c r="D59" i="4"/>
  <c r="D119" i="12"/>
  <c r="C59" i="4"/>
  <c r="C119" i="12"/>
  <c r="BI58" i="4"/>
  <c r="BH58" i="4"/>
  <c r="BG58" i="4"/>
  <c r="BF58" i="4"/>
  <c r="BE58" i="4"/>
  <c r="AI19" i="4"/>
  <c r="AI79" i="12"/>
  <c r="AH19" i="4"/>
  <c r="Q58" i="4"/>
  <c r="Q118" i="12"/>
  <c r="O58" i="4"/>
  <c r="N58" i="4"/>
  <c r="N118" i="12"/>
  <c r="D58" i="4"/>
  <c r="D118" i="12"/>
  <c r="C58" i="4"/>
  <c r="C118" i="12"/>
  <c r="BI57" i="4"/>
  <c r="BH57" i="4"/>
  <c r="BG57" i="4"/>
  <c r="BF57" i="4"/>
  <c r="AU57" i="4"/>
  <c r="AM57" i="4"/>
  <c r="AI18" i="4"/>
  <c r="AI78" i="12"/>
  <c r="AH18" i="4"/>
  <c r="Q57" i="4"/>
  <c r="Q117" i="12"/>
  <c r="O57" i="4"/>
  <c r="O117" i="12"/>
  <c r="BG237" i="21"/>
  <c r="N57" i="4"/>
  <c r="N117" i="12"/>
  <c r="D57" i="4"/>
  <c r="D117" i="12"/>
  <c r="C57" i="4"/>
  <c r="C117" i="12"/>
  <c r="BI56" i="4"/>
  <c r="AM56" i="4"/>
  <c r="AI17" i="4"/>
  <c r="AH17" i="4"/>
  <c r="Q17" i="4"/>
  <c r="Q56" i="4"/>
  <c r="Q116" i="12"/>
  <c r="O56" i="4"/>
  <c r="O116" i="12"/>
  <c r="BG236" i="21"/>
  <c r="N56" i="4"/>
  <c r="N116" i="12"/>
  <c r="D56" i="4"/>
  <c r="D116" i="12"/>
  <c r="C56" i="4"/>
  <c r="C116" i="12"/>
  <c r="AM55" i="4"/>
  <c r="AI16" i="4"/>
  <c r="AB16" i="4"/>
  <c r="AH16" i="4"/>
  <c r="Q55" i="4"/>
  <c r="Q115" i="12"/>
  <c r="O55" i="4"/>
  <c r="O115" i="12"/>
  <c r="BG235" i="21"/>
  <c r="N55" i="4"/>
  <c r="N115" i="12"/>
  <c r="D55" i="4"/>
  <c r="D115" i="12"/>
  <c r="C55" i="4"/>
  <c r="C115" i="12"/>
  <c r="BI54" i="4"/>
  <c r="AM54" i="4"/>
  <c r="AI15" i="4"/>
  <c r="AB15" i="4"/>
  <c r="AH15" i="4"/>
  <c r="Q54" i="4"/>
  <c r="Q114" i="12"/>
  <c r="O54" i="4"/>
  <c r="O114" i="12"/>
  <c r="BG234" i="21"/>
  <c r="N54" i="4"/>
  <c r="N114" i="12"/>
  <c r="D54" i="4"/>
  <c r="D114" i="12"/>
  <c r="C54" i="4"/>
  <c r="C114" i="12"/>
  <c r="AM53" i="4"/>
  <c r="AI14" i="4"/>
  <c r="AH14" i="4"/>
  <c r="AH74" i="12"/>
  <c r="Q74" i="12"/>
  <c r="Q53" i="4"/>
  <c r="Q113" i="12"/>
  <c r="O53" i="4"/>
  <c r="O113" i="12"/>
  <c r="BG233" i="21"/>
  <c r="N53" i="4"/>
  <c r="N113" i="12"/>
  <c r="D53" i="4"/>
  <c r="D113" i="12"/>
  <c r="C53" i="4"/>
  <c r="C113" i="12"/>
  <c r="AM52" i="4"/>
  <c r="AI13" i="4"/>
  <c r="AB13" i="4"/>
  <c r="AH13" i="4"/>
  <c r="Q13" i="4"/>
  <c r="Q52" i="4"/>
  <c r="Q112" i="12"/>
  <c r="O52" i="4"/>
  <c r="O50" i="4"/>
  <c r="O51" i="4"/>
  <c r="AW55" i="4"/>
  <c r="N52" i="4"/>
  <c r="N112" i="12"/>
  <c r="D52" i="4"/>
  <c r="D112" i="12"/>
  <c r="C52" i="4"/>
  <c r="C112" i="12"/>
  <c r="AM51" i="4"/>
  <c r="AI12" i="4"/>
  <c r="AI72" i="12"/>
  <c r="AH12" i="4"/>
  <c r="AH72" i="12"/>
  <c r="Q72" i="12"/>
  <c r="Q51" i="4"/>
  <c r="Q111" i="12"/>
  <c r="O111" i="12"/>
  <c r="BG231" i="21"/>
  <c r="N51" i="4"/>
  <c r="N111" i="12"/>
  <c r="D51" i="4"/>
  <c r="D111" i="12"/>
  <c r="C51" i="4"/>
  <c r="C111" i="12"/>
  <c r="AC50" i="4"/>
  <c r="AB50" i="4"/>
  <c r="BI55" i="4"/>
  <c r="W50" i="4"/>
  <c r="Q50" i="4"/>
  <c r="AY55" i="4"/>
  <c r="N50" i="4"/>
  <c r="D50" i="4"/>
  <c r="C50" i="4"/>
  <c r="Q34" i="4"/>
  <c r="AH94" i="12"/>
  <c r="O94" i="12"/>
  <c r="BG214" i="21"/>
  <c r="AH95" i="12"/>
  <c r="O95" i="12"/>
  <c r="BG215" i="21"/>
  <c r="AH96" i="12"/>
  <c r="O96" i="12"/>
  <c r="BG216" i="21"/>
  <c r="AH97" i="12"/>
  <c r="Q38" i="4"/>
  <c r="AH98" i="12"/>
  <c r="O98" i="12"/>
  <c r="BG218" i="21"/>
  <c r="AH100" i="12"/>
  <c r="O100" i="12"/>
  <c r="BG220" i="21"/>
  <c r="AH101" i="12"/>
  <c r="Q101" i="12"/>
  <c r="AH103" i="12"/>
  <c r="O103" i="12"/>
  <c r="BG223" i="21"/>
  <c r="Q49" i="4"/>
  <c r="AH109" i="12"/>
  <c r="L91" i="4"/>
  <c r="L151" i="12"/>
  <c r="L95" i="4"/>
  <c r="L155" i="12"/>
  <c r="C155" i="12"/>
  <c r="AT275" i="21"/>
  <c r="Q30" i="4"/>
  <c r="AH90" i="12"/>
  <c r="AB31" i="4"/>
  <c r="AI91" i="12"/>
  <c r="AB34" i="4"/>
  <c r="AB35" i="4"/>
  <c r="AI95" i="12"/>
  <c r="AB36" i="4"/>
  <c r="AB37" i="4"/>
  <c r="AI97" i="12"/>
  <c r="AB38" i="4"/>
  <c r="AB39" i="4"/>
  <c r="AI99" i="12"/>
  <c r="AB40" i="4"/>
  <c r="AI100" i="12"/>
  <c r="AB41" i="4"/>
  <c r="AI101" i="12"/>
  <c r="AB42" i="4"/>
  <c r="AI102" i="12"/>
  <c r="AB43" i="4"/>
  <c r="AB44" i="4"/>
  <c r="L99" i="4"/>
  <c r="L159" i="12"/>
  <c r="C159" i="12"/>
  <c r="O72" i="12"/>
  <c r="BG192" i="21"/>
  <c r="Q14" i="4"/>
  <c r="Q15" i="4"/>
  <c r="AH75" i="12"/>
  <c r="AB21" i="4"/>
  <c r="Q24" i="4"/>
  <c r="AH84" i="12"/>
  <c r="O84" i="12"/>
  <c r="BG204" i="21"/>
  <c r="Q29" i="4"/>
  <c r="AH89" i="12"/>
  <c r="L92" i="4"/>
  <c r="L152" i="12"/>
  <c r="C152" i="12"/>
  <c r="L96" i="4"/>
  <c r="L156" i="12"/>
  <c r="C156" i="12"/>
  <c r="Q39" i="4"/>
  <c r="AH73" i="12"/>
  <c r="Q73" i="12"/>
  <c r="AI73" i="12"/>
  <c r="AB14" i="4"/>
  <c r="AI74" i="12"/>
  <c r="AI75" i="12"/>
  <c r="AI80" i="12"/>
  <c r="AH82" i="12"/>
  <c r="O82" i="12"/>
  <c r="BG202" i="21"/>
  <c r="AI84" i="12"/>
  <c r="Q28" i="4"/>
  <c r="AH88" i="12"/>
  <c r="O88" i="12"/>
  <c r="BG208" i="21"/>
  <c r="N132" i="12"/>
  <c r="Q16" i="4"/>
  <c r="AH76" i="12"/>
  <c r="O76" i="12"/>
  <c r="BG196" i="21"/>
  <c r="AB22" i="4"/>
  <c r="AI82" i="12"/>
  <c r="Q27" i="4"/>
  <c r="G140" i="12"/>
  <c r="E260" i="21"/>
  <c r="L93" i="4"/>
  <c r="L153" i="12"/>
  <c r="C153" i="12"/>
  <c r="AI76" i="12"/>
  <c r="AH77" i="12"/>
  <c r="Q77" i="12"/>
  <c r="Q19" i="4"/>
  <c r="AH79" i="12"/>
  <c r="O79" i="12"/>
  <c r="BG199" i="21"/>
  <c r="AH86" i="12"/>
  <c r="O86" i="12"/>
  <c r="BG206" i="21"/>
  <c r="AB27" i="4"/>
  <c r="AI87" i="12"/>
  <c r="C150" i="12"/>
  <c r="L97" i="4"/>
  <c r="L157" i="12"/>
  <c r="AB17" i="4"/>
  <c r="AI77" i="12"/>
  <c r="Q18" i="4"/>
  <c r="AB19" i="4"/>
  <c r="Q23" i="4"/>
  <c r="Q25" i="4"/>
  <c r="AB26" i="4"/>
  <c r="AI86" i="12"/>
  <c r="L94" i="4"/>
  <c r="L154" i="12"/>
  <c r="C154" i="12"/>
  <c r="AB18" i="4"/>
  <c r="AB23" i="4"/>
  <c r="AI83" i="12"/>
  <c r="AB25" i="4"/>
  <c r="AI85" i="12"/>
  <c r="BI53" i="4"/>
  <c r="Q134" i="12"/>
  <c r="S194" i="9"/>
  <c r="O88" i="9"/>
  <c r="Q88" i="9"/>
  <c r="O84" i="9"/>
  <c r="Q84" i="9"/>
  <c r="D73" i="4"/>
  <c r="D133" i="12"/>
  <c r="AO58" i="4"/>
  <c r="X59" i="4"/>
  <c r="Z59" i="4"/>
  <c r="X60" i="4"/>
  <c r="Z60" i="4"/>
  <c r="AB33" i="4"/>
  <c r="BI51" i="4"/>
  <c r="X71" i="4"/>
  <c r="Z71" i="4"/>
  <c r="X56" i="4"/>
  <c r="Z56" i="4"/>
  <c r="AY53" i="4"/>
  <c r="AW53" i="4"/>
  <c r="Q12" i="4"/>
  <c r="AN55" i="4"/>
  <c r="X67" i="4"/>
  <c r="Z67" i="4"/>
  <c r="AB12" i="4"/>
  <c r="AB72" i="12"/>
  <c r="AI158" i="3"/>
  <c r="AI157" i="3"/>
  <c r="AI156" i="3"/>
  <c r="AI154" i="3"/>
  <c r="AI153" i="3"/>
  <c r="AI152" i="3"/>
  <c r="AI151" i="3"/>
  <c r="AI150" i="3"/>
  <c r="AH149" i="3"/>
  <c r="AH148" i="3"/>
  <c r="AH147" i="3"/>
  <c r="AH146" i="3"/>
  <c r="AH145" i="3"/>
  <c r="Q100" i="12"/>
  <c r="O87" i="12"/>
  <c r="BG207" i="21"/>
  <c r="O89" i="12"/>
  <c r="BG209" i="21"/>
  <c r="Q89" i="12"/>
  <c r="O75" i="12"/>
  <c r="BG195" i="21"/>
  <c r="Q75" i="12"/>
  <c r="Q103" i="12"/>
  <c r="Q95" i="12"/>
  <c r="Q83" i="12"/>
  <c r="Q82" i="12"/>
  <c r="Q84" i="12"/>
  <c r="O74" i="12"/>
  <c r="BG194" i="21"/>
  <c r="N134" i="12"/>
  <c r="Q98" i="12"/>
  <c r="O77" i="12"/>
  <c r="BG197" i="21"/>
  <c r="O73" i="12"/>
  <c r="BG193" i="21"/>
  <c r="O90" i="12"/>
  <c r="BG210" i="21"/>
  <c r="Q90" i="12"/>
  <c r="O101" i="12"/>
  <c r="BG221" i="21"/>
  <c r="O97" i="12"/>
  <c r="BG217" i="21"/>
  <c r="Q97" i="12"/>
  <c r="Q76" i="12"/>
  <c r="Q88" i="12"/>
  <c r="O85" i="9"/>
  <c r="Q85" i="9"/>
  <c r="O89" i="9"/>
  <c r="Q89" i="9"/>
  <c r="S195" i="9"/>
  <c r="L134" i="2"/>
  <c r="T133" i="2"/>
  <c r="T132" i="2"/>
  <c r="L132" i="2"/>
  <c r="L327" i="9"/>
  <c r="T131" i="2"/>
  <c r="L131" i="2"/>
  <c r="T326" i="9"/>
  <c r="L326" i="9"/>
  <c r="T130" i="2"/>
  <c r="T325" i="9"/>
  <c r="L129" i="2"/>
  <c r="L324" i="9"/>
  <c r="T323" i="9"/>
  <c r="T127" i="2"/>
  <c r="T321" i="9"/>
  <c r="T125" i="2"/>
  <c r="L125" i="2"/>
  <c r="T319" i="9"/>
  <c r="T123" i="2"/>
  <c r="T122" i="2"/>
  <c r="L122" i="2"/>
  <c r="T121" i="2"/>
  <c r="T120" i="2"/>
  <c r="T315" i="9"/>
  <c r="L120" i="2"/>
  <c r="L315" i="9"/>
  <c r="Q315" i="9"/>
  <c r="R315" i="9"/>
  <c r="T119" i="2"/>
  <c r="T118" i="2"/>
  <c r="T313" i="9"/>
  <c r="T117" i="2"/>
  <c r="T312" i="9"/>
  <c r="T116" i="2"/>
  <c r="L116" i="2"/>
  <c r="T115" i="2"/>
  <c r="T114" i="2"/>
  <c r="T309" i="9"/>
  <c r="T113" i="2"/>
  <c r="L113" i="2"/>
  <c r="T112" i="2"/>
  <c r="T307" i="9"/>
  <c r="T111" i="2"/>
  <c r="T306" i="9"/>
  <c r="T110" i="2"/>
  <c r="T305" i="9"/>
  <c r="L110" i="2"/>
  <c r="L305" i="9"/>
  <c r="Q305" i="9"/>
  <c r="R305" i="9"/>
  <c r="T109" i="2"/>
  <c r="T304" i="9"/>
  <c r="L109" i="2"/>
  <c r="L304" i="9"/>
  <c r="T108" i="2"/>
  <c r="L108" i="2"/>
  <c r="T107" i="2"/>
  <c r="T302" i="9"/>
  <c r="L107" i="2"/>
  <c r="L302" i="9"/>
  <c r="Q302" i="9"/>
  <c r="R302" i="9"/>
  <c r="T106" i="2"/>
  <c r="T301" i="9"/>
  <c r="L106" i="2"/>
  <c r="L301" i="9"/>
  <c r="Q301" i="9"/>
  <c r="R301" i="9"/>
  <c r="T105" i="2"/>
  <c r="T300" i="9"/>
  <c r="L105" i="2"/>
  <c r="L300" i="9"/>
  <c r="T104" i="2"/>
  <c r="T299" i="9"/>
  <c r="L104" i="2"/>
  <c r="L299" i="9"/>
  <c r="Q299" i="9"/>
  <c r="R299" i="9"/>
  <c r="T103" i="2"/>
  <c r="T298" i="9"/>
  <c r="L103" i="2"/>
  <c r="L298" i="9"/>
  <c r="Q298" i="9"/>
  <c r="R298" i="9"/>
  <c r="T102" i="2"/>
  <c r="T297" i="9"/>
  <c r="L102" i="2"/>
  <c r="L297" i="9"/>
  <c r="Q297" i="9"/>
  <c r="R297" i="9"/>
  <c r="T101" i="2"/>
  <c r="T296" i="9"/>
  <c r="L101" i="2"/>
  <c r="L296" i="9"/>
  <c r="T100" i="2"/>
  <c r="T295" i="9"/>
  <c r="L100" i="2"/>
  <c r="L295" i="9"/>
  <c r="Q295" i="9"/>
  <c r="R295" i="9"/>
  <c r="T99" i="2"/>
  <c r="L99" i="2"/>
  <c r="L294" i="9"/>
  <c r="Q294" i="9"/>
  <c r="R294" i="9"/>
  <c r="T98" i="2"/>
  <c r="T293" i="9"/>
  <c r="L98" i="2"/>
  <c r="L293" i="9"/>
  <c r="T97" i="2"/>
  <c r="T292" i="9"/>
  <c r="L97" i="2"/>
  <c r="L292" i="9"/>
  <c r="Q292" i="9"/>
  <c r="R292" i="9"/>
  <c r="T96" i="2"/>
  <c r="T291" i="9"/>
  <c r="L96" i="2"/>
  <c r="L291" i="9"/>
  <c r="T95" i="2"/>
  <c r="T290" i="9"/>
  <c r="L95" i="2"/>
  <c r="L290" i="9"/>
  <c r="Q290" i="9"/>
  <c r="R290" i="9"/>
  <c r="T94" i="2"/>
  <c r="T289" i="9"/>
  <c r="L94" i="2"/>
  <c r="L289" i="9"/>
  <c r="T93" i="2"/>
  <c r="T288" i="9"/>
  <c r="L93" i="2"/>
  <c r="L288" i="9"/>
  <c r="Q288" i="9"/>
  <c r="R288" i="9"/>
  <c r="T92" i="2"/>
  <c r="T287" i="9"/>
  <c r="L92" i="2"/>
  <c r="L287" i="9"/>
  <c r="T91" i="2"/>
  <c r="T286" i="9"/>
  <c r="L91" i="2"/>
  <c r="L286" i="9"/>
  <c r="Q286" i="9"/>
  <c r="R286" i="9"/>
  <c r="T90" i="2"/>
  <c r="T285" i="9"/>
  <c r="L90" i="2"/>
  <c r="L285" i="9"/>
  <c r="T89" i="2"/>
  <c r="T284" i="9"/>
  <c r="L89" i="2"/>
  <c r="L284" i="9"/>
  <c r="Q284" i="9"/>
  <c r="R284" i="9"/>
  <c r="T88" i="2"/>
  <c r="T283" i="9"/>
  <c r="L88" i="2"/>
  <c r="L283" i="9"/>
  <c r="T87" i="2"/>
  <c r="T282" i="9"/>
  <c r="L87" i="2"/>
  <c r="L282" i="9"/>
  <c r="Q282" i="9"/>
  <c r="R282" i="9"/>
  <c r="T86" i="2"/>
  <c r="T281" i="9"/>
  <c r="L86" i="2"/>
  <c r="L281" i="9"/>
  <c r="T85" i="2"/>
  <c r="T280" i="9"/>
  <c r="L85" i="2"/>
  <c r="L280" i="9"/>
  <c r="Q280" i="9"/>
  <c r="R280" i="9"/>
  <c r="T84" i="2"/>
  <c r="T279" i="9"/>
  <c r="K84" i="2"/>
  <c r="K279" i="9"/>
  <c r="B279" i="21"/>
  <c r="BC279" i="21"/>
  <c r="H84" i="2"/>
  <c r="D84" i="2"/>
  <c r="D279" i="9"/>
  <c r="C84" i="2"/>
  <c r="C279" i="9"/>
  <c r="B84" i="2"/>
  <c r="B279" i="9"/>
  <c r="T83" i="2"/>
  <c r="T278" i="9"/>
  <c r="K83" i="2"/>
  <c r="K278" i="9"/>
  <c r="B278" i="21"/>
  <c r="BC278" i="21"/>
  <c r="H83" i="2"/>
  <c r="D83" i="2"/>
  <c r="D278" i="9"/>
  <c r="C83" i="2"/>
  <c r="C278" i="9"/>
  <c r="B83" i="2"/>
  <c r="T82" i="2"/>
  <c r="T277" i="9"/>
  <c r="K82" i="2"/>
  <c r="K277" i="9"/>
  <c r="B277" i="21"/>
  <c r="BC277" i="21"/>
  <c r="H82" i="2"/>
  <c r="L82" i="2"/>
  <c r="L277" i="9"/>
  <c r="Q277" i="9"/>
  <c r="H277" i="9"/>
  <c r="R277" i="9"/>
  <c r="B277" i="22"/>
  <c r="AG277" i="36"/>
  <c r="D82" i="2"/>
  <c r="D277" i="9"/>
  <c r="C82" i="2"/>
  <c r="C277" i="9"/>
  <c r="B82" i="2"/>
  <c r="B277" i="9"/>
  <c r="S81" i="2"/>
  <c r="S276" i="9"/>
  <c r="I81" i="2"/>
  <c r="I276" i="9"/>
  <c r="H81" i="2"/>
  <c r="H276" i="9"/>
  <c r="D81" i="2"/>
  <c r="D276" i="9"/>
  <c r="C81" i="2"/>
  <c r="C276" i="9"/>
  <c r="B81" i="2"/>
  <c r="B276" i="9"/>
  <c r="S80" i="2"/>
  <c r="S275" i="9"/>
  <c r="I80" i="2"/>
  <c r="H80" i="2"/>
  <c r="H275" i="9"/>
  <c r="D80" i="2"/>
  <c r="D275" i="9"/>
  <c r="C80" i="2"/>
  <c r="C275" i="9"/>
  <c r="B80" i="2"/>
  <c r="B275" i="9"/>
  <c r="S79" i="2"/>
  <c r="I79" i="2"/>
  <c r="I78" i="2"/>
  <c r="I22" i="2"/>
  <c r="H79" i="2"/>
  <c r="H274" i="9"/>
  <c r="D79" i="2"/>
  <c r="D274" i="9"/>
  <c r="C79" i="2"/>
  <c r="C274" i="9"/>
  <c r="B79" i="2"/>
  <c r="B274" i="9"/>
  <c r="S78" i="2"/>
  <c r="S273" i="9"/>
  <c r="I273" i="9"/>
  <c r="C78" i="2"/>
  <c r="C273" i="9"/>
  <c r="B78" i="2"/>
  <c r="B273" i="9"/>
  <c r="S77" i="2"/>
  <c r="T77" i="2"/>
  <c r="I77" i="2"/>
  <c r="H77" i="2"/>
  <c r="C77" i="2"/>
  <c r="C272" i="9"/>
  <c r="B77" i="2"/>
  <c r="B272" i="9"/>
  <c r="S76" i="2"/>
  <c r="I76" i="2"/>
  <c r="I271" i="9"/>
  <c r="H76" i="2"/>
  <c r="H271" i="9"/>
  <c r="C76" i="2"/>
  <c r="C271" i="9"/>
  <c r="B76" i="2"/>
  <c r="B271" i="9"/>
  <c r="S75" i="2"/>
  <c r="I75" i="2"/>
  <c r="H75" i="2"/>
  <c r="H270" i="9"/>
  <c r="D75" i="2"/>
  <c r="D270" i="9"/>
  <c r="C75" i="2"/>
  <c r="C270" i="9"/>
  <c r="B75" i="2"/>
  <c r="B270" i="9"/>
  <c r="S74" i="2"/>
  <c r="S269" i="9"/>
  <c r="R74" i="2"/>
  <c r="P74" i="2"/>
  <c r="K74" i="2"/>
  <c r="K269" i="9"/>
  <c r="B269" i="21"/>
  <c r="J74" i="2"/>
  <c r="J269" i="9"/>
  <c r="AG269" i="21"/>
  <c r="I74" i="2"/>
  <c r="I269" i="9"/>
  <c r="H74" i="2"/>
  <c r="H269" i="9"/>
  <c r="G74" i="2"/>
  <c r="G269" i="9"/>
  <c r="F74" i="2"/>
  <c r="F269" i="9"/>
  <c r="E74" i="2"/>
  <c r="E269" i="9"/>
  <c r="D74" i="2"/>
  <c r="D269" i="9"/>
  <c r="C74" i="2"/>
  <c r="C269" i="9"/>
  <c r="B74" i="2"/>
  <c r="B269" i="9"/>
  <c r="S73" i="2"/>
  <c r="S268" i="9"/>
  <c r="R73" i="2"/>
  <c r="P73" i="2"/>
  <c r="E73" i="2"/>
  <c r="F73" i="2"/>
  <c r="G73" i="2"/>
  <c r="H73" i="2"/>
  <c r="I73" i="2"/>
  <c r="J73" i="2"/>
  <c r="K73" i="2"/>
  <c r="L73" i="2"/>
  <c r="L268" i="9"/>
  <c r="AR268" i="21"/>
  <c r="K268" i="9"/>
  <c r="B268" i="21"/>
  <c r="J268" i="9"/>
  <c r="AG268" i="21"/>
  <c r="I268" i="9"/>
  <c r="H268" i="9"/>
  <c r="G268" i="9"/>
  <c r="F268" i="9"/>
  <c r="E268" i="9"/>
  <c r="D73" i="2"/>
  <c r="D268" i="9"/>
  <c r="C73" i="2"/>
  <c r="C268" i="9"/>
  <c r="B73" i="2"/>
  <c r="B268" i="9"/>
  <c r="S72" i="2"/>
  <c r="S267" i="9"/>
  <c r="R72" i="2"/>
  <c r="P72" i="2"/>
  <c r="E72" i="2"/>
  <c r="F72" i="2"/>
  <c r="G72" i="2"/>
  <c r="H72" i="2"/>
  <c r="I72" i="2"/>
  <c r="J72" i="2"/>
  <c r="K72" i="2"/>
  <c r="L72" i="2"/>
  <c r="L267" i="9"/>
  <c r="AR267" i="21"/>
  <c r="K267" i="9"/>
  <c r="B267" i="21"/>
  <c r="J267" i="9"/>
  <c r="AG267" i="21"/>
  <c r="I267" i="9"/>
  <c r="H267" i="9"/>
  <c r="G267" i="9"/>
  <c r="F267" i="9"/>
  <c r="E267" i="9"/>
  <c r="D72" i="2"/>
  <c r="D267" i="9"/>
  <c r="C72" i="2"/>
  <c r="C267" i="9"/>
  <c r="B72" i="2"/>
  <c r="B267" i="9"/>
  <c r="S71" i="2"/>
  <c r="R71" i="2"/>
  <c r="T71" i="2"/>
  <c r="T266" i="9"/>
  <c r="P71" i="2"/>
  <c r="K71" i="2"/>
  <c r="K266" i="9"/>
  <c r="B266" i="21"/>
  <c r="J71" i="2"/>
  <c r="J266" i="9"/>
  <c r="AG266" i="21"/>
  <c r="I71" i="2"/>
  <c r="I266" i="9"/>
  <c r="H71" i="2"/>
  <c r="H266" i="9"/>
  <c r="G71" i="2"/>
  <c r="G266" i="9"/>
  <c r="F71" i="2"/>
  <c r="F266" i="9"/>
  <c r="E71" i="2"/>
  <c r="E266" i="9"/>
  <c r="D71" i="2"/>
  <c r="D266" i="9"/>
  <c r="C71" i="2"/>
  <c r="C266" i="9"/>
  <c r="B71" i="2"/>
  <c r="B266" i="9"/>
  <c r="S70" i="2"/>
  <c r="S265" i="9"/>
  <c r="R70" i="2"/>
  <c r="P70" i="2"/>
  <c r="K70" i="2"/>
  <c r="K265" i="9"/>
  <c r="B265" i="21"/>
  <c r="J70" i="2"/>
  <c r="J265" i="9"/>
  <c r="AG265" i="21"/>
  <c r="I70" i="2"/>
  <c r="I265" i="9"/>
  <c r="H70" i="2"/>
  <c r="H265" i="9"/>
  <c r="G70" i="2"/>
  <c r="G265" i="9"/>
  <c r="F70" i="2"/>
  <c r="F265" i="9"/>
  <c r="E70" i="2"/>
  <c r="E265" i="9"/>
  <c r="D70" i="2"/>
  <c r="D265" i="9"/>
  <c r="C70" i="2"/>
  <c r="C265" i="9"/>
  <c r="B70" i="2"/>
  <c r="B265" i="9"/>
  <c r="S69" i="2"/>
  <c r="S264" i="9"/>
  <c r="R69" i="2"/>
  <c r="R68" i="2"/>
  <c r="R21" i="2"/>
  <c r="P69" i="2"/>
  <c r="K69" i="2"/>
  <c r="J69" i="2"/>
  <c r="J264" i="9"/>
  <c r="AG264" i="21"/>
  <c r="I69" i="2"/>
  <c r="I264" i="9"/>
  <c r="H69" i="2"/>
  <c r="H264" i="9"/>
  <c r="G69" i="2"/>
  <c r="F69" i="2"/>
  <c r="F264" i="9"/>
  <c r="E69" i="2"/>
  <c r="D69" i="2"/>
  <c r="C69" i="2"/>
  <c r="C264" i="9"/>
  <c r="B69" i="2"/>
  <c r="S68" i="2"/>
  <c r="S263" i="9"/>
  <c r="P68" i="2"/>
  <c r="K68" i="2"/>
  <c r="K263" i="9"/>
  <c r="B263" i="21"/>
  <c r="J68" i="2"/>
  <c r="J263" i="9"/>
  <c r="AG263" i="21"/>
  <c r="E68" i="2"/>
  <c r="F68" i="2"/>
  <c r="G68" i="2"/>
  <c r="H68" i="2"/>
  <c r="I68" i="2"/>
  <c r="L68" i="2"/>
  <c r="L263" i="9"/>
  <c r="AR263" i="21"/>
  <c r="BC263" i="21"/>
  <c r="I263" i="9"/>
  <c r="Q263" i="9"/>
  <c r="H263" i="9"/>
  <c r="G263" i="9"/>
  <c r="F263" i="9"/>
  <c r="E263" i="9"/>
  <c r="D68" i="2"/>
  <c r="D263" i="9"/>
  <c r="C68" i="2"/>
  <c r="C263" i="9"/>
  <c r="B68" i="2"/>
  <c r="B263" i="9"/>
  <c r="S67" i="2"/>
  <c r="S262" i="9"/>
  <c r="R67" i="2"/>
  <c r="P67" i="2"/>
  <c r="K67" i="2"/>
  <c r="K262" i="9"/>
  <c r="B262" i="21"/>
  <c r="J67" i="2"/>
  <c r="J262" i="9"/>
  <c r="AG262" i="21"/>
  <c r="E67" i="2"/>
  <c r="F67" i="2"/>
  <c r="G67" i="2"/>
  <c r="H67" i="2"/>
  <c r="I67" i="2"/>
  <c r="L67" i="2"/>
  <c r="L262" i="9"/>
  <c r="AR262" i="21"/>
  <c r="BC262" i="21"/>
  <c r="I262" i="9"/>
  <c r="Q262" i="9"/>
  <c r="E262" i="9"/>
  <c r="F262" i="9"/>
  <c r="G262" i="9"/>
  <c r="H262" i="9"/>
  <c r="R262" i="9"/>
  <c r="B262" i="22"/>
  <c r="AG262" i="36"/>
  <c r="D67" i="2"/>
  <c r="D262" i="9"/>
  <c r="C67" i="2"/>
  <c r="C262" i="9"/>
  <c r="B67" i="2"/>
  <c r="B262" i="9"/>
  <c r="S66" i="2"/>
  <c r="S261" i="9"/>
  <c r="R66" i="2"/>
  <c r="P66" i="2"/>
  <c r="K66" i="2"/>
  <c r="K261" i="9"/>
  <c r="B261" i="21"/>
  <c r="J66" i="2"/>
  <c r="J261" i="9"/>
  <c r="AG261" i="21"/>
  <c r="I66" i="2"/>
  <c r="I261" i="9"/>
  <c r="H66" i="2"/>
  <c r="H261" i="9"/>
  <c r="G66" i="2"/>
  <c r="G261" i="9"/>
  <c r="F66" i="2"/>
  <c r="F261" i="9"/>
  <c r="E66" i="2"/>
  <c r="E261" i="9"/>
  <c r="D66" i="2"/>
  <c r="D261" i="9"/>
  <c r="C66" i="2"/>
  <c r="C261" i="9"/>
  <c r="B66" i="2"/>
  <c r="B261" i="9"/>
  <c r="S65" i="2"/>
  <c r="S260" i="9"/>
  <c r="R65" i="2"/>
  <c r="P65" i="2"/>
  <c r="K65" i="2"/>
  <c r="K260" i="9"/>
  <c r="B260" i="21"/>
  <c r="J65" i="2"/>
  <c r="J260" i="9"/>
  <c r="AG260" i="21"/>
  <c r="E65" i="2"/>
  <c r="F65" i="2"/>
  <c r="G65" i="2"/>
  <c r="H65" i="2"/>
  <c r="I65" i="2"/>
  <c r="L65" i="2"/>
  <c r="L260" i="9"/>
  <c r="AR260" i="21"/>
  <c r="BC260" i="21"/>
  <c r="I260" i="9"/>
  <c r="Q260" i="9"/>
  <c r="E260" i="9"/>
  <c r="F260" i="9"/>
  <c r="G260" i="9"/>
  <c r="H260" i="9"/>
  <c r="R260" i="9"/>
  <c r="B260" i="22"/>
  <c r="AG260" i="36"/>
  <c r="AF260" i="36"/>
  <c r="D65" i="2"/>
  <c r="D260" i="9"/>
  <c r="C65" i="2"/>
  <c r="C260" i="9"/>
  <c r="B65" i="2"/>
  <c r="B260" i="9"/>
  <c r="S64" i="2"/>
  <c r="S259" i="9"/>
  <c r="R64" i="2"/>
  <c r="T64" i="2"/>
  <c r="T259" i="9"/>
  <c r="P64" i="2"/>
  <c r="E64" i="2"/>
  <c r="F64" i="2"/>
  <c r="G64" i="2"/>
  <c r="H64" i="2"/>
  <c r="I64" i="2"/>
  <c r="J64" i="2"/>
  <c r="K64" i="2"/>
  <c r="L64" i="2"/>
  <c r="L259" i="9"/>
  <c r="AR259" i="21"/>
  <c r="K259" i="9"/>
  <c r="B259" i="21"/>
  <c r="J259" i="9"/>
  <c r="AG259" i="21"/>
  <c r="I259" i="9"/>
  <c r="H259" i="9"/>
  <c r="G259" i="9"/>
  <c r="F259" i="9"/>
  <c r="E259" i="9"/>
  <c r="D64" i="2"/>
  <c r="D259" i="9"/>
  <c r="C64" i="2"/>
  <c r="C259" i="9"/>
  <c r="B64" i="2"/>
  <c r="B259" i="9"/>
  <c r="S63" i="2"/>
  <c r="S258" i="9"/>
  <c r="R63" i="2"/>
  <c r="P63" i="2"/>
  <c r="K63" i="2"/>
  <c r="K258" i="9"/>
  <c r="B258" i="21"/>
  <c r="J63" i="2"/>
  <c r="J258" i="9"/>
  <c r="AG258" i="21"/>
  <c r="I63" i="2"/>
  <c r="I258" i="9"/>
  <c r="H63" i="2"/>
  <c r="H258" i="9"/>
  <c r="G63" i="2"/>
  <c r="G258" i="9"/>
  <c r="F63" i="2"/>
  <c r="F258" i="9"/>
  <c r="E63" i="2"/>
  <c r="E258" i="9"/>
  <c r="D63" i="2"/>
  <c r="D258" i="9"/>
  <c r="C63" i="2"/>
  <c r="C258" i="9"/>
  <c r="B63" i="2"/>
  <c r="B258" i="9"/>
  <c r="S62" i="2"/>
  <c r="S257" i="9"/>
  <c r="R62" i="2"/>
  <c r="P62" i="2"/>
  <c r="K62" i="2"/>
  <c r="K257" i="9"/>
  <c r="B257" i="21"/>
  <c r="J62" i="2"/>
  <c r="J257" i="9"/>
  <c r="AG257" i="21"/>
  <c r="I62" i="2"/>
  <c r="I257" i="9"/>
  <c r="H62" i="2"/>
  <c r="H257" i="9"/>
  <c r="G62" i="2"/>
  <c r="G257" i="9"/>
  <c r="F62" i="2"/>
  <c r="F257" i="9"/>
  <c r="E62" i="2"/>
  <c r="E257" i="9"/>
  <c r="D62" i="2"/>
  <c r="D257" i="9"/>
  <c r="C62" i="2"/>
  <c r="C257" i="9"/>
  <c r="B62" i="2"/>
  <c r="B257" i="9"/>
  <c r="S61" i="2"/>
  <c r="S256" i="9"/>
  <c r="R61" i="2"/>
  <c r="P61" i="2"/>
  <c r="E61" i="2"/>
  <c r="F61" i="2"/>
  <c r="G61" i="2"/>
  <c r="H61" i="2"/>
  <c r="I61" i="2"/>
  <c r="J61" i="2"/>
  <c r="K61" i="2"/>
  <c r="L61" i="2"/>
  <c r="L256" i="9"/>
  <c r="AR256" i="21"/>
  <c r="K256" i="9"/>
  <c r="B256" i="21"/>
  <c r="J256" i="9"/>
  <c r="AG256" i="21"/>
  <c r="I256" i="9"/>
  <c r="H256" i="9"/>
  <c r="G256" i="9"/>
  <c r="F256" i="9"/>
  <c r="E256" i="9"/>
  <c r="D61" i="2"/>
  <c r="D256" i="9"/>
  <c r="C61" i="2"/>
  <c r="C256" i="9"/>
  <c r="B61" i="2"/>
  <c r="B256" i="9"/>
  <c r="S60" i="2"/>
  <c r="S255" i="9"/>
  <c r="R60" i="2"/>
  <c r="P60" i="2"/>
  <c r="K60" i="2"/>
  <c r="K255" i="9"/>
  <c r="B255" i="21"/>
  <c r="J60" i="2"/>
  <c r="J255" i="9"/>
  <c r="AG255" i="21"/>
  <c r="I60" i="2"/>
  <c r="I255" i="9"/>
  <c r="H60" i="2"/>
  <c r="H255" i="9"/>
  <c r="G60" i="2"/>
  <c r="G255" i="9"/>
  <c r="F60" i="2"/>
  <c r="F255" i="9"/>
  <c r="E60" i="2"/>
  <c r="E255" i="9"/>
  <c r="D60" i="2"/>
  <c r="D255" i="9"/>
  <c r="C60" i="2"/>
  <c r="C255" i="9"/>
  <c r="B60" i="2"/>
  <c r="B255" i="9"/>
  <c r="S59" i="2"/>
  <c r="S254" i="9"/>
  <c r="R59" i="2"/>
  <c r="E59" i="2"/>
  <c r="F59" i="2"/>
  <c r="G59" i="2"/>
  <c r="H59" i="2"/>
  <c r="I59" i="2"/>
  <c r="J59" i="2"/>
  <c r="K59" i="2"/>
  <c r="P59" i="2"/>
  <c r="L59" i="2"/>
  <c r="L254" i="9"/>
  <c r="AR254" i="21"/>
  <c r="K254" i="9"/>
  <c r="B254" i="21"/>
  <c r="J254" i="9"/>
  <c r="AG254" i="21"/>
  <c r="I254" i="9"/>
  <c r="H254" i="9"/>
  <c r="G254" i="9"/>
  <c r="F254" i="9"/>
  <c r="E254" i="9"/>
  <c r="D59" i="2"/>
  <c r="C59" i="2"/>
  <c r="C254" i="9"/>
  <c r="B59" i="2"/>
  <c r="B254" i="9"/>
  <c r="S58" i="2"/>
  <c r="S253" i="9"/>
  <c r="R58" i="2"/>
  <c r="P58" i="2"/>
  <c r="K58" i="2"/>
  <c r="K253" i="9"/>
  <c r="B253" i="21"/>
  <c r="J58" i="2"/>
  <c r="I58" i="2"/>
  <c r="I253" i="9"/>
  <c r="H58" i="2"/>
  <c r="G58" i="2"/>
  <c r="G253" i="9"/>
  <c r="F58" i="2"/>
  <c r="E58" i="2"/>
  <c r="D58" i="2"/>
  <c r="D253" i="9"/>
  <c r="C58" i="2"/>
  <c r="C20" i="2"/>
  <c r="C253" i="9"/>
  <c r="S57" i="2"/>
  <c r="S252" i="9"/>
  <c r="R57" i="2"/>
  <c r="P57" i="2"/>
  <c r="J57" i="2"/>
  <c r="I57" i="2"/>
  <c r="I252" i="9"/>
  <c r="H57" i="2"/>
  <c r="G57" i="2"/>
  <c r="G252" i="9"/>
  <c r="F57" i="2"/>
  <c r="E57" i="2"/>
  <c r="E252" i="9"/>
  <c r="C57" i="2"/>
  <c r="C252" i="9"/>
  <c r="B57" i="2"/>
  <c r="S56" i="2"/>
  <c r="S251" i="9"/>
  <c r="R56" i="2"/>
  <c r="P56" i="2"/>
  <c r="J56" i="2"/>
  <c r="I56" i="2"/>
  <c r="H56" i="2"/>
  <c r="G56" i="2"/>
  <c r="F56" i="2"/>
  <c r="E56" i="2"/>
  <c r="C56" i="2"/>
  <c r="C251" i="9"/>
  <c r="B56" i="2"/>
  <c r="B251" i="9"/>
  <c r="S55" i="2"/>
  <c r="R55" i="2"/>
  <c r="T55" i="2"/>
  <c r="S250" i="9"/>
  <c r="P55" i="2"/>
  <c r="J55" i="2"/>
  <c r="I55" i="2"/>
  <c r="H55" i="2"/>
  <c r="G55" i="2"/>
  <c r="G250" i="9"/>
  <c r="F55" i="2"/>
  <c r="F250" i="9"/>
  <c r="E55" i="2"/>
  <c r="E250" i="9"/>
  <c r="C55" i="2"/>
  <c r="C250" i="9"/>
  <c r="B55" i="2"/>
  <c r="B250" i="9"/>
  <c r="S54" i="2"/>
  <c r="S249" i="9"/>
  <c r="R54" i="2"/>
  <c r="P54" i="2"/>
  <c r="J54" i="2"/>
  <c r="I54" i="2"/>
  <c r="H54" i="2"/>
  <c r="H249" i="9"/>
  <c r="G54" i="2"/>
  <c r="F54" i="2"/>
  <c r="E54" i="2"/>
  <c r="C54" i="2"/>
  <c r="C249" i="9"/>
  <c r="B54" i="2"/>
  <c r="B249" i="9"/>
  <c r="S53" i="2"/>
  <c r="S48" i="23"/>
  <c r="S248" i="9"/>
  <c r="R53" i="2"/>
  <c r="R48" i="23"/>
  <c r="P53" i="2"/>
  <c r="J53" i="2"/>
  <c r="I53" i="2"/>
  <c r="I248" i="9"/>
  <c r="H53" i="2"/>
  <c r="G53" i="2"/>
  <c r="G248" i="9"/>
  <c r="F53" i="2"/>
  <c r="E53" i="2"/>
  <c r="E248" i="9"/>
  <c r="C53" i="2"/>
  <c r="C248" i="9"/>
  <c r="B53" i="2"/>
  <c r="B48" i="23"/>
  <c r="S52" i="2"/>
  <c r="R52" i="2"/>
  <c r="P52" i="2"/>
  <c r="J52" i="2"/>
  <c r="I52" i="2"/>
  <c r="H52" i="2"/>
  <c r="G52" i="2"/>
  <c r="F52" i="2"/>
  <c r="E52" i="2"/>
  <c r="C52" i="2"/>
  <c r="C247" i="9"/>
  <c r="B52" i="2"/>
  <c r="S51" i="2"/>
  <c r="R51" i="2"/>
  <c r="T51" i="2"/>
  <c r="T46" i="23"/>
  <c r="S246" i="9"/>
  <c r="R46" i="23"/>
  <c r="P51" i="2"/>
  <c r="J51" i="2"/>
  <c r="I51" i="2"/>
  <c r="I246" i="9"/>
  <c r="H51" i="2"/>
  <c r="G51" i="2"/>
  <c r="G246" i="9"/>
  <c r="F51" i="2"/>
  <c r="E51" i="2"/>
  <c r="E246" i="9"/>
  <c r="C51" i="2"/>
  <c r="C246" i="9"/>
  <c r="B51" i="2"/>
  <c r="B46" i="23"/>
  <c r="S50" i="2"/>
  <c r="S245" i="9"/>
  <c r="R50" i="2"/>
  <c r="P50" i="2"/>
  <c r="J50" i="2"/>
  <c r="I50" i="2"/>
  <c r="H50" i="2"/>
  <c r="G50" i="2"/>
  <c r="F50" i="2"/>
  <c r="E50" i="2"/>
  <c r="C50" i="2"/>
  <c r="C245" i="9"/>
  <c r="B50" i="2"/>
  <c r="S49" i="2"/>
  <c r="S44" i="23"/>
  <c r="S244" i="9"/>
  <c r="R49" i="2"/>
  <c r="R44" i="23"/>
  <c r="P49" i="2"/>
  <c r="J49" i="2"/>
  <c r="I49" i="2"/>
  <c r="I244" i="9"/>
  <c r="H49" i="2"/>
  <c r="G49" i="2"/>
  <c r="G244" i="9"/>
  <c r="F49" i="2"/>
  <c r="E49" i="2"/>
  <c r="E244" i="9"/>
  <c r="C49" i="2"/>
  <c r="C244" i="9"/>
  <c r="B49" i="2"/>
  <c r="B44" i="23"/>
  <c r="S48" i="2"/>
  <c r="R48" i="2"/>
  <c r="P48" i="2"/>
  <c r="J48" i="2"/>
  <c r="I48" i="2"/>
  <c r="H48" i="2"/>
  <c r="G48" i="2"/>
  <c r="F48" i="2"/>
  <c r="E48" i="2"/>
  <c r="C48" i="2"/>
  <c r="C243" i="9"/>
  <c r="B48" i="2"/>
  <c r="B43" i="23"/>
  <c r="S47" i="2"/>
  <c r="R47" i="2"/>
  <c r="T47" i="2"/>
  <c r="T42" i="23"/>
  <c r="S242" i="9"/>
  <c r="R42" i="23"/>
  <c r="P47" i="2"/>
  <c r="J47" i="2"/>
  <c r="I47" i="2"/>
  <c r="I242" i="9"/>
  <c r="H47" i="2"/>
  <c r="G47" i="2"/>
  <c r="G242" i="9"/>
  <c r="F47" i="2"/>
  <c r="E47" i="2"/>
  <c r="E242" i="9"/>
  <c r="C47" i="2"/>
  <c r="C242" i="9"/>
  <c r="B47" i="2"/>
  <c r="B42" i="23"/>
  <c r="S46" i="2"/>
  <c r="S241" i="9"/>
  <c r="R46" i="2"/>
  <c r="P46" i="2"/>
  <c r="J46" i="2"/>
  <c r="I46" i="2"/>
  <c r="H46" i="2"/>
  <c r="G46" i="2"/>
  <c r="F46" i="2"/>
  <c r="E46" i="2"/>
  <c r="C46" i="2"/>
  <c r="C241" i="9"/>
  <c r="B46" i="2"/>
  <c r="S45" i="2"/>
  <c r="S40" i="23"/>
  <c r="S240" i="9"/>
  <c r="R45" i="2"/>
  <c r="R40" i="23"/>
  <c r="P45" i="2"/>
  <c r="J45" i="2"/>
  <c r="I45" i="2"/>
  <c r="I240" i="9"/>
  <c r="H45" i="2"/>
  <c r="G45" i="2"/>
  <c r="G240" i="9"/>
  <c r="F45" i="2"/>
  <c r="E45" i="2"/>
  <c r="E240" i="9"/>
  <c r="C45" i="2"/>
  <c r="C240" i="9"/>
  <c r="B45" i="2"/>
  <c r="B40" i="23"/>
  <c r="S44" i="2"/>
  <c r="R44" i="2"/>
  <c r="P44" i="2"/>
  <c r="J44" i="2"/>
  <c r="I44" i="2"/>
  <c r="H44" i="2"/>
  <c r="G44" i="2"/>
  <c r="F44" i="2"/>
  <c r="E44" i="2"/>
  <c r="C44" i="2"/>
  <c r="C239" i="9"/>
  <c r="B44" i="2"/>
  <c r="S43" i="2"/>
  <c r="R43" i="2"/>
  <c r="T43" i="2"/>
  <c r="T38" i="23"/>
  <c r="S238" i="9"/>
  <c r="R38" i="23"/>
  <c r="P43" i="2"/>
  <c r="J43" i="2"/>
  <c r="I43" i="2"/>
  <c r="I238" i="9"/>
  <c r="H43" i="2"/>
  <c r="G43" i="2"/>
  <c r="G238" i="9"/>
  <c r="F43" i="2"/>
  <c r="E43" i="2"/>
  <c r="E238" i="9"/>
  <c r="C43" i="2"/>
  <c r="C238" i="9"/>
  <c r="B43" i="2"/>
  <c r="B38" i="23"/>
  <c r="S42" i="2"/>
  <c r="S237" i="9"/>
  <c r="R42" i="2"/>
  <c r="P42" i="2"/>
  <c r="J42" i="2"/>
  <c r="I42" i="2"/>
  <c r="H42" i="2"/>
  <c r="H237" i="9"/>
  <c r="G42" i="2"/>
  <c r="F42" i="2"/>
  <c r="E42" i="2"/>
  <c r="C42" i="2"/>
  <c r="C237" i="9"/>
  <c r="B42" i="2"/>
  <c r="S41" i="2"/>
  <c r="S36" i="23"/>
  <c r="S236" i="9"/>
  <c r="R41" i="2"/>
  <c r="R36" i="23"/>
  <c r="P41" i="2"/>
  <c r="J41" i="2"/>
  <c r="I41" i="2"/>
  <c r="I236" i="9"/>
  <c r="H41" i="2"/>
  <c r="G41" i="2"/>
  <c r="G236" i="9"/>
  <c r="F41" i="2"/>
  <c r="E41" i="2"/>
  <c r="E236" i="9"/>
  <c r="C41" i="2"/>
  <c r="C236" i="9"/>
  <c r="B41" i="2"/>
  <c r="B36" i="23"/>
  <c r="S40" i="2"/>
  <c r="R40" i="2"/>
  <c r="R35" i="23"/>
  <c r="P40" i="2"/>
  <c r="J40" i="2"/>
  <c r="I40" i="2"/>
  <c r="H40" i="2"/>
  <c r="G40" i="2"/>
  <c r="F40" i="2"/>
  <c r="E40" i="2"/>
  <c r="C40" i="2"/>
  <c r="C235" i="9"/>
  <c r="B40" i="2"/>
  <c r="S39" i="2"/>
  <c r="R39" i="2"/>
  <c r="T39" i="2"/>
  <c r="T34" i="23"/>
  <c r="S234" i="9"/>
  <c r="R34" i="23"/>
  <c r="P39" i="2"/>
  <c r="J39" i="2"/>
  <c r="I39" i="2"/>
  <c r="I234" i="9"/>
  <c r="H39" i="2"/>
  <c r="G39" i="2"/>
  <c r="F39" i="2"/>
  <c r="E39" i="2"/>
  <c r="C39" i="2"/>
  <c r="B39" i="2"/>
  <c r="S233" i="9"/>
  <c r="R38" i="2"/>
  <c r="P38" i="2"/>
  <c r="J38" i="2"/>
  <c r="J18" i="2"/>
  <c r="I38" i="2"/>
  <c r="I233" i="9"/>
  <c r="H38" i="2"/>
  <c r="H233" i="9"/>
  <c r="G38" i="2"/>
  <c r="F38" i="2"/>
  <c r="F233" i="9"/>
  <c r="E38" i="2"/>
  <c r="C38" i="2"/>
  <c r="B38" i="2"/>
  <c r="S37" i="2"/>
  <c r="S32" i="23"/>
  <c r="R37" i="2"/>
  <c r="R32" i="23"/>
  <c r="O37" i="2"/>
  <c r="N37" i="2"/>
  <c r="N232" i="9"/>
  <c r="M37" i="2"/>
  <c r="I37" i="2"/>
  <c r="I232" i="9"/>
  <c r="H37" i="2"/>
  <c r="G37" i="2"/>
  <c r="F37" i="2"/>
  <c r="F232" i="9"/>
  <c r="E37" i="2"/>
  <c r="E232" i="9"/>
  <c r="B37" i="2"/>
  <c r="B32" i="23"/>
  <c r="S36" i="2"/>
  <c r="R36" i="2"/>
  <c r="R31" i="23"/>
  <c r="O36" i="2"/>
  <c r="N36" i="2"/>
  <c r="M36" i="2"/>
  <c r="I36" i="2"/>
  <c r="H36" i="2"/>
  <c r="G36" i="2"/>
  <c r="F36" i="2"/>
  <c r="F231" i="9"/>
  <c r="E36" i="2"/>
  <c r="C36" i="2"/>
  <c r="B36" i="2"/>
  <c r="B31" i="23"/>
  <c r="S35" i="2"/>
  <c r="R35" i="2"/>
  <c r="T35" i="2"/>
  <c r="R30" i="23"/>
  <c r="O35" i="2"/>
  <c r="N35" i="2"/>
  <c r="M35" i="2"/>
  <c r="I35" i="2"/>
  <c r="I230" i="9"/>
  <c r="H35" i="2"/>
  <c r="G35" i="2"/>
  <c r="F35" i="2"/>
  <c r="E35" i="2"/>
  <c r="C35" i="2"/>
  <c r="B35" i="2"/>
  <c r="B30" i="23"/>
  <c r="R34" i="2"/>
  <c r="R29" i="23"/>
  <c r="O34" i="2"/>
  <c r="N34" i="2"/>
  <c r="N229" i="9"/>
  <c r="M34" i="2"/>
  <c r="I34" i="2"/>
  <c r="I229" i="9"/>
  <c r="H34" i="2"/>
  <c r="G34" i="2"/>
  <c r="G229" i="9"/>
  <c r="F34" i="2"/>
  <c r="E34" i="2"/>
  <c r="E229" i="9"/>
  <c r="B34" i="2"/>
  <c r="B29" i="23"/>
  <c r="S33" i="2"/>
  <c r="R33" i="2"/>
  <c r="R28" i="23"/>
  <c r="O33" i="2"/>
  <c r="N33" i="2"/>
  <c r="M33" i="2"/>
  <c r="I33" i="2"/>
  <c r="H33" i="2"/>
  <c r="H228" i="9"/>
  <c r="G33" i="2"/>
  <c r="F33" i="2"/>
  <c r="F228" i="9"/>
  <c r="E33" i="2"/>
  <c r="E228" i="9"/>
  <c r="B33" i="2"/>
  <c r="B28" i="23"/>
  <c r="S32" i="2"/>
  <c r="S27" i="23"/>
  <c r="R32" i="2"/>
  <c r="O32" i="2"/>
  <c r="N32" i="2"/>
  <c r="M32" i="2"/>
  <c r="I32" i="2"/>
  <c r="I227" i="9"/>
  <c r="H32" i="2"/>
  <c r="G32" i="2"/>
  <c r="G227" i="9"/>
  <c r="F32" i="2"/>
  <c r="E32" i="2"/>
  <c r="E227" i="9"/>
  <c r="B32" i="2"/>
  <c r="B27" i="23"/>
  <c r="S31" i="2"/>
  <c r="R31" i="2"/>
  <c r="R26" i="23"/>
  <c r="O31" i="2"/>
  <c r="N31" i="2"/>
  <c r="M31" i="2"/>
  <c r="I31" i="2"/>
  <c r="H31" i="2"/>
  <c r="H226" i="9"/>
  <c r="G31" i="2"/>
  <c r="G226" i="9"/>
  <c r="F31" i="2"/>
  <c r="F226" i="9"/>
  <c r="E31" i="2"/>
  <c r="B31" i="2"/>
  <c r="R30" i="2"/>
  <c r="R25" i="23"/>
  <c r="O30" i="2"/>
  <c r="N30" i="2"/>
  <c r="N225" i="9"/>
  <c r="M30" i="2"/>
  <c r="I30" i="2"/>
  <c r="H30" i="2"/>
  <c r="G30" i="2"/>
  <c r="G225" i="9"/>
  <c r="F30" i="2"/>
  <c r="F225" i="9"/>
  <c r="E30" i="2"/>
  <c r="E225" i="9"/>
  <c r="B30" i="2"/>
  <c r="B25" i="23"/>
  <c r="S29" i="2"/>
  <c r="S24" i="23"/>
  <c r="R29" i="2"/>
  <c r="O29" i="2"/>
  <c r="N29" i="2"/>
  <c r="M29" i="2"/>
  <c r="I29" i="2"/>
  <c r="H29" i="2"/>
  <c r="H224" i="9"/>
  <c r="G29" i="2"/>
  <c r="F29" i="2"/>
  <c r="F224" i="9"/>
  <c r="E29" i="2"/>
  <c r="B29" i="2"/>
  <c r="R28" i="2"/>
  <c r="R23" i="23"/>
  <c r="O28" i="2"/>
  <c r="N28" i="2"/>
  <c r="M28" i="2"/>
  <c r="I28" i="2"/>
  <c r="H28" i="2"/>
  <c r="G28" i="2"/>
  <c r="G223" i="9"/>
  <c r="F28" i="2"/>
  <c r="E28" i="2"/>
  <c r="E223" i="9"/>
  <c r="B28" i="2"/>
  <c r="B23" i="23"/>
  <c r="S26" i="2"/>
  <c r="R26" i="2"/>
  <c r="K26" i="2"/>
  <c r="J26" i="2"/>
  <c r="H26" i="2"/>
  <c r="F26" i="2"/>
  <c r="E26" i="2"/>
  <c r="D26" i="2"/>
  <c r="C26" i="2"/>
  <c r="B26" i="2"/>
  <c r="S25" i="2"/>
  <c r="R25" i="2"/>
  <c r="K25" i="2"/>
  <c r="J25" i="2"/>
  <c r="H25" i="2"/>
  <c r="F25" i="2"/>
  <c r="E25" i="2"/>
  <c r="D25" i="2"/>
  <c r="C25" i="2"/>
  <c r="B25" i="2"/>
  <c r="S24" i="2"/>
  <c r="R24" i="2"/>
  <c r="K24" i="2"/>
  <c r="J24" i="2"/>
  <c r="H24" i="2"/>
  <c r="F24" i="2"/>
  <c r="E24" i="2"/>
  <c r="D24" i="2"/>
  <c r="C24" i="2"/>
  <c r="B24" i="2"/>
  <c r="S23" i="2"/>
  <c r="R23" i="2"/>
  <c r="K23" i="2"/>
  <c r="J23" i="2"/>
  <c r="I23" i="2"/>
  <c r="H23" i="2"/>
  <c r="G23" i="2"/>
  <c r="F23" i="2"/>
  <c r="E23" i="2"/>
  <c r="D23" i="2"/>
  <c r="C23" i="2"/>
  <c r="B23" i="2"/>
  <c r="R22" i="2"/>
  <c r="J22" i="2"/>
  <c r="G22" i="2"/>
  <c r="F22" i="2"/>
  <c r="E22" i="2"/>
  <c r="S20" i="2"/>
  <c r="P20" i="2"/>
  <c r="O20" i="2"/>
  <c r="N20" i="2"/>
  <c r="M20" i="2"/>
  <c r="I20" i="2"/>
  <c r="G20" i="2"/>
  <c r="F20" i="2"/>
  <c r="E20" i="2"/>
  <c r="B20" i="2"/>
  <c r="S19" i="2"/>
  <c r="P19" i="2"/>
  <c r="O19" i="2"/>
  <c r="N19" i="2"/>
  <c r="M19" i="2"/>
  <c r="I19" i="2"/>
  <c r="H19" i="2"/>
  <c r="G19" i="2"/>
  <c r="F19" i="2"/>
  <c r="E19" i="2"/>
  <c r="B19" i="2"/>
  <c r="S18" i="2"/>
  <c r="P18" i="2"/>
  <c r="O18" i="2"/>
  <c r="N18" i="2"/>
  <c r="M18" i="2"/>
  <c r="I18" i="2"/>
  <c r="H18" i="2"/>
  <c r="G18" i="2"/>
  <c r="F18" i="2"/>
  <c r="E18" i="2"/>
  <c r="B18" i="2"/>
  <c r="S17" i="2"/>
  <c r="R17" i="2"/>
  <c r="T17" i="2"/>
  <c r="O17" i="2"/>
  <c r="N17" i="2"/>
  <c r="M17" i="2"/>
  <c r="I17" i="2"/>
  <c r="H17" i="2"/>
  <c r="G17" i="2"/>
  <c r="F17" i="2"/>
  <c r="E17" i="2"/>
  <c r="B17" i="2"/>
  <c r="S16" i="2"/>
  <c r="R16" i="2"/>
  <c r="T16" i="2"/>
  <c r="B16" i="2"/>
  <c r="S15" i="2"/>
  <c r="R15" i="2"/>
  <c r="T15" i="2"/>
  <c r="B15" i="2"/>
  <c r="S14" i="2"/>
  <c r="R14" i="2"/>
  <c r="T14" i="2"/>
  <c r="B14" i="2"/>
  <c r="S13" i="2"/>
  <c r="R13" i="2"/>
  <c r="T13" i="2"/>
  <c r="B13" i="2"/>
  <c r="S12" i="2"/>
  <c r="R12" i="2"/>
  <c r="B12" i="2"/>
  <c r="S11" i="2"/>
  <c r="R11" i="2"/>
  <c r="T11" i="2"/>
  <c r="B11" i="2"/>
  <c r="B232" i="9"/>
  <c r="B240" i="9"/>
  <c r="H241" i="9"/>
  <c r="G224" i="9"/>
  <c r="G247" i="9"/>
  <c r="B228" i="9"/>
  <c r="S232" i="9"/>
  <c r="L111" i="2"/>
  <c r="L306" i="9"/>
  <c r="Q306" i="9"/>
  <c r="R306" i="9"/>
  <c r="L117" i="2"/>
  <c r="L312" i="9"/>
  <c r="Q312" i="9"/>
  <c r="R312" i="9"/>
  <c r="B248" i="9"/>
  <c r="B243" i="9"/>
  <c r="I249" i="9"/>
  <c r="H252" i="9"/>
  <c r="T61" i="2"/>
  <c r="T256" i="9"/>
  <c r="T75" i="2"/>
  <c r="T270" i="9"/>
  <c r="S270" i="9"/>
  <c r="N223" i="9"/>
  <c r="E230" i="9"/>
  <c r="I231" i="9"/>
  <c r="G234" i="9"/>
  <c r="F237" i="9"/>
  <c r="H239" i="9"/>
  <c r="F245" i="9"/>
  <c r="B246" i="9"/>
  <c r="H247" i="9"/>
  <c r="F253" i="9"/>
  <c r="T12" i="2"/>
  <c r="B14" i="23"/>
  <c r="B223" i="9"/>
  <c r="I224" i="9"/>
  <c r="AE35" i="16"/>
  <c r="AE35" i="15"/>
  <c r="S225" i="9"/>
  <c r="N226" i="9"/>
  <c r="H227" i="9"/>
  <c r="F230" i="9"/>
  <c r="G232" i="9"/>
  <c r="H234" i="9"/>
  <c r="E235" i="9"/>
  <c r="G237" i="9"/>
  <c r="T238" i="9"/>
  <c r="I239" i="9"/>
  <c r="F240" i="9"/>
  <c r="H242" i="9"/>
  <c r="E243" i="9"/>
  <c r="G245" i="9"/>
  <c r="T246" i="9"/>
  <c r="I247" i="9"/>
  <c r="F248" i="9"/>
  <c r="H250" i="9"/>
  <c r="E251" i="9"/>
  <c r="K80" i="2"/>
  <c r="K275" i="9"/>
  <c r="B275" i="21"/>
  <c r="BC275" i="21"/>
  <c r="T81" i="2"/>
  <c r="T276" i="9"/>
  <c r="L84" i="2"/>
  <c r="L279" i="9"/>
  <c r="Q279" i="9"/>
  <c r="H279" i="9"/>
  <c r="R279" i="9"/>
  <c r="B279" i="22"/>
  <c r="AG279" i="36"/>
  <c r="T294" i="9"/>
  <c r="L112" i="2"/>
  <c r="L307" i="9"/>
  <c r="L118" i="2"/>
  <c r="L313" i="9"/>
  <c r="Q313" i="9"/>
  <c r="R313" i="9"/>
  <c r="G231" i="9"/>
  <c r="I270" i="9"/>
  <c r="I226" i="9"/>
  <c r="F234" i="9"/>
  <c r="E237" i="9"/>
  <c r="G239" i="9"/>
  <c r="I241" i="9"/>
  <c r="H244" i="9"/>
  <c r="R14" i="23"/>
  <c r="S228" i="9"/>
  <c r="B231" i="9"/>
  <c r="B236" i="9"/>
  <c r="I250" i="9"/>
  <c r="L119" i="2"/>
  <c r="L314" i="9"/>
  <c r="Q314" i="9"/>
  <c r="R314" i="9"/>
  <c r="T314" i="9"/>
  <c r="L320" i="9"/>
  <c r="T320" i="9"/>
  <c r="AE34" i="16"/>
  <c r="N230" i="9"/>
  <c r="E234" i="9"/>
  <c r="L317" i="9"/>
  <c r="T317" i="9"/>
  <c r="N228" i="9"/>
  <c r="E245" i="9"/>
  <c r="E253" i="9"/>
  <c r="L311" i="9"/>
  <c r="T311" i="9"/>
  <c r="F235" i="9"/>
  <c r="B252" i="9"/>
  <c r="T80" i="2"/>
  <c r="T275" i="9"/>
  <c r="F223" i="9"/>
  <c r="S223" i="9"/>
  <c r="S14" i="23"/>
  <c r="N224" i="9"/>
  <c r="H225" i="9"/>
  <c r="E226" i="9"/>
  <c r="G228" i="9"/>
  <c r="B229" i="9"/>
  <c r="H230" i="9"/>
  <c r="C231" i="9"/>
  <c r="E233" i="9"/>
  <c r="G235" i="9"/>
  <c r="T41" i="2"/>
  <c r="T36" i="23"/>
  <c r="T236" i="9"/>
  <c r="I237" i="9"/>
  <c r="F238" i="9"/>
  <c r="H240" i="9"/>
  <c r="E241" i="9"/>
  <c r="G243" i="9"/>
  <c r="T49" i="2"/>
  <c r="T44" i="23"/>
  <c r="T244" i="9"/>
  <c r="I245" i="9"/>
  <c r="F246" i="9"/>
  <c r="H248" i="9"/>
  <c r="E249" i="9"/>
  <c r="G251" i="9"/>
  <c r="T57" i="2"/>
  <c r="T252" i="9"/>
  <c r="D20" i="2"/>
  <c r="D254" i="9"/>
  <c r="T65" i="2"/>
  <c r="T260" i="9"/>
  <c r="S21" i="2"/>
  <c r="T73" i="2"/>
  <c r="T268" i="9"/>
  <c r="L308" i="9"/>
  <c r="F247" i="9"/>
  <c r="L115" i="2"/>
  <c r="L310" i="9"/>
  <c r="Q310" i="9"/>
  <c r="R310" i="9"/>
  <c r="T310" i="9"/>
  <c r="AE37" i="16"/>
  <c r="F227" i="9"/>
  <c r="S227" i="9"/>
  <c r="H231" i="9"/>
  <c r="H236" i="9"/>
  <c r="F242" i="9"/>
  <c r="AE38" i="16"/>
  <c r="G230" i="9"/>
  <c r="N231" i="9"/>
  <c r="F243" i="9"/>
  <c r="T272" i="9"/>
  <c r="S272" i="9"/>
  <c r="I225" i="9"/>
  <c r="AE36" i="16"/>
  <c r="AE36" i="15"/>
  <c r="N227" i="9"/>
  <c r="E231" i="9"/>
  <c r="H235" i="9"/>
  <c r="F241" i="9"/>
  <c r="H243" i="9"/>
  <c r="F249" i="9"/>
  <c r="H251" i="9"/>
  <c r="J253" i="9"/>
  <c r="T79" i="2"/>
  <c r="T274" i="9"/>
  <c r="S274" i="9"/>
  <c r="L114" i="2"/>
  <c r="L309" i="9"/>
  <c r="Q309" i="9"/>
  <c r="R309" i="9"/>
  <c r="T327" i="9"/>
  <c r="F239" i="9"/>
  <c r="B225" i="9"/>
  <c r="H229" i="9"/>
  <c r="L123" i="2"/>
  <c r="L318" i="9"/>
  <c r="Q318" i="9"/>
  <c r="R318" i="9"/>
  <c r="T318" i="9"/>
  <c r="H232" i="9"/>
  <c r="B244" i="9"/>
  <c r="H245" i="9"/>
  <c r="F251" i="9"/>
  <c r="H253" i="9"/>
  <c r="S266" i="9"/>
  <c r="H223" i="9"/>
  <c r="E224" i="9"/>
  <c r="B227" i="9"/>
  <c r="I228" i="9"/>
  <c r="F229" i="9"/>
  <c r="AE39" i="16"/>
  <c r="S229" i="9"/>
  <c r="S231" i="9"/>
  <c r="G233" i="9"/>
  <c r="C234" i="9"/>
  <c r="T234" i="9"/>
  <c r="I235" i="9"/>
  <c r="F236" i="9"/>
  <c r="H238" i="9"/>
  <c r="E239" i="9"/>
  <c r="G241" i="9"/>
  <c r="T242" i="9"/>
  <c r="I243" i="9"/>
  <c r="F244" i="9"/>
  <c r="H246" i="9"/>
  <c r="E247" i="9"/>
  <c r="G249" i="9"/>
  <c r="T250" i="9"/>
  <c r="I251" i="9"/>
  <c r="F252" i="9"/>
  <c r="T59" i="2"/>
  <c r="T254" i="9"/>
  <c r="L121" i="2"/>
  <c r="L316" i="9"/>
  <c r="T316" i="9"/>
  <c r="L127" i="2"/>
  <c r="L322" i="9"/>
  <c r="Q322" i="9"/>
  <c r="R322" i="9"/>
  <c r="T322" i="9"/>
  <c r="L133" i="2"/>
  <c r="L328" i="9"/>
  <c r="T328" i="9"/>
  <c r="Q196" i="9"/>
  <c r="Q197" i="9"/>
  <c r="S197" i="9"/>
  <c r="S196" i="9"/>
  <c r="T23" i="2"/>
  <c r="D22" i="2"/>
  <c r="T67" i="2"/>
  <c r="T262" i="9"/>
  <c r="I21" i="2"/>
  <c r="H22" i="2"/>
  <c r="T40" i="2"/>
  <c r="C19" i="2"/>
  <c r="T72" i="2"/>
  <c r="T267" i="9"/>
  <c r="T60" i="2"/>
  <c r="T255" i="9"/>
  <c r="H20" i="2"/>
  <c r="J20" i="2"/>
  <c r="T66" i="2"/>
  <c r="T261" i="9"/>
  <c r="K76" i="2"/>
  <c r="K271" i="9"/>
  <c r="B271" i="21"/>
  <c r="BC271" i="21"/>
  <c r="T34" i="2"/>
  <c r="T29" i="23"/>
  <c r="T63" i="2"/>
  <c r="T258" i="9"/>
  <c r="J19" i="2"/>
  <c r="T62" i="2"/>
  <c r="T257" i="9"/>
  <c r="T37" i="2"/>
  <c r="T32" i="23"/>
  <c r="T53" i="2"/>
  <c r="T48" i="23"/>
  <c r="T248" i="9"/>
  <c r="C21" i="2"/>
  <c r="T74" i="2"/>
  <c r="T269" i="9"/>
  <c r="T26" i="2"/>
  <c r="L74" i="2"/>
  <c r="L269" i="9"/>
  <c r="AR269" i="21"/>
  <c r="S22" i="2"/>
  <c r="T38" i="2"/>
  <c r="T33" i="23"/>
  <c r="L23" i="2"/>
  <c r="T78" i="2"/>
  <c r="T273" i="9"/>
  <c r="K81" i="2"/>
  <c r="K276" i="9"/>
  <c r="B276" i="21"/>
  <c r="BC276" i="21"/>
  <c r="T69" i="2"/>
  <c r="T264" i="9"/>
  <c r="K78" i="2"/>
  <c r="R19" i="2"/>
  <c r="T19" i="2"/>
  <c r="L60" i="2"/>
  <c r="L255" i="9"/>
  <c r="AR255" i="21"/>
  <c r="T22" i="2"/>
  <c r="R15" i="23"/>
  <c r="B15" i="23"/>
  <c r="B214" i="9"/>
  <c r="AD37" i="16"/>
  <c r="AD37" i="15"/>
  <c r="AE37" i="15"/>
  <c r="S214" i="9"/>
  <c r="S15" i="23"/>
  <c r="AD35" i="16"/>
  <c r="AD35" i="15"/>
  <c r="AE39" i="15"/>
  <c r="AD39" i="16"/>
  <c r="AD39" i="15"/>
  <c r="T14" i="23"/>
  <c r="L81" i="2"/>
  <c r="L276" i="9"/>
  <c r="AD36" i="16"/>
  <c r="AD36" i="15"/>
  <c r="AE33" i="16"/>
  <c r="O91" i="9"/>
  <c r="Q91" i="9"/>
  <c r="AE24" i="16"/>
  <c r="AD24" i="16"/>
  <c r="AD24" i="15"/>
  <c r="S16" i="23"/>
  <c r="S215" i="9"/>
  <c r="T15" i="23"/>
  <c r="T214" i="9"/>
  <c r="AD33" i="16"/>
  <c r="AD33" i="15"/>
  <c r="AE33" i="15"/>
  <c r="B16" i="23"/>
  <c r="B215" i="9"/>
  <c r="R16" i="23"/>
  <c r="O92" i="9"/>
  <c r="Q92" i="9"/>
  <c r="R17" i="23"/>
  <c r="S17" i="23"/>
  <c r="S216" i="9"/>
  <c r="B17" i="23"/>
  <c r="B216" i="9"/>
  <c r="T16" i="23"/>
  <c r="T215" i="9"/>
  <c r="AE24" i="15"/>
  <c r="AE25" i="16"/>
  <c r="O93" i="9"/>
  <c r="Q93" i="9"/>
  <c r="AE26" i="16"/>
  <c r="S18" i="23"/>
  <c r="S217" i="9"/>
  <c r="R18" i="23"/>
  <c r="B18" i="23"/>
  <c r="B217" i="9"/>
  <c r="T17" i="23"/>
  <c r="T216" i="9"/>
  <c r="AD25" i="16"/>
  <c r="AD25" i="15"/>
  <c r="AE25" i="15"/>
  <c r="O94" i="9"/>
  <c r="Q94" i="9"/>
  <c r="R19" i="23"/>
  <c r="S19" i="23"/>
  <c r="S218" i="9"/>
  <c r="AD26" i="16"/>
  <c r="AD26" i="15"/>
  <c r="AE26" i="15"/>
  <c r="T18" i="23"/>
  <c r="T217" i="9"/>
  <c r="B19" i="23"/>
  <c r="B218" i="9"/>
  <c r="AE27" i="16"/>
  <c r="O95" i="9"/>
  <c r="Q95" i="9"/>
  <c r="S20" i="23"/>
  <c r="S219" i="9"/>
  <c r="R20" i="23"/>
  <c r="T19" i="23"/>
  <c r="T218" i="9"/>
  <c r="AE27" i="15"/>
  <c r="AD27" i="16"/>
  <c r="AD27" i="15"/>
  <c r="B20" i="23"/>
  <c r="B219" i="9"/>
  <c r="AE28" i="16"/>
  <c r="O96" i="9"/>
  <c r="Q96" i="9"/>
  <c r="S21" i="23"/>
  <c r="S220" i="9"/>
  <c r="AE29" i="16"/>
  <c r="T20" i="23"/>
  <c r="T219" i="9"/>
  <c r="B21" i="23"/>
  <c r="B220" i="9"/>
  <c r="R21" i="23"/>
  <c r="AE28" i="15"/>
  <c r="AD28" i="16"/>
  <c r="AD28" i="15"/>
  <c r="O97" i="9"/>
  <c r="Q97" i="9"/>
  <c r="AD29" i="16"/>
  <c r="AD29" i="15"/>
  <c r="AE29" i="15"/>
  <c r="AE30" i="16"/>
  <c r="B221" i="9"/>
  <c r="T21" i="23"/>
  <c r="T220" i="9"/>
  <c r="R22" i="23"/>
  <c r="S221" i="9"/>
  <c r="O98" i="9"/>
  <c r="Q98" i="9"/>
  <c r="B222" i="9"/>
  <c r="B22" i="23"/>
  <c r="S222" i="9"/>
  <c r="S22" i="23"/>
  <c r="AD30" i="16"/>
  <c r="AD30" i="15"/>
  <c r="AE30" i="15"/>
  <c r="AE31" i="16"/>
  <c r="T221" i="9"/>
  <c r="T222" i="9"/>
  <c r="T22" i="23"/>
  <c r="AE31" i="15"/>
  <c r="AD31" i="16"/>
  <c r="AD31" i="15"/>
  <c r="AE32" i="16"/>
  <c r="O100" i="9"/>
  <c r="Q100" i="9"/>
  <c r="AE32" i="15"/>
  <c r="AD32" i="16"/>
  <c r="AD32" i="15"/>
  <c r="O101" i="9"/>
  <c r="Q101" i="9"/>
  <c r="O102" i="9"/>
  <c r="Q102" i="9"/>
  <c r="O103" i="9"/>
  <c r="Q103" i="9"/>
  <c r="O104" i="9"/>
  <c r="Q104" i="9"/>
  <c r="O105" i="9"/>
  <c r="Q105" i="9"/>
  <c r="O106" i="9"/>
  <c r="Q106" i="9"/>
  <c r="O108" i="9"/>
  <c r="Q108" i="9"/>
  <c r="O109" i="9"/>
  <c r="Q109" i="9"/>
  <c r="H110" i="9"/>
  <c r="O110" i="9"/>
  <c r="Q110" i="9"/>
  <c r="Q210" i="9"/>
  <c r="R210" i="9"/>
  <c r="B210" i="22"/>
  <c r="O242" i="21"/>
  <c r="AD242" i="21"/>
  <c r="Q242" i="9"/>
  <c r="R242" i="9"/>
  <c r="B242" i="22"/>
  <c r="AG242" i="36"/>
  <c r="T30" i="23"/>
  <c r="T230" i="9"/>
  <c r="O234" i="21"/>
  <c r="AD234" i="21"/>
  <c r="Q234" i="9"/>
  <c r="R234" i="9"/>
  <c r="B234" i="22"/>
  <c r="AG234" i="36"/>
  <c r="Q267" i="9"/>
  <c r="R267" i="9"/>
  <c r="B267" i="22"/>
  <c r="AG267" i="36"/>
  <c r="T35" i="23"/>
  <c r="T235" i="9"/>
  <c r="O225" i="21"/>
  <c r="AD225" i="21"/>
  <c r="Q225" i="9"/>
  <c r="R225" i="9"/>
  <c r="B225" i="22"/>
  <c r="O227" i="21"/>
  <c r="AD227" i="21"/>
  <c r="Q227" i="9"/>
  <c r="R227" i="9"/>
  <c r="B227" i="22"/>
  <c r="S28" i="23"/>
  <c r="T33" i="2"/>
  <c r="C233" i="9"/>
  <c r="C18" i="2"/>
  <c r="S35" i="23"/>
  <c r="S235" i="9"/>
  <c r="S43" i="23"/>
  <c r="S243" i="9"/>
  <c r="O246" i="21"/>
  <c r="AD246" i="21"/>
  <c r="Q246" i="9"/>
  <c r="R246" i="9"/>
  <c r="B246" i="22"/>
  <c r="AG246" i="36"/>
  <c r="O248" i="21"/>
  <c r="AD248" i="21"/>
  <c r="Q248" i="9"/>
  <c r="R248" i="9"/>
  <c r="B248" i="22"/>
  <c r="AG248" i="36"/>
  <c r="AF248" i="36"/>
  <c r="O256" i="21"/>
  <c r="AD256" i="21"/>
  <c r="Q256" i="9"/>
  <c r="R256" i="9"/>
  <c r="B256" i="22"/>
  <c r="AG256" i="36"/>
  <c r="AF256" i="36"/>
  <c r="G134" i="12"/>
  <c r="E254" i="21"/>
  <c r="AQ57" i="4"/>
  <c r="M268" i="21"/>
  <c r="BE49" i="6"/>
  <c r="BE48" i="6"/>
  <c r="AG194" i="21"/>
  <c r="AO194" i="21"/>
  <c r="Q194" i="9"/>
  <c r="O192" i="21"/>
  <c r="AD192" i="21"/>
  <c r="Q192" i="9"/>
  <c r="O183" i="21"/>
  <c r="AD183" i="21"/>
  <c r="Q183" i="9"/>
  <c r="O169" i="21"/>
  <c r="AD169" i="21"/>
  <c r="Q169" i="9"/>
  <c r="O160" i="21"/>
  <c r="AD160" i="21"/>
  <c r="Q160" i="9"/>
  <c r="B140" i="21"/>
  <c r="BC140" i="21"/>
  <c r="Q140" i="9"/>
  <c r="B207" i="21"/>
  <c r="BC207" i="21"/>
  <c r="Q207" i="9"/>
  <c r="BC183" i="21"/>
  <c r="B179" i="21"/>
  <c r="BC179" i="21"/>
  <c r="Q179" i="9"/>
  <c r="B167" i="21"/>
  <c r="BC167" i="21"/>
  <c r="Q167" i="9"/>
  <c r="B163" i="21"/>
  <c r="BC163" i="21"/>
  <c r="Q163" i="9"/>
  <c r="B143" i="21"/>
  <c r="BC143" i="21"/>
  <c r="Q143" i="9"/>
  <c r="Q328" i="9"/>
  <c r="R328" i="9"/>
  <c r="Q327" i="9"/>
  <c r="R327" i="9"/>
  <c r="Q326" i="9"/>
  <c r="R326" i="9"/>
  <c r="Q324" i="9"/>
  <c r="R324" i="9"/>
  <c r="Q320" i="9"/>
  <c r="R320" i="9"/>
  <c r="Q317" i="9"/>
  <c r="R317" i="9"/>
  <c r="Q316" i="9"/>
  <c r="R316" i="9"/>
  <c r="Q311" i="9"/>
  <c r="R311" i="9"/>
  <c r="Q308" i="9"/>
  <c r="R308" i="9"/>
  <c r="Q307" i="9"/>
  <c r="R307" i="9"/>
  <c r="Q304" i="9"/>
  <c r="R304" i="9"/>
  <c r="Q300" i="9"/>
  <c r="R300" i="9"/>
  <c r="Q296" i="9"/>
  <c r="R296" i="9"/>
  <c r="Q293" i="9"/>
  <c r="R293" i="9"/>
  <c r="Q291" i="9"/>
  <c r="R291" i="9"/>
  <c r="Q289" i="9"/>
  <c r="R289" i="9"/>
  <c r="Q287" i="9"/>
  <c r="R287" i="9"/>
  <c r="Q285" i="9"/>
  <c r="R285" i="9"/>
  <c r="Q283" i="9"/>
  <c r="R283" i="9"/>
  <c r="Q281" i="9"/>
  <c r="R281" i="9"/>
  <c r="Q50" i="12"/>
  <c r="O50" i="12"/>
  <c r="BG170" i="21"/>
  <c r="Q55" i="12"/>
  <c r="O55" i="12"/>
  <c r="BG175" i="21"/>
  <c r="Q68" i="12"/>
  <c r="O68" i="12"/>
  <c r="BG188" i="21"/>
  <c r="Q31" i="12"/>
  <c r="O31" i="12"/>
  <c r="BG151" i="21"/>
  <c r="AD63" i="16"/>
  <c r="AD72" i="16"/>
  <c r="B75" i="16"/>
  <c r="B45" i="15"/>
  <c r="S45" i="23"/>
  <c r="R140" i="25"/>
  <c r="R138" i="25"/>
  <c r="AO213" i="8"/>
  <c r="I56" i="29"/>
  <c r="O250" i="21"/>
  <c r="AD250" i="21"/>
  <c r="R33" i="23"/>
  <c r="R18" i="2"/>
  <c r="T18" i="2"/>
  <c r="S39" i="23"/>
  <c r="S239" i="9"/>
  <c r="O255" i="21"/>
  <c r="AD255" i="21"/>
  <c r="Q255" i="9"/>
  <c r="R255" i="9"/>
  <c r="B255" i="22"/>
  <c r="AG255" i="36"/>
  <c r="O257" i="21"/>
  <c r="AD257" i="21"/>
  <c r="Q276" i="9"/>
  <c r="R276" i="9"/>
  <c r="B276" i="22"/>
  <c r="AG276" i="36"/>
  <c r="H278" i="9"/>
  <c r="L83" i="2"/>
  <c r="L278" i="9"/>
  <c r="Q278" i="9"/>
  <c r="R278" i="9"/>
  <c r="B278" i="22"/>
  <c r="L303" i="9"/>
  <c r="Q303" i="9"/>
  <c r="R303" i="9"/>
  <c r="L25" i="2"/>
  <c r="AH78" i="12"/>
  <c r="AY51" i="4"/>
  <c r="AW51" i="4"/>
  <c r="Q20" i="4"/>
  <c r="AH80" i="12"/>
  <c r="AB29" i="4"/>
  <c r="AI89" i="12"/>
  <c r="O129" i="12"/>
  <c r="BG249" i="21"/>
  <c r="M266" i="21"/>
  <c r="M269" i="21"/>
  <c r="K210" i="22"/>
  <c r="AG210" i="36"/>
  <c r="AF210" i="36"/>
  <c r="L69" i="2"/>
  <c r="T68" i="2"/>
  <c r="B230" i="9"/>
  <c r="J249" i="9"/>
  <c r="AG253" i="21"/>
  <c r="I274" i="9"/>
  <c r="K75" i="2"/>
  <c r="K270" i="9"/>
  <c r="B270" i="21"/>
  <c r="BC270" i="21"/>
  <c r="L130" i="2"/>
  <c r="L325" i="9"/>
  <c r="Q325" i="9"/>
  <c r="R325" i="9"/>
  <c r="O231" i="21"/>
  <c r="AD231" i="21"/>
  <c r="Q231" i="9"/>
  <c r="R231" i="9"/>
  <c r="B231" i="22"/>
  <c r="AG231" i="36"/>
  <c r="S224" i="9"/>
  <c r="C230" i="9"/>
  <c r="C17" i="2"/>
  <c r="O232" i="21"/>
  <c r="AD232" i="21"/>
  <c r="Q232" i="9"/>
  <c r="R232" i="9"/>
  <c r="B232" i="22"/>
  <c r="AG232" i="36"/>
  <c r="AF232" i="36"/>
  <c r="O233" i="21"/>
  <c r="AD233" i="21"/>
  <c r="Q233" i="9"/>
  <c r="R233" i="9"/>
  <c r="B233" i="22"/>
  <c r="AG233" i="36"/>
  <c r="B264" i="9"/>
  <c r="B21" i="2"/>
  <c r="L70" i="2"/>
  <c r="L265" i="9"/>
  <c r="AR265" i="21"/>
  <c r="T70" i="2"/>
  <c r="T265" i="9"/>
  <c r="H272" i="9"/>
  <c r="B278" i="9"/>
  <c r="B22" i="2"/>
  <c r="T25" i="2"/>
  <c r="T303" i="9"/>
  <c r="Q94" i="12"/>
  <c r="Q85" i="12"/>
  <c r="Q96" i="12"/>
  <c r="X68" i="4"/>
  <c r="Z68" i="4"/>
  <c r="X65" i="4"/>
  <c r="Z65" i="4"/>
  <c r="X62" i="4"/>
  <c r="Z62" i="4"/>
  <c r="AY56" i="4"/>
  <c r="AY58" i="4"/>
  <c r="Q21" i="4"/>
  <c r="AH81" i="12"/>
  <c r="AY52" i="4"/>
  <c r="AW52" i="4"/>
  <c r="Q22" i="4"/>
  <c r="AB28" i="4"/>
  <c r="BI52" i="4"/>
  <c r="AI88" i="12"/>
  <c r="D130" i="12"/>
  <c r="AH91" i="12"/>
  <c r="Q31" i="4"/>
  <c r="Q32" i="4"/>
  <c r="AH92" i="12"/>
  <c r="Q133" i="12"/>
  <c r="AY57" i="4"/>
  <c r="O99" i="12"/>
  <c r="BG219" i="21"/>
  <c r="Q99" i="12"/>
  <c r="AT260" i="21"/>
  <c r="AY54" i="4"/>
  <c r="AW54" i="4"/>
  <c r="AB49" i="4"/>
  <c r="AI109" i="12"/>
  <c r="Q187" i="9"/>
  <c r="O120" i="9"/>
  <c r="Q120" i="9"/>
  <c r="Q14" i="12"/>
  <c r="O14" i="12"/>
  <c r="BG134" i="21"/>
  <c r="B40" i="16"/>
  <c r="B42" i="16"/>
  <c r="B48" i="16"/>
  <c r="B52" i="16"/>
  <c r="O240" i="21"/>
  <c r="AD240" i="21"/>
  <c r="Q240" i="9"/>
  <c r="R240" i="9"/>
  <c r="B240" i="22"/>
  <c r="AG240" i="36"/>
  <c r="AF240" i="36"/>
  <c r="O244" i="21"/>
  <c r="AD244" i="21"/>
  <c r="Q244" i="9"/>
  <c r="R244" i="9"/>
  <c r="B244" i="22"/>
  <c r="AG244" i="36"/>
  <c r="AF244" i="36"/>
  <c r="S47" i="23"/>
  <c r="S247" i="9"/>
  <c r="BC256" i="21"/>
  <c r="O258" i="21"/>
  <c r="AD258" i="21"/>
  <c r="O259" i="21"/>
  <c r="AD259" i="21"/>
  <c r="Q259" i="9"/>
  <c r="R259" i="9"/>
  <c r="B259" i="22"/>
  <c r="AG259" i="36"/>
  <c r="R263" i="9"/>
  <c r="B263" i="22"/>
  <c r="AG263" i="36"/>
  <c r="T233" i="9"/>
  <c r="L78" i="2"/>
  <c r="K273" i="9"/>
  <c r="B273" i="21"/>
  <c r="BC273" i="21"/>
  <c r="O229" i="21"/>
  <c r="AD229" i="21"/>
  <c r="Q229" i="9"/>
  <c r="R229" i="9"/>
  <c r="B229" i="22"/>
  <c r="O230" i="21"/>
  <c r="AD230" i="21"/>
  <c r="Q230" i="9"/>
  <c r="R230" i="9"/>
  <c r="B230" i="22"/>
  <c r="AG230" i="36"/>
  <c r="B45" i="23"/>
  <c r="B245" i="9"/>
  <c r="O253" i="21"/>
  <c r="AD253" i="21"/>
  <c r="T58" i="2"/>
  <c r="T253" i="9"/>
  <c r="L58" i="2"/>
  <c r="R20" i="2"/>
  <c r="T20" i="2"/>
  <c r="G21" i="2"/>
  <c r="G264" i="9"/>
  <c r="K264" i="9"/>
  <c r="B264" i="21"/>
  <c r="BC268" i="21"/>
  <c r="Q269" i="9"/>
  <c r="R269" i="9"/>
  <c r="B269" i="22"/>
  <c r="AG269" i="36"/>
  <c r="BC269" i="21"/>
  <c r="T76" i="2"/>
  <c r="T271" i="9"/>
  <c r="S271" i="9"/>
  <c r="I272" i="9"/>
  <c r="K77" i="2"/>
  <c r="K272" i="9"/>
  <c r="B272" i="21"/>
  <c r="BC272" i="21"/>
  <c r="I275" i="9"/>
  <c r="L80" i="2"/>
  <c r="L275" i="9"/>
  <c r="Q275" i="9"/>
  <c r="R275" i="9"/>
  <c r="B275" i="22"/>
  <c r="AG275" i="36"/>
  <c r="AW56" i="4"/>
  <c r="N123" i="12"/>
  <c r="O127" i="12"/>
  <c r="BG247" i="21"/>
  <c r="Q33" i="4"/>
  <c r="AH93" i="12"/>
  <c r="M255" i="21"/>
  <c r="M257" i="21"/>
  <c r="O140" i="12"/>
  <c r="BG260" i="21"/>
  <c r="AW58" i="4"/>
  <c r="M261" i="21"/>
  <c r="G143" i="12"/>
  <c r="E263" i="21"/>
  <c r="M263" i="21"/>
  <c r="AQ58" i="4"/>
  <c r="AH104" i="12"/>
  <c r="Q44" i="4"/>
  <c r="M267" i="21"/>
  <c r="Q178" i="9"/>
  <c r="AD20" i="5"/>
  <c r="O41" i="12"/>
  <c r="BG161" i="21"/>
  <c r="Q41" i="12"/>
  <c r="AE223" i="8"/>
  <c r="BC223" i="8"/>
  <c r="S37" i="23"/>
  <c r="B145" i="25"/>
  <c r="C245" i="21"/>
  <c r="M245" i="21"/>
  <c r="R145" i="25"/>
  <c r="B120" i="25"/>
  <c r="C220" i="21"/>
  <c r="M220" i="21"/>
  <c r="BA220" i="8"/>
  <c r="I239" i="29"/>
  <c r="I211" i="29"/>
  <c r="I195" i="29"/>
  <c r="I183" i="29"/>
  <c r="I139" i="29"/>
  <c r="I107" i="29"/>
  <c r="I86" i="29"/>
  <c r="I76" i="29"/>
  <c r="I70" i="29"/>
  <c r="I60" i="29"/>
  <c r="I54" i="29"/>
  <c r="I44" i="29"/>
  <c r="I38" i="29"/>
  <c r="I28" i="29"/>
  <c r="I22" i="29"/>
  <c r="I12" i="29"/>
  <c r="I256" i="29"/>
  <c r="I248" i="29"/>
  <c r="I240" i="29"/>
  <c r="I232" i="29"/>
  <c r="I224" i="29"/>
  <c r="I216" i="29"/>
  <c r="I208" i="29"/>
  <c r="I200" i="29"/>
  <c r="I192" i="29"/>
  <c r="I184" i="29"/>
  <c r="I176" i="29"/>
  <c r="I168" i="29"/>
  <c r="I160" i="29"/>
  <c r="I152" i="29"/>
  <c r="I144" i="29"/>
  <c r="I136" i="29"/>
  <c r="I128" i="29"/>
  <c r="I120" i="29"/>
  <c r="I112" i="29"/>
  <c r="I104" i="29"/>
  <c r="I96" i="29"/>
  <c r="I88" i="29"/>
  <c r="I235" i="29"/>
  <c r="I223" i="29"/>
  <c r="I207" i="29"/>
  <c r="I179" i="29"/>
  <c r="I163" i="29"/>
  <c r="I151" i="29"/>
  <c r="I115" i="29"/>
  <c r="I80" i="29"/>
  <c r="I74" i="29"/>
  <c r="I64" i="29"/>
  <c r="I58" i="29"/>
  <c r="I48" i="29"/>
  <c r="I42" i="29"/>
  <c r="I32" i="29"/>
  <c r="I26" i="29"/>
  <c r="I16" i="29"/>
  <c r="I10" i="29"/>
  <c r="I254" i="29"/>
  <c r="I246" i="29"/>
  <c r="I238" i="29"/>
  <c r="I230" i="29"/>
  <c r="I222" i="29"/>
  <c r="I214" i="29"/>
  <c r="I206" i="29"/>
  <c r="I198" i="29"/>
  <c r="I190" i="29"/>
  <c r="I182" i="29"/>
  <c r="I174" i="29"/>
  <c r="I166" i="29"/>
  <c r="I158" i="29"/>
  <c r="I150" i="29"/>
  <c r="I142" i="29"/>
  <c r="I134" i="29"/>
  <c r="I126" i="29"/>
  <c r="I118" i="29"/>
  <c r="I110" i="29"/>
  <c r="I102" i="29"/>
  <c r="I94" i="29"/>
  <c r="I255" i="29"/>
  <c r="I251" i="29"/>
  <c r="I247" i="29"/>
  <c r="I203" i="29"/>
  <c r="I191" i="29"/>
  <c r="I175" i="29"/>
  <c r="I147" i="29"/>
  <c r="I123" i="29"/>
  <c r="I91" i="29"/>
  <c r="I84" i="29"/>
  <c r="I78" i="29"/>
  <c r="I68" i="29"/>
  <c r="I62" i="29"/>
  <c r="I52" i="29"/>
  <c r="I46" i="29"/>
  <c r="I36" i="29"/>
  <c r="I30" i="29"/>
  <c r="I20" i="29"/>
  <c r="I14" i="29"/>
  <c r="I252" i="29"/>
  <c r="I244" i="29"/>
  <c r="I236" i="29"/>
  <c r="I228" i="29"/>
  <c r="I220" i="29"/>
  <c r="I212" i="29"/>
  <c r="I204" i="29"/>
  <c r="I196" i="29"/>
  <c r="I188" i="29"/>
  <c r="I180" i="29"/>
  <c r="I172" i="29"/>
  <c r="I164" i="29"/>
  <c r="I156" i="29"/>
  <c r="I148" i="29"/>
  <c r="I140" i="29"/>
  <c r="I132" i="29"/>
  <c r="I124" i="29"/>
  <c r="I116" i="29"/>
  <c r="I108" i="29"/>
  <c r="I100" i="29"/>
  <c r="I92" i="29"/>
  <c r="I143" i="29"/>
  <c r="I99" i="29"/>
  <c r="I72" i="29"/>
  <c r="I50" i="29"/>
  <c r="I250" i="29"/>
  <c r="I218" i="29"/>
  <c r="I186" i="29"/>
  <c r="I154" i="29"/>
  <c r="I122" i="29"/>
  <c r="I90" i="29"/>
  <c r="I243" i="29"/>
  <c r="I131" i="29"/>
  <c r="I66" i="29"/>
  <c r="I24" i="29"/>
  <c r="I242" i="29"/>
  <c r="I210" i="29"/>
  <c r="I178" i="29"/>
  <c r="I146" i="29"/>
  <c r="I114" i="29"/>
  <c r="I227" i="29"/>
  <c r="I171" i="29"/>
  <c r="I82" i="29"/>
  <c r="I40" i="29"/>
  <c r="I18" i="29"/>
  <c r="I234" i="29"/>
  <c r="I202" i="29"/>
  <c r="I170" i="29"/>
  <c r="I138" i="29"/>
  <c r="I106" i="29"/>
  <c r="B139" i="22"/>
  <c r="AG139" i="36"/>
  <c r="O139" i="9"/>
  <c r="Q139" i="9"/>
  <c r="B127" i="22"/>
  <c r="AG127" i="36"/>
  <c r="O127" i="9"/>
  <c r="Q127" i="9"/>
  <c r="B123" i="22"/>
  <c r="AG123" i="36"/>
  <c r="O123" i="9"/>
  <c r="Q123" i="9"/>
  <c r="B119" i="22"/>
  <c r="AG119" i="36"/>
  <c r="O119" i="9"/>
  <c r="Q119" i="9"/>
  <c r="B111" i="22"/>
  <c r="AG111" i="36"/>
  <c r="O111" i="9"/>
  <c r="Q111" i="9"/>
  <c r="B107" i="22"/>
  <c r="AG107" i="36"/>
  <c r="O107" i="9"/>
  <c r="Q107" i="9"/>
  <c r="B99" i="22"/>
  <c r="AG99" i="36"/>
  <c r="O99" i="9"/>
  <c r="Q99" i="9"/>
  <c r="B87" i="22"/>
  <c r="AG87" i="36"/>
  <c r="O87" i="9"/>
  <c r="Q87" i="9"/>
  <c r="B83" i="22"/>
  <c r="AG83" i="36"/>
  <c r="O83" i="9"/>
  <c r="Q83" i="9"/>
  <c r="B79" i="22"/>
  <c r="AG79" i="36"/>
  <c r="O79" i="9"/>
  <c r="Q79" i="9"/>
  <c r="B75" i="22"/>
  <c r="AG75" i="36"/>
  <c r="O75" i="9"/>
  <c r="Q75" i="9"/>
  <c r="B71" i="22"/>
  <c r="AG71" i="36"/>
  <c r="O71" i="9"/>
  <c r="Q71" i="9"/>
  <c r="B67" i="22"/>
  <c r="AG67" i="36"/>
  <c r="O67" i="9"/>
  <c r="Q67" i="9"/>
  <c r="B63" i="22"/>
  <c r="AG63" i="36"/>
  <c r="O63" i="9"/>
  <c r="Q63" i="9"/>
  <c r="K52" i="22"/>
  <c r="AG52" i="36"/>
  <c r="E41" i="36"/>
  <c r="H41" i="36"/>
  <c r="AF41" i="36"/>
  <c r="E33" i="36"/>
  <c r="H33" i="36"/>
  <c r="AF33" i="36"/>
  <c r="B16" i="22"/>
  <c r="O16" i="9"/>
  <c r="Q16" i="9"/>
  <c r="AE38" i="15"/>
  <c r="AD38" i="16"/>
  <c r="AD38" i="15"/>
  <c r="B26" i="23"/>
  <c r="B226" i="9"/>
  <c r="R27" i="23"/>
  <c r="T32" i="2"/>
  <c r="O236" i="21"/>
  <c r="AD236" i="21"/>
  <c r="Q236" i="9"/>
  <c r="R236" i="9"/>
  <c r="B236" i="22"/>
  <c r="AG236" i="36"/>
  <c r="AF236" i="36"/>
  <c r="O238" i="21"/>
  <c r="AD238" i="21"/>
  <c r="Q238" i="9"/>
  <c r="R238" i="9"/>
  <c r="B238" i="22"/>
  <c r="AG238" i="36"/>
  <c r="O252" i="21"/>
  <c r="AD252" i="21"/>
  <c r="BC255" i="21"/>
  <c r="E264" i="9"/>
  <c r="E21" i="2"/>
  <c r="L71" i="2"/>
  <c r="L266" i="9"/>
  <c r="AR266" i="21"/>
  <c r="BC266" i="21"/>
  <c r="K79" i="2"/>
  <c r="K274" i="9"/>
  <c r="B274" i="21"/>
  <c r="BC274" i="21"/>
  <c r="AE34" i="15"/>
  <c r="AD34" i="16"/>
  <c r="AD34" i="15"/>
  <c r="B24" i="23"/>
  <c r="B224" i="9"/>
  <c r="S226" i="9"/>
  <c r="T31" i="2"/>
  <c r="S26" i="23"/>
  <c r="B34" i="23"/>
  <c r="B234" i="9"/>
  <c r="B35" i="23"/>
  <c r="B235" i="9"/>
  <c r="B37" i="23"/>
  <c r="B237" i="9"/>
  <c r="B39" i="23"/>
  <c r="B239" i="9"/>
  <c r="B41" i="23"/>
  <c r="B241" i="9"/>
  <c r="B47" i="23"/>
  <c r="B247" i="9"/>
  <c r="BC267" i="21"/>
  <c r="Q268" i="9"/>
  <c r="R268" i="9"/>
  <c r="B268" i="22"/>
  <c r="AG268" i="36"/>
  <c r="AF268" i="36"/>
  <c r="T232" i="9"/>
  <c r="T229" i="9"/>
  <c r="L26" i="2"/>
  <c r="T30" i="2"/>
  <c r="L24" i="2"/>
  <c r="K20" i="2"/>
  <c r="T308" i="9"/>
  <c r="T28" i="2"/>
  <c r="O226" i="21"/>
  <c r="AD226" i="21"/>
  <c r="Q226" i="9"/>
  <c r="R226" i="9"/>
  <c r="B226" i="22"/>
  <c r="T29" i="2"/>
  <c r="S30" i="23"/>
  <c r="S230" i="9"/>
  <c r="S31" i="23"/>
  <c r="T36" i="2"/>
  <c r="B33" i="23"/>
  <c r="B233" i="9"/>
  <c r="R37" i="23"/>
  <c r="T42" i="2"/>
  <c r="R39" i="23"/>
  <c r="T44" i="2"/>
  <c r="R41" i="23"/>
  <c r="T46" i="2"/>
  <c r="R43" i="23"/>
  <c r="T48" i="2"/>
  <c r="R45" i="23"/>
  <c r="T50" i="2"/>
  <c r="R47" i="23"/>
  <c r="T52" i="2"/>
  <c r="T54" i="2"/>
  <c r="T249" i="9"/>
  <c r="T56" i="2"/>
  <c r="T251" i="9"/>
  <c r="O254" i="21"/>
  <c r="AD254" i="21"/>
  <c r="Q254" i="9"/>
  <c r="R254" i="9"/>
  <c r="B254" i="22"/>
  <c r="AG254" i="36"/>
  <c r="BC254" i="21"/>
  <c r="L62" i="2"/>
  <c r="L257" i="9"/>
  <c r="AR257" i="21"/>
  <c r="BC257" i="21"/>
  <c r="L63" i="2"/>
  <c r="L258" i="9"/>
  <c r="AR258" i="21"/>
  <c r="L66" i="2"/>
  <c r="L261" i="9"/>
  <c r="AR261" i="21"/>
  <c r="BC261" i="21"/>
  <c r="F21" i="2"/>
  <c r="H21" i="2"/>
  <c r="J21" i="2"/>
  <c r="D264" i="9"/>
  <c r="D21" i="2"/>
  <c r="BC265" i="21"/>
  <c r="L76" i="2"/>
  <c r="L271" i="9"/>
  <c r="Q271" i="9"/>
  <c r="R271" i="9"/>
  <c r="B271" i="22"/>
  <c r="AG271" i="36"/>
  <c r="C22" i="2"/>
  <c r="T24" i="2"/>
  <c r="Q79" i="12"/>
  <c r="AW57" i="4"/>
  <c r="AN56" i="4"/>
  <c r="AN58" i="4"/>
  <c r="O118" i="12"/>
  <c r="BG238" i="21"/>
  <c r="AB30" i="4"/>
  <c r="AI90" i="12"/>
  <c r="O130" i="12"/>
  <c r="BG250" i="21"/>
  <c r="X51" i="4"/>
  <c r="Z51" i="4"/>
  <c r="X53" i="4"/>
  <c r="Z53" i="4"/>
  <c r="X52" i="4"/>
  <c r="Z52" i="4"/>
  <c r="X66" i="4"/>
  <c r="Z66" i="4"/>
  <c r="X61" i="4"/>
  <c r="Z61" i="4"/>
  <c r="X50" i="4"/>
  <c r="X54" i="4"/>
  <c r="X55" i="4"/>
  <c r="X57" i="4"/>
  <c r="BE55" i="4"/>
  <c r="BG55" i="4"/>
  <c r="X70" i="4"/>
  <c r="Z54" i="4"/>
  <c r="X69" i="4"/>
  <c r="Z69" i="4"/>
  <c r="X63" i="4"/>
  <c r="Z63" i="4"/>
  <c r="AT258" i="21"/>
  <c r="M262" i="21"/>
  <c r="L150" i="12"/>
  <c r="AU59" i="4"/>
  <c r="C161" i="12"/>
  <c r="AT281" i="21"/>
  <c r="AN60" i="4"/>
  <c r="B31" i="5"/>
  <c r="B37" i="5"/>
  <c r="B40" i="5"/>
  <c r="O184" i="21"/>
  <c r="AD184" i="21"/>
  <c r="Q184" i="9"/>
  <c r="O175" i="21"/>
  <c r="AD175" i="21"/>
  <c r="Q175" i="9"/>
  <c r="O142" i="21"/>
  <c r="AD142" i="21"/>
  <c r="Q142" i="9"/>
  <c r="O189" i="21"/>
  <c r="AD189" i="21"/>
  <c r="Q189" i="9"/>
  <c r="AG182" i="21"/>
  <c r="AO182" i="21"/>
  <c r="Q182" i="9"/>
  <c r="O180" i="21"/>
  <c r="AD180" i="21"/>
  <c r="Q180" i="9"/>
  <c r="O171" i="21"/>
  <c r="AD171" i="21"/>
  <c r="Q171" i="9"/>
  <c r="AG159" i="21"/>
  <c r="AO159" i="21"/>
  <c r="Q159" i="9"/>
  <c r="O157" i="21"/>
  <c r="AD157" i="21"/>
  <c r="Q157" i="9"/>
  <c r="Q30" i="12"/>
  <c r="O30" i="12"/>
  <c r="BG150" i="21"/>
  <c r="K231" i="22"/>
  <c r="J12" i="18"/>
  <c r="F232" i="22"/>
  <c r="K232" i="22"/>
  <c r="AD42" i="15"/>
  <c r="K248" i="22"/>
  <c r="BM251" i="21"/>
  <c r="AD61" i="15"/>
  <c r="J45" i="18"/>
  <c r="F265" i="22"/>
  <c r="AD75" i="15"/>
  <c r="BM266" i="21"/>
  <c r="AD76" i="15"/>
  <c r="J50" i="18"/>
  <c r="F270" i="22"/>
  <c r="AD80" i="15"/>
  <c r="E271" i="22"/>
  <c r="AD81" i="15"/>
  <c r="E274" i="22"/>
  <c r="AD84" i="15"/>
  <c r="BC215" i="8"/>
  <c r="S41" i="23"/>
  <c r="I34" i="29"/>
  <c r="I159" i="29"/>
  <c r="O251" i="21"/>
  <c r="AD251" i="21"/>
  <c r="O243" i="21"/>
  <c r="AD243" i="21"/>
  <c r="Q243" i="9"/>
  <c r="R243" i="9"/>
  <c r="B243" i="22"/>
  <c r="AG243" i="36"/>
  <c r="O235" i="21"/>
  <c r="AD235" i="21"/>
  <c r="Q235" i="9"/>
  <c r="R235" i="9"/>
  <c r="B235" i="22"/>
  <c r="AG235" i="36"/>
  <c r="O228" i="21"/>
  <c r="AD228" i="21"/>
  <c r="Q228" i="9"/>
  <c r="R228" i="9"/>
  <c r="B228" i="22"/>
  <c r="O247" i="21"/>
  <c r="AD247" i="21"/>
  <c r="Q247" i="9"/>
  <c r="R247" i="9"/>
  <c r="B247" i="22"/>
  <c r="AG247" i="36"/>
  <c r="O239" i="21"/>
  <c r="AD239" i="21"/>
  <c r="Q239" i="9"/>
  <c r="R239" i="9"/>
  <c r="B239" i="22"/>
  <c r="AG239" i="36"/>
  <c r="O224" i="21"/>
  <c r="AD224" i="21"/>
  <c r="Q224" i="9"/>
  <c r="R224" i="9"/>
  <c r="B224" i="22"/>
  <c r="Q86" i="12"/>
  <c r="N73" i="4"/>
  <c r="E66" i="4"/>
  <c r="E57" i="4"/>
  <c r="Z50" i="4"/>
  <c r="AN59" i="4"/>
  <c r="AB32" i="4"/>
  <c r="M260" i="21"/>
  <c r="E64" i="4"/>
  <c r="Q42" i="4"/>
  <c r="O112" i="12"/>
  <c r="BG232" i="21"/>
  <c r="C130" i="12"/>
  <c r="AH102" i="12"/>
  <c r="Q151" i="9"/>
  <c r="Q153" i="9"/>
  <c r="Q176" i="9"/>
  <c r="O136" i="9"/>
  <c r="Q136" i="9"/>
  <c r="BC202" i="21"/>
  <c r="BC198" i="21"/>
  <c r="BC194" i="21"/>
  <c r="BC190" i="21"/>
  <c r="BC186" i="21"/>
  <c r="BC178" i="21"/>
  <c r="BC170" i="21"/>
  <c r="BC166" i="21"/>
  <c r="BC162" i="21"/>
  <c r="BC158" i="21"/>
  <c r="BC154" i="21"/>
  <c r="BC150" i="21"/>
  <c r="BC146" i="21"/>
  <c r="BC142" i="21"/>
  <c r="B46" i="15"/>
  <c r="AD74" i="15"/>
  <c r="AD78" i="15"/>
  <c r="B82" i="15"/>
  <c r="R24" i="23"/>
  <c r="S34" i="23"/>
  <c r="S38" i="23"/>
  <c r="S42" i="23"/>
  <c r="S46" i="23"/>
  <c r="AD264" i="21"/>
  <c r="C270" i="21"/>
  <c r="BD270" i="21"/>
  <c r="B170" i="25"/>
  <c r="BD275" i="21"/>
  <c r="C49" i="24"/>
  <c r="D50" i="24"/>
  <c r="S149" i="25"/>
  <c r="S160" i="25"/>
  <c r="R160" i="25"/>
  <c r="C60" i="24"/>
  <c r="T149" i="25"/>
  <c r="B149" i="25"/>
  <c r="C249" i="21"/>
  <c r="E50" i="24"/>
  <c r="T150" i="25"/>
  <c r="B122" i="25"/>
  <c r="C222" i="21"/>
  <c r="AZ222" i="8"/>
  <c r="BC222" i="8"/>
  <c r="R122" i="25"/>
  <c r="F680" i="27"/>
  <c r="F712" i="27"/>
  <c r="F744" i="27"/>
  <c r="F776" i="27"/>
  <c r="F808" i="27"/>
  <c r="F840" i="27"/>
  <c r="AF107" i="36"/>
  <c r="AF312" i="36"/>
  <c r="AF280" i="36"/>
  <c r="AQ12" i="39"/>
  <c r="V12" i="39"/>
  <c r="AT274" i="21"/>
  <c r="AI255" i="21"/>
  <c r="M256" i="21"/>
  <c r="AI257" i="21"/>
  <c r="AT259" i="21"/>
  <c r="AT264" i="21"/>
  <c r="M265" i="21"/>
  <c r="O116" i="9"/>
  <c r="Q116" i="9"/>
  <c r="BC209" i="21"/>
  <c r="BC205" i="21"/>
  <c r="BC201" i="21"/>
  <c r="BC193" i="21"/>
  <c r="BC189" i="21"/>
  <c r="BC185" i="21"/>
  <c r="BC181" i="21"/>
  <c r="BC177" i="21"/>
  <c r="BC173" i="21"/>
  <c r="BC169" i="21"/>
  <c r="BC165" i="21"/>
  <c r="BC161" i="21"/>
  <c r="BC157" i="21"/>
  <c r="BC153" i="21"/>
  <c r="BC145" i="21"/>
  <c r="BC141" i="21"/>
  <c r="AT298" i="21"/>
  <c r="AT294" i="21"/>
  <c r="AT290" i="21"/>
  <c r="AT286" i="21"/>
  <c r="AT282" i="21"/>
  <c r="AD41" i="15"/>
  <c r="K236" i="22"/>
  <c r="Q237" i="9"/>
  <c r="R237" i="9"/>
  <c r="B237" i="22"/>
  <c r="K237" i="22"/>
  <c r="K238" i="22"/>
  <c r="K239" i="22"/>
  <c r="BM242" i="21"/>
  <c r="AD52" i="15"/>
  <c r="AD58" i="15"/>
  <c r="J35" i="18"/>
  <c r="F255" i="22"/>
  <c r="K255" i="22"/>
  <c r="AD65" i="15"/>
  <c r="BM256" i="21"/>
  <c r="AD66" i="15"/>
  <c r="BM257" i="21"/>
  <c r="AD67" i="15"/>
  <c r="B70" i="15"/>
  <c r="K263" i="22"/>
  <c r="B74" i="15"/>
  <c r="R129" i="25"/>
  <c r="AY218" i="8"/>
  <c r="BC218" i="8"/>
  <c r="R118" i="25"/>
  <c r="R111" i="25"/>
  <c r="AY211" i="8"/>
  <c r="BC211" i="8"/>
  <c r="AD267" i="21"/>
  <c r="R152" i="25"/>
  <c r="B131" i="25"/>
  <c r="C231" i="21"/>
  <c r="M231" i="21"/>
  <c r="R131" i="25"/>
  <c r="F720" i="27"/>
  <c r="F752" i="27"/>
  <c r="F784" i="27"/>
  <c r="F816" i="27"/>
  <c r="F848" i="27"/>
  <c r="AF27" i="36"/>
  <c r="AF91" i="36"/>
  <c r="Q301" i="36"/>
  <c r="AD301" i="36"/>
  <c r="Q303" i="36"/>
  <c r="AD303" i="36"/>
  <c r="Q305" i="36"/>
  <c r="AD305" i="36"/>
  <c r="Q307" i="36"/>
  <c r="AD307" i="36"/>
  <c r="Q309" i="36"/>
  <c r="AD309" i="36"/>
  <c r="Q311" i="36"/>
  <c r="AD311" i="36"/>
  <c r="Q313" i="36"/>
  <c r="AD313" i="36"/>
  <c r="Q315" i="36"/>
  <c r="AD315" i="36"/>
  <c r="Q317" i="36"/>
  <c r="AD317" i="36"/>
  <c r="Q319" i="36"/>
  <c r="AD319" i="36"/>
  <c r="Q321" i="36"/>
  <c r="AD321" i="36"/>
  <c r="Q323" i="36"/>
  <c r="AD323" i="36"/>
  <c r="Q325" i="36"/>
  <c r="AD325" i="36"/>
  <c r="Q327" i="36"/>
  <c r="AD327" i="36"/>
  <c r="Q300" i="36"/>
  <c r="AD300" i="36"/>
  <c r="Q302" i="36"/>
  <c r="AD302" i="36"/>
  <c r="Q304" i="36"/>
  <c r="AD304" i="36"/>
  <c r="Q306" i="36"/>
  <c r="AD306" i="36"/>
  <c r="Q308" i="36"/>
  <c r="AD308" i="36"/>
  <c r="Q310" i="36"/>
  <c r="AD310" i="36"/>
  <c r="Q312" i="36"/>
  <c r="AD312" i="36"/>
  <c r="Q314" i="36"/>
  <c r="AD314" i="36"/>
  <c r="Q316" i="36"/>
  <c r="AD316" i="36"/>
  <c r="Q318" i="36"/>
  <c r="AD318" i="36"/>
  <c r="Q320" i="36"/>
  <c r="AD320" i="36"/>
  <c r="Q322" i="36"/>
  <c r="AD322" i="36"/>
  <c r="Q324" i="36"/>
  <c r="AD324" i="36"/>
  <c r="Q326" i="36"/>
  <c r="AD326" i="36"/>
  <c r="G327" i="36"/>
  <c r="G328" i="36"/>
  <c r="D301" i="36"/>
  <c r="D302" i="36"/>
  <c r="D303" i="36"/>
  <c r="D304" i="36"/>
  <c r="D305" i="36"/>
  <c r="D306" i="36"/>
  <c r="E306" i="36"/>
  <c r="F306" i="36"/>
  <c r="H306" i="36"/>
  <c r="D307" i="36"/>
  <c r="D308" i="36"/>
  <c r="D309" i="36"/>
  <c r="D310" i="36"/>
  <c r="D311" i="36"/>
  <c r="D312" i="36"/>
  <c r="D313" i="36"/>
  <c r="D314" i="36"/>
  <c r="D315" i="36"/>
  <c r="D316" i="36"/>
  <c r="D317" i="36"/>
  <c r="D318" i="36"/>
  <c r="D319" i="36"/>
  <c r="D320" i="36"/>
  <c r="D321" i="36"/>
  <c r="D322" i="36"/>
  <c r="D323" i="36"/>
  <c r="D324" i="36"/>
  <c r="D325" i="36"/>
  <c r="D326" i="36"/>
  <c r="D327" i="36"/>
  <c r="D328" i="36"/>
  <c r="D300" i="36"/>
  <c r="E300" i="36"/>
  <c r="G301" i="36"/>
  <c r="G303" i="36"/>
  <c r="G305" i="36"/>
  <c r="G307" i="36"/>
  <c r="G309" i="36"/>
  <c r="G311" i="36"/>
  <c r="G313" i="36"/>
  <c r="G315" i="36"/>
  <c r="G317" i="36"/>
  <c r="G319" i="36"/>
  <c r="G321" i="36"/>
  <c r="G323" i="36"/>
  <c r="G325" i="36"/>
  <c r="E301" i="36"/>
  <c r="E302" i="36"/>
  <c r="F302" i="36"/>
  <c r="G302" i="36"/>
  <c r="H302" i="36"/>
  <c r="E303" i="36"/>
  <c r="E304" i="36"/>
  <c r="E305" i="36"/>
  <c r="E307" i="36"/>
  <c r="E308" i="36"/>
  <c r="E309" i="36"/>
  <c r="E310" i="36"/>
  <c r="E311" i="36"/>
  <c r="E312" i="36"/>
  <c r="F300" i="36"/>
  <c r="F301" i="36"/>
  <c r="F303" i="36"/>
  <c r="F304" i="36"/>
  <c r="F305" i="36"/>
  <c r="F307" i="36"/>
  <c r="F308" i="36"/>
  <c r="F309" i="36"/>
  <c r="F310" i="36"/>
  <c r="F311" i="36"/>
  <c r="F312" i="36"/>
  <c r="F313" i="36"/>
  <c r="F314" i="36"/>
  <c r="F315" i="36"/>
  <c r="F316" i="36"/>
  <c r="F317" i="36"/>
  <c r="F318" i="36"/>
  <c r="F319" i="36"/>
  <c r="F320" i="36"/>
  <c r="F321" i="36"/>
  <c r="F322" i="36"/>
  <c r="F323" i="36"/>
  <c r="F324" i="36"/>
  <c r="F325" i="36"/>
  <c r="F326" i="36"/>
  <c r="F327" i="36"/>
  <c r="F328" i="36"/>
  <c r="G300" i="36"/>
  <c r="G308" i="36"/>
  <c r="G316" i="36"/>
  <c r="G324" i="36"/>
  <c r="C303" i="36"/>
  <c r="H303" i="36"/>
  <c r="C307" i="36"/>
  <c r="C311" i="36"/>
  <c r="H311" i="36"/>
  <c r="C314" i="36"/>
  <c r="C316" i="36"/>
  <c r="E316" i="36"/>
  <c r="H316" i="36"/>
  <c r="C318" i="36"/>
  <c r="C320" i="36"/>
  <c r="C322" i="36"/>
  <c r="C324" i="36"/>
  <c r="E324" i="36"/>
  <c r="H324" i="36"/>
  <c r="C326" i="36"/>
  <c r="C328" i="36"/>
  <c r="E328" i="36"/>
  <c r="H328" i="36"/>
  <c r="G310" i="36"/>
  <c r="G318" i="36"/>
  <c r="G326" i="36"/>
  <c r="C304" i="36"/>
  <c r="C308" i="36"/>
  <c r="H308" i="36"/>
  <c r="C312" i="36"/>
  <c r="E314" i="36"/>
  <c r="E318" i="36"/>
  <c r="E320" i="36"/>
  <c r="E322" i="36"/>
  <c r="E326" i="36"/>
  <c r="G304" i="36"/>
  <c r="G312" i="36"/>
  <c r="G320" i="36"/>
  <c r="C301" i="36"/>
  <c r="C305" i="36"/>
  <c r="H305" i="36"/>
  <c r="C309" i="36"/>
  <c r="C313" i="36"/>
  <c r="C315" i="36"/>
  <c r="C317" i="36"/>
  <c r="H317" i="36"/>
  <c r="C319" i="36"/>
  <c r="C321" i="36"/>
  <c r="E321" i="36"/>
  <c r="H321" i="36"/>
  <c r="C323" i="36"/>
  <c r="C325" i="36"/>
  <c r="H325" i="36"/>
  <c r="C327" i="36"/>
  <c r="C300" i="36"/>
  <c r="H300" i="36"/>
  <c r="E313" i="36"/>
  <c r="G322" i="36"/>
  <c r="BC240" i="21"/>
  <c r="AA40" i="39"/>
  <c r="AK40" i="39"/>
  <c r="F40" i="39"/>
  <c r="P40" i="39"/>
  <c r="F40" i="38"/>
  <c r="AT273" i="21"/>
  <c r="AT279" i="21"/>
  <c r="M253" i="21"/>
  <c r="AT256" i="21"/>
  <c r="AI261" i="21"/>
  <c r="AI262" i="21"/>
  <c r="M264" i="21"/>
  <c r="AT265" i="21"/>
  <c r="T45" i="2"/>
  <c r="B242" i="9"/>
  <c r="O245" i="21"/>
  <c r="AD245" i="21"/>
  <c r="Q245" i="9"/>
  <c r="R245" i="9"/>
  <c r="B245" i="22"/>
  <c r="AG245" i="36"/>
  <c r="O237" i="21"/>
  <c r="AD237" i="21"/>
  <c r="AG237" i="36"/>
  <c r="O241" i="21"/>
  <c r="AD241" i="21"/>
  <c r="Q241" i="9"/>
  <c r="R241" i="9"/>
  <c r="B241" i="22"/>
  <c r="AG241" i="36"/>
  <c r="B238" i="9"/>
  <c r="O249" i="21"/>
  <c r="AD249" i="21"/>
  <c r="Q195" i="9"/>
  <c r="X64" i="4"/>
  <c r="Z64" i="4"/>
  <c r="E62" i="4"/>
  <c r="E122" i="12"/>
  <c r="AI242" i="21"/>
  <c r="E52" i="4"/>
  <c r="E112" i="12"/>
  <c r="AI232" i="21"/>
  <c r="E51" i="4"/>
  <c r="E65" i="4"/>
  <c r="E125" i="12"/>
  <c r="AI245" i="21"/>
  <c r="Z55" i="4"/>
  <c r="Z57" i="4"/>
  <c r="Q204" i="9"/>
  <c r="Q205" i="9"/>
  <c r="Q145" i="9"/>
  <c r="Q185" i="9"/>
  <c r="Q155" i="9"/>
  <c r="Q203" i="9"/>
  <c r="Q177" i="9"/>
  <c r="Q188" i="9"/>
  <c r="Q191" i="9"/>
  <c r="BE51" i="6"/>
  <c r="Q199" i="9"/>
  <c r="Q146" i="9"/>
  <c r="Q206" i="9"/>
  <c r="Q190" i="9"/>
  <c r="Q172" i="9"/>
  <c r="Q158" i="9"/>
  <c r="BE47" i="6"/>
  <c r="BE52" i="6"/>
  <c r="BE56" i="6"/>
  <c r="BE60" i="6"/>
  <c r="BC208" i="21"/>
  <c r="BC204" i="21"/>
  <c r="BC200" i="21"/>
  <c r="BC196" i="21"/>
  <c r="BC192" i="21"/>
  <c r="BC188" i="21"/>
  <c r="BC184" i="21"/>
  <c r="BC180" i="21"/>
  <c r="BC176" i="21"/>
  <c r="BC172" i="21"/>
  <c r="BC168" i="21"/>
  <c r="BC164" i="21"/>
  <c r="BC160" i="21"/>
  <c r="BC156" i="21"/>
  <c r="BC152" i="21"/>
  <c r="BC148" i="21"/>
  <c r="BC144" i="21"/>
  <c r="Q46" i="12"/>
  <c r="AI297" i="21"/>
  <c r="AI293" i="21"/>
  <c r="AI289" i="21"/>
  <c r="AI285" i="21"/>
  <c r="AI281" i="21"/>
  <c r="AI278" i="21"/>
  <c r="AI274" i="21"/>
  <c r="AI270" i="21"/>
  <c r="AD73" i="15"/>
  <c r="BM244" i="21"/>
  <c r="B41" i="15"/>
  <c r="K240" i="22"/>
  <c r="K241" i="22"/>
  <c r="K242" i="22"/>
  <c r="K243" i="22"/>
  <c r="K244" i="22"/>
  <c r="K245" i="22"/>
  <c r="K246" i="22"/>
  <c r="AD62" i="15"/>
  <c r="AD63" i="15"/>
  <c r="K256" i="22"/>
  <c r="BM261" i="21"/>
  <c r="AD71" i="15"/>
  <c r="BC216" i="8"/>
  <c r="R148" i="25"/>
  <c r="C276" i="21"/>
  <c r="BD276" i="21"/>
  <c r="R158" i="25"/>
  <c r="AO223" i="8"/>
  <c r="AZ217" i="8"/>
  <c r="B117" i="25"/>
  <c r="C217" i="21"/>
  <c r="M217" i="21"/>
  <c r="B115" i="25"/>
  <c r="C215" i="21"/>
  <c r="M215" i="21"/>
  <c r="R115" i="25"/>
  <c r="F650" i="27"/>
  <c r="F728" i="27"/>
  <c r="F760" i="27"/>
  <c r="AF71" i="36"/>
  <c r="AF123" i="36"/>
  <c r="AF241" i="36"/>
  <c r="AF243" i="36"/>
  <c r="E327" i="36"/>
  <c r="E319" i="36"/>
  <c r="C310" i="36"/>
  <c r="G314" i="36"/>
  <c r="E13" i="36"/>
  <c r="H13" i="36"/>
  <c r="AF13" i="36"/>
  <c r="M249" i="9"/>
  <c r="M250" i="9"/>
  <c r="M251" i="9"/>
  <c r="M252" i="9"/>
  <c r="BC224" i="21"/>
  <c r="K221" i="22"/>
  <c r="AG221" i="36"/>
  <c r="AG220" i="21"/>
  <c r="Q220" i="9"/>
  <c r="R220" i="9"/>
  <c r="B220" i="22"/>
  <c r="K217" i="22"/>
  <c r="AG217" i="36"/>
  <c r="AF217" i="36"/>
  <c r="AG216" i="21"/>
  <c r="Q216" i="9"/>
  <c r="R216" i="9"/>
  <c r="B216" i="22"/>
  <c r="K213" i="22"/>
  <c r="AG213" i="36"/>
  <c r="AG212" i="21"/>
  <c r="Q212" i="9"/>
  <c r="R212" i="9"/>
  <c r="B212" i="22"/>
  <c r="AA36" i="39"/>
  <c r="AK36" i="39"/>
  <c r="F36" i="39"/>
  <c r="P36" i="39"/>
  <c r="F36" i="38"/>
  <c r="F39" i="39"/>
  <c r="P39" i="39"/>
  <c r="F39" i="38"/>
  <c r="AA39" i="39"/>
  <c r="AK39" i="39"/>
  <c r="K230" i="22"/>
  <c r="B42" i="15"/>
  <c r="K234" i="22"/>
  <c r="K235" i="22"/>
  <c r="B47" i="15"/>
  <c r="AD47" i="15"/>
  <c r="K259" i="22"/>
  <c r="AY219" i="8"/>
  <c r="BC219" i="8"/>
  <c r="BC210" i="8"/>
  <c r="R147" i="25"/>
  <c r="R143" i="25"/>
  <c r="R135" i="25"/>
  <c r="R133" i="25"/>
  <c r="R127" i="25"/>
  <c r="R125" i="25"/>
  <c r="R123" i="25"/>
  <c r="R116" i="25"/>
  <c r="AD265" i="21"/>
  <c r="AD262" i="21"/>
  <c r="BD271" i="21"/>
  <c r="B175" i="25"/>
  <c r="B177" i="25"/>
  <c r="C279" i="21"/>
  <c r="BD279" i="21"/>
  <c r="S159" i="25"/>
  <c r="R159" i="25"/>
  <c r="AO222" i="8"/>
  <c r="B159" i="25"/>
  <c r="C259" i="21"/>
  <c r="M259" i="21"/>
  <c r="B152" i="25"/>
  <c r="C252" i="21"/>
  <c r="F50" i="24"/>
  <c r="U150" i="25"/>
  <c r="B148" i="25"/>
  <c r="C248" i="21"/>
  <c r="M248" i="21"/>
  <c r="B143" i="25"/>
  <c r="C243" i="21"/>
  <c r="M243" i="21"/>
  <c r="B134" i="25"/>
  <c r="C234" i="21"/>
  <c r="M234" i="21"/>
  <c r="B127" i="25"/>
  <c r="C227" i="21"/>
  <c r="M227" i="21"/>
  <c r="B118" i="25"/>
  <c r="C218" i="21"/>
  <c r="B112" i="25"/>
  <c r="C212" i="21"/>
  <c r="M212" i="21"/>
  <c r="F102" i="27"/>
  <c r="F107" i="27"/>
  <c r="F110" i="27"/>
  <c r="F115" i="27"/>
  <c r="F118" i="27"/>
  <c r="F123" i="27"/>
  <c r="F126" i="27"/>
  <c r="F131" i="27"/>
  <c r="F134" i="27"/>
  <c r="F139" i="27"/>
  <c r="F142" i="27"/>
  <c r="F147" i="27"/>
  <c r="F150" i="27"/>
  <c r="F155" i="27"/>
  <c r="F158" i="27"/>
  <c r="F163" i="27"/>
  <c r="F166" i="27"/>
  <c r="F171" i="27"/>
  <c r="F174" i="27"/>
  <c r="F179" i="27"/>
  <c r="F182" i="27"/>
  <c r="F187" i="27"/>
  <c r="F190" i="27"/>
  <c r="F195" i="27"/>
  <c r="F198" i="27"/>
  <c r="F203" i="27"/>
  <c r="F206" i="27"/>
  <c r="F211" i="27"/>
  <c r="F214" i="27"/>
  <c r="F219" i="27"/>
  <c r="F222" i="27"/>
  <c r="F227" i="27"/>
  <c r="F230" i="27"/>
  <c r="F235" i="27"/>
  <c r="F238" i="27"/>
  <c r="F243" i="27"/>
  <c r="F246" i="27"/>
  <c r="F251" i="27"/>
  <c r="F254" i="27"/>
  <c r="F259" i="27"/>
  <c r="F262" i="27"/>
  <c r="F267" i="27"/>
  <c r="F270" i="27"/>
  <c r="F275" i="27"/>
  <c r="F278" i="27"/>
  <c r="F283" i="27"/>
  <c r="F286" i="27"/>
  <c r="F291" i="27"/>
  <c r="F294" i="27"/>
  <c r="F299" i="27"/>
  <c r="F302" i="27"/>
  <c r="F307" i="27"/>
  <c r="F310" i="27"/>
  <c r="F315" i="27"/>
  <c r="F318" i="27"/>
  <c r="F323" i="27"/>
  <c r="F326" i="27"/>
  <c r="F334" i="27"/>
  <c r="F337" i="27"/>
  <c r="F340" i="27"/>
  <c r="F345" i="27"/>
  <c r="F348" i="27"/>
  <c r="F353" i="27"/>
  <c r="F356" i="27"/>
  <c r="F361" i="27"/>
  <c r="F364" i="27"/>
  <c r="F369" i="27"/>
  <c r="F372" i="27"/>
  <c r="F377" i="27"/>
  <c r="F380" i="27"/>
  <c r="F389" i="27"/>
  <c r="F391" i="27"/>
  <c r="F396" i="27"/>
  <c r="F405" i="27"/>
  <c r="F407" i="27"/>
  <c r="F412" i="27"/>
  <c r="F421" i="27"/>
  <c r="F423" i="27"/>
  <c r="F428" i="27"/>
  <c r="F437" i="27"/>
  <c r="F439" i="27"/>
  <c r="F444" i="27"/>
  <c r="F453" i="27"/>
  <c r="F455" i="27"/>
  <c r="F460" i="27"/>
  <c r="F469" i="27"/>
  <c r="F471" i="27"/>
  <c r="F476" i="27"/>
  <c r="F485" i="27"/>
  <c r="F487" i="27"/>
  <c r="F492" i="27"/>
  <c r="F501" i="27"/>
  <c r="F503" i="27"/>
  <c r="F508" i="27"/>
  <c r="F517" i="27"/>
  <c r="F519" i="27"/>
  <c r="F524" i="27"/>
  <c r="F533" i="27"/>
  <c r="F535" i="27"/>
  <c r="F540" i="27"/>
  <c r="F549" i="27"/>
  <c r="F551" i="27"/>
  <c r="F556" i="27"/>
  <c r="F565" i="27"/>
  <c r="F567" i="27"/>
  <c r="F572" i="27"/>
  <c r="F581" i="27"/>
  <c r="F583" i="27"/>
  <c r="F588" i="27"/>
  <c r="F597" i="27"/>
  <c r="F599" i="27"/>
  <c r="F604" i="27"/>
  <c r="F613" i="27"/>
  <c r="F620" i="27"/>
  <c r="F629" i="27"/>
  <c r="F631" i="27"/>
  <c r="F636" i="27"/>
  <c r="F645" i="27"/>
  <c r="F647" i="27"/>
  <c r="F652" i="27"/>
  <c r="F661" i="27"/>
  <c r="F663" i="27"/>
  <c r="F668" i="27"/>
  <c r="F677" i="27"/>
  <c r="F861" i="27"/>
  <c r="F863" i="27"/>
  <c r="F866" i="27"/>
  <c r="F893" i="27"/>
  <c r="F895" i="27"/>
  <c r="F898" i="27"/>
  <c r="F925" i="27"/>
  <c r="F927" i="27"/>
  <c r="F930" i="27"/>
  <c r="F956" i="27"/>
  <c r="F961" i="27"/>
  <c r="F963" i="27"/>
  <c r="F972" i="27"/>
  <c r="AF19" i="36"/>
  <c r="AF51" i="36"/>
  <c r="AF63" i="36"/>
  <c r="AF83" i="36"/>
  <c r="AF99" i="36"/>
  <c r="AF111" i="36"/>
  <c r="AF139" i="36"/>
  <c r="AF234" i="36"/>
  <c r="K196" i="22"/>
  <c r="AG196" i="36"/>
  <c r="AF196" i="36"/>
  <c r="AE194" i="8"/>
  <c r="AK194" i="8"/>
  <c r="AE195" i="8"/>
  <c r="AK195" i="8"/>
  <c r="H39" i="36"/>
  <c r="K36" i="22"/>
  <c r="AG36" i="36"/>
  <c r="E28" i="36"/>
  <c r="H28" i="36"/>
  <c r="AF28" i="36"/>
  <c r="H25" i="36"/>
  <c r="K22" i="22"/>
  <c r="AG22" i="36"/>
  <c r="E22" i="36"/>
  <c r="H22" i="36"/>
  <c r="BC236" i="21"/>
  <c r="AJ61" i="37"/>
  <c r="AJ60" i="37"/>
  <c r="AJ62" i="37"/>
  <c r="AA52" i="39"/>
  <c r="AK52" i="39"/>
  <c r="F52" i="39"/>
  <c r="P52" i="39"/>
  <c r="F52" i="38"/>
  <c r="F59" i="39"/>
  <c r="P59" i="39"/>
  <c r="F59" i="38"/>
  <c r="AA59" i="39"/>
  <c r="AK59" i="39"/>
  <c r="X63" i="39"/>
  <c r="AH63" i="39"/>
  <c r="C63" i="38"/>
  <c r="C63" i="39"/>
  <c r="M63" i="39"/>
  <c r="X42" i="39"/>
  <c r="AH42" i="39"/>
  <c r="C42" i="39"/>
  <c r="M42" i="39"/>
  <c r="B44" i="15"/>
  <c r="AD44" i="15"/>
  <c r="AD55" i="15"/>
  <c r="K247" i="22"/>
  <c r="K254" i="22"/>
  <c r="K260" i="22"/>
  <c r="K262" i="22"/>
  <c r="K267" i="22"/>
  <c r="BC210" i="21"/>
  <c r="R155" i="25"/>
  <c r="R157" i="25"/>
  <c r="R153" i="25"/>
  <c r="B158" i="25"/>
  <c r="C258" i="21"/>
  <c r="M258" i="21"/>
  <c r="B144" i="25"/>
  <c r="C244" i="21"/>
  <c r="B139" i="25"/>
  <c r="C239" i="21"/>
  <c r="M239" i="21"/>
  <c r="B130" i="25"/>
  <c r="C230" i="21"/>
  <c r="M230" i="21"/>
  <c r="B128" i="25"/>
  <c r="C228" i="21"/>
  <c r="M228" i="21"/>
  <c r="B123" i="25"/>
  <c r="C223" i="21"/>
  <c r="B114" i="25"/>
  <c r="C214" i="21"/>
  <c r="F395" i="27"/>
  <c r="F411" i="27"/>
  <c r="F427" i="27"/>
  <c r="F443" i="27"/>
  <c r="F459" i="27"/>
  <c r="F475" i="27"/>
  <c r="F491" i="27"/>
  <c r="F507" i="27"/>
  <c r="F523" i="27"/>
  <c r="F539" i="27"/>
  <c r="F555" i="27"/>
  <c r="F571" i="27"/>
  <c r="F587" i="27"/>
  <c r="F603" i="27"/>
  <c r="F617" i="27"/>
  <c r="F619" i="27"/>
  <c r="F635" i="27"/>
  <c r="F960" i="27"/>
  <c r="I11" i="29"/>
  <c r="I15" i="29"/>
  <c r="I19" i="29"/>
  <c r="I23" i="29"/>
  <c r="I27" i="29"/>
  <c r="I31" i="29"/>
  <c r="I35" i="29"/>
  <c r="I39" i="29"/>
  <c r="I43" i="29"/>
  <c r="I47" i="29"/>
  <c r="I51" i="29"/>
  <c r="I55" i="29"/>
  <c r="I59" i="29"/>
  <c r="I63" i="29"/>
  <c r="I67" i="29"/>
  <c r="I71" i="29"/>
  <c r="I75" i="29"/>
  <c r="I79" i="29"/>
  <c r="I83" i="29"/>
  <c r="I87" i="29"/>
  <c r="I95" i="29"/>
  <c r="I103" i="29"/>
  <c r="I111" i="29"/>
  <c r="I119" i="29"/>
  <c r="I127" i="29"/>
  <c r="I135" i="29"/>
  <c r="I155" i="29"/>
  <c r="I167" i="29"/>
  <c r="I187" i="29"/>
  <c r="I199" i="29"/>
  <c r="I219" i="29"/>
  <c r="I231" i="29"/>
  <c r="AF20" i="36"/>
  <c r="AG62" i="36"/>
  <c r="AF62" i="36"/>
  <c r="AF75" i="36"/>
  <c r="AF87" i="36"/>
  <c r="AF103" i="36"/>
  <c r="AF131" i="36"/>
  <c r="AF143" i="36"/>
  <c r="AF148" i="36"/>
  <c r="AF161" i="36"/>
  <c r="AF166" i="36"/>
  <c r="AF171" i="36"/>
  <c r="AF178" i="36"/>
  <c r="AF180" i="36"/>
  <c r="AF242" i="36"/>
  <c r="AF259" i="36"/>
  <c r="H283" i="36"/>
  <c r="H267" i="36"/>
  <c r="AF209" i="36"/>
  <c r="AF201" i="36"/>
  <c r="AF129" i="36"/>
  <c r="AF117" i="36"/>
  <c r="AF97" i="36"/>
  <c r="E12" i="36"/>
  <c r="H12" i="36"/>
  <c r="AF12" i="36"/>
  <c r="BC248" i="21"/>
  <c r="BC232" i="21"/>
  <c r="AG222" i="21"/>
  <c r="Q222" i="9"/>
  <c r="R222" i="9"/>
  <c r="B222" i="22"/>
  <c r="K219" i="22"/>
  <c r="AG219" i="36"/>
  <c r="AF219" i="36"/>
  <c r="AG218" i="21"/>
  <c r="Q218" i="9"/>
  <c r="R218" i="9"/>
  <c r="B218" i="22"/>
  <c r="K215" i="22"/>
  <c r="AG215" i="36"/>
  <c r="AG214" i="21"/>
  <c r="Q214" i="9"/>
  <c r="R214" i="9"/>
  <c r="B214" i="22"/>
  <c r="K211" i="22"/>
  <c r="AG211" i="36"/>
  <c r="AF211" i="36"/>
  <c r="AA38" i="39"/>
  <c r="AK38" i="39"/>
  <c r="F38" i="39"/>
  <c r="P38" i="39"/>
  <c r="F38" i="38"/>
  <c r="AA44" i="39"/>
  <c r="AK44" i="39"/>
  <c r="F44" i="39"/>
  <c r="P44" i="39"/>
  <c r="F44" i="38"/>
  <c r="AA46" i="39"/>
  <c r="AK46" i="39"/>
  <c r="F46" i="39"/>
  <c r="P46" i="39"/>
  <c r="F46" i="38"/>
  <c r="AA50" i="39"/>
  <c r="AK50" i="39"/>
  <c r="F50" i="39"/>
  <c r="P50" i="39"/>
  <c r="F50" i="38"/>
  <c r="F51" i="39"/>
  <c r="P51" i="39"/>
  <c r="F51" i="38"/>
  <c r="AA51" i="39"/>
  <c r="AK51" i="39"/>
  <c r="Y53" i="39"/>
  <c r="AI53" i="39"/>
  <c r="D53" i="38"/>
  <c r="D53" i="39"/>
  <c r="N53" i="39"/>
  <c r="AA54" i="39"/>
  <c r="AK54" i="39"/>
  <c r="F54" i="39"/>
  <c r="P54" i="39"/>
  <c r="AA62" i="39"/>
  <c r="AK62" i="39"/>
  <c r="K63" i="38"/>
  <c r="F62" i="39"/>
  <c r="P62" i="39"/>
  <c r="F62" i="38"/>
  <c r="E65" i="39"/>
  <c r="O65" i="39"/>
  <c r="Z65" i="39"/>
  <c r="AJ65" i="39"/>
  <c r="E66" i="39"/>
  <c r="O66" i="39"/>
  <c r="Z66" i="39"/>
  <c r="AJ66" i="39"/>
  <c r="E68" i="39"/>
  <c r="O68" i="39"/>
  <c r="Z68" i="39"/>
  <c r="AJ68" i="39"/>
  <c r="E69" i="39"/>
  <c r="O69" i="39"/>
  <c r="Z69" i="39"/>
  <c r="AJ69" i="39"/>
  <c r="E70" i="39"/>
  <c r="O70" i="39"/>
  <c r="Z70" i="39"/>
  <c r="AJ70" i="39"/>
  <c r="E72" i="39"/>
  <c r="O72" i="39"/>
  <c r="Z72" i="39"/>
  <c r="AJ72" i="39"/>
  <c r="E73" i="39"/>
  <c r="O73" i="39"/>
  <c r="Z73" i="39"/>
  <c r="AJ73" i="39"/>
  <c r="E74" i="39"/>
  <c r="O74" i="39"/>
  <c r="Z74" i="39"/>
  <c r="AJ74" i="39"/>
  <c r="E76" i="39"/>
  <c r="O76" i="39"/>
  <c r="Z76" i="39"/>
  <c r="AJ76" i="39"/>
  <c r="E77" i="39"/>
  <c r="O77" i="39"/>
  <c r="Z77" i="39"/>
  <c r="AJ77" i="39"/>
  <c r="E78" i="39"/>
  <c r="O78" i="39"/>
  <c r="Z78" i="39"/>
  <c r="AJ78" i="39"/>
  <c r="Z79" i="39"/>
  <c r="AJ79" i="39"/>
  <c r="E79" i="39"/>
  <c r="O79" i="39"/>
  <c r="Z67" i="39"/>
  <c r="AJ67" i="39"/>
  <c r="R120" i="25"/>
  <c r="BD274" i="21"/>
  <c r="R154" i="25"/>
  <c r="AO218" i="8"/>
  <c r="B154" i="25"/>
  <c r="C254" i="21"/>
  <c r="B140" i="25"/>
  <c r="C240" i="21"/>
  <c r="M240" i="21"/>
  <c r="B124" i="25"/>
  <c r="C224" i="21"/>
  <c r="F383" i="27"/>
  <c r="F399" i="27"/>
  <c r="F415" i="27"/>
  <c r="F431" i="27"/>
  <c r="F447" i="27"/>
  <c r="F463" i="27"/>
  <c r="F479" i="27"/>
  <c r="F495" i="27"/>
  <c r="F511" i="27"/>
  <c r="F527" i="27"/>
  <c r="F543" i="27"/>
  <c r="F559" i="27"/>
  <c r="F575" i="27"/>
  <c r="F591" i="27"/>
  <c r="F607" i="27"/>
  <c r="F623" i="27"/>
  <c r="F637" i="27"/>
  <c r="F639" i="27"/>
  <c r="F644" i="27"/>
  <c r="F653" i="27"/>
  <c r="F655" i="27"/>
  <c r="F660" i="27"/>
  <c r="F669" i="27"/>
  <c r="F671" i="27"/>
  <c r="F676" i="27"/>
  <c r="F877" i="27"/>
  <c r="F879" i="27"/>
  <c r="F882" i="27"/>
  <c r="F909" i="27"/>
  <c r="F911" i="27"/>
  <c r="F914" i="27"/>
  <c r="F941" i="27"/>
  <c r="F943" i="27"/>
  <c r="F946" i="27"/>
  <c r="AF47" i="36"/>
  <c r="AF67" i="36"/>
  <c r="AF79" i="36"/>
  <c r="AG86" i="36"/>
  <c r="AF86" i="36"/>
  <c r="AF119" i="36"/>
  <c r="AG126" i="36"/>
  <c r="AF126" i="36"/>
  <c r="AF135" i="36"/>
  <c r="AF156" i="36"/>
  <c r="AF163" i="36"/>
  <c r="AF175" i="36"/>
  <c r="AF182" i="36"/>
  <c r="AF184" i="36"/>
  <c r="AF233" i="36"/>
  <c r="AF235" i="36"/>
  <c r="AF267" i="36"/>
  <c r="H295" i="36"/>
  <c r="H279" i="36"/>
  <c r="H263" i="36"/>
  <c r="AF154" i="36"/>
  <c r="H49" i="36"/>
  <c r="K46" i="22"/>
  <c r="AG46" i="36"/>
  <c r="E46" i="36"/>
  <c r="H46" i="36"/>
  <c r="K32" i="22"/>
  <c r="AG32" i="36"/>
  <c r="K249" i="9"/>
  <c r="BC244" i="21"/>
  <c r="BC228" i="21"/>
  <c r="P61" i="37"/>
  <c r="P60" i="37"/>
  <c r="P62" i="37"/>
  <c r="D32" i="38"/>
  <c r="Y32" i="39"/>
  <c r="AI32" i="39"/>
  <c r="F35" i="39"/>
  <c r="P35" i="39"/>
  <c r="F35" i="38"/>
  <c r="AA35" i="39"/>
  <c r="AK35" i="39"/>
  <c r="AA48" i="39"/>
  <c r="AK48" i="39"/>
  <c r="F48" i="39"/>
  <c r="P48" i="39"/>
  <c r="F48" i="38"/>
  <c r="F49" i="39"/>
  <c r="P49" i="39"/>
  <c r="AA49" i="39"/>
  <c r="AK49" i="39"/>
  <c r="F49" i="38"/>
  <c r="Y55" i="39"/>
  <c r="AI55" i="39"/>
  <c r="D55" i="38"/>
  <c r="D55" i="39"/>
  <c r="N55" i="39"/>
  <c r="AQ28" i="39"/>
  <c r="V28" i="39"/>
  <c r="F859" i="27"/>
  <c r="F862" i="27"/>
  <c r="F867" i="27"/>
  <c r="F870" i="27"/>
  <c r="F875" i="27"/>
  <c r="F878" i="27"/>
  <c r="F883" i="27"/>
  <c r="F886" i="27"/>
  <c r="F891" i="27"/>
  <c r="F894" i="27"/>
  <c r="F899" i="27"/>
  <c r="F902" i="27"/>
  <c r="F907" i="27"/>
  <c r="F910" i="27"/>
  <c r="F915" i="27"/>
  <c r="F918" i="27"/>
  <c r="F923" i="27"/>
  <c r="F926" i="27"/>
  <c r="F931" i="27"/>
  <c r="F934" i="27"/>
  <c r="F939" i="27"/>
  <c r="F942" i="27"/>
  <c r="F947" i="27"/>
  <c r="F950" i="27"/>
  <c r="F955" i="27"/>
  <c r="F964" i="27"/>
  <c r="F966" i="27"/>
  <c r="AF10" i="36"/>
  <c r="AF18" i="36"/>
  <c r="AF26" i="36"/>
  <c r="AF42" i="36"/>
  <c r="AF50" i="36"/>
  <c r="AF58" i="36"/>
  <c r="AG74" i="36"/>
  <c r="AF74" i="36"/>
  <c r="AG90" i="36"/>
  <c r="AF90" i="36"/>
  <c r="AF115" i="36"/>
  <c r="AF127" i="36"/>
  <c r="AF142" i="36"/>
  <c r="AF144" i="36"/>
  <c r="AF147" i="36"/>
  <c r="AF159" i="36"/>
  <c r="AF174" i="36"/>
  <c r="AF176" i="36"/>
  <c r="AF190" i="36"/>
  <c r="AF192" i="36"/>
  <c r="AF199" i="36"/>
  <c r="AF206" i="36"/>
  <c r="AF208" i="36"/>
  <c r="AF213" i="36"/>
  <c r="AF215" i="36"/>
  <c r="AF231" i="36"/>
  <c r="AF238" i="36"/>
  <c r="AF245" i="36"/>
  <c r="AF247" i="36"/>
  <c r="AF254" i="36"/>
  <c r="AF263" i="36"/>
  <c r="AF286" i="36"/>
  <c r="AF293" i="36"/>
  <c r="AF295" i="36"/>
  <c r="AF302" i="36"/>
  <c r="AF309" i="36"/>
  <c r="AF318" i="36"/>
  <c r="AF325" i="36"/>
  <c r="AG195" i="36"/>
  <c r="AG140" i="36"/>
  <c r="AF140" i="36"/>
  <c r="AG138" i="36"/>
  <c r="AF138" i="36"/>
  <c r="AG136" i="36"/>
  <c r="AF136" i="36"/>
  <c r="AG134" i="36"/>
  <c r="AF134" i="36"/>
  <c r="AG132" i="36"/>
  <c r="AF132" i="36"/>
  <c r="AG130" i="36"/>
  <c r="AF130" i="36"/>
  <c r="AG128" i="36"/>
  <c r="AF128" i="36"/>
  <c r="AG124" i="36"/>
  <c r="AF124" i="36"/>
  <c r="AG122" i="36"/>
  <c r="AF122" i="36"/>
  <c r="AG120" i="36"/>
  <c r="AF120" i="36"/>
  <c r="AG118" i="36"/>
  <c r="AF118" i="36"/>
  <c r="AG116" i="36"/>
  <c r="AF116" i="36"/>
  <c r="AG114" i="36"/>
  <c r="AF114" i="36"/>
  <c r="AG112" i="36"/>
  <c r="AF112" i="36"/>
  <c r="AG110" i="36"/>
  <c r="AF110" i="36"/>
  <c r="AG108" i="36"/>
  <c r="AF108" i="36"/>
  <c r="AG106" i="36"/>
  <c r="AF106" i="36"/>
  <c r="AG104" i="36"/>
  <c r="AF104" i="36"/>
  <c r="AG102" i="36"/>
  <c r="AF102" i="36"/>
  <c r="AG100" i="36"/>
  <c r="AF100" i="36"/>
  <c r="AG98" i="36"/>
  <c r="AF98" i="36"/>
  <c r="AG96" i="36"/>
  <c r="AF96" i="36"/>
  <c r="AG94" i="36"/>
  <c r="AF94" i="36"/>
  <c r="AG92" i="36"/>
  <c r="AF92" i="36"/>
  <c r="AG88" i="36"/>
  <c r="AF88" i="36"/>
  <c r="AG84" i="36"/>
  <c r="AF84" i="36"/>
  <c r="AG82" i="36"/>
  <c r="AF82" i="36"/>
  <c r="AG80" i="36"/>
  <c r="AF80" i="36"/>
  <c r="AG78" i="36"/>
  <c r="AF78" i="36"/>
  <c r="AG76" i="36"/>
  <c r="AF76" i="36"/>
  <c r="AG72" i="36"/>
  <c r="AF72" i="36"/>
  <c r="AG70" i="36"/>
  <c r="AF70" i="36"/>
  <c r="AG68" i="36"/>
  <c r="AF68" i="36"/>
  <c r="AG66" i="36"/>
  <c r="AF66" i="36"/>
  <c r="AG64" i="36"/>
  <c r="AF64" i="36"/>
  <c r="AG60" i="36"/>
  <c r="AG54" i="36"/>
  <c r="E54" i="36"/>
  <c r="H54" i="36"/>
  <c r="AG44" i="36"/>
  <c r="AG38" i="36"/>
  <c r="E38" i="36"/>
  <c r="H38" i="36"/>
  <c r="AG34" i="36"/>
  <c r="E34" i="36"/>
  <c r="H34" i="36"/>
  <c r="AG30" i="36"/>
  <c r="E30" i="36"/>
  <c r="H30" i="36"/>
  <c r="AG24" i="36"/>
  <c r="AG14" i="36"/>
  <c r="E14" i="36"/>
  <c r="H14" i="36"/>
  <c r="BC247" i="21"/>
  <c r="BC243" i="21"/>
  <c r="BC239" i="21"/>
  <c r="BC235" i="21"/>
  <c r="BC231" i="21"/>
  <c r="BC227" i="21"/>
  <c r="B223" i="21"/>
  <c r="Q223" i="9"/>
  <c r="R223" i="9"/>
  <c r="B223" i="22"/>
  <c r="BC221" i="21"/>
  <c r="BC217" i="21"/>
  <c r="BC213" i="21"/>
  <c r="AI62" i="37"/>
  <c r="AL61" i="37"/>
  <c r="AL60" i="37"/>
  <c r="D37" i="38"/>
  <c r="AA37" i="38"/>
  <c r="AB37" i="38"/>
  <c r="K37" i="38"/>
  <c r="D39" i="38"/>
  <c r="D45" i="38"/>
  <c r="D47" i="38"/>
  <c r="F53" i="39"/>
  <c r="P53" i="39"/>
  <c r="AA53" i="39"/>
  <c r="AK53" i="39"/>
  <c r="F53" i="38"/>
  <c r="F55" i="39"/>
  <c r="P55" i="39"/>
  <c r="F55" i="38"/>
  <c r="AA55" i="39"/>
  <c r="AK55" i="39"/>
  <c r="F57" i="39"/>
  <c r="P57" i="39"/>
  <c r="AA57" i="39"/>
  <c r="AK57" i="39"/>
  <c r="F57" i="38"/>
  <c r="AH132" i="39"/>
  <c r="AH131" i="39"/>
  <c r="AH130" i="39"/>
  <c r="M76" i="39"/>
  <c r="M72" i="39"/>
  <c r="M68" i="39"/>
  <c r="D47" i="39"/>
  <c r="N47" i="39"/>
  <c r="D39" i="39"/>
  <c r="N39" i="39"/>
  <c r="X50" i="39"/>
  <c r="AH50" i="39"/>
  <c r="C50" i="39"/>
  <c r="M50" i="39"/>
  <c r="T289" i="29"/>
  <c r="BC246" i="21"/>
  <c r="BC242" i="21"/>
  <c r="BC238" i="21"/>
  <c r="BC234" i="21"/>
  <c r="BC230" i="21"/>
  <c r="BC226" i="21"/>
  <c r="AA34" i="39"/>
  <c r="AK34" i="39"/>
  <c r="F34" i="39"/>
  <c r="P34" i="39"/>
  <c r="F41" i="39"/>
  <c r="P41" i="39"/>
  <c r="AA41" i="39"/>
  <c r="AK41" i="39"/>
  <c r="F41" i="38"/>
  <c r="AA42" i="39"/>
  <c r="AK42" i="39"/>
  <c r="F42" i="39"/>
  <c r="P42" i="39"/>
  <c r="F43" i="39"/>
  <c r="P43" i="39"/>
  <c r="F43" i="38"/>
  <c r="AA43" i="39"/>
  <c r="AK43" i="39"/>
  <c r="AA56" i="39"/>
  <c r="AK56" i="39"/>
  <c r="F56" i="39"/>
  <c r="P56" i="39"/>
  <c r="D60" i="39"/>
  <c r="N60" i="39"/>
  <c r="D60" i="38"/>
  <c r="X12" i="39"/>
  <c r="AH12" i="39"/>
  <c r="C12" i="39"/>
  <c r="M12" i="39"/>
  <c r="AL132" i="39"/>
  <c r="AL131" i="39"/>
  <c r="AL130" i="39"/>
  <c r="D81" i="38"/>
  <c r="C81" i="38"/>
  <c r="F81" i="38"/>
  <c r="D85" i="38"/>
  <c r="C85" i="38"/>
  <c r="F85" i="38"/>
  <c r="D89" i="38"/>
  <c r="C89" i="38"/>
  <c r="F89" i="38"/>
  <c r="D93" i="38"/>
  <c r="C93" i="38"/>
  <c r="F93" i="38"/>
  <c r="D97" i="38"/>
  <c r="C97" i="38"/>
  <c r="F97" i="38"/>
  <c r="D101" i="38"/>
  <c r="C101" i="38"/>
  <c r="F101" i="38"/>
  <c r="D45" i="39"/>
  <c r="N45" i="39"/>
  <c r="D37" i="39"/>
  <c r="N37" i="39"/>
  <c r="AI34" i="39"/>
  <c r="X58" i="39"/>
  <c r="AH58" i="39"/>
  <c r="C58" i="39"/>
  <c r="M58" i="39"/>
  <c r="C58" i="38"/>
  <c r="B60" i="40"/>
  <c r="B62" i="40"/>
  <c r="AF191" i="36"/>
  <c r="AF198" i="36"/>
  <c r="AF200" i="36"/>
  <c r="AF207" i="36"/>
  <c r="AF221" i="36"/>
  <c r="AF230" i="36"/>
  <c r="AF237" i="36"/>
  <c r="AF239" i="36"/>
  <c r="AF246" i="36"/>
  <c r="AF255" i="36"/>
  <c r="AF262" i="36"/>
  <c r="AF269" i="36"/>
  <c r="AF285" i="36"/>
  <c r="AF287" i="36"/>
  <c r="AF294" i="36"/>
  <c r="AF301" i="36"/>
  <c r="AF303" i="36"/>
  <c r="AF310" i="36"/>
  <c r="AF317" i="36"/>
  <c r="AF326" i="36"/>
  <c r="AF327" i="36"/>
  <c r="AF323" i="36"/>
  <c r="AF319" i="36"/>
  <c r="AF315" i="36"/>
  <c r="AF311" i="36"/>
  <c r="BC245" i="21"/>
  <c r="BC241" i="21"/>
  <c r="BC237" i="21"/>
  <c r="BC233" i="21"/>
  <c r="BC229" i="21"/>
  <c r="BC225" i="21"/>
  <c r="N61" i="37"/>
  <c r="N60" i="37"/>
  <c r="AH61" i="37"/>
  <c r="AH60" i="37"/>
  <c r="F45" i="39"/>
  <c r="P45" i="39"/>
  <c r="AA45" i="39"/>
  <c r="AK45" i="39"/>
  <c r="F45" i="38"/>
  <c r="F47" i="39"/>
  <c r="P47" i="39"/>
  <c r="F47" i="38"/>
  <c r="AA47" i="39"/>
  <c r="AK47" i="39"/>
  <c r="P131" i="39"/>
  <c r="P130" i="39"/>
  <c r="P132" i="39"/>
  <c r="D51" i="39"/>
  <c r="N51" i="39"/>
  <c r="D43" i="39"/>
  <c r="N43" i="39"/>
  <c r="D35" i="39"/>
  <c r="N35" i="39"/>
  <c r="X34" i="39"/>
  <c r="AH34" i="39"/>
  <c r="C34" i="39"/>
  <c r="M34" i="39"/>
  <c r="T258" i="29"/>
  <c r="T262" i="29"/>
  <c r="T266" i="29"/>
  <c r="T270" i="29"/>
  <c r="T274" i="29"/>
  <c r="T278" i="29"/>
  <c r="T282" i="29"/>
  <c r="T286" i="29"/>
  <c r="T290" i="29"/>
  <c r="T294" i="29"/>
  <c r="T298" i="29"/>
  <c r="T302" i="29"/>
  <c r="T306" i="29"/>
  <c r="T310" i="29"/>
  <c r="T314" i="29"/>
  <c r="T318" i="29"/>
  <c r="T322" i="29"/>
  <c r="T326" i="29"/>
  <c r="T259" i="29"/>
  <c r="T263" i="29"/>
  <c r="T267" i="29"/>
  <c r="T271" i="29"/>
  <c r="T275" i="29"/>
  <c r="T279" i="29"/>
  <c r="T283" i="29"/>
  <c r="T287" i="29"/>
  <c r="T291" i="29"/>
  <c r="T295" i="29"/>
  <c r="T299" i="29"/>
  <c r="T303" i="29"/>
  <c r="T307" i="29"/>
  <c r="T311" i="29"/>
  <c r="T315" i="29"/>
  <c r="T319" i="29"/>
  <c r="T323" i="29"/>
  <c r="T327" i="29"/>
  <c r="T260" i="29"/>
  <c r="T264" i="29"/>
  <c r="T268" i="29"/>
  <c r="T272" i="29"/>
  <c r="T276" i="29"/>
  <c r="T280" i="29"/>
  <c r="T284" i="29"/>
  <c r="T288" i="29"/>
  <c r="T292" i="29"/>
  <c r="T296" i="29"/>
  <c r="T300" i="29"/>
  <c r="T304" i="29"/>
  <c r="T308" i="29"/>
  <c r="T312" i="29"/>
  <c r="T316" i="29"/>
  <c r="T320" i="29"/>
  <c r="T324" i="29"/>
  <c r="T328" i="29"/>
  <c r="T261" i="29"/>
  <c r="T277" i="29"/>
  <c r="T293" i="29"/>
  <c r="T301" i="29"/>
  <c r="T317" i="29"/>
  <c r="T265" i="29"/>
  <c r="T281" i="29"/>
  <c r="T297" i="29"/>
  <c r="T313" i="29"/>
  <c r="T329" i="29"/>
  <c r="T269" i="29"/>
  <c r="T285" i="29"/>
  <c r="T309" i="29"/>
  <c r="T325" i="29"/>
  <c r="BC222" i="21"/>
  <c r="BC218" i="21"/>
  <c r="BC214" i="21"/>
  <c r="M60" i="37"/>
  <c r="Q60" i="37"/>
  <c r="M61" i="37"/>
  <c r="Q61" i="37"/>
  <c r="I31" i="38"/>
  <c r="D34" i="38"/>
  <c r="I36" i="38"/>
  <c r="D38" i="38"/>
  <c r="I40" i="38"/>
  <c r="I42" i="38"/>
  <c r="D44" i="38"/>
  <c r="I46" i="38"/>
  <c r="D48" i="38"/>
  <c r="I50" i="38"/>
  <c r="D52" i="38"/>
  <c r="I54" i="38"/>
  <c r="D56" i="38"/>
  <c r="I58" i="38"/>
  <c r="D59" i="38"/>
  <c r="I61" i="38"/>
  <c r="I62" i="38"/>
  <c r="I63" i="38"/>
  <c r="I64" i="38"/>
  <c r="M130" i="39"/>
  <c r="Q130" i="39"/>
  <c r="AJ130" i="39"/>
  <c r="M131" i="39"/>
  <c r="Q131" i="39"/>
  <c r="F78" i="39"/>
  <c r="P78" i="39"/>
  <c r="F77" i="39"/>
  <c r="P77" i="39"/>
  <c r="F76" i="39"/>
  <c r="P76" i="39"/>
  <c r="F75" i="39"/>
  <c r="P75" i="39"/>
  <c r="F74" i="39"/>
  <c r="P74" i="39"/>
  <c r="F73" i="39"/>
  <c r="P73" i="39"/>
  <c r="F72" i="39"/>
  <c r="P72" i="39"/>
  <c r="F71" i="39"/>
  <c r="P71" i="39"/>
  <c r="F70" i="39"/>
  <c r="P70" i="39"/>
  <c r="F69" i="39"/>
  <c r="P69" i="39"/>
  <c r="F68" i="39"/>
  <c r="P68" i="39"/>
  <c r="F67" i="39"/>
  <c r="P67" i="39"/>
  <c r="F66" i="39"/>
  <c r="P66" i="39"/>
  <c r="F65" i="39"/>
  <c r="P65" i="39"/>
  <c r="F60" i="39"/>
  <c r="P60" i="39"/>
  <c r="F58" i="39"/>
  <c r="P58" i="39"/>
  <c r="Y78" i="39"/>
  <c r="AI78" i="39"/>
  <c r="Y77" i="39"/>
  <c r="AI77" i="39"/>
  <c r="Y76" i="39"/>
  <c r="AI76" i="39"/>
  <c r="Y75" i="39"/>
  <c r="AI75" i="39"/>
  <c r="Y74" i="39"/>
  <c r="AI74" i="39"/>
  <c r="Y73" i="39"/>
  <c r="AI73" i="39"/>
  <c r="Y72" i="39"/>
  <c r="AI72" i="39"/>
  <c r="Y71" i="39"/>
  <c r="AI71" i="39"/>
  <c r="Y70" i="39"/>
  <c r="AI70" i="39"/>
  <c r="Y69" i="39"/>
  <c r="AI69" i="39"/>
  <c r="Y68" i="39"/>
  <c r="AI68" i="39"/>
  <c r="Y67" i="39"/>
  <c r="AI67" i="39"/>
  <c r="Y66" i="39"/>
  <c r="AI66" i="39"/>
  <c r="Y65" i="39"/>
  <c r="AI65" i="39"/>
  <c r="AA61" i="39"/>
  <c r="AK61" i="39"/>
  <c r="Y33" i="39"/>
  <c r="AI33" i="39"/>
  <c r="H64" i="38"/>
  <c r="H60" i="38"/>
  <c r="H52" i="38"/>
  <c r="H44" i="38"/>
  <c r="H36" i="38"/>
  <c r="H28" i="38"/>
  <c r="H24" i="38"/>
  <c r="H20" i="38"/>
  <c r="H16" i="38"/>
  <c r="X325" i="29"/>
  <c r="I57" i="38"/>
  <c r="H13" i="38"/>
  <c r="H17" i="38"/>
  <c r="H21" i="38"/>
  <c r="H25" i="38"/>
  <c r="H29" i="38"/>
  <c r="H33" i="38"/>
  <c r="H37" i="38"/>
  <c r="H41" i="38"/>
  <c r="H45" i="38"/>
  <c r="H49" i="38"/>
  <c r="H53" i="38"/>
  <c r="H57" i="38"/>
  <c r="H61" i="38"/>
  <c r="H11" i="38"/>
  <c r="H15" i="38"/>
  <c r="H19" i="38"/>
  <c r="H23" i="38"/>
  <c r="H27" i="38"/>
  <c r="H31" i="38"/>
  <c r="H35" i="38"/>
  <c r="H39" i="38"/>
  <c r="H43" i="38"/>
  <c r="H47" i="38"/>
  <c r="H51" i="38"/>
  <c r="H55" i="38"/>
  <c r="H59" i="38"/>
  <c r="F79" i="39"/>
  <c r="P79" i="39"/>
  <c r="X65" i="39"/>
  <c r="AH65" i="39"/>
  <c r="H62" i="38"/>
  <c r="H54" i="38"/>
  <c r="H46" i="38"/>
  <c r="H38" i="38"/>
  <c r="X298" i="29"/>
  <c r="X302" i="29"/>
  <c r="X306" i="29"/>
  <c r="X310" i="29"/>
  <c r="X314" i="29"/>
  <c r="X318" i="29"/>
  <c r="X322" i="29"/>
  <c r="X326" i="29"/>
  <c r="X299" i="29"/>
  <c r="X303" i="29"/>
  <c r="X307" i="29"/>
  <c r="X311" i="29"/>
  <c r="X315" i="29"/>
  <c r="X319" i="29"/>
  <c r="X323" i="29"/>
  <c r="X327" i="29"/>
  <c r="X300" i="29"/>
  <c r="X304" i="29"/>
  <c r="X308" i="29"/>
  <c r="X312" i="29"/>
  <c r="X316" i="29"/>
  <c r="X320" i="29"/>
  <c r="X324" i="29"/>
  <c r="X328" i="29"/>
  <c r="BC220" i="21"/>
  <c r="BC216" i="21"/>
  <c r="BC212" i="21"/>
  <c r="C79" i="39"/>
  <c r="M79" i="39"/>
  <c r="H56" i="38"/>
  <c r="H48" i="38"/>
  <c r="H40" i="38"/>
  <c r="H32" i="38"/>
  <c r="H30" i="38"/>
  <c r="H26" i="38"/>
  <c r="H22" i="38"/>
  <c r="H18" i="38"/>
  <c r="H14" i="38"/>
  <c r="H10" i="38"/>
  <c r="V326" i="29"/>
  <c r="V322" i="29"/>
  <c r="V318" i="29"/>
  <c r="V314" i="29"/>
  <c r="V310" i="29"/>
  <c r="V306" i="29"/>
  <c r="V302" i="29"/>
  <c r="V298" i="29"/>
  <c r="K37" i="22"/>
  <c r="V328" i="29"/>
  <c r="W327" i="29"/>
  <c r="V324" i="29"/>
  <c r="W323" i="29"/>
  <c r="V320" i="29"/>
  <c r="W319" i="29"/>
  <c r="V316" i="29"/>
  <c r="W315" i="29"/>
  <c r="V312" i="29"/>
  <c r="W311" i="29"/>
  <c r="V308" i="29"/>
  <c r="W307" i="29"/>
  <c r="V304" i="29"/>
  <c r="W303" i="29"/>
  <c r="N300" i="43"/>
  <c r="Q300" i="43"/>
  <c r="J300" i="22"/>
  <c r="I301" i="43"/>
  <c r="K57" i="22"/>
  <c r="K133" i="22"/>
  <c r="BL297" i="21"/>
  <c r="BL289" i="21"/>
  <c r="BL286" i="21"/>
  <c r="BL284" i="21"/>
  <c r="BL281" i="21"/>
  <c r="BL273" i="21"/>
  <c r="BL270" i="21"/>
  <c r="BL268" i="21"/>
  <c r="BL265" i="21"/>
  <c r="BL257" i="21"/>
  <c r="BL252" i="21"/>
  <c r="BL249" i="21"/>
  <c r="BL167" i="21"/>
  <c r="BL163" i="21"/>
  <c r="BL159" i="21"/>
  <c r="BL155" i="21"/>
  <c r="BL151" i="21"/>
  <c r="BL147" i="21"/>
  <c r="BL143" i="21"/>
  <c r="BL139" i="21"/>
  <c r="BL135" i="21"/>
  <c r="BL131" i="21"/>
  <c r="BL127" i="21"/>
  <c r="BL123" i="21"/>
  <c r="BL119" i="21"/>
  <c r="BL115" i="21"/>
  <c r="BL111" i="21"/>
  <c r="BL107" i="21"/>
  <c r="BL103" i="21"/>
  <c r="BL99" i="21"/>
  <c r="BL95" i="21"/>
  <c r="BL91" i="21"/>
  <c r="BL87" i="21"/>
  <c r="BL83" i="21"/>
  <c r="BL79" i="21"/>
  <c r="BL75" i="21"/>
  <c r="BL71" i="21"/>
  <c r="BL67" i="21"/>
  <c r="BL63" i="21"/>
  <c r="BL59" i="21"/>
  <c r="BL55" i="21"/>
  <c r="BL51" i="21"/>
  <c r="BL47" i="21"/>
  <c r="BL43" i="21"/>
  <c r="BL39" i="21"/>
  <c r="BL35" i="21"/>
  <c r="BL31" i="21"/>
  <c r="BL27" i="21"/>
  <c r="BL21" i="21"/>
  <c r="BL18" i="21"/>
  <c r="BL13" i="21"/>
  <c r="BL10" i="21"/>
  <c r="K29" i="22"/>
  <c r="K101" i="22"/>
  <c r="BL240" i="21"/>
  <c r="BL236" i="21"/>
  <c r="BL232" i="21"/>
  <c r="BL228" i="21"/>
  <c r="BL224" i="21"/>
  <c r="BL220" i="21"/>
  <c r="BL216" i="21"/>
  <c r="BL212" i="21"/>
  <c r="BL208" i="21"/>
  <c r="BL204" i="21"/>
  <c r="BL200" i="21"/>
  <c r="BL196" i="21"/>
  <c r="BL192" i="21"/>
  <c r="BL188" i="21"/>
  <c r="BL184" i="21"/>
  <c r="BL180" i="21"/>
  <c r="BL176" i="21"/>
  <c r="BL172" i="21"/>
  <c r="BL168" i="21"/>
  <c r="BL164" i="21"/>
  <c r="BL160" i="21"/>
  <c r="BL156" i="21"/>
  <c r="BL152" i="21"/>
  <c r="BL148" i="21"/>
  <c r="BL144" i="21"/>
  <c r="BL140" i="21"/>
  <c r="BL136" i="21"/>
  <c r="BL132" i="21"/>
  <c r="BL128" i="21"/>
  <c r="BL124" i="21"/>
  <c r="BL120" i="21"/>
  <c r="BL116" i="21"/>
  <c r="BL112" i="21"/>
  <c r="BL108" i="21"/>
  <c r="BL104" i="21"/>
  <c r="BL100" i="21"/>
  <c r="BL96" i="21"/>
  <c r="BL92" i="21"/>
  <c r="BL88" i="21"/>
  <c r="BL84" i="21"/>
  <c r="BL80" i="21"/>
  <c r="BL76" i="21"/>
  <c r="BL72" i="21"/>
  <c r="BL68" i="21"/>
  <c r="BL64" i="21"/>
  <c r="BL60" i="21"/>
  <c r="BL56" i="21"/>
  <c r="BL52" i="21"/>
  <c r="BL48" i="21"/>
  <c r="BL44" i="21"/>
  <c r="BL40" i="21"/>
  <c r="BL36" i="21"/>
  <c r="BL32" i="21"/>
  <c r="BL28" i="21"/>
  <c r="K21" i="22"/>
  <c r="K53" i="22"/>
  <c r="K69" i="22"/>
  <c r="K13" i="22"/>
  <c r="K45" i="22"/>
  <c r="K165" i="22"/>
  <c r="K15" i="22"/>
  <c r="K23" i="22"/>
  <c r="K31" i="22"/>
  <c r="K39" i="22"/>
  <c r="K47" i="22"/>
  <c r="K55" i="22"/>
  <c r="K61" i="22"/>
  <c r="K93" i="22"/>
  <c r="K125" i="22"/>
  <c r="K157" i="22"/>
  <c r="K17" i="22"/>
  <c r="K25" i="22"/>
  <c r="K33" i="22"/>
  <c r="K41" i="22"/>
  <c r="K49" i="22"/>
  <c r="K85" i="22"/>
  <c r="K117" i="22"/>
  <c r="K149" i="22"/>
  <c r="K11" i="22"/>
  <c r="K19" i="22"/>
  <c r="K27" i="22"/>
  <c r="K35" i="22"/>
  <c r="K43" i="22"/>
  <c r="K51" i="22"/>
  <c r="K77" i="22"/>
  <c r="K109" i="22"/>
  <c r="K141" i="22"/>
  <c r="K173" i="22"/>
  <c r="K63" i="22"/>
  <c r="K71" i="22"/>
  <c r="K79" i="22"/>
  <c r="K87" i="22"/>
  <c r="K95" i="22"/>
  <c r="K103" i="22"/>
  <c r="K111" i="22"/>
  <c r="K119" i="22"/>
  <c r="K127" i="22"/>
  <c r="K135" i="22"/>
  <c r="K143" i="22"/>
  <c r="K151" i="22"/>
  <c r="K159" i="22"/>
  <c r="K167" i="22"/>
  <c r="K175" i="22"/>
  <c r="K65" i="22"/>
  <c r="K73" i="22"/>
  <c r="K81" i="22"/>
  <c r="K89" i="22"/>
  <c r="K97" i="22"/>
  <c r="K105" i="22"/>
  <c r="K113" i="22"/>
  <c r="K121" i="22"/>
  <c r="K129" i="22"/>
  <c r="K137" i="22"/>
  <c r="K145" i="22"/>
  <c r="K153" i="22"/>
  <c r="K161" i="22"/>
  <c r="K169" i="22"/>
  <c r="K177" i="22"/>
  <c r="K59" i="22"/>
  <c r="K67" i="22"/>
  <c r="K75" i="22"/>
  <c r="K83" i="22"/>
  <c r="K91" i="22"/>
  <c r="K99" i="22"/>
  <c r="K107" i="22"/>
  <c r="K115" i="22"/>
  <c r="K123" i="22"/>
  <c r="K131" i="22"/>
  <c r="K139" i="22"/>
  <c r="K147" i="22"/>
  <c r="K155" i="22"/>
  <c r="K163" i="22"/>
  <c r="K171" i="22"/>
  <c r="K179" i="22"/>
  <c r="AI223" i="8"/>
  <c r="AQ223" i="8"/>
  <c r="BC217" i="8"/>
  <c r="R113" i="25"/>
  <c r="M244" i="21"/>
  <c r="M214" i="21"/>
  <c r="C278" i="21"/>
  <c r="BD278" i="21"/>
  <c r="B178" i="25"/>
  <c r="M224" i="21"/>
  <c r="AY220" i="8"/>
  <c r="BC220" i="8"/>
  <c r="B173" i="25"/>
  <c r="M222" i="21"/>
  <c r="BB221" i="8"/>
  <c r="BC221" i="8"/>
  <c r="R121" i="25"/>
  <c r="M232" i="21"/>
  <c r="M218" i="21"/>
  <c r="AE196" i="8"/>
  <c r="AK196" i="8"/>
  <c r="C21" i="30"/>
  <c r="AF213" i="8"/>
  <c r="B174" i="25"/>
  <c r="AG210" i="8"/>
  <c r="AE140" i="8"/>
  <c r="AK140" i="8"/>
  <c r="AE142" i="8"/>
  <c r="AK142" i="8"/>
  <c r="AE143" i="8"/>
  <c r="AK143" i="8"/>
  <c r="AE144" i="8"/>
  <c r="AK144" i="8"/>
  <c r="AE145" i="8"/>
  <c r="AK145" i="8"/>
  <c r="AE158" i="8"/>
  <c r="AK158" i="8"/>
  <c r="AE162" i="8"/>
  <c r="AK162" i="8"/>
  <c r="AE166" i="8"/>
  <c r="AK166" i="8"/>
  <c r="AE170" i="8"/>
  <c r="AK170" i="8"/>
  <c r="AE174" i="8"/>
  <c r="AK174" i="8"/>
  <c r="AE178" i="8"/>
  <c r="AK178" i="8"/>
  <c r="AE182" i="8"/>
  <c r="AK182" i="8"/>
  <c r="AE186" i="8"/>
  <c r="AK186" i="8"/>
  <c r="AE190" i="8"/>
  <c r="AK190" i="8"/>
  <c r="AE154" i="8"/>
  <c r="AK154" i="8"/>
  <c r="AE155" i="8"/>
  <c r="AK155" i="8"/>
  <c r="AE156" i="8"/>
  <c r="AK156" i="8"/>
  <c r="AE157" i="8"/>
  <c r="AK157" i="8"/>
  <c r="AE161" i="8"/>
  <c r="AK161" i="8"/>
  <c r="AE165" i="8"/>
  <c r="AK165" i="8"/>
  <c r="AE169" i="8"/>
  <c r="AK169" i="8"/>
  <c r="AE173" i="8"/>
  <c r="AK173" i="8"/>
  <c r="AE177" i="8"/>
  <c r="AK177" i="8"/>
  <c r="AE181" i="8"/>
  <c r="AK181" i="8"/>
  <c r="AE185" i="8"/>
  <c r="AK185" i="8"/>
  <c r="AE189" i="8"/>
  <c r="AK189" i="8"/>
  <c r="AE193" i="8"/>
  <c r="AK193" i="8"/>
  <c r="AE141" i="8"/>
  <c r="AK141" i="8"/>
  <c r="AE150" i="8"/>
  <c r="AK150" i="8"/>
  <c r="AE151" i="8"/>
  <c r="AK151" i="8"/>
  <c r="AE152" i="8"/>
  <c r="AK152" i="8"/>
  <c r="AE153" i="8"/>
  <c r="AK153" i="8"/>
  <c r="AE160" i="8"/>
  <c r="AK160" i="8"/>
  <c r="AE164" i="8"/>
  <c r="AK164" i="8"/>
  <c r="AE168" i="8"/>
  <c r="AK168" i="8"/>
  <c r="AE172" i="8"/>
  <c r="AK172" i="8"/>
  <c r="AE176" i="8"/>
  <c r="AK176" i="8"/>
  <c r="AE180" i="8"/>
  <c r="AK180" i="8"/>
  <c r="AE184" i="8"/>
  <c r="AK184" i="8"/>
  <c r="AE188" i="8"/>
  <c r="AK188" i="8"/>
  <c r="AE192" i="8"/>
  <c r="AK192" i="8"/>
  <c r="AE146" i="8"/>
  <c r="AK146" i="8"/>
  <c r="AE147" i="8"/>
  <c r="AK147" i="8"/>
  <c r="AE148" i="8"/>
  <c r="AK148" i="8"/>
  <c r="AE149" i="8"/>
  <c r="AK149" i="8"/>
  <c r="AE159" i="8"/>
  <c r="AK159" i="8"/>
  <c r="AE163" i="8"/>
  <c r="AK163" i="8"/>
  <c r="AE167" i="8"/>
  <c r="AK167" i="8"/>
  <c r="AE171" i="8"/>
  <c r="AK171" i="8"/>
  <c r="AE175" i="8"/>
  <c r="AK175" i="8"/>
  <c r="AE179" i="8"/>
  <c r="AK179" i="8"/>
  <c r="AE183" i="8"/>
  <c r="AK183" i="8"/>
  <c r="AE187" i="8"/>
  <c r="AK187" i="8"/>
  <c r="AE191" i="8"/>
  <c r="AK191" i="8"/>
  <c r="AG213" i="8"/>
  <c r="AS213" i="8"/>
  <c r="AS141" i="8"/>
  <c r="O63" i="12"/>
  <c r="BG183" i="21"/>
  <c r="Q63" i="12"/>
  <c r="Q28" i="12"/>
  <c r="O28" i="12"/>
  <c r="BG148" i="21"/>
  <c r="Q33" i="12"/>
  <c r="O33" i="12"/>
  <c r="BG153" i="21"/>
  <c r="O15" i="12"/>
  <c r="BG135" i="21"/>
  <c r="Q15" i="12"/>
  <c r="Q36" i="12"/>
  <c r="O36" i="12"/>
  <c r="BG156" i="21"/>
  <c r="O48" i="12"/>
  <c r="BG168" i="21"/>
  <c r="Q48" i="12"/>
  <c r="O69" i="12"/>
  <c r="BG189" i="21"/>
  <c r="Q69" i="12"/>
  <c r="O39" i="12"/>
  <c r="BG159" i="21"/>
  <c r="Q39" i="12"/>
  <c r="Q26" i="12"/>
  <c r="O26" i="12"/>
  <c r="BG146" i="21"/>
  <c r="Q32" i="12"/>
  <c r="O32" i="12"/>
  <c r="BG152" i="21"/>
  <c r="Q53" i="12"/>
  <c r="O53" i="12"/>
  <c r="BG173" i="21"/>
  <c r="O58" i="12"/>
  <c r="BG178" i="21"/>
  <c r="Q58" i="12"/>
  <c r="O65" i="12"/>
  <c r="BG185" i="21"/>
  <c r="Q65" i="12"/>
  <c r="O52" i="12"/>
  <c r="BG172" i="21"/>
  <c r="O19" i="12"/>
  <c r="BG139" i="21"/>
  <c r="O47" i="12"/>
  <c r="BG167" i="21"/>
  <c r="O66" i="12"/>
  <c r="BG186" i="21"/>
  <c r="Q21" i="12"/>
  <c r="O40" i="12"/>
  <c r="BG160" i="21"/>
  <c r="Q67" i="12"/>
  <c r="O16" i="12"/>
  <c r="BG136" i="21"/>
  <c r="Q16" i="12"/>
  <c r="Q37" i="12"/>
  <c r="BE55" i="6"/>
  <c r="F344" i="27"/>
  <c r="F352" i="27"/>
  <c r="F360" i="27"/>
  <c r="F368" i="27"/>
  <c r="F376" i="27"/>
  <c r="F333" i="27"/>
  <c r="Q44" i="12"/>
  <c r="O44" i="12"/>
  <c r="BG164" i="21"/>
  <c r="AT295" i="21"/>
  <c r="AT291" i="21"/>
  <c r="AT287" i="21"/>
  <c r="AT283" i="21"/>
  <c r="AT296" i="21"/>
  <c r="AT292" i="21"/>
  <c r="AT288" i="21"/>
  <c r="AT284" i="21"/>
  <c r="AT276" i="21"/>
  <c r="AT297" i="21"/>
  <c r="AI295" i="21"/>
  <c r="AT293" i="21"/>
  <c r="AI291" i="21"/>
  <c r="AT289" i="21"/>
  <c r="AI287" i="21"/>
  <c r="AT285" i="21"/>
  <c r="AI283" i="21"/>
  <c r="AI280" i="21"/>
  <c r="AI276" i="21"/>
  <c r="AI272" i="21"/>
  <c r="AT253" i="21"/>
  <c r="B53" i="15"/>
  <c r="AD53" i="15"/>
  <c r="AD43" i="15"/>
  <c r="B48" i="15"/>
  <c r="AD48" i="15"/>
  <c r="AD56" i="15"/>
  <c r="B43" i="15"/>
  <c r="AD59" i="15"/>
  <c r="AD60" i="15"/>
  <c r="B69" i="15"/>
  <c r="J13" i="18"/>
  <c r="F233" i="22"/>
  <c r="K233" i="22"/>
  <c r="AD45" i="15"/>
  <c r="BM249" i="21"/>
  <c r="AD49" i="15"/>
  <c r="AD40" i="15"/>
  <c r="K269" i="22"/>
  <c r="K268" i="22"/>
  <c r="K327" i="22"/>
  <c r="BL242" i="21"/>
  <c r="BL238" i="21"/>
  <c r="BL234" i="21"/>
  <c r="BL230" i="21"/>
  <c r="BL226" i="21"/>
  <c r="BL222" i="21"/>
  <c r="BL218" i="21"/>
  <c r="BL214" i="21"/>
  <c r="BL210" i="21"/>
  <c r="BL206" i="21"/>
  <c r="BL202" i="21"/>
  <c r="BL198" i="21"/>
  <c r="BL194" i="21"/>
  <c r="BL190" i="21"/>
  <c r="BL186" i="21"/>
  <c r="BL182" i="21"/>
  <c r="BL178" i="21"/>
  <c r="BL174" i="21"/>
  <c r="BL170" i="21"/>
  <c r="BL239" i="21"/>
  <c r="BL235" i="21"/>
  <c r="BL231" i="21"/>
  <c r="BL227" i="21"/>
  <c r="BL223" i="21"/>
  <c r="BL219" i="21"/>
  <c r="BL215" i="21"/>
  <c r="BL211" i="21"/>
  <c r="BL207" i="21"/>
  <c r="BL203" i="21"/>
  <c r="BL199" i="21"/>
  <c r="BL195" i="21"/>
  <c r="BL191" i="21"/>
  <c r="BL187" i="21"/>
  <c r="BL183" i="21"/>
  <c r="BL179" i="21"/>
  <c r="BL175" i="21"/>
  <c r="BL171" i="21"/>
  <c r="BL241" i="21"/>
  <c r="BL237" i="21"/>
  <c r="BL233" i="21"/>
  <c r="BL229" i="21"/>
  <c r="BL225" i="21"/>
  <c r="BL221" i="21"/>
  <c r="BL217" i="21"/>
  <c r="BL213" i="21"/>
  <c r="BL209" i="21"/>
  <c r="BL205" i="21"/>
  <c r="BL201" i="21"/>
  <c r="BL197" i="21"/>
  <c r="BL193" i="21"/>
  <c r="BL189" i="21"/>
  <c r="BL185" i="21"/>
  <c r="BL181" i="21"/>
  <c r="BL177" i="21"/>
  <c r="BL173" i="21"/>
  <c r="BL169" i="21"/>
  <c r="O59" i="12"/>
  <c r="BG179" i="21"/>
  <c r="Q59" i="12"/>
  <c r="Q34" i="12"/>
  <c r="O34" i="12"/>
  <c r="BG154" i="21"/>
  <c r="O49" i="12"/>
  <c r="BG169" i="21"/>
  <c r="Q49" i="12"/>
  <c r="Q43" i="12"/>
  <c r="O43" i="12"/>
  <c r="BG163" i="21"/>
  <c r="Q20" i="12"/>
  <c r="O20" i="12"/>
  <c r="BG140" i="21"/>
  <c r="O23" i="12"/>
  <c r="BG143" i="21"/>
  <c r="Q23" i="12"/>
  <c r="Q29" i="12"/>
  <c r="O29" i="12"/>
  <c r="BG149" i="21"/>
  <c r="O70" i="12"/>
  <c r="BG190" i="21"/>
  <c r="Q70" i="12"/>
  <c r="O42" i="12"/>
  <c r="BG162" i="21"/>
  <c r="Q42" i="12"/>
  <c r="O27" i="12"/>
  <c r="BG147" i="21"/>
  <c r="Q27" i="12"/>
  <c r="O22" i="12"/>
  <c r="BG142" i="21"/>
  <c r="O38" i="12"/>
  <c r="BG158" i="21"/>
  <c r="O54" i="12"/>
  <c r="BG174" i="21"/>
  <c r="O13" i="12"/>
  <c r="BG133" i="21"/>
  <c r="O56" i="12"/>
  <c r="BG176" i="21"/>
  <c r="O25" i="12"/>
  <c r="BG145" i="21"/>
  <c r="O35" i="12"/>
  <c r="BG155" i="21"/>
  <c r="O24" i="12"/>
  <c r="BG144" i="21"/>
  <c r="O12" i="12"/>
  <c r="BG132" i="21"/>
  <c r="O60" i="12"/>
  <c r="BG180" i="21"/>
  <c r="O51" i="12"/>
  <c r="BG171" i="21"/>
  <c r="O45" i="12"/>
  <c r="BG165" i="21"/>
  <c r="O61" i="12"/>
  <c r="BG181" i="21"/>
  <c r="BH279" i="21"/>
  <c r="BH277" i="21"/>
  <c r="K276" i="22"/>
  <c r="AI276" i="36"/>
  <c r="AF276" i="36"/>
  <c r="BG276" i="21"/>
  <c r="BN276" i="21"/>
  <c r="AI272" i="36"/>
  <c r="AT270" i="21"/>
  <c r="BG270" i="21"/>
  <c r="BN270" i="21"/>
  <c r="AT272" i="21"/>
  <c r="BG272" i="21"/>
  <c r="BN272" i="21"/>
  <c r="AT271" i="21"/>
  <c r="AI279" i="36"/>
  <c r="K279" i="22"/>
  <c r="BG279" i="21"/>
  <c r="BH278" i="21"/>
  <c r="AI275" i="36"/>
  <c r="K275" i="22"/>
  <c r="BG275" i="21"/>
  <c r="BN275" i="21"/>
  <c r="K271" i="22"/>
  <c r="AI271" i="36"/>
  <c r="AF271" i="36"/>
  <c r="BG271" i="21"/>
  <c r="BN271" i="21"/>
  <c r="AI253" i="21"/>
  <c r="AT277" i="21"/>
  <c r="AI278" i="36"/>
  <c r="BG278" i="21"/>
  <c r="BN278" i="21"/>
  <c r="AI274" i="36"/>
  <c r="BG274" i="21"/>
  <c r="BN274" i="21"/>
  <c r="AI270" i="36"/>
  <c r="K277" i="22"/>
  <c r="AI277" i="36"/>
  <c r="BG277" i="21"/>
  <c r="BN277" i="21"/>
  <c r="AI273" i="36"/>
  <c r="BG273" i="21"/>
  <c r="BN273" i="21"/>
  <c r="AF275" i="36"/>
  <c r="AF277" i="36"/>
  <c r="AF279" i="36"/>
  <c r="AF164" i="36"/>
  <c r="AF179" i="36"/>
  <c r="AF195" i="36"/>
  <c r="AF183" i="36"/>
  <c r="AF168" i="36"/>
  <c r="AT197" i="8"/>
  <c r="AH198" i="8"/>
  <c r="AY198" i="8"/>
  <c r="S98" i="25"/>
  <c r="AQ199" i="8"/>
  <c r="BB198" i="8"/>
  <c r="AE197" i="8"/>
  <c r="S97" i="25"/>
  <c r="AB113" i="8"/>
  <c r="AS142" i="8"/>
  <c r="BA141" i="8"/>
  <c r="E124" i="12"/>
  <c r="AI244" i="21"/>
  <c r="L64" i="4"/>
  <c r="L124" i="12"/>
  <c r="AT244" i="21"/>
  <c r="AG278" i="36"/>
  <c r="AF278" i="36"/>
  <c r="K278" i="22"/>
  <c r="X10" i="39"/>
  <c r="AH10" i="39"/>
  <c r="C10" i="39"/>
  <c r="M10" i="39"/>
  <c r="C10" i="38"/>
  <c r="X26" i="39"/>
  <c r="AH26" i="39"/>
  <c r="C26" i="39"/>
  <c r="M26" i="39"/>
  <c r="C26" i="38"/>
  <c r="X48" i="39"/>
  <c r="AH48" i="39"/>
  <c r="C48" i="39"/>
  <c r="M48" i="39"/>
  <c r="C48" i="38"/>
  <c r="X54" i="39"/>
  <c r="AH54" i="39"/>
  <c r="C54" i="39"/>
  <c r="M54" i="39"/>
  <c r="C54" i="38"/>
  <c r="X59" i="39"/>
  <c r="AH59" i="39"/>
  <c r="C59" i="39"/>
  <c r="M59" i="39"/>
  <c r="C59" i="38"/>
  <c r="X43" i="39"/>
  <c r="AH43" i="39"/>
  <c r="C43" i="38"/>
  <c r="C43" i="39"/>
  <c r="M43" i="39"/>
  <c r="C27" i="38"/>
  <c r="X27" i="39"/>
  <c r="AH27" i="39"/>
  <c r="C27" i="39"/>
  <c r="M27" i="39"/>
  <c r="C11" i="38"/>
  <c r="X11" i="39"/>
  <c r="AH11" i="39"/>
  <c r="C11" i="39"/>
  <c r="M11" i="39"/>
  <c r="C49" i="38"/>
  <c r="X49" i="39"/>
  <c r="AH49" i="39"/>
  <c r="C49" i="39"/>
  <c r="M49" i="39"/>
  <c r="X33" i="39"/>
  <c r="AH33" i="39"/>
  <c r="C33" i="38"/>
  <c r="C33" i="39"/>
  <c r="M33" i="39"/>
  <c r="X17" i="39"/>
  <c r="AH17" i="39"/>
  <c r="C17" i="39"/>
  <c r="M17" i="39"/>
  <c r="C17" i="38"/>
  <c r="X16" i="39"/>
  <c r="AH16" i="39"/>
  <c r="C16" i="39"/>
  <c r="M16" i="39"/>
  <c r="C16" i="38"/>
  <c r="X36" i="39"/>
  <c r="AH36" i="39"/>
  <c r="C36" i="39"/>
  <c r="M36" i="39"/>
  <c r="C36" i="38"/>
  <c r="C64" i="39"/>
  <c r="M64" i="39"/>
  <c r="C64" i="38"/>
  <c r="X64" i="39"/>
  <c r="AH64" i="39"/>
  <c r="D62" i="38"/>
  <c r="D62" i="39"/>
  <c r="N62" i="39"/>
  <c r="Y62" i="39"/>
  <c r="AI62" i="39"/>
  <c r="D40" i="38"/>
  <c r="D40" i="39"/>
  <c r="N40" i="39"/>
  <c r="Y40" i="39"/>
  <c r="AI40" i="39"/>
  <c r="Y31" i="39"/>
  <c r="AI31" i="39"/>
  <c r="D31" i="39"/>
  <c r="N31" i="39"/>
  <c r="D31" i="38"/>
  <c r="AF54" i="36"/>
  <c r="AF30" i="36"/>
  <c r="H310" i="36"/>
  <c r="L51" i="4"/>
  <c r="L111" i="12"/>
  <c r="AT231" i="21"/>
  <c r="E111" i="12"/>
  <c r="AI231" i="21"/>
  <c r="H323" i="36"/>
  <c r="H315" i="36"/>
  <c r="H301" i="36"/>
  <c r="H312" i="36"/>
  <c r="H326" i="36"/>
  <c r="H318" i="36"/>
  <c r="H307" i="36"/>
  <c r="AF14" i="36"/>
  <c r="BC182" i="21"/>
  <c r="Z70" i="4"/>
  <c r="BE57" i="4"/>
  <c r="K226" i="22"/>
  <c r="AG226" i="36"/>
  <c r="AF226" i="36"/>
  <c r="K21" i="2"/>
  <c r="L79" i="2"/>
  <c r="L22" i="2"/>
  <c r="L273" i="9"/>
  <c r="L274" i="9"/>
  <c r="Q274" i="9"/>
  <c r="R274" i="9"/>
  <c r="B274" i="22"/>
  <c r="Q273" i="9"/>
  <c r="R273" i="9"/>
  <c r="B273" i="22"/>
  <c r="BC259" i="21"/>
  <c r="K225" i="22"/>
  <c r="AG225" i="36"/>
  <c r="AF225" i="36"/>
  <c r="X14" i="39"/>
  <c r="AH14" i="39"/>
  <c r="C14" i="39"/>
  <c r="M14" i="39"/>
  <c r="C14" i="38"/>
  <c r="X30" i="39"/>
  <c r="AH30" i="39"/>
  <c r="C30" i="39"/>
  <c r="M30" i="39"/>
  <c r="C30" i="38"/>
  <c r="X56" i="39"/>
  <c r="AH56" i="39"/>
  <c r="C56" i="39"/>
  <c r="M56" i="39"/>
  <c r="C56" i="38"/>
  <c r="X62" i="39"/>
  <c r="AH62" i="39"/>
  <c r="C62" i="39"/>
  <c r="M62" i="39"/>
  <c r="C62" i="38"/>
  <c r="C55" i="38"/>
  <c r="X55" i="39"/>
  <c r="AH55" i="39"/>
  <c r="C55" i="39"/>
  <c r="M55" i="39"/>
  <c r="C39" i="38"/>
  <c r="X39" i="39"/>
  <c r="AH39" i="39"/>
  <c r="C39" i="39"/>
  <c r="M39" i="39"/>
  <c r="C23" i="38"/>
  <c r="X23" i="39"/>
  <c r="AH23" i="39"/>
  <c r="C23" i="39"/>
  <c r="M23" i="39"/>
  <c r="X61" i="39"/>
  <c r="AH61" i="39"/>
  <c r="C61" i="38"/>
  <c r="C61" i="39"/>
  <c r="M61" i="39"/>
  <c r="X45" i="39"/>
  <c r="AH45" i="39"/>
  <c r="C45" i="38"/>
  <c r="C45" i="39"/>
  <c r="M45" i="39"/>
  <c r="X29" i="39"/>
  <c r="AH29" i="39"/>
  <c r="C29" i="39"/>
  <c r="M29" i="39"/>
  <c r="C29" i="38"/>
  <c r="X13" i="39"/>
  <c r="AH13" i="39"/>
  <c r="C13" i="39"/>
  <c r="M13" i="39"/>
  <c r="C13" i="38"/>
  <c r="X20" i="39"/>
  <c r="AH20" i="39"/>
  <c r="C20" i="39"/>
  <c r="M20" i="39"/>
  <c r="C20" i="38"/>
  <c r="X44" i="39"/>
  <c r="AH44" i="39"/>
  <c r="C44" i="39"/>
  <c r="M44" i="39"/>
  <c r="C44" i="38"/>
  <c r="D61" i="38"/>
  <c r="Y61" i="39"/>
  <c r="AI61" i="39"/>
  <c r="D61" i="39"/>
  <c r="N61" i="39"/>
  <c r="D54" i="38"/>
  <c r="D54" i="39"/>
  <c r="N54" i="39"/>
  <c r="Y54" i="39"/>
  <c r="AI54" i="39"/>
  <c r="D46" i="38"/>
  <c r="D46" i="39"/>
  <c r="N46" i="39"/>
  <c r="Y46" i="39"/>
  <c r="AI46" i="39"/>
  <c r="E60" i="36"/>
  <c r="H60" i="36"/>
  <c r="AF60" i="36"/>
  <c r="H313" i="36"/>
  <c r="L57" i="4"/>
  <c r="L117" i="12"/>
  <c r="AT237" i="21"/>
  <c r="E117" i="12"/>
  <c r="AI237" i="21"/>
  <c r="K228" i="22"/>
  <c r="AG228" i="36"/>
  <c r="AF228" i="36"/>
  <c r="T47" i="23"/>
  <c r="T247" i="9"/>
  <c r="T43" i="23"/>
  <c r="T243" i="9"/>
  <c r="T39" i="23"/>
  <c r="T239" i="9"/>
  <c r="T26" i="23"/>
  <c r="T226" i="9"/>
  <c r="L62" i="4"/>
  <c r="L122" i="12"/>
  <c r="AT242" i="21"/>
  <c r="L253" i="9"/>
  <c r="L20" i="2"/>
  <c r="K229" i="22"/>
  <c r="AG229" i="36"/>
  <c r="AF229" i="36"/>
  <c r="K22" i="2"/>
  <c r="O91" i="12"/>
  <c r="BG211" i="21"/>
  <c r="Q91" i="12"/>
  <c r="BE56" i="4"/>
  <c r="BG56" i="4"/>
  <c r="T263" i="9"/>
  <c r="T21" i="2"/>
  <c r="L75" i="2"/>
  <c r="L270" i="9"/>
  <c r="BC258" i="21"/>
  <c r="BC159" i="21"/>
  <c r="M254" i="21"/>
  <c r="K227" i="22"/>
  <c r="AG227" i="36"/>
  <c r="AF227" i="36"/>
  <c r="I302" i="43"/>
  <c r="K301" i="21"/>
  <c r="J301" i="22"/>
  <c r="N301" i="43"/>
  <c r="Q301" i="43"/>
  <c r="X18" i="39"/>
  <c r="AH18" i="39"/>
  <c r="C18" i="39"/>
  <c r="M18" i="39"/>
  <c r="C18" i="38"/>
  <c r="X32" i="39"/>
  <c r="AH32" i="39"/>
  <c r="C32" i="39"/>
  <c r="M32" i="39"/>
  <c r="C32" i="38"/>
  <c r="X38" i="39"/>
  <c r="AH38" i="39"/>
  <c r="C38" i="39"/>
  <c r="M38" i="39"/>
  <c r="C38" i="38"/>
  <c r="X51" i="39"/>
  <c r="AH51" i="39"/>
  <c r="C51" i="38"/>
  <c r="C51" i="39"/>
  <c r="M51" i="39"/>
  <c r="X35" i="39"/>
  <c r="AH35" i="39"/>
  <c r="C35" i="38"/>
  <c r="C35" i="39"/>
  <c r="M35" i="39"/>
  <c r="C19" i="38"/>
  <c r="C19" i="39"/>
  <c r="M19" i="39"/>
  <c r="X19" i="39"/>
  <c r="AH19" i="39"/>
  <c r="C57" i="38"/>
  <c r="X57" i="39"/>
  <c r="AH57" i="39"/>
  <c r="C57" i="39"/>
  <c r="M57" i="39"/>
  <c r="C41" i="38"/>
  <c r="X41" i="39"/>
  <c r="AH41" i="39"/>
  <c r="C41" i="39"/>
  <c r="M41" i="39"/>
  <c r="X25" i="39"/>
  <c r="AH25" i="39"/>
  <c r="C25" i="39"/>
  <c r="M25" i="39"/>
  <c r="C25" i="38"/>
  <c r="Y57" i="39"/>
  <c r="AI57" i="39"/>
  <c r="D57" i="38"/>
  <c r="D57" i="39"/>
  <c r="N57" i="39"/>
  <c r="X24" i="39"/>
  <c r="AH24" i="39"/>
  <c r="C24" i="39"/>
  <c r="M24" i="39"/>
  <c r="C24" i="38"/>
  <c r="X52" i="39"/>
  <c r="AH52" i="39"/>
  <c r="C52" i="39"/>
  <c r="M52" i="39"/>
  <c r="C52" i="38"/>
  <c r="D64" i="38"/>
  <c r="D64" i="39"/>
  <c r="N64" i="39"/>
  <c r="Y64" i="39"/>
  <c r="AI64" i="39"/>
  <c r="D36" i="38"/>
  <c r="D36" i="39"/>
  <c r="N36" i="39"/>
  <c r="Y36" i="39"/>
  <c r="AI36" i="39"/>
  <c r="F37" i="39"/>
  <c r="P37" i="39"/>
  <c r="AA37" i="39"/>
  <c r="AK37" i="39"/>
  <c r="F37" i="38"/>
  <c r="K223" i="22"/>
  <c r="AG223" i="36"/>
  <c r="AF223" i="36"/>
  <c r="AF34" i="36"/>
  <c r="B249" i="21"/>
  <c r="K250" i="9"/>
  <c r="AF22" i="36"/>
  <c r="E36" i="36"/>
  <c r="H36" i="36"/>
  <c r="AF36" i="36"/>
  <c r="H327" i="36"/>
  <c r="H319" i="36"/>
  <c r="H309" i="36"/>
  <c r="H304" i="36"/>
  <c r="H322" i="36"/>
  <c r="H314" i="36"/>
  <c r="B150" i="25"/>
  <c r="C250" i="21"/>
  <c r="R149" i="25"/>
  <c r="O102" i="12"/>
  <c r="BG222" i="21"/>
  <c r="Q102" i="12"/>
  <c r="E59" i="4"/>
  <c r="E50" i="4"/>
  <c r="E54" i="4"/>
  <c r="E68" i="4"/>
  <c r="E72" i="4"/>
  <c r="E61" i="4"/>
  <c r="E71" i="4"/>
  <c r="E53" i="4"/>
  <c r="E60" i="4"/>
  <c r="N133" i="12"/>
  <c r="E58" i="4"/>
  <c r="E69" i="4"/>
  <c r="E55" i="4"/>
  <c r="E56" i="4"/>
  <c r="E67" i="4"/>
  <c r="L52" i="4"/>
  <c r="L112" i="12"/>
  <c r="AT232" i="21"/>
  <c r="T23" i="23"/>
  <c r="T223" i="9"/>
  <c r="T25" i="23"/>
  <c r="T225" i="9"/>
  <c r="K16" i="22"/>
  <c r="AG16" i="36"/>
  <c r="Q258" i="9"/>
  <c r="R258" i="9"/>
  <c r="B258" i="22"/>
  <c r="O92" i="12"/>
  <c r="BG212" i="21"/>
  <c r="Q92" i="12"/>
  <c r="O81" i="12"/>
  <c r="BG201" i="21"/>
  <c r="Q81" i="12"/>
  <c r="Q265" i="9"/>
  <c r="R265" i="9"/>
  <c r="B265" i="22"/>
  <c r="AG265" i="36"/>
  <c r="AF265" i="36"/>
  <c r="AG249" i="21"/>
  <c r="J250" i="9"/>
  <c r="L264" i="9"/>
  <c r="AR264" i="21"/>
  <c r="BC264" i="21"/>
  <c r="O78" i="12"/>
  <c r="BG198" i="21"/>
  <c r="Q78" i="12"/>
  <c r="Q257" i="9"/>
  <c r="R257" i="9"/>
  <c r="B257" i="22"/>
  <c r="BC171" i="21"/>
  <c r="Q264" i="9"/>
  <c r="R264" i="9"/>
  <c r="B264" i="22"/>
  <c r="X22" i="39"/>
  <c r="AH22" i="39"/>
  <c r="C22" i="39"/>
  <c r="M22" i="39"/>
  <c r="C22" i="38"/>
  <c r="X40" i="39"/>
  <c r="AH40" i="39"/>
  <c r="C40" i="39"/>
  <c r="M40" i="39"/>
  <c r="C40" i="38"/>
  <c r="X46" i="39"/>
  <c r="AH46" i="39"/>
  <c r="C46" i="39"/>
  <c r="M46" i="39"/>
  <c r="C46" i="38"/>
  <c r="C47" i="38"/>
  <c r="X47" i="39"/>
  <c r="AH47" i="39"/>
  <c r="C47" i="39"/>
  <c r="M47" i="39"/>
  <c r="C31" i="38"/>
  <c r="C31" i="39"/>
  <c r="M31" i="39"/>
  <c r="X31" i="39"/>
  <c r="AH31" i="39"/>
  <c r="C15" i="38"/>
  <c r="C15" i="39"/>
  <c r="M15" i="39"/>
  <c r="X15" i="39"/>
  <c r="AH15" i="39"/>
  <c r="X53" i="39"/>
  <c r="AH53" i="39"/>
  <c r="C53" i="38"/>
  <c r="C53" i="39"/>
  <c r="M53" i="39"/>
  <c r="X37" i="39"/>
  <c r="AH37" i="39"/>
  <c r="C37" i="38"/>
  <c r="C37" i="39"/>
  <c r="M37" i="39"/>
  <c r="X21" i="39"/>
  <c r="AH21" i="39"/>
  <c r="C21" i="39"/>
  <c r="M21" i="39"/>
  <c r="C21" i="38"/>
  <c r="X28" i="39"/>
  <c r="AH28" i="39"/>
  <c r="C28" i="39"/>
  <c r="M28" i="39"/>
  <c r="C28" i="38"/>
  <c r="X60" i="39"/>
  <c r="AH60" i="39"/>
  <c r="C60" i="39"/>
  <c r="M60" i="39"/>
  <c r="C60" i="38"/>
  <c r="D63" i="38"/>
  <c r="Y63" i="39"/>
  <c r="AI63" i="39"/>
  <c r="D63" i="39"/>
  <c r="N63" i="39"/>
  <c r="D58" i="38"/>
  <c r="D58" i="39"/>
  <c r="N58" i="39"/>
  <c r="Y58" i="39"/>
  <c r="AI58" i="39"/>
  <c r="D50" i="38"/>
  <c r="D50" i="39"/>
  <c r="N50" i="39"/>
  <c r="Y50" i="39"/>
  <c r="AI50" i="39"/>
  <c r="D42" i="38"/>
  <c r="D42" i="39"/>
  <c r="N42" i="39"/>
  <c r="Y42" i="39"/>
  <c r="AI42" i="39"/>
  <c r="BC223" i="21"/>
  <c r="M223" i="21"/>
  <c r="E24" i="36"/>
  <c r="H24" i="36"/>
  <c r="AF24" i="36"/>
  <c r="E44" i="36"/>
  <c r="H44" i="36"/>
  <c r="AF44" i="36"/>
  <c r="E32" i="36"/>
  <c r="H32" i="36"/>
  <c r="AF32" i="36"/>
  <c r="F63" i="39"/>
  <c r="P63" i="39"/>
  <c r="K64" i="38"/>
  <c r="AA63" i="39"/>
  <c r="AK63" i="39"/>
  <c r="F63" i="38"/>
  <c r="K214" i="22"/>
  <c r="AG214" i="36"/>
  <c r="AF214" i="36"/>
  <c r="K218" i="22"/>
  <c r="AG218" i="36"/>
  <c r="AF218" i="36"/>
  <c r="K222" i="22"/>
  <c r="AG222" i="36"/>
  <c r="AF222" i="36"/>
  <c r="AF38" i="36"/>
  <c r="K212" i="22"/>
  <c r="AG212" i="36"/>
  <c r="AF212" i="36"/>
  <c r="K216" i="22"/>
  <c r="AG216" i="36"/>
  <c r="AF216" i="36"/>
  <c r="K220" i="22"/>
  <c r="AG220" i="36"/>
  <c r="AF220" i="36"/>
  <c r="T40" i="23"/>
  <c r="T240" i="9"/>
  <c r="H320" i="36"/>
  <c r="AF46" i="36"/>
  <c r="C50" i="24"/>
  <c r="S150" i="25"/>
  <c r="R150" i="25"/>
  <c r="E126" i="12"/>
  <c r="AI246" i="21"/>
  <c r="L66" i="4"/>
  <c r="L126" i="12"/>
  <c r="AT246" i="21"/>
  <c r="K224" i="22"/>
  <c r="AG224" i="36"/>
  <c r="AF224" i="36"/>
  <c r="K265" i="22"/>
  <c r="E70" i="4"/>
  <c r="T45" i="23"/>
  <c r="T245" i="9"/>
  <c r="T41" i="23"/>
  <c r="T241" i="9"/>
  <c r="T37" i="23"/>
  <c r="T237" i="9"/>
  <c r="T31" i="23"/>
  <c r="T231" i="9"/>
  <c r="T24" i="23"/>
  <c r="T224" i="9"/>
  <c r="Q261" i="9"/>
  <c r="R261" i="9"/>
  <c r="B261" i="22"/>
  <c r="T27" i="23"/>
  <c r="T227" i="9"/>
  <c r="E52" i="36"/>
  <c r="H52" i="36"/>
  <c r="AF52" i="36"/>
  <c r="O104" i="12"/>
  <c r="BG224" i="21"/>
  <c r="Q104" i="12"/>
  <c r="Q93" i="12"/>
  <c r="O93" i="12"/>
  <c r="BG213" i="21"/>
  <c r="E63" i="4"/>
  <c r="Q266" i="9"/>
  <c r="R266" i="9"/>
  <c r="B266" i="22"/>
  <c r="L65" i="4"/>
  <c r="L125" i="12"/>
  <c r="AT245" i="21"/>
  <c r="L77" i="2"/>
  <c r="L272" i="9"/>
  <c r="Q272" i="9"/>
  <c r="R272" i="9"/>
  <c r="B272" i="22"/>
  <c r="O80" i="12"/>
  <c r="BG200" i="21"/>
  <c r="Q80" i="12"/>
  <c r="BC175" i="21"/>
  <c r="T28" i="23"/>
  <c r="T228" i="9"/>
  <c r="Q270" i="9"/>
  <c r="R270" i="9"/>
  <c r="B270" i="22"/>
  <c r="AR213" i="8"/>
  <c r="AR212" i="8"/>
  <c r="AR211" i="8"/>
  <c r="AR210" i="8"/>
  <c r="AR209" i="8"/>
  <c r="AI213" i="8"/>
  <c r="F164" i="25"/>
  <c r="AH264" i="21"/>
  <c r="F165" i="25"/>
  <c r="AH265" i="21"/>
  <c r="F162" i="25"/>
  <c r="AH262" i="21"/>
  <c r="F163" i="25"/>
  <c r="AH263" i="21"/>
  <c r="F110" i="25"/>
  <c r="AH210" i="21"/>
  <c r="F111" i="25"/>
  <c r="AH211" i="21"/>
  <c r="F112" i="25"/>
  <c r="AH212" i="21"/>
  <c r="F113" i="25"/>
  <c r="AH213" i="21"/>
  <c r="F114" i="25"/>
  <c r="AH214" i="21"/>
  <c r="F115" i="25"/>
  <c r="AH215" i="21"/>
  <c r="F116" i="25"/>
  <c r="AH216" i="21"/>
  <c r="F117" i="25"/>
  <c r="AH217" i="21"/>
  <c r="F118" i="25"/>
  <c r="AH218" i="21"/>
  <c r="F119" i="25"/>
  <c r="AH219" i="21"/>
  <c r="F120" i="25"/>
  <c r="AH220" i="21"/>
  <c r="F121" i="25"/>
  <c r="AH221" i="21"/>
  <c r="F122" i="25"/>
  <c r="AH222" i="21"/>
  <c r="F123" i="25"/>
  <c r="AH223" i="21"/>
  <c r="F124" i="25"/>
  <c r="AH224" i="21"/>
  <c r="F125" i="25"/>
  <c r="AH225" i="21"/>
  <c r="F126" i="25"/>
  <c r="AH226" i="21"/>
  <c r="F127" i="25"/>
  <c r="AH227" i="21"/>
  <c r="F128" i="25"/>
  <c r="AH228" i="21"/>
  <c r="F129" i="25"/>
  <c r="AH229" i="21"/>
  <c r="F130" i="25"/>
  <c r="AH230" i="21"/>
  <c r="F131" i="25"/>
  <c r="AH231" i="21"/>
  <c r="F132" i="25"/>
  <c r="AH232" i="21"/>
  <c r="F133" i="25"/>
  <c r="AH233" i="21"/>
  <c r="F134" i="25"/>
  <c r="AH234" i="21"/>
  <c r="F135" i="25"/>
  <c r="AH235" i="21"/>
  <c r="F136" i="25"/>
  <c r="AH236" i="21"/>
  <c r="F137" i="25"/>
  <c r="AH237" i="21"/>
  <c r="F138" i="25"/>
  <c r="AH238" i="21"/>
  <c r="F139" i="25"/>
  <c r="AH239" i="21"/>
  <c r="F140" i="25"/>
  <c r="AH240" i="21"/>
  <c r="F141" i="25"/>
  <c r="AH241" i="21"/>
  <c r="F142" i="25"/>
  <c r="AH242" i="21"/>
  <c r="F143" i="25"/>
  <c r="AH243" i="21"/>
  <c r="F144" i="25"/>
  <c r="AH244" i="21"/>
  <c r="F145" i="25"/>
  <c r="AH245" i="21"/>
  <c r="F146" i="25"/>
  <c r="AH246" i="21"/>
  <c r="F147" i="25"/>
  <c r="AH247" i="21"/>
  <c r="F148" i="25"/>
  <c r="F158" i="25"/>
  <c r="AH258" i="21"/>
  <c r="F159" i="25"/>
  <c r="AH259" i="21"/>
  <c r="F160" i="25"/>
  <c r="AH260" i="21"/>
  <c r="F161" i="25"/>
  <c r="AH261" i="21"/>
  <c r="F168" i="25"/>
  <c r="AH268" i="21"/>
  <c r="F169" i="25"/>
  <c r="AH269" i="21"/>
  <c r="F166" i="25"/>
  <c r="AH266" i="21"/>
  <c r="F167" i="25"/>
  <c r="AH267" i="21"/>
  <c r="I144" i="25"/>
  <c r="I128" i="25"/>
  <c r="I112" i="25"/>
  <c r="I135" i="25"/>
  <c r="I119" i="25"/>
  <c r="I142" i="25"/>
  <c r="I126" i="25"/>
  <c r="I110" i="25"/>
  <c r="I133" i="25"/>
  <c r="I117" i="25"/>
  <c r="F172" i="25"/>
  <c r="F174" i="25"/>
  <c r="I140" i="25"/>
  <c r="I124" i="25"/>
  <c r="I147" i="25"/>
  <c r="I131" i="25"/>
  <c r="I115" i="25"/>
  <c r="I138" i="25"/>
  <c r="I122" i="25"/>
  <c r="I145" i="25"/>
  <c r="I129" i="25"/>
  <c r="I113" i="25"/>
  <c r="F171" i="25"/>
  <c r="F179" i="25"/>
  <c r="I136" i="25"/>
  <c r="I120" i="25"/>
  <c r="I143" i="25"/>
  <c r="I127" i="25"/>
  <c r="I111" i="25"/>
  <c r="I134" i="25"/>
  <c r="I118" i="25"/>
  <c r="I141" i="25"/>
  <c r="I125" i="25"/>
  <c r="F176" i="25"/>
  <c r="F178" i="25"/>
  <c r="F170" i="25"/>
  <c r="I148" i="25"/>
  <c r="I132" i="25"/>
  <c r="I116" i="25"/>
  <c r="I139" i="25"/>
  <c r="I123" i="25"/>
  <c r="I146" i="25"/>
  <c r="I130" i="25"/>
  <c r="I114" i="25"/>
  <c r="I137" i="25"/>
  <c r="I121" i="25"/>
  <c r="F175" i="25"/>
  <c r="F173" i="25"/>
  <c r="F177" i="25"/>
  <c r="BN279" i="21"/>
  <c r="AS143" i="8"/>
  <c r="BA142" i="8"/>
  <c r="AQ200" i="8"/>
  <c r="AY199" i="8"/>
  <c r="S99" i="25"/>
  <c r="BB199" i="8"/>
  <c r="AK197" i="8"/>
  <c r="AK198" i="8"/>
  <c r="AK199" i="8"/>
  <c r="AK200" i="8"/>
  <c r="AK201" i="8"/>
  <c r="AK202" i="8"/>
  <c r="AK203" i="8"/>
  <c r="AK204" i="8"/>
  <c r="AK205" i="8"/>
  <c r="AK206" i="8"/>
  <c r="AK207" i="8"/>
  <c r="AK208" i="8"/>
  <c r="AK209" i="8"/>
  <c r="AE198" i="8"/>
  <c r="AE199" i="8"/>
  <c r="AE200" i="8"/>
  <c r="AE201" i="8"/>
  <c r="AE202" i="8"/>
  <c r="AE203" i="8"/>
  <c r="AE204" i="8"/>
  <c r="AE205" i="8"/>
  <c r="AE206" i="8"/>
  <c r="AE207" i="8"/>
  <c r="AE208" i="8"/>
  <c r="AE209" i="8"/>
  <c r="AE210" i="8"/>
  <c r="AE211" i="8"/>
  <c r="AE212" i="8"/>
  <c r="U41" i="25"/>
  <c r="AB114" i="8"/>
  <c r="AT196" i="8"/>
  <c r="AH197" i="8"/>
  <c r="AN197" i="8"/>
  <c r="AN198" i="8"/>
  <c r="AN199" i="8"/>
  <c r="AN200" i="8"/>
  <c r="AN201" i="8"/>
  <c r="AN202" i="8"/>
  <c r="AN203" i="8"/>
  <c r="AN204" i="8"/>
  <c r="AN205" i="8"/>
  <c r="AN206" i="8"/>
  <c r="AN207" i="8"/>
  <c r="AN208" i="8"/>
  <c r="AN209" i="8"/>
  <c r="AG272" i="36"/>
  <c r="AF272" i="36"/>
  <c r="K272" i="22"/>
  <c r="E123" i="12"/>
  <c r="AI243" i="21"/>
  <c r="L63" i="4"/>
  <c r="L123" i="12"/>
  <c r="AT243" i="21"/>
  <c r="E130" i="12"/>
  <c r="AI250" i="21"/>
  <c r="AO57" i="4"/>
  <c r="L70" i="4"/>
  <c r="L130" i="12"/>
  <c r="AT250" i="21"/>
  <c r="AG264" i="36"/>
  <c r="AF264" i="36"/>
  <c r="K264" i="22"/>
  <c r="AG250" i="21"/>
  <c r="J251" i="9"/>
  <c r="E16" i="36"/>
  <c r="H16" i="36"/>
  <c r="AF16" i="36"/>
  <c r="L56" i="4"/>
  <c r="L116" i="12"/>
  <c r="AT236" i="21"/>
  <c r="E116" i="12"/>
  <c r="AI236" i="21"/>
  <c r="E121" i="12"/>
  <c r="AI241" i="21"/>
  <c r="L61" i="4"/>
  <c r="L121" i="12"/>
  <c r="AT241" i="21"/>
  <c r="AO55" i="4"/>
  <c r="L50" i="4"/>
  <c r="M249" i="21"/>
  <c r="N302" i="43"/>
  <c r="Q302" i="43"/>
  <c r="J302" i="22"/>
  <c r="AG261" i="36"/>
  <c r="AF261" i="36"/>
  <c r="K261" i="22"/>
  <c r="E115" i="12"/>
  <c r="AI235" i="21"/>
  <c r="L55" i="4"/>
  <c r="L115" i="12"/>
  <c r="AT235" i="21"/>
  <c r="E120" i="12"/>
  <c r="AI240" i="21"/>
  <c r="L60" i="4"/>
  <c r="AO56" i="4"/>
  <c r="E132" i="12"/>
  <c r="AI252" i="21"/>
  <c r="L72" i="4"/>
  <c r="L132" i="12"/>
  <c r="AT252" i="21"/>
  <c r="L59" i="4"/>
  <c r="L119" i="12"/>
  <c r="AT239" i="21"/>
  <c r="E119" i="12"/>
  <c r="AI239" i="21"/>
  <c r="AR253" i="21"/>
  <c r="BC253" i="21"/>
  <c r="Q253" i="9"/>
  <c r="R253" i="9"/>
  <c r="B253" i="22"/>
  <c r="L249" i="9"/>
  <c r="AG274" i="36"/>
  <c r="AF274" i="36"/>
  <c r="K274" i="22"/>
  <c r="L21" i="2"/>
  <c r="E129" i="12"/>
  <c r="AI249" i="21"/>
  <c r="L69" i="4"/>
  <c r="L129" i="12"/>
  <c r="AT249" i="21"/>
  <c r="E113" i="12"/>
  <c r="AI233" i="21"/>
  <c r="L53" i="4"/>
  <c r="L113" i="12"/>
  <c r="AT233" i="21"/>
  <c r="L68" i="4"/>
  <c r="L128" i="12"/>
  <c r="AT248" i="21"/>
  <c r="E128" i="12"/>
  <c r="AI248" i="21"/>
  <c r="AG270" i="36"/>
  <c r="AF270" i="36"/>
  <c r="K270" i="22"/>
  <c r="AG266" i="36"/>
  <c r="AF266" i="36"/>
  <c r="K266" i="22"/>
  <c r="AA64" i="39"/>
  <c r="AK64" i="39"/>
  <c r="F64" i="39"/>
  <c r="P64" i="39"/>
  <c r="F64" i="38"/>
  <c r="AG257" i="36"/>
  <c r="AF257" i="36"/>
  <c r="K257" i="22"/>
  <c r="AG258" i="36"/>
  <c r="AF258" i="36"/>
  <c r="K258" i="22"/>
  <c r="E127" i="12"/>
  <c r="AI247" i="21"/>
  <c r="L67" i="4"/>
  <c r="L127" i="12"/>
  <c r="AT247" i="21"/>
  <c r="E118" i="12"/>
  <c r="AI238" i="21"/>
  <c r="L58" i="4"/>
  <c r="L118" i="12"/>
  <c r="AT238" i="21"/>
  <c r="E131" i="12"/>
  <c r="AI251" i="21"/>
  <c r="L71" i="4"/>
  <c r="L131" i="12"/>
  <c r="AT251" i="21"/>
  <c r="L54" i="4"/>
  <c r="L114" i="12"/>
  <c r="AT234" i="21"/>
  <c r="E114" i="12"/>
  <c r="AI234" i="21"/>
  <c r="B250" i="21"/>
  <c r="K251" i="9"/>
  <c r="AG273" i="36"/>
  <c r="AF273" i="36"/>
  <c r="K273" i="22"/>
  <c r="AO268" i="21"/>
  <c r="BD268" i="21"/>
  <c r="BN268" i="21"/>
  <c r="AO258" i="21"/>
  <c r="BD258" i="21"/>
  <c r="BN258" i="21"/>
  <c r="AO245" i="21"/>
  <c r="BD245" i="21"/>
  <c r="BN245" i="21"/>
  <c r="AO241" i="21"/>
  <c r="BD241" i="21"/>
  <c r="BN241" i="21"/>
  <c r="AO237" i="21"/>
  <c r="BD237" i="21"/>
  <c r="BN237" i="21"/>
  <c r="AO233" i="21"/>
  <c r="BD233" i="21"/>
  <c r="BN233" i="21"/>
  <c r="AO229" i="21"/>
  <c r="BD229" i="21"/>
  <c r="BN229" i="21"/>
  <c r="AO225" i="21"/>
  <c r="BD225" i="21"/>
  <c r="BN225" i="21"/>
  <c r="AO221" i="21"/>
  <c r="BD221" i="21"/>
  <c r="BN221" i="21"/>
  <c r="AO217" i="21"/>
  <c r="BD217" i="21"/>
  <c r="BN217" i="21"/>
  <c r="AO213" i="21"/>
  <c r="BD213" i="21"/>
  <c r="BN213" i="21"/>
  <c r="AO263" i="21"/>
  <c r="BD263" i="21"/>
  <c r="BN263" i="21"/>
  <c r="AR208" i="8"/>
  <c r="AZ209" i="8"/>
  <c r="T109" i="25"/>
  <c r="AO267" i="21"/>
  <c r="BD267" i="21"/>
  <c r="BN267" i="21"/>
  <c r="BD261" i="21"/>
  <c r="BN261" i="21"/>
  <c r="AO261" i="21"/>
  <c r="AH248" i="21"/>
  <c r="F149" i="25"/>
  <c r="AO244" i="21"/>
  <c r="BD244" i="21"/>
  <c r="BN244" i="21"/>
  <c r="BD240" i="21"/>
  <c r="BN240" i="21"/>
  <c r="AO240" i="21"/>
  <c r="AO236" i="21"/>
  <c r="BD236" i="21"/>
  <c r="BN236" i="21"/>
  <c r="BD232" i="21"/>
  <c r="BN232" i="21"/>
  <c r="AO232" i="21"/>
  <c r="AO228" i="21"/>
  <c r="BD228" i="21"/>
  <c r="BN228" i="21"/>
  <c r="AO224" i="21"/>
  <c r="BD224" i="21"/>
  <c r="BN224" i="21"/>
  <c r="AO220" i="21"/>
  <c r="BD220" i="21"/>
  <c r="BN220" i="21"/>
  <c r="AO216" i="21"/>
  <c r="BD216" i="21"/>
  <c r="BN216" i="21"/>
  <c r="AO212" i="21"/>
  <c r="BD212" i="21"/>
  <c r="BN212" i="21"/>
  <c r="AO262" i="21"/>
  <c r="BD262" i="21"/>
  <c r="BN262" i="21"/>
  <c r="BD266" i="21"/>
  <c r="BN266" i="21"/>
  <c r="AO266" i="21"/>
  <c r="AO260" i="21"/>
  <c r="BD260" i="21"/>
  <c r="BN260" i="21"/>
  <c r="AO247" i="21"/>
  <c r="BD247" i="21"/>
  <c r="BN247" i="21"/>
  <c r="AO243" i="21"/>
  <c r="BD243" i="21"/>
  <c r="BN243" i="21"/>
  <c r="BD239" i="21"/>
  <c r="BN239" i="21"/>
  <c r="AO239" i="21"/>
  <c r="AO235" i="21"/>
  <c r="BD235" i="21"/>
  <c r="BN235" i="21"/>
  <c r="BD231" i="21"/>
  <c r="BN231" i="21"/>
  <c r="AO231" i="21"/>
  <c r="AO227" i="21"/>
  <c r="BD227" i="21"/>
  <c r="BN227" i="21"/>
  <c r="AO223" i="21"/>
  <c r="BD223" i="21"/>
  <c r="BN223" i="21"/>
  <c r="AO219" i="21"/>
  <c r="BD219" i="21"/>
  <c r="BN219" i="21"/>
  <c r="AO215" i="21"/>
  <c r="BD215" i="21"/>
  <c r="BN215" i="21"/>
  <c r="AO211" i="21"/>
  <c r="BD211" i="21"/>
  <c r="BN211" i="21"/>
  <c r="AO265" i="21"/>
  <c r="BD265" i="21"/>
  <c r="BN265" i="21"/>
  <c r="BD269" i="21"/>
  <c r="BN269" i="21"/>
  <c r="AO269" i="21"/>
  <c r="BD259" i="21"/>
  <c r="BN259" i="21"/>
  <c r="AO259" i="21"/>
  <c r="BD246" i="21"/>
  <c r="BN246" i="21"/>
  <c r="AO246" i="21"/>
  <c r="BD242" i="21"/>
  <c r="BN242" i="21"/>
  <c r="AO242" i="21"/>
  <c r="BD238" i="21"/>
  <c r="BN238" i="21"/>
  <c r="AO238" i="21"/>
  <c r="AO234" i="21"/>
  <c r="BD234" i="21"/>
  <c r="BN234" i="21"/>
  <c r="AO230" i="21"/>
  <c r="BD230" i="21"/>
  <c r="BN230" i="21"/>
  <c r="AO226" i="21"/>
  <c r="BD226" i="21"/>
  <c r="BN226" i="21"/>
  <c r="AO222" i="21"/>
  <c r="BD222" i="21"/>
  <c r="BN222" i="21"/>
  <c r="AO218" i="21"/>
  <c r="BD218" i="21"/>
  <c r="BN218" i="21"/>
  <c r="AO214" i="21"/>
  <c r="BD214" i="21"/>
  <c r="BN214" i="21"/>
  <c r="AO210" i="21"/>
  <c r="BD210" i="21"/>
  <c r="BN210" i="21"/>
  <c r="AO264" i="21"/>
  <c r="BD264" i="21"/>
  <c r="BN264" i="21"/>
  <c r="AB115" i="8"/>
  <c r="AY200" i="8"/>
  <c r="S100" i="25"/>
  <c r="AQ201" i="8"/>
  <c r="BB200" i="8"/>
  <c r="U42" i="25"/>
  <c r="AT195" i="8"/>
  <c r="AH196" i="8"/>
  <c r="AN196" i="8"/>
  <c r="AS144" i="8"/>
  <c r="BA143" i="8"/>
  <c r="B251" i="21"/>
  <c r="K252" i="9"/>
  <c r="B252" i="21"/>
  <c r="AU55" i="4"/>
  <c r="M250" i="21"/>
  <c r="AG251" i="21"/>
  <c r="J252" i="9"/>
  <c r="AR249" i="21"/>
  <c r="BC249" i="21"/>
  <c r="L250" i="9"/>
  <c r="Q249" i="9"/>
  <c r="R249" i="9"/>
  <c r="B249" i="22"/>
  <c r="AU56" i="4"/>
  <c r="L120" i="12"/>
  <c r="AT240" i="21"/>
  <c r="AG253" i="36"/>
  <c r="AF253" i="36"/>
  <c r="K253" i="22"/>
  <c r="AO248" i="21"/>
  <c r="BD248" i="21"/>
  <c r="BN248" i="21"/>
  <c r="AH249" i="21"/>
  <c r="F150" i="25"/>
  <c r="AR207" i="8"/>
  <c r="AZ208" i="8"/>
  <c r="T108" i="25"/>
  <c r="AY201" i="8"/>
  <c r="S101" i="25"/>
  <c r="AQ202" i="8"/>
  <c r="BB201" i="8"/>
  <c r="U43" i="25"/>
  <c r="AB116" i="8"/>
  <c r="AS145" i="8"/>
  <c r="BA144" i="8"/>
  <c r="AT194" i="8"/>
  <c r="AH195" i="8"/>
  <c r="AN195" i="8"/>
  <c r="AG249" i="36"/>
  <c r="AF249" i="36"/>
  <c r="K249" i="22"/>
  <c r="AG252" i="21"/>
  <c r="AR250" i="21"/>
  <c r="BC250" i="21"/>
  <c r="L251" i="9"/>
  <c r="Q250" i="9"/>
  <c r="R250" i="9"/>
  <c r="B250" i="22"/>
  <c r="M252" i="21"/>
  <c r="M251" i="21"/>
  <c r="AR206" i="8"/>
  <c r="AZ207" i="8"/>
  <c r="T107" i="25"/>
  <c r="AO249" i="21"/>
  <c r="BD249" i="21"/>
  <c r="BN249" i="21"/>
  <c r="AH250" i="21"/>
  <c r="F151" i="25"/>
  <c r="AS146" i="8"/>
  <c r="BA145" i="8"/>
  <c r="U44" i="25"/>
  <c r="AY202" i="8"/>
  <c r="S102" i="25"/>
  <c r="AQ203" i="8"/>
  <c r="BB202" i="8"/>
  <c r="AT193" i="8"/>
  <c r="AH194" i="8"/>
  <c r="AN194" i="8"/>
  <c r="AB117" i="8"/>
  <c r="AG250" i="36"/>
  <c r="AF250" i="36"/>
  <c r="K250" i="22"/>
  <c r="AR251" i="21"/>
  <c r="BC251" i="21"/>
  <c r="L252" i="9"/>
  <c r="Q251" i="9"/>
  <c r="R251" i="9"/>
  <c r="B251" i="22"/>
  <c r="AH251" i="21"/>
  <c r="F152" i="25"/>
  <c r="AO250" i="21"/>
  <c r="BD250" i="21"/>
  <c r="BN250" i="21"/>
  <c r="AR205" i="8"/>
  <c r="AZ206" i="8"/>
  <c r="T106" i="25"/>
  <c r="AT192" i="8"/>
  <c r="AH193" i="8"/>
  <c r="AN193" i="8"/>
  <c r="AS147" i="8"/>
  <c r="BA146" i="8"/>
  <c r="U45" i="25"/>
  <c r="AQ204" i="8"/>
  <c r="BB203" i="8"/>
  <c r="AY203" i="8"/>
  <c r="S103" i="25"/>
  <c r="AB118" i="8"/>
  <c r="AR252" i="21"/>
  <c r="BC252" i="21"/>
  <c r="Q252" i="9"/>
  <c r="R252" i="9"/>
  <c r="B252" i="22"/>
  <c r="AG251" i="36"/>
  <c r="AF251" i="36"/>
  <c r="K251" i="22"/>
  <c r="AH252" i="21"/>
  <c r="F153" i="25"/>
  <c r="AR204" i="8"/>
  <c r="AZ205" i="8"/>
  <c r="T105" i="25"/>
  <c r="AO251" i="21"/>
  <c r="BD251" i="21"/>
  <c r="BN251" i="21"/>
  <c r="AY204" i="8"/>
  <c r="S104" i="25"/>
  <c r="AQ205" i="8"/>
  <c r="BB204" i="8"/>
  <c r="AS148" i="8"/>
  <c r="BA147" i="8"/>
  <c r="U46" i="25"/>
  <c r="AB119" i="8"/>
  <c r="AT191" i="8"/>
  <c r="AH192" i="8"/>
  <c r="AN192" i="8"/>
  <c r="AG252" i="36"/>
  <c r="AF252" i="36"/>
  <c r="K252" i="22"/>
  <c r="AH253" i="21"/>
  <c r="F154" i="25"/>
  <c r="AR203" i="8"/>
  <c r="AZ204" i="8"/>
  <c r="T104" i="25"/>
  <c r="BD252" i="21"/>
  <c r="BN252" i="21"/>
  <c r="AO252" i="21"/>
  <c r="AB120" i="8"/>
  <c r="AS149" i="8"/>
  <c r="BA148" i="8"/>
  <c r="AY205" i="8"/>
  <c r="S105" i="25"/>
  <c r="AQ206" i="8"/>
  <c r="BB205" i="8"/>
  <c r="AT190" i="8"/>
  <c r="AH191" i="8"/>
  <c r="AN191" i="8"/>
  <c r="U47" i="25"/>
  <c r="AR202" i="8"/>
  <c r="AZ203" i="8"/>
  <c r="T103" i="25"/>
  <c r="AH254" i="21"/>
  <c r="F155" i="25"/>
  <c r="BD253" i="21"/>
  <c r="BN253" i="21"/>
  <c r="AO253" i="21"/>
  <c r="AT189" i="8"/>
  <c r="AH190" i="8"/>
  <c r="AN190" i="8"/>
  <c r="AB121" i="8"/>
  <c r="AS150" i="8"/>
  <c r="BA149" i="8"/>
  <c r="AY206" i="8"/>
  <c r="S106" i="25"/>
  <c r="AQ207" i="8"/>
  <c r="BB206" i="8"/>
  <c r="U48" i="25"/>
  <c r="AZ202" i="8"/>
  <c r="T102" i="25"/>
  <c r="AR201" i="8"/>
  <c r="BD254" i="21"/>
  <c r="BN254" i="21"/>
  <c r="AO254" i="21"/>
  <c r="AH255" i="21"/>
  <c r="F156" i="25"/>
  <c r="U49" i="25"/>
  <c r="AS151" i="8"/>
  <c r="BA150" i="8"/>
  <c r="AT188" i="8"/>
  <c r="AH189" i="8"/>
  <c r="AN189" i="8"/>
  <c r="AQ208" i="8"/>
  <c r="AY207" i="8"/>
  <c r="S107" i="25"/>
  <c r="BB207" i="8"/>
  <c r="AB122" i="8"/>
  <c r="AH256" i="21"/>
  <c r="F157" i="25"/>
  <c r="AH257" i="21"/>
  <c r="BD255" i="21"/>
  <c r="BN255" i="21"/>
  <c r="AO255" i="21"/>
  <c r="AR200" i="8"/>
  <c r="AZ201" i="8"/>
  <c r="T101" i="25"/>
  <c r="AQ209" i="8"/>
  <c r="AY208" i="8"/>
  <c r="S108" i="25"/>
  <c r="BB208" i="8"/>
  <c r="BA151" i="8"/>
  <c r="AS152" i="8"/>
  <c r="AT187" i="8"/>
  <c r="AH188" i="8"/>
  <c r="AN188" i="8"/>
  <c r="AB123" i="8"/>
  <c r="U50" i="25"/>
  <c r="AR199" i="8"/>
  <c r="AZ200" i="8"/>
  <c r="T100" i="25"/>
  <c r="AO257" i="21"/>
  <c r="BD257" i="21"/>
  <c r="BN257" i="21"/>
  <c r="BD256" i="21"/>
  <c r="BN256" i="21"/>
  <c r="AO256" i="21"/>
  <c r="U51" i="25"/>
  <c r="AT186" i="8"/>
  <c r="AH187" i="8"/>
  <c r="AN187" i="8"/>
  <c r="AB124" i="8"/>
  <c r="AS153" i="8"/>
  <c r="BA152" i="8"/>
  <c r="AY209" i="8"/>
  <c r="S109" i="25"/>
  <c r="BB209" i="8"/>
  <c r="AQ210" i="8"/>
  <c r="AQ211" i="8"/>
  <c r="AQ212" i="8"/>
  <c r="AZ199" i="8"/>
  <c r="T99" i="25"/>
  <c r="AR198" i="8"/>
  <c r="AS154" i="8"/>
  <c r="BA153" i="8"/>
  <c r="AT185" i="8"/>
  <c r="AH186" i="8"/>
  <c r="AN186" i="8"/>
  <c r="U52" i="25"/>
  <c r="AB125" i="8"/>
  <c r="AR197" i="8"/>
  <c r="AZ198" i="8"/>
  <c r="T98" i="25"/>
  <c r="AT184" i="8"/>
  <c r="AH185" i="8"/>
  <c r="AN185" i="8"/>
  <c r="U53" i="25"/>
  <c r="AB126" i="8"/>
  <c r="AS155" i="8"/>
  <c r="BA154" i="8"/>
  <c r="AZ197" i="8"/>
  <c r="AR196" i="8"/>
  <c r="AS156" i="8"/>
  <c r="BA155" i="8"/>
  <c r="AB127" i="8"/>
  <c r="U54" i="25"/>
  <c r="AT183" i="8"/>
  <c r="AH184" i="8"/>
  <c r="AN184" i="8"/>
  <c r="AZ196" i="8"/>
  <c r="AR195" i="8"/>
  <c r="AF197" i="8"/>
  <c r="T97" i="25"/>
  <c r="U55" i="25"/>
  <c r="AH183" i="8"/>
  <c r="AN183" i="8"/>
  <c r="AT182" i="8"/>
  <c r="AB128" i="8"/>
  <c r="AS157" i="8"/>
  <c r="BA156" i="8"/>
  <c r="AR194" i="8"/>
  <c r="AZ195" i="8"/>
  <c r="AL197" i="8"/>
  <c r="AL198" i="8"/>
  <c r="AL199" i="8"/>
  <c r="AL200" i="8"/>
  <c r="AL201" i="8"/>
  <c r="AL202" i="8"/>
  <c r="AL203" i="8"/>
  <c r="AL204" i="8"/>
  <c r="AL205" i="8"/>
  <c r="AL206" i="8"/>
  <c r="AL207" i="8"/>
  <c r="AL208" i="8"/>
  <c r="AL209" i="8"/>
  <c r="AF198" i="8"/>
  <c r="AF199" i="8"/>
  <c r="AF200" i="8"/>
  <c r="AF201" i="8"/>
  <c r="AF202" i="8"/>
  <c r="AF203" i="8"/>
  <c r="AF204" i="8"/>
  <c r="AF205" i="8"/>
  <c r="AF206" i="8"/>
  <c r="AF207" i="8"/>
  <c r="AF208" i="8"/>
  <c r="AF209" i="8"/>
  <c r="AF210" i="8"/>
  <c r="AF211" i="8"/>
  <c r="AF212" i="8"/>
  <c r="T96" i="25"/>
  <c r="AF196" i="8"/>
  <c r="AL196" i="8"/>
  <c r="AT181" i="8"/>
  <c r="AH182" i="8"/>
  <c r="AN182" i="8"/>
  <c r="U56" i="25"/>
  <c r="AB129" i="8"/>
  <c r="AS158" i="8"/>
  <c r="BA157" i="8"/>
  <c r="T95" i="25"/>
  <c r="AF195" i="8"/>
  <c r="AL195" i="8"/>
  <c r="AR193" i="8"/>
  <c r="AZ194" i="8"/>
  <c r="AB130" i="8"/>
  <c r="U57" i="25"/>
  <c r="AS159" i="8"/>
  <c r="BA158" i="8"/>
  <c r="AT180" i="8"/>
  <c r="AH181" i="8"/>
  <c r="AN181" i="8"/>
  <c r="AR192" i="8"/>
  <c r="AZ193" i="8"/>
  <c r="T94" i="25"/>
  <c r="AF194" i="8"/>
  <c r="AL194" i="8"/>
  <c r="AT179" i="8"/>
  <c r="AH180" i="8"/>
  <c r="AN180" i="8"/>
  <c r="U58" i="25"/>
  <c r="AS160" i="8"/>
  <c r="BA159" i="8"/>
  <c r="AB131" i="8"/>
  <c r="T93" i="25"/>
  <c r="AF193" i="8"/>
  <c r="AL193" i="8"/>
  <c r="AR191" i="8"/>
  <c r="AZ192" i="8"/>
  <c r="U59" i="25"/>
  <c r="AS161" i="8"/>
  <c r="BA160" i="8"/>
  <c r="AB132" i="8"/>
  <c r="AT178" i="8"/>
  <c r="AH179" i="8"/>
  <c r="AN179" i="8"/>
  <c r="AR190" i="8"/>
  <c r="AZ191" i="8"/>
  <c r="T92" i="25"/>
  <c r="AF192" i="8"/>
  <c r="AL192" i="8"/>
  <c r="AT177" i="8"/>
  <c r="AH178" i="8"/>
  <c r="AN178" i="8"/>
  <c r="AS162" i="8"/>
  <c r="BA161" i="8"/>
  <c r="AB133" i="8"/>
  <c r="U60" i="25"/>
  <c r="AF191" i="8"/>
  <c r="AL191" i="8"/>
  <c r="T91" i="25"/>
  <c r="AR189" i="8"/>
  <c r="AZ190" i="8"/>
  <c r="U61" i="25"/>
  <c r="AS163" i="8"/>
  <c r="BA162" i="8"/>
  <c r="AB134" i="8"/>
  <c r="AH177" i="8"/>
  <c r="AN177" i="8"/>
  <c r="AT176" i="8"/>
  <c r="AR188" i="8"/>
  <c r="AZ189" i="8"/>
  <c r="T90" i="25"/>
  <c r="AF190" i="8"/>
  <c r="AL190" i="8"/>
  <c r="AB135" i="8"/>
  <c r="U62" i="25"/>
  <c r="AS164" i="8"/>
  <c r="BA163" i="8"/>
  <c r="AT175" i="8"/>
  <c r="AH176" i="8"/>
  <c r="AN176" i="8"/>
  <c r="T89" i="25"/>
  <c r="AF189" i="8"/>
  <c r="AL189" i="8"/>
  <c r="AZ188" i="8"/>
  <c r="AR187" i="8"/>
  <c r="U63" i="25"/>
  <c r="AS165" i="8"/>
  <c r="BA164" i="8"/>
  <c r="AB136" i="8"/>
  <c r="AT174" i="8"/>
  <c r="AH175" i="8"/>
  <c r="AN175" i="8"/>
  <c r="AZ187" i="8"/>
  <c r="AR186" i="8"/>
  <c r="T88" i="25"/>
  <c r="AF188" i="8"/>
  <c r="AL188" i="8"/>
  <c r="AB137" i="8"/>
  <c r="AT173" i="8"/>
  <c r="AH174" i="8"/>
  <c r="AN174" i="8"/>
  <c r="U64" i="25"/>
  <c r="AS166" i="8"/>
  <c r="BA165" i="8"/>
  <c r="AR185" i="8"/>
  <c r="AZ186" i="8"/>
  <c r="T87" i="25"/>
  <c r="AF187" i="8"/>
  <c r="AL187" i="8"/>
  <c r="AS167" i="8"/>
  <c r="BA166" i="8"/>
  <c r="AT172" i="8"/>
  <c r="AH173" i="8"/>
  <c r="AN173" i="8"/>
  <c r="U65" i="25"/>
  <c r="AB138" i="8"/>
  <c r="T86" i="25"/>
  <c r="AF186" i="8"/>
  <c r="AL186" i="8"/>
  <c r="AR184" i="8"/>
  <c r="AZ185" i="8"/>
  <c r="U66" i="25"/>
  <c r="AT171" i="8"/>
  <c r="AH172" i="8"/>
  <c r="AN172" i="8"/>
  <c r="AS168" i="8"/>
  <c r="BA167" i="8"/>
  <c r="AB139" i="8"/>
  <c r="T85" i="25"/>
  <c r="AF185" i="8"/>
  <c r="AL185" i="8"/>
  <c r="AZ184" i="8"/>
  <c r="AR183" i="8"/>
  <c r="AT170" i="8"/>
  <c r="AH171" i="8"/>
  <c r="AN171" i="8"/>
  <c r="AS169" i="8"/>
  <c r="BA168" i="8"/>
  <c r="U67" i="25"/>
  <c r="AZ183" i="8"/>
  <c r="AR182" i="8"/>
  <c r="T84" i="25"/>
  <c r="AF184" i="8"/>
  <c r="AL184" i="8"/>
  <c r="U68" i="25"/>
  <c r="AT169" i="8"/>
  <c r="AH170" i="8"/>
  <c r="AN170" i="8"/>
  <c r="AS170" i="8"/>
  <c r="BA169" i="8"/>
  <c r="AR181" i="8"/>
  <c r="AZ182" i="8"/>
  <c r="AF183" i="8"/>
  <c r="AL183" i="8"/>
  <c r="T83" i="25"/>
  <c r="AS171" i="8"/>
  <c r="BA170" i="8"/>
  <c r="AT168" i="8"/>
  <c r="AH169" i="8"/>
  <c r="AN169" i="8"/>
  <c r="U69" i="25"/>
  <c r="AF182" i="8"/>
  <c r="AL182" i="8"/>
  <c r="T82" i="25"/>
  <c r="AR180" i="8"/>
  <c r="AZ181" i="8"/>
  <c r="U70" i="25"/>
  <c r="AG170" i="8"/>
  <c r="AM170" i="8"/>
  <c r="AT167" i="8"/>
  <c r="AH168" i="8"/>
  <c r="AG169" i="8"/>
  <c r="AM169" i="8"/>
  <c r="AS172" i="8"/>
  <c r="BA171" i="8"/>
  <c r="AR179" i="8"/>
  <c r="AZ180" i="8"/>
  <c r="AF181" i="8"/>
  <c r="AL181" i="8"/>
  <c r="T81" i="25"/>
  <c r="AN168" i="8"/>
  <c r="AG168" i="8"/>
  <c r="AM168" i="8"/>
  <c r="U71" i="25"/>
  <c r="AG171" i="8"/>
  <c r="AM171" i="8"/>
  <c r="AT166" i="8"/>
  <c r="AH167" i="8"/>
  <c r="BA172" i="8"/>
  <c r="AS173" i="8"/>
  <c r="AF180" i="8"/>
  <c r="AL180" i="8"/>
  <c r="T80" i="25"/>
  <c r="AZ179" i="8"/>
  <c r="AR178" i="8"/>
  <c r="BA173" i="8"/>
  <c r="AS174" i="8"/>
  <c r="U72" i="25"/>
  <c r="AG172" i="8"/>
  <c r="AM172" i="8"/>
  <c r="AN167" i="8"/>
  <c r="AG167" i="8"/>
  <c r="AM167" i="8"/>
  <c r="AT165" i="8"/>
  <c r="AH166" i="8"/>
  <c r="T79" i="25"/>
  <c r="AF179" i="8"/>
  <c r="AL179" i="8"/>
  <c r="AZ178" i="8"/>
  <c r="AR177" i="8"/>
  <c r="AN166" i="8"/>
  <c r="AG166" i="8"/>
  <c r="AM166" i="8"/>
  <c r="AT164" i="8"/>
  <c r="AH165" i="8"/>
  <c r="BA174" i="8"/>
  <c r="AS175" i="8"/>
  <c r="U73" i="25"/>
  <c r="AG173" i="8"/>
  <c r="AM173" i="8"/>
  <c r="AR176" i="8"/>
  <c r="AZ177" i="8"/>
  <c r="T78" i="25"/>
  <c r="AF178" i="8"/>
  <c r="AL178" i="8"/>
  <c r="BA175" i="8"/>
  <c r="AS176" i="8"/>
  <c r="U74" i="25"/>
  <c r="AG174" i="8"/>
  <c r="AM174" i="8"/>
  <c r="AN165" i="8"/>
  <c r="AG165" i="8"/>
  <c r="AM165" i="8"/>
  <c r="AT163" i="8"/>
  <c r="AH164" i="8"/>
  <c r="AF177" i="8"/>
  <c r="AL177" i="8"/>
  <c r="T77" i="25"/>
  <c r="AR175" i="8"/>
  <c r="AZ176" i="8"/>
  <c r="AN164" i="8"/>
  <c r="AG164" i="8"/>
  <c r="AM164" i="8"/>
  <c r="AT162" i="8"/>
  <c r="AH163" i="8"/>
  <c r="BA176" i="8"/>
  <c r="AS177" i="8"/>
  <c r="U75" i="25"/>
  <c r="AG175" i="8"/>
  <c r="AM175" i="8"/>
  <c r="BC176" i="8"/>
  <c r="BF176" i="8"/>
  <c r="H176" i="8"/>
  <c r="H176" i="9"/>
  <c r="AZ175" i="8"/>
  <c r="AR174" i="8"/>
  <c r="T76" i="25"/>
  <c r="AF176" i="8"/>
  <c r="AL176" i="8"/>
  <c r="BA177" i="8"/>
  <c r="BC177" i="8"/>
  <c r="BF177" i="8"/>
  <c r="H177" i="8"/>
  <c r="H177" i="9"/>
  <c r="AS178" i="8"/>
  <c r="U76" i="25"/>
  <c r="B76" i="25"/>
  <c r="C176" i="21"/>
  <c r="AG176" i="8"/>
  <c r="AM176" i="8"/>
  <c r="AN163" i="8"/>
  <c r="AG163" i="8"/>
  <c r="AM163" i="8"/>
  <c r="AT161" i="8"/>
  <c r="AH162" i="8"/>
  <c r="AZ174" i="8"/>
  <c r="AR173" i="8"/>
  <c r="AF175" i="8"/>
  <c r="AL175" i="8"/>
  <c r="T75" i="25"/>
  <c r="B75" i="25"/>
  <c r="C175" i="21"/>
  <c r="BC175" i="8"/>
  <c r="BF175" i="8"/>
  <c r="H175" i="8"/>
  <c r="H175" i="9"/>
  <c r="AN162" i="8"/>
  <c r="AG162" i="8"/>
  <c r="AM162" i="8"/>
  <c r="BD176" i="21"/>
  <c r="BN176" i="21"/>
  <c r="M176" i="21"/>
  <c r="BA178" i="8"/>
  <c r="BC178" i="8"/>
  <c r="BF178" i="8"/>
  <c r="H178" i="8"/>
  <c r="H178" i="9"/>
  <c r="AS179" i="8"/>
  <c r="AH161" i="8"/>
  <c r="AT160" i="8"/>
  <c r="U77" i="25"/>
  <c r="B77" i="25"/>
  <c r="C177" i="21"/>
  <c r="AG177" i="8"/>
  <c r="AM177" i="8"/>
  <c r="BD175" i="21"/>
  <c r="BN175" i="21"/>
  <c r="M175" i="21"/>
  <c r="AZ173" i="8"/>
  <c r="AR172" i="8"/>
  <c r="T74" i="25"/>
  <c r="B74" i="25"/>
  <c r="C174" i="21"/>
  <c r="AF174" i="8"/>
  <c r="AL174" i="8"/>
  <c r="BC174" i="8"/>
  <c r="BF174" i="8"/>
  <c r="H174" i="8"/>
  <c r="H174" i="9"/>
  <c r="U78" i="25"/>
  <c r="B78" i="25"/>
  <c r="C178" i="21"/>
  <c r="AG178" i="8"/>
  <c r="AM178" i="8"/>
  <c r="BD177" i="21"/>
  <c r="BN177" i="21"/>
  <c r="M177" i="21"/>
  <c r="AT159" i="8"/>
  <c r="AH160" i="8"/>
  <c r="BA179" i="8"/>
  <c r="BC179" i="8"/>
  <c r="BF179" i="8"/>
  <c r="H179" i="8"/>
  <c r="H179" i="9"/>
  <c r="AS180" i="8"/>
  <c r="AN161" i="8"/>
  <c r="AG161" i="8"/>
  <c r="AM161" i="8"/>
  <c r="AR171" i="8"/>
  <c r="AZ172" i="8"/>
  <c r="T73" i="25"/>
  <c r="B73" i="25"/>
  <c r="C173" i="21"/>
  <c r="AF173" i="8"/>
  <c r="AL173" i="8"/>
  <c r="BC173" i="8"/>
  <c r="BF173" i="8"/>
  <c r="H173" i="8"/>
  <c r="H173" i="9"/>
  <c r="BD174" i="21"/>
  <c r="BN174" i="21"/>
  <c r="M174" i="21"/>
  <c r="AT158" i="8"/>
  <c r="AH159" i="8"/>
  <c r="BA180" i="8"/>
  <c r="BC180" i="8"/>
  <c r="BF180" i="8"/>
  <c r="H180" i="8"/>
  <c r="H180" i="9"/>
  <c r="AS181" i="8"/>
  <c r="U79" i="25"/>
  <c r="B79" i="25"/>
  <c r="C179" i="21"/>
  <c r="AG179" i="8"/>
  <c r="AM179" i="8"/>
  <c r="AN160" i="8"/>
  <c r="AG160" i="8"/>
  <c r="AM160" i="8"/>
  <c r="BD178" i="21"/>
  <c r="BN178" i="21"/>
  <c r="M178" i="21"/>
  <c r="BD173" i="21"/>
  <c r="BN173" i="21"/>
  <c r="M173" i="21"/>
  <c r="T72" i="25"/>
  <c r="B72" i="25"/>
  <c r="C172" i="21"/>
  <c r="AF172" i="8"/>
  <c r="AL172" i="8"/>
  <c r="BC172" i="8"/>
  <c r="BF172" i="8"/>
  <c r="H172" i="8"/>
  <c r="H172" i="9"/>
  <c r="AZ171" i="8"/>
  <c r="AR170" i="8"/>
  <c r="BA181" i="8"/>
  <c r="BC181" i="8"/>
  <c r="BF181" i="8"/>
  <c r="H181" i="8"/>
  <c r="H181" i="9"/>
  <c r="AS182" i="8"/>
  <c r="U80" i="25"/>
  <c r="B80" i="25"/>
  <c r="C180" i="21"/>
  <c r="AG180" i="8"/>
  <c r="AM180" i="8"/>
  <c r="AN159" i="8"/>
  <c r="AG159" i="8"/>
  <c r="AM159" i="8"/>
  <c r="BD179" i="21"/>
  <c r="BN179" i="21"/>
  <c r="M179" i="21"/>
  <c r="AT157" i="8"/>
  <c r="AH158" i="8"/>
  <c r="BD172" i="21"/>
  <c r="BN172" i="21"/>
  <c r="M172" i="21"/>
  <c r="AR169" i="8"/>
  <c r="AZ170" i="8"/>
  <c r="T71" i="25"/>
  <c r="B71" i="25"/>
  <c r="C171" i="21"/>
  <c r="AF171" i="8"/>
  <c r="AL171" i="8"/>
  <c r="BC171" i="8"/>
  <c r="BF171" i="8"/>
  <c r="H171" i="8"/>
  <c r="H171" i="9"/>
  <c r="BA182" i="8"/>
  <c r="BC182" i="8"/>
  <c r="BF182" i="8"/>
  <c r="H182" i="8"/>
  <c r="H182" i="9"/>
  <c r="AS183" i="8"/>
  <c r="BD180" i="21"/>
  <c r="BN180" i="21"/>
  <c r="M180" i="21"/>
  <c r="AN158" i="8"/>
  <c r="AG158" i="8"/>
  <c r="AM158" i="8"/>
  <c r="AT156" i="8"/>
  <c r="AH157" i="8"/>
  <c r="U81" i="25"/>
  <c r="B81" i="25"/>
  <c r="C181" i="21"/>
  <c r="AG181" i="8"/>
  <c r="AM181" i="8"/>
  <c r="BC170" i="8"/>
  <c r="BF170" i="8"/>
  <c r="H170" i="8"/>
  <c r="H170" i="9"/>
  <c r="T70" i="25"/>
  <c r="B70" i="25"/>
  <c r="C170" i="21"/>
  <c r="AF170" i="8"/>
  <c r="AL170" i="8"/>
  <c r="AZ169" i="8"/>
  <c r="AR168" i="8"/>
  <c r="M171" i="21"/>
  <c r="BD171" i="21"/>
  <c r="BN171" i="21"/>
  <c r="BD181" i="21"/>
  <c r="BN181" i="21"/>
  <c r="M181" i="21"/>
  <c r="AH156" i="8"/>
  <c r="AT155" i="8"/>
  <c r="U82" i="25"/>
  <c r="B82" i="25"/>
  <c r="C182" i="21"/>
  <c r="AG182" i="8"/>
  <c r="AM182" i="8"/>
  <c r="AN157" i="8"/>
  <c r="AG157" i="8"/>
  <c r="AM157" i="8"/>
  <c r="BA183" i="8"/>
  <c r="BC183" i="8"/>
  <c r="BF183" i="8"/>
  <c r="H183" i="8"/>
  <c r="H183" i="9"/>
  <c r="AS184" i="8"/>
  <c r="AZ168" i="8"/>
  <c r="AR167" i="8"/>
  <c r="BC169" i="8"/>
  <c r="BF169" i="8"/>
  <c r="H169" i="8"/>
  <c r="H169" i="9"/>
  <c r="AF169" i="8"/>
  <c r="AL169" i="8"/>
  <c r="T69" i="25"/>
  <c r="B69" i="25"/>
  <c r="C169" i="21"/>
  <c r="BD170" i="21"/>
  <c r="BN170" i="21"/>
  <c r="M170" i="21"/>
  <c r="BA184" i="8"/>
  <c r="BC184" i="8"/>
  <c r="BF184" i="8"/>
  <c r="H184" i="8"/>
  <c r="H184" i="9"/>
  <c r="AS185" i="8"/>
  <c r="AT154" i="8"/>
  <c r="AH155" i="8"/>
  <c r="U83" i="25"/>
  <c r="B83" i="25"/>
  <c r="C183" i="21"/>
  <c r="AG183" i="8"/>
  <c r="AM183" i="8"/>
  <c r="BD182" i="21"/>
  <c r="BN182" i="21"/>
  <c r="M182" i="21"/>
  <c r="AN156" i="8"/>
  <c r="AG156" i="8"/>
  <c r="AM156" i="8"/>
  <c r="AR166" i="8"/>
  <c r="AZ167" i="8"/>
  <c r="BD169" i="21"/>
  <c r="BN169" i="21"/>
  <c r="M169" i="21"/>
  <c r="BC168" i="8"/>
  <c r="BF168" i="8"/>
  <c r="H168" i="8"/>
  <c r="H168" i="9"/>
  <c r="T68" i="25"/>
  <c r="B68" i="25"/>
  <c r="C168" i="21"/>
  <c r="AF168" i="8"/>
  <c r="AL168" i="8"/>
  <c r="BD183" i="21"/>
  <c r="BN183" i="21"/>
  <c r="M183" i="21"/>
  <c r="AT153" i="8"/>
  <c r="AH154" i="8"/>
  <c r="AN155" i="8"/>
  <c r="AG155" i="8"/>
  <c r="AM155" i="8"/>
  <c r="BA185" i="8"/>
  <c r="BC185" i="8"/>
  <c r="BF185" i="8"/>
  <c r="H185" i="8"/>
  <c r="H185" i="9"/>
  <c r="AS186" i="8"/>
  <c r="U84" i="25"/>
  <c r="B84" i="25"/>
  <c r="C184" i="21"/>
  <c r="AG184" i="8"/>
  <c r="AM184" i="8"/>
  <c r="BD168" i="21"/>
  <c r="BN168" i="21"/>
  <c r="M168" i="21"/>
  <c r="BC167" i="8"/>
  <c r="BF167" i="8"/>
  <c r="H167" i="8"/>
  <c r="H167" i="9"/>
  <c r="T67" i="25"/>
  <c r="B67" i="25"/>
  <c r="C167" i="21"/>
  <c r="AF167" i="8"/>
  <c r="AL167" i="8"/>
  <c r="AR165" i="8"/>
  <c r="AZ166" i="8"/>
  <c r="BD184" i="21"/>
  <c r="BN184" i="21"/>
  <c r="M184" i="21"/>
  <c r="AH153" i="8"/>
  <c r="AT152" i="8"/>
  <c r="U85" i="25"/>
  <c r="B85" i="25"/>
  <c r="C185" i="21"/>
  <c r="AG185" i="8"/>
  <c r="AM185" i="8"/>
  <c r="AN154" i="8"/>
  <c r="AG154" i="8"/>
  <c r="AM154" i="8"/>
  <c r="BA186" i="8"/>
  <c r="BC186" i="8"/>
  <c r="BF186" i="8"/>
  <c r="H186" i="8"/>
  <c r="H186" i="9"/>
  <c r="AS187" i="8"/>
  <c r="M167" i="21"/>
  <c r="BD167" i="21"/>
  <c r="BN167" i="21"/>
  <c r="BC166" i="8"/>
  <c r="BF166" i="8"/>
  <c r="H166" i="8"/>
  <c r="H166" i="9"/>
  <c r="AF166" i="8"/>
  <c r="AL166" i="8"/>
  <c r="T66" i="25"/>
  <c r="B66" i="25"/>
  <c r="C166" i="21"/>
  <c r="AR164" i="8"/>
  <c r="AZ165" i="8"/>
  <c r="BA187" i="8"/>
  <c r="BC187" i="8"/>
  <c r="BF187" i="8"/>
  <c r="H187" i="8"/>
  <c r="H187" i="9"/>
  <c r="AS188" i="8"/>
  <c r="U86" i="25"/>
  <c r="B86" i="25"/>
  <c r="C186" i="21"/>
  <c r="AG186" i="8"/>
  <c r="AM186" i="8"/>
  <c r="BD185" i="21"/>
  <c r="BN185" i="21"/>
  <c r="M185" i="21"/>
  <c r="AH152" i="8"/>
  <c r="AT151" i="8"/>
  <c r="AN153" i="8"/>
  <c r="AG153" i="8"/>
  <c r="AM153" i="8"/>
  <c r="BC165" i="8"/>
  <c r="BF165" i="8"/>
  <c r="H165" i="8"/>
  <c r="H165" i="9"/>
  <c r="T65" i="25"/>
  <c r="B65" i="25"/>
  <c r="C165" i="21"/>
  <c r="AF165" i="8"/>
  <c r="AL165" i="8"/>
  <c r="AR163" i="8"/>
  <c r="AZ164" i="8"/>
  <c r="BD166" i="21"/>
  <c r="BN166" i="21"/>
  <c r="M166" i="21"/>
  <c r="BD186" i="21"/>
  <c r="BN186" i="21"/>
  <c r="M186" i="21"/>
  <c r="AT150" i="8"/>
  <c r="AH151" i="8"/>
  <c r="BA188" i="8"/>
  <c r="BC188" i="8"/>
  <c r="BF188" i="8"/>
  <c r="H188" i="8"/>
  <c r="H188" i="9"/>
  <c r="AS189" i="8"/>
  <c r="AN152" i="8"/>
  <c r="AG152" i="8"/>
  <c r="AM152" i="8"/>
  <c r="U87" i="25"/>
  <c r="B87" i="25"/>
  <c r="C187" i="21"/>
  <c r="AG187" i="8"/>
  <c r="AM187" i="8"/>
  <c r="BC164" i="8"/>
  <c r="BF164" i="8"/>
  <c r="H164" i="8"/>
  <c r="H164" i="9"/>
  <c r="T64" i="25"/>
  <c r="B64" i="25"/>
  <c r="C164" i="21"/>
  <c r="AF164" i="8"/>
  <c r="AL164" i="8"/>
  <c r="AR162" i="8"/>
  <c r="AZ163" i="8"/>
  <c r="BD165" i="21"/>
  <c r="BN165" i="21"/>
  <c r="M165" i="21"/>
  <c r="BA189" i="8"/>
  <c r="BC189" i="8"/>
  <c r="BF189" i="8"/>
  <c r="H189" i="8"/>
  <c r="H189" i="9"/>
  <c r="AS190" i="8"/>
  <c r="AG188" i="8"/>
  <c r="AM188" i="8"/>
  <c r="U88" i="25"/>
  <c r="B88" i="25"/>
  <c r="C188" i="21"/>
  <c r="AN151" i="8"/>
  <c r="AG151" i="8"/>
  <c r="AM151" i="8"/>
  <c r="BD187" i="21"/>
  <c r="BN187" i="21"/>
  <c r="M187" i="21"/>
  <c r="AT149" i="8"/>
  <c r="AH150" i="8"/>
  <c r="AR161" i="8"/>
  <c r="AZ162" i="8"/>
  <c r="BD164" i="21"/>
  <c r="BN164" i="21"/>
  <c r="M164" i="21"/>
  <c r="BC163" i="8"/>
  <c r="BF163" i="8"/>
  <c r="H163" i="8"/>
  <c r="H163" i="9"/>
  <c r="T63" i="25"/>
  <c r="B63" i="25"/>
  <c r="C163" i="21"/>
  <c r="AF163" i="8"/>
  <c r="AL163" i="8"/>
  <c r="BD188" i="21"/>
  <c r="BN188" i="21"/>
  <c r="M188" i="21"/>
  <c r="AT148" i="8"/>
  <c r="AH149" i="8"/>
  <c r="AN150" i="8"/>
  <c r="AG150" i="8"/>
  <c r="AM150" i="8"/>
  <c r="BA190" i="8"/>
  <c r="BC190" i="8"/>
  <c r="BF190" i="8"/>
  <c r="H190" i="8"/>
  <c r="H190" i="9"/>
  <c r="AS191" i="8"/>
  <c r="U89" i="25"/>
  <c r="B89" i="25"/>
  <c r="C189" i="21"/>
  <c r="AG189" i="8"/>
  <c r="AM189" i="8"/>
  <c r="BD163" i="21"/>
  <c r="BN163" i="21"/>
  <c r="M163" i="21"/>
  <c r="BC162" i="8"/>
  <c r="BF162" i="8"/>
  <c r="H162" i="8"/>
  <c r="H162" i="9"/>
  <c r="AF162" i="8"/>
  <c r="AL162" i="8"/>
  <c r="T62" i="25"/>
  <c r="B62" i="25"/>
  <c r="C162" i="21"/>
  <c r="AR160" i="8"/>
  <c r="AZ161" i="8"/>
  <c r="BA191" i="8"/>
  <c r="BC191" i="8"/>
  <c r="BF191" i="8"/>
  <c r="H191" i="8"/>
  <c r="H191" i="9"/>
  <c r="AS192" i="8"/>
  <c r="BD189" i="21"/>
  <c r="BN189" i="21"/>
  <c r="M189" i="21"/>
  <c r="AG190" i="8"/>
  <c r="AM190" i="8"/>
  <c r="U90" i="25"/>
  <c r="B90" i="25"/>
  <c r="C190" i="21"/>
  <c r="AN149" i="8"/>
  <c r="AG149" i="8"/>
  <c r="AM149" i="8"/>
  <c r="AH148" i="8"/>
  <c r="AT147" i="8"/>
  <c r="BC161" i="8"/>
  <c r="BF161" i="8"/>
  <c r="H161" i="8"/>
  <c r="H161" i="9"/>
  <c r="AF161" i="8"/>
  <c r="AL161" i="8"/>
  <c r="T61" i="25"/>
  <c r="B61" i="25"/>
  <c r="C161" i="21"/>
  <c r="AR159" i="8"/>
  <c r="AZ160" i="8"/>
  <c r="BD162" i="21"/>
  <c r="BN162" i="21"/>
  <c r="M162" i="21"/>
  <c r="BD190" i="21"/>
  <c r="BN190" i="21"/>
  <c r="M190" i="21"/>
  <c r="BA192" i="8"/>
  <c r="BC192" i="8"/>
  <c r="BF192" i="8"/>
  <c r="H192" i="8"/>
  <c r="H192" i="9"/>
  <c r="AS193" i="8"/>
  <c r="AH147" i="8"/>
  <c r="AT146" i="8"/>
  <c r="AN148" i="8"/>
  <c r="AG148" i="8"/>
  <c r="AM148" i="8"/>
  <c r="U91" i="25"/>
  <c r="B91" i="25"/>
  <c r="C191" i="21"/>
  <c r="AG191" i="8"/>
  <c r="AM191" i="8"/>
  <c r="AZ159" i="8"/>
  <c r="AR158" i="8"/>
  <c r="BD161" i="21"/>
  <c r="BN161" i="21"/>
  <c r="M161" i="21"/>
  <c r="BC160" i="8"/>
  <c r="BF160" i="8"/>
  <c r="H160" i="8"/>
  <c r="H160" i="9"/>
  <c r="T60" i="25"/>
  <c r="B60" i="25"/>
  <c r="C160" i="21"/>
  <c r="AF160" i="8"/>
  <c r="AL160" i="8"/>
  <c r="AT145" i="8"/>
  <c r="AH146" i="8"/>
  <c r="AN147" i="8"/>
  <c r="AG147" i="8"/>
  <c r="AM147" i="8"/>
  <c r="BA193" i="8"/>
  <c r="BC193" i="8"/>
  <c r="BF193" i="8"/>
  <c r="H193" i="8"/>
  <c r="H193" i="9"/>
  <c r="AS194" i="8"/>
  <c r="BD191" i="21"/>
  <c r="BN191" i="21"/>
  <c r="M191" i="21"/>
  <c r="AG192" i="8"/>
  <c r="AM192" i="8"/>
  <c r="U92" i="25"/>
  <c r="B92" i="25"/>
  <c r="C192" i="21"/>
  <c r="M160" i="21"/>
  <c r="BD160" i="21"/>
  <c r="BN160" i="21"/>
  <c r="AR157" i="8"/>
  <c r="AZ158" i="8"/>
  <c r="BC159" i="8"/>
  <c r="BF159" i="8"/>
  <c r="H159" i="8"/>
  <c r="H159" i="9"/>
  <c r="AF159" i="8"/>
  <c r="AL159" i="8"/>
  <c r="T59" i="25"/>
  <c r="B59" i="25"/>
  <c r="C159" i="21"/>
  <c r="AN146" i="8"/>
  <c r="AG146" i="8"/>
  <c r="AM146" i="8"/>
  <c r="AH145" i="8"/>
  <c r="AT144" i="8"/>
  <c r="BD192" i="21"/>
  <c r="BN192" i="21"/>
  <c r="M192" i="21"/>
  <c r="BA194" i="8"/>
  <c r="BC194" i="8"/>
  <c r="BF194" i="8"/>
  <c r="H194" i="8"/>
  <c r="H194" i="9"/>
  <c r="AS195" i="8"/>
  <c r="U93" i="25"/>
  <c r="B93" i="25"/>
  <c r="C193" i="21"/>
  <c r="AG193" i="8"/>
  <c r="AM193" i="8"/>
  <c r="BC158" i="8"/>
  <c r="BF158" i="8"/>
  <c r="H158" i="8"/>
  <c r="H158" i="9"/>
  <c r="AF158" i="8"/>
  <c r="AL158" i="8"/>
  <c r="T58" i="25"/>
  <c r="B58" i="25"/>
  <c r="C158" i="21"/>
  <c r="BD159" i="21"/>
  <c r="BN159" i="21"/>
  <c r="M159" i="21"/>
  <c r="AR156" i="8"/>
  <c r="AZ157" i="8"/>
  <c r="BA195" i="8"/>
  <c r="BC195" i="8"/>
  <c r="BF195" i="8"/>
  <c r="H195" i="8"/>
  <c r="H195" i="9"/>
  <c r="AS196" i="8"/>
  <c r="AG194" i="8"/>
  <c r="AM194" i="8"/>
  <c r="U94" i="25"/>
  <c r="B94" i="25"/>
  <c r="C194" i="21"/>
  <c r="AH144" i="8"/>
  <c r="AT143" i="8"/>
  <c r="BD193" i="21"/>
  <c r="BN193" i="21"/>
  <c r="M193" i="21"/>
  <c r="AN145" i="8"/>
  <c r="AG145" i="8"/>
  <c r="AM145" i="8"/>
  <c r="BC157" i="8"/>
  <c r="BF157" i="8"/>
  <c r="H157" i="8"/>
  <c r="H157" i="9"/>
  <c r="T57" i="25"/>
  <c r="B57" i="25"/>
  <c r="C157" i="21"/>
  <c r="AF157" i="8"/>
  <c r="AL157" i="8"/>
  <c r="M158" i="21"/>
  <c r="BD158" i="21"/>
  <c r="BN158" i="21"/>
  <c r="AR155" i="8"/>
  <c r="AZ156" i="8"/>
  <c r="AT142" i="8"/>
  <c r="AH143" i="8"/>
  <c r="AN144" i="8"/>
  <c r="AG144" i="8"/>
  <c r="AM144" i="8"/>
  <c r="BD194" i="21"/>
  <c r="BN194" i="21"/>
  <c r="M194" i="21"/>
  <c r="BA196" i="8"/>
  <c r="BC196" i="8"/>
  <c r="BF196" i="8"/>
  <c r="H196" i="8"/>
  <c r="H196" i="9"/>
  <c r="AS197" i="8"/>
  <c r="U95" i="25"/>
  <c r="B95" i="25"/>
  <c r="C195" i="21"/>
  <c r="AG195" i="8"/>
  <c r="AM195" i="8"/>
  <c r="BC156" i="8"/>
  <c r="BF156" i="8"/>
  <c r="H156" i="8"/>
  <c r="H156" i="9"/>
  <c r="T56" i="25"/>
  <c r="B56" i="25"/>
  <c r="C156" i="21"/>
  <c r="AF156" i="8"/>
  <c r="AL156" i="8"/>
  <c r="AZ155" i="8"/>
  <c r="AR154" i="8"/>
  <c r="BD157" i="21"/>
  <c r="BN157" i="21"/>
  <c r="M157" i="21"/>
  <c r="AG196" i="8"/>
  <c r="AM196" i="8"/>
  <c r="U96" i="25"/>
  <c r="B96" i="25"/>
  <c r="C196" i="21"/>
  <c r="BD195" i="21"/>
  <c r="BN195" i="21"/>
  <c r="M195" i="21"/>
  <c r="BA197" i="8"/>
  <c r="BC197" i="8"/>
  <c r="BF197" i="8"/>
  <c r="H197" i="8"/>
  <c r="H197" i="9"/>
  <c r="AS198" i="8"/>
  <c r="AN143" i="8"/>
  <c r="AG143" i="8"/>
  <c r="AM143" i="8"/>
  <c r="AT141" i="8"/>
  <c r="AH142" i="8"/>
  <c r="BC155" i="8"/>
  <c r="BF155" i="8"/>
  <c r="H155" i="8"/>
  <c r="H155" i="9"/>
  <c r="T55" i="25"/>
  <c r="B55" i="25"/>
  <c r="C155" i="21"/>
  <c r="AF155" i="8"/>
  <c r="AL155" i="8"/>
  <c r="BD156" i="21"/>
  <c r="BN156" i="21"/>
  <c r="M156" i="21"/>
  <c r="AR153" i="8"/>
  <c r="AZ154" i="8"/>
  <c r="BA198" i="8"/>
  <c r="BC198" i="8"/>
  <c r="BF198" i="8"/>
  <c r="H198" i="8"/>
  <c r="H198" i="9"/>
  <c r="AS199" i="8"/>
  <c r="AT140" i="8"/>
  <c r="AH141" i="8"/>
  <c r="BD196" i="21"/>
  <c r="BN196" i="21"/>
  <c r="M196" i="21"/>
  <c r="AN142" i="8"/>
  <c r="AG142" i="8"/>
  <c r="AM142" i="8"/>
  <c r="U97" i="25"/>
  <c r="B97" i="25"/>
  <c r="C197" i="21"/>
  <c r="AG197" i="8"/>
  <c r="BC154" i="8"/>
  <c r="BF154" i="8"/>
  <c r="H154" i="8"/>
  <c r="H154" i="9"/>
  <c r="T54" i="25"/>
  <c r="B54" i="25"/>
  <c r="C154" i="21"/>
  <c r="AF154" i="8"/>
  <c r="AL154" i="8"/>
  <c r="AZ153" i="8"/>
  <c r="AR152" i="8"/>
  <c r="BD155" i="21"/>
  <c r="BN155" i="21"/>
  <c r="M155" i="21"/>
  <c r="BD197" i="21"/>
  <c r="BN197" i="21"/>
  <c r="M197" i="21"/>
  <c r="BA199" i="8"/>
  <c r="BC199" i="8"/>
  <c r="BF199" i="8"/>
  <c r="H199" i="8"/>
  <c r="H199" i="9"/>
  <c r="AS200" i="8"/>
  <c r="U98" i="25"/>
  <c r="B98" i="25"/>
  <c r="C198" i="21"/>
  <c r="AG198" i="8"/>
  <c r="AM197" i="8"/>
  <c r="AM198" i="8"/>
  <c r="AM199" i="8"/>
  <c r="AM200" i="8"/>
  <c r="AM201" i="8"/>
  <c r="AM202" i="8"/>
  <c r="AM203" i="8"/>
  <c r="AM204" i="8"/>
  <c r="AM205" i="8"/>
  <c r="AM206" i="8"/>
  <c r="AM207" i="8"/>
  <c r="AM208" i="8"/>
  <c r="AM209" i="8"/>
  <c r="AI197" i="8"/>
  <c r="AN141" i="8"/>
  <c r="AG141" i="8"/>
  <c r="AM141" i="8"/>
  <c r="AH140" i="8"/>
  <c r="AT139" i="8"/>
  <c r="BC153" i="8"/>
  <c r="BF153" i="8"/>
  <c r="H153" i="8"/>
  <c r="H153" i="9"/>
  <c r="AF153" i="8"/>
  <c r="AL153" i="8"/>
  <c r="T53" i="25"/>
  <c r="B53" i="25"/>
  <c r="C153" i="21"/>
  <c r="M154" i="21"/>
  <c r="BD154" i="21"/>
  <c r="BN154" i="21"/>
  <c r="AR151" i="8"/>
  <c r="AZ152" i="8"/>
  <c r="BA200" i="8"/>
  <c r="BC200" i="8"/>
  <c r="BF200" i="8"/>
  <c r="H200" i="8"/>
  <c r="H200" i="9"/>
  <c r="AS201" i="8"/>
  <c r="BD198" i="21"/>
  <c r="BN198" i="21"/>
  <c r="M198" i="21"/>
  <c r="U99" i="25"/>
  <c r="B99" i="25"/>
  <c r="C199" i="21"/>
  <c r="AG199" i="8"/>
  <c r="AG140" i="8"/>
  <c r="AM140" i="8"/>
  <c r="AN140" i="8"/>
  <c r="AT138" i="8"/>
  <c r="AH139" i="8"/>
  <c r="M153" i="21"/>
  <c r="BD153" i="21"/>
  <c r="BN153" i="21"/>
  <c r="BC152" i="8"/>
  <c r="BF152" i="8"/>
  <c r="H152" i="8"/>
  <c r="H152" i="9"/>
  <c r="T52" i="25"/>
  <c r="B52" i="25"/>
  <c r="C152" i="21"/>
  <c r="AF152" i="8"/>
  <c r="AL152" i="8"/>
  <c r="AR150" i="8"/>
  <c r="AZ151" i="8"/>
  <c r="BA201" i="8"/>
  <c r="BC201" i="8"/>
  <c r="BF201" i="8"/>
  <c r="H201" i="8"/>
  <c r="H201" i="9"/>
  <c r="AS202" i="8"/>
  <c r="AT137" i="8"/>
  <c r="AH138" i="8"/>
  <c r="BD199" i="21"/>
  <c r="BN199" i="21"/>
  <c r="M199" i="21"/>
  <c r="U100" i="25"/>
  <c r="B100" i="25"/>
  <c r="C200" i="21"/>
  <c r="AG200" i="8"/>
  <c r="BD152" i="21"/>
  <c r="BN152" i="21"/>
  <c r="M152" i="21"/>
  <c r="BC151" i="8"/>
  <c r="BF151" i="8"/>
  <c r="H151" i="8"/>
  <c r="H151" i="9"/>
  <c r="T51" i="25"/>
  <c r="B51" i="25"/>
  <c r="C151" i="21"/>
  <c r="AF151" i="8"/>
  <c r="AL151" i="8"/>
  <c r="AR149" i="8"/>
  <c r="AZ150" i="8"/>
  <c r="U101" i="25"/>
  <c r="B101" i="25"/>
  <c r="C201" i="21"/>
  <c r="AG201" i="8"/>
  <c r="BA202" i="8"/>
  <c r="BC202" i="8"/>
  <c r="BF202" i="8"/>
  <c r="H202" i="8"/>
  <c r="H202" i="9"/>
  <c r="AS203" i="8"/>
  <c r="BD200" i="21"/>
  <c r="BN200" i="21"/>
  <c r="M200" i="21"/>
  <c r="AT136" i="8"/>
  <c r="AH137" i="8"/>
  <c r="BD151" i="21"/>
  <c r="BN151" i="21"/>
  <c r="M151" i="21"/>
  <c r="BC150" i="8"/>
  <c r="BF150" i="8"/>
  <c r="H150" i="8"/>
  <c r="H150" i="9"/>
  <c r="AF150" i="8"/>
  <c r="AL150" i="8"/>
  <c r="T50" i="25"/>
  <c r="B50" i="25"/>
  <c r="C150" i="21"/>
  <c r="AZ149" i="8"/>
  <c r="AR148" i="8"/>
  <c r="AT135" i="8"/>
  <c r="AH136" i="8"/>
  <c r="BA203" i="8"/>
  <c r="BC203" i="8"/>
  <c r="BF203" i="8"/>
  <c r="H203" i="8"/>
  <c r="H203" i="9"/>
  <c r="AS204" i="8"/>
  <c r="U102" i="25"/>
  <c r="B102" i="25"/>
  <c r="C202" i="21"/>
  <c r="AG202" i="8"/>
  <c r="BD201" i="21"/>
  <c r="BN201" i="21"/>
  <c r="M201" i="21"/>
  <c r="AR147" i="8"/>
  <c r="AZ148" i="8"/>
  <c r="BC149" i="8"/>
  <c r="BF149" i="8"/>
  <c r="H149" i="8"/>
  <c r="H149" i="9"/>
  <c r="T49" i="25"/>
  <c r="B49" i="25"/>
  <c r="C149" i="21"/>
  <c r="AF149" i="8"/>
  <c r="AL149" i="8"/>
  <c r="BD150" i="21"/>
  <c r="BN150" i="21"/>
  <c r="M150" i="21"/>
  <c r="AT134" i="8"/>
  <c r="AH135" i="8"/>
  <c r="BA204" i="8"/>
  <c r="BC204" i="8"/>
  <c r="BF204" i="8"/>
  <c r="H204" i="8"/>
  <c r="H204" i="9"/>
  <c r="AS205" i="8"/>
  <c r="U103" i="25"/>
  <c r="B103" i="25"/>
  <c r="C203" i="21"/>
  <c r="AG203" i="8"/>
  <c r="BD202" i="21"/>
  <c r="BN202" i="21"/>
  <c r="M202" i="21"/>
  <c r="BD149" i="21"/>
  <c r="BN149" i="21"/>
  <c r="M149" i="21"/>
  <c r="BC148" i="8"/>
  <c r="BF148" i="8"/>
  <c r="H148" i="8"/>
  <c r="H148" i="9"/>
  <c r="T48" i="25"/>
  <c r="B48" i="25"/>
  <c r="C148" i="21"/>
  <c r="AF148" i="8"/>
  <c r="AL148" i="8"/>
  <c r="AR146" i="8"/>
  <c r="AZ147" i="8"/>
  <c r="BA205" i="8"/>
  <c r="BC205" i="8"/>
  <c r="BF205" i="8"/>
  <c r="H205" i="8"/>
  <c r="H205" i="9"/>
  <c r="AS206" i="8"/>
  <c r="U104" i="25"/>
  <c r="B104" i="25"/>
  <c r="C204" i="21"/>
  <c r="AG204" i="8"/>
  <c r="BD203" i="21"/>
  <c r="BN203" i="21"/>
  <c r="M203" i="21"/>
  <c r="AT133" i="8"/>
  <c r="AH134" i="8"/>
  <c r="M148" i="21"/>
  <c r="BD148" i="21"/>
  <c r="BN148" i="21"/>
  <c r="BC147" i="8"/>
  <c r="BF147" i="8"/>
  <c r="H147" i="8"/>
  <c r="H147" i="9"/>
  <c r="T47" i="25"/>
  <c r="B47" i="25"/>
  <c r="C147" i="21"/>
  <c r="AF147" i="8"/>
  <c r="AL147" i="8"/>
  <c r="AR145" i="8"/>
  <c r="AZ146" i="8"/>
  <c r="BD204" i="21"/>
  <c r="BN204" i="21"/>
  <c r="M204" i="21"/>
  <c r="BA206" i="8"/>
  <c r="BC206" i="8"/>
  <c r="BF206" i="8"/>
  <c r="H206" i="8"/>
  <c r="H206" i="9"/>
  <c r="AS207" i="8"/>
  <c r="AT132" i="8"/>
  <c r="AH133" i="8"/>
  <c r="U105" i="25"/>
  <c r="B105" i="25"/>
  <c r="C205" i="21"/>
  <c r="AG205" i="8"/>
  <c r="BD147" i="21"/>
  <c r="BN147" i="21"/>
  <c r="M147" i="21"/>
  <c r="BC146" i="8"/>
  <c r="BF146" i="8"/>
  <c r="H146" i="8"/>
  <c r="H146" i="9"/>
  <c r="T46" i="25"/>
  <c r="B46" i="25"/>
  <c r="C146" i="21"/>
  <c r="AF146" i="8"/>
  <c r="AL146" i="8"/>
  <c r="AR144" i="8"/>
  <c r="AZ145" i="8"/>
  <c r="BA207" i="8"/>
  <c r="BC207" i="8"/>
  <c r="BF207" i="8"/>
  <c r="H207" i="8"/>
  <c r="H207" i="9"/>
  <c r="AS208" i="8"/>
  <c r="U106" i="25"/>
  <c r="B106" i="25"/>
  <c r="C206" i="21"/>
  <c r="AG206" i="8"/>
  <c r="BD205" i="21"/>
  <c r="BN205" i="21"/>
  <c r="M205" i="21"/>
  <c r="AT131" i="8"/>
  <c r="AH132" i="8"/>
  <c r="BD146" i="21"/>
  <c r="BN146" i="21"/>
  <c r="M146" i="21"/>
  <c r="BC145" i="8"/>
  <c r="BF145" i="8"/>
  <c r="H145" i="8"/>
  <c r="H145" i="9"/>
  <c r="T45" i="25"/>
  <c r="B45" i="25"/>
  <c r="C145" i="21"/>
  <c r="AF145" i="8"/>
  <c r="AL145" i="8"/>
  <c r="AZ144" i="8"/>
  <c r="AR143" i="8"/>
  <c r="BA208" i="8"/>
  <c r="BC208" i="8"/>
  <c r="BF208" i="8"/>
  <c r="H208" i="8"/>
  <c r="H208" i="9"/>
  <c r="AS209" i="8"/>
  <c r="AT130" i="8"/>
  <c r="AH131" i="8"/>
  <c r="BD206" i="21"/>
  <c r="BN206" i="21"/>
  <c r="M206" i="21"/>
  <c r="U107" i="25"/>
  <c r="B107" i="25"/>
  <c r="C207" i="21"/>
  <c r="AG207" i="8"/>
  <c r="BD145" i="21"/>
  <c r="BN145" i="21"/>
  <c r="M145" i="21"/>
  <c r="AR142" i="8"/>
  <c r="AZ143" i="8"/>
  <c r="BC144" i="8"/>
  <c r="BF144" i="8"/>
  <c r="H144" i="8"/>
  <c r="H144" i="9"/>
  <c r="T44" i="25"/>
  <c r="B44" i="25"/>
  <c r="C144" i="21"/>
  <c r="AF144" i="8"/>
  <c r="AL144" i="8"/>
  <c r="BA209" i="8"/>
  <c r="BC209" i="8"/>
  <c r="BF209" i="8"/>
  <c r="H209" i="8"/>
  <c r="H209" i="9"/>
  <c r="AS210" i="8"/>
  <c r="AS211" i="8"/>
  <c r="AS212" i="8"/>
  <c r="U108" i="25"/>
  <c r="B108" i="25"/>
  <c r="C208" i="21"/>
  <c r="AG208" i="8"/>
  <c r="BD207" i="21"/>
  <c r="BN207" i="21"/>
  <c r="M207" i="21"/>
  <c r="AT129" i="8"/>
  <c r="AH130" i="8"/>
  <c r="BC143" i="8"/>
  <c r="BF143" i="8"/>
  <c r="H143" i="8"/>
  <c r="H143" i="9"/>
  <c r="AF143" i="8"/>
  <c r="AL143" i="8"/>
  <c r="T43" i="25"/>
  <c r="B43" i="25"/>
  <c r="C143" i="21"/>
  <c r="AZ142" i="8"/>
  <c r="AR141" i="8"/>
  <c r="BD144" i="21"/>
  <c r="BN144" i="21"/>
  <c r="M144" i="21"/>
  <c r="BD208" i="21"/>
  <c r="BN208" i="21"/>
  <c r="M208" i="21"/>
  <c r="AT128" i="8"/>
  <c r="AH129" i="8"/>
  <c r="U109" i="25"/>
  <c r="B109" i="25"/>
  <c r="C209" i="21"/>
  <c r="AG209" i="8"/>
  <c r="AR140" i="8"/>
  <c r="AZ141" i="8"/>
  <c r="BC142" i="8"/>
  <c r="BF142" i="8"/>
  <c r="H142" i="8"/>
  <c r="H142" i="9"/>
  <c r="T42" i="25"/>
  <c r="B42" i="25"/>
  <c r="C142" i="21"/>
  <c r="AF142" i="8"/>
  <c r="AL142" i="8"/>
  <c r="M143" i="21"/>
  <c r="BD143" i="21"/>
  <c r="BN143" i="21"/>
  <c r="BD209" i="21"/>
  <c r="BN209" i="21"/>
  <c r="M209" i="21"/>
  <c r="AT127" i="8"/>
  <c r="AH128" i="8"/>
  <c r="BD142" i="21"/>
  <c r="BN142" i="21"/>
  <c r="M142" i="21"/>
  <c r="AR139" i="8"/>
  <c r="AZ140" i="8"/>
  <c r="BC141" i="8"/>
  <c r="BF141" i="8"/>
  <c r="H141" i="8"/>
  <c r="H141" i="9"/>
  <c r="T41" i="25"/>
  <c r="B41" i="25"/>
  <c r="C141" i="21"/>
  <c r="AF141" i="8"/>
  <c r="AL141" i="8"/>
  <c r="AT126" i="8"/>
  <c r="AH127" i="8"/>
  <c r="BD141" i="21"/>
  <c r="BN141" i="21"/>
  <c r="M141" i="21"/>
  <c r="BC140" i="8"/>
  <c r="BF140" i="8"/>
  <c r="H140" i="8"/>
  <c r="H140" i="9"/>
  <c r="T40" i="25"/>
  <c r="B40" i="25"/>
  <c r="C140" i="21"/>
  <c r="AF140" i="8"/>
  <c r="AL140" i="8"/>
  <c r="AZ139" i="8"/>
  <c r="AR138" i="8"/>
  <c r="AT125" i="8"/>
  <c r="AH126" i="8"/>
  <c r="BD140" i="21"/>
  <c r="BN140" i="21"/>
  <c r="M140" i="21"/>
  <c r="AR137" i="8"/>
  <c r="AZ138" i="8"/>
  <c r="T39" i="25"/>
  <c r="B39" i="25"/>
  <c r="BC139" i="8"/>
  <c r="BF139" i="8"/>
  <c r="AT124" i="8"/>
  <c r="AH125" i="8"/>
  <c r="T38" i="25"/>
  <c r="B38" i="25"/>
  <c r="BC138" i="8"/>
  <c r="BF138" i="8"/>
  <c r="AZ137" i="8"/>
  <c r="AR136" i="8"/>
  <c r="AT123" i="8"/>
  <c r="AH124" i="8"/>
  <c r="AZ136" i="8"/>
  <c r="AR135" i="8"/>
  <c r="T37" i="25"/>
  <c r="B37" i="25"/>
  <c r="BC137" i="8"/>
  <c r="BF137" i="8"/>
  <c r="AT122" i="8"/>
  <c r="AH123" i="8"/>
  <c r="T36" i="25"/>
  <c r="B36" i="25"/>
  <c r="BC136" i="8"/>
  <c r="BF136" i="8"/>
  <c r="AR134" i="8"/>
  <c r="AZ135" i="8"/>
  <c r="AT121" i="8"/>
  <c r="AH122" i="8"/>
  <c r="T35" i="25"/>
  <c r="B35" i="25"/>
  <c r="BC135" i="8"/>
  <c r="BF135" i="8"/>
  <c r="AR133" i="8"/>
  <c r="AZ134" i="8"/>
  <c r="AT120" i="8"/>
  <c r="AH121" i="8"/>
  <c r="T34" i="25"/>
  <c r="B34" i="25"/>
  <c r="BC134" i="8"/>
  <c r="BF134" i="8"/>
  <c r="AZ133" i="8"/>
  <c r="AR132" i="8"/>
  <c r="AT119" i="8"/>
  <c r="AH120" i="8"/>
  <c r="AZ132" i="8"/>
  <c r="AR131" i="8"/>
  <c r="T33" i="25"/>
  <c r="B33" i="25"/>
  <c r="BC133" i="8"/>
  <c r="BF133" i="8"/>
  <c r="AT118" i="8"/>
  <c r="AH119" i="8"/>
  <c r="AR130" i="8"/>
  <c r="AZ131" i="8"/>
  <c r="T32" i="25"/>
  <c r="B32" i="25"/>
  <c r="BC132" i="8"/>
  <c r="BF132" i="8"/>
  <c r="AT117" i="8"/>
  <c r="AH118" i="8"/>
  <c r="T31" i="25"/>
  <c r="B31" i="25"/>
  <c r="BC131" i="8"/>
  <c r="BF131" i="8"/>
  <c r="AZ130" i="8"/>
  <c r="AR129" i="8"/>
  <c r="AT116" i="8"/>
  <c r="AH117" i="8"/>
  <c r="T30" i="25"/>
  <c r="B30" i="25"/>
  <c r="BC130" i="8"/>
  <c r="BF130" i="8"/>
  <c r="AR128" i="8"/>
  <c r="AZ129" i="8"/>
  <c r="AT115" i="8"/>
  <c r="AH116" i="8"/>
  <c r="T29" i="25"/>
  <c r="B29" i="25"/>
  <c r="BC129" i="8"/>
  <c r="BF129" i="8"/>
  <c r="AZ128" i="8"/>
  <c r="AR127" i="8"/>
  <c r="AT114" i="8"/>
  <c r="AH115" i="8"/>
  <c r="AZ127" i="8"/>
  <c r="AR126" i="8"/>
  <c r="T28" i="25"/>
  <c r="B28" i="25"/>
  <c r="BC128" i="8"/>
  <c r="BF128" i="8"/>
  <c r="AT113" i="8"/>
  <c r="AH114" i="8"/>
  <c r="AZ126" i="8"/>
  <c r="AR125" i="8"/>
  <c r="T27" i="25"/>
  <c r="B27" i="25"/>
  <c r="BC127" i="8"/>
  <c r="BF127" i="8"/>
  <c r="AT112" i="8"/>
  <c r="AH113" i="8"/>
  <c r="AR124" i="8"/>
  <c r="AZ125" i="8"/>
  <c r="T26" i="25"/>
  <c r="B26" i="25"/>
  <c r="BC126" i="8"/>
  <c r="BF126" i="8"/>
  <c r="AT111" i="8"/>
  <c r="AH112" i="8"/>
  <c r="T25" i="25"/>
  <c r="B25" i="25"/>
  <c r="BC125" i="8"/>
  <c r="BF125" i="8"/>
  <c r="AZ124" i="8"/>
  <c r="AR123" i="8"/>
  <c r="AH111" i="8"/>
  <c r="AT110" i="8"/>
  <c r="AZ123" i="8"/>
  <c r="AR122" i="8"/>
  <c r="T24" i="25"/>
  <c r="B24" i="25"/>
  <c r="BC124" i="8"/>
  <c r="BF124" i="8"/>
  <c r="AT109" i="8"/>
  <c r="AH110" i="8"/>
  <c r="AZ122" i="8"/>
  <c r="AR121" i="8"/>
  <c r="T23" i="25"/>
  <c r="B23" i="25"/>
  <c r="BC123" i="8"/>
  <c r="BF123" i="8"/>
  <c r="AT108" i="8"/>
  <c r="AH109" i="8"/>
  <c r="T22" i="25"/>
  <c r="B22" i="25"/>
  <c r="BC122" i="8"/>
  <c r="BF122" i="8"/>
  <c r="AZ121" i="8"/>
  <c r="AR120" i="8"/>
  <c r="AT107" i="8"/>
  <c r="AH108" i="8"/>
  <c r="AR119" i="8"/>
  <c r="AZ120" i="8"/>
  <c r="T21" i="25"/>
  <c r="B21" i="25"/>
  <c r="BC121" i="8"/>
  <c r="BF121" i="8"/>
  <c r="AT106" i="8"/>
  <c r="AH107" i="8"/>
  <c r="T20" i="25"/>
  <c r="B20" i="25"/>
  <c r="BC120" i="8"/>
  <c r="BF120" i="8"/>
  <c r="AZ119" i="8"/>
  <c r="AR118" i="8"/>
  <c r="AH106" i="8"/>
  <c r="AT105" i="8"/>
  <c r="AR117" i="8"/>
  <c r="AZ118" i="8"/>
  <c r="T19" i="25"/>
  <c r="B19" i="25"/>
  <c r="BC119" i="8"/>
  <c r="BF119" i="8"/>
  <c r="AT104" i="8"/>
  <c r="AH105" i="8"/>
  <c r="T18" i="25"/>
  <c r="B18" i="25"/>
  <c r="BC118" i="8"/>
  <c r="BF118" i="8"/>
  <c r="AR116" i="8"/>
  <c r="AZ117" i="8"/>
  <c r="AT103" i="8"/>
  <c r="AH104" i="8"/>
  <c r="T17" i="25"/>
  <c r="B17" i="25"/>
  <c r="BC117" i="8"/>
  <c r="BF117" i="8"/>
  <c r="AZ116" i="8"/>
  <c r="AR115" i="8"/>
  <c r="AT102" i="8"/>
  <c r="AH103" i="8"/>
  <c r="AR114" i="8"/>
  <c r="AZ115" i="8"/>
  <c r="T16" i="25"/>
  <c r="B16" i="25"/>
  <c r="BC116" i="8"/>
  <c r="BF116" i="8"/>
  <c r="AH102" i="8"/>
  <c r="AT101" i="8"/>
  <c r="T15" i="25"/>
  <c r="B15" i="25"/>
  <c r="BC115" i="8"/>
  <c r="BF115" i="8"/>
  <c r="AR113" i="8"/>
  <c r="AZ114" i="8"/>
  <c r="AT100" i="8"/>
  <c r="AH101" i="8"/>
  <c r="T14" i="25"/>
  <c r="B14" i="25"/>
  <c r="BC114" i="8"/>
  <c r="BF114" i="8"/>
  <c r="AR112" i="8"/>
  <c r="AZ113" i="8"/>
  <c r="AT99" i="8"/>
  <c r="AH100" i="8"/>
  <c r="T13" i="25"/>
  <c r="B13" i="25"/>
  <c r="BC113" i="8"/>
  <c r="BF113" i="8"/>
  <c r="AZ112" i="8"/>
  <c r="AR111" i="8"/>
  <c r="AT98" i="8"/>
  <c r="AH99" i="8"/>
  <c r="AR110" i="8"/>
  <c r="AZ111" i="8"/>
  <c r="T12" i="25"/>
  <c r="B12" i="25"/>
  <c r="BC112" i="8"/>
  <c r="BF112" i="8"/>
  <c r="AT97" i="8"/>
  <c r="AH98" i="8"/>
  <c r="T11" i="25"/>
  <c r="B11" i="25"/>
  <c r="BC111" i="8"/>
  <c r="BF111" i="8"/>
  <c r="AR109" i="8"/>
  <c r="AR108" i="8"/>
  <c r="AR107" i="8"/>
  <c r="AR106" i="8"/>
  <c r="AR105" i="8"/>
  <c r="AR104" i="8"/>
  <c r="AR103" i="8"/>
  <c r="AR102" i="8"/>
  <c r="AR101" i="8"/>
  <c r="AR100" i="8"/>
  <c r="AR99" i="8"/>
  <c r="AR98" i="8"/>
  <c r="AZ110" i="8"/>
  <c r="AT96" i="8"/>
  <c r="AH97" i="8"/>
  <c r="T10" i="25"/>
  <c r="B10" i="25"/>
  <c r="BC110" i="8"/>
  <c r="BF110" i="8"/>
  <c r="AT95" i="8"/>
  <c r="AH96" i="8"/>
  <c r="AR97" i="8"/>
  <c r="AR96" i="8"/>
  <c r="AH95" i="8"/>
  <c r="AT94" i="8"/>
  <c r="AR95" i="8"/>
  <c r="AT93" i="8"/>
  <c r="AH94" i="8"/>
  <c r="AT92" i="8"/>
  <c r="AH93" i="8"/>
  <c r="AR94" i="8"/>
  <c r="AR93" i="8"/>
  <c r="AT91" i="8"/>
  <c r="AH92" i="8"/>
  <c r="AT90" i="8"/>
  <c r="AH91" i="8"/>
  <c r="AR92" i="8"/>
  <c r="AR91" i="8"/>
  <c r="AH90" i="8"/>
  <c r="AT89" i="8"/>
  <c r="AT88" i="8"/>
  <c r="AH89" i="8"/>
  <c r="AR90" i="8"/>
  <c r="AR89" i="8"/>
  <c r="AT87" i="8"/>
  <c r="AH88" i="8"/>
  <c r="AT86" i="8"/>
  <c r="AH87" i="8"/>
  <c r="AR88" i="8"/>
  <c r="AR87" i="8"/>
  <c r="AH86" i="8"/>
  <c r="AT85" i="8"/>
  <c r="AT84" i="8"/>
  <c r="AH85" i="8"/>
  <c r="AR86" i="8"/>
  <c r="AR85" i="8"/>
  <c r="AH84" i="8"/>
  <c r="AT83" i="8"/>
  <c r="AT82" i="8"/>
  <c r="AH83" i="8"/>
  <c r="AR84" i="8"/>
  <c r="AR83" i="8"/>
  <c r="AT81" i="8"/>
  <c r="AH82" i="8"/>
  <c r="AH81" i="8"/>
  <c r="AT80" i="8"/>
  <c r="AR82" i="8"/>
  <c r="AR81" i="8"/>
  <c r="AT79" i="8"/>
  <c r="AH80" i="8"/>
  <c r="AT78" i="8"/>
  <c r="AH79" i="8"/>
  <c r="AR80" i="8"/>
  <c r="AR79" i="8"/>
  <c r="AT77" i="8"/>
  <c r="AH78" i="8"/>
  <c r="AH77" i="8"/>
  <c r="AT76" i="8"/>
  <c r="AR78" i="8"/>
  <c r="AR77" i="8"/>
  <c r="AT75" i="8"/>
  <c r="AH76" i="8"/>
  <c r="AR76" i="8"/>
  <c r="AT74" i="8"/>
  <c r="AH75" i="8"/>
  <c r="AT73" i="8"/>
  <c r="AH74" i="8"/>
  <c r="AR75" i="8"/>
  <c r="AR74" i="8"/>
  <c r="AH73" i="8"/>
  <c r="AT72" i="8"/>
  <c r="AH72" i="8"/>
  <c r="AT71" i="8"/>
  <c r="AR73" i="8"/>
  <c r="AR72" i="8"/>
  <c r="AT70" i="8"/>
  <c r="AH71" i="8"/>
  <c r="AT69" i="8"/>
  <c r="AH70" i="8"/>
  <c r="AR71" i="8"/>
  <c r="AR70" i="8"/>
  <c r="AH69" i="8"/>
  <c r="AT68" i="8"/>
  <c r="AH68" i="8"/>
  <c r="AT67" i="8"/>
  <c r="AR69" i="8"/>
  <c r="AR68" i="8"/>
  <c r="AT66" i="8"/>
  <c r="AH67" i="8"/>
  <c r="AT65" i="8"/>
  <c r="AH66" i="8"/>
  <c r="AR67" i="8"/>
  <c r="AR66" i="8"/>
  <c r="AH65" i="8"/>
  <c r="AT64" i="8"/>
  <c r="AT63" i="8"/>
  <c r="AH64" i="8"/>
  <c r="AR65" i="8"/>
  <c r="AR64" i="8"/>
  <c r="AT62" i="8"/>
  <c r="AH63" i="8"/>
  <c r="AT61" i="8"/>
  <c r="AH62" i="8"/>
  <c r="AR63" i="8"/>
  <c r="AR62" i="8"/>
  <c r="AH61" i="8"/>
  <c r="AT60" i="8"/>
  <c r="AR61" i="8"/>
  <c r="AT59" i="8"/>
  <c r="AH60" i="8"/>
  <c r="AT58" i="8"/>
  <c r="AH59" i="8"/>
  <c r="AR60" i="8"/>
  <c r="AR59" i="8"/>
  <c r="AT57" i="8"/>
  <c r="AH58" i="8"/>
  <c r="AH57" i="8"/>
  <c r="AT56" i="8"/>
  <c r="AR58" i="8"/>
  <c r="AH56" i="8"/>
  <c r="AT55" i="8"/>
  <c r="AR57" i="8"/>
  <c r="AR56" i="8"/>
  <c r="AT54" i="8"/>
  <c r="AH55" i="8"/>
  <c r="AT53" i="8"/>
  <c r="AH54" i="8"/>
  <c r="AR55" i="8"/>
  <c r="AR54" i="8"/>
  <c r="AH53" i="8"/>
  <c r="AT52" i="8"/>
  <c r="AH52" i="8"/>
  <c r="AT51" i="8"/>
  <c r="AR53" i="8"/>
  <c r="AR52" i="8"/>
  <c r="AT50" i="8"/>
  <c r="AH51" i="8"/>
  <c r="AT49" i="8"/>
  <c r="AH50" i="8"/>
  <c r="AR51" i="8"/>
  <c r="AH49" i="8"/>
  <c r="AT48" i="8"/>
  <c r="AR50" i="8"/>
  <c r="AR49" i="8"/>
  <c r="AT47" i="8"/>
  <c r="AH48" i="8"/>
  <c r="AT46" i="8"/>
  <c r="AH47" i="8"/>
  <c r="AR48" i="8"/>
  <c r="AR47" i="8"/>
  <c r="AT45" i="8"/>
  <c r="AH46" i="8"/>
  <c r="AH45" i="8"/>
  <c r="AT44" i="8"/>
  <c r="AR46" i="8"/>
  <c r="AR45" i="8"/>
  <c r="AT43" i="8"/>
  <c r="AH44" i="8"/>
  <c r="AT42" i="8"/>
  <c r="AH43" i="8"/>
  <c r="AR44" i="8"/>
  <c r="AR43" i="8"/>
  <c r="AT41" i="8"/>
  <c r="AH42" i="8"/>
  <c r="AH41" i="8"/>
  <c r="AT40" i="8"/>
  <c r="AR42" i="8"/>
  <c r="AR41" i="8"/>
  <c r="AH40" i="8"/>
  <c r="AT39" i="8"/>
  <c r="AT38" i="8"/>
  <c r="AH39" i="8"/>
  <c r="AR40" i="8"/>
  <c r="AR39" i="8"/>
  <c r="AT37" i="8"/>
  <c r="AH38" i="8"/>
  <c r="AH37" i="8"/>
  <c r="AT36" i="8"/>
  <c r="AR38" i="8"/>
  <c r="AR37" i="8"/>
  <c r="AH36" i="8"/>
  <c r="AT35" i="8"/>
  <c r="AT34" i="8"/>
  <c r="AH35" i="8"/>
  <c r="AR36" i="8"/>
  <c r="AR35" i="8"/>
  <c r="AT33" i="8"/>
  <c r="AH34" i="8"/>
  <c r="AR34" i="8"/>
  <c r="AH33" i="8"/>
  <c r="AT32" i="8"/>
  <c r="AT31" i="8"/>
  <c r="AH32" i="8"/>
  <c r="AR33" i="8"/>
  <c r="AR32" i="8"/>
  <c r="AT30" i="8"/>
  <c r="AH31" i="8"/>
  <c r="AT29" i="8"/>
  <c r="AH30" i="8"/>
  <c r="AR31" i="8"/>
  <c r="AR30" i="8"/>
  <c r="AH29" i="8"/>
  <c r="AT28" i="8"/>
  <c r="AT27" i="8"/>
  <c r="AH28" i="8"/>
  <c r="AR29" i="8"/>
  <c r="AR28" i="8"/>
  <c r="AT26" i="8"/>
  <c r="AH27" i="8"/>
  <c r="AT25" i="8"/>
  <c r="AH26" i="8"/>
  <c r="AR27" i="8"/>
  <c r="AR26" i="8"/>
  <c r="AH25" i="8"/>
  <c r="AT24" i="8"/>
  <c r="AH24" i="8"/>
  <c r="AT23" i="8"/>
  <c r="AR25" i="8"/>
  <c r="AR24" i="8"/>
  <c r="AT22" i="8"/>
  <c r="AH23" i="8"/>
  <c r="AR23" i="8"/>
  <c r="AT21" i="8"/>
  <c r="AH22" i="8"/>
  <c r="AH21" i="8"/>
  <c r="AT20" i="8"/>
  <c r="AR22" i="8"/>
  <c r="AR21" i="8"/>
  <c r="AH20" i="8"/>
  <c r="AT19" i="8"/>
  <c r="AT18" i="8"/>
  <c r="AH19" i="8"/>
  <c r="AR20" i="8"/>
  <c r="AR19" i="8"/>
  <c r="AT17" i="8"/>
  <c r="AH18" i="8"/>
  <c r="AH17" i="8"/>
  <c r="AT16" i="8"/>
  <c r="AR18" i="8"/>
  <c r="AR17" i="8"/>
  <c r="AT15" i="8"/>
  <c r="AH16" i="8"/>
  <c r="AT14" i="8"/>
  <c r="AH15" i="8"/>
  <c r="AR16" i="8"/>
  <c r="AR15" i="8"/>
  <c r="AT13" i="8"/>
  <c r="AH14" i="8"/>
  <c r="AH13" i="8"/>
  <c r="AT12" i="8"/>
  <c r="AR14" i="8"/>
  <c r="AR13" i="8"/>
  <c r="AT11" i="8"/>
  <c r="AH12" i="8"/>
  <c r="AT10" i="8"/>
  <c r="AH10" i="8"/>
  <c r="AH11" i="8"/>
  <c r="AR12" i="8"/>
  <c r="AR11" i="8"/>
  <c r="AR1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Elena Cordero</author>
    <author>Janes</author>
    <author>ecordero</author>
  </authors>
  <commentList>
    <comment ref="AO6" authorId="0" shapeId="0" xr:uid="{00000000-0006-0000-0D00-000001000000}">
      <text>
        <r>
          <rPr>
            <sz val="8"/>
            <color indexed="9"/>
            <rFont val="Tahoma"/>
            <family val="2"/>
          </rPr>
          <t xml:space="preserve">
1965-1967 Fuel input to gas works</t>
        </r>
      </text>
    </comment>
    <comment ref="AW6" authorId="0" shapeId="0" xr:uid="{00000000-0006-0000-0D00-000002000000}">
      <text>
        <r>
          <rPr>
            <b/>
            <sz val="8"/>
            <color indexed="9"/>
            <rFont val="Tahoma"/>
            <family val="2"/>
          </rPr>
          <t xml:space="preserve">
In 1920, Material used in Manufacture of Gas.
The figures prior to 1944 are partly estimated.</t>
        </r>
        <r>
          <rPr>
            <sz val="8"/>
            <color indexed="9"/>
            <rFont val="Tahoma"/>
            <family val="2"/>
          </rPr>
          <t xml:space="preserve">
F</t>
        </r>
        <r>
          <rPr>
            <b/>
            <sz val="8"/>
            <color indexed="9"/>
            <rFont val="Tahoma"/>
            <family val="2"/>
          </rPr>
          <t>rom 1958 to 1967, Fuel used for all purposes.</t>
        </r>
      </text>
    </comment>
    <comment ref="AZ7" authorId="0" shapeId="0" xr:uid="{00000000-0006-0000-0D00-000003000000}">
      <text>
        <r>
          <rPr>
            <sz val="8"/>
            <color indexed="9"/>
            <rFont val="Tahoma"/>
            <family val="2"/>
          </rPr>
          <t xml:space="preserve">
</t>
        </r>
        <r>
          <rPr>
            <b/>
            <sz val="8"/>
            <color indexed="9"/>
            <rFont val="Tahoma"/>
            <family val="2"/>
          </rPr>
          <t>Light oils (including light distillates, gasoline and kerosene), gas oils (including heavy kerosene, light and heavy gas oils) and heavy oils (including residual oils). Petroleum gases are not included.</t>
        </r>
      </text>
    </comment>
    <comment ref="BA7" authorId="0" shapeId="0" xr:uid="{00000000-0006-0000-0D00-000004000000}">
      <text>
        <r>
          <rPr>
            <sz val="8"/>
            <color indexed="9"/>
            <rFont val="Tahoma"/>
            <family val="2"/>
          </rPr>
          <t xml:space="preserve">
</t>
        </r>
        <r>
          <rPr>
            <b/>
            <sz val="8"/>
            <color indexed="9"/>
            <rFont val="Tahoma"/>
            <family val="2"/>
          </rPr>
          <t>Butane and Propane</t>
        </r>
      </text>
    </comment>
    <comment ref="BB7" authorId="0" shapeId="0" xr:uid="{00000000-0006-0000-0D00-000005000000}">
      <text>
        <r>
          <rPr>
            <sz val="8"/>
            <color indexed="9"/>
            <rFont val="Tahoma"/>
            <family val="2"/>
          </rPr>
          <t xml:space="preserve">
Ethane and refinery tail gases.</t>
        </r>
      </text>
    </comment>
    <comment ref="B110" authorId="0" shapeId="0" xr:uid="{00000000-0006-0000-0D00-000006000000}">
      <text>
        <r>
          <rPr>
            <sz val="8"/>
            <color indexed="9"/>
            <rFont val="Tahoma"/>
            <family val="2"/>
          </rPr>
          <t xml:space="preserve">
Number of Authorised Undertakings included in Return</t>
        </r>
      </text>
    </comment>
    <comment ref="C110" authorId="0" shapeId="0" xr:uid="{00000000-0006-0000-0D00-000007000000}">
      <text>
        <r>
          <rPr>
            <sz val="8"/>
            <color indexed="9"/>
            <rFont val="Tahoma"/>
            <family val="2"/>
          </rPr>
          <t xml:space="preserve">
1920 To Ordinary and Power Consumers, &amp; c.</t>
        </r>
      </text>
    </comment>
    <comment ref="AG110" authorId="0" shapeId="0" xr:uid="{00000000-0006-0000-0D00-000008000000}">
      <text>
        <r>
          <rPr>
            <sz val="8"/>
            <color indexed="9"/>
            <rFont val="Tahoma"/>
            <family val="2"/>
          </rPr>
          <t xml:space="preserve">
Number of Authorised Undertakings included in Return</t>
        </r>
      </text>
    </comment>
    <comment ref="AW110" authorId="1" shapeId="0" xr:uid="{00000000-0006-0000-0D00-000009000000}">
      <text>
        <r>
          <rPr>
            <sz val="10"/>
            <color indexed="81"/>
            <rFont val="Tahoma"/>
            <family val="2"/>
          </rPr>
          <t xml:space="preserve">
Coal carbonised</t>
        </r>
      </text>
    </comment>
    <comment ref="C111" authorId="0" shapeId="0" xr:uid="{00000000-0006-0000-0D00-00000A000000}">
      <text>
        <r>
          <rPr>
            <sz val="8"/>
            <color indexed="9"/>
            <rFont val="Tahoma"/>
            <family val="2"/>
          </rPr>
          <t xml:space="preserve">
From 1921 to 1929 Million cubic feet conversion to Million therms has been calculated as the average conversion factor  from 1930 to 1934:</t>
        </r>
        <r>
          <rPr>
            <sz val="8"/>
            <color indexed="11"/>
            <rFont val="Tahoma"/>
            <family val="2"/>
          </rPr>
          <t xml:space="preserve"> 0.00477</t>
        </r>
      </text>
    </comment>
    <comment ref="D111" authorId="0" shapeId="0" xr:uid="{00000000-0006-0000-0D00-00000B000000}">
      <text>
        <r>
          <rPr>
            <sz val="8"/>
            <color indexed="9"/>
            <rFont val="Tahoma"/>
            <family val="2"/>
          </rPr>
          <t xml:space="preserve">
From 1921 to 1929 Million cubic feet conversion to Million therms has been calculated using the average conversion  factor from 1930 to 1934:</t>
        </r>
        <r>
          <rPr>
            <sz val="8"/>
            <color indexed="11"/>
            <rFont val="Tahoma"/>
            <family val="2"/>
          </rPr>
          <t xml:space="preserve"> 0.00477</t>
        </r>
      </text>
    </comment>
    <comment ref="N111" authorId="0" shapeId="0" xr:uid="{00000000-0006-0000-0D00-00000C000000}">
      <text>
        <r>
          <rPr>
            <sz val="8"/>
            <color indexed="9"/>
            <rFont val="Tahoma"/>
            <family val="2"/>
          </rPr>
          <t xml:space="preserve">
From 1921 to 1929 Million cubitc feet conversion to Million therms has been calculated using the average conversion  factor from 1930 to 1934:</t>
        </r>
        <r>
          <rPr>
            <sz val="8"/>
            <color indexed="11"/>
            <rFont val="Tahoma"/>
            <family val="2"/>
          </rPr>
          <t xml:space="preserve"> 0.00477</t>
        </r>
      </text>
    </comment>
    <comment ref="O111" authorId="0" shapeId="0" xr:uid="{00000000-0006-0000-0D00-00000D000000}">
      <text>
        <r>
          <rPr>
            <sz val="8"/>
            <color indexed="9"/>
            <rFont val="Tahoma"/>
            <family val="2"/>
          </rPr>
          <t xml:space="preserve">
From 1921 to 1929 Million cubic feet conversion to Million therms has been calculated using the average conversion factor from 1930 to 1934:</t>
        </r>
        <r>
          <rPr>
            <sz val="8"/>
            <color indexed="11"/>
            <rFont val="Tahoma"/>
            <family val="2"/>
          </rPr>
          <t xml:space="preserve"> 0.00477</t>
        </r>
      </text>
    </comment>
    <comment ref="Q111" authorId="0" shapeId="0" xr:uid="{00000000-0006-0000-0D00-00000E000000}">
      <text>
        <r>
          <rPr>
            <sz val="8"/>
            <color indexed="9"/>
            <rFont val="Tahoma"/>
            <family val="2"/>
          </rPr>
          <t xml:space="preserve">
From 1921 to 1929 Million cubit feet conversion to Million therms has been calculated using the average conversion factor from 1930 to 1934:</t>
        </r>
        <r>
          <rPr>
            <sz val="8"/>
            <color indexed="11"/>
            <rFont val="Tahoma"/>
            <family val="2"/>
          </rPr>
          <t xml:space="preserve"> 0.00477</t>
        </r>
      </text>
    </comment>
    <comment ref="O151" authorId="2" shapeId="0" xr:uid="{00000000-0006-0000-0D00-00000F000000}">
      <text>
        <r>
          <rPr>
            <b/>
            <sz val="8"/>
            <color indexed="9"/>
            <rFont val="Tahoma"/>
            <family val="2"/>
          </rPr>
          <t>DUKES 2000 showed this incorrectly as</t>
        </r>
        <r>
          <rPr>
            <sz val="8"/>
            <color indexed="9"/>
            <rFont val="Tahoma"/>
            <family val="2"/>
          </rPr>
          <t xml:space="preserve">
78,162</t>
        </r>
      </text>
    </comment>
    <comment ref="O154" authorId="2" shapeId="0" xr:uid="{00000000-0006-0000-0D00-000010000000}">
      <text>
        <r>
          <rPr>
            <b/>
            <sz val="8"/>
            <color indexed="9"/>
            <rFont val="Tahoma"/>
            <family val="2"/>
          </rPr>
          <t>DUKES 2000 showed this figure incorrectly as</t>
        </r>
        <r>
          <rPr>
            <sz val="8"/>
            <color indexed="9"/>
            <rFont val="Tahoma"/>
            <family val="2"/>
          </rPr>
          <t xml:space="preserve">
90,442</t>
        </r>
      </text>
    </comment>
    <comment ref="AA155" authorId="0" shapeId="0" xr:uid="{00000000-0006-0000-0D00-000011000000}">
      <text>
        <r>
          <rPr>
            <b/>
            <sz val="8"/>
            <color indexed="9"/>
            <rFont val="Tahoma"/>
            <family val="2"/>
          </rPr>
          <t>Elena Cordero:</t>
        </r>
        <r>
          <rPr>
            <sz val="8"/>
            <color indexed="9"/>
            <rFont val="Tahoma"/>
            <family val="2"/>
          </rPr>
          <t xml:space="preserve">
National and Local Goverment</t>
        </r>
      </text>
    </comment>
    <comment ref="O165" authorId="2" shapeId="0" xr:uid="{00000000-0006-0000-0D00-000012000000}">
      <text>
        <r>
          <rPr>
            <b/>
            <sz val="8"/>
            <color indexed="9"/>
            <rFont val="Tahoma"/>
            <family val="2"/>
          </rPr>
          <t>DUKES 2001 shows this figure incorrectly as</t>
        </r>
        <r>
          <rPr>
            <sz val="8"/>
            <color indexed="9"/>
            <rFont val="Tahoma"/>
            <family val="2"/>
          </rPr>
          <t xml:space="preserve">
 21,013
</t>
        </r>
      </text>
    </comment>
    <comment ref="O166" authorId="2" shapeId="0" xr:uid="{00000000-0006-0000-0D00-000013000000}">
      <text>
        <r>
          <rPr>
            <b/>
            <sz val="8"/>
            <color indexed="9"/>
            <rFont val="Tahoma"/>
            <family val="2"/>
          </rPr>
          <t xml:space="preserve">DUKES 2001 shows this figure incorrectly as </t>
        </r>
        <r>
          <rPr>
            <sz val="8"/>
            <color indexed="9"/>
            <rFont val="Tahoma"/>
            <family val="2"/>
          </rPr>
          <t xml:space="preserve"> 6,535</t>
        </r>
      </text>
    </comment>
    <comment ref="X183" authorId="0" shapeId="0" xr:uid="{00000000-0006-0000-0D00-000014000000}">
      <text>
        <r>
          <rPr>
            <b/>
            <sz val="8"/>
            <color indexed="9"/>
            <rFont val="Tahoma"/>
            <family val="2"/>
          </rPr>
          <t>Elena Cordero:</t>
        </r>
        <r>
          <rPr>
            <sz val="8"/>
            <color indexed="9"/>
            <rFont val="Tahoma"/>
            <family val="2"/>
          </rPr>
          <t xml:space="preserve">
Total domestic customers.</t>
        </r>
      </text>
    </comment>
    <comment ref="X187" authorId="2" shapeId="0" xr:uid="{00000000-0006-0000-0D00-000015000000}">
      <text>
        <r>
          <rPr>
            <b/>
            <sz val="8"/>
            <color indexed="9"/>
            <rFont val="Tahoma"/>
            <family val="2"/>
          </rPr>
          <t>ecordero:</t>
        </r>
        <r>
          <rPr>
            <sz val="8"/>
            <color indexed="9"/>
            <rFont val="Tahoma"/>
            <family val="2"/>
          </rPr>
          <t xml:space="preserve">
Consumption by customers below 73,200 KWh annual demand </t>
        </r>
      </text>
    </comment>
    <comment ref="A257" authorId="2" shapeId="0" xr:uid="{00000000-0006-0000-0D00-000016000000}">
      <text>
        <r>
          <rPr>
            <sz val="8"/>
            <color indexed="9"/>
            <rFont val="Tahoma"/>
            <family val="2"/>
          </rPr>
          <t xml:space="preserve">
Public Lighting figures have been subtracted from Services Town gas</t>
        </r>
      </text>
    </comment>
    <comment ref="A258" authorId="2" shapeId="0" xr:uid="{00000000-0006-0000-0D00-000017000000}">
      <text>
        <r>
          <rPr>
            <sz val="8"/>
            <color indexed="9"/>
            <rFont val="Tahoma"/>
            <family val="2"/>
          </rPr>
          <t xml:space="preserve">
Public Lighting figures have been subtracted from Services Town gas in cells L57 and L58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Elena Cordero</author>
    <author>Janes</author>
    <author>ecordero</author>
  </authors>
  <commentList>
    <comment ref="BO6" authorId="0" shapeId="0" xr:uid="{00000000-0006-0000-0E00-000001000000}">
      <text>
        <r>
          <rPr>
            <sz val="8"/>
            <color indexed="9"/>
            <rFont val="Tahoma"/>
            <family val="2"/>
          </rPr>
          <t xml:space="preserve">
1965-1967 Fuel input to gas works</t>
        </r>
      </text>
    </comment>
    <comment ref="BW6" authorId="0" shapeId="0" xr:uid="{00000000-0006-0000-0E00-000002000000}">
      <text>
        <r>
          <rPr>
            <b/>
            <sz val="8"/>
            <color indexed="9"/>
            <rFont val="Tahoma"/>
            <family val="2"/>
          </rPr>
          <t xml:space="preserve">
In 1920, Material used in Manufacture of Gas.
The figures prior to 1944 are partly estimated.</t>
        </r>
        <r>
          <rPr>
            <sz val="8"/>
            <color indexed="9"/>
            <rFont val="Tahoma"/>
            <family val="2"/>
          </rPr>
          <t xml:space="preserve">
F</t>
        </r>
        <r>
          <rPr>
            <b/>
            <sz val="8"/>
            <color indexed="9"/>
            <rFont val="Tahoma"/>
            <family val="2"/>
          </rPr>
          <t>rom 1958 to 1967, Fuel used for all purposes.</t>
        </r>
      </text>
    </comment>
    <comment ref="AO7" authorId="0" shapeId="0" xr:uid="{00000000-0006-0000-0E00-000003000000}">
      <text>
        <r>
          <rPr>
            <b/>
            <sz val="8"/>
            <color indexed="9"/>
            <rFont val="Tahoma"/>
            <family val="2"/>
          </rPr>
          <t>Elena Cordero:</t>
        </r>
        <r>
          <rPr>
            <sz val="8"/>
            <color indexed="9"/>
            <rFont val="Tahoma"/>
            <family val="2"/>
          </rPr>
          <t xml:space="preserve">
Prepayment from 1921-1943</t>
        </r>
      </text>
    </comment>
    <comment ref="BZ7" authorId="0" shapeId="0" xr:uid="{00000000-0006-0000-0E00-000004000000}">
      <text>
        <r>
          <rPr>
            <sz val="8"/>
            <color indexed="9"/>
            <rFont val="Tahoma"/>
            <family val="2"/>
          </rPr>
          <t xml:space="preserve">
</t>
        </r>
        <r>
          <rPr>
            <b/>
            <sz val="8"/>
            <color indexed="9"/>
            <rFont val="Tahoma"/>
            <family val="2"/>
          </rPr>
          <t>Light oils (including light distillates, gasoline and kerosene), gas oils (including heavy kerosene, light and heavy gas oils) and heavy oils (including residual oils). Petroleum gases are not included.</t>
        </r>
      </text>
    </comment>
    <comment ref="CA7" authorId="0" shapeId="0" xr:uid="{00000000-0006-0000-0E00-000005000000}">
      <text>
        <r>
          <rPr>
            <sz val="8"/>
            <color indexed="9"/>
            <rFont val="Tahoma"/>
            <family val="2"/>
          </rPr>
          <t xml:space="preserve">
</t>
        </r>
        <r>
          <rPr>
            <b/>
            <sz val="8"/>
            <color indexed="9"/>
            <rFont val="Tahoma"/>
            <family val="2"/>
          </rPr>
          <t>Butane and Propane</t>
        </r>
      </text>
    </comment>
    <comment ref="CB7" authorId="0" shapeId="0" xr:uid="{00000000-0006-0000-0E00-000006000000}">
      <text>
        <r>
          <rPr>
            <sz val="8"/>
            <color indexed="9"/>
            <rFont val="Tahoma"/>
            <family val="2"/>
          </rPr>
          <t xml:space="preserve">
Ethane and refinery tail gases.</t>
        </r>
      </text>
    </comment>
    <comment ref="B50" authorId="0" shapeId="0" xr:uid="{00000000-0006-0000-0E00-000007000000}">
      <text>
        <r>
          <rPr>
            <sz val="8"/>
            <color indexed="9"/>
            <rFont val="Tahoma"/>
            <family val="2"/>
          </rPr>
          <t xml:space="preserve">
Number of Authorised Undertakings included in Return</t>
        </r>
      </text>
    </comment>
    <comment ref="C50" authorId="0" shapeId="0" xr:uid="{00000000-0006-0000-0E00-000008000000}">
      <text>
        <r>
          <rPr>
            <sz val="8"/>
            <color indexed="9"/>
            <rFont val="Tahoma"/>
            <family val="2"/>
          </rPr>
          <t xml:space="preserve">
1920 To Ordinary and Power Consumers, &amp; c.</t>
        </r>
      </text>
    </comment>
    <comment ref="AG50" authorId="0" shapeId="0" xr:uid="{00000000-0006-0000-0E00-000009000000}">
      <text>
        <r>
          <rPr>
            <sz val="8"/>
            <color indexed="9"/>
            <rFont val="Tahoma"/>
            <family val="2"/>
          </rPr>
          <t xml:space="preserve">
Number of Authorised Undertakings included in Return</t>
        </r>
      </text>
    </comment>
    <comment ref="BW50" authorId="1" shapeId="0" xr:uid="{00000000-0006-0000-0E00-00000A000000}">
      <text>
        <r>
          <rPr>
            <sz val="10"/>
            <color indexed="81"/>
            <rFont val="Tahoma"/>
            <family val="2"/>
          </rPr>
          <t xml:space="preserve">
Coal carbonised</t>
        </r>
      </text>
    </comment>
    <comment ref="C51" authorId="0" shapeId="0" xr:uid="{00000000-0006-0000-0E00-00000B000000}">
      <text>
        <r>
          <rPr>
            <sz val="8"/>
            <color indexed="9"/>
            <rFont val="Tahoma"/>
            <family val="2"/>
          </rPr>
          <t xml:space="preserve">
From 1921 to 1929 Million cubic feet conversion to Million therms has been calculated as the average conversion factor  from 1930 to 1934:</t>
        </r>
        <r>
          <rPr>
            <sz val="8"/>
            <color indexed="11"/>
            <rFont val="Tahoma"/>
            <family val="2"/>
          </rPr>
          <t xml:space="preserve"> 0.00477</t>
        </r>
      </text>
    </comment>
    <comment ref="D51" authorId="0" shapeId="0" xr:uid="{00000000-0006-0000-0E00-00000C000000}">
      <text>
        <r>
          <rPr>
            <sz val="8"/>
            <color indexed="9"/>
            <rFont val="Tahoma"/>
            <family val="2"/>
          </rPr>
          <t xml:space="preserve">
From 1921 to 1929 Million cubic feet conversion to Million therms has been calculated using the average conversion  factor from 1930 to 1934:</t>
        </r>
        <r>
          <rPr>
            <sz val="8"/>
            <color indexed="11"/>
            <rFont val="Tahoma"/>
            <family val="2"/>
          </rPr>
          <t xml:space="preserve"> 0.00477</t>
        </r>
      </text>
    </comment>
    <comment ref="N51" authorId="0" shapeId="0" xr:uid="{00000000-0006-0000-0E00-00000D000000}">
      <text>
        <r>
          <rPr>
            <sz val="8"/>
            <color indexed="9"/>
            <rFont val="Tahoma"/>
            <family val="2"/>
          </rPr>
          <t xml:space="preserve">
From 1921 to 1929 Million cubitc feet conversion to Million therms has been calculated using the average conversion  factor from 1930 to 1934:</t>
        </r>
        <r>
          <rPr>
            <sz val="8"/>
            <color indexed="11"/>
            <rFont val="Tahoma"/>
            <family val="2"/>
          </rPr>
          <t xml:space="preserve"> 0.00477</t>
        </r>
      </text>
    </comment>
    <comment ref="O51" authorId="0" shapeId="0" xr:uid="{00000000-0006-0000-0E00-00000E000000}">
      <text>
        <r>
          <rPr>
            <sz val="8"/>
            <color indexed="9"/>
            <rFont val="Tahoma"/>
            <family val="2"/>
          </rPr>
          <t xml:space="preserve">
From 1921 to 1929 Million cubic feet conversion to Million therms has been calculated using the average conversion factor from 1930 to 1934:</t>
        </r>
        <r>
          <rPr>
            <sz val="8"/>
            <color indexed="11"/>
            <rFont val="Tahoma"/>
            <family val="2"/>
          </rPr>
          <t xml:space="preserve"> 0.00477</t>
        </r>
      </text>
    </comment>
    <comment ref="Q51" authorId="0" shapeId="0" xr:uid="{00000000-0006-0000-0E00-00000F000000}">
      <text>
        <r>
          <rPr>
            <sz val="8"/>
            <color indexed="9"/>
            <rFont val="Tahoma"/>
            <family val="2"/>
          </rPr>
          <t xml:space="preserve">
From 1921 to 1929 Million cubit feet conversion to Million therms has been calculated using the average conversion factor from 1930 to 1934:</t>
        </r>
        <r>
          <rPr>
            <sz val="8"/>
            <color indexed="11"/>
            <rFont val="Tahoma"/>
            <family val="2"/>
          </rPr>
          <t xml:space="preserve"> 0.00477</t>
        </r>
      </text>
    </comment>
    <comment ref="AU55" authorId="1" shapeId="0" xr:uid="{00000000-0006-0000-0E00-000010000000}">
      <text>
        <r>
          <rPr>
            <sz val="10"/>
            <color indexed="81"/>
            <rFont val="Tahoma"/>
            <family val="2"/>
          </rPr>
          <t xml:space="preserve">
includes industrial use</t>
        </r>
      </text>
    </comment>
    <comment ref="AU56" authorId="1" shapeId="0" xr:uid="{00000000-0006-0000-0E00-000011000000}">
      <text>
        <r>
          <rPr>
            <sz val="10"/>
            <color indexed="81"/>
            <rFont val="Tahoma"/>
            <family val="2"/>
          </rPr>
          <t xml:space="preserve">
includes industrial use</t>
        </r>
      </text>
    </comment>
    <comment ref="AM57" authorId="1" shapeId="0" xr:uid="{00000000-0006-0000-0E00-000012000000}">
      <text>
        <r>
          <rPr>
            <sz val="10"/>
            <color indexed="81"/>
            <rFont val="Tahoma"/>
            <family val="2"/>
          </rPr>
          <t xml:space="preserve">
Average 1943-48</t>
        </r>
      </text>
    </comment>
    <comment ref="AQ57" authorId="1" shapeId="0" xr:uid="{00000000-0006-0000-0E00-000013000000}">
      <text>
        <r>
          <rPr>
            <sz val="10"/>
            <color indexed="81"/>
            <rFont val="Tahoma"/>
            <family val="2"/>
          </rPr>
          <t xml:space="preserve">
Average 1943-49</t>
        </r>
      </text>
    </comment>
    <comment ref="AU57" authorId="1" shapeId="0" xr:uid="{00000000-0006-0000-0E00-000014000000}">
      <text>
        <r>
          <rPr>
            <sz val="10"/>
            <color indexed="81"/>
            <rFont val="Tahoma"/>
            <family val="2"/>
          </rPr>
          <t xml:space="preserve">
Average 1943-49</t>
        </r>
      </text>
    </comment>
    <comment ref="O91" authorId="2" shapeId="0" xr:uid="{00000000-0006-0000-0E00-000015000000}">
      <text>
        <r>
          <rPr>
            <b/>
            <sz val="8"/>
            <color indexed="9"/>
            <rFont val="Tahoma"/>
            <family val="2"/>
          </rPr>
          <t>DUKES 2000 showed this incorrectly as</t>
        </r>
        <r>
          <rPr>
            <sz val="8"/>
            <color indexed="9"/>
            <rFont val="Tahoma"/>
            <family val="2"/>
          </rPr>
          <t xml:space="preserve">
78,162</t>
        </r>
      </text>
    </comment>
    <comment ref="O94" authorId="2" shapeId="0" xr:uid="{00000000-0006-0000-0E00-000016000000}">
      <text>
        <r>
          <rPr>
            <b/>
            <sz val="8"/>
            <color indexed="9"/>
            <rFont val="Tahoma"/>
            <family val="2"/>
          </rPr>
          <t>DUKES 2000 showed this figure incorrectly as</t>
        </r>
        <r>
          <rPr>
            <sz val="8"/>
            <color indexed="9"/>
            <rFont val="Tahoma"/>
            <family val="2"/>
          </rPr>
          <t xml:space="preserve">
90,442</t>
        </r>
      </text>
    </comment>
    <comment ref="AA95" authorId="0" shapeId="0" xr:uid="{00000000-0006-0000-0E00-000017000000}">
      <text>
        <r>
          <rPr>
            <b/>
            <sz val="8"/>
            <color indexed="9"/>
            <rFont val="Tahoma"/>
            <family val="2"/>
          </rPr>
          <t>Elena Cordero:</t>
        </r>
        <r>
          <rPr>
            <sz val="8"/>
            <color indexed="9"/>
            <rFont val="Tahoma"/>
            <family val="2"/>
          </rPr>
          <t xml:space="preserve">
National and Local Goverment</t>
        </r>
      </text>
    </comment>
    <comment ref="O105" authorId="2" shapeId="0" xr:uid="{00000000-0006-0000-0E00-000018000000}">
      <text>
        <r>
          <rPr>
            <b/>
            <sz val="8"/>
            <color indexed="9"/>
            <rFont val="Tahoma"/>
            <family val="2"/>
          </rPr>
          <t>DUKES 2001 shows this figure incorrectly as</t>
        </r>
        <r>
          <rPr>
            <sz val="8"/>
            <color indexed="9"/>
            <rFont val="Tahoma"/>
            <family val="2"/>
          </rPr>
          <t xml:space="preserve">
 21,013
</t>
        </r>
      </text>
    </comment>
    <comment ref="O106" authorId="2" shapeId="0" xr:uid="{00000000-0006-0000-0E00-000019000000}">
      <text>
        <r>
          <rPr>
            <b/>
            <sz val="8"/>
            <color indexed="9"/>
            <rFont val="Tahoma"/>
            <family val="2"/>
          </rPr>
          <t xml:space="preserve">DUKES 2001 shows this figure incorrectly as </t>
        </r>
        <r>
          <rPr>
            <sz val="8"/>
            <color indexed="9"/>
            <rFont val="Tahoma"/>
            <family val="2"/>
          </rPr>
          <t xml:space="preserve"> 6,535</t>
        </r>
      </text>
    </comment>
    <comment ref="X123" authorId="0" shapeId="0" xr:uid="{00000000-0006-0000-0E00-00001A000000}">
      <text>
        <r>
          <rPr>
            <b/>
            <sz val="8"/>
            <color indexed="9"/>
            <rFont val="Tahoma"/>
            <family val="2"/>
          </rPr>
          <t>Elena Cordero:</t>
        </r>
        <r>
          <rPr>
            <sz val="8"/>
            <color indexed="9"/>
            <rFont val="Tahoma"/>
            <family val="2"/>
          </rPr>
          <t xml:space="preserve">
Total domestic customers.</t>
        </r>
      </text>
    </comment>
    <comment ref="X127" authorId="2" shapeId="0" xr:uid="{00000000-0006-0000-0E00-00001B000000}">
      <text>
        <r>
          <rPr>
            <b/>
            <sz val="8"/>
            <color indexed="9"/>
            <rFont val="Tahoma"/>
            <family val="2"/>
          </rPr>
          <t>ecordero:</t>
        </r>
        <r>
          <rPr>
            <sz val="8"/>
            <color indexed="9"/>
            <rFont val="Tahoma"/>
            <family val="2"/>
          </rPr>
          <t xml:space="preserve">
Consumption by customers below 73,200 KWh annual demand </t>
        </r>
      </text>
    </comment>
    <comment ref="A197" authorId="2" shapeId="0" xr:uid="{00000000-0006-0000-0E00-00001C000000}">
      <text>
        <r>
          <rPr>
            <sz val="8"/>
            <color indexed="9"/>
            <rFont val="Tahoma"/>
            <family val="2"/>
          </rPr>
          <t xml:space="preserve">
Public Lighting figures have been subtracted from Services Town gas</t>
        </r>
      </text>
    </comment>
    <comment ref="A198" authorId="2" shapeId="0" xr:uid="{00000000-0006-0000-0E00-00001D000000}">
      <text>
        <r>
          <rPr>
            <sz val="8"/>
            <color indexed="9"/>
            <rFont val="Tahoma"/>
            <family val="2"/>
          </rPr>
          <t xml:space="preserve">
Public Lighting figures have been subtracted from Services Town gas in cells L57 and L58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HVekria</author>
    <author>User</author>
  </authors>
  <commentList>
    <comment ref="AF8" authorId="0" shapeId="0" xr:uid="{00000000-0006-0000-1000-000001000000}">
      <text>
        <r>
          <rPr>
            <sz val="8"/>
            <color indexed="81"/>
            <rFont val="Tahoma"/>
            <family val="2"/>
          </rPr>
          <t>Oil data from 1920-1929 and 1950-1959, calculated oil firing + oil engines</t>
        </r>
      </text>
    </comment>
    <comment ref="G79" authorId="1" shapeId="0" xr:uid="{00000000-0006-0000-1000-000002000000}">
      <text>
        <r>
          <rPr>
            <b/>
            <sz val="9"/>
            <color indexed="81"/>
            <rFont val="Tahoma"/>
            <family val="2"/>
          </rPr>
          <t>User:</t>
        </r>
        <r>
          <rPr>
            <sz val="9"/>
            <color indexed="81"/>
            <rFont val="Tahoma"/>
            <family val="2"/>
          </rPr>
          <t xml:space="preserve">
Excludes Northern Ireland before 1960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HVekria</author>
  </authors>
  <commentList>
    <comment ref="AF8" authorId="0" shapeId="0" xr:uid="{00000000-0006-0000-1100-000001000000}">
      <text>
        <r>
          <rPr>
            <sz val="8"/>
            <color indexed="81"/>
            <rFont val="Tahoma"/>
            <family val="2"/>
          </rPr>
          <t>Oil data from 1920-1929 and 1950-1959, calculated oil firing + oil engines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HVekria</author>
  </authors>
  <commentList>
    <comment ref="AF8" authorId="0" shapeId="0" xr:uid="{00000000-0006-0000-1200-000001000000}">
      <text>
        <r>
          <rPr>
            <sz val="8"/>
            <color indexed="81"/>
            <rFont val="Tahoma"/>
            <family val="2"/>
          </rPr>
          <t>Oil data from 1920-1929 and 1950-1959, calculated oil firing + oil engines</t>
        </r>
      </text>
    </comment>
  </commentList>
</comments>
</file>

<file path=xl/sharedStrings.xml><?xml version="1.0" encoding="utf-8"?>
<sst xmlns="http://schemas.openxmlformats.org/spreadsheetml/2006/main" count="12429" uniqueCount="2510">
  <si>
    <t>Million tonnes</t>
  </si>
  <si>
    <r>
      <t>Colliery</t>
    </r>
    <r>
      <rPr>
        <b/>
        <vertAlign val="superscript"/>
        <sz val="10"/>
        <rFont val="Arial"/>
        <family val="2"/>
      </rPr>
      <t>3</t>
    </r>
  </si>
  <si>
    <t>Distributed</t>
  </si>
  <si>
    <t>Coke Ovens &amp;</t>
  </si>
  <si>
    <t>Coastwise</t>
  </si>
  <si>
    <t>Northern</t>
  </si>
  <si>
    <t>Total Inland</t>
  </si>
  <si>
    <t xml:space="preserve"> Overseas Shipments </t>
  </si>
  <si>
    <t xml:space="preserve">Total Consumption </t>
  </si>
  <si>
    <t>Year</t>
  </si>
  <si>
    <r>
      <t>Supply</t>
    </r>
    <r>
      <rPr>
        <b/>
        <vertAlign val="superscript"/>
        <sz val="10"/>
        <rFont val="Arial"/>
        <family val="2"/>
      </rPr>
      <t>2</t>
    </r>
  </si>
  <si>
    <t>Stocks</t>
  </si>
  <si>
    <t>Collieries</t>
  </si>
  <si>
    <t>Electricity</t>
  </si>
  <si>
    <t xml:space="preserve">Gas </t>
  </si>
  <si>
    <r>
      <t>MSF</t>
    </r>
    <r>
      <rPr>
        <b/>
        <vertAlign val="superscript"/>
        <sz val="10"/>
        <rFont val="Arial"/>
        <family val="2"/>
      </rPr>
      <t>4,5</t>
    </r>
  </si>
  <si>
    <t>Railways</t>
  </si>
  <si>
    <t>Domestic</t>
  </si>
  <si>
    <t>Industry</t>
  </si>
  <si>
    <r>
      <t>Miscellaneous</t>
    </r>
    <r>
      <rPr>
        <b/>
        <vertAlign val="superscript"/>
        <sz val="10"/>
        <rFont val="Arial"/>
        <family val="2"/>
      </rPr>
      <t>6</t>
    </r>
  </si>
  <si>
    <t>Miners</t>
  </si>
  <si>
    <t>Bunkers</t>
  </si>
  <si>
    <t>Other</t>
  </si>
  <si>
    <t xml:space="preserve"> Ireland</t>
  </si>
  <si>
    <t>Consumption</t>
  </si>
  <si>
    <r>
      <t>and Bunkers</t>
    </r>
    <r>
      <rPr>
        <b/>
        <vertAlign val="superscript"/>
        <sz val="10"/>
        <rFont val="Arial"/>
        <family val="2"/>
      </rPr>
      <t>7</t>
    </r>
  </si>
  <si>
    <r>
      <t>and Shipments</t>
    </r>
    <r>
      <rPr>
        <b/>
        <vertAlign val="superscript"/>
        <sz val="10"/>
        <rFont val="Arial"/>
        <family val="2"/>
      </rPr>
      <t>6</t>
    </r>
  </si>
  <si>
    <t>(1)</t>
  </si>
  <si>
    <t>(2)</t>
  </si>
  <si>
    <t>(3)</t>
  </si>
  <si>
    <t>(4)</t>
  </si>
  <si>
    <t>(5)</t>
  </si>
  <si>
    <t>(6)</t>
  </si>
  <si>
    <t>(7)</t>
  </si>
  <si>
    <t>(8)</t>
  </si>
  <si>
    <t>(9)</t>
  </si>
  <si>
    <t>(10)</t>
  </si>
  <si>
    <t>(11)</t>
  </si>
  <si>
    <t>(12)</t>
  </si>
  <si>
    <t>(13)</t>
  </si>
  <si>
    <t>(14)</t>
  </si>
  <si>
    <t>(15)</t>
  </si>
  <si>
    <t>(16)</t>
  </si>
  <si>
    <t>(17)</t>
  </si>
  <si>
    <t>(18)</t>
  </si>
  <si>
    <t>sum of (4) to (14)</t>
  </si>
  <si>
    <t>sum of (16) and (17)</t>
  </si>
  <si>
    <r>
      <t>1853-1862</t>
    </r>
    <r>
      <rPr>
        <b/>
        <vertAlign val="superscript"/>
        <sz val="10"/>
        <rFont val="Arial"/>
        <family val="2"/>
      </rPr>
      <t>8</t>
    </r>
  </si>
  <si>
    <r>
      <t>1863-1872</t>
    </r>
    <r>
      <rPr>
        <b/>
        <vertAlign val="superscript"/>
        <sz val="10"/>
        <rFont val="Arial"/>
        <family val="2"/>
      </rPr>
      <t>8</t>
    </r>
  </si>
  <si>
    <r>
      <t>1873-1882</t>
    </r>
    <r>
      <rPr>
        <b/>
        <vertAlign val="superscript"/>
        <sz val="10"/>
        <rFont val="Arial"/>
        <family val="2"/>
      </rPr>
      <t>8</t>
    </r>
  </si>
  <si>
    <r>
      <t>1883-1892</t>
    </r>
    <r>
      <rPr>
        <b/>
        <vertAlign val="superscript"/>
        <sz val="10"/>
        <rFont val="Arial"/>
        <family val="2"/>
      </rPr>
      <t>8</t>
    </r>
  </si>
  <si>
    <r>
      <t>1893-1902</t>
    </r>
    <r>
      <rPr>
        <b/>
        <vertAlign val="superscript"/>
        <sz val="10"/>
        <rFont val="Arial"/>
        <family val="2"/>
      </rPr>
      <t>8</t>
    </r>
  </si>
  <si>
    <r>
      <t>1903-1912</t>
    </r>
    <r>
      <rPr>
        <b/>
        <vertAlign val="superscript"/>
        <sz val="10"/>
        <rFont val="Arial"/>
        <family val="2"/>
      </rPr>
      <t>8</t>
    </r>
  </si>
  <si>
    <r>
      <t>1913-1922</t>
    </r>
    <r>
      <rPr>
        <b/>
        <vertAlign val="superscript"/>
        <sz val="10"/>
        <rFont val="Arial"/>
        <family val="2"/>
      </rPr>
      <t>8,9</t>
    </r>
  </si>
  <si>
    <t>..</t>
  </si>
  <si>
    <r>
      <t>1923-1932</t>
    </r>
    <r>
      <rPr>
        <b/>
        <vertAlign val="superscript"/>
        <sz val="10"/>
        <rFont val="Arial"/>
        <family val="2"/>
      </rPr>
      <t>8,9</t>
    </r>
  </si>
  <si>
    <r>
      <t>1933-1942</t>
    </r>
    <r>
      <rPr>
        <b/>
        <vertAlign val="superscript"/>
        <sz val="10"/>
        <rFont val="Arial"/>
        <family val="2"/>
      </rPr>
      <t>8,9</t>
    </r>
  </si>
  <si>
    <r>
      <t>1943-1952</t>
    </r>
    <r>
      <rPr>
        <b/>
        <vertAlign val="superscript"/>
        <sz val="10"/>
        <rFont val="Arial"/>
        <family val="2"/>
      </rPr>
      <t>8,9</t>
    </r>
  </si>
  <si>
    <r>
      <t>1953-1962</t>
    </r>
    <r>
      <rPr>
        <b/>
        <vertAlign val="superscript"/>
        <sz val="10"/>
        <rFont val="Arial"/>
        <family val="2"/>
      </rPr>
      <t>8,9</t>
    </r>
  </si>
  <si>
    <r>
      <t>1963-1972</t>
    </r>
    <r>
      <rPr>
        <b/>
        <vertAlign val="superscript"/>
        <sz val="10"/>
        <rFont val="Arial"/>
        <family val="2"/>
      </rPr>
      <t>8,9</t>
    </r>
  </si>
  <si>
    <r>
      <t>1973-1982</t>
    </r>
    <r>
      <rPr>
        <b/>
        <vertAlign val="superscript"/>
        <sz val="10"/>
        <rFont val="Arial"/>
        <family val="2"/>
      </rPr>
      <t>8,9</t>
    </r>
  </si>
  <si>
    <r>
      <t>1983-1992</t>
    </r>
    <r>
      <rPr>
        <b/>
        <vertAlign val="superscript"/>
        <sz val="10"/>
        <rFont val="Arial"/>
        <family val="2"/>
      </rPr>
      <t>8,9</t>
    </r>
  </si>
  <si>
    <r>
      <t>1993-2002</t>
    </r>
    <r>
      <rPr>
        <b/>
        <vertAlign val="superscript"/>
        <sz val="10"/>
        <rFont val="Arial"/>
        <family val="2"/>
      </rPr>
      <t>8,9</t>
    </r>
  </si>
  <si>
    <r>
      <t>2003-2012</t>
    </r>
    <r>
      <rPr>
        <b/>
        <vertAlign val="superscript"/>
        <sz val="10"/>
        <rFont val="Arial"/>
        <family val="2"/>
      </rPr>
      <t>8,9</t>
    </r>
  </si>
  <si>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</si>
  <si>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</si>
  <si>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</si>
  <si>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</si>
  <si>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</si>
  <si>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</si>
  <si>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</si>
  <si>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</si>
  <si>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</si>
  <si>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</si>
  <si>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</si>
  <si>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</si>
  <si>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</si>
  <si>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</si>
  <si>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</si>
  <si>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</si>
  <si>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</si>
  <si>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</si>
  <si>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</si>
  <si>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</si>
  <si>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</si>
  <si>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</si>
  <si>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</si>
  <si>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</si>
  <si>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</si>
  <si>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</si>
  <si>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</si>
  <si>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</si>
  <si>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</si>
  <si>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</si>
  <si>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</si>
  <si>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</si>
  <si>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</si>
  <si>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r>
      <t>1975</t>
    </r>
    <r>
      <rPr>
        <b/>
        <vertAlign val="superscript"/>
        <sz val="10"/>
        <rFont val="Arial"/>
        <family val="2"/>
      </rPr>
      <t>10</t>
    </r>
  </si>
  <si>
    <t>1976</t>
  </si>
  <si>
    <r>
      <t>1977</t>
    </r>
    <r>
      <rPr>
        <b/>
        <vertAlign val="superscript"/>
        <sz val="10"/>
        <rFont val="Arial"/>
        <family val="2"/>
      </rPr>
      <t>11</t>
    </r>
  </si>
  <si>
    <t>-</t>
  </si>
  <si>
    <t>1978</t>
  </si>
  <si>
    <t>1979</t>
  </si>
  <si>
    <t>1980</t>
  </si>
  <si>
    <t>1981</t>
  </si>
  <si>
    <t>1982</t>
  </si>
  <si>
    <t>1983</t>
  </si>
  <si>
    <t>1984</t>
  </si>
  <si>
    <t>1985</t>
  </si>
  <si>
    <t>1986</t>
  </si>
  <si>
    <t>1987</t>
  </si>
  <si>
    <t>1988</t>
  </si>
  <si>
    <t>1989</t>
  </si>
  <si>
    <t>1990</t>
  </si>
  <si>
    <t>1991</t>
  </si>
  <si>
    <r>
      <t>1992</t>
    </r>
    <r>
      <rPr>
        <b/>
        <vertAlign val="superscript"/>
        <sz val="10"/>
        <rFont val="Arial"/>
        <family val="2"/>
      </rPr>
      <t>12,13</t>
    </r>
  </si>
  <si>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</si>
  <si>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</si>
  <si>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</si>
  <si>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</si>
  <si>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</si>
  <si>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</si>
  <si>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</si>
  <si>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</si>
  <si>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</si>
  <si>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</si>
  <si>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</si>
  <si>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</si>
  <si>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</si>
  <si>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</si>
  <si>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</si>
  <si>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</si>
  <si>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</si>
  <si>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</si>
  <si>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</si>
  <si>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</si>
  <si>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</si>
  <si>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</si>
  <si>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</si>
  <si>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</si>
  <si>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</si>
  <si>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</si>
  <si>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2.1 - 2.3</t>
  </si>
  <si>
    <t>2.1.1</t>
  </si>
  <si>
    <t>2.1.2</t>
  </si>
  <si>
    <t>calc</t>
  </si>
  <si>
    <r>
      <t xml:space="preserve">Footnotes: </t>
    </r>
    <r>
      <rPr>
        <b/>
        <vertAlign val="superscript"/>
        <sz val="10"/>
        <rFont val="Arial"/>
        <family val="2"/>
      </rPr>
      <t/>
    </r>
  </si>
  <si>
    <r>
      <t xml:space="preserve">1 </t>
    </r>
    <r>
      <rPr>
        <sz val="10"/>
        <rFont val="Arial"/>
        <family val="2"/>
      </rPr>
      <t>Coal production data first given in September 2001 Energy Trends article (now updated to 2012).</t>
    </r>
  </si>
  <si>
    <r>
      <t>2</t>
    </r>
    <r>
      <rPr>
        <sz val="10"/>
        <rFont val="Arial"/>
        <family val="2"/>
      </rPr>
      <t xml:space="preserve"> From 1913 to 1966 all figures have been converted from million statute tons to million metric tonnes.</t>
    </r>
  </si>
  <si>
    <r>
      <t>3</t>
    </r>
    <r>
      <rPr>
        <sz val="10"/>
        <rFont val="Arial"/>
        <family val="2"/>
      </rPr>
      <t xml:space="preserve"> Undistributed stocks.</t>
    </r>
  </si>
  <si>
    <r>
      <t>4</t>
    </r>
    <r>
      <rPr>
        <sz val="10"/>
        <rFont val="Arial"/>
        <family val="2"/>
      </rPr>
      <t xml:space="preserve"> MSF is manufactured solid fuel.</t>
    </r>
  </si>
  <si>
    <r>
      <t>5</t>
    </r>
    <r>
      <rPr>
        <sz val="10"/>
        <rFont val="Arial"/>
        <family val="2"/>
      </rPr>
      <t xml:space="preserve"> Coke ovens and other solid fuel plants.</t>
    </r>
  </si>
  <si>
    <r>
      <t>6</t>
    </r>
    <r>
      <rPr>
        <sz val="10"/>
        <rFont val="Arial"/>
        <family val="2"/>
      </rPr>
      <t xml:space="preserve"> Figures in red are calculated from the other columns.</t>
    </r>
  </si>
  <si>
    <r>
      <t>7</t>
    </r>
    <r>
      <rPr>
        <sz val="10"/>
        <rFont val="Arial"/>
        <family val="2"/>
      </rPr>
      <t xml:space="preserve"> Corresponds to exports.</t>
    </r>
  </si>
  <si>
    <r>
      <t>8</t>
    </r>
    <r>
      <rPr>
        <b/>
        <sz val="10"/>
        <rFont val="Arial"/>
        <family val="2"/>
      </rPr>
      <t xml:space="preserve"> </t>
    </r>
    <r>
      <rPr>
        <sz val="10"/>
        <rFont val="Arial"/>
        <family val="2"/>
      </rPr>
      <t>Annual average over a ten year period.</t>
    </r>
  </si>
  <si>
    <r>
      <t xml:space="preserve">9 </t>
    </r>
    <r>
      <rPr>
        <sz val="10"/>
        <rFont val="Arial"/>
        <family val="2"/>
      </rPr>
      <t>Annual averages in blue are calculated from the annual data.</t>
    </r>
  </si>
  <si>
    <r>
      <t>10</t>
    </r>
    <r>
      <rPr>
        <sz val="10"/>
        <rFont val="Arial"/>
        <family val="2"/>
      </rPr>
      <t xml:space="preserve"> Supply in 1975 and 1976 is calculated as follow: Production + Imports - Overseas shipments and bunkers + Stock changes</t>
    </r>
  </si>
  <si>
    <r>
      <t>11</t>
    </r>
    <r>
      <rPr>
        <sz val="10"/>
        <rFont val="Arial"/>
        <family val="2"/>
      </rPr>
      <t xml:space="preserve"> Supply from 1977 up to 1991 is calculated as follow: Deep-mined + Opencast + Other + Imports -Overseas shipments + Stock changes</t>
    </r>
  </si>
  <si>
    <r>
      <t>12</t>
    </r>
    <r>
      <rPr>
        <sz val="10"/>
        <rFont val="Arial"/>
        <family val="2"/>
      </rPr>
      <t xml:space="preserve"> Supply in 1992 and 1993 is calculated as follow: Deep-mined + Opencast + Other + Imports -Exports + Stock changes</t>
    </r>
  </si>
  <si>
    <r>
      <t>13</t>
    </r>
    <r>
      <rPr>
        <sz val="10"/>
        <rFont val="Arial"/>
        <family val="2"/>
      </rPr>
      <t xml:space="preserve"> From 1992 Overseas shipments and bunkers corresponds to Exports</t>
    </r>
  </si>
  <si>
    <t>Gases</t>
  </si>
  <si>
    <t>Feedstocks for Petchem</t>
  </si>
  <si>
    <t>Kerosene</t>
  </si>
  <si>
    <t>Naphtha</t>
  </si>
  <si>
    <t>Aviation</t>
  </si>
  <si>
    <t>Marine</t>
  </si>
  <si>
    <t>TOTAL</t>
  </si>
  <si>
    <t>Butane &amp;</t>
  </si>
  <si>
    <t>Petroleum</t>
  </si>
  <si>
    <t>(LDF) for</t>
  </si>
  <si>
    <t>Wide Cut</t>
  </si>
  <si>
    <t>Motor</t>
  </si>
  <si>
    <t>Industrial</t>
  </si>
  <si>
    <t>White</t>
  </si>
  <si>
    <t>Turbine</t>
  </si>
  <si>
    <t>Burning</t>
  </si>
  <si>
    <t>Vaporising</t>
  </si>
  <si>
    <t>DERV</t>
  </si>
  <si>
    <t>Gas</t>
  </si>
  <si>
    <t>Diesel</t>
  </si>
  <si>
    <t>Fuel</t>
  </si>
  <si>
    <t>Lubricating</t>
  </si>
  <si>
    <t>Paraffin</t>
  </si>
  <si>
    <t>Misc.</t>
  </si>
  <si>
    <t>Refinery</t>
  </si>
  <si>
    <t>(inc Refinery</t>
  </si>
  <si>
    <t>Propane</t>
  </si>
  <si>
    <t>(LDF)</t>
  </si>
  <si>
    <t>Products</t>
  </si>
  <si>
    <t>Gasworks</t>
  </si>
  <si>
    <t>Spirit</t>
  </si>
  <si>
    <t>Gasoline</t>
  </si>
  <si>
    <t>Oil</t>
  </si>
  <si>
    <t>Bitumen</t>
  </si>
  <si>
    <t>Wax</t>
  </si>
  <si>
    <t>Coke</t>
  </si>
  <si>
    <t>PRODUCTS</t>
  </si>
  <si>
    <t>Fuel)</t>
  </si>
  <si>
    <t xml:space="preserve">                1547</t>
  </si>
  <si>
    <t>(1) Product breakdown not available for data before 1899</t>
  </si>
  <si>
    <t>(2) The methodolgy for calculating deliveries to the petrochemical industry was revised from 2005 onwards</t>
  </si>
  <si>
    <t>(3) From 2015 quantities received at refineries from petrochemical plants have been removed from Feedstocks for Petchem and recorded under other transformation in Table 3.2 to 3.4. This has been rolled back to 2013.</t>
  </si>
  <si>
    <t>Analysis of consumption      GWh</t>
  </si>
  <si>
    <t>GWh</t>
  </si>
  <si>
    <t>Number of customers</t>
  </si>
  <si>
    <t>Number of undertakings included (d)</t>
  </si>
  <si>
    <t>Public Lighting</t>
  </si>
  <si>
    <t>Electricity generators</t>
  </si>
  <si>
    <t>Other energy industries</t>
  </si>
  <si>
    <t>Services (c)</t>
  </si>
  <si>
    <t>Other than Domestic Prepayment and public lighting</t>
  </si>
  <si>
    <t>Total</t>
  </si>
  <si>
    <t>Production</t>
  </si>
  <si>
    <t>Town gas supplies from other sources</t>
  </si>
  <si>
    <t>Imports</t>
  </si>
  <si>
    <t>Exports</t>
  </si>
  <si>
    <t>Commercial (c)</t>
  </si>
  <si>
    <t>Public Administration</t>
  </si>
  <si>
    <t>Other than Domestic prepayment</t>
  </si>
  <si>
    <t>Number of undertakings included</t>
  </si>
  <si>
    <t>Total Gas sold</t>
  </si>
  <si>
    <t>Total Number of customers</t>
  </si>
  <si>
    <t>AVERAGE</t>
  </si>
  <si>
    <t>Commercial</t>
  </si>
  <si>
    <t>Pre-payment</t>
  </si>
  <si>
    <t>Other (e)</t>
  </si>
  <si>
    <t>Prepayment</t>
  </si>
  <si>
    <t>Town gas</t>
  </si>
  <si>
    <t>Methane</t>
  </si>
  <si>
    <t>total</t>
  </si>
  <si>
    <t>(b)</t>
  </si>
  <si>
    <t>Thousand</t>
  </si>
  <si>
    <t>1882/91</t>
  </si>
  <si>
    <t>1892/01</t>
  </si>
  <si>
    <t>1902/11</t>
  </si>
  <si>
    <t>1912/19</t>
  </si>
  <si>
    <t>1920/29</t>
  </si>
  <si>
    <t>1930/39</t>
  </si>
  <si>
    <t>1940/49</t>
  </si>
  <si>
    <t>1950/59</t>
  </si>
  <si>
    <t>1960/69</t>
  </si>
  <si>
    <t>1970/79</t>
  </si>
  <si>
    <t>1980/89</t>
  </si>
  <si>
    <t>1990/99</t>
  </si>
  <si>
    <t>2000/09</t>
  </si>
  <si>
    <t xml:space="preserve">1942 (a)  </t>
  </si>
  <si>
    <t>1958/59</t>
  </si>
  <si>
    <t>1959/60</t>
  </si>
  <si>
    <t>1960/61</t>
  </si>
  <si>
    <t>1961/62</t>
  </si>
  <si>
    <t>Sources:</t>
  </si>
  <si>
    <t>1962/63</t>
  </si>
  <si>
    <t>Cells AG8:AI45 from Gas Undertakings 1920 Page 102/103</t>
  </si>
  <si>
    <t>1963/64</t>
  </si>
  <si>
    <t>Cells AG46 to AI46 from Gas Undertakings 1938 Page 1</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</si>
  <si>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</si>
  <si>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</si>
  <si>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</si>
  <si>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</si>
  <si>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</si>
  <si>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</si>
  <si>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</si>
  <si>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</si>
  <si>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</si>
  <si>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</si>
  <si>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</si>
  <si>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</si>
  <si>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</si>
  <si>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</si>
  <si>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</si>
  <si>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</si>
  <si>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</si>
  <si>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</si>
  <si>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</si>
  <si>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</si>
  <si>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</si>
  <si>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</si>
  <si>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</si>
  <si>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</si>
  <si>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</si>
  <si>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</si>
  <si>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</si>
  <si>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Cell B7 from Gas Undertakings 1938 Page 1</t>
  </si>
  <si>
    <t xml:space="preserve">(a) For the years 1921 to 1942 the figures relate to statutory gas undertakings. Those for </t>
  </si>
  <si>
    <t>Cells B9:B11 and B13:B16 from DUKES 1954 Table 117</t>
  </si>
  <si>
    <t xml:space="preserve">subsequent 1943 to 1948 cover undertakings which later vested in Area Gas Boards and </t>
  </si>
  <si>
    <t>Cells B8, B12, B17:B35 from DUKES 1956 Table 112</t>
  </si>
  <si>
    <t xml:space="preserve">a few small railway and transport gas undertakings. </t>
  </si>
  <si>
    <t>Cells B73:B88 from licensed supplier information from OFGAS/OFGEM</t>
  </si>
  <si>
    <t>Cells B89:B95 from Table E7.5 of Energy Sector Indicators, 2004 to 2007 issues</t>
  </si>
  <si>
    <t>(b) Coke Oven Gas, Blast Furnace Gas, Refinery Gas and Petroleum Gases</t>
  </si>
  <si>
    <t>Cell C7 from Gas Undertakings 1938 Page 1</t>
  </si>
  <si>
    <t>Cells C8, C12, C17:C29 from DUKES 1956 Table 112</t>
  </si>
  <si>
    <t>(c) The data from 1920 to 1942 shown in italics are for all non-domestic and non-public lighting consumption and are estimates.</t>
  </si>
  <si>
    <t>Cells C9:C11 and C13:C16 from DUKES 1954 Table 117</t>
  </si>
  <si>
    <t>Cells C30:C41 from DUKES 1965 Table 101</t>
  </si>
  <si>
    <t>(d) The number of gasworks declined from 1050 in 1948 to 428 in 1960 with the last gas works closing in 1988.</t>
  </si>
  <si>
    <t>Cells C42:C44 from DUKES 1973 Table 64</t>
  </si>
  <si>
    <t>From 1986 the figures show the number of companies supplying gas to consumers.</t>
  </si>
  <si>
    <t>Cell C45 from DUKES 1964 Table 96</t>
  </si>
  <si>
    <t>From 2002-2008 the figures are the number  of companies with ¼ per cent share or greater of the total market.</t>
  </si>
  <si>
    <t>Cell C46 from DUKES 1965 Table 96</t>
  </si>
  <si>
    <t>From 2008 onwards the figures are the number of companies which sell any amount of natural gas to final consumers.</t>
  </si>
  <si>
    <t>Cells C47, C52 and C56:C58 from DUKES 1972 Table 52</t>
  </si>
  <si>
    <t>Cells C48:C51 from DUKES 1965 Table 96</t>
  </si>
  <si>
    <t>(e) The data from 1920 to 1942 shown in italics have been estimated.</t>
  </si>
  <si>
    <t>Cells C53:C54 from Minstry of Power Digest of Energy Statistics 1968 and 1969 Table 54</t>
  </si>
  <si>
    <t>Cell C55 from DUKES 1971 Table 58</t>
  </si>
  <si>
    <t>Cell D7 from Gas Undertakings 1938 Page 1</t>
  </si>
  <si>
    <t>Cells D8, D12, D17:D29 from DUKES 1956 Table 112</t>
  </si>
  <si>
    <t>Cells D9:D11 and D13:D16 from DUKES 1954 Table 117</t>
  </si>
  <si>
    <t>Cell D30 from DUKES 1965 Table 100</t>
  </si>
  <si>
    <t>Cells E31:E41 from DUKES 1965 Table 101</t>
  </si>
  <si>
    <t>Cells E42:E44 from DUKES 1973 Table 64</t>
  </si>
  <si>
    <t>Cell E45 from DUKES 1964 Table 96</t>
  </si>
  <si>
    <t>Cell E46 from DUKES 1965 Table 96</t>
  </si>
  <si>
    <t>Cells E47:E56 from DUKES 2000 Table 4.4</t>
  </si>
  <si>
    <t>Cell E57:E104 from Digest of United Kingdom Energy statistics 2018 Table 4.1.1 (Internet only)</t>
  </si>
  <si>
    <t>Cells F47:F56 from DUKES 2000 Table 4.4</t>
  </si>
  <si>
    <t>Cell F57:F105 from Digest of United Kingdom Energy statistics 2019 Table 4.1.1 (Internet only)</t>
  </si>
  <si>
    <t>Cells G30:G41 from DUKES 1965 Table 101</t>
  </si>
  <si>
    <t>Cells G42:G44 from DUKES 1973 Table 64</t>
  </si>
  <si>
    <t>Cell G45 from DUKES 1964 Table 96</t>
  </si>
  <si>
    <t>Cell G46 from DUKES 1965 Table 96</t>
  </si>
  <si>
    <t>Cells G47:G56 from DUKES 2000 Table 4.4</t>
  </si>
  <si>
    <t>Cell G57:G105 from Digest of United Kingdom Energy statistics 2019 Table 4.1.1 (Internet only)</t>
  </si>
  <si>
    <t>Cells H47:H56 from DUKES 2000 Table 4.4</t>
  </si>
  <si>
    <t>Cell H57:H105 from Digest of United Kingdom Energy statistics 2019 Table 4.1.1 (Internet only)</t>
  </si>
  <si>
    <t>Cells I47:I56 from DUKES 2000 Table 4.4</t>
  </si>
  <si>
    <t>Cell I57:I105 from Digest of United Kingdom Energy statistics 2019 Table 4.1.1 (Internet only)</t>
  </si>
  <si>
    <t>Cells J47:J56 from DUKES 2000 Table 4.4</t>
  </si>
  <si>
    <t>Cell J57:J105 from Digest of United Kingdom Energy statistics 2019 Table 4.1.1 (Internet only)</t>
  </si>
  <si>
    <t>Cells K47:K56 from DUKES 2000 TabJe 4.4</t>
  </si>
  <si>
    <t>Cell K57:K105 from Digest of United Kingdom Energy statistics 2019 Table 4.1.1 (Internet only)</t>
  </si>
  <si>
    <t>Cells L30:L41 from DUKES 1965 Table 101</t>
  </si>
  <si>
    <t>Cells L42:L43 from DUKES 1973 Table 64</t>
  </si>
  <si>
    <t>Cell L45 from DUKES 1964 Table 96</t>
  </si>
  <si>
    <t>Cell L46 from DUKES 1965 Table 96</t>
  </si>
  <si>
    <t>Cells L47:L56 from DUKES 2000 Table 4.4</t>
  </si>
  <si>
    <t>Cell L57:L105 from Digest of United Kingdom Energy statistics 2019 Table 4.1.1 (Internet only)</t>
  </si>
  <si>
    <t>Cells M47:M56 from DUKES 2000 Table 4.4</t>
  </si>
  <si>
    <t>Cell M57:M105 from Digest of United Kingdom Energy statistics 2019 Table 4.1.1 (Internet only)</t>
  </si>
  <si>
    <t>Cell N7 from Gas Undertakings 1938 Page 1</t>
  </si>
  <si>
    <t>Cells N9:N11 and N13:N16 from DUKES 1954 Table 117</t>
  </si>
  <si>
    <t>Cells N8, N12, N17:N28 from DUKES 1956 Table 112</t>
  </si>
  <si>
    <t>Cell N29 from DUKES 1965 Table 101</t>
  </si>
  <si>
    <t>Cell O7 from Gas UnderTakings 1938 Page 1</t>
  </si>
  <si>
    <t>Cells O9:O11 and O13:O16 from DUKES 1954 Table 117</t>
  </si>
  <si>
    <t>Cells O8, O12, O17:O29 from DUKES 1956 Table 112</t>
  </si>
  <si>
    <t>Cells O30:O41 from DUKES 1965 Table 101</t>
  </si>
  <si>
    <t>Cells O42:O44 from DUKES 1973 Table 64</t>
  </si>
  <si>
    <t>Cell O45 from DUKES 1964 Table 96</t>
  </si>
  <si>
    <t>Cell O46 from DUKES 1965 Table 96</t>
  </si>
  <si>
    <t>Cells O47:O56 from DUKES 2000 Table 4.4</t>
  </si>
  <si>
    <t>Cell O57:O105 from Digest of United Kingdom Energy statistics 2019 Table 4.1.1 (Internet only)</t>
  </si>
  <si>
    <t>Cells P47:P56 from DUKES 2000 Table 4.4</t>
  </si>
  <si>
    <t>Cell P57:P105 from Digest of United Kingdom Energy statistics 2019 Table 4.1.1 (Internet only)</t>
  </si>
  <si>
    <t>Cell Q7 from Gas Undertakings 1938 Page 1</t>
  </si>
  <si>
    <t>Cells Q9:Q11 and Q13:Q16 from DUKES 1954 Table 117</t>
  </si>
  <si>
    <t>Cells Q8, Q12, Q17:Q29 from DUKES 1956 Table 112</t>
  </si>
  <si>
    <t>Cells Q30:Q41 from DUKES 1965 Table 101</t>
  </si>
  <si>
    <t>Cells Q42:Q44 from DUKES 1973 Table 64</t>
  </si>
  <si>
    <t>Cell Q45 from DUKES 1964 Table 96</t>
  </si>
  <si>
    <t>Cell Q46 from DUKES 1965 Table 96</t>
  </si>
  <si>
    <t>Cells Q47:Q56 from DUKES 2000 Table 4.4</t>
  </si>
  <si>
    <t>Cell Q57:Q105 from Digest of United Kingdom Energy statistics 2019 Table 4.1.1 (Internet only)</t>
  </si>
  <si>
    <t>Cell R46 from DUKES 1964 Table 93</t>
  </si>
  <si>
    <t>Cells R47:R56 from DUKES 2000 Table 4.4</t>
  </si>
  <si>
    <t>Cell R57:R105 from Digest of United Kingdom Energy statistics 2019 Table 4.1.1 (Internet only)</t>
  </si>
  <si>
    <t>Cells S47:S56 from DUKES 2000 Table 4.4</t>
  </si>
  <si>
    <t>Cell S57:S105 from Digest of United Kingdom Energy statistics 2019 Table 4.1.1 (Internet only)</t>
  </si>
  <si>
    <t>Cells U46:U47 from DUKES 1964 Table 93</t>
  </si>
  <si>
    <t>Cells U48:U57 from DUKES 2000 Table 4.4</t>
  </si>
  <si>
    <t>Cell U57:U105 from Digest of United Kingdom Energy statistics 2019 Table 4.1.1 (Internet only)</t>
  </si>
  <si>
    <t>Cells V79:V87 from DUKES 2001 Table 4.5</t>
  </si>
  <si>
    <t>Cells V88:V105 from Digest of United Kingdom Energy statistics 2019 Table 4.1.1 (Internet only)</t>
  </si>
  <si>
    <t>Cell W6 from Gas Undertakings 1938 Page 1</t>
  </si>
  <si>
    <t>Cells W8:W10, W12:W15 from DUKES 1954 Table 117</t>
  </si>
  <si>
    <t>Cells W7, W11 ,W16:W28 from DUKES 1956 Table 112</t>
  </si>
  <si>
    <t>Cell X30 from DUKES 1965 Table 102</t>
  </si>
  <si>
    <t>Cells X31:X41 from DUKES 1965 Table 103</t>
  </si>
  <si>
    <t>Cells X42:X48 from DUKES 1973 Table 66</t>
  </si>
  <si>
    <t>Cells X49:X51 from DUKES 1974 Table 53</t>
  </si>
  <si>
    <t>Cells X52:X53 from DUKES 1976 Table 61</t>
  </si>
  <si>
    <t>Cells X54 from DUKES 1979 Table 60</t>
  </si>
  <si>
    <t>Cells X55:X62 from DUKES 1980 Table 61</t>
  </si>
  <si>
    <t>Cells X63 from DUKES 1982 Table 48</t>
  </si>
  <si>
    <t>Cells X64 from DUKES 1983 Table 48</t>
  </si>
  <si>
    <t>Cells X65 from DUKES 1984 Table 47</t>
  </si>
  <si>
    <t>Cells X66 from DUKES 1985 Table 47</t>
  </si>
  <si>
    <t>Cells X67 from DUKES 1986 Table 46</t>
  </si>
  <si>
    <t>Cells X68:X69 from DUKES 1987 Table 46</t>
  </si>
  <si>
    <t>Cells X70 from DUKES 1989 Table 46</t>
  </si>
  <si>
    <t>Cells X71:X73 from DUKES 1990 Table 44</t>
  </si>
  <si>
    <t>Cells X74:X78 from DUKES 1992 Table 43</t>
  </si>
  <si>
    <t>Cells X79 from DUKES 1997 Table 54</t>
  </si>
  <si>
    <t>Cells X80:X84 from DUKES 1998 Table 5.4</t>
  </si>
  <si>
    <t>Cells X85 from DUKES 1999 Table 4A</t>
  </si>
  <si>
    <t>Cells X86 from DUKES 2000 Table 4A</t>
  </si>
  <si>
    <t>Cells X87 from DUKES 2001 Table 4B</t>
  </si>
  <si>
    <t>Cell X88 from Digest of United Kingdom Energy statistics 2003 Table 4B</t>
  </si>
  <si>
    <t>Cell X89 from Digest of United Kingdom Energy statistics 2004 Table 4B</t>
  </si>
  <si>
    <t>Cell X90 from Digest of United Kingdom Energy statistics 2005 Table 4B</t>
  </si>
  <si>
    <t>Cell X91 from Digest of United Kingdom Energy Statistics 2006 Table 4B</t>
  </si>
  <si>
    <t>Cell X92 from Digest of United Kingdom Energy Statistics 2007 Table 4B</t>
  </si>
  <si>
    <t>Cell X93 from Digest of United Kingdom Energy Statistics 2008 Table 4B</t>
  </si>
  <si>
    <t>Cell X94 from Digest of United Kingdom Energy Statistics 2009 Table 4A</t>
  </si>
  <si>
    <t>Cell X95 from Digest of United Kingdom Energy Statistics 2010 Table 4A</t>
  </si>
  <si>
    <t>Cell X96 from Digest of United Kingdom Energy Statistics 2011 Table 4A</t>
  </si>
  <si>
    <t>Cell X97 from Digest of United Kingdom Energy Statistics 2012 Table 4A</t>
  </si>
  <si>
    <t>Cell X98 from Digest of United Kingdom Energy Statistics 2013 Table 4A</t>
  </si>
  <si>
    <t>Cell X99 from Digest of United Kingdom Energy Statistics 2014 Table 4A</t>
  </si>
  <si>
    <t>Cells Y30:Y41 from DUKES 1965 Table 103</t>
  </si>
  <si>
    <t>Cells Y42:Y48 from DUKES 1973 Table 66</t>
  </si>
  <si>
    <t>Cells Y49:Y51 from DUKES 1974 Table 53</t>
  </si>
  <si>
    <t>Cell Y52:Y53 from DUKES 1976 Table 61</t>
  </si>
  <si>
    <t>Cells Y54 from DUKES 1979 Table 60</t>
  </si>
  <si>
    <t>Cells Y55:V62 from DUKES 1980 Table 61</t>
  </si>
  <si>
    <t>Cells Y63 from DUKES 1982 Table 48</t>
  </si>
  <si>
    <t>Cells Y64 from DUKES 1983 Table 48</t>
  </si>
  <si>
    <t>Cells Y65 from DUKES 1984 Table 47</t>
  </si>
  <si>
    <t>Cells Y66 from DUKES 1985 Table 47</t>
  </si>
  <si>
    <t>Cells Y67 from DUKES 1986 Table 46</t>
  </si>
  <si>
    <t>Cells Y68:Y69 from DUKES 1987 Table 46</t>
  </si>
  <si>
    <t>Cells Y70 from DUKES 1989 Table 46</t>
  </si>
  <si>
    <t>Cells Y71:Y73 from DUKES 1990 Table 44</t>
  </si>
  <si>
    <t>Cells Y74:Y78 from DUKES 1992 Table 43</t>
  </si>
  <si>
    <t>Cells Z30:Z41 from DUKES 1965 Table 102</t>
  </si>
  <si>
    <t>Cells Z42:Z48 from DUKES 1973 Table 66</t>
  </si>
  <si>
    <t>Cells Z49:Z51 from DUKES 1974 Table 53</t>
  </si>
  <si>
    <t>Cells Z52: Z53 from DUKES 1979 Table 60</t>
  </si>
  <si>
    <t>Cells Z54 from DUKES 1979 Table 60</t>
  </si>
  <si>
    <t>Cells Z55:Z62 from DUKES 1980 Table 61</t>
  </si>
  <si>
    <t>Cells Z63 from DUKES 1982 Table 48</t>
  </si>
  <si>
    <t>Cells Z64 from DUKES 1983 Table 48</t>
  </si>
  <si>
    <t>Cells Z65 from DUKES 1984 Table 47</t>
  </si>
  <si>
    <t>Cells Z66 from DUKES 1985 Table 47</t>
  </si>
  <si>
    <t>Cells Z67 from DUKES 1986 Table 46</t>
  </si>
  <si>
    <t>Cells Z68:Z69 from DUKES 1987 Table 46</t>
  </si>
  <si>
    <t>Cells Z70 from DUKES 1989 Table 46</t>
  </si>
  <si>
    <t>Cells Z71:Z73 from DUKES 1990 Table 44</t>
  </si>
  <si>
    <t>Cells Z74:Z78 from DUKES 1992 Table 43</t>
  </si>
  <si>
    <t>Cells AA30:AA41 from DUKES 1965 Table 103</t>
  </si>
  <si>
    <t>Cells AA42:AA48 from DUKES 1973 Table 66</t>
  </si>
  <si>
    <t>Cells AA49:AA51 from DUKES 1974 Table 53</t>
  </si>
  <si>
    <t>Cells AA52:AA53 from DUKES 1976 Table 61</t>
  </si>
  <si>
    <t>Cells AA54 from DUKES 1979 Table 60</t>
  </si>
  <si>
    <t>Cells AA55:AA62 from DUKES 1980 Table 61</t>
  </si>
  <si>
    <t>Cells AA63 from DUKES 1982 Table 48</t>
  </si>
  <si>
    <t>Cells AA64 from DUKES 1983 Table 48</t>
  </si>
  <si>
    <t>Cells AA65 from DUKES 1984 Table 47</t>
  </si>
  <si>
    <t>Cells AA66 from DUKES 1985 Table 47</t>
  </si>
  <si>
    <t>Cells AA67 from DUKES 1986 Table 46</t>
  </si>
  <si>
    <t>Cells AA68:AA69 from DUKES 1987 Table 46</t>
  </si>
  <si>
    <t>Cells AA70 from DUKES 1989 Table 46</t>
  </si>
  <si>
    <t>Cells AA71:AA73 from DUKES 1990 Table 44</t>
  </si>
  <si>
    <t>Cells AA74:AA78 from DUKES 1992 Table 43</t>
  </si>
  <si>
    <t>Cells AB7 from Gas Undertakings 1938 Page 1</t>
  </si>
  <si>
    <t>Cell AB8 from Gas Undertakings 1933 Page 1</t>
  </si>
  <si>
    <t>Cells AB9:AB111 ,AB13:AB16 from DUKES 1954 Table 117</t>
  </si>
  <si>
    <t>Cells AB12, AB17:AB29 from DUKES 1956 Table 112</t>
  </si>
  <si>
    <t>Cells AB30:AB41 from DUKES 1965 Table 103</t>
  </si>
  <si>
    <t>Cells AB42:AB48 from DUKES 1973 Table 66</t>
  </si>
  <si>
    <t>Cells AB49:AB51 from DUKES 1974 Table 53</t>
  </si>
  <si>
    <t>Cells AB52:AB53 from DUKES 1976 Table 61</t>
  </si>
  <si>
    <t>Cells AB54 from DUKES 1979 Table 60</t>
  </si>
  <si>
    <t>Cells AB55:AB62 from DUKES 1980 Table 61</t>
  </si>
  <si>
    <t>Cells AB63 from DUKES 1982 Table 48</t>
  </si>
  <si>
    <t>Cells AB64 from DUKES 1983 Table 48</t>
  </si>
  <si>
    <t>Cells AB65 from DUKES 1984 Table 47</t>
  </si>
  <si>
    <t>Cells AB66 from DUKES 1985 Table 47</t>
  </si>
  <si>
    <t>Cells AB67 from DUKES 1986 Table 46</t>
  </si>
  <si>
    <t>Cells AB68:AB69 from DUKES 1987 Table 46</t>
  </si>
  <si>
    <t>Cells AB70 from DUKES 1989 Table 46</t>
  </si>
  <si>
    <t>Cells AB71:AB73 from DUKES 1990 Table 44</t>
  </si>
  <si>
    <t>Cells AB74:AB78 from DUKES 1992 Table 43</t>
  </si>
  <si>
    <t>Cells AB86 from DUKES 2000 Table 4B</t>
  </si>
  <si>
    <t>Cells AB87 from DUKES 2001 Table 4C</t>
  </si>
  <si>
    <t>Cell AB89 from Digest of United Kingdom Energy statistics 2002 Table 4B</t>
  </si>
  <si>
    <t>Cell AB90 from Digest of United Kingdom Energy statistics 2003 Table 4B</t>
  </si>
  <si>
    <t>Cell AB91 from Digest of United Kingdom Energy statistics 2004 Table 4B</t>
  </si>
  <si>
    <t>Cell AB92 from Digest of United Kingdom Energy Statistics 2007 Table 4B</t>
  </si>
  <si>
    <t>Cell AB93 from Digest of United Kingdom Energy Statistics 2008 Table 4B</t>
  </si>
  <si>
    <t>Cell AB94 from Digest of United Kingdom Energy Statistics 2009 Table 4A</t>
  </si>
  <si>
    <t>Cell AB95 from Digest of United Kingdom Energy Statistics 2010 Table 4A</t>
  </si>
  <si>
    <t>Cell AB96 from Digest of United Kingdom Energy Statistics 2011 Table 4A</t>
  </si>
  <si>
    <t>Cell AB97 from Digest of United Kingdom Energy Statistics 2012 Table 4A</t>
  </si>
  <si>
    <t>Cell AB98 from Digest of United Kingdom Energy Statistics 2013 Table 4A</t>
  </si>
  <si>
    <t>Cell AB99 from Digest of United Kingdom Energy Statistics 2014 Table 4A</t>
  </si>
  <si>
    <t>Cell AC7 from Gas Undertakings 1938 Page 1</t>
  </si>
  <si>
    <t>Cells AC8, AC12, AC17:AC29 from DUKES 1956 Table 112</t>
  </si>
  <si>
    <t>Cells AC9:AC11 ,AC13:AC16 from DUKES 1954 Table 117</t>
  </si>
  <si>
    <t>Cell AC30 from DUKES 1965 Table 103</t>
  </si>
  <si>
    <t xml:space="preserve">Historical gas data: gas production and consumption </t>
  </si>
  <si>
    <t>Fuel input to gas industry</t>
  </si>
  <si>
    <t>Fuel input for gas making</t>
  </si>
  <si>
    <t>Coal</t>
  </si>
  <si>
    <t>Natural gas</t>
  </si>
  <si>
    <r>
      <t xml:space="preserve">Petroleum gases </t>
    </r>
    <r>
      <rPr>
        <sz val="10"/>
        <rFont val="Tahoma"/>
        <family val="2"/>
      </rPr>
      <t>(1)</t>
    </r>
  </si>
  <si>
    <t>Coke oven gas</t>
  </si>
  <si>
    <t>Total to gas works</t>
  </si>
  <si>
    <t>Natural gas for direct supply</t>
  </si>
  <si>
    <t>Total all fuels</t>
  </si>
  <si>
    <r>
      <t xml:space="preserve">Coal </t>
    </r>
    <r>
      <rPr>
        <sz val="10"/>
        <rFont val="Tahoma"/>
        <family val="2"/>
      </rPr>
      <t>(2)</t>
    </r>
  </si>
  <si>
    <r>
      <t xml:space="preserve">Coke </t>
    </r>
    <r>
      <rPr>
        <sz val="10"/>
        <rFont val="Tahoma"/>
        <family val="2"/>
      </rPr>
      <t>(2)</t>
    </r>
  </si>
  <si>
    <t>Coke breeze</t>
  </si>
  <si>
    <r>
      <t xml:space="preserve">Oil </t>
    </r>
    <r>
      <rPr>
        <sz val="10"/>
        <rFont val="Tahoma"/>
        <family val="2"/>
      </rPr>
      <t>(2)</t>
    </r>
  </si>
  <si>
    <t>Liquefied petroleum gas</t>
  </si>
  <si>
    <t>Other petroleum gases</t>
  </si>
  <si>
    <t xml:space="preserve">SOURCES: </t>
  </si>
  <si>
    <t>Cells B46 and  B51 from DUKES 1973 Table 58</t>
  </si>
  <si>
    <t>(1) Butane, propane, ethane and refinery tail gases.</t>
  </si>
  <si>
    <t>Cells B52:B53 from DUKES 1976 Table 58</t>
  </si>
  <si>
    <t xml:space="preserve">(2) From 1958 the coke and breeze figures include quantities of those fuels that </t>
  </si>
  <si>
    <t>Cell B54 from DUKES 1979 Table 57</t>
  </si>
  <si>
    <t>were used by the gas industry for purposes other than gas making.</t>
  </si>
  <si>
    <t>Cells B55:B62 from DUKES 1980 Table 59</t>
  </si>
  <si>
    <t>From 1958 the coal and oil figures also include small quantities that were used</t>
  </si>
  <si>
    <t>Cell B63 from DUKES 1982 Table 47</t>
  </si>
  <si>
    <t>by the gas industry for purposes other than gas making.</t>
  </si>
  <si>
    <t>Cell B64 from DUKES 1983 Table 47</t>
  </si>
  <si>
    <t>Cell B65 from DUKES 1984 Table 46</t>
  </si>
  <si>
    <t>Cells C46 and  C51 from DUKES 1973 Table 58</t>
  </si>
  <si>
    <t>Cells C52:C53 from DUKES 1976 Table 58</t>
  </si>
  <si>
    <t>Cell C54 from DUKES 1979 Table 57</t>
  </si>
  <si>
    <t>Cells C55:C62 from DUKES 1980 Table 58</t>
  </si>
  <si>
    <t>Cell C63 from DUKES 1982 Table 47</t>
  </si>
  <si>
    <t>Cell C64 from DUKES 1983 Table 47</t>
  </si>
  <si>
    <t>Cells D46 and  D50 from DUKES 1973 Table 58</t>
  </si>
  <si>
    <t>Cells D52:D53 from DUKES 1976 Table 58</t>
  </si>
  <si>
    <t>Cell D54 from DUKES 1979 Table 57</t>
  </si>
  <si>
    <t>Cells D55:D62 from DUKES 1980 Table 58</t>
  </si>
  <si>
    <t>Cell D63 from DUKES 1982 Table 47</t>
  </si>
  <si>
    <t>Cell D64 from DUKES 1983 Table 47</t>
  </si>
  <si>
    <t>Cell D65 from DUKES 1984 Table 46</t>
  </si>
  <si>
    <t>Cell D66 from DUKES 1985 Table 46</t>
  </si>
  <si>
    <t>Cell D67 from DUKES 1986 Table 45</t>
  </si>
  <si>
    <t>Cells D68:D69 from DUKES 1987 Table 45</t>
  </si>
  <si>
    <t>Cell D70 from DUKES 1989 Table 45</t>
  </si>
  <si>
    <t>Cells D71:D72 from DUKES 1990 Table 43</t>
  </si>
  <si>
    <t>Cells D73:D77 from DUKES 1992 Table 41</t>
  </si>
  <si>
    <t>Cells E46 and  E51 from DUKES 1973 Table 58</t>
  </si>
  <si>
    <t>Cells E52:E53 from DUKES 1976 Table 58</t>
  </si>
  <si>
    <t>Cell E54 from DUKES 1979 Table 57</t>
  </si>
  <si>
    <t>Cells E55:E62 from DUKES 1980 Table 58</t>
  </si>
  <si>
    <t>Cell E63 from DUKES 1982 Table 47</t>
  </si>
  <si>
    <t>Cell E64 from DUKES 1983 Table 47</t>
  </si>
  <si>
    <t>Cell E65 from DUKES 1984 Table 46</t>
  </si>
  <si>
    <t>Cell E66 from DUKES 1985 Table 46</t>
  </si>
  <si>
    <t>Cell E67 from DUKES 1986 Table 45</t>
  </si>
  <si>
    <t>Cells E68:E69 from DUKES 1987 Table 45</t>
  </si>
  <si>
    <t>Cell E70 from DUKES 1989 Table 45</t>
  </si>
  <si>
    <t>Cells E71:E72 from DUKES 1990 Table 43</t>
  </si>
  <si>
    <t>Cells E73:E77 from DUKES 1992 Table 41</t>
  </si>
  <si>
    <t>Cells G46 and  G51 from DUKES 1973 Table 58</t>
  </si>
  <si>
    <t>Cells G52:G53 from DUKES 1976 Table 58</t>
  </si>
  <si>
    <t>Cell G54 from DUKES 1979 Table 57</t>
  </si>
  <si>
    <t>Cells G55:G62 from DUKES 1980 Table 58</t>
  </si>
  <si>
    <t>Cell G63 from DUKES 1982 Table 47</t>
  </si>
  <si>
    <t>Cell G64 from DUKES 1983 Table 47</t>
  </si>
  <si>
    <t>Cell G65 from DUKES 1984 Table 46</t>
  </si>
  <si>
    <t>Cell G66 from DUKES 1985 Table 46</t>
  </si>
  <si>
    <t>Cell G67 from DUKES 1986 Table 45</t>
  </si>
  <si>
    <t>Cells G68:G69 from DUKES 1987 Table 45</t>
  </si>
  <si>
    <t>Cell G70 from DUKES 1989 Table 45</t>
  </si>
  <si>
    <t>Cells G71:G72 from DUKES 1990 Table 43</t>
  </si>
  <si>
    <t>Cells G73:G77 from DUKES 1992 Table 41</t>
  </si>
  <si>
    <t>Cells H46 and  H51 from DUKES 1973 Table 58</t>
  </si>
  <si>
    <t>Cells H52:H53 from DUKES 1976 Table 58</t>
  </si>
  <si>
    <t>Cell H54 from DUKES 1979 Table 57</t>
  </si>
  <si>
    <t>Cells H55:H62 from DUKES 1980 Table 58</t>
  </si>
  <si>
    <t>Cell H63 from DUKES 1982 Table 47</t>
  </si>
  <si>
    <t>Cell H64 from DUKES 1983 Table 47</t>
  </si>
  <si>
    <t>Cell H65 from DUKES 1984 Table 46</t>
  </si>
  <si>
    <t>Cell H66 from DUKES 1985 Table 46</t>
  </si>
  <si>
    <t>Cell H67 from DUKES 1986 Table 45</t>
  </si>
  <si>
    <t>Cells H68:H69 from DUKES 1987 Table 45</t>
  </si>
  <si>
    <t>Cell H70 from DUKES 1989 Table 45</t>
  </si>
  <si>
    <t>Cells H71:H72 from DUKES 1990 Table 43</t>
  </si>
  <si>
    <t>Cells H73:H77 from DUKES 1992 Table 41</t>
  </si>
  <si>
    <t>Cells I46 and  I51 from DUKES 1973 Table 58</t>
  </si>
  <si>
    <t>Cells I52:I53 from DUKES 1976 Table 58</t>
  </si>
  <si>
    <t>Cell I54 from DUKES 1979 Table 57</t>
  </si>
  <si>
    <t>Cells I55:I62 from DUKES 1980 Table 58</t>
  </si>
  <si>
    <t>Cell I63 from DUKES 1982 Table 47</t>
  </si>
  <si>
    <t>Cell I64 from DUKES 1983 Table 47</t>
  </si>
  <si>
    <t>Cell I65 from DUKES 1984 Table 46</t>
  </si>
  <si>
    <t>Cell I66 from DUKES 1985 Table 46</t>
  </si>
  <si>
    <t>Cell I67 from DUKES 1986 Table 45</t>
  </si>
  <si>
    <t>Cells I68:I69 from DUKES 1987 Table 45</t>
  </si>
  <si>
    <t>Cell I70 from DUKES 1989 Table 45</t>
  </si>
  <si>
    <t>Cells I71:I72 from DUKES 1990 Table 43</t>
  </si>
  <si>
    <t>Cells I73:I77 from DUKES 1992 Table 41</t>
  </si>
  <si>
    <t>Cell J6 from Gas Undertakings 1938 Page 1</t>
  </si>
  <si>
    <t>Cells J7:J8, J10 and J12:J15 from DUKES 1954 Table 117</t>
  </si>
  <si>
    <t>Cells J9, J11 and J16:J43 from DUKES 1965 Table 98</t>
  </si>
  <si>
    <t>Cell J44 from DUKES 1964 Table 96</t>
  </si>
  <si>
    <t>Cells J45 and J47:J49 from DUKES 1965 Table 96</t>
  </si>
  <si>
    <t>Cell J46 from DUKES 1973 Table 62</t>
  </si>
  <si>
    <t>Cells J50:J53 from DUKES 1976 Table 59</t>
  </si>
  <si>
    <t>Cell J54 from DUKES 1979 Table 58</t>
  </si>
  <si>
    <t>Cells J55:J65 from DUKES 1980 Table 59</t>
  </si>
  <si>
    <t>Cells K9, K11 and K16:K43 from DUKES 1965 Table 97</t>
  </si>
  <si>
    <t>Cell K44 from DUKES 1964 Table 96</t>
  </si>
  <si>
    <t>Cells K45 and K47:K49 from DUKES 1965 Table 96</t>
  </si>
  <si>
    <t>Cell K46 from DUKES 1973 Table 62</t>
  </si>
  <si>
    <t>Cells K50:K53 from DUKES 1976 Table 59</t>
  </si>
  <si>
    <t>Cell K54 from DUKES 1979 Table 58</t>
  </si>
  <si>
    <t>Cells K55:K65 from DUKES 1980 Table 59</t>
  </si>
  <si>
    <t>Cell L44 from DUKES 1964 Table 96</t>
  </si>
  <si>
    <t>Cells L45 and L47:L49 from DUKES 1965 Table 96</t>
  </si>
  <si>
    <t>Cell L46 from DUKES 1973 Table 62</t>
  </si>
  <si>
    <t>Cells L50:L53 from DUKES 1976 Table 59</t>
  </si>
  <si>
    <t>Cell L54 from DUKES 1979 Table 58</t>
  </si>
  <si>
    <t>Cells L55:L65 from DUKES 1980 Table 59</t>
  </si>
  <si>
    <t>Cells M9, M11 and M16:M43 from DUKES 1965 Table 97</t>
  </si>
  <si>
    <t>Cell M44 from DUKES 1964 Table 96</t>
  </si>
  <si>
    <t>Cells M45 and M47:M49 from DUKES 1965 Table 96</t>
  </si>
  <si>
    <t>Cell M46 from DUKES 1973 Table 62</t>
  </si>
  <si>
    <t>Cells M50:M53 from DUKES 1976 Table 59</t>
  </si>
  <si>
    <t>Cell M54 from DUKES 1979 Table 58</t>
  </si>
  <si>
    <t>Cells M55:M65 from DUKES 1980 Table 59</t>
  </si>
  <si>
    <t>Cell N54 from DUKES 1979 Table 58</t>
  </si>
  <si>
    <t>Cells N55:N65 from DUKES 1980 Table 59</t>
  </si>
  <si>
    <t>Cell O54 from DUKES 1979 Table 58</t>
  </si>
  <si>
    <t>Cells O55:O65 from DUKES 1980 Table 59</t>
  </si>
  <si>
    <t>Historical electricity data: 1920 to 2018</t>
  </si>
  <si>
    <t>The figures in the boxes below all exclude Northern Ireland</t>
  </si>
  <si>
    <t>TWh</t>
  </si>
  <si>
    <t>(These data has been converted from million KWh to TWh by dividing by 1000)</t>
  </si>
  <si>
    <t>Electricity consumption</t>
  </si>
  <si>
    <t xml:space="preserve">Domestic </t>
  </si>
  <si>
    <t>Shops</t>
  </si>
  <si>
    <t>Factories and</t>
  </si>
  <si>
    <t>Public</t>
  </si>
  <si>
    <t>Traction</t>
  </si>
  <si>
    <t>Number</t>
  </si>
  <si>
    <t>Purchases</t>
  </si>
  <si>
    <t>Net</t>
  </si>
  <si>
    <t>Losses in</t>
  </si>
  <si>
    <t>Final users</t>
  </si>
  <si>
    <t>and farm</t>
  </si>
  <si>
    <t xml:space="preserve">offices,and </t>
  </si>
  <si>
    <t>other industrial</t>
  </si>
  <si>
    <t>lighting</t>
  </si>
  <si>
    <t>of</t>
  </si>
  <si>
    <t>supplied</t>
  </si>
  <si>
    <t>from other</t>
  </si>
  <si>
    <t>available</t>
  </si>
  <si>
    <t>transmission</t>
  </si>
  <si>
    <t>industries</t>
  </si>
  <si>
    <t>premises</t>
  </si>
  <si>
    <t>other commercial</t>
  </si>
  <si>
    <t>Consumers</t>
  </si>
  <si>
    <t>(net)</t>
  </si>
  <si>
    <t>producers</t>
  </si>
  <si>
    <t>etc (2)</t>
  </si>
  <si>
    <t>20.60</t>
  </si>
  <si>
    <t>0.10</t>
  </si>
  <si>
    <t>0.16</t>
  </si>
  <si>
    <t>0.73</t>
  </si>
  <si>
    <t>0.58</t>
  </si>
  <si>
    <t>5.1.2</t>
  </si>
  <si>
    <t>5E</t>
  </si>
  <si>
    <t>NOTES</t>
  </si>
  <si>
    <t>(1)  Net transfers between the Irish Republic and Northern Ireland (ceased in 1975 and recommenced in 1996)</t>
  </si>
  <si>
    <t xml:space="preserve">      and between France and England (1961 to 1982 and from 1986).</t>
  </si>
  <si>
    <t xml:space="preserve">(2)  Losses on the public distribution system (grid system and local networks) and other differences between </t>
  </si>
  <si>
    <t xml:space="preserve">      data collected on sales and data collected on availability.</t>
  </si>
  <si>
    <t>(3)  Public administration, transport, agricultural and commercial sectors.</t>
  </si>
  <si>
    <t xml:space="preserve">(4)  Data for all generating companies are only available from 1986 onwards. Before 1986 the data are for </t>
  </si>
  <si>
    <t xml:space="preserve">      major power producers, transport undertakings and industrial hydro and nuclear stations only.</t>
  </si>
  <si>
    <t xml:space="preserve">(5) Great Britain only until 1986 and from 2003.  Prior to 1948 the figures are for financial years, and prior to 1927 the numbers are estimated. </t>
  </si>
  <si>
    <t xml:space="preserve">      From 2003 the figures are the number of Meter Point Administration numbers (MPANs); every meter point has this unique reference number</t>
  </si>
  <si>
    <r>
      <t xml:space="preserve">SOURCES  </t>
    </r>
    <r>
      <rPr>
        <sz val="10"/>
        <rFont val="Arial"/>
        <family val="2"/>
      </rPr>
      <t>(DUKES = Digest of United Kingdom Energy Statistics)</t>
    </r>
  </si>
  <si>
    <t>Cells B9-B48 calculations using various cells</t>
  </si>
  <si>
    <t>Cell B49 from DUKES 1998 table 6.10</t>
  </si>
  <si>
    <t>Cells B50-B51 calculations using various cells</t>
  </si>
  <si>
    <t>Cells B52-B53 from DUKES 1974 table 57</t>
  </si>
  <si>
    <t>Cells B54-B58 from DUKES 1998 table 6.10</t>
  </si>
  <si>
    <t>Cells B59-B108 from DUKES 2019 table 5.1.2 (Internet only)</t>
  </si>
  <si>
    <t>Cells C9-C48 from Ministry of Power Statistical Digest 1965 table 75</t>
  </si>
  <si>
    <t>Cell C49 from DUKES 1998 table 6.10</t>
  </si>
  <si>
    <t>Cells C50-C53 from Ministry of Power Statistical Digest 1965 table 75</t>
  </si>
  <si>
    <t>Cells C54-C58 from DUKES 1998 table 6.10</t>
  </si>
  <si>
    <t>Cells C59-C108 from DUKES 2019 table 5.1.2 (Internet only)</t>
  </si>
  <si>
    <t xml:space="preserve">Cells D40-D51 from Ministry of Power Statistical Digest 1965 table 73 </t>
  </si>
  <si>
    <t>Cells D52-D53 from DUKES 1974 table 57</t>
  </si>
  <si>
    <t>Cells D54-D58 from DUKES 1998 table 6.10</t>
  </si>
  <si>
    <t>Cells D59-D108 from DUKES 2019 table 5.1.2 (Internet only)</t>
  </si>
  <si>
    <t>Cells E9-E36 from Ministry of Power Statistical Digest 1957 table 63</t>
  </si>
  <si>
    <t>Cells E37-E48 from Ministry of Power Digest of Energy Statistics 1968 and 1969 table 70</t>
  </si>
  <si>
    <t>Cell E49 from DUKES 1998 table 6.10</t>
  </si>
  <si>
    <t>Cells E50-E51 from Ministry of Power Digest of Energy Statistics 1968 and 1969 table 70</t>
  </si>
  <si>
    <t>Cells E52-E53 from DUKES 1974 table 60</t>
  </si>
  <si>
    <t>Cells E54-E58 from DUKES 1998 table 6.10</t>
  </si>
  <si>
    <t>Cells E59-E108 from DUKES 2019 table 5.1.2 (Internet only)</t>
  </si>
  <si>
    <t>Cells F49-F58 from DUKES 1998 table 6.10</t>
  </si>
  <si>
    <t>Cells F59:F108 from DUKES 2019 table 5.1.2 (Internet only)</t>
  </si>
  <si>
    <t>Cells G49-G58 from DUKES 1998 table 6.10</t>
  </si>
  <si>
    <t>Cells G59-G108 from DUKES 2019 table 5.1.2 (Internet only)</t>
  </si>
  <si>
    <t>Cells H49-H58 from DUKES 1998 table 6.10</t>
  </si>
  <si>
    <t>Cells H59-H108 from DUKES 2019 table 5.1.2 (Internet only)</t>
  </si>
  <si>
    <t>Cells I49-I58 from DUKES 1998 table 6.10</t>
  </si>
  <si>
    <t>Cells I59-I108 from DUKES 2019 table 5.1.2 (Internet only)</t>
  </si>
  <si>
    <t>Cells J49-J58 from DUKES 1998 table 6.10</t>
  </si>
  <si>
    <t>Cells J59-J108 from DUKES 2019 table 5.1.2 (Internet only)</t>
  </si>
  <si>
    <t>Cells K49-K58 from DUKES 1998 table 6.10</t>
  </si>
  <si>
    <t>Cells K59-K108 from DUKES 2019 table 5.1.2 (Internet only)</t>
  </si>
  <si>
    <t>Cells L49-L58 from DUKES 1998 table 6.10</t>
  </si>
  <si>
    <t>Cells L59-L108 from DUKES 2019 table 5.1.2 (Internet only)</t>
  </si>
  <si>
    <t>Cells N9-S38 from Ministry of Fuel and Power Statistical Digest 1948 and 1949 table 101</t>
  </si>
  <si>
    <t>Cells N39-S48 from Ministry of Power Statistical Digest 1959 table 67</t>
  </si>
  <si>
    <t>Cells N49-S54 from Ministry of Power Statistical Digest 1965 table 77</t>
  </si>
  <si>
    <r>
      <t>Except</t>
    </r>
    <r>
      <rPr>
        <i/>
        <sz val="10"/>
        <rFont val="Arial"/>
        <family val="2"/>
      </rPr>
      <t xml:space="preserve"> </t>
    </r>
    <r>
      <rPr>
        <sz val="10"/>
        <rFont val="Arial"/>
        <family val="2"/>
      </rPr>
      <t>P37-P38 from Ministry of Power Statistical Digest 1959 table 67</t>
    </r>
  </si>
  <si>
    <t>Cells U13-U54 from  Ministry of Power Statistical Digest 1965 table 77</t>
  </si>
  <si>
    <t>Cells U55-U61 from  DUKES 1974 table 70</t>
  </si>
  <si>
    <t>Cells U62-U67 from  DUKES 1979 table 79</t>
  </si>
  <si>
    <t>Cells U68-U72 from  DUKES 1984 table 61</t>
  </si>
  <si>
    <t>Cells U73-U75 from  DUKES 1989 table 60</t>
  </si>
  <si>
    <t>Cells U76-U78 from  DUKES 1991 table 51</t>
  </si>
  <si>
    <t>Cells U79-U82 from  DUKES 1994 table 50</t>
  </si>
  <si>
    <t>Cells U83-U86 from  DUKES 1997 table 61</t>
  </si>
  <si>
    <t>Cell U87 from  DUKES 1998 table 6A</t>
  </si>
  <si>
    <t>Cell U88 from  DUKES 1999 table 5A</t>
  </si>
  <si>
    <t>Cell U89 from  DUKES 2000 table 5A</t>
  </si>
  <si>
    <t>Cell U90 from  DUKES 2001 table 5B</t>
  </si>
  <si>
    <t>Cell U91 from  DUKES 2002 table 5B</t>
  </si>
  <si>
    <t>Cell U92 from  DUKES 2004 table 5B</t>
  </si>
  <si>
    <t>Cell U93 from  DUKES 2005 table 5B</t>
  </si>
  <si>
    <t>Cell U94 from  DUKES 2006 table 5B</t>
  </si>
  <si>
    <t>Cell U95 from  DUKES 2007 table 5B</t>
  </si>
  <si>
    <t>Cell U96 from  DUKES 2008 table 5B</t>
  </si>
  <si>
    <t>Cell U97 from  DUKES 2009 table 5A</t>
  </si>
  <si>
    <t>Cell U98 from  DUKES 2010 table 5B</t>
  </si>
  <si>
    <t>Cell U99 from  DUKES 2011 table 5B</t>
  </si>
  <si>
    <t>Cell U100 onwards from Sub-national electricity consumption statistics: 2005 to 2017</t>
  </si>
  <si>
    <r>
      <t xml:space="preserve">Fuel input for electricity generation </t>
    </r>
    <r>
      <rPr>
        <b/>
        <i/>
        <sz val="14"/>
        <rFont val="Arial"/>
        <family val="2"/>
      </rPr>
      <t>(1)</t>
    </r>
  </si>
  <si>
    <t>Million tonnes of oil equivalent</t>
  </si>
  <si>
    <t>Coal (7)</t>
  </si>
  <si>
    <t>Oil (2)(7)</t>
  </si>
  <si>
    <t>Natural</t>
  </si>
  <si>
    <t>all</t>
  </si>
  <si>
    <t>gas (3)</t>
  </si>
  <si>
    <t>Nuclear</t>
  </si>
  <si>
    <t xml:space="preserve">Natural </t>
  </si>
  <si>
    <t>Wind</t>
  </si>
  <si>
    <t>and</t>
  </si>
  <si>
    <t>fuels (4)</t>
  </si>
  <si>
    <t>fuels</t>
  </si>
  <si>
    <t>flow hydro</t>
  </si>
  <si>
    <t>and solar</t>
  </si>
  <si>
    <t>breeze (7)</t>
  </si>
  <si>
    <t>1950 (6)</t>
  </si>
  <si>
    <r>
      <t>1987</t>
    </r>
    <r>
      <rPr>
        <b/>
        <i/>
        <sz val="10"/>
        <color indexed="12"/>
        <rFont val="Arial"/>
        <family val="2"/>
      </rPr>
      <t xml:space="preserve"> (5)</t>
    </r>
  </si>
  <si>
    <t xml:space="preserve">NOTES </t>
  </si>
  <si>
    <t>(1)  Fuel inputs have been calculated on an energy supplied basis - see explanatory notes at Digest of UK Energy Statistics 2002, Chapter 5, paragraph 5.26.</t>
  </si>
  <si>
    <t>(2)  Includes oil used in gas turbine and diesel plant or for lighting up coal fired boilers, Orimulsion, and (from 1987) refinery gas.</t>
  </si>
  <si>
    <t>(3)  Includes colliery methane from 1987 onwards.</t>
  </si>
  <si>
    <t>(4)  Main fuels included are coke oven gas, blast furnace gas, waste products from chemical processes, refuse derived fuels and</t>
  </si>
  <si>
    <t xml:space="preserve">       other renewable sources including wind.</t>
  </si>
  <si>
    <t xml:space="preserve">(5)  Data for all generating companies are only available from 1987 onwards, and the figures for 1987 to 1989 include a high </t>
  </si>
  <si>
    <t xml:space="preserve">       degree of estimation. Before 1987 the data are for major power producers, transport undertakings and industrial hydro and </t>
  </si>
  <si>
    <t xml:space="preserve">       nuclear stations only (see also note 6).</t>
  </si>
  <si>
    <t>(6)  Industrial hydro data are not available before 1951</t>
  </si>
  <si>
    <t>(7) 1920-1959 converted into mtoe using estimated average gross calorific values for 1960 from DUKES 1993 table A18</t>
  </si>
  <si>
    <t xml:space="preserve">      ie coal 23.8 GJ/t, Oil 41.8 GJ/t and coke and breeze 27.0GJ/t (Therms values converted to GJ)</t>
  </si>
  <si>
    <t>Cells B9-B108, calculations</t>
  </si>
  <si>
    <t>Cells C9-C18 from Ministry of Power Statistical Digest 1959, table 67</t>
  </si>
  <si>
    <t>Cells C19-C38 from Ministry of Fuel and Power Statistical Digest 1948 and 1949, table 85, 90</t>
  </si>
  <si>
    <t>Cells C39-C48 from Ministry of Power Statistical Digest 1959, table 67</t>
  </si>
  <si>
    <t>Cell C49 from  DUKES 1998, table 6.8</t>
  </si>
  <si>
    <t>Cells C50-C51 from Ministry of Power Statistical Digest 1963, table 70</t>
  </si>
  <si>
    <t>Cells C52-C53 from Ministry of Power Statistical Digest 1965, table 74</t>
  </si>
  <si>
    <t>Cells C54-C58 from DUKES 1998, table 6.8</t>
  </si>
  <si>
    <t>Cells C59-C85 from DUKES 2001, table 5.10</t>
  </si>
  <si>
    <t>Cells C86-C108 from DUKES 2019, table 5.3</t>
  </si>
  <si>
    <t>Cells D9-D18 from Ministry of Power Statistical Digest 1959, table 67</t>
  </si>
  <si>
    <t>Cells D19-D38 from Ministry of Fuel and Power Statistical Digest 1948 and 1949, table 85, 90</t>
  </si>
  <si>
    <t>Cells D39-D48 from Ministry of Power Statistical Digest 1959, table 67</t>
  </si>
  <si>
    <t>Cell D49 from  DUKES 1998, table 6.8</t>
  </si>
  <si>
    <t>Cells D50-D51 from Ministry of Power Statistical Digest 1963, table 70</t>
  </si>
  <si>
    <t>Cells D52-D53 from Ministry of Power Statistical Digest 1965, table 74</t>
  </si>
  <si>
    <t>Cells D54-D58 from DUKES 1998, table 6.8</t>
  </si>
  <si>
    <t>Cells D59-D85 from DUKES 2001, table 5.10</t>
  </si>
  <si>
    <t>Cells D86:D108 from DUKES 2019, table 5.3</t>
  </si>
  <si>
    <t>Cell E58 from DUKES 1998, table 6.8</t>
  </si>
  <si>
    <t>Cells E59-E88 from DUKES 2001, table 5.10</t>
  </si>
  <si>
    <t>Cell E89:E108 from DUKES 2019, table 5.3</t>
  </si>
  <si>
    <t xml:space="preserve">Cells F45-F53 from Ministry of Power Statistical Digest 1965, table 73 </t>
  </si>
  <si>
    <t>Cells F54-F58 from DUKES 1998, table 6.8</t>
  </si>
  <si>
    <t>Cells F59-F85 from DUKES 2001, table 5.10</t>
  </si>
  <si>
    <t>Cell F86:F108 from DUKES 2019, table 5.3</t>
  </si>
  <si>
    <t>Cells G9-G39 from Ministry of Power Statistical Digest 1959, table 67</t>
  </si>
  <si>
    <t xml:space="preserve">Cells G40-G54 from Ministry of Power Statistical Digest 1965, table 73 </t>
  </si>
  <si>
    <t>Cells G55-G58 from DUKES 1998, table 6.8</t>
  </si>
  <si>
    <t>Cells G59-G85 from DUKES 2001, table 5.10</t>
  </si>
  <si>
    <t>Cell G86-G108 from DUKES 2019, table 5.3</t>
  </si>
  <si>
    <t>Cells H86-H108 from DUKES 2019, table 5.3</t>
  </si>
  <si>
    <t>Cells I9-I18 from Ministry of Power Statistical Digest 1959, table 67</t>
  </si>
  <si>
    <t>Cells I19-I38 from Ministry of Fuel and Power Statistical Digest 1948 and 1949, table 85, 90</t>
  </si>
  <si>
    <t>Cells I39-I48 from Ministry of Power Statistical Digest 1959, table 67</t>
  </si>
  <si>
    <t>Cell I49 from  DUKES 1998, table 6.8</t>
  </si>
  <si>
    <t>Cells I50-I51 from Ministry of Power Statistical Digest 1963, table 70</t>
  </si>
  <si>
    <t>Cells I52-I53 from Ministry of Power Statistical Digest 1965, table 74</t>
  </si>
  <si>
    <t>Cells I54-I58 from DUKES 1998, table 6.8</t>
  </si>
  <si>
    <t>Cells I59-I85 from DUKES 2001, table 5.10</t>
  </si>
  <si>
    <t>Cell I86-I108 from DUKES 2019, table 5.3</t>
  </si>
  <si>
    <t>Cells J77:J85 from DUKES 2017 table 5.1.1 (Internet only)</t>
  </si>
  <si>
    <t>Cell J86-J108 from DUKES 2019, table 5.3</t>
  </si>
  <si>
    <t>WIND APPEARS TO BE IN WIND AND SOLAR and in OTHER FUELS????</t>
  </si>
  <si>
    <t>These data first given in March 2009 Energy Trends</t>
  </si>
  <si>
    <t>thousand tonnes</t>
  </si>
  <si>
    <t>Supply</t>
  </si>
  <si>
    <t>Total Supply</t>
  </si>
  <si>
    <r>
      <t xml:space="preserve">Statistical Difference </t>
    </r>
    <r>
      <rPr>
        <sz val="10"/>
        <rFont val="Arial"/>
        <family val="2"/>
      </rPr>
      <t>(2)</t>
    </r>
  </si>
  <si>
    <t>Total Demand</t>
  </si>
  <si>
    <t>Transformation</t>
  </si>
  <si>
    <t>Energy Industry Use</t>
  </si>
  <si>
    <t>Final Consumption</t>
  </si>
  <si>
    <r>
      <t xml:space="preserve">Stocks at end of year </t>
    </r>
    <r>
      <rPr>
        <sz val="10"/>
        <rFont val="Arial"/>
        <family val="2"/>
      </rPr>
      <t>(3)</t>
    </r>
  </si>
  <si>
    <t>Use at Ovens (6)</t>
  </si>
  <si>
    <t>Stock change (1)</t>
  </si>
  <si>
    <t>Transfers (10)</t>
  </si>
  <si>
    <t>Blast Furnaces</t>
  </si>
  <si>
    <t>Unclassified</t>
  </si>
  <si>
    <t>Iron and Steel (8)</t>
  </si>
  <si>
    <t>Non ferrous Metals</t>
  </si>
  <si>
    <t>Chemicals (4)</t>
  </si>
  <si>
    <t>Public services (5)</t>
  </si>
  <si>
    <t>Other Consumption (9)</t>
  </si>
  <si>
    <t>Railways (7)</t>
  </si>
  <si>
    <t>Sources</t>
  </si>
  <si>
    <t>Notes</t>
  </si>
  <si>
    <t>row 38 to 54 from DUKES 1967 table 72</t>
  </si>
  <si>
    <t>(1) + = stock draw - = stock build</t>
  </si>
  <si>
    <t>row 55 to 56 from DUKES 1970 table 88</t>
  </si>
  <si>
    <t>(2) Between total supply and total demand</t>
  </si>
  <si>
    <t>row 57 from DUKES 1972 table 80</t>
  </si>
  <si>
    <t>(3) Cells Y38 to Y60 and Y70 are the stocks implied by the stock changes in Column F</t>
  </si>
  <si>
    <t>row 58 from DUKES 1973 table 90</t>
  </si>
  <si>
    <t>(4) Consumption by the "chemicals" sector is only available for the years shown</t>
  </si>
  <si>
    <t>row 59 to 60 from DUKES 1977 table 30</t>
  </si>
  <si>
    <t>(5) Consumption by the "public services" sector is only available for the years shown</t>
  </si>
  <si>
    <t>row 61 from DUKES 1978 table 32</t>
  </si>
  <si>
    <t>(6) "Use at ovens" data are only available for the years shown</t>
  </si>
  <si>
    <t>row 62 to 64 from DUKES 1981 table 27</t>
  </si>
  <si>
    <t>(7) Consumption by the "railways" sector is only available for the years shown</t>
  </si>
  <si>
    <t>row 65 from DUKES 1982 table 17</t>
  </si>
  <si>
    <t>(8) Between 1990 and 1993 separate data for the Iron and Steel industry were not available and will have been included under "Unclassified";</t>
  </si>
  <si>
    <t>row 66 from DUKES 1983 table 16</t>
  </si>
  <si>
    <t xml:space="preserve">     Where separate data were available for 'Iron Foundries' these have been included under 'Iron and steel'</t>
  </si>
  <si>
    <t>row 67 from DUKES 1984 table 16</t>
  </si>
  <si>
    <t>(9) After 1998 'Other consumption' has been included in 'Unclassified'</t>
  </si>
  <si>
    <t>row 68 from DUKES 1985 table 16</t>
  </si>
  <si>
    <t>(10) Losses in screening have been classified as 'Transfers' (to coke breeze) for data for 1998 and earlier years</t>
  </si>
  <si>
    <t>row 69 from DUKES 1986 table 16</t>
  </si>
  <si>
    <t>row 70 from DUKES 1987 table 16</t>
  </si>
  <si>
    <t>row 71 from DUKES 1988 table 16</t>
  </si>
  <si>
    <t>General Notes</t>
  </si>
  <si>
    <t>row 72 from DUKES 1989 table 16</t>
  </si>
  <si>
    <t>Data from the 1977 Digest and earlier was in statute tons, and have been converted to metric tonnes using a factor of 1.016</t>
  </si>
  <si>
    <t>row 73 from DUKES 1990 table 14</t>
  </si>
  <si>
    <t>Industries other than those shown separately have been included under 'Unclassified'</t>
  </si>
  <si>
    <t>row 74 from DUKES 1991 table 13</t>
  </si>
  <si>
    <t>row 75 from DUKES 1992 table 13</t>
  </si>
  <si>
    <t>row 76 from DUKES 1993 table 13</t>
  </si>
  <si>
    <t>row 77 from DUKES 1994 table 13</t>
  </si>
  <si>
    <t>row 78 from DUKES 1995 table 12</t>
  </si>
  <si>
    <t>row 79 from DUKES 1996 table 12</t>
  </si>
  <si>
    <t>row 80 from DUKES 1997 table 19</t>
  </si>
  <si>
    <t>row 81 from DUKES 1998 table 2.2</t>
  </si>
  <si>
    <t>row 82 from DUKES 1999 table 2.8</t>
  </si>
  <si>
    <t>row 83 from Dukes 2000 table 2.8</t>
  </si>
  <si>
    <t>rows 84 to 106 from DUKES 2019 table 2.5</t>
  </si>
  <si>
    <t>Gas coke breeze</t>
  </si>
  <si>
    <t>Other Breeze</t>
  </si>
  <si>
    <t>Stocks at end of year</t>
  </si>
  <si>
    <t>Transfers</t>
  </si>
  <si>
    <t>Coke manufacture</t>
  </si>
  <si>
    <t>Iron and Steel (3)</t>
  </si>
  <si>
    <t>Power Stations</t>
  </si>
  <si>
    <t>Gas Works</t>
  </si>
  <si>
    <t>Coke Ovens</t>
  </si>
  <si>
    <t>Gas Coke Breeze</t>
  </si>
  <si>
    <t xml:space="preserve">Cells G9 to G19 from Ministry of Fuel and Power Statistical digest 1950 table 111 </t>
  </si>
  <si>
    <t>Cells G20 to G45 from Ministry of Power Statistical digest 1967 table 104</t>
  </si>
  <si>
    <t>(3) Includes use in blast furnaces and at sinter plants where thesehave been separately identified in the Digest tables</t>
  </si>
  <si>
    <t>Cells G46 to G47 from Ministry of Power Statistical Digest 1959 table 84</t>
  </si>
  <si>
    <t xml:space="preserve">Cells G48 to G53 from Ministry of Power Statistical Digest 1965 table 96 </t>
  </si>
  <si>
    <t>Cells G54 to G56 from Ministry of Power Digest of Energy Statistics 1968 and 1969 table 54</t>
  </si>
  <si>
    <t>Cells G57 to G58 from Digest of United Kingdom Energy Statistics 1971 table 58</t>
  </si>
  <si>
    <t>Cell G59 from DUKES 1972 table 52</t>
  </si>
  <si>
    <t>Cell G60 from DUKES 1973 table 62</t>
  </si>
  <si>
    <t>Cell G61 from DUKES 1978 table 35</t>
  </si>
  <si>
    <t>Cells B38 to B42 and B44 to B46 from Summary worksheet</t>
  </si>
  <si>
    <t>row 43 and 47 to 50 from DUKES 1963 table 62</t>
  </si>
  <si>
    <t>row 51 from DUKES 1974 table 80</t>
  </si>
  <si>
    <t>row 52 to 53 from DUKES 1975 table 36</t>
  </si>
  <si>
    <t>row 54 from DUKES 1977 table 33</t>
  </si>
  <si>
    <t>row 55 to 61 from DUKES 1978 table 35</t>
  </si>
  <si>
    <t>row 62 to 64 from DUKES 1981 table 28</t>
  </si>
  <si>
    <t>row 65 from DUKES 1982 table 18</t>
  </si>
  <si>
    <t>row 66 from DUKES 1983 table 17</t>
  </si>
  <si>
    <t>row 67 from DUKES 1984 table 17</t>
  </si>
  <si>
    <t>Data from 1977 Digest and earlier was in tons, and have been converted to tonnes using a factor of 1.016</t>
  </si>
  <si>
    <t>row 68 from DUKES 1985 table 17</t>
  </si>
  <si>
    <t xml:space="preserve">Arising from re-screening coke stocks at coke ovens', 'Returned to coke ovens from blast furnaces and sinter plants' and' Arising from re-screening coke at blast furnaces' have been classified as 'Transfers' </t>
  </si>
  <si>
    <t>row 69 from DUKES 1986 table 17</t>
  </si>
  <si>
    <t>Gas coke breeze production and consumption do not always balance as a small amount will have been kept in stock</t>
  </si>
  <si>
    <t>row 70 from DUKES 1987 table 17</t>
  </si>
  <si>
    <t>row 71 from DUKES 1988 table 17</t>
  </si>
  <si>
    <t>row 72 from DUKES 1989 table 17</t>
  </si>
  <si>
    <t>row 73 from DUKES 1990 table 15</t>
  </si>
  <si>
    <t>row 74 from DUKES 1991 table 14</t>
  </si>
  <si>
    <t>row 75 from DUKES 1992 table 14</t>
  </si>
  <si>
    <t>row 76 from DUKES 1993 table 14</t>
  </si>
  <si>
    <t>row 77 from DUKES 1994 table 14</t>
  </si>
  <si>
    <t>row 78 from DUKES 1995 table 13</t>
  </si>
  <si>
    <t>row 79 from DUKES 1996 table 13</t>
  </si>
  <si>
    <t>row 80 from DUKES 1997 table 20</t>
  </si>
  <si>
    <t>row 81 from DUKES 1998 table 2.3</t>
  </si>
  <si>
    <t>row 83 from DUKES 2000 table 2.8</t>
  </si>
  <si>
    <r>
      <t xml:space="preserve">Gas Coke production </t>
    </r>
    <r>
      <rPr>
        <sz val="10"/>
        <rFont val="Arial"/>
        <family val="2"/>
      </rPr>
      <t>(2)</t>
    </r>
  </si>
  <si>
    <t>Gas Coke consumption</t>
  </si>
  <si>
    <t>Total consumption and shipments</t>
  </si>
  <si>
    <t>Inland consumption</t>
  </si>
  <si>
    <t>Domestic (3)</t>
  </si>
  <si>
    <t>Iron and Steel industry</t>
  </si>
  <si>
    <t>Other industries</t>
  </si>
  <si>
    <t>Public service</t>
  </si>
  <si>
    <t>Miscellaneous (1)</t>
  </si>
  <si>
    <t>Gas coke production ceased after 1973</t>
  </si>
  <si>
    <t>Coke production</t>
  </si>
  <si>
    <t>(1) For 1948 to 1951 'Other inland disposals' are included under 'Miscellaneous'</t>
  </si>
  <si>
    <t>rows 8 to 18 from Ministry of Fuel and Power Statistical Digest 1950 table 111</t>
  </si>
  <si>
    <t>(2) For the years 1923 to 1942 the apportionment between coke and coke breeze has been estimated.</t>
  </si>
  <si>
    <t>rows 19 to 44 from Ministry of Power Statistical Digest 1967 table 104</t>
  </si>
  <si>
    <t>(3) Domestic consumption between 1948 and 1951 is estimated</t>
  </si>
  <si>
    <t>rows 45 to 46 from Ministry of Power Statistical Digest 1959 table 84</t>
  </si>
  <si>
    <t xml:space="preserve">(4) For 1973 the production figure given is 'coke made for sale'. This is coke made less the quantity </t>
  </si>
  <si>
    <t xml:space="preserve">rows 47 to 52 from Ministry of Power Statistical Digest 1965 table 96 </t>
  </si>
  <si>
    <t xml:space="preserve">used at works, etc for gas making and other purposes. </t>
  </si>
  <si>
    <t>rows 53 to 55 from Ministry of Power Digest of Energy Statistics 1968 and 1969 table 54</t>
  </si>
  <si>
    <t>rows 56 to 57 from Digest of United Kingdom Energy Statistics 1971 table 58</t>
  </si>
  <si>
    <t>row 58 from DUKES 1972 table 52</t>
  </si>
  <si>
    <t>row 59 from DUKES 1973 table 62</t>
  </si>
  <si>
    <t>row 60 from DUKES 1974 table 50</t>
  </si>
  <si>
    <t>Coke consumption</t>
  </si>
  <si>
    <t>rows 36 to 39 from Ministry of Power Statistical Digest 1963 table 61</t>
  </si>
  <si>
    <t>rows 40 to 52 from Ministry of Power Statistical Digest 1967 table 73</t>
  </si>
  <si>
    <t>rows 53 to 57 from Ministry of Technology Digest of Energy Statistics 1970 table 89</t>
  </si>
  <si>
    <t>rows 58 to 60 from Digest of United Kingdom Energy Statistics 1973 table 91</t>
  </si>
  <si>
    <t>Historical coke and breeze data: Supply and consumption of other manufactured solid fuels</t>
  </si>
  <si>
    <r>
      <t xml:space="preserve">Energy Industry Use </t>
    </r>
    <r>
      <rPr>
        <sz val="10"/>
        <rFont val="Arial"/>
        <family val="2"/>
      </rPr>
      <t>(5)</t>
    </r>
  </si>
  <si>
    <r>
      <t xml:space="preserve">Stocks at end of year </t>
    </r>
    <r>
      <rPr>
        <sz val="10"/>
        <rFont val="Arial"/>
        <family val="2"/>
      </rPr>
      <t>(3)(4)</t>
    </r>
  </si>
  <si>
    <t>Stock change (1)(4)</t>
  </si>
  <si>
    <t>Patent fuel manufacture</t>
  </si>
  <si>
    <t>…</t>
  </si>
  <si>
    <t>c</t>
  </si>
  <si>
    <t>rows 52 to 53 from DUKES 1975 table 33</t>
  </si>
  <si>
    <t>row 54 from DUKES 1977 table 31</t>
  </si>
  <si>
    <t>rows 55 to 61 from DUKES 1978 table 33</t>
  </si>
  <si>
    <t>(3) Cells Q51 to Q81are the stocks implied by the stock changes in Column F</t>
  </si>
  <si>
    <t>row 62 to 64 from DUKES 1981 table 29</t>
  </si>
  <si>
    <t>(4) Prior to 1972 stock change figures relate to phurnacite only, therefore stocks at end of year are not available</t>
  </si>
  <si>
    <t>row 65 from DUKES 1982 table 19</t>
  </si>
  <si>
    <t>(5) Includes use on works.</t>
  </si>
  <si>
    <t>row 66 from DUKES 1983 table 18</t>
  </si>
  <si>
    <t>row 67 from DUKES 1984 table 18</t>
  </si>
  <si>
    <t>row 68 from DUKES 1985 table 18</t>
  </si>
  <si>
    <t>row 69 from DUKES 1986 table 18</t>
  </si>
  <si>
    <t>row 70 from DUKES 1987 table 18</t>
  </si>
  <si>
    <t>Data from 1977 Digest and earlier were in tons, and as such have been converted to tonnes using a factor of 1.016</t>
  </si>
  <si>
    <t>row 71 from DUKES 1988 table 18</t>
  </si>
  <si>
    <t xml:space="preserve">Where the source tables separately identify 'smokeless fuel produced by Coal Products Ltd' and 'Other manufactured smokeless fuel', </t>
  </si>
  <si>
    <t>row 72 from DUKES 1989 table 18</t>
  </si>
  <si>
    <t>the figures have been combined for this table.</t>
  </si>
  <si>
    <t>row 73 from DUKES 1990 table 16</t>
  </si>
  <si>
    <t>row 74 from DUKES 1991 table 15</t>
  </si>
  <si>
    <t>row 75 from DUKES 1992 table 15</t>
  </si>
  <si>
    <t>row 76 from DUKES 1993 table 15</t>
  </si>
  <si>
    <t>row 77 from DUKES 1994 table 15</t>
  </si>
  <si>
    <t>row 78 from DUKES 1995 table 14</t>
  </si>
  <si>
    <t>row 79 from DUKES 1996 table 14</t>
  </si>
  <si>
    <t>row 80 from DUKES 1997 table 21</t>
  </si>
  <si>
    <t>row 81 from DUKES 1998 table 2.4</t>
  </si>
  <si>
    <t>Units of Measurement</t>
  </si>
  <si>
    <t>Broadberry, S. Campbell, B., Klein, A., Overton, M. and van Leeuwen, B. 2011. British Economic Growth, 1270-1870. Working Paper. Economic History Department, LSE.</t>
  </si>
  <si>
    <t>Rogers J.E.T. 1865, 1882, 1886. A History of Agriculture and Prices in England. Vol I-VI. Oxford: Clarendon Press.</t>
  </si>
  <si>
    <t>A historical energy data set for the UK</t>
  </si>
  <si>
    <t>The National Infrastructure Commission's collection of historical energy statistics</t>
  </si>
  <si>
    <t>Source:</t>
  </si>
  <si>
    <t>https://www.gov.uk/government/statistical-data-sets/historical-coal-data-coal-production-availability-and-consumption</t>
  </si>
  <si>
    <t>Given the historical nature of the data, errors are inevitable, particularly between statistical sources.</t>
  </si>
  <si>
    <r>
      <t xml:space="preserve">Total </t>
    </r>
    <r>
      <rPr>
        <b/>
        <vertAlign val="superscript"/>
        <sz val="10"/>
        <rFont val="Calibri"/>
        <family val="2"/>
        <scheme val="minor"/>
      </rPr>
      <t>(2) (3)</t>
    </r>
  </si>
  <si>
    <t xml:space="preserve">Energy is a physical concept bringing together what once were considered separate phenomena, such as heat and power. Through time, different units have been used to measure energy. While under different physical conditions the conversion of those units varies, some standard conversion factors can be presented and will be adequate for the nature of this study. These will also be useful for the reader possibly more familiar with different units of energy from those employed in this book. More information can be found, for instance, in the Digest of United Kingdom Energy Statistics (DTI 2006). </t>
  </si>
  <si>
    <t>1 kiloJoule (kJ)</t>
  </si>
  <si>
    <t>1 teraJoule (TJ)</t>
  </si>
  <si>
    <t>1 kilowatt-hour (kWh)</t>
  </si>
  <si>
    <t>1 kWh</t>
  </si>
  <si>
    <t>1 tonne of coal (toc)</t>
  </si>
  <si>
    <t>1 tonne of oil equiv. (toe)</t>
  </si>
  <si>
    <t>1 kW</t>
  </si>
  <si>
    <t>1 hp</t>
  </si>
  <si>
    <t>1 megawatt (MW)</t>
  </si>
  <si>
    <t>1 gigawatt (GW)</t>
  </si>
  <si>
    <t>1 terawatt (TW)</t>
  </si>
  <si>
    <t>1 petawatt (PW)</t>
  </si>
  <si>
    <t xml:space="preserve">There has been an attempt to present consistent units of measurement to enable comparison across time. Following the Digest of United Kingdom Energy Statistics, the ‘tonne of oil equivalent’ will be the main unit of measurement of energy; in some cases, principally related to electricity, kWh may be used. </t>
  </si>
  <si>
    <t>=</t>
  </si>
  <si>
    <t xml:space="preserve"> British Thermal Units (btu)</t>
  </si>
  <si>
    <t xml:space="preserve"> therms  </t>
  </si>
  <si>
    <t>KJ</t>
  </si>
  <si>
    <t xml:space="preserve"> tonnes of oil equivalent (toe)</t>
  </si>
  <si>
    <t xml:space="preserve"> GWh of electrical energy</t>
  </si>
  <si>
    <t xml:space="preserve"> horsepower (hp)</t>
  </si>
  <si>
    <t xml:space="preserve"> lb lifted one foot in one second</t>
  </si>
  <si>
    <t>kW</t>
  </si>
  <si>
    <t>MW</t>
  </si>
  <si>
    <t>GW</t>
  </si>
  <si>
    <t>TW</t>
  </si>
  <si>
    <t>Billion cubic feet</t>
  </si>
  <si>
    <t>cu metre of town gas</t>
  </si>
  <si>
    <t>MJ</t>
  </si>
  <si>
    <t>1 cubic metre</t>
  </si>
  <si>
    <t>cubic feet</t>
  </si>
  <si>
    <t>cu ft natural gas</t>
  </si>
  <si>
    <t>cu m natural gas</t>
  </si>
  <si>
    <t xml:space="preserve"> therms</t>
  </si>
  <si>
    <t>barrels</t>
  </si>
  <si>
    <t>Total Final User</t>
  </si>
  <si>
    <t>sum of (8) to (14)</t>
  </si>
  <si>
    <t>(19)</t>
  </si>
  <si>
    <t>Thousand tonnes</t>
  </si>
  <si>
    <r>
      <t>1986</t>
    </r>
    <r>
      <rPr>
        <b/>
        <i/>
        <sz val="10"/>
        <color theme="1"/>
        <rFont val="Arial"/>
        <family val="2"/>
      </rPr>
      <t>(4)</t>
    </r>
  </si>
  <si>
    <t>Hannah (1979) p.424-7: Sales of electricity</t>
  </si>
  <si>
    <t>One problem facing any study of long periods is the definition of geographical boundaries. For much of the statistics, the information relates to Great Britain until 1882, the United Kingdom including Ireland from 1883 to 1920, and the current United Kingdom (that is, England, Wales, Scotland and Northern Ireland) afterwards.</t>
  </si>
  <si>
    <t>Solar</t>
  </si>
  <si>
    <t xml:space="preserve">6.1.1  Renewable sources used to generate electricity </t>
  </si>
  <si>
    <t>Thousand tonnes of oil equivalent</t>
  </si>
  <si>
    <t>Wind (1)</t>
  </si>
  <si>
    <t>Wave and</t>
  </si>
  <si>
    <t>Hydro (1)</t>
  </si>
  <si>
    <t>Bioenergy</t>
  </si>
  <si>
    <t xml:space="preserve">Wastes </t>
  </si>
  <si>
    <t>Onshore</t>
  </si>
  <si>
    <t>Offshore</t>
  </si>
  <si>
    <t>Tidal (1)</t>
  </si>
  <si>
    <t>photo-</t>
  </si>
  <si>
    <t>Small</t>
  </si>
  <si>
    <t xml:space="preserve">Large </t>
  </si>
  <si>
    <t xml:space="preserve">Landfill </t>
  </si>
  <si>
    <t xml:space="preserve">Sewage </t>
  </si>
  <si>
    <t>Energy</t>
  </si>
  <si>
    <t>Animal</t>
  </si>
  <si>
    <t>Plant</t>
  </si>
  <si>
    <t>Anaerobic</t>
  </si>
  <si>
    <t>Co-firing</t>
  </si>
  <si>
    <t xml:space="preserve">Total </t>
  </si>
  <si>
    <t>voltaics</t>
  </si>
  <si>
    <t>scale</t>
  </si>
  <si>
    <r>
      <t>scale</t>
    </r>
    <r>
      <rPr>
        <i/>
        <sz val="8.5"/>
        <rFont val="Arial"/>
        <family val="2"/>
      </rPr>
      <t xml:space="preserve"> (2)</t>
    </r>
  </si>
  <si>
    <t>gas</t>
  </si>
  <si>
    <t xml:space="preserve">sludge </t>
  </si>
  <si>
    <t>from waste</t>
  </si>
  <si>
    <t xml:space="preserve"> Biomass</t>
  </si>
  <si>
    <t>Digestion</t>
  </si>
  <si>
    <t>with fossil</t>
  </si>
  <si>
    <t>bioenergy</t>
  </si>
  <si>
    <t>digestion</t>
  </si>
  <si>
    <t>combustion</t>
  </si>
  <si>
    <t>Used to generate electricity</t>
  </si>
  <si>
    <t>Active</t>
  </si>
  <si>
    <t>Deep</t>
  </si>
  <si>
    <t>Heat</t>
  </si>
  <si>
    <t>Wastes</t>
  </si>
  <si>
    <t>solar</t>
  </si>
  <si>
    <t xml:space="preserve">Wood </t>
  </si>
  <si>
    <t>geo-</t>
  </si>
  <si>
    <t>pumps</t>
  </si>
  <si>
    <t>heating</t>
  </si>
  <si>
    <t>combus-</t>
  </si>
  <si>
    <t>thermal</t>
  </si>
  <si>
    <t xml:space="preserve">tion - </t>
  </si>
  <si>
    <t>domestic</t>
  </si>
  <si>
    <t>industrial</t>
  </si>
  <si>
    <t>Used to generate heat</t>
  </si>
  <si>
    <t>Solar heating</t>
  </si>
  <si>
    <t>Hydro</t>
  </si>
  <si>
    <t>Transport</t>
  </si>
  <si>
    <t>and photovoltaics</t>
  </si>
  <si>
    <t>Tidal</t>
  </si>
  <si>
    <t>geothermal</t>
  </si>
  <si>
    <r>
      <t xml:space="preserve">biofuels </t>
    </r>
    <r>
      <rPr>
        <i/>
        <sz val="8.5"/>
        <rFont val="Arial"/>
        <family val="2"/>
      </rPr>
      <t>(13)</t>
    </r>
  </si>
  <si>
    <t>Total use of renewable sources</t>
  </si>
  <si>
    <r>
      <t xml:space="preserve">          and heat</t>
    </r>
    <r>
      <rPr>
        <i/>
        <sz val="18"/>
        <color indexed="12"/>
        <rFont val="Arial"/>
        <family val="2"/>
      </rPr>
      <t>(1)</t>
    </r>
    <r>
      <rPr>
        <b/>
        <sz val="18"/>
        <color indexed="12"/>
        <rFont val="Arial"/>
        <family val="2"/>
      </rPr>
      <t xml:space="preserve">; electricity generated from </t>
    </r>
  </si>
  <si>
    <t xml:space="preserve">          renewable sources (continued)</t>
  </si>
  <si>
    <t>Electricity generated</t>
  </si>
  <si>
    <t>wastes</t>
  </si>
  <si>
    <t xml:space="preserve">Declared net capacity </t>
  </si>
  <si>
    <t>Per cent</t>
  </si>
  <si>
    <r>
      <t>Long term average load factors (average of five years ending)</t>
    </r>
    <r>
      <rPr>
        <b/>
        <i/>
        <sz val="8.5"/>
        <rFont val="Arial"/>
        <family val="2"/>
      </rPr>
      <t xml:space="preserve"> (18)</t>
    </r>
  </si>
  <si>
    <t>(1)    For wind, wave, tidal and hydro, the figures represent the energy content of the electricity supplied, but for biofuels the</t>
  </si>
  <si>
    <t xml:space="preserve">         figures represent the energy content of the fuel used.</t>
  </si>
  <si>
    <t>(2)    Excluding pumped storage stations.</t>
  </si>
  <si>
    <t>(3)    Biodegradable part only.</t>
  </si>
  <si>
    <t>(4)    Includes electricity from poultry litter combustion, and meat &amp; bone combustion.</t>
  </si>
  <si>
    <t>(5)    Includes electricity from straw and energy crops.</t>
  </si>
  <si>
    <t>(6)    Includes electricity from farm waste digestion and other AD</t>
  </si>
  <si>
    <t>(7)    Non-biodegradable part of municipal solid waste plus waste tyres, hospital waste, and general industrial waste.</t>
  </si>
  <si>
    <t>(8)    Includes heat from meat &amp; bone combustion and sewage sludge combustion.</t>
  </si>
  <si>
    <t>(9)    Includes heat from straw, energy crops and paper &amp; packaging.</t>
  </si>
  <si>
    <t>(10)  Includes heat from farm waste digestion and other non-farm AD</t>
  </si>
  <si>
    <t>(11)  It is understood that there was a negligable contribution from heat pumps prior to 2008.</t>
  </si>
  <si>
    <t>(12)  Includes heat from waste tyre combustion, hospital waste combustion, and general industrial waste combustion.</t>
  </si>
  <si>
    <t>(13)  Liquid biofuels are generally blended for use in transport</t>
  </si>
  <si>
    <t xml:space="preserve">(14)  Includes the use of waste tyres and hospital waste. </t>
  </si>
  <si>
    <t>(15)  Includes the use of poultry litter and  meat &amp; bone.</t>
  </si>
  <si>
    <t>(16)  Includes the use of straw combustion and short rotation coppice</t>
  </si>
  <si>
    <t>(17)  Excludes co-firing and non-biodegradable waste</t>
  </si>
  <si>
    <t>(18)  On an unchanged configuration basis.  With the exception of wind, this measure has only been calculated since 2008, hence the shorter time-series.</t>
  </si>
  <si>
    <t xml:space="preserve">          </t>
  </si>
  <si>
    <t xml:space="preserve">(4)  Main fuels included are coke oven gas, blast furnace gas, </t>
  </si>
  <si>
    <r>
      <t>1987</t>
    </r>
    <r>
      <rPr>
        <b/>
        <i/>
        <sz val="10"/>
        <color theme="1"/>
        <rFont val="Arial"/>
        <family val="2"/>
      </rPr>
      <t xml:space="preserve"> (5)</t>
    </r>
  </si>
  <si>
    <t xml:space="preserve">    Thousand tonnes of oil equivalent  </t>
  </si>
  <si>
    <t xml:space="preserve"> Thousand tonnes of oil equivalent</t>
  </si>
  <si>
    <r>
      <t xml:space="preserve">Industry </t>
    </r>
    <r>
      <rPr>
        <i/>
        <sz val="8.5"/>
        <rFont val="Arial"/>
        <family val="2"/>
      </rPr>
      <t>(2)</t>
    </r>
  </si>
  <si>
    <t>Other final users (9)</t>
  </si>
  <si>
    <t>All final users</t>
  </si>
  <si>
    <t>Rail</t>
  </si>
  <si>
    <t>Road</t>
  </si>
  <si>
    <t>Water</t>
  </si>
  <si>
    <t>Air</t>
  </si>
  <si>
    <t>Coke oven</t>
  </si>
  <si>
    <t>Town</t>
  </si>
  <si>
    <t>derived</t>
  </si>
  <si>
    <t>Coke and</t>
  </si>
  <si>
    <t>solid fuels</t>
  </si>
  <si>
    <t>Electri-</t>
  </si>
  <si>
    <t xml:space="preserve">      gas</t>
  </si>
  <si>
    <t xml:space="preserve"> gas</t>
  </si>
  <si>
    <r>
      <t xml:space="preserve">gas </t>
    </r>
    <r>
      <rPr>
        <i/>
        <sz val="8.5"/>
        <rFont val="Arial"/>
        <family val="2"/>
      </rPr>
      <t>(5)</t>
    </r>
  </si>
  <si>
    <t>sold</t>
  </si>
  <si>
    <t>&amp; waste</t>
  </si>
  <si>
    <r>
      <t xml:space="preserve">Total </t>
    </r>
    <r>
      <rPr>
        <i/>
        <sz val="8.5"/>
        <rFont val="Arial"/>
        <family val="2"/>
      </rPr>
      <t>(3)</t>
    </r>
  </si>
  <si>
    <t>fuel</t>
  </si>
  <si>
    <t>breeze</t>
  </si>
  <si>
    <t>oven gas</t>
  </si>
  <si>
    <t>city</t>
  </si>
  <si>
    <t>(3)(10)</t>
  </si>
  <si>
    <t xml:space="preserve">                    .. </t>
  </si>
  <si>
    <r>
      <t>1986</t>
    </r>
    <r>
      <rPr>
        <i/>
        <sz val="8.5"/>
        <rFont val="Arial"/>
        <family val="2"/>
      </rPr>
      <t>(11)</t>
    </r>
  </si>
  <si>
    <t>(1) Excluding non-energy use of fuels.</t>
  </si>
  <si>
    <t xml:space="preserve">(6) Includes, from 1990, electricity used at transport premises (see footnote 11).  </t>
  </si>
  <si>
    <t>(8) Includes town gas prior to 1989. (Separate figures maybe found in previous editions of this Digest).</t>
  </si>
  <si>
    <t xml:space="preserve">(9)  Mainly agriculture, public administration and commerce. Prior to 1990, including electricity used at </t>
  </si>
  <si>
    <t>(10)  Before 1971 includes the use for transport of liquid fuel made from coal.</t>
  </si>
  <si>
    <t>(2) Includes the iron and steel industry, but from 1994 onwards excludes iron and steel use of fuels for</t>
  </si>
  <si>
    <t>(7) Includes small amounts of natural gas for road transport.</t>
  </si>
  <si>
    <t xml:space="preserve">      transport premises (see footnote 6).</t>
  </si>
  <si>
    <t xml:space="preserve">(11)  See paragraph 1.1.18 of DUKES 2016 long-term trends and annexes about changed treatment of electricity produced, </t>
  </si>
  <si>
    <t xml:space="preserve">      transformation and energy industry own use purposes.</t>
  </si>
  <si>
    <t xml:space="preserve">         and fuel used by, companies other than major power producers.</t>
  </si>
  <si>
    <t xml:space="preserve">(3) Blast furnace gas is included in coke and breeze up to 1995 and covers electricity transformation, use by </t>
  </si>
  <si>
    <t xml:space="preserve">      ovens and losses. From 1996 onwards, blast furnace gas is included in the total and covers just coke ovens and</t>
  </si>
  <si>
    <t xml:space="preserve">      losses, which is consistent with the methodology used for compiling the energy balances. </t>
  </si>
  <si>
    <t>(4) Includes, from 1994, manufactured liquid fuels.</t>
  </si>
  <si>
    <t>(5) Includes colliery methane.  Up to 1988 also includes non-energy use of natural gas.</t>
  </si>
  <si>
    <t xml:space="preserve">             Thousand tonnes of oil equivalent</t>
  </si>
  <si>
    <t>Inland consumption for energy use</t>
  </si>
  <si>
    <t>electricity</t>
  </si>
  <si>
    <t xml:space="preserve">(6) </t>
  </si>
  <si>
    <t>(2)(11)</t>
  </si>
  <si>
    <t xml:space="preserve">(1)  Crude oil plus all condensates and petroleum gases extracted at gas separation plants. </t>
  </si>
  <si>
    <t>(2)  Includes colliery methane.</t>
  </si>
  <si>
    <t xml:space="preserve">(3)  Nuclear and natural flow hydro electricty excluding generation of pumped storage stations.   From 1988 includes generation at </t>
  </si>
  <si>
    <t xml:space="preserve">      wind stations.</t>
  </si>
  <si>
    <t xml:space="preserve">(4)  Includes solar and geothermal heat, solid renewable sources (wood, waste, etc), and gaseous renewable sources (landfill </t>
  </si>
  <si>
    <t xml:space="preserve">      gas, sewage gas) from 1988.</t>
  </si>
  <si>
    <t>(5)  Includes other solid fuels.</t>
  </si>
  <si>
    <t>(6)  Crude and process oils and petroleum products.</t>
  </si>
  <si>
    <t>(7)  Includes exports of natural gas and electricity.</t>
  </si>
  <si>
    <t>CONTENTS</t>
  </si>
  <si>
    <t>1.5.1 Oil Consumption 1870-2018</t>
  </si>
  <si>
    <t>1.6.2 Gas Production and Consumption 1882-2018</t>
  </si>
  <si>
    <t>1.7.3 Electricity Consumption 1895-2008</t>
  </si>
  <si>
    <t>1.3.2 Coal Availability and Consumption 1870-2018</t>
  </si>
  <si>
    <t>1.3.3 Coal Consumption 1700-2008</t>
  </si>
  <si>
    <t>HISTORICAL ENERGY DATA 1700-2018</t>
  </si>
  <si>
    <t>Version 1 - data finalised 31 March 2020 based on The Digest of United Kingdom Energy Statistics 2019 with historical extension</t>
  </si>
  <si>
    <t>Prest (1955) and Stone (1954)</t>
  </si>
  <si>
    <t>Manufactured</t>
  </si>
  <si>
    <t>Solid Fuels (3)</t>
  </si>
  <si>
    <t>Supply and consumption of coke breeze</t>
  </si>
  <si>
    <t>Gas coke production and consumption</t>
  </si>
  <si>
    <t>thousand tonnes of oil equivalent</t>
  </si>
  <si>
    <r>
      <t>Coke and breeze</t>
    </r>
    <r>
      <rPr>
        <i/>
        <sz val="8.5"/>
        <rFont val="Arial"/>
        <family val="2"/>
      </rPr>
      <t xml:space="preserve"> (3)</t>
    </r>
  </si>
  <si>
    <r>
      <t xml:space="preserve"> Other solid fuels</t>
    </r>
    <r>
      <rPr>
        <i/>
        <sz val="8.5"/>
        <rFont val="Arial"/>
        <family val="2"/>
      </rPr>
      <t>(4)</t>
    </r>
  </si>
  <si>
    <t xml:space="preserve">     Coke oven gas</t>
  </si>
  <si>
    <t>Other final users</t>
  </si>
  <si>
    <t>Manufactured Solid Fuels</t>
  </si>
  <si>
    <t>1 tonne of coke</t>
  </si>
  <si>
    <t>Flinn (1986) &amp; Church (1993)</t>
  </si>
  <si>
    <t>156</t>
  </si>
  <si>
    <t>171</t>
  </si>
  <si>
    <t>189</t>
  </si>
  <si>
    <t>191</t>
  </si>
  <si>
    <t>207</t>
  </si>
  <si>
    <t>217</t>
  </si>
  <si>
    <t>224</t>
  </si>
  <si>
    <t>36329</t>
  </si>
  <si>
    <t>35470</t>
  </si>
  <si>
    <t>37466</t>
  </si>
  <si>
    <t>38465</t>
  </si>
  <si>
    <t>35561</t>
  </si>
  <si>
    <t>36576</t>
  </si>
  <si>
    <t>36291</t>
  </si>
  <si>
    <t>35654</t>
  </si>
  <si>
    <t>36599</t>
  </si>
  <si>
    <t>37080</t>
  </si>
  <si>
    <t>14905</t>
  </si>
  <si>
    <t>13828</t>
  </si>
  <si>
    <t>15159</t>
  </si>
  <si>
    <t>15495</t>
  </si>
  <si>
    <t>15449</t>
  </si>
  <si>
    <t>18129</t>
  </si>
  <si>
    <t>16190</t>
  </si>
  <si>
    <t>16278</t>
  </si>
  <si>
    <t>17026</t>
  </si>
  <si>
    <t>18104</t>
  </si>
  <si>
    <t>Prest (1955), Stone (1954) and Ministry of Fuel and Power (1951)</t>
  </si>
  <si>
    <t>Flinn (1986) p.252</t>
  </si>
  <si>
    <t>thousand tons</t>
  </si>
  <si>
    <t>iron</t>
  </si>
  <si>
    <t>copper</t>
  </si>
  <si>
    <t>salt</t>
  </si>
  <si>
    <t>others</t>
  </si>
  <si>
    <t>Small coal (waste)</t>
  </si>
  <si>
    <t>COAL</t>
  </si>
  <si>
    <t>Iron &amp; Steel</t>
  </si>
  <si>
    <t>Other Industries</t>
  </si>
  <si>
    <t>United Kingdom</t>
  </si>
  <si>
    <t>m tons</t>
  </si>
  <si>
    <t>Church (1986) p. 19</t>
  </si>
  <si>
    <t>1830-1913</t>
  </si>
  <si>
    <t>COKE</t>
  </si>
  <si>
    <t>m tonnes</t>
  </si>
  <si>
    <t>Miscellaneous</t>
  </si>
  <si>
    <t>Coke to Coal Ratio</t>
  </si>
  <si>
    <t>1830-1914</t>
  </si>
  <si>
    <t>1830-1915</t>
  </si>
  <si>
    <t>% of Coal in Solid Fuels</t>
  </si>
  <si>
    <t>% of Miscellenous in Other Industries</t>
  </si>
  <si>
    <t>RPI: Fuel &amp; light (Jan 1987=100)</t>
  </si>
  <si>
    <t>Title</t>
  </si>
  <si>
    <t>RPI: fuel &amp; light: coal &amp; solid fuels (Jan 1987=100)</t>
  </si>
  <si>
    <t>RPI: fuel &amp; light: oil &amp; other fuel (Jan 1987=100)</t>
  </si>
  <si>
    <t>RPI: fuel &amp; light: gas (Jan 1987=100)</t>
  </si>
  <si>
    <t>RPI: fuel &amp; light: electricity (Jan 1987=100)</t>
  </si>
  <si>
    <t>RPI All Items Index: Jan 1987=100</t>
  </si>
  <si>
    <t>CHBG</t>
  </si>
  <si>
    <t>CDID</t>
  </si>
  <si>
    <t>DOBW</t>
  </si>
  <si>
    <t>DOBZ</t>
  </si>
  <si>
    <t>DOBY</t>
  </si>
  <si>
    <t>DOBX</t>
  </si>
  <si>
    <t>CHAW</t>
  </si>
  <si>
    <t>Nominal Prices</t>
  </si>
  <si>
    <t>Real Prices</t>
  </si>
  <si>
    <t>MM23</t>
  </si>
  <si>
    <t>Source dataset ID</t>
  </si>
  <si>
    <t>All items</t>
  </si>
  <si>
    <t>Fuel &amp; Light</t>
  </si>
  <si>
    <t>Coal &amp; other solid fuels</t>
  </si>
  <si>
    <t>Natural Gas</t>
  </si>
  <si>
    <t/>
  </si>
  <si>
    <t>PreUnit</t>
  </si>
  <si>
    <t>Index, base year = 100</t>
  </si>
  <si>
    <t>Unit</t>
  </si>
  <si>
    <t>Index</t>
  </si>
  <si>
    <t>19-02-2020</t>
  </si>
  <si>
    <t>Release date</t>
  </si>
  <si>
    <t>25 March 2020</t>
  </si>
  <si>
    <t>Next release</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</si>
  <si>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</si>
  <si>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</si>
  <si>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</si>
  <si>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</si>
  <si>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</si>
  <si>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</si>
  <si>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</si>
  <si>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</si>
  <si>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</si>
  <si>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</si>
  <si>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</si>
  <si>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</si>
  <si>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</si>
  <si>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</si>
  <si>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</si>
  <si>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</si>
  <si>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</si>
  <si>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</si>
  <si>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</si>
  <si>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</si>
  <si>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</si>
  <si>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</si>
  <si>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</si>
  <si>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</si>
  <si>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</si>
  <si>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</si>
  <si>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</si>
  <si>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</si>
  <si>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</si>
  <si>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</si>
  <si>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</si>
  <si>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</si>
  <si>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</si>
  <si>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</si>
  <si>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</si>
  <si>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</si>
  <si>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</si>
  <si>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</si>
  <si>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</si>
  <si>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</si>
  <si>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</si>
  <si>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</si>
  <si>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</si>
  <si>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</si>
  <si>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</si>
  <si>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1992</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</si>
  <si>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</si>
  <si>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</si>
  <si>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</si>
  <si>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</si>
  <si>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</si>
  <si>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</si>
  <si>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</si>
  <si>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</si>
  <si>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</si>
  <si>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</si>
  <si>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</si>
  <si>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</si>
  <si>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</si>
  <si>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</si>
  <si>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</si>
  <si>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</si>
  <si>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</si>
  <si>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</si>
  <si>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</si>
  <si>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</si>
  <si>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</si>
  <si>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</si>
  <si>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</si>
  <si>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</si>
  <si>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</si>
  <si>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</si>
  <si>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</si>
  <si>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2019</t>
  </si>
  <si>
    <t>2005 Q1</t>
  </si>
  <si>
    <t>2005 Q2</t>
  </si>
  <si>
    <t>2005 Q3</t>
  </si>
  <si>
    <t>2005 Q4</t>
  </si>
  <si>
    <t>2006 Q1</t>
  </si>
  <si>
    <t>2006 Q2</t>
  </si>
  <si>
    <t>2006 Q3</t>
  </si>
  <si>
    <t>2006 Q4</t>
  </si>
  <si>
    <t>2007 Q1</t>
  </si>
  <si>
    <t>2007 Q2</t>
  </si>
  <si>
    <t>2007 Q3</t>
  </si>
  <si>
    <t>2007 Q4</t>
  </si>
  <si>
    <t>Jun</t>
  </si>
  <si>
    <t>2008 Q1</t>
  </si>
  <si>
    <t>Jul</t>
  </si>
  <si>
    <t>2008 Q2</t>
  </si>
  <si>
    <t>Aug</t>
  </si>
  <si>
    <t>2008 Q3</t>
  </si>
  <si>
    <t>Sep</t>
  </si>
  <si>
    <t>2008 Q4</t>
  </si>
  <si>
    <t>Oct</t>
  </si>
  <si>
    <t>2009 Q1</t>
  </si>
  <si>
    <t>Nov</t>
  </si>
  <si>
    <t>2009 Q2</t>
  </si>
  <si>
    <t>Dec</t>
  </si>
  <si>
    <t>2009 Q3</t>
  </si>
  <si>
    <t>Jan</t>
  </si>
  <si>
    <t>2009 Q4</t>
  </si>
  <si>
    <t>Feb</t>
  </si>
  <si>
    <t>2010 Q1</t>
  </si>
  <si>
    <t>Mar</t>
  </si>
  <si>
    <t>2010 Q2</t>
  </si>
  <si>
    <t>Apr</t>
  </si>
  <si>
    <t>2010 Q3</t>
  </si>
  <si>
    <t>May</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</si>
  <si>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</si>
  <si>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</si>
  <si>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</si>
  <si>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</si>
  <si>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</si>
  <si>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</si>
  <si>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</si>
  <si>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</si>
  <si>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</si>
  <si>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</si>
  <si>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</si>
  <si>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</si>
  <si>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</si>
  <si>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</si>
  <si>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</si>
  <si>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</si>
  <si>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</si>
  <si>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</si>
  <si>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</si>
  <si>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</si>
  <si>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</si>
  <si>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</si>
  <si>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</si>
  <si>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</si>
  <si>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</si>
  <si>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</si>
  <si>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</si>
  <si>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</si>
  <si>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</si>
  <si>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</si>
  <si>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</si>
  <si>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</si>
  <si>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</si>
  <si>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</si>
  <si>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</si>
  <si>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</si>
  <si>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</si>
  <si>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1987 JAN</t>
  </si>
  <si>
    <t>1987 FEB</t>
  </si>
  <si>
    <t>1987 MAR</t>
  </si>
  <si>
    <t>1987 APR</t>
  </si>
  <si>
    <t>1987 MAY</t>
  </si>
  <si>
    <t>1987 JUN</t>
  </si>
  <si>
    <t>1987 JUL</t>
  </si>
  <si>
    <t>1987 AUG</t>
  </si>
  <si>
    <t>1987 SEP</t>
  </si>
  <si>
    <t>1987 OCT</t>
  </si>
  <si>
    <t>1987 NOV</t>
  </si>
  <si>
    <t>1987 DEC</t>
  </si>
  <si>
    <t>1988 JAN</t>
  </si>
  <si>
    <t>1988 FEB</t>
  </si>
  <si>
    <t>1988 MAR</t>
  </si>
  <si>
    <t>1988 APR</t>
  </si>
  <si>
    <t>1988 MAY</t>
  </si>
  <si>
    <t>1988 JUN</t>
  </si>
  <si>
    <t>1988 JUL</t>
  </si>
  <si>
    <t>1988 AUG</t>
  </si>
  <si>
    <t>1988 SEP</t>
  </si>
  <si>
    <t>1988 OCT</t>
  </si>
  <si>
    <t>1988 NOV</t>
  </si>
  <si>
    <t>1988 DEC</t>
  </si>
  <si>
    <t>1989 JAN</t>
  </si>
  <si>
    <t>1989 FEB</t>
  </si>
  <si>
    <t>1989 MAR</t>
  </si>
  <si>
    <t>1989 APR</t>
  </si>
  <si>
    <t>1989 MAY</t>
  </si>
  <si>
    <t>1989 JUN</t>
  </si>
  <si>
    <t>1989 JUL</t>
  </si>
  <si>
    <t>1989 AUG</t>
  </si>
  <si>
    <t>1989 SEP</t>
  </si>
  <si>
    <t>1989 OCT</t>
  </si>
  <si>
    <t>1989 NOV</t>
  </si>
  <si>
    <t>1989 DEC</t>
  </si>
  <si>
    <t>1990 JAN</t>
  </si>
  <si>
    <t>1990 FEB</t>
  </si>
  <si>
    <t>1990 MAR</t>
  </si>
  <si>
    <t>1990 APR</t>
  </si>
  <si>
    <t>1990 MAY</t>
  </si>
  <si>
    <t>1990 JUN</t>
  </si>
  <si>
    <t>1990 JUL</t>
  </si>
  <si>
    <t>1990 AUG</t>
  </si>
  <si>
    <t>1990 SEP</t>
  </si>
  <si>
    <t>1990 OCT</t>
  </si>
  <si>
    <t>1990 NOV</t>
  </si>
  <si>
    <t>1990 DEC</t>
  </si>
  <si>
    <t>1991 JAN</t>
  </si>
  <si>
    <t>1991 FEB</t>
  </si>
  <si>
    <t>1991 MAR</t>
  </si>
  <si>
    <t>1991 APR</t>
  </si>
  <si>
    <t>1991 MAY</t>
  </si>
  <si>
    <t>1991 JUN</t>
  </si>
  <si>
    <t>1991 JUL</t>
  </si>
  <si>
    <t>1991 AUG</t>
  </si>
  <si>
    <t>1991 SEP</t>
  </si>
  <si>
    <t>1991 OCT</t>
  </si>
  <si>
    <t>1991 NOV</t>
  </si>
  <si>
    <t>1991 DEC</t>
  </si>
  <si>
    <t>1992 JAN</t>
  </si>
  <si>
    <t>1992 FEB</t>
  </si>
  <si>
    <t>1992 MAR</t>
  </si>
  <si>
    <t>1992 APR</t>
  </si>
  <si>
    <t>1992 MAY</t>
  </si>
  <si>
    <t>1992 JUN</t>
  </si>
  <si>
    <t>1992 JUL</t>
  </si>
  <si>
    <t>1992 AUG</t>
  </si>
  <si>
    <t>1992 SEP</t>
  </si>
  <si>
    <t>1992 OCT</t>
  </si>
  <si>
    <t>1992 NOV</t>
  </si>
  <si>
    <t>1992 DEC</t>
  </si>
  <si>
    <t>1993 JAN</t>
  </si>
  <si>
    <t>1993 FEB</t>
  </si>
  <si>
    <t>1993 MAR</t>
  </si>
  <si>
    <t>1993 APR</t>
  </si>
  <si>
    <t>1993 MAY</t>
  </si>
  <si>
    <t>1993 JUN</t>
  </si>
  <si>
    <t>1993 JUL</t>
  </si>
  <si>
    <t>1993 AUG</t>
  </si>
  <si>
    <t>1993 SEP</t>
  </si>
  <si>
    <t>1993 OCT</t>
  </si>
  <si>
    <t>1993 NOV</t>
  </si>
  <si>
    <t>1993 DEC</t>
  </si>
  <si>
    <t>1994 JAN</t>
  </si>
  <si>
    <t>1994 FEB</t>
  </si>
  <si>
    <t>1994 MAR</t>
  </si>
  <si>
    <t>1994 APR</t>
  </si>
  <si>
    <t>1994 MAY</t>
  </si>
  <si>
    <t>1994 JUN</t>
  </si>
  <si>
    <t>1994 JUL</t>
  </si>
  <si>
    <t>1994 AUG</t>
  </si>
  <si>
    <t>1994 SEP</t>
  </si>
  <si>
    <t>1994 OCT</t>
  </si>
  <si>
    <t>1994 NOV</t>
  </si>
  <si>
    <t>1994 DEC</t>
  </si>
  <si>
    <t>1995 JAN</t>
  </si>
  <si>
    <t>1995 FEB</t>
  </si>
  <si>
    <t>1995 MAR</t>
  </si>
  <si>
    <t>1995 APR</t>
  </si>
  <si>
    <t>1995 MAY</t>
  </si>
  <si>
    <t>1995 JUN</t>
  </si>
  <si>
    <t>1995 JUL</t>
  </si>
  <si>
    <t>1995 AUG</t>
  </si>
  <si>
    <t>1995 SEP</t>
  </si>
  <si>
    <t>1995 OCT</t>
  </si>
  <si>
    <t>1995 NOV</t>
  </si>
  <si>
    <t>1995 DEC</t>
  </si>
  <si>
    <t>1996 JAN</t>
  </si>
  <si>
    <t>1996 FEB</t>
  </si>
  <si>
    <t>1996 MAR</t>
  </si>
  <si>
    <t>1996 APR</t>
  </si>
  <si>
    <t>1996 MAY</t>
  </si>
  <si>
    <t>1996 JUN</t>
  </si>
  <si>
    <t>1996 JUL</t>
  </si>
  <si>
    <t>1996 AUG</t>
  </si>
  <si>
    <t>1996 SEP</t>
  </si>
  <si>
    <t>1996 OCT</t>
  </si>
  <si>
    <t>1996 NOV</t>
  </si>
  <si>
    <t>1996 DEC</t>
  </si>
  <si>
    <t>1997 JAN</t>
  </si>
  <si>
    <t>1997 FEB</t>
  </si>
  <si>
    <t>1997 MAR</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</si>
  <si>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</si>
  <si>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</si>
  <si>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</si>
  <si>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</si>
  <si>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</si>
  <si>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</si>
  <si>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</si>
  <si>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</si>
  <si>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</si>
  <si>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</si>
  <si>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</si>
  <si>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</si>
  <si>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</si>
  <si>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</si>
  <si>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</si>
  <si>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</si>
  <si>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</si>
  <si>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</si>
  <si>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</si>
  <si>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</si>
  <si>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</si>
  <si>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</si>
  <si>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</si>
  <si>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</si>
  <si>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</si>
  <si>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</si>
  <si>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</si>
  <si>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</si>
  <si>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</si>
  <si>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</si>
  <si>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</si>
  <si>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</si>
  <si>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</si>
  <si>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</si>
  <si>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</si>
  <si>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</si>
  <si>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</si>
  <si>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</si>
  <si>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</si>
  <si>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</si>
  <si>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</si>
  <si>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</si>
  <si>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</si>
  <si>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</si>
  <si>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</si>
  <si>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</si>
  <si>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</si>
  <si>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</si>
  <si>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</si>
  <si>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</si>
  <si>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</si>
  <si>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</si>
  <si>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</si>
  <si>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</si>
  <si>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</si>
  <si>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</si>
  <si>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</si>
  <si>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</si>
  <si>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</si>
  <si>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</si>
  <si>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</si>
  <si>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</si>
  <si>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</si>
  <si>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</si>
  <si>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</si>
  <si>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</si>
  <si>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</si>
  <si>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</si>
  <si>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</si>
  <si>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</si>
  <si>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</si>
  <si>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</si>
  <si>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</si>
  <si>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</si>
  <si>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</si>
  <si>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</si>
  <si>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</si>
  <si>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</si>
  <si>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</si>
  <si>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</si>
  <si>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</si>
  <si>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</si>
  <si>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</si>
  <si>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</si>
  <si>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</si>
  <si>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</si>
  <si>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</si>
  <si>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</si>
  <si>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</si>
  <si>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</si>
  <si>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</si>
  <si>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</si>
  <si>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</si>
  <si>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</si>
  <si>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</si>
  <si>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</si>
  <si>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</si>
  <si>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</si>
  <si>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</si>
  <si>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</si>
  <si>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</si>
  <si>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</si>
  <si>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</si>
  <si>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</si>
  <si>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</si>
  <si>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</si>
  <si>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</si>
  <si>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</si>
  <si>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</si>
  <si>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</si>
  <si>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</si>
  <si>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</si>
  <si>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</si>
  <si>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</si>
  <si>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</si>
  <si>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</si>
  <si>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</si>
  <si>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</si>
  <si>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</si>
  <si>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</si>
  <si>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</si>
  <si>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</si>
  <si>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</si>
  <si>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</si>
  <si>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</si>
  <si>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</si>
  <si>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</si>
  <si>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</si>
  <si>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</si>
  <si>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</si>
  <si>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</si>
  <si>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</si>
  <si>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</si>
  <si>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</si>
  <si>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</si>
  <si>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</si>
  <si>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</si>
  <si>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</si>
  <si>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</si>
  <si>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</si>
  <si>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</si>
  <si>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</si>
  <si>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</si>
  <si>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</si>
  <si>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</si>
  <si>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</si>
  <si>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</si>
  <si>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</si>
  <si>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</si>
  <si>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</si>
  <si>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</si>
  <si>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</si>
  <si>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</si>
  <si>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</si>
  <si>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</si>
  <si>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</si>
  <si>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</si>
  <si>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</si>
  <si>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</si>
  <si>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</si>
  <si>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</si>
  <si>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</si>
  <si>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</si>
  <si>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</si>
  <si>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</si>
  <si>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</si>
  <si>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</si>
  <si>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</si>
  <si>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</si>
  <si>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</si>
  <si>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</si>
  <si>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</si>
  <si>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</si>
  <si>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</si>
  <si>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</si>
  <si>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</si>
  <si>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</si>
  <si>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</si>
  <si>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</si>
  <si>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</si>
  <si>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</si>
  <si>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</si>
  <si>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</si>
  <si>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</si>
  <si>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</si>
  <si>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</si>
  <si>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</si>
  <si>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</si>
  <si>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</si>
  <si>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</si>
  <si>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</si>
  <si>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</si>
  <si>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</si>
  <si>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</si>
  <si>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</si>
  <si>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</si>
  <si>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</si>
  <si>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</si>
  <si>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</si>
  <si>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</si>
  <si>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</si>
  <si>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</si>
  <si>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</si>
  <si>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</si>
  <si>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</si>
  <si>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</si>
  <si>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</si>
  <si>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</si>
  <si>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</si>
  <si>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</si>
  <si>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</si>
  <si>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</si>
  <si>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</si>
  <si>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</si>
  <si>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</si>
  <si>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</si>
  <si>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</si>
  <si>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</si>
  <si>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</si>
  <si>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</si>
  <si>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</si>
  <si>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</si>
  <si>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</si>
  <si>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</si>
  <si>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</si>
  <si>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</si>
  <si>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</si>
  <si>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</si>
  <si>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</si>
  <si>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</si>
  <si>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</si>
  <si>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</si>
  <si>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</si>
  <si>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</si>
  <si>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</si>
  <si>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</si>
  <si>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</si>
  <si>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</si>
  <si>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</si>
  <si>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</si>
  <si>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</si>
  <si>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</si>
  <si>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</si>
  <si>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</si>
  <si>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</si>
  <si>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</si>
  <si>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</si>
  <si>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</si>
  <si>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</si>
  <si>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</si>
  <si>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</si>
  <si>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</si>
  <si>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</si>
  <si>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</si>
  <si>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</si>
  <si>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</si>
  <si>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</si>
  <si>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</si>
  <si>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</si>
  <si>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</si>
  <si>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</si>
  <si>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</si>
  <si>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</si>
  <si>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</si>
  <si>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</si>
  <si>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</si>
  <si>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</si>
  <si>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</si>
  <si>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</si>
  <si>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</si>
  <si>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</si>
  <si>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</si>
  <si>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</si>
  <si>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</si>
  <si>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Index Jan 1987 = 100</t>
  </si>
  <si>
    <t>Phelps-Brown and Hopkins (1981)</t>
  </si>
  <si>
    <t>Phelps-Brown &amp; Hopkins (1981) and ONS (2020)</t>
  </si>
  <si>
    <t>Energy (i.e. Fuel &amp; Light)</t>
  </si>
  <si>
    <t xml:space="preserve">Petroleum </t>
  </si>
  <si>
    <t>Gas (Town &amp; Natural)</t>
  </si>
  <si>
    <t>Price</t>
  </si>
  <si>
    <t>Prices</t>
  </si>
  <si>
    <t>Southern England (average)</t>
  </si>
  <si>
    <t>England (average)</t>
  </si>
  <si>
    <t>Units</t>
  </si>
  <si>
    <t>£(2000) per toe</t>
  </si>
  <si>
    <t>£(2000) per tonne of oil equivalent (toe)</t>
  </si>
  <si>
    <t>Source</t>
  </si>
  <si>
    <t>Fouquet (2008)</t>
  </si>
  <si>
    <t>Fouquet (2011)</t>
  </si>
  <si>
    <t>Fouquet (2011) and ONS (2020)</t>
  </si>
  <si>
    <t>Notes and Sources for the National Infrastructure's Historical Energy Data Set</t>
  </si>
  <si>
    <t>Units and Conversion Coefficients for the National Infrastructure's Historical Energy Data Set</t>
  </si>
  <si>
    <t>Refinery miscellaneous</t>
  </si>
  <si>
    <t>Processed fuel oils - residual oil</t>
  </si>
  <si>
    <t>Processed fuel oils -distillate oil</t>
  </si>
  <si>
    <t>Petrol (100% mineral petrol)</t>
  </si>
  <si>
    <t xml:space="preserve">Natural gas </t>
  </si>
  <si>
    <t>Fuel oil</t>
  </si>
  <si>
    <t xml:space="preserve">Coal </t>
  </si>
  <si>
    <t>Power stations</t>
  </si>
  <si>
    <t>https://naei.beis.gov.uk/data/</t>
  </si>
  <si>
    <t>Conversion Coefficients (from energy combustion to carbon dioxide emissions)</t>
  </si>
  <si>
    <t>Carbon Dioxide as Carbon</t>
  </si>
  <si>
    <t>NFR/CRF Group</t>
  </si>
  <si>
    <t>1A</t>
  </si>
  <si>
    <t>1A1ai</t>
  </si>
  <si>
    <t>1A1b</t>
  </si>
  <si>
    <t>1A1ci</t>
  </si>
  <si>
    <t>1A1cii</t>
  </si>
  <si>
    <t>1A1ciii</t>
  </si>
  <si>
    <t>1A2a</t>
  </si>
  <si>
    <t>1A2b</t>
  </si>
  <si>
    <t>1A2c</t>
  </si>
  <si>
    <t>1A2d</t>
  </si>
  <si>
    <t>1A2e</t>
  </si>
  <si>
    <t>1A2f</t>
  </si>
  <si>
    <t>1A2gvii</t>
  </si>
  <si>
    <t>1A2gviii</t>
  </si>
  <si>
    <t>1A3a</t>
  </si>
  <si>
    <t>1A3bi</t>
  </si>
  <si>
    <t>1A3bii</t>
  </si>
  <si>
    <t>1A3biii</t>
  </si>
  <si>
    <t>1A3biv</t>
  </si>
  <si>
    <t>1A3bv</t>
  </si>
  <si>
    <t>1A3c</t>
  </si>
  <si>
    <t>1A3d</t>
  </si>
  <si>
    <t>1A3eii</t>
  </si>
  <si>
    <t>1A4ai</t>
  </si>
  <si>
    <t>1A4bi</t>
  </si>
  <si>
    <t>1A4bii</t>
  </si>
  <si>
    <t>1A4ci</t>
  </si>
  <si>
    <t>1A4cii</t>
  </si>
  <si>
    <t>1A4ciii</t>
  </si>
  <si>
    <t>1A5b</t>
  </si>
  <si>
    <t>1B</t>
  </si>
  <si>
    <t>1B1b</t>
  </si>
  <si>
    <t>1B2a1</t>
  </si>
  <si>
    <t>1B2a2</t>
  </si>
  <si>
    <t>1B2b1</t>
  </si>
  <si>
    <t>1B2b3</t>
  </si>
  <si>
    <t>1B2b4</t>
  </si>
  <si>
    <t>1B2b5</t>
  </si>
  <si>
    <t>1B2c1i</t>
  </si>
  <si>
    <t>1B2c1ii</t>
  </si>
  <si>
    <t>1B2c2i</t>
  </si>
  <si>
    <t>1B2c2ii</t>
  </si>
  <si>
    <t>2A</t>
  </si>
  <si>
    <t>2A1</t>
  </si>
  <si>
    <t>2A2</t>
  </si>
  <si>
    <t>2A3</t>
  </si>
  <si>
    <t>2A4a</t>
  </si>
  <si>
    <t>2A4d</t>
  </si>
  <si>
    <t>2B</t>
  </si>
  <si>
    <t>2B1</t>
  </si>
  <si>
    <t>2B6</t>
  </si>
  <si>
    <t>2B7</t>
  </si>
  <si>
    <t>2B8a</t>
  </si>
  <si>
    <t>2B8c</t>
  </si>
  <si>
    <t>2B8d</t>
  </si>
  <si>
    <t>2B8f</t>
  </si>
  <si>
    <t>2B8g</t>
  </si>
  <si>
    <t>2C</t>
  </si>
  <si>
    <t>2C1a</t>
  </si>
  <si>
    <t>2C1b</t>
  </si>
  <si>
    <t>2C1d</t>
  </si>
  <si>
    <t>2C3a</t>
  </si>
  <si>
    <t>2C6</t>
  </si>
  <si>
    <t>2D</t>
  </si>
  <si>
    <t>2D1</t>
  </si>
  <si>
    <t>2D2</t>
  </si>
  <si>
    <t>2D3</t>
  </si>
  <si>
    <t>3G</t>
  </si>
  <si>
    <t>3G1</t>
  </si>
  <si>
    <t>3G2</t>
  </si>
  <si>
    <t>3H</t>
  </si>
  <si>
    <t>4A</t>
  </si>
  <si>
    <t>4A1</t>
  </si>
  <si>
    <t>4A2</t>
  </si>
  <si>
    <t>4B</t>
  </si>
  <si>
    <t>4B1</t>
  </si>
  <si>
    <t>4B2</t>
  </si>
  <si>
    <t>4C</t>
  </si>
  <si>
    <t>4C1</t>
  </si>
  <si>
    <t>4C2</t>
  </si>
  <si>
    <t>4D</t>
  </si>
  <si>
    <t>4D1</t>
  </si>
  <si>
    <t>4D2</t>
  </si>
  <si>
    <t>4E</t>
  </si>
  <si>
    <t>4F</t>
  </si>
  <si>
    <t>4F2</t>
  </si>
  <si>
    <t>4G</t>
  </si>
  <si>
    <t>5C</t>
  </si>
  <si>
    <t>5C1.2a</t>
  </si>
  <si>
    <t>5C1.2b</t>
  </si>
  <si>
    <t>Aviation_Bunkers</t>
  </si>
  <si>
    <t>Marine_Bunkers</t>
  </si>
  <si>
    <t>Miscellaneous industrial/commercial combustion</t>
  </si>
  <si>
    <t>Refineries - combustion</t>
  </si>
  <si>
    <t>Solid smokeless fuel production</t>
  </si>
  <si>
    <t>Upstream Oil Production - fuel combustion</t>
  </si>
  <si>
    <t>Upstream oil and gas production - combustion at gas separation plant</t>
  </si>
  <si>
    <t>Upstream Gas Production - fuel combustion</t>
  </si>
  <si>
    <t>Collieries - combustion</t>
  </si>
  <si>
    <t>Gas production</t>
  </si>
  <si>
    <t>Nuclear fuel production</t>
  </si>
  <si>
    <t>Town gas manufacture</t>
  </si>
  <si>
    <t>Blast furnaces</t>
  </si>
  <si>
    <t>Iron and steel - combustion plant</t>
  </si>
  <si>
    <t>Autogenerators</t>
  </si>
  <si>
    <t>Autogeneration - exported to grid</t>
  </si>
  <si>
    <t>Non-Ferrous Metal (combustion)</t>
  </si>
  <si>
    <t>Chemicals (combustion)</t>
  </si>
  <si>
    <t>Pulp, Paper and Print (combustion)</t>
  </si>
  <si>
    <t>Food &amp; drink, tobacco (combustion)</t>
  </si>
  <si>
    <t>Lime production - non decarbonising</t>
  </si>
  <si>
    <t>Other industrial combustion</t>
  </si>
  <si>
    <t>Cement production - combustion</t>
  </si>
  <si>
    <t>Industrial off-road mobile machinery</t>
  </si>
  <si>
    <t>Aircraft between UK and CDs - TOL</t>
  </si>
  <si>
    <t>Aircraft between UK and Gibraltar - TOL</t>
  </si>
  <si>
    <t>Aircraft between UK and other OTs (excl Gib. and Bermuda) - TOL</t>
  </si>
  <si>
    <t>Aircraft between UK and Bermuda - TOL</t>
  </si>
  <si>
    <t>Aircraft - domestic take off and landing</t>
  </si>
  <si>
    <t>Aircraft between UK and CDs - Cruise</t>
  </si>
  <si>
    <t>Aircraft between UK and Gibraltar - Cruise</t>
  </si>
  <si>
    <t>Aircraft between UK and other OTs (excl Gib. and Bermuda) - Cruise</t>
  </si>
  <si>
    <t>Aircraft between UK and Bermuda - Cruise</t>
  </si>
  <si>
    <t>Aircraft - domestic cruise</t>
  </si>
  <si>
    <t>Road transport - cars - rural driving</t>
  </si>
  <si>
    <t>Road transport - cars - urban driving</t>
  </si>
  <si>
    <t>Road transport - cars - motorway driving</t>
  </si>
  <si>
    <t>Road transport - LGVs - rural driving</t>
  </si>
  <si>
    <t>Road transport - LGVs - urban driving</t>
  </si>
  <si>
    <t>Road transport - LGVs - motorway driving</t>
  </si>
  <si>
    <t>Road transport - buses and coaches - rural driving</t>
  </si>
  <si>
    <t>Road transport - HGV articulated - rural driving</t>
  </si>
  <si>
    <t>Road transport - HGV rigid - rural driving</t>
  </si>
  <si>
    <t>Road transport - buses and coaches - urban driving</t>
  </si>
  <si>
    <t>Road transport - HGV articulated - urban driving</t>
  </si>
  <si>
    <t>Road transport - HGV rigid - urban driving</t>
  </si>
  <si>
    <t>Road transport - buses and coaches - motorway driving</t>
  </si>
  <si>
    <t>Road transport - HGV articulated - motorway driving</t>
  </si>
  <si>
    <t>Road transport - HGV rigid - motorway driving</t>
  </si>
  <si>
    <t>Road transport - motorcycle (&gt;50cc  4st) - rural driving</t>
  </si>
  <si>
    <t>Road transport - mopeds (&lt;50cc 2st) - urban driving</t>
  </si>
  <si>
    <t>Road transport - motorcycle (&gt;50cc  2st) - urban driving</t>
  </si>
  <si>
    <t>Road transport - motorcycle (&gt;50cc  4st) - urban driving</t>
  </si>
  <si>
    <t>Road transport - motorcycle (&gt;50cc  4st) - motorway driving</t>
  </si>
  <si>
    <t>Road transport - all vehicles LPG use</t>
  </si>
  <si>
    <t>Road transport - all vehicles biofuels use</t>
  </si>
  <si>
    <t>Railways - intercity</t>
  </si>
  <si>
    <t>Railways - regional</t>
  </si>
  <si>
    <t>Railways - freight</t>
  </si>
  <si>
    <t>Rail - coal</t>
  </si>
  <si>
    <t>Shipping - coastal</t>
  </si>
  <si>
    <t>Sailing boats with auxiliary engines</t>
  </si>
  <si>
    <t>Motorboats / workboats (e.g. canal boats, dredgers, service boats, tourist boats, river boats)</t>
  </si>
  <si>
    <t>Personal watercraft e.g. jet ski</t>
  </si>
  <si>
    <t>Inland goods-carrying vessels</t>
  </si>
  <si>
    <t>Shipping between UK and Gibraltar</t>
  </si>
  <si>
    <t>Shipping between UK and OTs (excl. Gib and Bermuda)</t>
  </si>
  <si>
    <t>Shipping between UK and Bermuda</t>
  </si>
  <si>
    <t>Shipping between UK and CDs</t>
  </si>
  <si>
    <t>Aircraft - support vehicles</t>
  </si>
  <si>
    <t>Public sector combustion</t>
  </si>
  <si>
    <t>Railways - stationary combustion</t>
  </si>
  <si>
    <t>Domestic combustion</t>
  </si>
  <si>
    <t>House and garden machinery</t>
  </si>
  <si>
    <t>Agriculture - stationary combustion</t>
  </si>
  <si>
    <t>Agriculture - mobile machinery</t>
  </si>
  <si>
    <t>Fishing vessels</t>
  </si>
  <si>
    <t>Aircraft -  military</t>
  </si>
  <si>
    <t>Shipping - naval</t>
  </si>
  <si>
    <t>Iron and steel - flaring</t>
  </si>
  <si>
    <t>Upstream Oil Production - Offshore Well Testing</t>
  </si>
  <si>
    <t>Upstream Oil Production - process emissions</t>
  </si>
  <si>
    <t>Upstream Gas Production - Offshore Well Testing</t>
  </si>
  <si>
    <t>Upstream Gas Production - process emissions</t>
  </si>
  <si>
    <t>Gas leakage</t>
  </si>
  <si>
    <t>Upstream Oil Production - venting</t>
  </si>
  <si>
    <t>Upstream Gas Production - venting</t>
  </si>
  <si>
    <t>Upstream Oil Production - flaring</t>
  </si>
  <si>
    <t>Upstream Gas Production - flaring</t>
  </si>
  <si>
    <t>Cement - decarbonising</t>
  </si>
  <si>
    <t>Lime production - decarbonising</t>
  </si>
  <si>
    <t>Glass - general</t>
  </si>
  <si>
    <t>Brick manufacture - all types</t>
  </si>
  <si>
    <t>Power stations - FGD</t>
  </si>
  <si>
    <t>Ammonia production - combustion</t>
  </si>
  <si>
    <t>Ammonia production - feedstock use of gas</t>
  </si>
  <si>
    <t>Chemical industry - titanium dioxide</t>
  </si>
  <si>
    <t>Chemical industry - soda ash</t>
  </si>
  <si>
    <t>Methanol production â€“ combustion</t>
  </si>
  <si>
    <t>Chemical industry - methanol</t>
  </si>
  <si>
    <t>Chemical Industry - ethylene dichloride</t>
  </si>
  <si>
    <t>Chemical industry - ethylene oxide</t>
  </si>
  <si>
    <t>Chemical industry - carbon black</t>
  </si>
  <si>
    <t>Basic oxygen furnaces</t>
  </si>
  <si>
    <t>Electric arc furnaces</t>
  </si>
  <si>
    <t>Ladle arc furnaces</t>
  </si>
  <si>
    <t>Sinter production</t>
  </si>
  <si>
    <t>Primary aluminium production - general</t>
  </si>
  <si>
    <t>Non-ferrous metal processes</t>
  </si>
  <si>
    <t>Industrial engines</t>
  </si>
  <si>
    <t>Road vehicle engines</t>
  </si>
  <si>
    <t>Marine engines</t>
  </si>
  <si>
    <t>Agricultural engines</t>
  </si>
  <si>
    <t>Non-aerosol products - household products</t>
  </si>
  <si>
    <t>Road transport - urea</t>
  </si>
  <si>
    <t>Non Energy Use: petroleum coke</t>
  </si>
  <si>
    <t>Liming</t>
  </si>
  <si>
    <t>Fertiliser Application</t>
  </si>
  <si>
    <t>Agriculture - application of urea</t>
  </si>
  <si>
    <t>Forest Land remaining Forest Land - Carbon stock change</t>
  </si>
  <si>
    <t>Forest Land remaining Forest Land - Biomass Burning - Wildfires</t>
  </si>
  <si>
    <t>Cropland converted to Forest Land - Carbon stock change</t>
  </si>
  <si>
    <t>Grassland converted to Forest Land - Carbon stock change</t>
  </si>
  <si>
    <t>Settlements converted to Forest Land - Carbon stock change</t>
  </si>
  <si>
    <t>Other land converted to Forest Land - Carbon stock change</t>
  </si>
  <si>
    <t>Cropland remaining Cropland - Carbon stock change</t>
  </si>
  <si>
    <t>Carbon stock change</t>
  </si>
  <si>
    <t>Forest Land converted to Cropland - Carbon stock change</t>
  </si>
  <si>
    <t>Forest Land converted to Cropland - Biomass Burning - Controlled Burning</t>
  </si>
  <si>
    <t>Grassland converted to Cropland - Carbon stock change</t>
  </si>
  <si>
    <t>Settlements converted to Cropland - Carbon stock change</t>
  </si>
  <si>
    <t>Grassland - Drainage and rewetting and other management of organic and mineral soils</t>
  </si>
  <si>
    <t>Grassland remaining Grassland - Carbon stock change</t>
  </si>
  <si>
    <t>Forest Land converted to Grassland - Carbon stock change</t>
  </si>
  <si>
    <t>Forest Land converted to Grassland - Biomass Burning - Controlled Burning</t>
  </si>
  <si>
    <t>Cropland converted to Grassland - Carbon stock change</t>
  </si>
  <si>
    <t>Wetlands converted to Grassland - Carbon stock change</t>
  </si>
  <si>
    <t>Settlements converted to Grassland - Carbon stock change</t>
  </si>
  <si>
    <t>Peat Extraction Remaining Peat Extraction - Carbon stock change</t>
  </si>
  <si>
    <t>Land converted for Peat Extraction - Carbon stock change</t>
  </si>
  <si>
    <t>Grassland converted to flooded land - Carbon stock change</t>
  </si>
  <si>
    <t>Settlements remaining Settlements - Carbon stock change</t>
  </si>
  <si>
    <t>Forest Land converted to Settlements - Biomass Burning - Controlled Burning</t>
  </si>
  <si>
    <t>Forest Land converted to Settlements - Carbon stock change</t>
  </si>
  <si>
    <t>Cropland converted to Settlements - Carbon stock change</t>
  </si>
  <si>
    <t>Grassland converted to Settlements - Carbon stock change</t>
  </si>
  <si>
    <t>Grassland converted to Other Land - Carbon stock change</t>
  </si>
  <si>
    <t>HWP Produced and Consumed Domestically - Carbon stock change</t>
  </si>
  <si>
    <t>HWP Produced and Exported - Carbon stock change</t>
  </si>
  <si>
    <t>Incineration</t>
  </si>
  <si>
    <t>Incineration - chemical waste</t>
  </si>
  <si>
    <t>Incineration - clinical waste</t>
  </si>
  <si>
    <t>Aircraft - international take off and landing</t>
  </si>
  <si>
    <t>Aircraft engines</t>
  </si>
  <si>
    <t>Aircraft - international cruise</t>
  </si>
  <si>
    <t>Shipping - international IPCC definition</t>
  </si>
  <si>
    <t>Activity</t>
  </si>
  <si>
    <t>MSW</t>
  </si>
  <si>
    <t>Burning oil</t>
  </si>
  <si>
    <t>Gas oil</t>
  </si>
  <si>
    <t>LPG</t>
  </si>
  <si>
    <t>OPG</t>
  </si>
  <si>
    <t>Orimulsion</t>
  </si>
  <si>
    <t>Petroleum coke</t>
  </si>
  <si>
    <t>Scrap tyres</t>
  </si>
  <si>
    <t>Sour gas</t>
  </si>
  <si>
    <t>Waste oils</t>
  </si>
  <si>
    <t>Liquid bio-fuels</t>
  </si>
  <si>
    <t>Petrol</t>
  </si>
  <si>
    <t>Blast furnace gas</t>
  </si>
  <si>
    <t>Colliery methane</t>
  </si>
  <si>
    <t>Waste</t>
  </si>
  <si>
    <t>Waste solvent</t>
  </si>
  <si>
    <t>SSF</t>
  </si>
  <si>
    <t>Lubricants</t>
  </si>
  <si>
    <t>Aviation spirit</t>
  </si>
  <si>
    <t>Aviation turbine fuel</t>
  </si>
  <si>
    <t>Biodiesel</t>
  </si>
  <si>
    <t>Bio-MTBE</t>
  </si>
  <si>
    <t>Anthracite</t>
  </si>
  <si>
    <t>Peat</t>
  </si>
  <si>
    <t>Vaporising oil</t>
  </si>
  <si>
    <t>Exploration drilling :amount of gas flared</t>
  </si>
  <si>
    <t>Non-fuel combustion</t>
  </si>
  <si>
    <t>Natural Gas (transmission leakage)</t>
  </si>
  <si>
    <t>Natural gas supply</t>
  </si>
  <si>
    <t>Natural Gas (leakage at point of use)</t>
  </si>
  <si>
    <t>Clinker production</t>
  </si>
  <si>
    <t>Limestone</t>
  </si>
  <si>
    <t>Dolomite</t>
  </si>
  <si>
    <t>Soda ash</t>
  </si>
  <si>
    <t>Bricks</t>
  </si>
  <si>
    <t>Gypsum produced</t>
  </si>
  <si>
    <t>Soda ash produced</t>
  </si>
  <si>
    <t>Ethylene dichloride</t>
  </si>
  <si>
    <t>Ethylene oxide</t>
  </si>
  <si>
    <t>Carbon black capacity</t>
  </si>
  <si>
    <t>Steel production (electric arc)</t>
  </si>
  <si>
    <t>Steel production (oxygen converters)</t>
  </si>
  <si>
    <t>Primary aluminium production</t>
  </si>
  <si>
    <t>Petroleum waxes</t>
  </si>
  <si>
    <t>Urea consumption</t>
  </si>
  <si>
    <t>Urea Application</t>
  </si>
  <si>
    <t>Biomass</t>
  </si>
  <si>
    <t>Chemical waste</t>
  </si>
  <si>
    <t>Clinical waste</t>
  </si>
  <si>
    <t>kilotonne</t>
  </si>
  <si>
    <t>1 t.o.e (tonne of oil equivalent) =</t>
  </si>
  <si>
    <t>GJ</t>
  </si>
  <si>
    <t>Carbon Dioxide as Carbon by Energy Source</t>
  </si>
  <si>
    <t>Coal (electricity generation)</t>
  </si>
  <si>
    <t xml:space="preserve">Aviation Spirit </t>
  </si>
  <si>
    <t xml:space="preserve">Aviation turbine fuel1 </t>
  </si>
  <si>
    <t>LNG6  (Exergia et al., 2014)</t>
  </si>
  <si>
    <t xml:space="preserve">Waste oils </t>
  </si>
  <si>
    <t>GJ per tonne of average petroleum products</t>
  </si>
  <si>
    <t>(Note: missing values denoted by ".")</t>
  </si>
  <si>
    <t>https://cdiac.ess-dive.lbl.gov/trends/emis/tre_coun.html</t>
  </si>
  <si>
    <t>Marland, G., T.A. Boden, and R.J. Andres. 2008. Global, Regional, and National Fossil Fuel CO2 Emissions. In Trends: A Compendium of Data on Global Change. Carbon Dioxide Information Analysis Center, Oak Ridge National Laboratory, U.S. Department of Energy, Oak Ridge, Tenn., U.S.A.</t>
  </si>
  <si>
    <t>Total CO2 emissions from fossil-fuels and cement production (thousand metric tons of C)</t>
  </si>
  <si>
    <t>Per capita CO2 emissions (metric tons of carbon)</t>
  </si>
  <si>
    <t>thousand tonnes of carbon</t>
  </si>
  <si>
    <t>.</t>
  </si>
  <si>
    <t>Other fuels</t>
  </si>
  <si>
    <t>Non-fuel</t>
  </si>
  <si>
    <t>https://data.gov.uk/dataset/9a1e58e5-d1b6-457d-a414-335ca546d52c/provisional-uk-greenhouse-gas-emissions-national-statistics</t>
  </si>
  <si>
    <t>Table 2: UK carbon dioxide emissions by fuel type, 1990-2018</t>
  </si>
  <si>
    <t>BEIS (2019)</t>
  </si>
  <si>
    <t>solid fuel consumption</t>
  </si>
  <si>
    <t>liquid fuel consumption</t>
  </si>
  <si>
    <t>gas fuel consumption</t>
  </si>
  <si>
    <t>cement production</t>
  </si>
  <si>
    <t>gas flaring</t>
  </si>
  <si>
    <t>bunker fuels (not included in the totals)</t>
  </si>
  <si>
    <t>CO2 emissions from fossil-fuels and cement production (thousand metric tons of C)</t>
  </si>
  <si>
    <t>CO2 emissions from fossil-fuels (thousand metric tons of C)</t>
  </si>
  <si>
    <t>Coal (average)</t>
  </si>
  <si>
    <t>GJ per tonne</t>
  </si>
  <si>
    <t>BEIS (2019), Marland (2008), and this website</t>
  </si>
  <si>
    <t>BEIS (2019b)</t>
  </si>
  <si>
    <t>To convert carbon content to carbon dioxide, multiply by the ratio of the molecular weight of carbon dioxide to that of carbon (44/12)</t>
  </si>
  <si>
    <t>Unadjusted</t>
  </si>
  <si>
    <t>unadjusted</t>
  </si>
  <si>
    <t>Heavy</t>
  </si>
  <si>
    <t>2010=100</t>
  </si>
  <si>
    <t>fuel oil</t>
  </si>
  <si>
    <t>GDP deflator</t>
  </si>
  <si>
    <t>YEARLY FIGURES</t>
  </si>
  <si>
    <t>Current fuel price index numbers</t>
  </si>
  <si>
    <t>Fuel price index numbers relative to the GDP deflator</t>
  </si>
  <si>
    <t>CCL starts April</t>
  </si>
  <si>
    <t>annual</t>
  </si>
  <si>
    <t>10 year</t>
  </si>
  <si>
    <t>5 year</t>
  </si>
  <si>
    <t>GDP updated on 11 November 2019</t>
  </si>
  <si>
    <t>Data may have changed due to ONS now using 2016=100, BEIS rebase to 2010=100</t>
  </si>
  <si>
    <t>Highlighted deflator figures in the above changed in line with ONS revisions</t>
  </si>
  <si>
    <t>Return to Contents Page</t>
  </si>
  <si>
    <t>https://www.gov.uk/government/collections/industrial-energy-prices</t>
  </si>
  <si>
    <t>Real Industrial Energy Prices Pence Per Therm</t>
  </si>
  <si>
    <t>Nominal Industrial Energy Prices Pence Per Therm</t>
  </si>
  <si>
    <t>GDP Deflator at Market Prices</t>
  </si>
  <si>
    <t>Other Industry</t>
  </si>
  <si>
    <t>2013 = 100, based on GB+NI measure</t>
  </si>
  <si>
    <t>DTI (1994) EP65 Energy Demand Modelling: Other Industries p.33</t>
  </si>
  <si>
    <t>Bank of England (2019) Millenium Data Set</t>
  </si>
  <si>
    <t xml:space="preserve">Nominal Industrial Energy Prices </t>
  </si>
  <si>
    <t>Fuel Oil</t>
  </si>
  <si>
    <t>Electricity Prices</t>
  </si>
  <si>
    <t>Pithead prices</t>
  </si>
  <si>
    <t>Average c.i.f</t>
  </si>
  <si>
    <t>IMPORT VALUE (PRE-RETAIL AND TAX)</t>
  </si>
  <si>
    <t>Factories</t>
  </si>
  <si>
    <t>£ per tonne of oil equivalent (toe)</t>
  </si>
  <si>
    <t>£ per ton</t>
  </si>
  <si>
    <t>£ per kWh</t>
  </si>
  <si>
    <t>d per kWh</t>
  </si>
  <si>
    <t>Million kWh</t>
  </si>
  <si>
    <t>£ thousands</t>
  </si>
  <si>
    <t>MoFP (1950) Digest of United Kingdom Energy Statistics p.179</t>
  </si>
  <si>
    <t>MoP (1961) p.147</t>
  </si>
  <si>
    <t>MoFP (1950) Digest of United Kingdom Energy Statistics p.118</t>
  </si>
  <si>
    <t>MoFP (1951) Digest of United Kingdom Energy Statistics p.143, MoFP (1953) Digest of United Kingdom Energy Statistics p.129</t>
  </si>
  <si>
    <t>MoFP (1950) Digest of United Kingdom Energy Statistics</t>
  </si>
  <si>
    <t>Supple p8, Ashworth p.682, Hatcher (1986 p.573)</t>
  </si>
  <si>
    <t>1 tonne of oil equivalent =</t>
  </si>
  <si>
    <t>Pence per litre</t>
  </si>
  <si>
    <t>Motor spirit (2)</t>
  </si>
  <si>
    <t>Standard grade</t>
  </si>
  <si>
    <t>2 star</t>
  </si>
  <si>
    <t>4star/LRP (5)</t>
  </si>
  <si>
    <t>Super unleaded</t>
  </si>
  <si>
    <t>Premium unleaded</t>
  </si>
  <si>
    <t>fuel (2)(3)</t>
  </si>
  <si>
    <t>burning oil (4)</t>
  </si>
  <si>
    <t>oil (4)</t>
  </si>
  <si>
    <t>January</t>
  </si>
  <si>
    <t>Annual</t>
  </si>
  <si>
    <t>% change</t>
  </si>
  <si>
    <t>https://www.gov.uk/government/statistical-data-sets/oil-and-petroleum-products-annual-statistics</t>
  </si>
  <si>
    <t>Motor Spirit (&amp; Aviation)</t>
  </si>
  <si>
    <t>£/ton</t>
  </si>
  <si>
    <t>1921-1960</t>
  </si>
  <si>
    <t>Price (Motor Spirit)</t>
  </si>
  <si>
    <t>d/gallon</t>
  </si>
  <si>
    <t>Stats Abs (1926) c2620</t>
  </si>
  <si>
    <t>1910-1924</t>
  </si>
  <si>
    <t>Stats Abs (1915) p262</t>
  </si>
  <si>
    <t>1903-1914</t>
  </si>
  <si>
    <t>p/litre</t>
  </si>
  <si>
    <t>consumer tax of 30d from April 30 - 50% rebate for commerical vehicles and taxis</t>
  </si>
  <si>
    <t>In May, dock strike and transport difficulties, official prices unrealistic</t>
  </si>
  <si>
    <t xml:space="preserve">A second quality petrol for 2d/ gallon extra </t>
  </si>
  <si>
    <t>Tax raised to 6d</t>
  </si>
  <si>
    <t>First ex-pump prices</t>
  </si>
  <si>
    <t>Consumers tax removed</t>
  </si>
  <si>
    <t>Duty of 4d/g on light hydrocarbon oils</t>
  </si>
  <si>
    <t>In April, duty raised to 6d/g, and, in September, raised to 8d/g</t>
  </si>
  <si>
    <t>Only Pool Petrol. Rationing introduced on 23 September. Retail dealers margins adjusted from 2.5d/g to 3.25d/g to compensate for reduced sales</t>
  </si>
  <si>
    <t>New price schedules &amp; zonal system (based on distance from importing centre). Fixed prices imposed in Sep 1939, becomes maximum prices</t>
  </si>
  <si>
    <t>Duty raised to 18d/g (April 18). Rationing ends (May 23)</t>
  </si>
  <si>
    <t>Duty raised to 22.5d/g (April 11).</t>
  </si>
  <si>
    <t>Duty raised to 30d/g (March 12)</t>
  </si>
  <si>
    <t>Premier and Standard Petrol available. Premier figures used here.</t>
  </si>
  <si>
    <t>Institute of Petroleum</t>
  </si>
  <si>
    <t>Bank of England (2018)</t>
  </si>
  <si>
    <t>Consumer Price Index (CPI)</t>
  </si>
  <si>
    <t>Index 2015 = 100</t>
  </si>
  <si>
    <t>Pence (2015) per litre</t>
  </si>
  <si>
    <t>Woodfuel</t>
  </si>
  <si>
    <t>4star/LRP/Premium Unleaded (from 1990)</t>
  </si>
  <si>
    <t>Notes about Price Series</t>
  </si>
  <si>
    <t>2.1.2 Retail Prices Index: Fuel &amp; Light Series 1947-2004</t>
  </si>
  <si>
    <t>3.1.2 UK carbon dioxide emissions by end user and fuel type, 1990-2018</t>
  </si>
  <si>
    <t>2.3.1 Fuel price indices for the industrial sector 1900-2018</t>
  </si>
  <si>
    <t>2.3.3 Fuel price indices for the industrial sector 1900-1992</t>
  </si>
  <si>
    <t>Mills</t>
  </si>
  <si>
    <t>Biomass (Provender/Fodder)</t>
  </si>
  <si>
    <t>Used to generate power and transport</t>
  </si>
  <si>
    <t>Source: Fouquet (2008)</t>
  </si>
  <si>
    <t>Source: From 1990 - BEIS (2019); pre-1990 - Fouquet (2008)</t>
  </si>
  <si>
    <t>Thermal</t>
  </si>
  <si>
    <t>(deep geothermal and heat pumps)</t>
  </si>
  <si>
    <t>(*)</t>
  </si>
  <si>
    <t>Source: Pre-1950: Fouquet (2008)</t>
  </si>
  <si>
    <t>1.5.1 Historic Inland Deliveries of Petroleum Products 1870 - 2018 (1) (2)</t>
  </si>
  <si>
    <t>2.1.2 Retail Prices Index: Fuel &amp; Light Series: 1947 to 2004 (Jan 1987=100)</t>
  </si>
  <si>
    <t>Source: ONS (2020)</t>
  </si>
  <si>
    <r>
      <t>2.2.2 Typical retail prices of petroleum products</t>
    </r>
    <r>
      <rPr>
        <b/>
        <vertAlign val="superscript"/>
        <sz val="14"/>
        <rFont val="Arial"/>
        <family val="2"/>
      </rPr>
      <t>(1)</t>
    </r>
    <r>
      <rPr>
        <b/>
        <sz val="14"/>
        <rFont val="Arial"/>
        <family val="2"/>
      </rPr>
      <t xml:space="preserve"> 1954 to 2020</t>
    </r>
  </si>
  <si>
    <t>Source: BEIS (2020)</t>
  </si>
  <si>
    <t>Fuel price indices for the industrial sector including CCL</t>
  </si>
  <si>
    <t>2.3.2 Fuel price indices for the industrial sector excluding CCL</t>
  </si>
  <si>
    <t>Source: DTI (1994), Ministry of Fuel and Power (1950, 1961)</t>
  </si>
  <si>
    <t>3.1.1 UK carbon dioxide emissions by fuel type, 1700-2018</t>
  </si>
  <si>
    <t>Source: BEIS (2019b), Marland et al (2008)</t>
  </si>
  <si>
    <t>Source: BEIS (2019a)</t>
  </si>
  <si>
    <t>This dataset focuses on national historical energy consumption, energy prices and carbon dioxide emissions.</t>
  </si>
  <si>
    <t>Nevertheless, quality control of the data was an integral part of this project and took place during the data collection, data entry and digitisation, and data checking. With the objective of quality assurance in mind, every effort has been made to replicate the data as represented in the original documents.</t>
  </si>
  <si>
    <t>This dataset was prepared by Roger Fouquet (Grantham Research Institute on Climate Change and the Environment, London School of Economics and Political Science), and was finalised on 31 March 2020.</t>
  </si>
  <si>
    <t xml:space="preserve">A selection of estimated average gross calorific values The following selection of estimated average gross calorific values apply to 2018. (For further information and more detailed calorific values see BEIS (2019) Digest of United Kingdom Energy Statistics). </t>
  </si>
  <si>
    <t xml:space="preserve">It is possible to measure carbon dioxide emissions by recording the emissions at source or by estimating the amount emitted using the amount of fuel used and applying conversion factors that take account of the calorific content of energy sources and the associated emission factors for particular energy sources. This latter approach is the most commonly used method. </t>
  </si>
  <si>
    <t>kgCO2e/GJ</t>
  </si>
  <si>
    <t>Energy Source:</t>
  </si>
  <si>
    <t>Emission Factor:</t>
  </si>
  <si>
    <t>Coal (domestic)</t>
  </si>
  <si>
    <t xml:space="preserve">Gas oil  </t>
  </si>
  <si>
    <t xml:space="preserve">LPG  </t>
  </si>
  <si>
    <t xml:space="preserve">Lubricants </t>
  </si>
  <si>
    <t xml:space="preserve">Marine fuel oil  </t>
  </si>
  <si>
    <t xml:space="preserve">Marine gas oil  </t>
  </si>
  <si>
    <t xml:space="preserve">Naphtha </t>
  </si>
  <si>
    <t xml:space="preserve">Other petroleum gas </t>
  </si>
  <si>
    <t>Coal (Power stations)</t>
  </si>
  <si>
    <t>Coal (Industrial)</t>
  </si>
  <si>
    <t>Coal (Coking)</t>
  </si>
  <si>
    <t>CNG</t>
  </si>
  <si>
    <t xml:space="preserve">Each category has a first worksheet ending in the suffix LR to denote the long run series for this category (e.g. 1.3.1 CoalLR). This LR worksheet brings together data from other worksheets (with names ending with 1, 2 or 3 (e.g. 1.3.2 Coal1, 1.3.3 Coal2, 1.3.4 Coal3)), often relating to different historical periods. The best way to identify these interlinkages is to click on particular cells, and see from which worksheet the values come. Thus, the first worksheet (which ends in LR) is the main table for each category and the other tables indicate the original data source. </t>
  </si>
  <si>
    <t>Linking Prest (1955) and Church (1986)</t>
  </si>
  <si>
    <t>Based on 1903 ratio</t>
  </si>
  <si>
    <t>Assumed that, before 1887, no coke was consumed in households</t>
  </si>
  <si>
    <t>Church (1986) p. 19 and Flinn (1986) p.252</t>
  </si>
  <si>
    <t>Church (1986) p. 19 and Flinn (1986) p.253</t>
  </si>
  <si>
    <t>Church (1986) p. 19 and Flinn (1986) p.254</t>
  </si>
  <si>
    <t>Church (1986) p. 19 and Flinn (1986) p.255</t>
  </si>
  <si>
    <t>Church (1986) p. 19 and Flinn (1986) p.256</t>
  </si>
  <si>
    <t>Church (1986) p. 19 and Flinn (1986) p.257</t>
  </si>
  <si>
    <t>Church (1986) p. 19 and Flinn (1986) p.258</t>
  </si>
  <si>
    <t>Church (1986) p. 19 and Flinn (1986) p.259</t>
  </si>
  <si>
    <t>Church (1986) p. 19 and Flinn (1986) p.260</t>
  </si>
  <si>
    <t>Church (1986) p. 19 and Flinn (1986) p.261</t>
  </si>
  <si>
    <t>Church (1986) p. 19 and Flinn (1986) p.262</t>
  </si>
  <si>
    <t>Church (1986) p. 19 and Flinn (1986) p.263</t>
  </si>
  <si>
    <t xml:space="preserve">Source: </t>
  </si>
  <si>
    <t>See Tables 1.3.2, 1.3.3, 1.3.4</t>
  </si>
  <si>
    <t>See Tables 1.4.2, 1.4.3</t>
  </si>
  <si>
    <t>See Tables 1.6.2, 1.6.3</t>
  </si>
  <si>
    <t>https://www.gov.uk/government/statistical-data-sets/historical-coke-and-breeze-data-coal-carbonized-and-coke-and-breeze-produced-at-coke-ovens</t>
  </si>
  <si>
    <t>https://www.gov.uk/government/statistical-data-sets/crude-oil-and-petroleum-production-imports-and-exports</t>
  </si>
  <si>
    <t>https://www.gov.uk/government/statistical-data-sets/historical-gas-data-gas-production-and-consumption-and-fuel-input</t>
  </si>
  <si>
    <t>BEIS (2019a) Digest of United Kingdom Energy Statistics. HMSO. London. See Also DUKES 60th Year Anniversary and Appendix A. https://www.gov.uk/government/statistics/renewable-sources-of-energy-chapter-6-digest-of-united-kingdom-energy-statistics-dukes</t>
  </si>
  <si>
    <t xml:space="preserve">Below are a list of references and additional readings of potential interests and relevance to users of the historical energy data set: </t>
  </si>
  <si>
    <t>Allen, R.C. (2007) Pessimism Preserved: Real Wages in the British Industrial Revolution. Economics Series Working Papers 314. University of Oxford. Department of Economics. http://www.nuffield.ox.ac.uk/General/Members/allen.aspx</t>
  </si>
  <si>
    <t>Allen, R.C. (2009) The British Industrial Revolution in Global Perspective, Cambridge University Press, Cambridge.</t>
  </si>
  <si>
    <t xml:space="preserve">Ashworth, W. (1987) The History of the British Coal Industry. Vol 5. 1946-1987. The Nationalized Industry. Clarendon Press. Oxford. </t>
  </si>
  <si>
    <t>Bagwell, P.S. (1974) The Transport Revolution from 1770. B.T. Batsford. London.</t>
  </si>
  <si>
    <t xml:space="preserve">Bank of England (2017) A Millennium of Macroeconomic Data. https://www.bankofengland.co.uk/statistics/research-datasets </t>
  </si>
  <si>
    <t>BEIS (2019b) Historical coal data: coal production, availability and consumption 1853 to 2018.</t>
  </si>
  <si>
    <t>BEIS (2019c) Historical coke and breeze data: coal carbonized and coke and breeze produced at coke ovens 1920 to 2018.</t>
  </si>
  <si>
    <t>BEIS (2019d) Crude oil and petroleum: production, imports and exports 1890 to 2018</t>
  </si>
  <si>
    <t>BEIS (2019e) Historical gas data: gas production and consumption and fuel input 1920 to 2018</t>
  </si>
  <si>
    <t>BEIS (2019f) Historical electricity data: 1920 to 2018</t>
  </si>
  <si>
    <t>https://www.gov.uk/government/statistical-data-sets/historical-electricity-data</t>
  </si>
  <si>
    <t>BEIS (2019g) Provisional uk greenhouse gas emissions national statistics.  https://data.gov.uk/dataset/9a1e58e5-d1b6-457d-a414-335ca546d52c/provisional-uk-greenhouse-gas-emissions-national-statistics</t>
  </si>
  <si>
    <t xml:space="preserve">BEIS (2019h) UK carbon dioxide emissions by end user and fuel type, 1990-2018. https://naei.beis.gov.uk/data/ </t>
  </si>
  <si>
    <t>BEIS (2020a) Annual January prices of road fuels and petroleum products.</t>
  </si>
  <si>
    <t>Beveridge, W. (1894) Prices and Wages in England: From the Twelfth to the Nineteenth Century. London: Longmans, Green and Co.</t>
  </si>
  <si>
    <t>Bowler, C. and P. Brimblecombe (2000) ‘Control of air pollution in Manchester prior to the Public Health Act, 1875.’ Environment and History 6(1) 71–98.</t>
  </si>
  <si>
    <t>BPP: British Parliamentary Papers (1816) Reports of the Select Committee Report on the Gas Industry. Irish University Press. Shannon, Ireland.</t>
  </si>
  <si>
    <t>BPP: British Parliamentary Papers (1873) Reports of the Select Committee Report on Dearness and Scarcity of Coal. Irish University Press. Shannon, Ireland.</t>
  </si>
  <si>
    <t>BPP: British Parliamentary Papers (1896) Reports of the Select Committee Report on Petroleum. Irish University Press. Shannon, Ireland.</t>
  </si>
  <si>
    <t>BPP: British Parliamentary Papers (1902) Coal Statistical Tables. Irish University Press. Shannon, Ireland.</t>
  </si>
  <si>
    <t>BPP: British Parliamentary Papers (1914) Mines and Quarries Statistical Tables. Irish University Press. Shannon, Ireland.</t>
  </si>
  <si>
    <t>BPP: British Parliamentary Papers (1915) Statistical Abstract. Irish University Press. Shannon, Ireland.</t>
  </si>
  <si>
    <t>BPP: British Parliamentary Papers (1926) Coal Statistical Tables. Irish University Press. Shannon, Ireland.</t>
  </si>
  <si>
    <t xml:space="preserve">Bright, A.A. (1949) The Electric Lamp Industry: Technological Change and Economic Development from 1800 to 1947. Macmillan. London. </t>
  </si>
  <si>
    <t>Brimblecombe, P. (1987) The Big Smoke: A History of Air Pollution in London Since Medieval Times. Methuen. London.</t>
  </si>
  <si>
    <t>Byatt, I.C.R. (1979) The British Electrical Industry 1875–1914. Clarendon Press. Oxford.</t>
  </si>
  <si>
    <t xml:space="preserve">Campbell, B.M.S. (2003) ‘The uses and exploitation of human power from the thirteenth to the eighteenth century’ in Cavaciocchi, S. (ed.) Economia e Energia. Le Monnier. Florence.  </t>
  </si>
  <si>
    <t>Chartres, J. and G. Turnbull (1983) ‘Road transport’ in Aldcroft, D. and M. Freeman (eds) Transport in the Industrial Revolution. Manchester University Press. Manchester.</t>
  </si>
  <si>
    <t>Church, R. (1987) The History of the British Coal Industry. Vol 3. 1830–1913. Clarendon Press. Oxford.</t>
  </si>
  <si>
    <t>Church, R. (1989) ‘Production, employment and labour productivity in the British coalfields, 1830–1913: some reinterpretations.’ Business History 31 7–27.</t>
  </si>
  <si>
    <t>Clark, G. (2007) The long march of history: Farm wages, population, and economic growth, England 1209-1869. Economic History Review 60(1): 97-135. http://www.econ.ucdavis.edu/faculty/gclark/papers/Agprice.pdf</t>
  </si>
  <si>
    <t>Cowan, R. (1990) ‘Nuclear power reactors: a study in technological lock in.’ Journal of Economic History 50 541–67.</t>
  </si>
  <si>
    <t xml:space="preserve">Crafts, N.F.R. (2004) ‘Steam as a general purpose technology: a growth accounting perspective.’ The Economic Journal 114(3).  </t>
  </si>
  <si>
    <t>Davidson, C. (1986) A Woman’s Work is Never Done: a History of Housework in the British Isles 1650–1950. Chatto &amp; Windus. London.</t>
  </si>
  <si>
    <t>Devine, W.D. (1983) From shaft to wires: historical perspective on electrification, Journal of Economic History 43(2) 347–372.</t>
  </si>
  <si>
    <t>Falkus, M.E. (1967). ‘The British gas industry before 1850.’ Economic History Review 20 494–508.</t>
  </si>
  <si>
    <t>Falkus M.E. (1982) ‘The early development of the British Gas Industry, 1790–1815.’ Economic History Review 35 217–34.</t>
  </si>
  <si>
    <t>Flinn, M.W. (1959) ‘Timber and the advance of technology.’ Annals of Science 15 17–29.</t>
  </si>
  <si>
    <t>Flinn M.W. (1984) The History of the British Coal Industry. Vol 2. 1700-1830. Oxford: Clarendon Press.</t>
  </si>
  <si>
    <t xml:space="preserve">Fouquet, R. (2008) Heat, Power and Light: Revolutions in Energy Services. Edward Elgar Publications. Cheltenham, UK, and Northampton, MA, USA. </t>
  </si>
  <si>
    <t>Fouquet, R. (2010) ‘The slow search for solutions: lessons from historical energy transitions by sector and service.’ Energy Policy 38(11) 6586-96.</t>
  </si>
  <si>
    <t xml:space="preserve">Fouquet, R. (2011) ‘Divergences in long run trends in the prices of energy and energy services.’ Review of Environmental Economics and Policy 5(2) 196-218.  </t>
  </si>
  <si>
    <t xml:space="preserve">Fouquet, R. (2011) ‘Long run trends in energy-related external costs.’ Ecological Economics 70(12) 2380-9.  </t>
  </si>
  <si>
    <t xml:space="preserve">Fouquet, R. (2012) ‘Trends in income and price elasticities of transport demand (1850-2010).’ Energy Policy 50: 50-61. </t>
  </si>
  <si>
    <t xml:space="preserve">Fouquet, R. (2012) ‘The demand for environmental quality in driving transitions to low-polluting energy sources.’ Energy Policy 50: 130-41. </t>
  </si>
  <si>
    <t xml:space="preserve">Fouquet, R. (2014) ‘Long run demand for energy services: income and price elasticities over 200 years.’ Review of Environmental Economics and Policy 8(2) 186-207. </t>
  </si>
  <si>
    <t xml:space="preserve">Fouquet, R. (2016) ‘Lessons from Energy History for Climate Policy: Technological Change, Demand and Economic Development.’ Energy Research &amp; Social Science 22 79-93. </t>
  </si>
  <si>
    <t>Fouquet, R. (2016) ‘Historical energy transitions: Speed, prices and system transformation.’ Energy Research &amp; Social Science 22 7-12.</t>
  </si>
  <si>
    <t>Fouquet, R. (2018) ‘Consumer surplus from energy transitions.’ The Energy Journal 39(3) 167-88.</t>
  </si>
  <si>
    <t xml:space="preserve">Fouquet, R. and P.J.G. Pearson (1998) A thousand years of energy use in the United Kingdom, The Energy Journal 19(4) 1-41. </t>
  </si>
  <si>
    <t>Fouquet, R. and P.J.G. Pearson (2003) ‘Five centuries of energy prices.’ World Economics 4(3) 93-119.</t>
  </si>
  <si>
    <t>Fouquet, R. and P.J.G. Pearson (2006) 'Seven centuries of energy services: the price and use of lighting in the United Kingdom (1300-2000).' The Energy Journal 27(1) 139-77.</t>
  </si>
  <si>
    <t xml:space="preserve">Fouquet, R. and P.J.G. Pearson (2012) ‘Past and Prospective Energy Transitions: Insights from History.’ Editorial for Energy Policy (Special Issue on Past and Prospective Energy Transitions) 50: 1-7. </t>
  </si>
  <si>
    <t>Fouquet, R. and P.J.G. Pearson (2012) ‘The long run demand for lighting: elasticities and rebound effects in different phases of economic development.’ Economics of Energy and Environmental Policy 1(1) 83-100.</t>
  </si>
  <si>
    <t>Gerhold, D. (1993) ‘Packhorses and wheeled vehicles in England, 1550–1800.’ Journal of Transport History 14 1–26.</t>
  </si>
  <si>
    <t>Hammersley, G. (1973) ‘The charcoal industry and its fuel 1540–1750.’ Economic History Review 26 593–613.</t>
  </si>
  <si>
    <t>Hannah, L. (1979). Electricity Before Nationalisation. Cambridge University Press. Cambridge.</t>
  </si>
  <si>
    <t xml:space="preserve">Hatcher, J. (1993) The History of the British Coal Industry. Volume I. Oxford: Clarendon Press. </t>
  </si>
  <si>
    <t>Jevons, W.S. (1865) The Coal Question. Macmillan. London.</t>
  </si>
  <si>
    <t>Kander, A. Malanima, P. Ward, P. (2013) Power to the People: Energy in Europe over the Last Five Centuries, Princeton University Press, Princeton, NJ.</t>
  </si>
  <si>
    <t>Kanefsky, J.W. (1979a) The Diffusion of Power Technology in British Industry, 1760–1870. PhD Thesis. University of Exeter.</t>
  </si>
  <si>
    <t>Kanefsky, J.W. (1979b) ‘Motive Power in the British Industry and the Accuracy of the 1870 Factory Return.’ Economic History Review 32(3) 360–75.</t>
  </si>
  <si>
    <t>King, A.L. (1952) ‘Statistics relating to the petroleum industry, with particular reference to the United Kingdom.’ Journal of the Royal Statistical Society 115(4) 534–65.</t>
  </si>
  <si>
    <t>King, P. (2005) ‘The production and consumption of bar iron in early modern England and Wales.’ Economic History Review 58(1) 1–33.</t>
  </si>
  <si>
    <t>Langdon, J. (2005) Mills in the Medieval Economy: England 1300–1540. Oxford University Press. Oxford.</t>
  </si>
  <si>
    <t xml:space="preserve">Marland, G., T.A. Boden, and R.J. Andres. 2008. Global, Regional, and National Fossil Fuel CO2 Emissions. In Trends: A Compendium of Data on Global Change. Carbon Dioxide Information Analysis Center, Oak Ridge National Laboratory, U.S. Department of Energy, Oak Ridge, Tenn., U.S.A. https://cdiac.ess-dive.lbl.gov/trends/emis/tre_coun.html </t>
  </si>
  <si>
    <t>Miller, K. (1994) Other Industry Sector Energy Model. Report for Economics and Statistics Branch. Department of Trade and Industry. London.</t>
  </si>
  <si>
    <t>Mitchell, B.R. (1984) Economic Development of the British Coal Industry 1800–1914. Cambridge University Press. Cambridge</t>
  </si>
  <si>
    <t xml:space="preserve">Mitchell, B.R. (1988) British Historical Statistics. Cambridge: Cambridge University Press. </t>
  </si>
  <si>
    <t>Mokyr, J. (2000) ‘Why “more work for mother?” Knowledge and household behavior, 1870–1945.’ Journal of Economic History 60(1) 1–41.</t>
  </si>
  <si>
    <t>Mosley, S. (2001) The Chimney of the World: A History of Smoke Pollution in Victorian and Edwardian Manchester. The White Horse Press. Brighton.</t>
  </si>
  <si>
    <t>Musson, A.E. (1976) ‘Industrial motive power in Britain 1800–70.’ Economic History Review 29 415–39.</t>
  </si>
  <si>
    <t xml:space="preserve">National Archives (2017) Copyright-Related Rights https://www.nationalarchives.gov.uk/documents/information-management/copyright-related-rights.pdf </t>
  </si>
  <si>
    <t>Nef, J.U. (1926) The Rise of the British Coal Industry. Volume I–II. London: Routledge and Sons.</t>
  </si>
  <si>
    <t>O'Dea, W.T. (1958) The Social History of Lighting. Routledge &amp; Kegan Paul Ltd. London.</t>
  </si>
  <si>
    <t>Phelps-Brown, H. and S.V. Hopkins (1956) ‘Seven centuries of the prices of consumables, compared with builders’ wage-rates.’ Economica 23 92–110.</t>
  </si>
  <si>
    <t>Pollard, S. (1980) ‘A new estimate of British coal production, 1750–1850.’ Economic History Review 33(2) 212–35</t>
  </si>
  <si>
    <t xml:space="preserve">Ray, G. (1979) ‘Energy economics – a random walk in history.’ Energy Economics 1(3) 139–43. </t>
  </si>
  <si>
    <t>Ray, G. (1983) ‘Energy and the long cycles.’ Energy Economics 5(1) 3–8.</t>
  </si>
  <si>
    <t>Schivelbusch, W. (1988) Disenchanted Night: The Industrialization of Light in the Nineteenth Century. Berg. Oxford.</t>
  </si>
  <si>
    <t xml:space="preserve">Smil, V. (1994) Energy in World History. Westview Press. Boulder, CO.  </t>
  </si>
  <si>
    <t xml:space="preserve">Supple, B. (1987) The History of the British Coal Industry. Vol. 4. 1914–1945. The Political Economy of Decline. Clarendon Press. Oxford.  </t>
  </si>
  <si>
    <t>Thompson, F.M.L. (1976) ‘Nineteenth century horse-sense.’ Economic History Review 39(1) 60–81.</t>
  </si>
  <si>
    <t>Thorsheim, P. (2002) ‘The paradox of smokeless fuels: gas, coke and the environment in Britain, 1813–1949.’ Environment and History 8 381–401.</t>
  </si>
  <si>
    <t>Turvey, R. (2005) ‘Horse traction in Victorian London.’ Journal of Transport History 26(2) 38–59.</t>
  </si>
  <si>
    <t>van de Ven, D.J. and Fouquet, R. (2017) ‘Historical Energy Price Shocks and their Changing Effects on the Economy.’ Energy Economics 62 204-216.</t>
  </si>
  <si>
    <t>von Tunzlemann, G.N. (1995) Technology and Industrial Progress. Edward Elgar. Aldershot, UK and Brookfield, US.</t>
  </si>
  <si>
    <t>Warde, P. (2007) Energy Consumption in England &amp; Wales, 1560-2004. CNR. Naples.</t>
  </si>
  <si>
    <t>Williams, T.I. (1981) A History of the British Gas Industry. Oxford University Press. Oxford.</t>
  </si>
  <si>
    <t>Wrigley, E.A. (1962) ‘The supply of raw materials in the industrial revolution.’ Economic History Review 15(1) 1–16.</t>
  </si>
  <si>
    <t>Wrigley, E.A. (1988) Continuity, Chance and Change: The Character of the Industrial Revolution in England. Cambridge University Press. Cambridge.</t>
  </si>
  <si>
    <t>Wrigley, E.A. (201) Energy and the English Industrial Revolution. Cambridge University Press, Cambridge.</t>
  </si>
  <si>
    <t>Appendix A: Archival links to Digests of United Kingdom Energy Statistics (post-1999)</t>
  </si>
  <si>
    <t xml:space="preserve">The archive links can be found at the following online addresses: </t>
  </si>
  <si>
    <t>http://webarchive.nationalarchives.gov.uk/20001219211500/http://www.dti.gov.uk/epa/dige st.htm</t>
  </si>
  <si>
    <t>http://webarchive.nationalarchives.gov.uk/frame/20020124145649/http://www.dti.gov.uk/ep a/digest01/contents01.htm</t>
  </si>
  <si>
    <t>http://webarchive.nationalarchives.gov.uk/20021129080728/http://www.dti.gov.uk/energy/i nform/dukes/dukes2002/index.shtml</t>
  </si>
  <si>
    <t>http://webarchive.nationalarchives.gov.uk/20031220221849/http://www.dti.gov.uk/energy/i nform/dukes/dukes2003/index.shtml</t>
  </si>
  <si>
    <t>http://webarchive.nationalarchives.gov.uk/20050302180025/http://www.dti.gov.uk/energy/i nform/dukes/dukes2004/index.shtml</t>
  </si>
  <si>
    <t>http://webarchive.nationalarchives.gov.uk/20060715170620/http://www.dti.gov.uk/energy/s tatistics/publications/dukes/page19311.html</t>
  </si>
  <si>
    <t>http://webarchive.nationalarchives.gov.uk/20070603181728/http://www.dti.gov.uk/energy/s tatistics/publications/dukes/page29812.html</t>
  </si>
  <si>
    <t>http://webarchive.nationalarchives.gov.uk/20080610183636/http://www.berr.gov.uk/energy /statistics/publications/dukes/page39771.html</t>
  </si>
  <si>
    <t>http://webarchive.nationalarchives.gov.uk/20090203183605/http://www.berr.gov.uk/whatw edo/energy/statistics/publications/dukes/page45537.html</t>
  </si>
  <si>
    <t>2009 http://webarchive.nationalarchives.gov.uk/20100104211000/http://www.decc.gov.uk/en/co ntent/cms/statistics/publications/dukes/dukes.aspx</t>
  </si>
  <si>
    <t>http://webarchive.nationalarchives.gov.uk/20101209110222/http://www.decc.gov.uk/en/co ntent/cms/statistics/publications/dukes/dukes.aspx</t>
  </si>
  <si>
    <t>http://webarchive.nationalarchives.gov.uk/20120403141252/https://www.decc.gov.uk/asset s/decc/11/stats/publications/dukes/2312-dukes-2011--full-document-excluding-coverpages.pdf</t>
  </si>
  <si>
    <t>http://webarchive.nationalarchives.gov.uk/20130627075100/https://www.gov.uk/governme nt/organisations/department-of-energy-climate-change/series/digest-of-uk-energystatistics-dukes</t>
  </si>
  <si>
    <t>2013 onwards https://www.gov.uk/government/collections/digest-of-uk-energy-statistics-dukes</t>
  </si>
  <si>
    <t>References and Extended Bibliography:</t>
  </si>
  <si>
    <t xml:space="preserve">BEIS (2020b) Industrial energy prices https://www.gov.uk/government/collections/industrial-energy-prices  </t>
  </si>
  <si>
    <t>BEIS (2019a), Church (1986), Flinn (1986), Fouquet (2008), Prest (1955), Stone (1954)</t>
  </si>
  <si>
    <t>See Tables 1.7.2, 1.7.3</t>
  </si>
  <si>
    <t>BEIS (2019a), BEIS (2019f)</t>
  </si>
  <si>
    <t>Phelps-Brown and Hopkins (1981), Fouquet (2008)</t>
  </si>
  <si>
    <t>To provide a usable time series, in certain places, linear interpolation has been used to fill gaps in the time series. This linear interpolation involves estimating a new value by connecting two known values with a straight line. To help identify these interpolations, they are in light blue, when they have been done specifically for this data set; in green, if the calculations are done for this study; and in red, if assumptions are made.</t>
  </si>
  <si>
    <t>BEIS (2020); pre-1954: Institute of Petroleum</t>
  </si>
  <si>
    <r>
      <t>2.2.1 Typical retail prices of motor spirit and other petroleum products</t>
    </r>
    <r>
      <rPr>
        <b/>
        <vertAlign val="superscript"/>
        <sz val="14"/>
        <rFont val="Arial"/>
        <family val="2"/>
      </rPr>
      <t>(1)</t>
    </r>
    <r>
      <rPr>
        <b/>
        <sz val="14"/>
        <rFont val="Arial"/>
        <family val="2"/>
      </rPr>
      <t xml:space="preserve"> 1902 to 2020</t>
    </r>
  </si>
  <si>
    <t>1.1.1 Availability and Consumption of Primary Energy 1700-2018</t>
  </si>
  <si>
    <t>1.2.1 Energy Consumption by Final User 1700-2018</t>
  </si>
  <si>
    <t>1.7.2  Electricity Supply, Availability and Consumption 1920-2018</t>
  </si>
  <si>
    <t>1.8.1 Renewable Sources Used to Generate Electricity and Heat; Electricity Generated from Renewable Sources 1920-2018</t>
  </si>
  <si>
    <t>1.8.2 Renewable Sources Used to Generate Heat 1700-2018</t>
  </si>
  <si>
    <t>1.8.3 Renewable Sources Used to Generate Power and Transport 1700-2019</t>
  </si>
  <si>
    <t>2.2.1 Typical Retail Prices of Motor Spirit and Other Petroleum Products 1902-2020</t>
  </si>
  <si>
    <t>2.2.2 Typical Retail Prices of Petroleum Products 1954-2020</t>
  </si>
  <si>
    <t>2.3.1 Fuel Price Indices for the Industrial Sector 1900-2018</t>
  </si>
  <si>
    <t>2.3.2 Fuel Price Indices for the Industrial Sector 1970-2018</t>
  </si>
  <si>
    <t>2.3.3 Fuel Price Indices for the Industrial Sector 1900-1992</t>
  </si>
  <si>
    <t>3.1.2 Carbon Dioxide Emissions by End User and Fuel Type, 1990-2018</t>
  </si>
  <si>
    <t>3.1.1 Carbon Dioxide Emissions by Fuel Type 1700-2018</t>
  </si>
  <si>
    <t>2.1.1 Domestic Energy Prices 1700-2019</t>
  </si>
  <si>
    <t>2.1.1 Domestic Energy Prices, 1700-2019</t>
  </si>
  <si>
    <t>I     UK Energy Consumption Time Series 1700-2018</t>
  </si>
  <si>
    <t>II     UK Energy Price Time Series 1700-2018</t>
  </si>
  <si>
    <t>III     UK Carbon Dioxide Emissions Time Series 1700-2018</t>
  </si>
  <si>
    <t>1.3.1 Coal Availability and Consumption 1700-2018</t>
  </si>
  <si>
    <t>1.4.3 Consumption of manufactured solid fuels, 1900-1950</t>
  </si>
  <si>
    <t>1.4.3 Consumption of Manufactured Solid Fuels, 1900-1950</t>
  </si>
  <si>
    <t>1.4.2 Supply and consumption of manufactured solid fuels, 1921-2018</t>
  </si>
  <si>
    <t>1.4.2 Supply and Consumption of Manufactured Solid Fuels 1921-2018</t>
  </si>
  <si>
    <t>1.4.1 Supply and Consumption of Manufactured Solid Fuels 1900-2018</t>
  </si>
  <si>
    <t>1.6.1  Gas Production and Consumption 1822-2018</t>
  </si>
  <si>
    <t>1.6.3 Gas Consumption 1820-1880</t>
  </si>
  <si>
    <t>1.7.1 Electricity Supply, Availability and Consumption 1895-2018</t>
  </si>
  <si>
    <t>1.7.1 Electricity supply, availability and consumption, 1920-2018</t>
  </si>
  <si>
    <t>Solid Fuels</t>
  </si>
  <si>
    <t>1.4.1 Supply and consumption of manufactured solid fuels, 1800-2018</t>
  </si>
  <si>
    <t>1.1.1  Availability and consumption of primary energy, 1700-2018</t>
  </si>
  <si>
    <t xml:space="preserve">1.2.1  Energy consumption by final user, 1700-2018 </t>
  </si>
  <si>
    <t>1.3.1 Coal Availability and Consumption, 1853-2018</t>
  </si>
  <si>
    <t>1.3.2 Coal Availability and Consumption, 1853-2018</t>
  </si>
  <si>
    <t>1.3.3 Coal Consumption, 1853-1938</t>
  </si>
  <si>
    <t>1.3.4 Coal and Coke Consumption, 1700-1913</t>
  </si>
  <si>
    <t>1.6.1 Gas production and consumption, 1822-2018</t>
  </si>
  <si>
    <t>1.6.2 Historical gas data: gas production and consumption, 1882-2018</t>
  </si>
  <si>
    <t>1.6.3 Production and consumption of Gas, 1882-1880</t>
  </si>
  <si>
    <t>1.7.2 Electricity supply, availability and consumption, 1920-2018</t>
  </si>
  <si>
    <t>1.8.1 Renewable sources used to generate electricity and heat; electricity generated from renewable sources, 1920-2018</t>
  </si>
  <si>
    <t>1.8.2 Renewable sources used to generate heat, 1700-2018</t>
  </si>
  <si>
    <t>1.8.3 Renewable sources used to generate power excluding electricity and transport, 1700-1960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</si>
</sst>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3" formatCode="_-* #,##0.00_-;\-* #,##0.00_-;_-* &quot;-&quot;??_-;_-@_-"/>
    <numFmt numFmtId="164" formatCode="_(* #,##0.00_);_(* \(#,##0.00\);_(* &quot;-&quot;??_);_(@_)"/>
    <numFmt numFmtId="165" formatCode="#,##0;[Red]#,##0"/>
    <numFmt numFmtId="166" formatCode="0.0"/>
    <numFmt numFmtId="167" formatCode="0.000"/>
    <numFmt numFmtId="168" formatCode="#,##0.0"/>
    <numFmt numFmtId="169" formatCode="#,##0.00\ ;\-#,##0.00\ &quot;- &quot;"/>
    <numFmt numFmtId="170" formatCode="#,##0\r"/>
    <numFmt numFmtId="171" formatCode="#,##0.00000"/>
    <numFmt numFmtId="172" formatCode="#,##0.000000"/>
    <numFmt numFmtId="173" formatCode="#,##0.00\ ;\-#,##0.00\ ;&quot;- &quot;"/>
    <numFmt numFmtId="174" formatCode="#,##0.000"/>
    <numFmt numFmtId="175" formatCode="#,##0.00000000\ ;\-#,##0.00000000\ ;&quot;- &quot;"/>
    <numFmt numFmtId="176" formatCode="[$-809]dd\ mmmm\ yyyy;@"/>
    <numFmt numFmtId="177" formatCode="\+#,##0\ ;\-#,##0\ ;&quot;-&quot;"/>
    <numFmt numFmtId="178" formatCode="#,##0\ ;\-#,##0\ ;&quot;- &quot;"/>
    <numFmt numFmtId="179" formatCode="0.0%"/>
    <numFmt numFmtId="180" formatCode="#,##0\ ;\-#,##0\ ;&quot;-&quot;"/>
    <numFmt numFmtId="181" formatCode="_(* #,##0.0_);_(* \(#,##0.0\);_(* &quot;-&quot;??_);_(@_)"/>
    <numFmt numFmtId="182" formatCode="_(* #,##0_);_(* \(#,##0\);_(* &quot;-&quot;??_);_(@_)"/>
    <numFmt numFmtId="183" formatCode="_(* #,##0.000_);_(* \(#,##0.000\);_(* &quot;-&quot;??_);_(@_)"/>
    <numFmt numFmtId="184" formatCode="#,##0_ ;\-#,##0\ "/>
    <numFmt numFmtId="185" formatCode="#,##0;\-#,##0;\-"/>
    <numFmt numFmtId="186" formatCode="#,##0\r;\-#,##0\r;\-\r"/>
    <numFmt numFmtId="187" formatCode="#,##0.0\ ;\-#,##0.0\ ;&quot;- &quot;\ "/>
    <numFmt numFmtId="188" formatCode="#,##0.000\ ;\-#,##0.000\ ;&quot;- &quot;\ "/>
    <numFmt numFmtId="189" formatCode="#,##0\ ;\-#,##0\ ;&quot;- &quot;\ "/>
    <numFmt numFmtId="190" formatCode="_-* #,##0_-;\-* #,##0_-;_-* &quot;-&quot;??_-;_-@_-"/>
    <numFmt numFmtId="191" formatCode="#,##0.0_ ;\-#,##0.0\ "/>
    <numFmt numFmtId="192" formatCode="#,##0.0\r;\-#,##0\r;\-\r"/>
    <numFmt numFmtId="193" formatCode="#,##0\ ;\-#,##0\ ;&quot;-  &quot;"/>
    <numFmt numFmtId="194" formatCode="#,##0\r;\-#,##0\r;&quot;-r &quot;"/>
    <numFmt numFmtId="195" formatCode="#,##0\r;\-#,##0\r;&quot; &quot;"/>
    <numFmt numFmtId="196" formatCode="#,##0.00\ ;\-#,##0.00\ ;&quot;-  &quot;"/>
    <numFmt numFmtId="197" formatCode="\+#,##0\ ;\-#,##0\ ;&quot;- &quot;"/>
    <numFmt numFmtId="198" formatCode="#,##0\ ;\-#,##0\ ;&quot; &quot;"/>
    <numFmt numFmtId="199" formatCode="0.00\ "/>
    <numFmt numFmtId="200" formatCode="0;;;@"/>
    <numFmt numFmtId="201" formatCode="0\ "/>
    <numFmt numFmtId="202" formatCode="0.0000"/>
    <numFmt numFmtId="203" formatCode="_-* #,##0.0_-;\-* #,##0.0_-;_-* &quot;-&quot;??_-;_-@_-"/>
  </numFmts>
  <fonts count="138" x14ac:knownFonts="1">
    <font>
      <sz val="11"/>
      <color theme="1"/>
      <name val="Calibri"/>
      <family val="2"/>
      <scheme val="minor"/>
    </font>
    <font>
      <sz val="11"/>
      <color theme="1"/>
      <name val="Calibri"/>
      <family val="2"/>
      <scheme val="minor"/>
    </font>
    <font>
      <b/>
      <sz val="12"/>
      <name val="Arial"/>
      <family val="2"/>
    </font>
    <font>
      <u/>
      <sz val="10"/>
      <color indexed="12"/>
      <name val="Arial"/>
      <family val="2"/>
    </font>
    <font>
      <b/>
      <sz val="10"/>
      <name val="Arial"/>
      <family val="2"/>
    </font>
    <font>
      <b/>
      <vertAlign val="superscript"/>
      <sz val="10"/>
      <name val="Arial"/>
      <family val="2"/>
    </font>
    <font>
      <sz val="10"/>
      <name val="Arial"/>
      <family val="2"/>
    </font>
    <font>
      <sz val="8"/>
      <name val="Arial"/>
      <family val="2"/>
    </font>
    <font>
      <sz val="10"/>
      <color rgb="FFFF0000"/>
      <name val="Arial"/>
      <family val="2"/>
    </font>
    <font>
      <sz val="10"/>
      <color indexed="10"/>
      <name val="Arial"/>
      <family val="2"/>
    </font>
    <font>
      <vertAlign val="superscript"/>
      <sz val="10"/>
      <name val="Arial"/>
      <family val="2"/>
    </font>
    <font>
      <sz val="18"/>
      <color indexed="12"/>
      <name val="Arial"/>
      <family val="2"/>
    </font>
    <font>
      <b/>
      <sz val="18"/>
      <color indexed="12"/>
      <name val="Arial"/>
      <family val="2"/>
    </font>
    <font>
      <b/>
      <sz val="9"/>
      <name val="Arial"/>
      <family val="2"/>
    </font>
    <font>
      <sz val="9"/>
      <name val="Arial"/>
      <family val="2"/>
    </font>
    <font>
      <b/>
      <sz val="8.5"/>
      <name val="Arial"/>
      <family val="2"/>
    </font>
    <font>
      <sz val="8.5"/>
      <name val="Arial"/>
      <family val="2"/>
    </font>
    <font>
      <i/>
      <sz val="10"/>
      <name val="Arial"/>
      <family val="2"/>
    </font>
    <font>
      <sz val="10"/>
      <name val="Tahoma"/>
      <family val="2"/>
    </font>
    <font>
      <b/>
      <sz val="12"/>
      <name val="Tahoma"/>
      <family val="2"/>
    </font>
    <font>
      <b/>
      <sz val="10"/>
      <name val="Tahoma"/>
      <family val="2"/>
    </font>
    <font>
      <sz val="8"/>
      <name val="Tahoma"/>
      <family val="2"/>
    </font>
    <font>
      <b/>
      <sz val="8"/>
      <name val="Tahoma"/>
      <family val="2"/>
    </font>
    <font>
      <sz val="10"/>
      <color indexed="9"/>
      <name val="Tahoma"/>
      <family val="2"/>
    </font>
    <font>
      <sz val="10"/>
      <color indexed="42"/>
      <name val="Tahoma"/>
      <family val="2"/>
    </font>
    <font>
      <i/>
      <sz val="10"/>
      <name val="Tahoma"/>
      <family val="2"/>
    </font>
    <font>
      <sz val="10"/>
      <color indexed="47"/>
      <name val="Tahoma"/>
      <family val="2"/>
    </font>
    <font>
      <sz val="10"/>
      <color rgb="FFFF0000"/>
      <name val="Tahoma"/>
      <family val="2"/>
    </font>
    <font>
      <b/>
      <sz val="8"/>
      <color indexed="9"/>
      <name val="Tahoma"/>
      <family val="2"/>
    </font>
    <font>
      <sz val="8"/>
      <color indexed="9"/>
      <name val="Tahoma"/>
      <family val="2"/>
    </font>
    <font>
      <sz val="8"/>
      <color indexed="11"/>
      <name val="Tahoma"/>
      <family val="2"/>
    </font>
    <font>
      <sz val="10"/>
      <color indexed="81"/>
      <name val="Tahoma"/>
      <family val="2"/>
    </font>
    <font>
      <b/>
      <sz val="14"/>
      <name val="Tahoma"/>
      <family val="2"/>
    </font>
    <font>
      <b/>
      <sz val="14"/>
      <name val="Arial"/>
      <family val="2"/>
    </font>
    <font>
      <i/>
      <sz val="9"/>
      <name val="Arial"/>
      <family val="2"/>
    </font>
    <font>
      <b/>
      <sz val="10"/>
      <color indexed="12"/>
      <name val="Arial"/>
      <family val="2"/>
    </font>
    <font>
      <sz val="10"/>
      <color indexed="12"/>
      <name val="Arial"/>
      <family val="2"/>
    </font>
    <font>
      <b/>
      <i/>
      <sz val="10"/>
      <color indexed="12"/>
      <name val="Arial"/>
      <family val="2"/>
    </font>
    <font>
      <sz val="10"/>
      <color theme="0"/>
      <name val="Arial"/>
      <family val="2"/>
    </font>
    <font>
      <b/>
      <i/>
      <sz val="10"/>
      <name val="Arial"/>
      <family val="2"/>
    </font>
    <font>
      <b/>
      <i/>
      <sz val="14"/>
      <name val="Arial"/>
      <family val="2"/>
    </font>
    <font>
      <sz val="9"/>
      <color rgb="FFFF0000"/>
      <name val="Arial"/>
      <family val="2"/>
    </font>
    <font>
      <b/>
      <sz val="10"/>
      <color rgb="FFFF0000"/>
      <name val="Arial"/>
      <family val="2"/>
    </font>
    <font>
      <sz val="8"/>
      <color indexed="81"/>
      <name val="Tahoma"/>
      <family val="2"/>
    </font>
    <font>
      <i/>
      <sz val="12"/>
      <name val="Arial"/>
      <family val="2"/>
    </font>
    <font>
      <sz val="12"/>
      <color indexed="12"/>
      <name val="Arial"/>
      <family val="2"/>
    </font>
    <font>
      <b/>
      <sz val="10"/>
      <color indexed="8"/>
      <name val="Arial"/>
      <family val="2"/>
    </font>
    <font>
      <sz val="12"/>
      <name val="Arial"/>
      <family val="2"/>
    </font>
    <font>
      <sz val="10"/>
      <color indexed="8"/>
      <name val="Arial"/>
      <family val="2"/>
    </font>
    <font>
      <sz val="12"/>
      <color rgb="FFFF0000"/>
      <name val="Arial"/>
      <family val="2"/>
    </font>
    <font>
      <sz val="10"/>
      <color indexed="20"/>
      <name val="Arial"/>
      <family val="2"/>
    </font>
    <font>
      <sz val="10"/>
      <color indexed="48"/>
      <name val="Arial"/>
      <family val="2"/>
    </font>
    <font>
      <sz val="22"/>
      <color indexed="12"/>
      <name val="Arial"/>
      <family val="2"/>
    </font>
    <font>
      <b/>
      <u/>
      <sz val="22"/>
      <name val="Arial"/>
      <family val="2"/>
    </font>
    <font>
      <b/>
      <sz val="16"/>
      <color rgb="FF000000"/>
      <name val="Calibri"/>
      <family val="2"/>
      <scheme val="minor"/>
    </font>
    <font>
      <b/>
      <sz val="14"/>
      <color rgb="FF000000"/>
      <name val="Calibri"/>
      <family val="2"/>
      <scheme val="minor"/>
    </font>
    <font>
      <b/>
      <sz val="11"/>
      <color rgb="FF000000"/>
      <name val="Calibri"/>
      <family val="2"/>
      <scheme val="minor"/>
    </font>
    <font>
      <sz val="11"/>
      <color rgb="FFFF0000"/>
      <name val="Calibri"/>
      <family val="2"/>
      <scheme val="minor"/>
    </font>
    <font>
      <sz val="11"/>
      <color rgb="FF00B0F0"/>
      <name val="Calibri"/>
      <family val="2"/>
      <scheme val="minor"/>
    </font>
    <font>
      <b/>
      <i/>
      <sz val="10"/>
      <color rgb="FFFF0000"/>
      <name val="Arial"/>
      <family val="2"/>
    </font>
    <font>
      <b/>
      <sz val="10"/>
      <name val="Calibri"/>
      <family val="2"/>
      <scheme val="minor"/>
    </font>
    <font>
      <sz val="10"/>
      <name val="Calibri"/>
      <family val="2"/>
      <scheme val="minor"/>
    </font>
    <font>
      <sz val="10"/>
      <color indexed="10"/>
      <name val="Calibri"/>
      <family val="2"/>
      <scheme val="minor"/>
    </font>
    <font>
      <i/>
      <sz val="10"/>
      <name val="Calibri"/>
      <family val="2"/>
      <scheme val="minor"/>
    </font>
    <font>
      <b/>
      <vertAlign val="superscript"/>
      <sz val="10"/>
      <name val="Calibri"/>
      <family val="2"/>
      <scheme val="minor"/>
    </font>
    <font>
      <sz val="10"/>
      <color theme="0" tint="-0.249977111117893"/>
      <name val="Calibri"/>
      <family val="2"/>
      <scheme val="minor"/>
    </font>
    <font>
      <sz val="10"/>
      <color rgb="FFFF0000"/>
      <name val="Calibri"/>
      <family val="2"/>
      <scheme val="minor"/>
    </font>
    <font>
      <b/>
      <sz val="10"/>
      <color rgb="FFFF0000"/>
      <name val="Calibri"/>
      <family val="2"/>
      <scheme val="minor"/>
    </font>
    <font>
      <i/>
      <sz val="10"/>
      <color rgb="FFFF0000"/>
      <name val="Calibri"/>
      <family val="2"/>
      <scheme val="minor"/>
    </font>
    <font>
      <b/>
      <sz val="10"/>
      <color theme="1"/>
      <name val="Arial"/>
      <family val="2"/>
    </font>
    <font>
      <b/>
      <i/>
      <sz val="10"/>
      <color theme="1"/>
      <name val="Arial"/>
      <family val="2"/>
    </font>
    <font>
      <sz val="9"/>
      <color indexed="81"/>
      <name val="Tahoma"/>
      <family val="2"/>
    </font>
    <font>
      <b/>
      <sz val="9"/>
      <color indexed="81"/>
      <name val="Tahoma"/>
      <family val="2"/>
    </font>
    <font>
      <sz val="18"/>
      <name val="Arial"/>
      <family val="2"/>
    </font>
    <font>
      <i/>
      <sz val="8.5"/>
      <name val="Arial"/>
      <family val="2"/>
    </font>
    <font>
      <i/>
      <sz val="8.5"/>
      <color indexed="8"/>
      <name val="Arial"/>
      <family val="2"/>
    </font>
    <font>
      <i/>
      <sz val="8.5"/>
      <color indexed="10"/>
      <name val="Arial"/>
      <family val="2"/>
    </font>
    <font>
      <sz val="8"/>
      <color indexed="8"/>
      <name val="Arial"/>
      <family val="2"/>
    </font>
    <font>
      <sz val="8.5"/>
      <color indexed="10"/>
      <name val="Arial"/>
      <family val="2"/>
    </font>
    <font>
      <sz val="8"/>
      <color indexed="10"/>
      <name val="Arial"/>
      <family val="2"/>
    </font>
    <font>
      <b/>
      <sz val="8.5"/>
      <color indexed="8"/>
      <name val="Arial"/>
      <family val="2"/>
    </font>
    <font>
      <sz val="8.5"/>
      <color indexed="8"/>
      <name val="Arial"/>
      <family val="2"/>
    </font>
    <font>
      <sz val="12"/>
      <color indexed="8"/>
      <name val="Arial"/>
      <family val="2"/>
    </font>
    <font>
      <sz val="8"/>
      <color indexed="12"/>
      <name val="Arial"/>
      <family val="2"/>
    </font>
    <font>
      <i/>
      <sz val="18"/>
      <color indexed="12"/>
      <name val="Arial"/>
      <family val="2"/>
    </font>
    <font>
      <i/>
      <sz val="8"/>
      <color rgb="FFFF0000"/>
      <name val="Arial"/>
      <family val="2"/>
    </font>
    <font>
      <i/>
      <sz val="8"/>
      <name val="Arial"/>
      <family val="2"/>
    </font>
    <font>
      <i/>
      <sz val="7.5"/>
      <name val="Arial"/>
      <family val="2"/>
    </font>
    <font>
      <sz val="7.5"/>
      <name val="Arial"/>
      <family val="2"/>
    </font>
    <font>
      <b/>
      <sz val="8"/>
      <name val="Arial"/>
      <family val="2"/>
    </font>
    <font>
      <sz val="12"/>
      <name val="Times New Roman"/>
      <family val="1"/>
    </font>
    <font>
      <b/>
      <i/>
      <sz val="8.5"/>
      <name val="Arial"/>
      <family val="2"/>
    </font>
    <font>
      <i/>
      <sz val="7.5"/>
      <color rgb="FFFF0000"/>
      <name val="Arial"/>
      <family val="2"/>
    </font>
    <font>
      <i/>
      <sz val="12"/>
      <color rgb="FFFF0000"/>
      <name val="Arial"/>
      <family val="2"/>
    </font>
    <font>
      <sz val="8"/>
      <color rgb="FFFF0000"/>
      <name val="Arial"/>
      <family val="2"/>
    </font>
    <font>
      <sz val="10"/>
      <color rgb="FF00B0F0"/>
      <name val="Arial"/>
      <family val="2"/>
    </font>
    <font>
      <sz val="10"/>
      <color theme="1"/>
      <name val="Arial"/>
      <family val="2"/>
    </font>
    <font>
      <sz val="22"/>
      <name val="Arial"/>
      <family val="2"/>
    </font>
    <font>
      <sz val="11"/>
      <name val="Arial"/>
      <family val="2"/>
    </font>
    <font>
      <b/>
      <sz val="11"/>
      <color rgb="FF0000FF"/>
      <name val="Calibri"/>
      <family val="2"/>
      <scheme val="minor"/>
    </font>
    <font>
      <sz val="11"/>
      <color rgb="FF0000FF"/>
      <name val="Calibri"/>
      <family val="2"/>
      <scheme val="minor"/>
    </font>
    <font>
      <sz val="12"/>
      <name val="Calibri"/>
      <family val="2"/>
      <scheme val="minor"/>
    </font>
    <font>
      <u/>
      <sz val="12"/>
      <name val="Calibri"/>
      <family val="2"/>
      <scheme val="minor"/>
    </font>
    <font>
      <sz val="12"/>
      <color theme="1"/>
      <name val="Calibri"/>
      <family val="2"/>
      <scheme val="minor"/>
    </font>
    <font>
      <b/>
      <sz val="14"/>
      <name val="Calibri"/>
      <family val="2"/>
      <scheme val="minor"/>
    </font>
    <font>
      <i/>
      <sz val="9"/>
      <color theme="1"/>
      <name val="Arial"/>
      <family val="2"/>
    </font>
    <font>
      <sz val="8"/>
      <name val="Calibri"/>
      <family val="2"/>
      <scheme val="minor"/>
    </font>
    <font>
      <sz val="10"/>
      <name val="Times New Roman"/>
      <family val="1"/>
    </font>
    <font>
      <sz val="11"/>
      <name val="Calibri"/>
      <family val="2"/>
      <scheme val="minor"/>
    </font>
    <font>
      <sz val="11"/>
      <color theme="6" tint="-0.499984740745262"/>
      <name val="Calibri"/>
      <family val="2"/>
      <scheme val="minor"/>
    </font>
    <font>
      <b/>
      <sz val="11"/>
      <color theme="1"/>
      <name val="Calibri"/>
      <family val="2"/>
      <scheme val="minor"/>
    </font>
    <font>
      <b/>
      <sz val="10"/>
      <name val="Times New Roman"/>
      <family val="1"/>
    </font>
    <font>
      <sz val="12"/>
      <color rgb="FFFF0000"/>
      <name val="Calibri"/>
      <family val="2"/>
      <scheme val="minor"/>
    </font>
    <font>
      <sz val="10"/>
      <color rgb="FF000000"/>
      <name val="Arial"/>
      <family val="2"/>
    </font>
    <font>
      <sz val="9"/>
      <color theme="1"/>
      <name val="Arial"/>
      <family val="2"/>
    </font>
    <font>
      <sz val="7"/>
      <name val="Times New Roman"/>
      <family val="1"/>
    </font>
    <font>
      <sz val="9"/>
      <color theme="5"/>
      <name val="Arial"/>
      <family val="2"/>
    </font>
    <font>
      <b/>
      <sz val="9"/>
      <color theme="5"/>
      <name val="Arial"/>
      <family val="2"/>
    </font>
    <font>
      <sz val="8"/>
      <color rgb="FF00B0F0"/>
      <name val="Arial"/>
      <family val="2"/>
    </font>
    <font>
      <sz val="11"/>
      <color theme="1"/>
      <name val="Arial"/>
      <family val="2"/>
    </font>
    <font>
      <sz val="14"/>
      <name val="Arial"/>
      <family val="2"/>
    </font>
    <font>
      <sz val="8"/>
      <color theme="1"/>
      <name val="Arial"/>
      <family val="2"/>
    </font>
    <font>
      <b/>
      <sz val="11"/>
      <name val="Arial"/>
      <family val="2"/>
    </font>
    <font>
      <b/>
      <vertAlign val="superscript"/>
      <sz val="14"/>
      <name val="Arial"/>
      <family val="2"/>
    </font>
    <font>
      <b/>
      <sz val="14"/>
      <color theme="1"/>
      <name val="Arial"/>
      <family val="2"/>
    </font>
    <font>
      <sz val="11"/>
      <color rgb="FFFF0000"/>
      <name val="Arial"/>
      <family val="2"/>
    </font>
    <font>
      <b/>
      <sz val="11"/>
      <color theme="1"/>
      <name val="Arial"/>
      <family val="2"/>
    </font>
    <font>
      <i/>
      <sz val="11"/>
      <name val="Arial"/>
      <family val="2"/>
    </font>
    <font>
      <sz val="12"/>
      <color theme="1"/>
      <name val="Arial"/>
      <family val="2"/>
    </font>
    <font>
      <b/>
      <u/>
      <sz val="12"/>
      <name val="Calibri"/>
      <family val="2"/>
      <scheme val="minor"/>
    </font>
    <font>
      <sz val="11"/>
      <color theme="3" tint="-0.249977111117893"/>
      <name val="Calibri"/>
      <family val="2"/>
      <scheme val="minor"/>
    </font>
    <font>
      <sz val="11"/>
      <color rgb="FF00B050"/>
      <name val="Calibri"/>
      <family val="2"/>
      <scheme val="minor"/>
    </font>
    <font>
      <b/>
      <sz val="12"/>
      <color indexed="12"/>
      <name val="Arial"/>
      <family val="2"/>
    </font>
    <font>
      <u/>
      <sz val="12"/>
      <color theme="1"/>
      <name val="Calibri"/>
      <family val="2"/>
      <scheme val="minor"/>
    </font>
    <font>
      <u/>
      <sz val="12"/>
      <color indexed="12"/>
      <name val="Arial"/>
      <family val="2"/>
    </font>
    <font>
      <sz val="8.5"/>
      <color rgb="FF00B0F0"/>
      <name val="Arial"/>
      <family val="2"/>
    </font>
    <font>
      <sz val="8.5"/>
      <color theme="1"/>
      <name val="Arial"/>
      <family val="2"/>
    </font>
    <font>
      <sz val="10"/>
      <color theme="1"/>
      <name val="Tahoma"/>
      <family val="2"/>
    </font>
  </fonts>
  <fills count="9">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45"/>
        <bgColor indexed="64"/>
      </patternFill>
    </fill>
    <fill>
      <patternFill patternType="lightTrellis">
        <bgColor indexed="9"/>
      </patternFill>
    </fill>
    <fill>
      <patternFill patternType="solid">
        <fgColor theme="0" tint="-0.14999847407452621"/>
        <bgColor indexed="64"/>
      </patternFill>
    </fill>
  </fills>
  <borders count="132">
    <border>
      <left/>
      <right/>
      <top/>
      <bottom/>
      <diagonal/>
    </border>
    <border>
      <left/>
      <right/>
      <top style="double">
        <color indexed="64"/>
      </top>
      <bottom/>
      <diagonal/>
    </border>
    <border>
      <left/>
      <right/>
      <top/>
      <bottom style="thin">
        <color indexed="64"/>
      </bottom>
      <diagonal/>
    </border>
    <border>
      <left/>
      <right/>
      <top/>
      <bottom style="double">
        <color indexed="64"/>
      </bottom>
      <diagonal/>
    </border>
    <border>
      <left/>
      <right style="thin">
        <color indexed="64"/>
      </right>
      <top style="double">
        <color indexed="64"/>
      </top>
      <bottom/>
      <diagonal/>
    </border>
    <border>
      <left/>
      <right/>
      <top style="double">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top style="thin">
        <color indexed="64"/>
      </top>
      <bottom/>
      <diagonal/>
    </border>
    <border>
      <left style="hair">
        <color indexed="64"/>
      </left>
      <right/>
      <top/>
      <bottom/>
      <diagonal/>
    </border>
    <border>
      <left/>
      <right style="hair">
        <color indexed="64"/>
      </right>
      <top/>
      <bottom/>
      <diagonal/>
    </border>
    <border>
      <left style="thin">
        <color indexed="64"/>
      </left>
      <right style="thin">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medium">
        <color indexed="64"/>
      </left>
      <right style="thick">
        <color indexed="64"/>
      </right>
      <top style="medium">
        <color indexed="64"/>
      </top>
      <bottom/>
      <diagonal/>
    </border>
    <border>
      <left style="thick">
        <color indexed="64"/>
      </left>
      <right/>
      <top style="thick">
        <color indexed="64"/>
      </top>
      <bottom/>
      <diagonal/>
    </border>
    <border>
      <left/>
      <right/>
      <top style="thick">
        <color indexed="64"/>
      </top>
      <bottom/>
      <diagonal/>
    </border>
    <border>
      <left style="medium">
        <color indexed="64"/>
      </left>
      <right style="thick">
        <color indexed="64"/>
      </right>
      <top style="thick">
        <color indexed="64"/>
      </top>
      <bottom style="thin">
        <color indexed="64"/>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style="medium">
        <color indexed="64"/>
      </right>
      <top style="thick">
        <color indexed="64"/>
      </top>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bottom/>
      <diagonal/>
    </border>
    <border>
      <left style="thick">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ck">
        <color indexed="64"/>
      </right>
      <top/>
      <bottom style="medium">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bottom/>
      <diagonal/>
    </border>
    <border>
      <left style="thick">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thick">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thick">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ck">
        <color indexed="64"/>
      </left>
      <right style="thick">
        <color indexed="64"/>
      </right>
      <top style="medium">
        <color indexed="64"/>
      </top>
      <bottom/>
      <diagonal/>
    </border>
    <border>
      <left style="thick">
        <color indexed="64"/>
      </left>
      <right style="medium">
        <color indexed="64"/>
      </right>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thick">
        <color indexed="64"/>
      </right>
      <top/>
      <bottom/>
      <diagonal/>
    </border>
    <border>
      <left style="thick">
        <color indexed="64"/>
      </left>
      <right style="hair">
        <color indexed="64"/>
      </right>
      <top/>
      <bottom/>
      <diagonal/>
    </border>
    <border>
      <left style="medium">
        <color indexed="64"/>
      </left>
      <right style="thick">
        <color indexed="64"/>
      </right>
      <top/>
      <bottom/>
      <diagonal/>
    </border>
    <border>
      <left/>
      <right style="thick">
        <color indexed="64"/>
      </right>
      <top/>
      <bottom/>
      <diagonal/>
    </border>
    <border>
      <left/>
      <right style="thick">
        <color indexed="64"/>
      </right>
      <top/>
      <bottom style="medium">
        <color indexed="64"/>
      </bottom>
      <diagonal/>
    </border>
    <border>
      <left style="thick">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thick">
        <color indexed="64"/>
      </right>
      <top/>
      <bottom style="medium">
        <color indexed="64"/>
      </bottom>
      <diagonal/>
    </border>
    <border>
      <left style="medium">
        <color indexed="64"/>
      </left>
      <right/>
      <top style="thick">
        <color indexed="64"/>
      </top>
      <bottom style="thin">
        <color indexed="64"/>
      </bottom>
      <diagonal/>
    </border>
    <border>
      <left/>
      <right style="medium">
        <color indexed="64"/>
      </right>
      <top style="thick">
        <color indexed="64"/>
      </top>
      <bottom style="thin">
        <color indexed="64"/>
      </bottom>
      <diagonal/>
    </border>
    <border>
      <left/>
      <right/>
      <top style="thick">
        <color indexed="64"/>
      </top>
      <bottom style="thin">
        <color indexed="64"/>
      </bottom>
      <diagonal/>
    </border>
    <border>
      <left style="medium">
        <color indexed="64"/>
      </left>
      <right style="thick">
        <color indexed="64"/>
      </right>
      <top style="thick">
        <color indexed="64"/>
      </top>
      <bottom/>
      <diagonal/>
    </border>
    <border>
      <left/>
      <right style="medium">
        <color indexed="64"/>
      </right>
      <top style="thin">
        <color indexed="64"/>
      </top>
      <bottom style="medium">
        <color indexed="64"/>
      </bottom>
      <diagonal/>
    </border>
    <border>
      <left style="hair">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style="thick">
        <color indexed="64"/>
      </left>
      <right/>
      <top/>
      <bottom/>
      <diagonal/>
    </border>
    <border>
      <left style="thick">
        <color indexed="64"/>
      </left>
      <right/>
      <top/>
      <bottom style="medium">
        <color indexed="64"/>
      </bottom>
      <diagonal/>
    </border>
    <border>
      <left style="hair">
        <color indexed="64"/>
      </left>
      <right style="medium">
        <color indexed="64"/>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top style="medium">
        <color indexed="64"/>
      </top>
      <bottom/>
      <diagonal/>
    </border>
    <border>
      <left style="thick">
        <color indexed="64"/>
      </left>
      <right/>
      <top/>
      <bottom style="thick">
        <color indexed="64"/>
      </bottom>
      <diagonal/>
    </border>
    <border>
      <left style="thick">
        <color indexed="64"/>
      </left>
      <right style="hair">
        <color indexed="64"/>
      </right>
      <top/>
      <bottom style="thick">
        <color indexed="64"/>
      </bottom>
      <diagonal/>
    </border>
  </borders>
  <cellStyleXfs count="11">
    <xf numFmtId="0" fontId="0" fillId="0" borderId="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6" fillId="0" borderId="0"/>
    <xf numFmtId="164" fontId="1" fillId="0" borderId="0" applyFont="0" applyFill="0" applyBorder="0" applyAlignment="0" applyProtection="0"/>
    <xf numFmtId="0" fontId="6" fillId="0" borderId="0"/>
    <xf numFmtId="0" fontId="6" fillId="0" borderId="0"/>
    <xf numFmtId="0" fontId="6" fillId="0" borderId="0">
      <alignment vertical="center"/>
    </xf>
    <xf numFmtId="9" fontId="6" fillId="0" borderId="0" applyFont="0" applyFill="0" applyBorder="0" applyAlignment="0" applyProtection="0"/>
    <xf numFmtId="0" fontId="113" fillId="0" borderId="0" applyNumberFormat="0" applyFont="0" applyBorder="0" applyProtection="0"/>
    <xf numFmtId="9" fontId="6" fillId="0" borderId="0" applyFont="0" applyFill="0" applyBorder="0" applyAlignment="0" applyProtection="0"/>
  </cellStyleXfs>
  <cellXfs count="1470">
    <xf numFmtId="0" fontId="0" fillId="0" borderId="0" xfId="0"/>
    <xf numFmtId="0" fontId="0" fillId="0" borderId="0" xfId="0" applyAlignment="1">
      <alignment horizontal="center"/>
    </xf>
    <xf numFmtId="165" fontId="0" fillId="0" borderId="0" xfId="0" applyNumberFormat="1" applyAlignment="1">
      <alignment horizontal="center"/>
    </xf>
    <xf numFmtId="0" fontId="0" fillId="0" borderId="0" xfId="0" applyBorder="1"/>
    <xf numFmtId="165" fontId="3" fillId="0" borderId="0" xfId="2" applyNumberFormat="1" applyFont="1" applyBorder="1" applyAlignment="1" applyProtection="1">
      <alignment horizontal="left"/>
    </xf>
    <xf numFmtId="0" fontId="0" fillId="0" borderId="0" xfId="0" applyBorder="1" applyAlignment="1">
      <alignment horizontal="center"/>
    </xf>
    <xf numFmtId="165" fontId="0" fillId="0" borderId="0" xfId="0" applyNumberFormat="1" applyBorder="1" applyAlignment="1">
      <alignment horizontal="center"/>
    </xf>
    <xf numFmtId="0" fontId="0" fillId="0" borderId="0" xfId="0" applyBorder="1" applyAlignment="1"/>
    <xf numFmtId="2" fontId="0" fillId="0" borderId="0" xfId="0" applyNumberFormat="1" applyBorder="1" applyAlignment="1"/>
    <xf numFmtId="0" fontId="0" fillId="0" borderId="0" xfId="0" applyAlignment="1"/>
    <xf numFmtId="0" fontId="0" fillId="0" borderId="0" xfId="0" applyFill="1" applyAlignment="1">
      <alignment horizontal="center"/>
    </xf>
    <xf numFmtId="0" fontId="0" fillId="0" borderId="0" xfId="0" applyFill="1"/>
    <xf numFmtId="0" fontId="0" fillId="0" borderId="0" xfId="0" applyFill="1" applyBorder="1" applyAlignment="1">
      <alignment horizontal="center"/>
    </xf>
    <xf numFmtId="2" fontId="0" fillId="0" borderId="0" xfId="0" applyNumberFormat="1" applyFill="1" applyBorder="1" applyAlignment="1">
      <alignment horizontal="center"/>
    </xf>
    <xf numFmtId="0" fontId="4" fillId="0" borderId="0" xfId="0" applyFont="1" applyFill="1" applyBorder="1" applyAlignment="1">
      <alignment horizontal="center"/>
    </xf>
    <xf numFmtId="0" fontId="0" fillId="0" borderId="0" xfId="0" applyBorder="1" applyAlignment="1">
      <alignment horizontal="right"/>
    </xf>
    <xf numFmtId="0" fontId="2" fillId="0" borderId="0" xfId="0" applyFont="1" applyFill="1" applyBorder="1" applyAlignment="1">
      <alignment horizontal="center"/>
    </xf>
    <xf numFmtId="0" fontId="4" fillId="0" borderId="1" xfId="0" applyFont="1" applyFill="1" applyBorder="1" applyAlignment="1">
      <alignment horizontal="center"/>
    </xf>
    <xf numFmtId="2" fontId="4" fillId="0" borderId="1" xfId="0" applyNumberFormat="1" applyFont="1" applyFill="1" applyBorder="1" applyAlignment="1">
      <alignment horizontal="center"/>
    </xf>
    <xf numFmtId="2" fontId="4" fillId="0" borderId="0" xfId="0" applyNumberFormat="1" applyFont="1" applyFill="1" applyBorder="1" applyAlignment="1">
      <alignment horizontal="center"/>
    </xf>
    <xf numFmtId="0" fontId="6" fillId="0" borderId="0" xfId="0" applyFont="1" applyFill="1" applyBorder="1" applyAlignment="1">
      <alignment horizontal="center"/>
    </xf>
    <xf numFmtId="0" fontId="6" fillId="0" borderId="0" xfId="0" quotePrefix="1" applyFont="1" applyFill="1" applyBorder="1" applyAlignment="1">
      <alignment horizontal="center"/>
    </xf>
    <xf numFmtId="2" fontId="6" fillId="0" borderId="0" xfId="0" quotePrefix="1" applyNumberFormat="1" applyFont="1" applyFill="1" applyBorder="1" applyAlignment="1">
      <alignment horizontal="center"/>
    </xf>
    <xf numFmtId="0" fontId="7" fillId="0" borderId="2" xfId="0" applyFont="1" applyFill="1" applyBorder="1" applyAlignment="1">
      <alignment horizontal="center"/>
    </xf>
    <xf numFmtId="2" fontId="7" fillId="0" borderId="2" xfId="0" applyNumberFormat="1" applyFont="1" applyFill="1" applyBorder="1" applyAlignment="1">
      <alignment horizontal="center"/>
    </xf>
    <xf numFmtId="0" fontId="7" fillId="0" borderId="0" xfId="0" applyFont="1" applyFill="1" applyBorder="1" applyAlignment="1">
      <alignment horizontal="center"/>
    </xf>
    <xf numFmtId="2" fontId="7" fillId="0" borderId="0" xfId="0" applyNumberFormat="1" applyFont="1" applyFill="1" applyBorder="1" applyAlignment="1">
      <alignment horizontal="center"/>
    </xf>
    <xf numFmtId="1" fontId="6" fillId="0" borderId="0" xfId="0" applyNumberFormat="1" applyFont="1" applyFill="1" applyBorder="1" applyAlignment="1">
      <alignment horizontal="center"/>
    </xf>
    <xf numFmtId="166" fontId="0" fillId="0" borderId="0" xfId="0" applyNumberFormat="1" applyFill="1" applyBorder="1" applyAlignment="1">
      <alignment horizontal="center"/>
    </xf>
    <xf numFmtId="1" fontId="0" fillId="0" borderId="0" xfId="0" applyNumberFormat="1" applyFill="1" applyBorder="1" applyAlignment="1">
      <alignment horizontal="center"/>
    </xf>
    <xf numFmtId="9" fontId="0" fillId="0" borderId="0" xfId="1" applyFont="1" applyFill="1" applyBorder="1" applyAlignment="1">
      <alignment horizontal="center"/>
    </xf>
    <xf numFmtId="49" fontId="4" fillId="0" borderId="0" xfId="0" applyNumberFormat="1" applyFont="1" applyFill="1" applyBorder="1" applyAlignment="1">
      <alignment horizontal="center"/>
    </xf>
    <xf numFmtId="0" fontId="0" fillId="0" borderId="0" xfId="1" applyNumberFormat="1" applyFont="1" applyFill="1" applyBorder="1" applyAlignment="1">
      <alignment horizontal="center"/>
    </xf>
    <xf numFmtId="167" fontId="0" fillId="0" borderId="0" xfId="0" applyNumberFormat="1" applyFill="1" applyBorder="1" applyAlignment="1">
      <alignment horizontal="center"/>
    </xf>
    <xf numFmtId="167" fontId="6" fillId="0" borderId="0" xfId="0" applyNumberFormat="1" applyFont="1" applyFill="1" applyBorder="1" applyAlignment="1">
      <alignment horizontal="center"/>
    </xf>
    <xf numFmtId="1" fontId="8" fillId="0" borderId="0" xfId="0" applyNumberFormat="1" applyFont="1" applyFill="1" applyBorder="1" applyAlignment="1">
      <alignment horizontal="center"/>
    </xf>
    <xf numFmtId="167" fontId="8" fillId="0" borderId="0" xfId="0" applyNumberFormat="1" applyFont="1" applyFill="1" applyBorder="1" applyAlignment="1">
      <alignment horizontal="center"/>
    </xf>
    <xf numFmtId="168" fontId="6" fillId="2" borderId="0" xfId="0" applyNumberFormat="1" applyFont="1" applyFill="1" applyAlignment="1">
      <alignment horizontal="center"/>
    </xf>
    <xf numFmtId="3" fontId="6" fillId="2" borderId="0" xfId="0" applyNumberFormat="1" applyFont="1" applyFill="1" applyAlignment="1">
      <alignment horizontal="center"/>
    </xf>
    <xf numFmtId="3" fontId="6" fillId="2" borderId="0" xfId="0" applyNumberFormat="1" applyFont="1" applyFill="1" applyBorder="1" applyAlignment="1">
      <alignment horizontal="center"/>
    </xf>
    <xf numFmtId="168" fontId="6" fillId="0" borderId="0" xfId="0" applyNumberFormat="1" applyFont="1" applyFill="1" applyAlignment="1">
      <alignment horizontal="center"/>
    </xf>
    <xf numFmtId="3" fontId="6" fillId="0" borderId="0" xfId="0" applyNumberFormat="1" applyFont="1" applyFill="1" applyAlignment="1">
      <alignment horizontal="center"/>
    </xf>
    <xf numFmtId="3" fontId="6" fillId="0" borderId="0" xfId="0" applyNumberFormat="1" applyFont="1" applyFill="1" applyBorder="1" applyAlignment="1">
      <alignment horizontal="center"/>
    </xf>
    <xf numFmtId="0" fontId="0" fillId="0" borderId="0" xfId="0" applyFill="1" applyAlignment="1"/>
    <xf numFmtId="0" fontId="4" fillId="0" borderId="0" xfId="0" applyFont="1" applyFill="1"/>
    <xf numFmtId="2" fontId="0" fillId="0" borderId="0" xfId="0" applyNumberFormat="1" applyAlignment="1"/>
    <xf numFmtId="1" fontId="0" fillId="0" borderId="0" xfId="0" applyNumberFormat="1" applyBorder="1" applyAlignment="1"/>
    <xf numFmtId="1" fontId="9" fillId="0" borderId="0" xfId="0" applyNumberFormat="1" applyFont="1" applyFill="1" applyBorder="1" applyAlignment="1">
      <alignment horizontal="center"/>
    </xf>
    <xf numFmtId="9" fontId="0" fillId="0" borderId="0" xfId="0" applyNumberFormat="1" applyAlignment="1"/>
    <xf numFmtId="0" fontId="5" fillId="0" borderId="0" xfId="0" applyFont="1" applyFill="1" applyBorder="1"/>
    <xf numFmtId="0" fontId="8" fillId="0" borderId="0" xfId="0" applyFont="1" applyFill="1"/>
    <xf numFmtId="0" fontId="8" fillId="0" borderId="0" xfId="0" applyFont="1" applyFill="1" applyAlignment="1">
      <alignment horizontal="center"/>
    </xf>
    <xf numFmtId="0" fontId="8" fillId="0" borderId="0" xfId="0" applyFont="1" applyFill="1" applyAlignment="1"/>
    <xf numFmtId="2" fontId="8" fillId="0" borderId="0" xfId="0" applyNumberFormat="1" applyFont="1" applyFill="1" applyAlignment="1"/>
    <xf numFmtId="0" fontId="8" fillId="0" borderId="0" xfId="0" applyFont="1" applyAlignment="1"/>
    <xf numFmtId="0" fontId="8" fillId="0" borderId="0" xfId="0" applyFont="1"/>
    <xf numFmtId="0" fontId="8" fillId="0" borderId="0" xfId="0" applyFont="1" applyAlignment="1">
      <alignment horizontal="center"/>
    </xf>
    <xf numFmtId="0" fontId="10" fillId="0" borderId="0" xfId="0" applyFont="1" applyFill="1" applyBorder="1" applyAlignment="1"/>
    <xf numFmtId="1" fontId="0" fillId="0" borderId="0" xfId="0" applyNumberFormat="1" applyAlignment="1"/>
    <xf numFmtId="0" fontId="5" fillId="0" borderId="0" xfId="0" applyFont="1" applyFill="1"/>
    <xf numFmtId="1" fontId="8" fillId="0" borderId="0" xfId="0" applyNumberFormat="1" applyFont="1" applyBorder="1" applyAlignment="1"/>
    <xf numFmtId="1" fontId="6" fillId="0" borderId="0" xfId="0" applyNumberFormat="1" applyFont="1" applyAlignment="1"/>
    <xf numFmtId="0" fontId="10" fillId="0" borderId="0" xfId="0" applyFont="1" applyFill="1"/>
    <xf numFmtId="0" fontId="5" fillId="0" borderId="0" xfId="0" applyFont="1" applyFill="1" applyAlignment="1">
      <alignment horizontal="left"/>
    </xf>
    <xf numFmtId="3" fontId="8" fillId="0" borderId="0" xfId="0" applyNumberFormat="1" applyFont="1" applyFill="1" applyAlignment="1">
      <alignment horizontal="center"/>
    </xf>
    <xf numFmtId="165" fontId="8" fillId="0" borderId="0" xfId="0" applyNumberFormat="1" applyFont="1" applyFill="1" applyAlignment="1">
      <alignment horizontal="center"/>
    </xf>
    <xf numFmtId="0" fontId="8" fillId="0" borderId="0" xfId="0" applyFont="1" applyBorder="1"/>
    <xf numFmtId="0" fontId="10" fillId="0" borderId="0" xfId="0" applyFont="1" applyFill="1" applyAlignment="1">
      <alignment horizontal="left"/>
    </xf>
    <xf numFmtId="0" fontId="8" fillId="0" borderId="0" xfId="0" applyFont="1" applyFill="1" applyBorder="1"/>
    <xf numFmtId="0" fontId="10" fillId="0" borderId="0" xfId="0" applyFont="1" applyAlignment="1">
      <alignment horizontal="left"/>
    </xf>
    <xf numFmtId="0" fontId="8" fillId="0" borderId="0" xfId="0" applyFont="1" applyFill="1" applyBorder="1" applyAlignment="1"/>
    <xf numFmtId="0" fontId="8" fillId="0" borderId="0" xfId="0" applyFont="1" applyBorder="1" applyAlignment="1"/>
    <xf numFmtId="1" fontId="6" fillId="0" borderId="0" xfId="0" applyNumberFormat="1" applyFont="1" applyFill="1" applyAlignment="1">
      <alignment horizontal="center"/>
    </xf>
    <xf numFmtId="1" fontId="6" fillId="0" borderId="0" xfId="0" applyNumberFormat="1" applyFont="1" applyFill="1" applyAlignment="1"/>
    <xf numFmtId="1" fontId="8" fillId="0" borderId="0" xfId="0" applyNumberFormat="1" applyFont="1" applyFill="1" applyAlignment="1"/>
    <xf numFmtId="0" fontId="6" fillId="0" borderId="0" xfId="0" applyFont="1" applyFill="1"/>
    <xf numFmtId="0" fontId="6" fillId="0" borderId="0" xfId="0" applyFont="1" applyFill="1" applyAlignment="1"/>
    <xf numFmtId="167" fontId="6" fillId="0" borderId="0" xfId="0" applyNumberFormat="1" applyFont="1" applyFill="1" applyAlignment="1"/>
    <xf numFmtId="0" fontId="6" fillId="0" borderId="0" xfId="0" applyFont="1" applyFill="1" applyAlignment="1">
      <alignment horizontal="center"/>
    </xf>
    <xf numFmtId="166" fontId="6" fillId="0" borderId="0" xfId="0" applyNumberFormat="1" applyFont="1" applyFill="1" applyAlignment="1"/>
    <xf numFmtId="2" fontId="6" fillId="0" borderId="0" xfId="0" applyNumberFormat="1" applyFont="1" applyFill="1" applyAlignment="1"/>
    <xf numFmtId="0" fontId="6" fillId="0" borderId="0" xfId="0" applyFont="1" applyFill="1" applyBorder="1"/>
    <xf numFmtId="165" fontId="6" fillId="0" borderId="0" xfId="0" applyNumberFormat="1" applyFont="1" applyFill="1" applyAlignment="1">
      <alignment horizontal="center"/>
    </xf>
    <xf numFmtId="0" fontId="11" fillId="3" borderId="0" xfId="3" applyFont="1" applyFill="1" applyBorder="1"/>
    <xf numFmtId="0" fontId="12" fillId="3" borderId="0" xfId="3" applyFont="1" applyFill="1"/>
    <xf numFmtId="0" fontId="11" fillId="3" borderId="0" xfId="3" applyFont="1" applyFill="1"/>
    <xf numFmtId="0" fontId="4" fillId="3" borderId="0" xfId="3" applyFont="1" applyFill="1"/>
    <xf numFmtId="0" fontId="6" fillId="3" borderId="0" xfId="3" applyFill="1" applyBorder="1"/>
    <xf numFmtId="0" fontId="6" fillId="3" borderId="0" xfId="3" applyFill="1"/>
    <xf numFmtId="0" fontId="6" fillId="3" borderId="0" xfId="3" applyFont="1" applyFill="1"/>
    <xf numFmtId="0" fontId="4" fillId="3" borderId="3" xfId="3" applyFont="1" applyFill="1" applyBorder="1"/>
    <xf numFmtId="0" fontId="6" fillId="3" borderId="3" xfId="3" applyFill="1" applyBorder="1"/>
    <xf numFmtId="0" fontId="13" fillId="3" borderId="3" xfId="3" applyFont="1" applyFill="1" applyBorder="1"/>
    <xf numFmtId="0" fontId="14" fillId="3" borderId="3" xfId="3" applyFont="1" applyFill="1" applyBorder="1" applyAlignment="1">
      <alignment horizontal="right"/>
    </xf>
    <xf numFmtId="0" fontId="13" fillId="3" borderId="3" xfId="3" applyFont="1" applyFill="1" applyBorder="1" applyAlignment="1">
      <alignment horizontal="right"/>
    </xf>
    <xf numFmtId="0" fontId="15" fillId="3" borderId="4" xfId="3" applyFont="1" applyFill="1" applyBorder="1"/>
    <xf numFmtId="0" fontId="16" fillId="3" borderId="0" xfId="3" applyFont="1" applyFill="1"/>
    <xf numFmtId="0" fontId="15" fillId="3" borderId="6" xfId="3" applyFont="1" applyFill="1" applyBorder="1" applyAlignment="1">
      <alignment horizontal="right"/>
    </xf>
    <xf numFmtId="0" fontId="16" fillId="3" borderId="0" xfId="3" applyFont="1" applyFill="1" applyAlignment="1">
      <alignment horizontal="right"/>
    </xf>
    <xf numFmtId="0" fontId="15" fillId="3" borderId="7" xfId="3" applyFont="1" applyFill="1" applyBorder="1" applyAlignment="1">
      <alignment horizontal="right"/>
    </xf>
    <xf numFmtId="0" fontId="16" fillId="3" borderId="0" xfId="3" applyFont="1" applyFill="1" applyAlignment="1">
      <alignment vertical="top"/>
    </xf>
    <xf numFmtId="0" fontId="16" fillId="4" borderId="0" xfId="3" applyFont="1" applyFill="1"/>
    <xf numFmtId="0" fontId="4" fillId="4" borderId="0" xfId="3" applyFont="1" applyFill="1"/>
    <xf numFmtId="0" fontId="6" fillId="4" borderId="0" xfId="3" applyFill="1"/>
    <xf numFmtId="0" fontId="6" fillId="4" borderId="0" xfId="3" applyFont="1" applyFill="1"/>
    <xf numFmtId="0" fontId="8" fillId="3" borderId="0" xfId="3" applyFont="1" applyFill="1"/>
    <xf numFmtId="0" fontId="0" fillId="0" borderId="20" xfId="0" applyFill="1" applyBorder="1" applyAlignment="1"/>
    <xf numFmtId="0" fontId="20" fillId="0" borderId="0" xfId="0" applyFont="1" applyFill="1" applyBorder="1" applyAlignment="1">
      <alignment horizontal="center" wrapText="1"/>
    </xf>
    <xf numFmtId="0" fontId="0" fillId="0" borderId="0" xfId="0" applyFill="1" applyBorder="1" applyAlignment="1"/>
    <xf numFmtId="3" fontId="22" fillId="0" borderId="14" xfId="0" applyNumberFormat="1" applyFont="1" applyFill="1" applyBorder="1" applyAlignment="1">
      <alignment horizontal="center" wrapText="1"/>
    </xf>
    <xf numFmtId="3" fontId="22" fillId="0" borderId="0" xfId="0" applyNumberFormat="1" applyFont="1" applyFill="1" applyBorder="1" applyAlignment="1">
      <alignment horizontal="center" wrapText="1"/>
    </xf>
    <xf numFmtId="3" fontId="0" fillId="0" borderId="14" xfId="0" applyNumberFormat="1" applyFill="1" applyBorder="1" applyAlignment="1">
      <alignment horizontal="center"/>
    </xf>
    <xf numFmtId="3" fontId="0" fillId="0" borderId="0" xfId="0" applyNumberFormat="1" applyFill="1" applyBorder="1" applyAlignment="1">
      <alignment horizontal="center"/>
    </xf>
    <xf numFmtId="0" fontId="0" fillId="0" borderId="14" xfId="0" applyNumberFormat="1" applyFill="1" applyBorder="1" applyAlignment="1">
      <alignment horizontal="center"/>
    </xf>
    <xf numFmtId="0" fontId="0" fillId="0" borderId="0" xfId="0" applyNumberFormat="1" applyFill="1" applyBorder="1" applyAlignment="1">
      <alignment horizontal="center"/>
    </xf>
    <xf numFmtId="3" fontId="0" fillId="0" borderId="0" xfId="0" applyNumberFormat="1"/>
    <xf numFmtId="0" fontId="0" fillId="0" borderId="53" xfId="0" applyNumberFormat="1" applyFill="1" applyBorder="1" applyAlignment="1">
      <alignment horizontal="center"/>
    </xf>
    <xf numFmtId="0" fontId="0" fillId="0" borderId="46" xfId="0" applyNumberFormat="1" applyFill="1" applyBorder="1" applyAlignment="1">
      <alignment horizontal="center"/>
    </xf>
    <xf numFmtId="0" fontId="0" fillId="0" borderId="0" xfId="0" applyFill="1" applyAlignment="1">
      <alignment horizontal="left"/>
    </xf>
    <xf numFmtId="0" fontId="0" fillId="0" borderId="51" xfId="0" applyNumberFormat="1" applyFill="1" applyBorder="1" applyAlignment="1">
      <alignment horizontal="center"/>
    </xf>
    <xf numFmtId="0" fontId="0" fillId="0" borderId="32" xfId="0" applyFill="1" applyBorder="1" applyAlignment="1">
      <alignment horizontal="center"/>
    </xf>
    <xf numFmtId="0" fontId="0" fillId="0" borderId="14" xfId="0" applyFill="1" applyBorder="1" applyAlignment="1">
      <alignment horizontal="center"/>
    </xf>
    <xf numFmtId="0" fontId="0" fillId="0" borderId="0" xfId="0" applyFill="1" applyBorder="1"/>
    <xf numFmtId="0" fontId="0" fillId="0" borderId="30" xfId="0" applyFill="1" applyBorder="1" applyAlignment="1">
      <alignment horizontal="center"/>
    </xf>
    <xf numFmtId="0" fontId="0" fillId="0" borderId="6" xfId="0" applyFill="1" applyBorder="1" applyAlignment="1">
      <alignment horizontal="center"/>
    </xf>
    <xf numFmtId="3" fontId="18" fillId="0" borderId="0" xfId="0" applyNumberFormat="1" applyFont="1" applyFill="1" applyBorder="1" applyAlignment="1">
      <alignment horizontal="center"/>
    </xf>
    <xf numFmtId="3" fontId="20" fillId="0" borderId="0" xfId="0" applyNumberFormat="1" applyFont="1" applyFill="1" applyBorder="1" applyAlignment="1">
      <alignment horizontal="center"/>
    </xf>
    <xf numFmtId="0" fontId="18" fillId="0" borderId="0" xfId="0" applyFont="1" applyFill="1"/>
    <xf numFmtId="0" fontId="18" fillId="0" borderId="0" xfId="0" applyFont="1" applyFill="1" applyAlignment="1">
      <alignment horizontal="left"/>
    </xf>
    <xf numFmtId="3" fontId="18" fillId="0" borderId="0" xfId="0" applyNumberFormat="1" applyFont="1" applyFill="1" applyAlignment="1">
      <alignment horizontal="center"/>
    </xf>
    <xf numFmtId="3" fontId="18" fillId="0" borderId="0" xfId="0" applyNumberFormat="1" applyFont="1" applyFill="1" applyBorder="1" applyAlignment="1">
      <alignment horizontal="left"/>
    </xf>
    <xf numFmtId="0" fontId="18" fillId="0" borderId="0" xfId="0" applyFont="1" applyFill="1" applyBorder="1" applyAlignment="1">
      <alignment horizontal="left"/>
    </xf>
    <xf numFmtId="3" fontId="0" fillId="0" borderId="37" xfId="0" applyNumberFormat="1" applyFill="1" applyBorder="1" applyAlignment="1">
      <alignment horizontal="center"/>
    </xf>
    <xf numFmtId="3" fontId="0" fillId="0" borderId="11" xfId="0" applyNumberFormat="1" applyFill="1" applyBorder="1" applyAlignment="1">
      <alignment horizontal="center"/>
    </xf>
    <xf numFmtId="3" fontId="0" fillId="0" borderId="42" xfId="0" applyNumberFormat="1" applyFill="1" applyBorder="1" applyAlignment="1">
      <alignment horizontal="center"/>
    </xf>
    <xf numFmtId="3" fontId="0" fillId="0" borderId="0" xfId="0" applyNumberFormat="1" applyFill="1" applyAlignment="1">
      <alignment horizontal="center"/>
    </xf>
    <xf numFmtId="0" fontId="0" fillId="0" borderId="0" xfId="0" applyFill="1" applyBorder="1" applyAlignment="1">
      <alignment horizontal="left"/>
    </xf>
    <xf numFmtId="3" fontId="0" fillId="0" borderId="0" xfId="0" applyNumberFormat="1" applyFill="1" applyBorder="1" applyAlignment="1">
      <alignment horizontal="left"/>
    </xf>
    <xf numFmtId="0" fontId="6" fillId="0" borderId="0" xfId="0" applyFont="1"/>
    <xf numFmtId="0" fontId="6" fillId="0" borderId="0" xfId="0" applyFont="1" applyFill="1" applyAlignment="1">
      <alignment horizontal="left"/>
    </xf>
    <xf numFmtId="0" fontId="6" fillId="0" borderId="6" xfId="0" applyFont="1" applyFill="1" applyBorder="1"/>
    <xf numFmtId="4" fontId="6" fillId="0" borderId="0" xfId="0" applyNumberFormat="1" applyFont="1" applyFill="1"/>
    <xf numFmtId="14" fontId="0" fillId="0" borderId="0" xfId="0" applyNumberFormat="1"/>
    <xf numFmtId="4" fontId="6" fillId="6" borderId="0" xfId="0" applyNumberFormat="1" applyFont="1" applyFill="1"/>
    <xf numFmtId="0" fontId="6" fillId="6" borderId="0" xfId="0" applyFont="1" applyFill="1"/>
    <xf numFmtId="0" fontId="6" fillId="0" borderId="2" xfId="0" applyFont="1" applyFill="1" applyBorder="1"/>
    <xf numFmtId="0" fontId="2" fillId="0" borderId="7" xfId="0" applyFont="1" applyFill="1" applyBorder="1"/>
    <xf numFmtId="0" fontId="2" fillId="0" borderId="2" xfId="0" applyFont="1" applyFill="1" applyBorder="1" applyAlignment="1">
      <alignment horizontal="right"/>
    </xf>
    <xf numFmtId="0" fontId="4" fillId="0" borderId="14" xfId="0" applyFont="1" applyFill="1" applyBorder="1"/>
    <xf numFmtId="0" fontId="4" fillId="0" borderId="0" xfId="0" applyFont="1" applyFill="1" applyBorder="1"/>
    <xf numFmtId="4" fontId="4" fillId="0" borderId="37" xfId="0" applyNumberFormat="1" applyFont="1" applyFill="1" applyBorder="1" applyAlignment="1">
      <alignment horizontal="right"/>
    </xf>
    <xf numFmtId="0" fontId="4" fillId="0" borderId="11" xfId="0" applyFont="1" applyFill="1" applyBorder="1" applyAlignment="1">
      <alignment horizontal="right"/>
    </xf>
    <xf numFmtId="0" fontId="4" fillId="0" borderId="8" xfId="0" applyFont="1" applyFill="1" applyBorder="1" applyAlignment="1">
      <alignment horizontal="right"/>
    </xf>
    <xf numFmtId="0" fontId="4" fillId="0" borderId="20" xfId="0" applyFont="1" applyFill="1" applyBorder="1" applyAlignment="1">
      <alignment horizontal="right"/>
    </xf>
    <xf numFmtId="0" fontId="6" fillId="0" borderId="20" xfId="0" applyFont="1" applyFill="1" applyBorder="1"/>
    <xf numFmtId="0" fontId="4" fillId="0" borderId="14" xfId="0" applyFont="1" applyFill="1" applyBorder="1" applyAlignment="1">
      <alignment horizontal="right"/>
    </xf>
    <xf numFmtId="0" fontId="4" fillId="0" borderId="0" xfId="0" applyFont="1" applyFill="1" applyAlignment="1">
      <alignment horizontal="right"/>
    </xf>
    <xf numFmtId="0" fontId="4" fillId="0" borderId="0" xfId="0" applyFont="1" applyFill="1" applyBorder="1" applyAlignment="1">
      <alignment horizontal="right"/>
    </xf>
    <xf numFmtId="0" fontId="6" fillId="0" borderId="0" xfId="0" applyFont="1" applyFill="1" applyAlignment="1">
      <alignment horizontal="right"/>
    </xf>
    <xf numFmtId="4" fontId="4" fillId="0" borderId="42" xfId="0" applyNumberFormat="1" applyFont="1" applyFill="1" applyBorder="1" applyAlignment="1">
      <alignment horizontal="right"/>
    </xf>
    <xf numFmtId="0" fontId="4" fillId="0" borderId="6" xfId="0" applyFont="1" applyFill="1" applyBorder="1"/>
    <xf numFmtId="0" fontId="6" fillId="0" borderId="14" xfId="0" applyFont="1" applyFill="1" applyBorder="1" applyAlignment="1">
      <alignment horizontal="right"/>
    </xf>
    <xf numFmtId="0" fontId="4" fillId="0" borderId="42" xfId="0" applyFont="1" applyFill="1" applyBorder="1" applyAlignment="1">
      <alignment horizontal="right"/>
    </xf>
    <xf numFmtId="0" fontId="4" fillId="0" borderId="6" xfId="0" applyFont="1" applyFill="1" applyBorder="1" applyAlignment="1">
      <alignment horizontal="right"/>
    </xf>
    <xf numFmtId="0" fontId="4" fillId="0" borderId="30" xfId="0" applyFont="1" applyFill="1" applyBorder="1" applyAlignment="1">
      <alignment horizontal="right"/>
    </xf>
    <xf numFmtId="0" fontId="4" fillId="0" borderId="2" xfId="0" applyFont="1" applyFill="1" applyBorder="1" applyAlignment="1">
      <alignment horizontal="right"/>
    </xf>
    <xf numFmtId="49" fontId="4" fillId="0" borderId="2" xfId="0" applyNumberFormat="1" applyFont="1" applyFill="1" applyBorder="1" applyAlignment="1">
      <alignment horizontal="right"/>
    </xf>
    <xf numFmtId="0" fontId="4" fillId="0" borderId="7" xfId="0" applyFont="1" applyFill="1" applyBorder="1" applyAlignment="1">
      <alignment horizontal="right"/>
    </xf>
    <xf numFmtId="0" fontId="4" fillId="0" borderId="29" xfId="0" applyFont="1" applyFill="1" applyBorder="1" applyAlignment="1">
      <alignment horizontal="right"/>
    </xf>
    <xf numFmtId="4" fontId="4" fillId="0" borderId="29" xfId="0" applyNumberFormat="1" applyFont="1" applyFill="1" applyBorder="1" applyAlignment="1">
      <alignment horizontal="right"/>
    </xf>
    <xf numFmtId="0" fontId="4" fillId="0" borderId="2" xfId="0" applyFont="1" applyFill="1" applyBorder="1"/>
    <xf numFmtId="0" fontId="4" fillId="0" borderId="7" xfId="0" applyFont="1" applyFill="1" applyBorder="1"/>
    <xf numFmtId="0" fontId="4" fillId="0" borderId="30" xfId="0" quotePrefix="1" applyFont="1" applyFill="1" applyBorder="1" applyAlignment="1">
      <alignment horizontal="right"/>
    </xf>
    <xf numFmtId="0" fontId="6" fillId="0" borderId="30" xfId="0" applyFont="1" applyFill="1" applyBorder="1" applyAlignment="1">
      <alignment horizontal="right"/>
    </xf>
    <xf numFmtId="0" fontId="35" fillId="0" borderId="14" xfId="0" applyFont="1" applyFill="1" applyBorder="1" applyAlignment="1">
      <alignment horizontal="center"/>
    </xf>
    <xf numFmtId="4" fontId="6" fillId="0" borderId="0" xfId="0" applyNumberFormat="1" applyFont="1" applyFill="1" applyBorder="1" applyAlignment="1">
      <alignment horizontal="right"/>
    </xf>
    <xf numFmtId="0" fontId="6" fillId="0" borderId="0" xfId="0" applyFont="1" applyFill="1" applyBorder="1" applyAlignment="1">
      <alignment horizontal="right"/>
    </xf>
    <xf numFmtId="173" fontId="6" fillId="0" borderId="0" xfId="0" applyNumberFormat="1" applyFont="1" applyFill="1" applyBorder="1" applyAlignment="1">
      <alignment horizontal="right"/>
    </xf>
    <xf numFmtId="0" fontId="0" fillId="0" borderId="6" xfId="0" applyBorder="1" applyAlignment="1">
      <alignment horizontal="right"/>
    </xf>
    <xf numFmtId="4" fontId="6" fillId="0" borderId="42" xfId="0" applyNumberFormat="1" applyFont="1" applyFill="1" applyBorder="1" applyAlignment="1">
      <alignment horizontal="right"/>
    </xf>
    <xf numFmtId="174" fontId="6" fillId="0" borderId="0" xfId="0" applyNumberFormat="1" applyFont="1" applyFill="1" applyBorder="1" applyAlignment="1">
      <alignment horizontal="right"/>
    </xf>
    <xf numFmtId="4" fontId="6" fillId="0" borderId="6" xfId="0" applyNumberFormat="1" applyFont="1" applyFill="1" applyBorder="1" applyAlignment="1">
      <alignment horizontal="right"/>
    </xf>
    <xf numFmtId="4" fontId="6" fillId="0" borderId="0" xfId="0" applyNumberFormat="1" applyFont="1" applyFill="1" applyAlignment="1">
      <alignment horizontal="right"/>
    </xf>
    <xf numFmtId="3" fontId="6" fillId="0" borderId="14" xfId="0" applyNumberFormat="1" applyFont="1" applyFill="1" applyBorder="1" applyAlignment="1">
      <alignment horizontal="right"/>
    </xf>
    <xf numFmtId="0" fontId="36" fillId="0" borderId="14" xfId="0" applyFont="1" applyFill="1" applyBorder="1" applyAlignment="1">
      <alignment horizontal="right"/>
    </xf>
    <xf numFmtId="167" fontId="6" fillId="0" borderId="0" xfId="0" applyNumberFormat="1" applyFont="1" applyFill="1" applyBorder="1" applyAlignment="1">
      <alignment horizontal="right"/>
    </xf>
    <xf numFmtId="4" fontId="6" fillId="0" borderId="29" xfId="0" applyNumberFormat="1" applyFont="1" applyFill="1" applyBorder="1" applyAlignment="1">
      <alignment horizontal="right"/>
    </xf>
    <xf numFmtId="4" fontId="6" fillId="0" borderId="2" xfId="0" applyNumberFormat="1" applyFont="1" applyFill="1" applyBorder="1" applyAlignment="1">
      <alignment horizontal="right"/>
    </xf>
    <xf numFmtId="174" fontId="6" fillId="0" borderId="2" xfId="0" applyNumberFormat="1" applyFont="1" applyFill="1" applyBorder="1" applyAlignment="1">
      <alignment horizontal="right"/>
    </xf>
    <xf numFmtId="4" fontId="6" fillId="0" borderId="7" xfId="0" applyNumberFormat="1" applyFont="1" applyFill="1" applyBorder="1" applyAlignment="1">
      <alignment horizontal="right"/>
    </xf>
    <xf numFmtId="4" fontId="6" fillId="0" borderId="11" xfId="0" applyNumberFormat="1" applyFont="1" applyFill="1" applyBorder="1" applyAlignment="1">
      <alignment horizontal="right"/>
    </xf>
    <xf numFmtId="174" fontId="6" fillId="0" borderId="11" xfId="0" applyNumberFormat="1" applyFont="1" applyFill="1" applyBorder="1" applyAlignment="1">
      <alignment horizontal="right"/>
    </xf>
    <xf numFmtId="4" fontId="6" fillId="0" borderId="8" xfId="0" applyNumberFormat="1" applyFont="1" applyFill="1" applyBorder="1" applyAlignment="1">
      <alignment horizontal="right"/>
    </xf>
    <xf numFmtId="2" fontId="6" fillId="0" borderId="0" xfId="0" applyNumberFormat="1" applyFont="1" applyFill="1" applyBorder="1" applyAlignment="1">
      <alignment horizontal="right"/>
    </xf>
    <xf numFmtId="2" fontId="6" fillId="0" borderId="6" xfId="0" applyNumberFormat="1" applyFont="1" applyFill="1" applyBorder="1" applyAlignment="1">
      <alignment horizontal="right"/>
    </xf>
    <xf numFmtId="4" fontId="6" fillId="0" borderId="37" xfId="0" applyNumberFormat="1" applyFont="1" applyFill="1" applyBorder="1" applyAlignment="1">
      <alignment horizontal="right"/>
    </xf>
    <xf numFmtId="173" fontId="6" fillId="0" borderId="6" xfId="0" applyNumberFormat="1" applyFont="1" applyFill="1" applyBorder="1" applyAlignment="1">
      <alignment horizontal="right"/>
    </xf>
    <xf numFmtId="49" fontId="6" fillId="0" borderId="0" xfId="0" applyNumberFormat="1" applyFont="1" applyFill="1" applyBorder="1" applyAlignment="1">
      <alignment horizontal="right"/>
    </xf>
    <xf numFmtId="3" fontId="6" fillId="0" borderId="14" xfId="0" applyNumberFormat="1" applyFont="1" applyFill="1" applyBorder="1"/>
    <xf numFmtId="0" fontId="36" fillId="0" borderId="14" xfId="0" applyFont="1" applyFill="1" applyBorder="1"/>
    <xf numFmtId="0" fontId="35" fillId="0" borderId="16" xfId="0" applyFont="1" applyFill="1" applyBorder="1" applyAlignment="1">
      <alignment horizontal="center"/>
    </xf>
    <xf numFmtId="173" fontId="6" fillId="0" borderId="3" xfId="0" applyNumberFormat="1" applyFont="1" applyFill="1" applyBorder="1" applyAlignment="1">
      <alignment horizontal="right"/>
    </xf>
    <xf numFmtId="3" fontId="6" fillId="0" borderId="16" xfId="0" applyNumberFormat="1" applyFont="1" applyFill="1" applyBorder="1"/>
    <xf numFmtId="173" fontId="6" fillId="0" borderId="42" xfId="0" applyNumberFormat="1" applyFont="1" applyFill="1" applyBorder="1" applyAlignment="1">
      <alignment horizontal="right"/>
    </xf>
    <xf numFmtId="0" fontId="36" fillId="0" borderId="6" xfId="0" applyFont="1" applyFill="1" applyBorder="1"/>
    <xf numFmtId="3" fontId="6" fillId="0" borderId="42" xfId="0" applyNumberFormat="1" applyFont="1" applyFill="1" applyBorder="1" applyAlignment="1">
      <alignment horizontal="right"/>
    </xf>
    <xf numFmtId="3" fontId="6" fillId="0" borderId="29" xfId="0" applyNumberFormat="1" applyFont="1" applyFill="1" applyBorder="1" applyAlignment="1">
      <alignment horizontal="right"/>
    </xf>
    <xf numFmtId="0" fontId="36" fillId="0" borderId="30" xfId="0" applyFont="1" applyFill="1" applyBorder="1"/>
    <xf numFmtId="173" fontId="6" fillId="0" borderId="2" xfId="0" applyNumberFormat="1" applyFont="1" applyFill="1" applyBorder="1" applyAlignment="1">
      <alignment horizontal="right"/>
    </xf>
    <xf numFmtId="173" fontId="6" fillId="0" borderId="7" xfId="0" applyNumberFormat="1" applyFont="1" applyFill="1" applyBorder="1" applyAlignment="1">
      <alignment horizontal="right"/>
    </xf>
    <xf numFmtId="2" fontId="6" fillId="2" borderId="0" xfId="0" applyNumberFormat="1" applyFont="1" applyFill="1" applyAlignment="1">
      <alignment horizontal="center"/>
    </xf>
    <xf numFmtId="3" fontId="6" fillId="0" borderId="0" xfId="0" applyNumberFormat="1" applyFont="1" applyFill="1" applyBorder="1" applyAlignment="1">
      <alignment horizontal="right"/>
    </xf>
    <xf numFmtId="0" fontId="36" fillId="0" borderId="0" xfId="0" applyFont="1" applyFill="1" applyBorder="1"/>
    <xf numFmtId="2" fontId="6" fillId="0" borderId="0" xfId="0" applyNumberFormat="1" applyFont="1" applyFill="1" applyAlignment="1">
      <alignment horizontal="center"/>
    </xf>
    <xf numFmtId="3" fontId="38" fillId="4" borderId="0" xfId="0" applyNumberFormat="1" applyFont="1" applyFill="1" applyBorder="1" applyAlignment="1">
      <alignment horizontal="center"/>
    </xf>
    <xf numFmtId="0" fontId="4" fillId="0" borderId="0" xfId="0" applyFont="1" applyFill="1" applyAlignment="1">
      <alignment horizontal="left"/>
    </xf>
    <xf numFmtId="173" fontId="6" fillId="0" borderId="0" xfId="0" applyNumberFormat="1" applyFont="1" applyFill="1" applyAlignment="1">
      <alignment horizontal="right"/>
    </xf>
    <xf numFmtId="3" fontId="6" fillId="0" borderId="0" xfId="0" applyNumberFormat="1" applyFont="1" applyFill="1"/>
    <xf numFmtId="0" fontId="34" fillId="0" borderId="0" xfId="0" applyFont="1" applyFill="1"/>
    <xf numFmtId="0" fontId="14" fillId="0" borderId="0" xfId="0" applyFont="1" applyFill="1"/>
    <xf numFmtId="2" fontId="6" fillId="0" borderId="0" xfId="0" applyNumberFormat="1" applyFont="1" applyFill="1" applyBorder="1"/>
    <xf numFmtId="2" fontId="8" fillId="0" borderId="0" xfId="0" applyNumberFormat="1" applyFont="1" applyFill="1"/>
    <xf numFmtId="4" fontId="8" fillId="0" borderId="0" xfId="0" applyNumberFormat="1" applyFont="1" applyFill="1"/>
    <xf numFmtId="2" fontId="6" fillId="0" borderId="0" xfId="0" applyNumberFormat="1" applyFont="1" applyFill="1"/>
    <xf numFmtId="3" fontId="8" fillId="0" borderId="0" xfId="0" applyNumberFormat="1" applyFont="1" applyFill="1"/>
    <xf numFmtId="0" fontId="39" fillId="0" borderId="0" xfId="0" applyFont="1"/>
    <xf numFmtId="0" fontId="3" fillId="0" borderId="0" xfId="2" applyFill="1" applyAlignment="1" applyProtection="1"/>
    <xf numFmtId="4" fontId="6" fillId="0" borderId="0" xfId="0" applyNumberFormat="1" applyFont="1" applyFill="1" applyBorder="1"/>
    <xf numFmtId="0" fontId="6" fillId="0" borderId="2" xfId="0" applyFont="1" applyFill="1" applyBorder="1" applyAlignment="1">
      <alignment horizontal="right"/>
    </xf>
    <xf numFmtId="0" fontId="6" fillId="0" borderId="2" xfId="0" applyFont="1" applyBorder="1"/>
    <xf numFmtId="0" fontId="6" fillId="0" borderId="2" xfId="0" applyFont="1" applyFill="1" applyBorder="1" applyAlignment="1">
      <alignment horizontal="left"/>
    </xf>
    <xf numFmtId="0" fontId="3" fillId="0" borderId="2" xfId="2" applyFill="1" applyBorder="1" applyAlignment="1" applyProtection="1">
      <alignment horizontal="right"/>
    </xf>
    <xf numFmtId="0" fontId="6" fillId="0" borderId="59" xfId="0" applyFont="1" applyFill="1" applyBorder="1" applyAlignment="1">
      <alignment horizontal="right"/>
    </xf>
    <xf numFmtId="0" fontId="6" fillId="0" borderId="57" xfId="0" applyFont="1" applyFill="1" applyBorder="1" applyAlignment="1">
      <alignment horizontal="right"/>
    </xf>
    <xf numFmtId="0" fontId="4" fillId="0" borderId="57" xfId="0" applyFont="1" applyFill="1" applyBorder="1" applyAlignment="1">
      <alignment horizontal="left"/>
    </xf>
    <xf numFmtId="175" fontId="6" fillId="0" borderId="0" xfId="0" applyNumberFormat="1" applyFont="1" applyFill="1" applyBorder="1" applyAlignment="1">
      <alignment horizontal="right"/>
    </xf>
    <xf numFmtId="173" fontId="6" fillId="0" borderId="60" xfId="0" applyNumberFormat="1" applyFont="1" applyFill="1" applyBorder="1" applyAlignment="1">
      <alignment horizontal="right"/>
    </xf>
    <xf numFmtId="0" fontId="6" fillId="0" borderId="3" xfId="0" applyFont="1" applyFill="1" applyBorder="1" applyAlignment="1">
      <alignment horizontal="right"/>
    </xf>
    <xf numFmtId="0" fontId="35" fillId="0" borderId="30" xfId="0" applyFont="1" applyFill="1" applyBorder="1" applyAlignment="1">
      <alignment horizontal="center"/>
    </xf>
    <xf numFmtId="173" fontId="6" fillId="0" borderId="29" xfId="0" applyNumberFormat="1" applyFont="1" applyFill="1" applyBorder="1" applyAlignment="1">
      <alignment horizontal="right"/>
    </xf>
    <xf numFmtId="166" fontId="6" fillId="0" borderId="0" xfId="0" applyNumberFormat="1" applyFont="1" applyFill="1" applyBorder="1" applyAlignment="1">
      <alignment horizontal="right"/>
    </xf>
    <xf numFmtId="0" fontId="8" fillId="0" borderId="0" xfId="0" applyFont="1" applyFill="1" applyAlignment="1">
      <alignment horizontal="right"/>
    </xf>
    <xf numFmtId="173" fontId="8" fillId="0" borderId="0" xfId="0" applyNumberFormat="1" applyFont="1" applyFill="1" applyAlignment="1">
      <alignment horizontal="right"/>
    </xf>
    <xf numFmtId="2" fontId="8" fillId="0" borderId="0" xfId="0" applyNumberFormat="1" applyFont="1" applyFill="1" applyAlignment="1">
      <alignment horizontal="right"/>
    </xf>
    <xf numFmtId="0" fontId="34" fillId="3" borderId="0" xfId="0" applyFont="1" applyFill="1"/>
    <xf numFmtId="0" fontId="41" fillId="0" borderId="0" xfId="0" applyFont="1" applyFill="1" applyAlignment="1">
      <alignment horizontal="right"/>
    </xf>
    <xf numFmtId="0" fontId="8" fillId="0" borderId="0" xfId="0" applyFont="1" applyAlignment="1">
      <alignment wrapText="1"/>
    </xf>
    <xf numFmtId="0" fontId="8" fillId="0" borderId="0" xfId="0" applyFont="1" applyFill="1" applyAlignment="1">
      <alignment horizontal="left"/>
    </xf>
    <xf numFmtId="0" fontId="6" fillId="0" borderId="0" xfId="0" applyFont="1" applyAlignment="1">
      <alignment horizontal="left"/>
    </xf>
    <xf numFmtId="3" fontId="8" fillId="0" borderId="0" xfId="0" applyNumberFormat="1" applyFont="1" applyFill="1" applyAlignment="1">
      <alignment horizontal="right"/>
    </xf>
    <xf numFmtId="0" fontId="8" fillId="0" borderId="0" xfId="0" applyFont="1" applyFill="1" applyBorder="1" applyAlignment="1">
      <alignment horizontal="right"/>
    </xf>
    <xf numFmtId="0" fontId="8" fillId="0" borderId="0" xfId="0" applyFont="1" applyFill="1" applyBorder="1" applyAlignment="1">
      <alignment horizontal="left"/>
    </xf>
    <xf numFmtId="3" fontId="8" fillId="0" borderId="0" xfId="0" applyNumberFormat="1" applyFont="1" applyFill="1" applyBorder="1" applyAlignment="1">
      <alignment horizontal="right"/>
    </xf>
    <xf numFmtId="3" fontId="42" fillId="0" borderId="0" xfId="0" applyNumberFormat="1" applyFont="1" applyFill="1" applyBorder="1" applyAlignment="1">
      <alignment horizontal="right"/>
    </xf>
    <xf numFmtId="0" fontId="8" fillId="2" borderId="2" xfId="0" applyFont="1" applyFill="1" applyBorder="1" applyAlignment="1">
      <alignment horizontal="left"/>
    </xf>
    <xf numFmtId="0" fontId="6" fillId="2" borderId="0" xfId="0" applyFont="1" applyFill="1" applyAlignment="1">
      <alignment horizontal="right"/>
    </xf>
    <xf numFmtId="0" fontId="6" fillId="2" borderId="0" xfId="0" applyFont="1" applyFill="1"/>
    <xf numFmtId="0" fontId="0" fillId="3" borderId="0" xfId="0" applyFill="1"/>
    <xf numFmtId="0" fontId="0" fillId="3" borderId="0" xfId="0" applyFill="1" applyBorder="1"/>
    <xf numFmtId="0" fontId="0" fillId="4" borderId="0" xfId="0" applyFill="1" applyBorder="1"/>
    <xf numFmtId="176" fontId="44" fillId="3" borderId="0" xfId="0" applyNumberFormat="1" applyFont="1" applyFill="1"/>
    <xf numFmtId="0" fontId="45" fillId="3" borderId="0" xfId="0" applyFont="1" applyFill="1"/>
    <xf numFmtId="176" fontId="6" fillId="3" borderId="0" xfId="0" applyNumberFormat="1" applyFont="1" applyFill="1" applyAlignment="1">
      <alignment horizontal="left"/>
    </xf>
    <xf numFmtId="0" fontId="3" fillId="3" borderId="0" xfId="2" applyFont="1" applyFill="1" applyAlignment="1" applyProtection="1"/>
    <xf numFmtId="0" fontId="0" fillId="3" borderId="0" xfId="0" applyFill="1" applyAlignment="1">
      <alignment horizontal="right"/>
    </xf>
    <xf numFmtId="0" fontId="6" fillId="3" borderId="61" xfId="0" applyFont="1" applyFill="1" applyBorder="1" applyAlignment="1">
      <alignment wrapText="1"/>
    </xf>
    <xf numFmtId="0" fontId="46" fillId="3" borderId="64"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65" xfId="0" applyFont="1" applyFill="1" applyBorder="1" applyAlignment="1">
      <alignment horizontal="center" vertical="center" wrapText="1"/>
    </xf>
    <xf numFmtId="0" fontId="46" fillId="3" borderId="66"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 fillId="3" borderId="69" xfId="0" applyFont="1" applyFill="1" applyBorder="1" applyAlignment="1">
      <alignment horizontal="center" vertical="center" wrapText="1"/>
    </xf>
    <xf numFmtId="0" fontId="4" fillId="3" borderId="63" xfId="0" applyFont="1" applyFill="1" applyBorder="1" applyAlignment="1">
      <alignment horizontal="center" vertical="center" wrapText="1"/>
    </xf>
    <xf numFmtId="0" fontId="6" fillId="3" borderId="0" xfId="0" applyFont="1" applyFill="1" applyAlignment="1">
      <alignment wrapText="1"/>
    </xf>
    <xf numFmtId="0" fontId="6" fillId="4" borderId="0" xfId="0" applyFont="1" applyFill="1" applyBorder="1"/>
    <xf numFmtId="0" fontId="17" fillId="3" borderId="71" xfId="0" applyFont="1" applyFill="1" applyBorder="1" applyAlignment="1">
      <alignment horizontal="center" wrapText="1"/>
    </xf>
    <xf numFmtId="0" fontId="17" fillId="3" borderId="72" xfId="0" applyFont="1" applyFill="1" applyBorder="1" applyAlignment="1">
      <alignment horizontal="center" vertical="center" wrapText="1"/>
    </xf>
    <xf numFmtId="0" fontId="17" fillId="3" borderId="73" xfId="0" applyFont="1" applyFill="1" applyBorder="1" applyAlignment="1">
      <alignment horizontal="center" vertical="center" wrapText="1"/>
    </xf>
    <xf numFmtId="0" fontId="17" fillId="3" borderId="74" xfId="0" applyFont="1" applyFill="1" applyBorder="1" applyAlignment="1">
      <alignment horizontal="center" vertical="center" wrapText="1"/>
    </xf>
    <xf numFmtId="0" fontId="17" fillId="7" borderId="75" xfId="0" applyFont="1" applyFill="1" applyBorder="1" applyAlignment="1">
      <alignment horizontal="center" wrapText="1"/>
    </xf>
    <xf numFmtId="0" fontId="17" fillId="3" borderId="0" xfId="0" applyFont="1" applyFill="1" applyBorder="1" applyAlignment="1">
      <alignment horizontal="center" wrapText="1"/>
    </xf>
    <xf numFmtId="0" fontId="17" fillId="7" borderId="76" xfId="0" applyFont="1" applyFill="1" applyBorder="1" applyAlignment="1">
      <alignment horizontal="center" wrapText="1"/>
    </xf>
    <xf numFmtId="0" fontId="17" fillId="3" borderId="77" xfId="0" applyFont="1" applyFill="1" applyBorder="1" applyAlignment="1">
      <alignment horizontal="center" wrapText="1"/>
    </xf>
    <xf numFmtId="0" fontId="17" fillId="7" borderId="78" xfId="0" applyFont="1" applyFill="1" applyBorder="1" applyAlignment="1">
      <alignment horizontal="center" wrapText="1"/>
    </xf>
    <xf numFmtId="0" fontId="17" fillId="3" borderId="79" xfId="0" applyFont="1" applyFill="1" applyBorder="1" applyAlignment="1">
      <alignment horizontal="center" vertical="center" wrapText="1"/>
    </xf>
    <xf numFmtId="0" fontId="17" fillId="7" borderId="54" xfId="0" applyFont="1" applyFill="1" applyBorder="1" applyAlignment="1">
      <alignment horizontal="center" wrapText="1"/>
    </xf>
    <xf numFmtId="0" fontId="17" fillId="7" borderId="79" xfId="0" applyFont="1" applyFill="1" applyBorder="1" applyAlignment="1">
      <alignment horizontal="center" wrapText="1"/>
    </xf>
    <xf numFmtId="0" fontId="17" fillId="3" borderId="80" xfId="0" applyFont="1" applyFill="1" applyBorder="1" applyAlignment="1">
      <alignment horizontal="center" vertical="center" wrapText="1"/>
    </xf>
    <xf numFmtId="0" fontId="17" fillId="3" borderId="81" xfId="0" applyFont="1" applyFill="1" applyBorder="1" applyAlignment="1">
      <alignment horizontal="center" vertical="center" wrapText="1"/>
    </xf>
    <xf numFmtId="0" fontId="17" fillId="3" borderId="0" xfId="0" applyFont="1" applyFill="1" applyAlignment="1">
      <alignment horizontal="center" wrapText="1"/>
    </xf>
    <xf numFmtId="0" fontId="17" fillId="7" borderId="82" xfId="0" applyFont="1" applyFill="1" applyBorder="1" applyAlignment="1">
      <alignment horizontal="center" wrapText="1"/>
    </xf>
    <xf numFmtId="0" fontId="6" fillId="3" borderId="71" xfId="0" applyFont="1" applyFill="1" applyBorder="1"/>
    <xf numFmtId="0" fontId="6" fillId="3" borderId="83" xfId="0" applyFont="1" applyFill="1" applyBorder="1"/>
    <xf numFmtId="0" fontId="6" fillId="3" borderId="84" xfId="0" applyFont="1" applyFill="1" applyBorder="1"/>
    <xf numFmtId="0" fontId="6" fillId="3" borderId="85" xfId="0" applyFont="1" applyFill="1" applyBorder="1"/>
    <xf numFmtId="0" fontId="6" fillId="3" borderId="61" xfId="0" applyFont="1" applyFill="1" applyBorder="1"/>
    <xf numFmtId="0" fontId="6" fillId="3" borderId="0" xfId="0" applyFont="1" applyFill="1" applyBorder="1"/>
    <xf numFmtId="0" fontId="6" fillId="3" borderId="86" xfId="0" applyFont="1" applyFill="1" applyBorder="1"/>
    <xf numFmtId="0" fontId="6" fillId="3" borderId="87" xfId="0" applyFont="1" applyFill="1" applyBorder="1"/>
    <xf numFmtId="0" fontId="6" fillId="3" borderId="27" xfId="0" applyFont="1" applyFill="1" applyBorder="1"/>
    <xf numFmtId="0" fontId="6" fillId="3" borderId="33" xfId="0" applyFont="1" applyFill="1" applyBorder="1"/>
    <xf numFmtId="0" fontId="6" fillId="3" borderId="88" xfId="0" applyFont="1" applyFill="1" applyBorder="1"/>
    <xf numFmtId="0" fontId="6" fillId="3" borderId="89" xfId="0" applyFont="1" applyFill="1" applyBorder="1"/>
    <xf numFmtId="0" fontId="6" fillId="3" borderId="90" xfId="0" applyFont="1" applyFill="1" applyBorder="1"/>
    <xf numFmtId="0" fontId="6" fillId="3" borderId="91" xfId="0" applyFont="1" applyFill="1" applyBorder="1"/>
    <xf numFmtId="0" fontId="6" fillId="3" borderId="0" xfId="0" applyFont="1" applyFill="1"/>
    <xf numFmtId="0" fontId="6" fillId="3" borderId="77" xfId="0" applyFont="1" applyFill="1" applyBorder="1"/>
    <xf numFmtId="3" fontId="6" fillId="4" borderId="0" xfId="0" applyNumberFormat="1" applyFont="1" applyFill="1" applyBorder="1"/>
    <xf numFmtId="0" fontId="6" fillId="3" borderId="71" xfId="0" applyFont="1" applyFill="1" applyBorder="1" applyAlignment="1"/>
    <xf numFmtId="0" fontId="6" fillId="3" borderId="92" xfId="0" applyFont="1" applyFill="1" applyBorder="1" applyAlignment="1">
      <alignment horizontal="center"/>
    </xf>
    <xf numFmtId="0" fontId="6" fillId="3" borderId="89" xfId="0" applyFont="1" applyFill="1" applyBorder="1" applyAlignment="1"/>
    <xf numFmtId="0" fontId="6" fillId="3" borderId="89" xfId="0" applyFont="1" applyFill="1" applyBorder="1" applyAlignment="1">
      <alignment wrapText="1"/>
    </xf>
    <xf numFmtId="0" fontId="6" fillId="3" borderId="90" xfId="0" applyFont="1" applyFill="1" applyBorder="1" applyAlignment="1">
      <alignment wrapText="1"/>
    </xf>
    <xf numFmtId="0" fontId="6" fillId="3" borderId="93" xfId="0" applyFont="1" applyFill="1" applyBorder="1" applyAlignment="1">
      <alignment wrapText="1"/>
    </xf>
    <xf numFmtId="0" fontId="6" fillId="3" borderId="0" xfId="0" applyFont="1" applyFill="1" applyBorder="1" applyAlignment="1">
      <alignment wrapText="1"/>
    </xf>
    <xf numFmtId="0" fontId="6" fillId="3" borderId="77" xfId="0" applyFont="1" applyFill="1" applyBorder="1" applyAlignment="1">
      <alignment wrapText="1"/>
    </xf>
    <xf numFmtId="0" fontId="6" fillId="3" borderId="87" xfId="0" applyFont="1" applyFill="1" applyBorder="1" applyAlignment="1">
      <alignment wrapText="1"/>
    </xf>
    <xf numFmtId="0" fontId="6" fillId="3" borderId="36" xfId="0" applyFont="1" applyFill="1" applyBorder="1" applyAlignment="1">
      <alignment wrapText="1"/>
    </xf>
    <xf numFmtId="0" fontId="6" fillId="3" borderId="38" xfId="0" applyFont="1" applyFill="1" applyBorder="1" applyAlignment="1">
      <alignment wrapText="1"/>
    </xf>
    <xf numFmtId="0" fontId="6" fillId="3" borderId="88" xfId="0" applyFont="1" applyFill="1" applyBorder="1" applyAlignment="1">
      <alignment wrapText="1"/>
    </xf>
    <xf numFmtId="0" fontId="6" fillId="3" borderId="91" xfId="0" applyFont="1" applyFill="1" applyBorder="1" applyAlignment="1">
      <alignment wrapText="1"/>
    </xf>
    <xf numFmtId="0" fontId="6" fillId="3" borderId="92" xfId="0" applyFont="1" applyFill="1" applyBorder="1" applyAlignment="1"/>
    <xf numFmtId="0" fontId="6" fillId="3" borderId="93" xfId="0" applyFont="1" applyFill="1" applyBorder="1"/>
    <xf numFmtId="0" fontId="6" fillId="3" borderId="36" xfId="0" applyFont="1" applyFill="1" applyBorder="1"/>
    <xf numFmtId="0" fontId="6" fillId="3" borderId="38" xfId="0" applyFont="1" applyFill="1" applyBorder="1"/>
    <xf numFmtId="0" fontId="6" fillId="3" borderId="92" xfId="0" applyFont="1" applyFill="1" applyBorder="1"/>
    <xf numFmtId="0" fontId="6" fillId="3" borderId="36" xfId="0" applyFont="1" applyFill="1" applyBorder="1" applyAlignment="1"/>
    <xf numFmtId="0" fontId="6" fillId="3" borderId="38" xfId="0" applyFont="1" applyFill="1" applyBorder="1" applyAlignment="1"/>
    <xf numFmtId="0" fontId="6" fillId="3" borderId="88" xfId="0" applyFont="1" applyFill="1" applyBorder="1" applyAlignment="1"/>
    <xf numFmtId="3" fontId="6" fillId="3" borderId="92" xfId="4" applyNumberFormat="1" applyFont="1" applyFill="1" applyBorder="1" applyAlignment="1">
      <alignment horizontal="right" vertical="center"/>
    </xf>
    <xf numFmtId="3" fontId="6" fillId="3" borderId="89" xfId="4" applyNumberFormat="1" applyFont="1" applyFill="1" applyBorder="1" applyAlignment="1">
      <alignment horizontal="right" vertical="center"/>
    </xf>
    <xf numFmtId="177" fontId="6" fillId="3" borderId="89" xfId="4" applyNumberFormat="1" applyFont="1" applyFill="1" applyBorder="1" applyAlignment="1">
      <alignment horizontal="right" vertical="center"/>
    </xf>
    <xf numFmtId="3" fontId="6" fillId="3" borderId="90" xfId="4" applyNumberFormat="1" applyFont="1" applyFill="1" applyBorder="1" applyAlignment="1">
      <alignment horizontal="right" vertical="center"/>
    </xf>
    <xf numFmtId="3" fontId="4" fillId="3" borderId="93" xfId="0" applyNumberFormat="1" applyFont="1" applyFill="1" applyBorder="1" applyAlignment="1">
      <alignment horizontal="right"/>
    </xf>
    <xf numFmtId="3" fontId="6" fillId="3" borderId="0" xfId="0" applyNumberFormat="1" applyFont="1" applyFill="1" applyBorder="1" applyAlignment="1">
      <alignment horizontal="right"/>
    </xf>
    <xf numFmtId="3" fontId="6" fillId="3" borderId="77" xfId="0" applyNumberFormat="1" applyFont="1" applyFill="1" applyBorder="1" applyAlignment="1">
      <alignment horizontal="right"/>
    </xf>
    <xf numFmtId="3" fontId="4" fillId="3" borderId="87" xfId="0" applyNumberFormat="1" applyFont="1" applyFill="1" applyBorder="1" applyAlignment="1">
      <alignment horizontal="right"/>
    </xf>
    <xf numFmtId="3" fontId="6" fillId="3" borderId="36" xfId="0" applyNumberFormat="1" applyFont="1" applyFill="1" applyBorder="1" applyAlignment="1">
      <alignment horizontal="right"/>
    </xf>
    <xf numFmtId="3" fontId="4" fillId="3" borderId="38" xfId="0" applyNumberFormat="1" applyFont="1" applyFill="1" applyBorder="1" applyAlignment="1">
      <alignment horizontal="right"/>
    </xf>
    <xf numFmtId="3" fontId="6" fillId="3" borderId="88" xfId="0" applyNumberFormat="1" applyFont="1" applyFill="1" applyBorder="1" applyAlignment="1">
      <alignment horizontal="right"/>
    </xf>
    <xf numFmtId="3" fontId="6" fillId="3" borderId="89" xfId="0" applyNumberFormat="1" applyFont="1" applyFill="1" applyBorder="1" applyAlignment="1">
      <alignment horizontal="right"/>
    </xf>
    <xf numFmtId="3" fontId="6" fillId="3" borderId="90" xfId="0" applyNumberFormat="1" applyFont="1" applyFill="1" applyBorder="1" applyAlignment="1">
      <alignment horizontal="right"/>
    </xf>
    <xf numFmtId="3" fontId="6" fillId="3" borderId="91" xfId="0" applyNumberFormat="1" applyFont="1" applyFill="1" applyBorder="1" applyAlignment="1">
      <alignment horizontal="right"/>
    </xf>
    <xf numFmtId="1" fontId="48" fillId="3" borderId="77" xfId="0" applyNumberFormat="1" applyFont="1" applyFill="1" applyBorder="1" applyAlignment="1">
      <alignment horizontal="right"/>
    </xf>
    <xf numFmtId="3" fontId="6" fillId="3" borderId="13" xfId="4" applyNumberFormat="1" applyFont="1" applyFill="1" applyBorder="1" applyAlignment="1">
      <alignment horizontal="right" vertical="center"/>
    </xf>
    <xf numFmtId="3" fontId="48" fillId="3" borderId="77" xfId="0" applyNumberFormat="1" applyFont="1" applyFill="1" applyBorder="1" applyAlignment="1">
      <alignment horizontal="right"/>
    </xf>
    <xf numFmtId="0" fontId="6" fillId="3" borderId="93" xfId="0" applyFont="1" applyFill="1" applyBorder="1" applyAlignment="1"/>
    <xf numFmtId="3" fontId="6" fillId="3" borderId="0" xfId="4" applyNumberFormat="1" applyFont="1" applyFill="1" applyBorder="1" applyAlignment="1">
      <alignment horizontal="right" vertical="center"/>
    </xf>
    <xf numFmtId="177" fontId="6" fillId="3" borderId="13" xfId="4" applyNumberFormat="1" applyFont="1" applyFill="1" applyBorder="1" applyAlignment="1">
      <alignment horizontal="right" vertical="center"/>
    </xf>
    <xf numFmtId="3" fontId="6" fillId="3" borderId="77" xfId="4" applyNumberFormat="1" applyFont="1" applyFill="1" applyBorder="1" applyAlignment="1">
      <alignment horizontal="right" vertical="center"/>
    </xf>
    <xf numFmtId="3" fontId="6" fillId="3" borderId="0" xfId="4" applyNumberFormat="1" applyFont="1" applyFill="1" applyAlignment="1">
      <alignment horizontal="right" vertical="center"/>
    </xf>
    <xf numFmtId="9" fontId="6" fillId="3" borderId="0" xfId="1" applyFont="1" applyFill="1" applyBorder="1" applyAlignment="1">
      <alignment horizontal="right"/>
    </xf>
    <xf numFmtId="9" fontId="6" fillId="3" borderId="0" xfId="1" applyNumberFormat="1" applyFont="1" applyFill="1" applyBorder="1" applyAlignment="1">
      <alignment horizontal="right"/>
    </xf>
    <xf numFmtId="10" fontId="6" fillId="3" borderId="0" xfId="1" applyNumberFormat="1" applyFont="1" applyFill="1" applyBorder="1" applyAlignment="1">
      <alignment horizontal="right"/>
    </xf>
    <xf numFmtId="3" fontId="6" fillId="3" borderId="92" xfId="0" applyNumberFormat="1" applyFont="1" applyFill="1" applyBorder="1" applyAlignment="1">
      <alignment horizontal="right" vertical="center"/>
    </xf>
    <xf numFmtId="3" fontId="6" fillId="3" borderId="89" xfId="0" applyNumberFormat="1" applyFont="1" applyFill="1" applyBorder="1" applyAlignment="1">
      <alignment horizontal="right" vertical="center"/>
    </xf>
    <xf numFmtId="3" fontId="6" fillId="3" borderId="90" xfId="0" applyNumberFormat="1" applyFont="1" applyFill="1" applyBorder="1" applyAlignment="1">
      <alignment horizontal="right" vertical="center"/>
    </xf>
    <xf numFmtId="3" fontId="6" fillId="3" borderId="38" xfId="0" applyNumberFormat="1" applyFont="1" applyFill="1" applyBorder="1" applyAlignment="1">
      <alignment horizontal="right"/>
    </xf>
    <xf numFmtId="0" fontId="6" fillId="3" borderId="0" xfId="0" applyFont="1" applyFill="1" applyBorder="1" applyAlignment="1"/>
    <xf numFmtId="3" fontId="4" fillId="3" borderId="36" xfId="0" applyNumberFormat="1" applyFont="1" applyFill="1" applyBorder="1" applyAlignment="1">
      <alignment horizontal="right"/>
    </xf>
    <xf numFmtId="0" fontId="6" fillId="3" borderId="94" xfId="0" applyFont="1" applyFill="1" applyBorder="1" applyAlignment="1"/>
    <xf numFmtId="3" fontId="6" fillId="3" borderId="38" xfId="0" applyNumberFormat="1" applyFont="1" applyFill="1" applyBorder="1" applyAlignment="1">
      <alignment horizontal="right" vertical="center"/>
    </xf>
    <xf numFmtId="3" fontId="6" fillId="3" borderId="71" xfId="0" applyNumberFormat="1" applyFont="1" applyFill="1" applyBorder="1" applyAlignment="1">
      <alignment horizontal="right"/>
    </xf>
    <xf numFmtId="3" fontId="8" fillId="3" borderId="71" xfId="0" applyNumberFormat="1" applyFont="1" applyFill="1" applyBorder="1" applyAlignment="1">
      <alignment horizontal="right"/>
    </xf>
    <xf numFmtId="9" fontId="8" fillId="3" borderId="0" xfId="1" applyFont="1" applyFill="1" applyBorder="1" applyAlignment="1">
      <alignment horizontal="right"/>
    </xf>
    <xf numFmtId="0" fontId="8" fillId="3" borderId="0" xfId="0" applyFont="1" applyFill="1" applyBorder="1"/>
    <xf numFmtId="0" fontId="6" fillId="3" borderId="95" xfId="0" applyFont="1" applyFill="1" applyBorder="1" applyAlignment="1"/>
    <xf numFmtId="3" fontId="6" fillId="3" borderId="96" xfId="0" applyNumberFormat="1" applyFont="1" applyFill="1" applyBorder="1" applyAlignment="1">
      <alignment horizontal="right" vertical="center"/>
    </xf>
    <xf numFmtId="3" fontId="6" fillId="3" borderId="97" xfId="0" applyNumberFormat="1" applyFont="1" applyFill="1" applyBorder="1" applyAlignment="1">
      <alignment horizontal="right" vertical="center"/>
    </xf>
    <xf numFmtId="177" fontId="6" fillId="3" borderId="97" xfId="4" applyNumberFormat="1" applyFont="1" applyFill="1" applyBorder="1" applyAlignment="1">
      <alignment horizontal="right" vertical="center"/>
    </xf>
    <xf numFmtId="3" fontId="6" fillId="3" borderId="54" xfId="0" applyNumberFormat="1" applyFont="1" applyFill="1" applyBorder="1" applyAlignment="1">
      <alignment horizontal="right" vertical="center"/>
    </xf>
    <xf numFmtId="3" fontId="4" fillId="3" borderId="98" xfId="0" applyNumberFormat="1" applyFont="1" applyFill="1" applyBorder="1" applyAlignment="1">
      <alignment horizontal="right"/>
    </xf>
    <xf numFmtId="3" fontId="8" fillId="3" borderId="99" xfId="0" applyNumberFormat="1" applyFont="1" applyFill="1" applyBorder="1" applyAlignment="1">
      <alignment horizontal="right"/>
    </xf>
    <xf numFmtId="3" fontId="6" fillId="3" borderId="100" xfId="0" applyNumberFormat="1" applyFont="1" applyFill="1" applyBorder="1" applyAlignment="1">
      <alignment horizontal="right"/>
    </xf>
    <xf numFmtId="3" fontId="4" fillId="3" borderId="101" xfId="0" applyNumberFormat="1" applyFont="1" applyFill="1" applyBorder="1" applyAlignment="1">
      <alignment horizontal="right"/>
    </xf>
    <xf numFmtId="3" fontId="6" fillId="3" borderId="98" xfId="0" applyNumberFormat="1" applyFont="1" applyFill="1" applyBorder="1" applyAlignment="1">
      <alignment horizontal="right"/>
    </xf>
    <xf numFmtId="3" fontId="6" fillId="3" borderId="102" xfId="0" applyNumberFormat="1" applyFont="1" applyFill="1" applyBorder="1" applyAlignment="1">
      <alignment horizontal="right"/>
    </xf>
    <xf numFmtId="3" fontId="6" fillId="3" borderId="97" xfId="0" applyNumberFormat="1" applyFont="1" applyFill="1" applyBorder="1" applyAlignment="1">
      <alignment horizontal="right"/>
    </xf>
    <xf numFmtId="3" fontId="6" fillId="3" borderId="54" xfId="0" applyNumberFormat="1" applyFont="1" applyFill="1" applyBorder="1" applyAlignment="1">
      <alignment horizontal="right"/>
    </xf>
    <xf numFmtId="3" fontId="6" fillId="3" borderId="103" xfId="0" applyNumberFormat="1" applyFont="1" applyFill="1" applyBorder="1" applyAlignment="1">
      <alignment horizontal="right"/>
    </xf>
    <xf numFmtId="0" fontId="8" fillId="3" borderId="0" xfId="0" applyFont="1" applyFill="1" applyBorder="1" applyAlignment="1"/>
    <xf numFmtId="0" fontId="4" fillId="3" borderId="0" xfId="0" applyFont="1" applyFill="1" applyBorder="1" applyAlignment="1"/>
    <xf numFmtId="0" fontId="8" fillId="3" borderId="0" xfId="0" applyFont="1" applyFill="1"/>
    <xf numFmtId="0" fontId="8" fillId="4" borderId="0" xfId="0" applyFont="1" applyFill="1" applyBorder="1"/>
    <xf numFmtId="0" fontId="8" fillId="3" borderId="0" xfId="0" quotePrefix="1" applyFont="1" applyFill="1"/>
    <xf numFmtId="0" fontId="42" fillId="3" borderId="0" xfId="0" applyFont="1" applyFill="1" applyBorder="1" applyAlignment="1"/>
    <xf numFmtId="0" fontId="49" fillId="3" borderId="0" xfId="0" applyFont="1" applyFill="1"/>
    <xf numFmtId="0" fontId="49" fillId="3" borderId="0" xfId="0" applyFont="1" applyFill="1" applyBorder="1" applyAlignment="1"/>
    <xf numFmtId="0" fontId="49" fillId="3" borderId="0" xfId="0" applyFont="1" applyFill="1" applyBorder="1"/>
    <xf numFmtId="0" fontId="49" fillId="4" borderId="0" xfId="0" applyFont="1" applyFill="1" applyBorder="1"/>
    <xf numFmtId="0" fontId="6" fillId="3" borderId="0" xfId="0" applyFont="1" applyFill="1" applyAlignment="1">
      <alignment horizontal="right"/>
    </xf>
    <xf numFmtId="0" fontId="6" fillId="3" borderId="21" xfId="0" applyFont="1" applyFill="1" applyBorder="1" applyAlignment="1">
      <alignment wrapText="1"/>
    </xf>
    <xf numFmtId="0" fontId="4" fillId="3" borderId="107" xfId="0" applyFont="1" applyFill="1" applyBorder="1" applyAlignment="1">
      <alignment horizontal="center" vertical="center" wrapText="1"/>
    </xf>
    <xf numFmtId="0" fontId="4" fillId="3" borderId="0" xfId="0" applyFont="1" applyFill="1" applyBorder="1" applyAlignment="1">
      <alignment vertical="center" wrapText="1"/>
    </xf>
    <xf numFmtId="0" fontId="17" fillId="3" borderId="108" xfId="0" applyFont="1" applyFill="1" applyBorder="1" applyAlignment="1">
      <alignment horizontal="center" vertical="center" wrapText="1"/>
    </xf>
    <xf numFmtId="0" fontId="17" fillId="3" borderId="109" xfId="0" applyFont="1" applyFill="1" applyBorder="1" applyAlignment="1">
      <alignment horizontal="center" vertical="center" wrapText="1"/>
    </xf>
    <xf numFmtId="0" fontId="17" fillId="7" borderId="110" xfId="0" applyFont="1" applyFill="1" applyBorder="1" applyAlignment="1">
      <alignment horizontal="center" wrapText="1"/>
    </xf>
    <xf numFmtId="0" fontId="6" fillId="3" borderId="111" xfId="0" applyFont="1" applyFill="1" applyBorder="1"/>
    <xf numFmtId="0" fontId="6" fillId="3" borderId="87" xfId="0" applyFont="1" applyFill="1" applyBorder="1" applyAlignment="1">
      <alignment horizontal="right"/>
    </xf>
    <xf numFmtId="0" fontId="6" fillId="3" borderId="112" xfId="0" applyFont="1" applyFill="1" applyBorder="1"/>
    <xf numFmtId="0" fontId="6" fillId="3" borderId="12" xfId="0" applyFont="1" applyFill="1" applyBorder="1"/>
    <xf numFmtId="0" fontId="6" fillId="3" borderId="94" xfId="0" applyFont="1" applyFill="1" applyBorder="1"/>
    <xf numFmtId="3" fontId="6" fillId="3" borderId="93" xfId="4" applyNumberFormat="1" applyFont="1" applyFill="1" applyBorder="1" applyAlignment="1">
      <alignment horizontal="right" vertical="center"/>
    </xf>
    <xf numFmtId="3" fontId="6" fillId="3" borderId="87" xfId="0" applyNumberFormat="1" applyFont="1" applyFill="1" applyBorder="1" applyAlignment="1">
      <alignment horizontal="right"/>
    </xf>
    <xf numFmtId="3" fontId="6" fillId="3" borderId="13" xfId="0" applyNumberFormat="1" applyFont="1" applyFill="1" applyBorder="1" applyAlignment="1">
      <alignment horizontal="right"/>
    </xf>
    <xf numFmtId="3" fontId="6" fillId="3" borderId="12" xfId="0" applyNumberFormat="1" applyFont="1" applyFill="1" applyBorder="1" applyAlignment="1">
      <alignment horizontal="right"/>
    </xf>
    <xf numFmtId="3" fontId="6" fillId="3" borderId="94" xfId="0" applyNumberFormat="1" applyFont="1" applyFill="1" applyBorder="1" applyAlignment="1">
      <alignment horizontal="right"/>
    </xf>
    <xf numFmtId="0" fontId="6" fillId="3" borderId="77" xfId="0" applyFont="1" applyFill="1" applyBorder="1" applyAlignment="1">
      <alignment horizontal="right"/>
    </xf>
    <xf numFmtId="3" fontId="6" fillId="3" borderId="12" xfId="4" applyNumberFormat="1" applyFont="1" applyFill="1" applyBorder="1" applyAlignment="1">
      <alignment horizontal="right" vertical="center"/>
    </xf>
    <xf numFmtId="178" fontId="6" fillId="3" borderId="89" xfId="4" applyNumberFormat="1" applyFont="1" applyFill="1" applyBorder="1" applyAlignment="1">
      <alignment horizontal="right" vertical="center"/>
    </xf>
    <xf numFmtId="3" fontId="6" fillId="0" borderId="12" xfId="4" applyNumberFormat="1" applyFont="1" applyFill="1" applyBorder="1" applyAlignment="1">
      <alignment horizontal="right" vertical="center"/>
    </xf>
    <xf numFmtId="177" fontId="6" fillId="3" borderId="77" xfId="4" applyNumberFormat="1" applyFont="1" applyFill="1" applyBorder="1" applyAlignment="1">
      <alignment horizontal="right" vertical="center"/>
    </xf>
    <xf numFmtId="3" fontId="4" fillId="3" borderId="88" xfId="0" applyNumberFormat="1" applyFont="1" applyFill="1" applyBorder="1" applyAlignment="1">
      <alignment horizontal="right"/>
    </xf>
    <xf numFmtId="3" fontId="6" fillId="3" borderId="0" xfId="0" applyNumberFormat="1" applyFont="1" applyFill="1"/>
    <xf numFmtId="3" fontId="6" fillId="3" borderId="0" xfId="0" applyNumberFormat="1" applyFont="1" applyFill="1" applyBorder="1"/>
    <xf numFmtId="3" fontId="6" fillId="3" borderId="12" xfId="0" applyNumberFormat="1" applyFont="1" applyFill="1" applyBorder="1" applyAlignment="1">
      <alignment horizontal="right" vertical="center"/>
    </xf>
    <xf numFmtId="3" fontId="6" fillId="3" borderId="113" xfId="0" applyNumberFormat="1" applyFont="1" applyFill="1" applyBorder="1" applyAlignment="1">
      <alignment horizontal="right" vertical="center"/>
    </xf>
    <xf numFmtId="9" fontId="8" fillId="3" borderId="0" xfId="1" applyNumberFormat="1" applyFont="1" applyFill="1" applyBorder="1" applyAlignment="1">
      <alignment horizontal="right"/>
    </xf>
    <xf numFmtId="3" fontId="8" fillId="3" borderId="0" xfId="0" applyNumberFormat="1" applyFont="1" applyFill="1" applyBorder="1" applyAlignment="1">
      <alignment horizontal="right"/>
    </xf>
    <xf numFmtId="0" fontId="6" fillId="3" borderId="99" xfId="0" applyFont="1" applyFill="1" applyBorder="1" applyAlignment="1"/>
    <xf numFmtId="3" fontId="6" fillId="3" borderId="114" xfId="0" applyNumberFormat="1" applyFont="1" applyFill="1" applyBorder="1" applyAlignment="1">
      <alignment horizontal="right" vertical="center"/>
    </xf>
    <xf numFmtId="3" fontId="6" fillId="3" borderId="115" xfId="0" applyNumberFormat="1" applyFont="1" applyFill="1" applyBorder="1" applyAlignment="1">
      <alignment horizontal="right" vertical="center"/>
    </xf>
    <xf numFmtId="3" fontId="4" fillId="3" borderId="75" xfId="0" applyNumberFormat="1" applyFont="1" applyFill="1" applyBorder="1" applyAlignment="1">
      <alignment horizontal="right"/>
    </xf>
    <xf numFmtId="177" fontId="6" fillId="3" borderId="116" xfId="4" applyNumberFormat="1" applyFont="1" applyFill="1" applyBorder="1" applyAlignment="1">
      <alignment horizontal="right" vertical="center"/>
    </xf>
    <xf numFmtId="3" fontId="6" fillId="3" borderId="95" xfId="0" applyNumberFormat="1" applyFont="1" applyFill="1" applyBorder="1" applyAlignment="1">
      <alignment horizontal="right"/>
    </xf>
    <xf numFmtId="0" fontId="17" fillId="3" borderId="0" xfId="0" applyFont="1" applyFill="1" applyBorder="1" applyAlignment="1"/>
    <xf numFmtId="0" fontId="4" fillId="3" borderId="0" xfId="0" applyFont="1" applyFill="1"/>
    <xf numFmtId="0" fontId="47" fillId="3" borderId="0" xfId="0" applyFont="1" applyFill="1"/>
    <xf numFmtId="0" fontId="47" fillId="3" borderId="0" xfId="0" applyFont="1" applyFill="1" applyBorder="1"/>
    <xf numFmtId="0" fontId="6" fillId="3" borderId="117" xfId="0" applyFont="1" applyFill="1" applyBorder="1"/>
    <xf numFmtId="0" fontId="6" fillId="3" borderId="118" xfId="0" applyFont="1" applyFill="1" applyBorder="1"/>
    <xf numFmtId="0" fontId="4" fillId="3" borderId="119" xfId="0" applyFont="1" applyFill="1" applyBorder="1" applyAlignment="1">
      <alignment horizontal="center" vertical="center" wrapText="1"/>
    </xf>
    <xf numFmtId="0" fontId="6" fillId="3" borderId="113" xfId="0" applyFont="1" applyFill="1" applyBorder="1"/>
    <xf numFmtId="0" fontId="4" fillId="3" borderId="77" xfId="0" applyFont="1" applyFill="1" applyBorder="1" applyAlignment="1">
      <alignment horizontal="center" vertical="center" wrapText="1"/>
    </xf>
    <xf numFmtId="0" fontId="4" fillId="3" borderId="66" xfId="0" applyFont="1" applyFill="1" applyBorder="1" applyAlignment="1">
      <alignment horizontal="center" vertical="center" wrapText="1"/>
    </xf>
    <xf numFmtId="0" fontId="4" fillId="3" borderId="107" xfId="0" applyFont="1" applyFill="1" applyBorder="1"/>
    <xf numFmtId="0" fontId="6" fillId="3" borderId="113" xfId="0" applyFont="1" applyFill="1" applyBorder="1" applyAlignment="1">
      <alignment wrapText="1"/>
    </xf>
    <xf numFmtId="0" fontId="6" fillId="7" borderId="78" xfId="0" applyFont="1" applyFill="1" applyBorder="1" applyAlignment="1">
      <alignment wrapText="1"/>
    </xf>
    <xf numFmtId="0" fontId="6" fillId="3" borderId="121" xfId="0" applyFont="1" applyFill="1" applyBorder="1" applyAlignment="1">
      <alignment horizontal="center" vertical="center" wrapText="1"/>
    </xf>
    <xf numFmtId="0" fontId="17" fillId="3" borderId="122" xfId="0" applyFont="1" applyFill="1" applyBorder="1" applyAlignment="1">
      <alignment horizontal="center" vertical="center" wrapText="1"/>
    </xf>
    <xf numFmtId="0" fontId="6" fillId="7" borderId="82" xfId="0" applyFont="1" applyFill="1" applyBorder="1" applyAlignment="1">
      <alignment wrapText="1"/>
    </xf>
    <xf numFmtId="0" fontId="6" fillId="3" borderId="113" xfId="0" applyFont="1" applyFill="1" applyBorder="1" applyAlignment="1"/>
    <xf numFmtId="0" fontId="6" fillId="3" borderId="0" xfId="0" applyFont="1" applyFill="1" applyBorder="1" applyAlignment="1">
      <alignment horizontal="center"/>
    </xf>
    <xf numFmtId="3" fontId="6" fillId="3" borderId="77" xfId="0" applyNumberFormat="1" applyFont="1" applyFill="1" applyBorder="1"/>
    <xf numFmtId="3" fontId="6" fillId="3" borderId="87" xfId="0" applyNumberFormat="1" applyFont="1" applyFill="1" applyBorder="1"/>
    <xf numFmtId="3" fontId="6" fillId="3" borderId="27" xfId="0" applyNumberFormat="1" applyFont="1" applyFill="1" applyBorder="1" applyAlignment="1">
      <alignment horizontal="right"/>
    </xf>
    <xf numFmtId="3" fontId="6" fillId="3" borderId="13" xfId="0" applyNumberFormat="1" applyFont="1" applyFill="1" applyBorder="1"/>
    <xf numFmtId="3" fontId="6" fillId="3" borderId="89" xfId="0" applyNumberFormat="1" applyFont="1" applyFill="1" applyBorder="1"/>
    <xf numFmtId="3" fontId="6" fillId="3" borderId="90" xfId="0" applyNumberFormat="1" applyFont="1" applyFill="1" applyBorder="1"/>
    <xf numFmtId="3" fontId="6" fillId="3" borderId="93" xfId="0" applyNumberFormat="1" applyFont="1" applyFill="1" applyBorder="1"/>
    <xf numFmtId="3" fontId="6" fillId="3" borderId="93" xfId="0" applyNumberFormat="1" applyFont="1" applyFill="1" applyBorder="1" applyAlignment="1">
      <alignment horizontal="right"/>
    </xf>
    <xf numFmtId="179" fontId="6" fillId="3" borderId="0" xfId="1" applyNumberFormat="1" applyFont="1" applyFill="1"/>
    <xf numFmtId="3" fontId="6" fillId="3" borderId="88" xfId="0" applyNumberFormat="1" applyFont="1" applyFill="1" applyBorder="1"/>
    <xf numFmtId="3" fontId="6" fillId="3" borderId="94" xfId="0" applyNumberFormat="1" applyFont="1" applyFill="1" applyBorder="1"/>
    <xf numFmtId="0" fontId="48" fillId="3" borderId="113" xfId="0" applyFont="1" applyFill="1" applyBorder="1" applyAlignment="1"/>
    <xf numFmtId="0" fontId="48" fillId="3" borderId="0" xfId="0" quotePrefix="1" applyFont="1" applyFill="1" applyBorder="1" applyAlignment="1">
      <alignment horizontal="center"/>
    </xf>
    <xf numFmtId="3" fontId="48" fillId="3" borderId="77" xfId="0" applyNumberFormat="1" applyFont="1" applyFill="1" applyBorder="1"/>
    <xf numFmtId="178" fontId="48" fillId="3" borderId="123" xfId="0" applyNumberFormat="1" applyFont="1" applyFill="1" applyBorder="1" applyAlignment="1">
      <alignment horizontal="right"/>
    </xf>
    <xf numFmtId="178" fontId="48" fillId="3" borderId="124" xfId="0" applyNumberFormat="1" applyFont="1" applyFill="1" applyBorder="1" applyAlignment="1">
      <alignment horizontal="right"/>
    </xf>
    <xf numFmtId="178" fontId="48" fillId="3" borderId="125" xfId="0" applyNumberFormat="1" applyFont="1" applyFill="1" applyBorder="1" applyAlignment="1">
      <alignment horizontal="right"/>
    </xf>
    <xf numFmtId="178" fontId="48" fillId="3" borderId="126" xfId="0" applyNumberFormat="1" applyFont="1" applyFill="1" applyBorder="1" applyAlignment="1">
      <alignment horizontal="right"/>
    </xf>
    <xf numFmtId="178" fontId="48" fillId="3" borderId="127" xfId="0" applyNumberFormat="1" applyFont="1" applyFill="1" applyBorder="1" applyAlignment="1">
      <alignment horizontal="right"/>
    </xf>
    <xf numFmtId="178" fontId="48" fillId="3" borderId="128" xfId="0" applyNumberFormat="1" applyFont="1" applyFill="1" applyBorder="1" applyAlignment="1">
      <alignment horizontal="right"/>
    </xf>
    <xf numFmtId="3" fontId="48" fillId="3" borderId="0" xfId="0" applyNumberFormat="1" applyFont="1" applyFill="1"/>
    <xf numFmtId="0" fontId="48" fillId="3" borderId="0" xfId="0" applyFont="1" applyFill="1"/>
    <xf numFmtId="0" fontId="50" fillId="3" borderId="63" xfId="0" applyFont="1" applyFill="1" applyBorder="1" applyAlignment="1"/>
    <xf numFmtId="0" fontId="50" fillId="3" borderId="63" xfId="0" applyFont="1" applyFill="1" applyBorder="1" applyAlignment="1">
      <alignment horizontal="center"/>
    </xf>
    <xf numFmtId="1" fontId="50" fillId="3" borderId="63" xfId="0" applyNumberFormat="1" applyFont="1" applyFill="1" applyBorder="1"/>
    <xf numFmtId="0" fontId="6" fillId="3" borderId="63" xfId="0" applyFont="1" applyFill="1" applyBorder="1"/>
    <xf numFmtId="1" fontId="6" fillId="3" borderId="63" xfId="0" applyNumberFormat="1" applyFont="1" applyFill="1" applyBorder="1" applyAlignment="1">
      <alignment horizontal="center"/>
    </xf>
    <xf numFmtId="1" fontId="6" fillId="3" borderId="63" xfId="0" applyNumberFormat="1" applyFont="1" applyFill="1" applyBorder="1" applyAlignment="1">
      <alignment horizontal="right"/>
    </xf>
    <xf numFmtId="0" fontId="17" fillId="3" borderId="0" xfId="0" applyFont="1" applyFill="1"/>
    <xf numFmtId="0" fontId="51" fillId="3" borderId="0" xfId="0" applyFont="1" applyFill="1"/>
    <xf numFmtId="0" fontId="52" fillId="3" borderId="0" xfId="0" applyFont="1" applyFill="1"/>
    <xf numFmtId="3" fontId="0" fillId="3" borderId="0" xfId="0" applyNumberFormat="1" applyFill="1" applyBorder="1"/>
    <xf numFmtId="1" fontId="0" fillId="3" borderId="0" xfId="0" applyNumberFormat="1" applyFill="1"/>
    <xf numFmtId="0" fontId="53" fillId="3" borderId="0" xfId="0" applyFont="1" applyFill="1"/>
    <xf numFmtId="0" fontId="6" fillId="3" borderId="129" xfId="0" applyFont="1" applyFill="1" applyBorder="1" applyAlignment="1">
      <alignment wrapText="1"/>
    </xf>
    <xf numFmtId="0" fontId="6" fillId="3" borderId="22" xfId="0" applyFont="1" applyFill="1" applyBorder="1" applyAlignment="1">
      <alignment wrapText="1"/>
    </xf>
    <xf numFmtId="0" fontId="4" fillId="3" borderId="104" xfId="0" applyFont="1" applyFill="1" applyBorder="1" applyAlignment="1">
      <alignment horizontal="center" vertical="center" wrapText="1"/>
    </xf>
    <xf numFmtId="0" fontId="17" fillId="3" borderId="113" xfId="0" applyFont="1" applyFill="1" applyBorder="1" applyAlignment="1">
      <alignment horizontal="center" wrapText="1"/>
    </xf>
    <xf numFmtId="0" fontId="17" fillId="3" borderId="82" xfId="0" applyFont="1" applyFill="1" applyBorder="1" applyAlignment="1">
      <alignment horizontal="center" vertical="center" wrapText="1"/>
    </xf>
    <xf numFmtId="0" fontId="17" fillId="3" borderId="0" xfId="0" applyFont="1" applyFill="1" applyBorder="1" applyAlignment="1">
      <alignment horizontal="center" vertical="center" wrapText="1"/>
    </xf>
    <xf numFmtId="3" fontId="6" fillId="0" borderId="89" xfId="4" applyNumberFormat="1" applyFont="1" applyFill="1" applyBorder="1" applyAlignment="1">
      <alignment horizontal="right" vertical="center"/>
    </xf>
    <xf numFmtId="177" fontId="6" fillId="3" borderId="90" xfId="4" applyNumberFormat="1" applyFont="1" applyFill="1" applyBorder="1" applyAlignment="1">
      <alignment horizontal="right" vertical="center"/>
    </xf>
    <xf numFmtId="177" fontId="6" fillId="3" borderId="89" xfId="0" applyNumberFormat="1" applyFont="1" applyFill="1" applyBorder="1" applyAlignment="1">
      <alignment horizontal="right" vertical="center"/>
    </xf>
    <xf numFmtId="180" fontId="6" fillId="3" borderId="36" xfId="0" applyNumberFormat="1" applyFont="1" applyFill="1" applyBorder="1" applyAlignment="1">
      <alignment horizontal="right"/>
    </xf>
    <xf numFmtId="3" fontId="4" fillId="3" borderId="94" xfId="0" applyNumberFormat="1" applyFont="1" applyFill="1" applyBorder="1" applyAlignment="1">
      <alignment horizontal="right"/>
    </xf>
    <xf numFmtId="3" fontId="4" fillId="3" borderId="113" xfId="0" applyNumberFormat="1" applyFont="1" applyFill="1" applyBorder="1" applyAlignment="1">
      <alignment horizontal="right"/>
    </xf>
    <xf numFmtId="3" fontId="8" fillId="3" borderId="77" xfId="0" applyNumberFormat="1" applyFont="1" applyFill="1" applyBorder="1" applyAlignment="1">
      <alignment horizontal="right"/>
    </xf>
    <xf numFmtId="0" fontId="6" fillId="3" borderId="130" xfId="0" applyFont="1" applyFill="1" applyBorder="1" applyAlignment="1"/>
    <xf numFmtId="0" fontId="6" fillId="3" borderId="128" xfId="0" applyFont="1" applyFill="1" applyBorder="1" applyAlignment="1"/>
    <xf numFmtId="3" fontId="6" fillId="3" borderId="131" xfId="0" applyNumberFormat="1" applyFont="1" applyFill="1" applyBorder="1" applyAlignment="1">
      <alignment horizontal="right" vertical="center"/>
    </xf>
    <xf numFmtId="177" fontId="6" fillId="3" borderId="126" xfId="0" applyNumberFormat="1" applyFont="1" applyFill="1" applyBorder="1" applyAlignment="1">
      <alignment horizontal="right" vertical="center"/>
    </xf>
    <xf numFmtId="3" fontId="6" fillId="3" borderId="126" xfId="0" applyNumberFormat="1" applyFont="1" applyFill="1" applyBorder="1" applyAlignment="1">
      <alignment horizontal="right" vertical="center"/>
    </xf>
    <xf numFmtId="177" fontId="6" fillId="3" borderId="127" xfId="4" applyNumberFormat="1" applyFont="1" applyFill="1" applyBorder="1" applyAlignment="1">
      <alignment horizontal="right" vertical="center"/>
    </xf>
    <xf numFmtId="3" fontId="4" fillId="3" borderId="128" xfId="0" applyNumberFormat="1" applyFont="1" applyFill="1" applyBorder="1" applyAlignment="1">
      <alignment horizontal="right"/>
    </xf>
    <xf numFmtId="3" fontId="4" fillId="3" borderId="130" xfId="0" applyNumberFormat="1" applyFont="1" applyFill="1" applyBorder="1" applyAlignment="1">
      <alignment horizontal="right"/>
    </xf>
    <xf numFmtId="180" fontId="6" fillId="3" borderId="124" xfId="0" applyNumberFormat="1" applyFont="1" applyFill="1" applyBorder="1" applyAlignment="1">
      <alignment horizontal="right"/>
    </xf>
    <xf numFmtId="3" fontId="6" fillId="3" borderId="124" xfId="0" applyNumberFormat="1" applyFont="1" applyFill="1" applyBorder="1" applyAlignment="1">
      <alignment horizontal="right"/>
    </xf>
    <xf numFmtId="3" fontId="6" fillId="3" borderId="128" xfId="0" applyNumberFormat="1" applyFont="1" applyFill="1" applyBorder="1" applyAlignment="1">
      <alignment horizontal="right"/>
    </xf>
    <xf numFmtId="3" fontId="6" fillId="3" borderId="116" xfId="0" applyNumberFormat="1" applyFont="1" applyFill="1" applyBorder="1" applyAlignment="1">
      <alignment horizontal="right"/>
    </xf>
    <xf numFmtId="0" fontId="54" fillId="0" borderId="0" xfId="0" applyFont="1" applyAlignment="1">
      <alignment horizontal="left" vertical="center"/>
    </xf>
    <xf numFmtId="0" fontId="55" fillId="0" borderId="0" xfId="0" applyFont="1" applyAlignment="1">
      <alignment horizontal="left" vertical="center"/>
    </xf>
    <xf numFmtId="0" fontId="56" fillId="0" borderId="0" xfId="0" applyFont="1" applyAlignment="1">
      <alignment horizontal="left" vertical="center"/>
    </xf>
    <xf numFmtId="166" fontId="0" fillId="0" borderId="0" xfId="0" applyNumberFormat="1"/>
    <xf numFmtId="166" fontId="58" fillId="0" borderId="0" xfId="0" applyNumberFormat="1" applyFont="1"/>
    <xf numFmtId="0" fontId="3" fillId="0" borderId="0" xfId="2" applyAlignment="1" applyProtection="1"/>
    <xf numFmtId="166" fontId="0" fillId="4" borderId="0" xfId="0" applyNumberFormat="1" applyFont="1" applyFill="1"/>
    <xf numFmtId="1" fontId="0" fillId="0" borderId="0" xfId="0" applyNumberFormat="1" applyFill="1" applyBorder="1" applyAlignment="1">
      <alignment horizontal="center"/>
    </xf>
    <xf numFmtId="1" fontId="6" fillId="0" borderId="0" xfId="0" applyNumberFormat="1" applyFont="1" applyFill="1" applyBorder="1" applyAlignment="1">
      <alignment horizontal="center"/>
    </xf>
    <xf numFmtId="0" fontId="4" fillId="3" borderId="8" xfId="3" applyFont="1" applyFill="1" applyBorder="1" applyAlignment="1">
      <alignment horizontal="right"/>
    </xf>
    <xf numFmtId="0" fontId="4" fillId="3" borderId="6" xfId="3" applyFont="1" applyFill="1" applyBorder="1" applyAlignment="1">
      <alignment horizontal="right"/>
    </xf>
    <xf numFmtId="0" fontId="4" fillId="3" borderId="6" xfId="3" applyFont="1" applyFill="1" applyBorder="1"/>
    <xf numFmtId="0" fontId="4" fillId="3" borderId="6" xfId="3" applyFont="1" applyFill="1" applyBorder="1" applyAlignment="1">
      <alignment vertical="top"/>
    </xf>
    <xf numFmtId="0" fontId="4" fillId="3" borderId="0" xfId="3" applyFont="1" applyFill="1" applyBorder="1"/>
    <xf numFmtId="0" fontId="4" fillId="4" borderId="0" xfId="3" applyFont="1" applyFill="1" applyBorder="1"/>
    <xf numFmtId="0" fontId="4" fillId="4" borderId="3" xfId="3" applyFont="1" applyFill="1" applyBorder="1"/>
    <xf numFmtId="0" fontId="59" fillId="3" borderId="0" xfId="3" applyFont="1" applyFill="1"/>
    <xf numFmtId="0" fontId="39" fillId="3" borderId="0" xfId="3" applyFont="1" applyFill="1"/>
    <xf numFmtId="0" fontId="6" fillId="3" borderId="0" xfId="3" applyFont="1" applyFill="1" applyAlignment="1">
      <alignment horizontal="right"/>
    </xf>
    <xf numFmtId="0" fontId="6" fillId="3" borderId="0" xfId="3" applyFont="1" applyFill="1" applyAlignment="1">
      <alignment vertical="top"/>
    </xf>
    <xf numFmtId="0" fontId="60" fillId="3" borderId="1" xfId="3" applyFont="1" applyFill="1" applyBorder="1" applyAlignment="1">
      <alignment horizontal="center"/>
    </xf>
    <xf numFmtId="0" fontId="61" fillId="3" borderId="0" xfId="3" applyFont="1" applyFill="1" applyAlignment="1">
      <alignment horizontal="center"/>
    </xf>
    <xf numFmtId="0" fontId="61" fillId="3" borderId="0" xfId="3" applyFont="1" applyFill="1" applyBorder="1" applyAlignment="1">
      <alignment horizontal="center"/>
    </xf>
    <xf numFmtId="0" fontId="61" fillId="3" borderId="4" xfId="3" applyFont="1" applyFill="1" applyBorder="1" applyAlignment="1">
      <alignment horizontal="center"/>
    </xf>
    <xf numFmtId="0" fontId="61" fillId="3" borderId="4" xfId="3" applyFont="1" applyFill="1" applyBorder="1"/>
    <xf numFmtId="0" fontId="62" fillId="3" borderId="0" xfId="3" applyFont="1" applyFill="1" applyBorder="1" applyAlignment="1">
      <alignment horizontal="center"/>
    </xf>
    <xf numFmtId="0" fontId="60" fillId="3" borderId="0" xfId="3" applyFont="1" applyFill="1" applyBorder="1" applyAlignment="1">
      <alignment horizontal="center"/>
    </xf>
    <xf numFmtId="0" fontId="60" fillId="3" borderId="6" xfId="3" applyFont="1" applyFill="1" applyBorder="1" applyAlignment="1">
      <alignment horizontal="center"/>
    </xf>
    <xf numFmtId="0" fontId="61" fillId="3" borderId="6" xfId="3" applyFont="1" applyFill="1" applyBorder="1" applyAlignment="1">
      <alignment horizontal="right"/>
    </xf>
    <xf numFmtId="0" fontId="60" fillId="3" borderId="0" xfId="3" applyFont="1" applyFill="1" applyAlignment="1">
      <alignment horizontal="center"/>
    </xf>
    <xf numFmtId="0" fontId="63" fillId="3" borderId="0" xfId="3" applyFont="1" applyFill="1" applyAlignment="1">
      <alignment horizontal="center"/>
    </xf>
    <xf numFmtId="0" fontId="61" fillId="3" borderId="2" xfId="3" applyFont="1" applyFill="1" applyBorder="1" applyAlignment="1">
      <alignment horizontal="center"/>
    </xf>
    <xf numFmtId="49" fontId="61" fillId="3" borderId="2" xfId="3" applyNumberFormat="1" applyFont="1" applyFill="1" applyBorder="1" applyAlignment="1">
      <alignment horizontal="center"/>
    </xf>
    <xf numFmtId="49" fontId="60" fillId="3" borderId="2" xfId="3" applyNumberFormat="1" applyFont="1" applyFill="1" applyBorder="1" applyAlignment="1">
      <alignment horizontal="center"/>
    </xf>
    <xf numFmtId="0" fontId="60" fillId="3" borderId="2" xfId="3" applyFont="1" applyFill="1" applyBorder="1" applyAlignment="1">
      <alignment horizontal="center"/>
    </xf>
    <xf numFmtId="0" fontId="63" fillId="3" borderId="2" xfId="3" applyFont="1" applyFill="1" applyBorder="1" applyAlignment="1">
      <alignment horizontal="center"/>
    </xf>
    <xf numFmtId="0" fontId="60" fillId="3" borderId="7" xfId="3" applyFont="1" applyFill="1" applyBorder="1" applyAlignment="1">
      <alignment horizontal="center"/>
    </xf>
    <xf numFmtId="49" fontId="61" fillId="3" borderId="0" xfId="3" applyNumberFormat="1" applyFont="1" applyFill="1" applyBorder="1" applyAlignment="1">
      <alignment horizontal="center"/>
    </xf>
    <xf numFmtId="49" fontId="60" fillId="3" borderId="0" xfId="3" applyNumberFormat="1" applyFont="1" applyFill="1" applyBorder="1" applyAlignment="1">
      <alignment horizontal="center"/>
    </xf>
    <xf numFmtId="0" fontId="63" fillId="3" borderId="0" xfId="3" applyFont="1" applyFill="1" applyBorder="1" applyAlignment="1">
      <alignment horizontal="center"/>
    </xf>
    <xf numFmtId="0" fontId="61" fillId="3" borderId="9" xfId="3" applyFont="1" applyFill="1" applyBorder="1" applyAlignment="1">
      <alignment horizontal="center"/>
    </xf>
    <xf numFmtId="0" fontId="61" fillId="3" borderId="10" xfId="3" applyFont="1" applyFill="1" applyBorder="1" applyAlignment="1">
      <alignment horizontal="center"/>
    </xf>
    <xf numFmtId="0" fontId="61" fillId="3" borderId="11" xfId="3" applyFont="1" applyFill="1" applyBorder="1" applyAlignment="1">
      <alignment horizontal="center"/>
    </xf>
    <xf numFmtId="49" fontId="61" fillId="3" borderId="10" xfId="3" applyNumberFormat="1" applyFont="1" applyFill="1" applyBorder="1" applyAlignment="1">
      <alignment horizontal="center"/>
    </xf>
    <xf numFmtId="3" fontId="61" fillId="3" borderId="0" xfId="3" applyNumberFormat="1" applyFont="1" applyFill="1" applyAlignment="1">
      <alignment horizontal="center"/>
    </xf>
    <xf numFmtId="3" fontId="60" fillId="3" borderId="0" xfId="3" applyNumberFormat="1" applyFont="1" applyFill="1" applyAlignment="1">
      <alignment horizontal="center"/>
    </xf>
    <xf numFmtId="3" fontId="60" fillId="3" borderId="6" xfId="3" applyNumberFormat="1" applyFont="1" applyFill="1" applyBorder="1" applyAlignment="1">
      <alignment horizontal="center"/>
    </xf>
    <xf numFmtId="0" fontId="60" fillId="3" borderId="8" xfId="3" applyFont="1" applyFill="1" applyBorder="1" applyAlignment="1">
      <alignment horizontal="right"/>
    </xf>
    <xf numFmtId="0" fontId="61" fillId="3" borderId="12" xfId="3" applyFont="1" applyFill="1" applyBorder="1" applyAlignment="1">
      <alignment horizontal="center"/>
    </xf>
    <xf numFmtId="0" fontId="61" fillId="3" borderId="13" xfId="3" applyFont="1" applyFill="1" applyBorder="1" applyAlignment="1">
      <alignment horizontal="center"/>
    </xf>
    <xf numFmtId="0" fontId="60" fillId="3" borderId="6" xfId="3" applyFont="1" applyFill="1" applyBorder="1" applyAlignment="1">
      <alignment horizontal="right"/>
    </xf>
    <xf numFmtId="3" fontId="61" fillId="3" borderId="0" xfId="3" applyNumberFormat="1" applyFont="1" applyFill="1" applyBorder="1" applyAlignment="1">
      <alignment horizontal="center"/>
    </xf>
    <xf numFmtId="3" fontId="61" fillId="3" borderId="0" xfId="3" applyNumberFormat="1" applyFont="1" applyFill="1" applyBorder="1" applyAlignment="1">
      <alignment horizontal="right"/>
    </xf>
    <xf numFmtId="3" fontId="61" fillId="3" borderId="0" xfId="3" applyNumberFormat="1" applyFont="1" applyFill="1" applyAlignment="1">
      <alignment horizontal="right"/>
    </xf>
    <xf numFmtId="3" fontId="60" fillId="3" borderId="0" xfId="3" applyNumberFormat="1" applyFont="1" applyFill="1" applyAlignment="1">
      <alignment horizontal="right"/>
    </xf>
    <xf numFmtId="3" fontId="61" fillId="3" borderId="12" xfId="3" applyNumberFormat="1" applyFont="1" applyFill="1" applyBorder="1"/>
    <xf numFmtId="3" fontId="61" fillId="3" borderId="13" xfId="3" applyNumberFormat="1" applyFont="1" applyFill="1" applyBorder="1" applyAlignment="1">
      <alignment horizontal="right"/>
    </xf>
    <xf numFmtId="3" fontId="61" fillId="3" borderId="0" xfId="3" applyNumberFormat="1" applyFont="1" applyFill="1"/>
    <xf numFmtId="0" fontId="60" fillId="3" borderId="6" xfId="3" applyFont="1" applyFill="1" applyBorder="1"/>
    <xf numFmtId="0" fontId="61" fillId="3" borderId="0" xfId="3" applyFont="1" applyFill="1"/>
    <xf numFmtId="3" fontId="61" fillId="5" borderId="0" xfId="3" applyNumberFormat="1" applyFont="1" applyFill="1" applyAlignment="1">
      <alignment horizontal="center"/>
    </xf>
    <xf numFmtId="3" fontId="61" fillId="3" borderId="0" xfId="3" applyNumberFormat="1" applyFont="1" applyFill="1" applyBorder="1" applyAlignment="1">
      <alignment horizontal="center" vertical="top"/>
    </xf>
    <xf numFmtId="3" fontId="61" fillId="3" borderId="0" xfId="3" applyNumberFormat="1" applyFont="1" applyFill="1" applyAlignment="1">
      <alignment horizontal="right" vertical="top"/>
    </xf>
    <xf numFmtId="3" fontId="61" fillId="3" borderId="0" xfId="3" applyNumberFormat="1" applyFont="1" applyFill="1" applyAlignment="1">
      <alignment horizontal="center" vertical="top"/>
    </xf>
    <xf numFmtId="3" fontId="60" fillId="3" borderId="0" xfId="3" applyNumberFormat="1" applyFont="1" applyFill="1" applyAlignment="1">
      <alignment horizontal="center" vertical="top"/>
    </xf>
    <xf numFmtId="3" fontId="60" fillId="3" borderId="6" xfId="3" applyNumberFormat="1" applyFont="1" applyFill="1" applyBorder="1" applyAlignment="1">
      <alignment horizontal="center" vertical="top"/>
    </xf>
    <xf numFmtId="0" fontId="60" fillId="3" borderId="6" xfId="3" applyFont="1" applyFill="1" applyBorder="1" applyAlignment="1">
      <alignment vertical="top"/>
    </xf>
    <xf numFmtId="3" fontId="65" fillId="5" borderId="0" xfId="3" applyNumberFormat="1" applyFont="1" applyFill="1" applyBorder="1" applyAlignment="1">
      <alignment horizontal="center"/>
    </xf>
    <xf numFmtId="3" fontId="60" fillId="3" borderId="0" xfId="3" applyNumberFormat="1" applyFont="1" applyFill="1" applyBorder="1" applyAlignment="1">
      <alignment horizontal="center"/>
    </xf>
    <xf numFmtId="3" fontId="61" fillId="4" borderId="0" xfId="3" applyNumberFormat="1" applyFont="1" applyFill="1" applyBorder="1" applyAlignment="1">
      <alignment horizontal="center"/>
    </xf>
    <xf numFmtId="3" fontId="61" fillId="4" borderId="0" xfId="3" applyNumberFormat="1" applyFont="1" applyFill="1" applyBorder="1" applyAlignment="1">
      <alignment horizontal="right"/>
    </xf>
    <xf numFmtId="0" fontId="61" fillId="3" borderId="0" xfId="3" applyFont="1" applyFill="1" applyBorder="1"/>
    <xf numFmtId="3" fontId="61" fillId="5" borderId="0" xfId="3" applyNumberFormat="1" applyFont="1" applyFill="1" applyBorder="1" applyAlignment="1">
      <alignment horizontal="center"/>
    </xf>
    <xf numFmtId="3" fontId="61" fillId="4" borderId="3" xfId="3" applyNumberFormat="1" applyFont="1" applyFill="1" applyBorder="1" applyAlignment="1">
      <alignment horizontal="center"/>
    </xf>
    <xf numFmtId="3" fontId="61" fillId="4" borderId="3" xfId="3" applyNumberFormat="1" applyFont="1" applyFill="1" applyBorder="1" applyAlignment="1">
      <alignment horizontal="right"/>
    </xf>
    <xf numFmtId="3" fontId="61" fillId="5" borderId="3" xfId="3" applyNumberFormat="1" applyFont="1" applyFill="1" applyBorder="1" applyAlignment="1">
      <alignment horizontal="center"/>
    </xf>
    <xf numFmtId="3" fontId="60" fillId="3" borderId="3" xfId="3" applyNumberFormat="1" applyFont="1" applyFill="1" applyBorder="1" applyAlignment="1">
      <alignment horizontal="center"/>
    </xf>
    <xf numFmtId="3" fontId="60" fillId="3" borderId="15" xfId="3" applyNumberFormat="1" applyFont="1" applyFill="1" applyBorder="1" applyAlignment="1">
      <alignment horizontal="center"/>
    </xf>
    <xf numFmtId="0" fontId="60" fillId="3" borderId="16" xfId="3" applyFont="1" applyFill="1" applyBorder="1"/>
    <xf numFmtId="0" fontId="61" fillId="4" borderId="0" xfId="3" applyFont="1" applyFill="1" applyBorder="1"/>
    <xf numFmtId="0" fontId="61" fillId="4" borderId="0" xfId="3" applyFont="1" applyFill="1"/>
    <xf numFmtId="169" fontId="61" fillId="4" borderId="0" xfId="3" applyNumberFormat="1" applyFont="1" applyFill="1" applyBorder="1" applyAlignment="1">
      <alignment horizontal="right"/>
    </xf>
    <xf numFmtId="170" fontId="61" fillId="4" borderId="0" xfId="3" applyNumberFormat="1" applyFont="1" applyFill="1" applyBorder="1" applyAlignment="1">
      <alignment horizontal="right"/>
    </xf>
    <xf numFmtId="0" fontId="61" fillId="4" borderId="0" xfId="3" applyFont="1" applyFill="1" applyAlignment="1">
      <alignment horizontal="center"/>
    </xf>
    <xf numFmtId="0" fontId="61" fillId="4" borderId="0" xfId="3" applyFont="1" applyFill="1" applyAlignment="1">
      <alignment horizontal="right"/>
    </xf>
    <xf numFmtId="0" fontId="63" fillId="3" borderId="0" xfId="3" applyFont="1" applyFill="1" applyBorder="1"/>
    <xf numFmtId="0" fontId="66" fillId="3" borderId="0" xfId="3" applyFont="1" applyFill="1"/>
    <xf numFmtId="0" fontId="67" fillId="3" borderId="0" xfId="3" applyFont="1" applyFill="1"/>
    <xf numFmtId="169" fontId="66" fillId="3" borderId="0" xfId="3" applyNumberFormat="1" applyFont="1" applyFill="1"/>
    <xf numFmtId="0" fontId="68" fillId="3" borderId="0" xfId="3" applyFont="1" applyFill="1"/>
    <xf numFmtId="3" fontId="66" fillId="3" borderId="0" xfId="3" applyNumberFormat="1" applyFont="1" applyFill="1"/>
    <xf numFmtId="0" fontId="66" fillId="4" borderId="0" xfId="3" applyFont="1" applyFill="1"/>
    <xf numFmtId="0" fontId="67" fillId="4" borderId="0" xfId="3" applyFont="1" applyFill="1"/>
    <xf numFmtId="0" fontId="60" fillId="4" borderId="0" xfId="3" applyFont="1" applyFill="1"/>
    <xf numFmtId="0" fontId="60" fillId="3" borderId="0" xfId="3" applyFont="1" applyFill="1"/>
    <xf numFmtId="0" fontId="61" fillId="3" borderId="0" xfId="3" applyFont="1" applyFill="1" applyBorder="1" applyAlignment="1">
      <alignment horizontal="right"/>
    </xf>
    <xf numFmtId="0" fontId="61" fillId="3" borderId="2" xfId="3" applyFont="1" applyFill="1" applyBorder="1" applyAlignment="1">
      <alignment horizontal="right"/>
    </xf>
    <xf numFmtId="0" fontId="61" fillId="3" borderId="0" xfId="3" applyFont="1" applyFill="1" applyBorder="1" applyAlignment="1">
      <alignment vertical="top"/>
    </xf>
    <xf numFmtId="0" fontId="61" fillId="4" borderId="3" xfId="3" applyFont="1" applyFill="1" applyBorder="1"/>
    <xf numFmtId="181" fontId="0" fillId="0" borderId="0" xfId="4" applyNumberFormat="1" applyFont="1"/>
    <xf numFmtId="166" fontId="0" fillId="0" borderId="0" xfId="0" applyNumberFormat="1" applyAlignment="1">
      <alignment horizontal="center"/>
    </xf>
    <xf numFmtId="0" fontId="13" fillId="3" borderId="0" xfId="5" applyFont="1" applyFill="1" applyAlignment="1">
      <alignment horizontal="right"/>
    </xf>
    <xf numFmtId="0" fontId="6" fillId="3" borderId="13" xfId="0" applyFont="1" applyFill="1" applyBorder="1"/>
    <xf numFmtId="0" fontId="6" fillId="7" borderId="87" xfId="0" applyFont="1" applyFill="1" applyBorder="1" applyAlignment="1">
      <alignment wrapText="1"/>
    </xf>
    <xf numFmtId="0" fontId="6" fillId="3" borderId="71"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17" fillId="3" borderId="89" xfId="0" applyFont="1" applyFill="1" applyBorder="1" applyAlignment="1">
      <alignment horizontal="center" vertical="center" wrapText="1"/>
    </xf>
    <xf numFmtId="0" fontId="17" fillId="3" borderId="90" xfId="0" applyFont="1" applyFill="1" applyBorder="1" applyAlignment="1">
      <alignment horizontal="center" vertical="center" wrapText="1"/>
    </xf>
    <xf numFmtId="0" fontId="6" fillId="7" borderId="93" xfId="0" applyFont="1" applyFill="1" applyBorder="1" applyAlignment="1">
      <alignment wrapText="1"/>
    </xf>
    <xf numFmtId="49" fontId="4" fillId="0" borderId="0" xfId="0" applyNumberFormat="1" applyFont="1" applyFill="1" applyBorder="1" applyAlignment="1">
      <alignment horizontal="right"/>
    </xf>
    <xf numFmtId="0" fontId="4" fillId="0" borderId="14" xfId="0" quotePrefix="1" applyFont="1" applyFill="1" applyBorder="1" applyAlignment="1">
      <alignment horizontal="right"/>
    </xf>
    <xf numFmtId="0" fontId="69" fillId="0" borderId="14" xfId="0" applyFont="1" applyFill="1" applyBorder="1" applyAlignment="1">
      <alignment horizontal="center"/>
    </xf>
    <xf numFmtId="0" fontId="69" fillId="0" borderId="42" xfId="0" applyFont="1" applyFill="1" applyBorder="1" applyAlignment="1">
      <alignment horizontal="center"/>
    </xf>
    <xf numFmtId="0" fontId="69" fillId="0" borderId="6" xfId="0" applyFont="1" applyFill="1" applyBorder="1" applyAlignment="1">
      <alignment horizontal="center"/>
    </xf>
    <xf numFmtId="0" fontId="69" fillId="0" borderId="7" xfId="0" applyFont="1" applyFill="1" applyBorder="1" applyAlignment="1">
      <alignment horizontal="center"/>
    </xf>
    <xf numFmtId="4" fontId="0" fillId="0" borderId="6" xfId="0" applyNumberFormat="1" applyBorder="1" applyAlignment="1">
      <alignment horizontal="right"/>
    </xf>
    <xf numFmtId="2" fontId="6" fillId="2" borderId="6" xfId="0" applyNumberFormat="1" applyFont="1" applyFill="1" applyBorder="1" applyAlignment="1">
      <alignment horizontal="right"/>
    </xf>
    <xf numFmtId="0" fontId="6" fillId="0" borderId="6" xfId="0" applyFont="1" applyFill="1" applyBorder="1" applyAlignment="1">
      <alignment horizontal="right"/>
    </xf>
    <xf numFmtId="164" fontId="6" fillId="0" borderId="0" xfId="4" applyFont="1" applyFill="1" applyBorder="1" applyAlignment="1">
      <alignment horizontal="right"/>
    </xf>
    <xf numFmtId="183" fontId="6" fillId="0" borderId="0" xfId="4" applyNumberFormat="1" applyFont="1" applyFill="1" applyBorder="1" applyAlignment="1">
      <alignment horizontal="right"/>
    </xf>
    <xf numFmtId="164" fontId="6" fillId="0" borderId="0" xfId="4" applyFont="1" applyFill="1" applyBorder="1"/>
    <xf numFmtId="164" fontId="6" fillId="0" borderId="6" xfId="4" applyFont="1" applyFill="1" applyBorder="1"/>
    <xf numFmtId="0" fontId="4" fillId="0" borderId="11" xfId="0" applyFont="1" applyFill="1" applyBorder="1" applyAlignment="1">
      <alignment horizontal="center"/>
    </xf>
    <xf numFmtId="4" fontId="0" fillId="0" borderId="0" xfId="0" applyNumberFormat="1" applyBorder="1" applyAlignment="1">
      <alignment horizontal="right"/>
    </xf>
    <xf numFmtId="0" fontId="61" fillId="0" borderId="0" xfId="0" applyFont="1"/>
    <xf numFmtId="0" fontId="0" fillId="0" borderId="0" xfId="0" applyFont="1"/>
    <xf numFmtId="4" fontId="6" fillId="2" borderId="0" xfId="0" applyNumberFormat="1" applyFont="1" applyFill="1"/>
    <xf numFmtId="0" fontId="12" fillId="3" borderId="0" xfId="0" applyFont="1" applyFill="1"/>
    <xf numFmtId="0" fontId="11" fillId="3" borderId="0" xfId="0" applyFont="1" applyFill="1"/>
    <xf numFmtId="0" fontId="73" fillId="3" borderId="0" xfId="0" applyFont="1" applyFill="1"/>
    <xf numFmtId="0" fontId="36" fillId="3" borderId="0" xfId="0" applyFont="1" applyFill="1"/>
    <xf numFmtId="0" fontId="16" fillId="3" borderId="0" xfId="0" applyFont="1" applyFill="1" applyAlignment="1">
      <alignment vertical="center"/>
    </xf>
    <xf numFmtId="0" fontId="16" fillId="3" borderId="0" xfId="0" applyFont="1" applyFill="1" applyBorder="1" applyAlignment="1">
      <alignment horizontal="center" vertical="center"/>
    </xf>
    <xf numFmtId="0" fontId="16" fillId="3" borderId="0" xfId="0" applyFont="1" applyFill="1" applyBorder="1" applyAlignment="1">
      <alignment horizontal="right" vertical="center"/>
    </xf>
    <xf numFmtId="0" fontId="16" fillId="3" borderId="0" xfId="0" applyFont="1" applyFill="1" applyAlignment="1">
      <alignment horizontal="right" vertical="center"/>
    </xf>
    <xf numFmtId="0" fontId="16" fillId="3" borderId="0" xfId="0" applyFont="1" applyFill="1" applyBorder="1" applyAlignment="1">
      <alignment vertical="center"/>
    </xf>
    <xf numFmtId="49" fontId="16" fillId="3" borderId="0" xfId="0" applyNumberFormat="1" applyFont="1" applyFill="1" applyBorder="1" applyAlignment="1">
      <alignment horizontal="right"/>
    </xf>
    <xf numFmtId="0" fontId="16" fillId="3" borderId="0" xfId="0" applyFont="1" applyFill="1" applyAlignment="1">
      <alignment horizontal="right"/>
    </xf>
    <xf numFmtId="0" fontId="16" fillId="4" borderId="0" xfId="0" applyFont="1" applyFill="1" applyAlignment="1">
      <alignment horizontal="right" vertical="center"/>
    </xf>
    <xf numFmtId="0" fontId="16" fillId="3" borderId="0" xfId="0" applyFont="1" applyFill="1" applyAlignment="1">
      <alignment horizontal="center"/>
    </xf>
    <xf numFmtId="0" fontId="74" fillId="3" borderId="0" xfId="0" quotePrefix="1" applyFont="1" applyFill="1" applyBorder="1" applyAlignment="1">
      <alignment horizontal="right"/>
    </xf>
    <xf numFmtId="49" fontId="74" fillId="3" borderId="0" xfId="0" applyNumberFormat="1" applyFont="1" applyFill="1" applyBorder="1" applyAlignment="1">
      <alignment horizontal="right"/>
    </xf>
    <xf numFmtId="0" fontId="16" fillId="3" borderId="0" xfId="0" applyFont="1" applyFill="1" applyBorder="1" applyAlignment="1">
      <alignment horizontal="right"/>
    </xf>
    <xf numFmtId="0" fontId="16" fillId="4" borderId="0" xfId="0" applyFont="1" applyFill="1" applyBorder="1" applyAlignment="1">
      <alignment horizontal="right" vertical="center"/>
    </xf>
    <xf numFmtId="0" fontId="74" fillId="3" borderId="0" xfId="0" quotePrefix="1" applyFont="1" applyFill="1" applyBorder="1" applyAlignment="1">
      <alignment horizontal="right" vertical="center"/>
    </xf>
    <xf numFmtId="0" fontId="16" fillId="3" borderId="0" xfId="0" applyFont="1" applyFill="1" applyBorder="1" applyAlignment="1">
      <alignment horizontal="center"/>
    </xf>
    <xf numFmtId="0" fontId="0" fillId="3" borderId="2" xfId="0" applyFill="1" applyBorder="1"/>
    <xf numFmtId="0" fontId="16" fillId="3" borderId="2" xfId="0" applyFont="1" applyFill="1" applyBorder="1" applyAlignment="1">
      <alignment horizontal="right"/>
    </xf>
    <xf numFmtId="49" fontId="74" fillId="3" borderId="2" xfId="0" applyNumberFormat="1" applyFont="1" applyFill="1" applyBorder="1" applyAlignment="1">
      <alignment horizontal="right"/>
    </xf>
    <xf numFmtId="0" fontId="74" fillId="3" borderId="2" xfId="0" quotePrefix="1" applyFont="1" applyFill="1" applyBorder="1" applyAlignment="1">
      <alignment horizontal="right"/>
    </xf>
    <xf numFmtId="0" fontId="15" fillId="3" borderId="0" xfId="0" applyFont="1" applyFill="1"/>
    <xf numFmtId="0" fontId="16" fillId="3" borderId="0" xfId="0" applyFont="1" applyFill="1"/>
    <xf numFmtId="0" fontId="7" fillId="3" borderId="0" xfId="0" applyFont="1" applyFill="1" applyAlignment="1">
      <alignment horizontal="left"/>
    </xf>
    <xf numFmtId="184" fontId="7" fillId="3" borderId="0" xfId="0" applyNumberFormat="1" applyFont="1" applyFill="1" applyAlignment="1">
      <alignment horizontal="right"/>
    </xf>
    <xf numFmtId="184" fontId="7" fillId="3" borderId="0" xfId="0" applyNumberFormat="1" applyFont="1" applyFill="1" applyBorder="1" applyAlignment="1">
      <alignment horizontal="right"/>
    </xf>
    <xf numFmtId="0" fontId="7" fillId="3" borderId="0" xfId="0" applyFont="1" applyFill="1" applyBorder="1" applyAlignment="1">
      <alignment horizontal="left"/>
    </xf>
    <xf numFmtId="0" fontId="7" fillId="4" borderId="0" xfId="0" applyFont="1" applyFill="1" applyBorder="1" applyAlignment="1">
      <alignment horizontal="left"/>
    </xf>
    <xf numFmtId="0" fontId="0" fillId="4" borderId="0" xfId="0" applyFill="1"/>
    <xf numFmtId="179" fontId="0" fillId="4" borderId="0" xfId="1" applyNumberFormat="1" applyFont="1" applyFill="1"/>
    <xf numFmtId="185" fontId="7" fillId="3" borderId="0" xfId="0" applyNumberFormat="1" applyFont="1" applyFill="1" applyAlignment="1">
      <alignment horizontal="right"/>
    </xf>
    <xf numFmtId="185" fontId="7" fillId="3" borderId="0" xfId="0" applyNumberFormat="1" applyFont="1" applyFill="1" applyBorder="1" applyAlignment="1">
      <alignment horizontal="right"/>
    </xf>
    <xf numFmtId="179" fontId="0" fillId="4" borderId="0" xfId="1" applyNumberFormat="1" applyFont="1" applyFill="1" applyBorder="1"/>
    <xf numFmtId="186" fontId="7" fillId="3" borderId="0" xfId="0" applyNumberFormat="1" applyFont="1" applyFill="1" applyAlignment="1">
      <alignment horizontal="right"/>
    </xf>
    <xf numFmtId="186" fontId="7" fillId="3" borderId="0" xfId="0" applyNumberFormat="1" applyFont="1" applyFill="1" applyBorder="1" applyAlignment="1">
      <alignment horizontal="right"/>
    </xf>
    <xf numFmtId="0" fontId="7" fillId="3" borderId="3" xfId="0" applyFont="1" applyFill="1" applyBorder="1" applyAlignment="1">
      <alignment horizontal="left"/>
    </xf>
    <xf numFmtId="184" fontId="7" fillId="0" borderId="3" xfId="0" applyNumberFormat="1" applyFont="1" applyFill="1" applyBorder="1" applyAlignment="1">
      <alignment horizontal="right"/>
    </xf>
    <xf numFmtId="184" fontId="7" fillId="3" borderId="3" xfId="0" applyNumberFormat="1" applyFont="1" applyFill="1" applyBorder="1" applyAlignment="1">
      <alignment horizontal="right"/>
    </xf>
    <xf numFmtId="0" fontId="0" fillId="3" borderId="3" xfId="0" applyFill="1" applyBorder="1"/>
    <xf numFmtId="0" fontId="16" fillId="3" borderId="1" xfId="0" applyFont="1" applyFill="1" applyBorder="1"/>
    <xf numFmtId="0" fontId="14" fillId="3" borderId="0" xfId="0" applyFont="1" applyFill="1"/>
    <xf numFmtId="0" fontId="0" fillId="3" borderId="0" xfId="0" applyFill="1" applyBorder="1" applyAlignment="1">
      <alignment vertical="center"/>
    </xf>
    <xf numFmtId="49" fontId="74" fillId="3" borderId="0" xfId="0" applyNumberFormat="1" applyFont="1" applyFill="1" applyAlignment="1">
      <alignment horizontal="right"/>
    </xf>
    <xf numFmtId="0" fontId="0" fillId="3" borderId="0" xfId="0" applyFill="1" applyAlignment="1">
      <alignment vertical="center"/>
    </xf>
    <xf numFmtId="0" fontId="14" fillId="3" borderId="0" xfId="0" applyFont="1" applyFill="1" applyAlignment="1">
      <alignment vertical="center"/>
    </xf>
    <xf numFmtId="49" fontId="75" fillId="3" borderId="0" xfId="0" applyNumberFormat="1" applyFont="1" applyFill="1" applyAlignment="1">
      <alignment horizontal="right"/>
    </xf>
    <xf numFmtId="49" fontId="76" fillId="3" borderId="0" xfId="0" applyNumberFormat="1" applyFont="1" applyFill="1" applyAlignment="1">
      <alignment horizontal="right"/>
    </xf>
    <xf numFmtId="0" fontId="47" fillId="3" borderId="2" xfId="0" applyFont="1" applyFill="1" applyBorder="1"/>
    <xf numFmtId="0" fontId="15" fillId="3" borderId="11" xfId="0" applyFont="1" applyFill="1" applyBorder="1"/>
    <xf numFmtId="0" fontId="16" fillId="3" borderId="11" xfId="0" applyFont="1" applyFill="1" applyBorder="1"/>
    <xf numFmtId="0" fontId="16" fillId="3" borderId="0" xfId="0" applyFont="1" applyFill="1" applyBorder="1"/>
    <xf numFmtId="3" fontId="7" fillId="3" borderId="0" xfId="0" applyNumberFormat="1" applyFont="1" applyFill="1" applyBorder="1" applyAlignment="1">
      <alignment horizontal="right"/>
    </xf>
    <xf numFmtId="3" fontId="0" fillId="3" borderId="0" xfId="0" applyNumberFormat="1" applyFill="1"/>
    <xf numFmtId="187" fontId="14" fillId="3" borderId="0" xfId="0" applyNumberFormat="1" applyFont="1" applyFill="1"/>
    <xf numFmtId="166" fontId="7" fillId="4" borderId="0" xfId="0" applyNumberFormat="1" applyFont="1" applyFill="1"/>
    <xf numFmtId="0" fontId="7" fillId="3" borderId="0" xfId="0" applyFont="1" applyFill="1"/>
    <xf numFmtId="0" fontId="77" fillId="3" borderId="0" xfId="0" applyFont="1" applyFill="1" applyBorder="1" applyAlignment="1">
      <alignment horizontal="left"/>
    </xf>
    <xf numFmtId="0" fontId="7" fillId="3" borderId="0" xfId="0" applyFont="1" applyFill="1" applyBorder="1"/>
    <xf numFmtId="0" fontId="77" fillId="4" borderId="0" xfId="0" applyFont="1" applyFill="1" applyBorder="1" applyAlignment="1">
      <alignment horizontal="left"/>
    </xf>
    <xf numFmtId="3" fontId="0" fillId="4" borderId="0" xfId="0" applyNumberFormat="1" applyFill="1"/>
    <xf numFmtId="0" fontId="7" fillId="4" borderId="0" xfId="0" applyFont="1" applyFill="1" applyBorder="1"/>
    <xf numFmtId="187" fontId="14" fillId="4" borderId="0" xfId="0" applyNumberFormat="1" applyFont="1" applyFill="1"/>
    <xf numFmtId="0" fontId="7" fillId="4" borderId="0" xfId="0" applyFont="1" applyFill="1"/>
    <xf numFmtId="3" fontId="0" fillId="4" borderId="0" xfId="0" applyNumberFormat="1" applyFill="1" applyBorder="1"/>
    <xf numFmtId="188" fontId="14" fillId="4" borderId="0" xfId="0" applyNumberFormat="1" applyFont="1" applyFill="1" applyBorder="1"/>
    <xf numFmtId="166" fontId="7" fillId="4" borderId="0" xfId="0" applyNumberFormat="1" applyFont="1" applyFill="1" applyBorder="1"/>
    <xf numFmtId="186" fontId="0" fillId="4" borderId="0" xfId="0" applyNumberFormat="1" applyFill="1" applyBorder="1"/>
    <xf numFmtId="188" fontId="14" fillId="3" borderId="0" xfId="0" applyNumberFormat="1" applyFont="1" applyFill="1" applyBorder="1"/>
    <xf numFmtId="0" fontId="77" fillId="4" borderId="3" xfId="0" applyFont="1" applyFill="1" applyBorder="1" applyAlignment="1">
      <alignment horizontal="left"/>
    </xf>
    <xf numFmtId="3" fontId="7" fillId="3" borderId="3" xfId="0" applyNumberFormat="1" applyFont="1" applyFill="1" applyBorder="1" applyAlignment="1">
      <alignment horizontal="right"/>
    </xf>
    <xf numFmtId="3" fontId="0" fillId="3" borderId="3" xfId="0" applyNumberFormat="1" applyFill="1" applyBorder="1"/>
    <xf numFmtId="0" fontId="16" fillId="3" borderId="1" xfId="0" applyFont="1" applyFill="1" applyBorder="1" applyAlignment="1">
      <alignment horizontal="right"/>
    </xf>
    <xf numFmtId="0" fontId="16" fillId="0" borderId="0" xfId="0" applyFont="1" applyFill="1" applyAlignment="1">
      <alignment horizontal="right"/>
    </xf>
    <xf numFmtId="0" fontId="0" fillId="3" borderId="1" xfId="0" applyFill="1" applyBorder="1"/>
    <xf numFmtId="0" fontId="16" fillId="4" borderId="0" xfId="0" applyFont="1" applyFill="1" applyBorder="1" applyAlignment="1">
      <alignment horizontal="right"/>
    </xf>
    <xf numFmtId="0" fontId="78" fillId="3" borderId="0" xfId="0" applyFont="1" applyFill="1" applyAlignment="1">
      <alignment horizontal="right"/>
    </xf>
    <xf numFmtId="0" fontId="79" fillId="3" borderId="2" xfId="0" applyFont="1" applyFill="1" applyBorder="1"/>
    <xf numFmtId="0" fontId="80" fillId="3" borderId="11" xfId="0" applyFont="1" applyFill="1" applyBorder="1"/>
    <xf numFmtId="0" fontId="81" fillId="3" borderId="11" xfId="0" applyFont="1" applyFill="1" applyBorder="1"/>
    <xf numFmtId="0" fontId="81" fillId="3" borderId="0" xfId="0" applyFont="1" applyFill="1"/>
    <xf numFmtId="0" fontId="77" fillId="4" borderId="0" xfId="0" applyFont="1" applyFill="1" applyAlignment="1">
      <alignment horizontal="left"/>
    </xf>
    <xf numFmtId="3" fontId="7" fillId="4" borderId="0" xfId="0" applyNumberFormat="1" applyFont="1" applyFill="1" applyBorder="1" applyAlignment="1">
      <alignment horizontal="right"/>
    </xf>
    <xf numFmtId="3" fontId="7" fillId="0" borderId="0" xfId="0" applyNumberFormat="1" applyFont="1" applyFill="1" applyBorder="1" applyAlignment="1">
      <alignment horizontal="right"/>
    </xf>
    <xf numFmtId="3" fontId="77" fillId="4" borderId="0" xfId="0" applyNumberFormat="1" applyFont="1" applyFill="1" applyAlignment="1">
      <alignment horizontal="right"/>
    </xf>
    <xf numFmtId="3" fontId="7" fillId="4" borderId="0" xfId="0" applyNumberFormat="1" applyFont="1" applyFill="1"/>
    <xf numFmtId="3" fontId="7" fillId="4" borderId="0" xfId="0" applyNumberFormat="1" applyFont="1" applyFill="1" applyAlignment="1">
      <alignment horizontal="right"/>
    </xf>
    <xf numFmtId="9" fontId="6" fillId="4" borderId="0" xfId="1" applyNumberFormat="1" applyFont="1" applyFill="1"/>
    <xf numFmtId="3" fontId="77" fillId="3" borderId="0" xfId="0" applyNumberFormat="1" applyFont="1" applyFill="1" applyBorder="1" applyAlignment="1">
      <alignment horizontal="right"/>
    </xf>
    <xf numFmtId="185" fontId="7" fillId="4" borderId="0" xfId="0" applyNumberFormat="1" applyFont="1" applyFill="1" applyBorder="1" applyAlignment="1">
      <alignment horizontal="right"/>
    </xf>
    <xf numFmtId="185" fontId="7" fillId="0" borderId="0" xfId="0" applyNumberFormat="1" applyFont="1" applyFill="1" applyBorder="1" applyAlignment="1">
      <alignment horizontal="right"/>
    </xf>
    <xf numFmtId="185" fontId="7" fillId="4" borderId="0" xfId="0" applyNumberFormat="1" applyFont="1" applyFill="1" applyAlignment="1">
      <alignment horizontal="right"/>
    </xf>
    <xf numFmtId="185" fontId="77" fillId="4" borderId="0" xfId="0" applyNumberFormat="1" applyFont="1" applyFill="1" applyAlignment="1">
      <alignment horizontal="right"/>
    </xf>
    <xf numFmtId="185" fontId="7" fillId="4" borderId="0" xfId="0" applyNumberFormat="1" applyFont="1" applyFill="1"/>
    <xf numFmtId="9" fontId="6" fillId="4" borderId="0" xfId="1" applyNumberFormat="1" applyFont="1" applyFill="1" applyBorder="1"/>
    <xf numFmtId="186" fontId="7" fillId="4" borderId="0" xfId="0" applyNumberFormat="1" applyFont="1" applyFill="1" applyBorder="1" applyAlignment="1">
      <alignment horizontal="right"/>
    </xf>
    <xf numFmtId="186" fontId="77" fillId="4" borderId="0" xfId="0" applyNumberFormat="1" applyFont="1" applyFill="1" applyAlignment="1">
      <alignment horizontal="right"/>
    </xf>
    <xf numFmtId="3" fontId="7" fillId="4" borderId="3" xfId="0" applyNumberFormat="1" applyFont="1" applyFill="1" applyBorder="1" applyAlignment="1">
      <alignment horizontal="right"/>
    </xf>
    <xf numFmtId="3" fontId="7" fillId="0" borderId="3" xfId="0" applyNumberFormat="1" applyFont="1" applyFill="1" applyBorder="1" applyAlignment="1">
      <alignment horizontal="right"/>
    </xf>
    <xf numFmtId="3" fontId="77" fillId="3" borderId="3" xfId="0" applyNumberFormat="1" applyFont="1" applyFill="1" applyBorder="1" applyAlignment="1">
      <alignment horizontal="right"/>
    </xf>
    <xf numFmtId="3" fontId="77" fillId="4" borderId="3" xfId="0" applyNumberFormat="1" applyFont="1" applyFill="1" applyBorder="1" applyAlignment="1">
      <alignment horizontal="right"/>
    </xf>
    <xf numFmtId="3" fontId="7" fillId="4" borderId="3" xfId="0" applyNumberFormat="1" applyFont="1" applyFill="1" applyBorder="1"/>
    <xf numFmtId="187" fontId="7" fillId="3" borderId="0" xfId="0" applyNumberFormat="1" applyFont="1" applyFill="1" applyBorder="1" applyAlignment="1">
      <alignment horizontal="right"/>
    </xf>
    <xf numFmtId="187" fontId="77" fillId="3" borderId="0" xfId="0" applyNumberFormat="1" applyFont="1" applyFill="1" applyBorder="1" applyAlignment="1">
      <alignment horizontal="right"/>
    </xf>
    <xf numFmtId="0" fontId="82" fillId="3" borderId="0" xfId="0" applyFont="1" applyFill="1"/>
    <xf numFmtId="187" fontId="83" fillId="3" borderId="0" xfId="0" applyNumberFormat="1" applyFont="1" applyFill="1" applyBorder="1" applyAlignment="1">
      <alignment horizontal="right"/>
    </xf>
    <xf numFmtId="187" fontId="83" fillId="3" borderId="0" xfId="0" applyNumberFormat="1" applyFont="1" applyFill="1" applyAlignment="1">
      <alignment horizontal="right"/>
    </xf>
    <xf numFmtId="187" fontId="7" fillId="4" borderId="0" xfId="0" applyNumberFormat="1" applyFont="1" applyFill="1" applyAlignment="1">
      <alignment horizontal="right"/>
    </xf>
    <xf numFmtId="187" fontId="83" fillId="4" borderId="0" xfId="0" applyNumberFormat="1" applyFont="1" applyFill="1" applyAlignment="1">
      <alignment horizontal="right"/>
    </xf>
    <xf numFmtId="187" fontId="83" fillId="3" borderId="0" xfId="0" applyNumberFormat="1" applyFont="1" applyFill="1" applyBorder="1"/>
    <xf numFmtId="0" fontId="12" fillId="4" borderId="0" xfId="0" applyFont="1" applyFill="1"/>
    <xf numFmtId="0" fontId="73" fillId="4" borderId="0" xfId="0" applyFont="1" applyFill="1"/>
    <xf numFmtId="0" fontId="11" fillId="4" borderId="0" xfId="0" applyFont="1" applyFill="1"/>
    <xf numFmtId="0" fontId="49" fillId="4" borderId="0" xfId="0" applyFont="1" applyFill="1"/>
    <xf numFmtId="0" fontId="15" fillId="4" borderId="0" xfId="0" applyFont="1" applyFill="1"/>
    <xf numFmtId="0" fontId="16" fillId="4" borderId="0" xfId="0" applyFont="1" applyFill="1" applyAlignment="1">
      <alignment horizontal="right"/>
    </xf>
    <xf numFmtId="0" fontId="7" fillId="4" borderId="0" xfId="0" applyFont="1" applyFill="1" applyAlignment="1">
      <alignment horizontal="left"/>
    </xf>
    <xf numFmtId="184" fontId="7" fillId="4" borderId="0" xfId="0" applyNumberFormat="1" applyFont="1" applyFill="1" applyBorder="1" applyAlignment="1">
      <alignment horizontal="right"/>
    </xf>
    <xf numFmtId="189" fontId="7" fillId="4" borderId="0" xfId="0" applyNumberFormat="1" applyFont="1" applyFill="1" applyBorder="1" applyAlignment="1">
      <alignment horizontal="right"/>
    </xf>
    <xf numFmtId="0" fontId="7" fillId="4" borderId="3" xfId="0" applyFont="1" applyFill="1" applyBorder="1" applyAlignment="1">
      <alignment horizontal="left"/>
    </xf>
    <xf numFmtId="184" fontId="7" fillId="4" borderId="3" xfId="0" applyNumberFormat="1" applyFont="1" applyFill="1" applyBorder="1" applyAlignment="1">
      <alignment horizontal="right"/>
    </xf>
    <xf numFmtId="10" fontId="14" fillId="4" borderId="0" xfId="0" applyNumberFormat="1" applyFont="1" applyFill="1"/>
    <xf numFmtId="188" fontId="7" fillId="4" borderId="3" xfId="0" applyNumberFormat="1" applyFont="1" applyFill="1" applyBorder="1" applyAlignment="1">
      <alignment horizontal="right"/>
    </xf>
    <xf numFmtId="189" fontId="14" fillId="3" borderId="0" xfId="0" applyNumberFormat="1" applyFont="1" applyFill="1"/>
    <xf numFmtId="0" fontId="16" fillId="4" borderId="0" xfId="0" applyFont="1" applyFill="1" applyAlignment="1">
      <alignment vertical="center"/>
    </xf>
    <xf numFmtId="0" fontId="16" fillId="4" borderId="0" xfId="0" applyFont="1" applyFill="1" applyBorder="1" applyAlignment="1">
      <alignment horizontal="center" vertical="center"/>
    </xf>
    <xf numFmtId="0" fontId="0" fillId="4" borderId="0" xfId="0" applyFill="1" applyAlignment="1">
      <alignment vertical="center"/>
    </xf>
    <xf numFmtId="49" fontId="16" fillId="4" borderId="0" xfId="0" applyNumberFormat="1" applyFont="1" applyFill="1" applyBorder="1" applyAlignment="1">
      <alignment horizontal="right"/>
    </xf>
    <xf numFmtId="0" fontId="16" fillId="4" borderId="0" xfId="0" quotePrefix="1" applyFont="1" applyFill="1" applyBorder="1" applyAlignment="1">
      <alignment horizontal="right" vertical="center"/>
    </xf>
    <xf numFmtId="190" fontId="16" fillId="4" borderId="0" xfId="4" applyNumberFormat="1" applyFont="1" applyFill="1" applyAlignment="1">
      <alignment horizontal="right" vertical="center"/>
    </xf>
    <xf numFmtId="0" fontId="0" fillId="4" borderId="0" xfId="0" applyFill="1" applyBorder="1" applyAlignment="1">
      <alignment vertical="center"/>
    </xf>
    <xf numFmtId="0" fontId="74" fillId="4" borderId="0" xfId="0" quotePrefix="1" applyFont="1" applyFill="1" applyBorder="1" applyAlignment="1">
      <alignment horizontal="right" vertical="center"/>
    </xf>
    <xf numFmtId="0" fontId="0" fillId="4" borderId="2" xfId="0" applyFill="1" applyBorder="1"/>
    <xf numFmtId="0" fontId="16" fillId="4" borderId="2" xfId="0" applyFont="1" applyFill="1" applyBorder="1" applyAlignment="1">
      <alignment horizontal="right"/>
    </xf>
    <xf numFmtId="0" fontId="16" fillId="4" borderId="2" xfId="0" applyFont="1" applyFill="1" applyBorder="1"/>
    <xf numFmtId="49" fontId="74" fillId="4" borderId="2" xfId="0" applyNumberFormat="1" applyFont="1" applyFill="1" applyBorder="1" applyAlignment="1">
      <alignment horizontal="right"/>
    </xf>
    <xf numFmtId="0" fontId="74" fillId="4" borderId="2" xfId="0" quotePrefix="1" applyFont="1" applyFill="1" applyBorder="1" applyAlignment="1">
      <alignment horizontal="right" vertical="center"/>
    </xf>
    <xf numFmtId="190" fontId="16" fillId="4" borderId="2" xfId="4" applyNumberFormat="1" applyFont="1" applyFill="1" applyBorder="1" applyAlignment="1">
      <alignment horizontal="right"/>
    </xf>
    <xf numFmtId="190" fontId="47" fillId="4" borderId="0" xfId="4" applyNumberFormat="1" applyFont="1" applyFill="1"/>
    <xf numFmtId="184" fontId="7" fillId="4" borderId="0" xfId="0" applyNumberFormat="1" applyFont="1" applyFill="1" applyBorder="1"/>
    <xf numFmtId="187" fontId="77" fillId="4" borderId="0" xfId="0" applyNumberFormat="1" applyFont="1" applyFill="1"/>
    <xf numFmtId="187" fontId="77" fillId="4" borderId="0" xfId="0" applyNumberFormat="1" applyFont="1" applyFill="1" applyBorder="1"/>
    <xf numFmtId="187" fontId="7" fillId="4" borderId="0" xfId="0" applyNumberFormat="1" applyFont="1" applyFill="1" applyBorder="1"/>
    <xf numFmtId="0" fontId="47" fillId="4" borderId="0" xfId="0" applyFont="1" applyFill="1"/>
    <xf numFmtId="0" fontId="45" fillId="4" borderId="0" xfId="0" applyFont="1" applyFill="1"/>
    <xf numFmtId="0" fontId="47" fillId="4" borderId="0" xfId="0" applyFont="1" applyFill="1" applyBorder="1"/>
    <xf numFmtId="185" fontId="7" fillId="4" borderId="0" xfId="0" applyNumberFormat="1" applyFont="1" applyFill="1" applyBorder="1"/>
    <xf numFmtId="186" fontId="7" fillId="4" borderId="0" xfId="0" applyNumberFormat="1" applyFont="1" applyFill="1" applyBorder="1"/>
    <xf numFmtId="184" fontId="7" fillId="4" borderId="3" xfId="0" applyNumberFormat="1" applyFont="1" applyFill="1" applyBorder="1"/>
    <xf numFmtId="0" fontId="85" fillId="4" borderId="0" xfId="0" applyFont="1" applyFill="1"/>
    <xf numFmtId="0" fontId="86" fillId="4" borderId="0" xfId="0" applyFont="1" applyFill="1"/>
    <xf numFmtId="0" fontId="87" fillId="4" borderId="0" xfId="0" applyFont="1" applyFill="1"/>
    <xf numFmtId="187" fontId="86" fillId="4" borderId="0" xfId="0" applyNumberFormat="1" applyFont="1" applyFill="1"/>
    <xf numFmtId="0" fontId="44" fillId="4" borderId="0" xfId="0" applyFont="1" applyFill="1"/>
    <xf numFmtId="0" fontId="83" fillId="4" borderId="0" xfId="0" applyFont="1" applyFill="1"/>
    <xf numFmtId="0" fontId="86" fillId="3" borderId="3" xfId="0" applyFont="1" applyFill="1" applyBorder="1"/>
    <xf numFmtId="0" fontId="7" fillId="3" borderId="3" xfId="0" applyFont="1" applyFill="1" applyBorder="1"/>
    <xf numFmtId="187" fontId="7" fillId="3" borderId="3" xfId="0" applyNumberFormat="1" applyFont="1" applyFill="1" applyBorder="1"/>
    <xf numFmtId="0" fontId="88" fillId="3" borderId="3" xfId="0" applyFont="1" applyFill="1" applyBorder="1"/>
    <xf numFmtId="0" fontId="89" fillId="3" borderId="3" xfId="0" applyFont="1" applyFill="1" applyBorder="1" applyAlignment="1">
      <alignment horizontal="right"/>
    </xf>
    <xf numFmtId="0" fontId="16" fillId="3" borderId="1"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1" xfId="0" applyFont="1" applyFill="1" applyBorder="1" applyAlignment="1">
      <alignment horizontal="right" vertical="center"/>
    </xf>
    <xf numFmtId="0" fontId="16" fillId="3" borderId="11" xfId="0" applyFont="1" applyFill="1" applyBorder="1" applyAlignment="1">
      <alignment horizontal="right" vertical="center"/>
    </xf>
    <xf numFmtId="0" fontId="90" fillId="3" borderId="0" xfId="0" applyFont="1" applyFill="1"/>
    <xf numFmtId="0" fontId="16" fillId="3" borderId="2" xfId="0" applyFont="1" applyFill="1" applyBorder="1"/>
    <xf numFmtId="0" fontId="78" fillId="3" borderId="2" xfId="0" applyFont="1" applyFill="1" applyBorder="1"/>
    <xf numFmtId="187" fontId="7" fillId="3" borderId="0" xfId="0" applyNumberFormat="1" applyFont="1" applyFill="1" applyAlignment="1">
      <alignment horizontal="right"/>
    </xf>
    <xf numFmtId="189" fontId="7" fillId="3" borderId="0" xfId="0" applyNumberFormat="1" applyFont="1" applyFill="1" applyAlignment="1">
      <alignment horizontal="right"/>
    </xf>
    <xf numFmtId="189" fontId="83" fillId="3" borderId="0" xfId="0" applyNumberFormat="1" applyFont="1" applyFill="1" applyBorder="1" applyAlignment="1">
      <alignment horizontal="right"/>
    </xf>
    <xf numFmtId="3" fontId="83" fillId="4" borderId="0" xfId="0" applyNumberFormat="1" applyFont="1" applyFill="1"/>
    <xf numFmtId="189" fontId="7" fillId="4" borderId="0" xfId="0" applyNumberFormat="1" applyFont="1" applyFill="1" applyAlignment="1">
      <alignment horizontal="right"/>
    </xf>
    <xf numFmtId="191" fontId="7" fillId="3" borderId="0" xfId="0" applyNumberFormat="1" applyFont="1" applyFill="1" applyBorder="1" applyAlignment="1">
      <alignment horizontal="right"/>
    </xf>
    <xf numFmtId="192" fontId="7" fillId="3" borderId="0" xfId="0" applyNumberFormat="1" applyFont="1" applyFill="1" applyBorder="1" applyAlignment="1">
      <alignment horizontal="right"/>
    </xf>
    <xf numFmtId="166" fontId="7" fillId="3" borderId="3" xfId="0" applyNumberFormat="1" applyFont="1" applyFill="1" applyBorder="1" applyAlignment="1">
      <alignment horizontal="right"/>
    </xf>
    <xf numFmtId="0" fontId="86" fillId="3" borderId="0" xfId="0" applyFont="1" applyFill="1"/>
    <xf numFmtId="0" fontId="92" fillId="4" borderId="0" xfId="0" applyFont="1" applyFill="1"/>
    <xf numFmtId="187" fontId="85" fillId="4" borderId="0" xfId="0" applyNumberFormat="1" applyFont="1" applyFill="1"/>
    <xf numFmtId="0" fontId="93" fillId="4" borderId="0" xfId="0" applyFont="1" applyFill="1"/>
    <xf numFmtId="0" fontId="94" fillId="4" borderId="0" xfId="0" applyFont="1" applyFill="1"/>
    <xf numFmtId="0" fontId="41" fillId="4" borderId="0" xfId="0" applyFont="1" applyFill="1"/>
    <xf numFmtId="2" fontId="95" fillId="0" borderId="0" xfId="0" applyNumberFormat="1" applyFont="1" applyFill="1" applyBorder="1" applyAlignment="1">
      <alignment horizontal="right"/>
    </xf>
    <xf numFmtId="4" fontId="95" fillId="0" borderId="0" xfId="0" applyNumberFormat="1" applyFont="1" applyFill="1" applyBorder="1" applyAlignment="1">
      <alignment horizontal="right"/>
    </xf>
    <xf numFmtId="0" fontId="69" fillId="0" borderId="16" xfId="0" applyFont="1" applyFill="1" applyBorder="1" applyAlignment="1">
      <alignment horizontal="center"/>
    </xf>
    <xf numFmtId="0" fontId="69" fillId="0" borderId="30" xfId="0" applyFont="1" applyFill="1" applyBorder="1" applyAlignment="1">
      <alignment horizontal="center"/>
    </xf>
    <xf numFmtId="0" fontId="96" fillId="0" borderId="14" xfId="0" applyFont="1" applyFill="1" applyBorder="1" applyAlignment="1">
      <alignment horizontal="right"/>
    </xf>
    <xf numFmtId="0" fontId="96" fillId="0" borderId="14" xfId="0" applyFont="1" applyFill="1" applyBorder="1"/>
    <xf numFmtId="0" fontId="96" fillId="0" borderId="6" xfId="0" applyFont="1" applyFill="1" applyBorder="1"/>
    <xf numFmtId="0" fontId="96" fillId="0" borderId="30" xfId="0" applyFont="1" applyFill="1" applyBorder="1"/>
    <xf numFmtId="0" fontId="12" fillId="3" borderId="0" xfId="6" applyFont="1" applyFill="1"/>
    <xf numFmtId="0" fontId="11" fillId="3" borderId="0" xfId="6" applyFont="1" applyFill="1"/>
    <xf numFmtId="0" fontId="52" fillId="3" borderId="0" xfId="6" applyFont="1" applyFill="1"/>
    <xf numFmtId="0" fontId="36" fillId="3" borderId="0" xfId="6" applyFont="1" applyFill="1"/>
    <xf numFmtId="0" fontId="6" fillId="3" borderId="0" xfId="6" applyFill="1"/>
    <xf numFmtId="0" fontId="6" fillId="3" borderId="2" xfId="6" applyFill="1" applyBorder="1"/>
    <xf numFmtId="0" fontId="16" fillId="3" borderId="0" xfId="6" applyFont="1" applyFill="1"/>
    <xf numFmtId="0" fontId="16" fillId="3" borderId="11" xfId="6" applyFont="1" applyFill="1" applyBorder="1" applyAlignment="1">
      <alignment horizontal="center"/>
    </xf>
    <xf numFmtId="0" fontId="16" fillId="3" borderId="18" xfId="6" applyFont="1" applyFill="1" applyBorder="1"/>
    <xf numFmtId="0" fontId="16" fillId="3" borderId="11" xfId="6" applyFont="1" applyFill="1" applyBorder="1"/>
    <xf numFmtId="0" fontId="16" fillId="3" borderId="2" xfId="6" applyFont="1" applyFill="1" applyBorder="1"/>
    <xf numFmtId="0" fontId="4" fillId="3" borderId="0" xfId="6" applyFont="1" applyFill="1" applyAlignment="1">
      <alignment horizontal="center"/>
    </xf>
    <xf numFmtId="0" fontId="16" fillId="3" borderId="0" xfId="6" applyFont="1" applyFill="1" applyAlignment="1">
      <alignment horizontal="right"/>
    </xf>
    <xf numFmtId="0" fontId="16" fillId="3" borderId="2" xfId="6" applyFont="1" applyFill="1" applyBorder="1" applyAlignment="1">
      <alignment horizontal="right"/>
    </xf>
    <xf numFmtId="49" fontId="74" fillId="3" borderId="2" xfId="6" applyNumberFormat="1" applyFont="1" applyFill="1" applyBorder="1" applyAlignment="1">
      <alignment horizontal="right"/>
    </xf>
    <xf numFmtId="0" fontId="16" fillId="3" borderId="2" xfId="6" applyFont="1" applyFill="1" applyBorder="1" applyAlignment="1">
      <alignment horizontal="left"/>
    </xf>
    <xf numFmtId="0" fontId="74" fillId="3" borderId="2" xfId="6" quotePrefix="1" applyFont="1" applyFill="1" applyBorder="1" applyAlignment="1">
      <alignment horizontal="right"/>
    </xf>
    <xf numFmtId="0" fontId="74" fillId="3" borderId="2" xfId="6" applyFont="1" applyFill="1" applyBorder="1" applyAlignment="1">
      <alignment horizontal="right"/>
    </xf>
    <xf numFmtId="0" fontId="7" fillId="3" borderId="0" xfId="6" applyFont="1" applyFill="1"/>
    <xf numFmtId="193" fontId="6" fillId="3" borderId="0" xfId="6" applyNumberFormat="1" applyFill="1"/>
    <xf numFmtId="193" fontId="7" fillId="3" borderId="0" xfId="6" applyNumberFormat="1" applyFont="1" applyFill="1"/>
    <xf numFmtId="0" fontId="16" fillId="3" borderId="0" xfId="6" applyFont="1" applyFill="1" applyAlignment="1">
      <alignment horizontal="left"/>
    </xf>
    <xf numFmtId="193" fontId="7" fillId="3" borderId="0" xfId="6" applyNumberFormat="1" applyFont="1" applyFill="1" applyAlignment="1">
      <alignment horizontal="right"/>
    </xf>
    <xf numFmtId="193" fontId="89" fillId="3" borderId="0" xfId="6" applyNumberFormat="1" applyFont="1" applyFill="1" applyAlignment="1">
      <alignment horizontal="right"/>
    </xf>
    <xf numFmtId="178" fontId="7" fillId="3" borderId="0" xfId="6" applyNumberFormat="1" applyFont="1" applyFill="1" applyAlignment="1">
      <alignment horizontal="right"/>
    </xf>
    <xf numFmtId="0" fontId="16" fillId="3" borderId="0" xfId="6" applyFont="1" applyFill="1" applyAlignment="1">
      <alignment horizontal="left" vertical="top"/>
    </xf>
    <xf numFmtId="193" fontId="7" fillId="3" borderId="0" xfId="6" applyNumberFormat="1" applyFont="1" applyFill="1" applyAlignment="1">
      <alignment horizontal="right" vertical="top"/>
    </xf>
    <xf numFmtId="193" fontId="89" fillId="3" borderId="0" xfId="6" applyNumberFormat="1" applyFont="1" applyFill="1" applyAlignment="1">
      <alignment horizontal="right" vertical="top"/>
    </xf>
    <xf numFmtId="178" fontId="7" fillId="3" borderId="0" xfId="6" applyNumberFormat="1" applyFont="1" applyFill="1" applyAlignment="1">
      <alignment horizontal="right" vertical="top"/>
    </xf>
    <xf numFmtId="0" fontId="7" fillId="3" borderId="0" xfId="6" applyFont="1" applyFill="1" applyAlignment="1">
      <alignment vertical="top"/>
    </xf>
    <xf numFmtId="0" fontId="6" fillId="3" borderId="0" xfId="6" applyFill="1" applyAlignment="1">
      <alignment vertical="top"/>
    </xf>
    <xf numFmtId="193" fontId="89" fillId="3" borderId="0" xfId="6" applyNumberFormat="1" applyFont="1" applyFill="1"/>
    <xf numFmtId="193" fontId="83" fillId="3" borderId="0" xfId="6" applyNumberFormat="1" applyFont="1" applyFill="1" applyAlignment="1">
      <alignment horizontal="right"/>
    </xf>
    <xf numFmtId="0" fontId="83" fillId="3" borderId="0" xfId="6" applyFont="1" applyFill="1"/>
    <xf numFmtId="194" fontId="7" fillId="3" borderId="0" xfId="6" applyNumberFormat="1" applyFont="1" applyFill="1" applyAlignment="1">
      <alignment horizontal="right"/>
    </xf>
    <xf numFmtId="195" fontId="7" fillId="3" borderId="0" xfId="6" applyNumberFormat="1" applyFont="1" applyFill="1" applyAlignment="1">
      <alignment horizontal="right"/>
    </xf>
    <xf numFmtId="195" fontId="89" fillId="3" borderId="0" xfId="6" applyNumberFormat="1" applyFont="1" applyFill="1" applyAlignment="1">
      <alignment horizontal="right"/>
    </xf>
    <xf numFmtId="0" fontId="16" fillId="3" borderId="3" xfId="6" applyFont="1" applyFill="1" applyBorder="1" applyAlignment="1">
      <alignment horizontal="left"/>
    </xf>
    <xf numFmtId="193" fontId="7" fillId="3" borderId="3" xfId="6" applyNumberFormat="1" applyFont="1" applyFill="1" applyBorder="1" applyAlignment="1">
      <alignment horizontal="right"/>
    </xf>
    <xf numFmtId="178" fontId="7" fillId="3" borderId="3" xfId="6" applyNumberFormat="1" applyFont="1" applyFill="1" applyBorder="1" applyAlignment="1">
      <alignment horizontal="right"/>
    </xf>
    <xf numFmtId="193" fontId="89" fillId="3" borderId="3" xfId="6" applyNumberFormat="1" applyFont="1" applyFill="1" applyBorder="1" applyAlignment="1">
      <alignment horizontal="right"/>
    </xf>
    <xf numFmtId="193" fontId="83" fillId="3" borderId="3" xfId="6" applyNumberFormat="1" applyFont="1" applyFill="1" applyBorder="1" applyAlignment="1">
      <alignment horizontal="right"/>
    </xf>
    <xf numFmtId="194" fontId="83" fillId="3" borderId="3" xfId="6" applyNumberFormat="1" applyFont="1" applyFill="1" applyBorder="1"/>
    <xf numFmtId="194" fontId="7" fillId="4" borderId="3" xfId="6" applyNumberFormat="1" applyFont="1" applyFill="1" applyBorder="1"/>
    <xf numFmtId="193" fontId="7" fillId="4" borderId="3" xfId="6" applyNumberFormat="1" applyFont="1" applyFill="1" applyBorder="1"/>
    <xf numFmtId="193" fontId="89" fillId="3" borderId="3" xfId="6" applyNumberFormat="1" applyFont="1" applyFill="1" applyBorder="1"/>
    <xf numFmtId="194" fontId="7" fillId="3" borderId="0" xfId="6" applyNumberFormat="1" applyFont="1" applyFill="1"/>
    <xf numFmtId="0" fontId="74" fillId="3" borderId="0" xfId="6" applyFont="1" applyFill="1" applyAlignment="1">
      <alignment horizontal="left"/>
    </xf>
    <xf numFmtId="194" fontId="6" fillId="3" borderId="0" xfId="6" applyNumberFormat="1" applyFill="1"/>
    <xf numFmtId="0" fontId="74" fillId="3" borderId="0" xfId="6" applyFont="1" applyFill="1"/>
    <xf numFmtId="1" fontId="7" fillId="3" borderId="0" xfId="6" applyNumberFormat="1" applyFont="1" applyFill="1"/>
    <xf numFmtId="1" fontId="7" fillId="3" borderId="0" xfId="6" applyNumberFormat="1" applyFont="1" applyFill="1" applyAlignment="1">
      <alignment horizontal="left"/>
    </xf>
    <xf numFmtId="194" fontId="7" fillId="3" borderId="0" xfId="6" applyNumberFormat="1" applyFont="1" applyFill="1" applyAlignment="1">
      <alignment horizontal="right" vertical="top"/>
    </xf>
    <xf numFmtId="0" fontId="97" fillId="3" borderId="0" xfId="6" applyFont="1" applyFill="1"/>
    <xf numFmtId="196" fontId="7" fillId="3" borderId="0" xfId="6" applyNumberFormat="1" applyFont="1" applyFill="1" applyAlignment="1">
      <alignment horizontal="right"/>
    </xf>
    <xf numFmtId="0" fontId="6" fillId="3" borderId="0" xfId="6" applyFill="1" applyAlignment="1">
      <alignment horizontal="right"/>
    </xf>
    <xf numFmtId="178" fontId="6" fillId="3" borderId="0" xfId="6" applyNumberFormat="1" applyFill="1"/>
    <xf numFmtId="0" fontId="4" fillId="3" borderId="0" xfId="6" applyFont="1" applyFill="1"/>
    <xf numFmtId="3" fontId="6" fillId="3" borderId="0" xfId="6" applyNumberFormat="1" applyFill="1"/>
    <xf numFmtId="0" fontId="12" fillId="3" borderId="0" xfId="7" applyFont="1" applyFill="1">
      <alignment vertical="center"/>
    </xf>
    <xf numFmtId="0" fontId="11" fillId="3" borderId="0" xfId="7" applyFont="1" applyFill="1">
      <alignment vertical="center"/>
    </xf>
    <xf numFmtId="0" fontId="6" fillId="3" borderId="0" xfId="7" applyFill="1">
      <alignment vertical="center"/>
    </xf>
    <xf numFmtId="0" fontId="13" fillId="3" borderId="0" xfId="7" applyFont="1" applyFill="1">
      <alignment vertical="center"/>
    </xf>
    <xf numFmtId="0" fontId="14" fillId="3" borderId="0" xfId="7" applyFont="1" applyFill="1">
      <alignment vertical="center"/>
    </xf>
    <xf numFmtId="0" fontId="98" fillId="3" borderId="1" xfId="7" applyFont="1" applyFill="1" applyBorder="1" applyAlignment="1">
      <alignment horizontal="centerContinuous" vertical="center"/>
    </xf>
    <xf numFmtId="0" fontId="98" fillId="3" borderId="0" xfId="7" applyFont="1" applyFill="1">
      <alignment vertical="center"/>
    </xf>
    <xf numFmtId="0" fontId="16" fillId="3" borderId="1" xfId="7" applyFont="1" applyFill="1" applyBorder="1">
      <alignment vertical="center"/>
    </xf>
    <xf numFmtId="0" fontId="7" fillId="3" borderId="0" xfId="7" applyFont="1" applyFill="1">
      <alignment vertical="center"/>
    </xf>
    <xf numFmtId="0" fontId="16" fillId="3" borderId="0" xfId="7" applyFont="1" applyFill="1">
      <alignment vertical="center"/>
    </xf>
    <xf numFmtId="0" fontId="16" fillId="3" borderId="0" xfId="7" applyFont="1" applyFill="1" applyAlignment="1">
      <alignment horizontal="right" vertical="center"/>
    </xf>
    <xf numFmtId="0" fontId="7" fillId="3" borderId="0" xfId="7" applyFont="1" applyFill="1" applyAlignment="1">
      <alignment horizontal="right" vertical="center"/>
    </xf>
    <xf numFmtId="49" fontId="74" fillId="3" borderId="2" xfId="7" applyNumberFormat="1" applyFont="1" applyFill="1" applyBorder="1" applyAlignment="1">
      <alignment horizontal="right" vertical="center"/>
    </xf>
    <xf numFmtId="0" fontId="15" fillId="3" borderId="0" xfId="7" applyFont="1" applyFill="1" applyAlignment="1">
      <alignment horizontal="left" vertical="center"/>
    </xf>
    <xf numFmtId="178" fontId="7" fillId="3" borderId="0" xfId="7" applyNumberFormat="1" applyFont="1" applyFill="1" applyAlignment="1">
      <alignment horizontal="right"/>
    </xf>
    <xf numFmtId="3" fontId="7" fillId="3" borderId="0" xfId="7" applyNumberFormat="1" applyFont="1" applyFill="1" applyAlignment="1">
      <alignment horizontal="right"/>
    </xf>
    <xf numFmtId="0" fontId="15" fillId="3" borderId="0" xfId="7" applyFont="1" applyFill="1">
      <alignment vertical="center"/>
    </xf>
    <xf numFmtId="197" fontId="7" fillId="3" borderId="0" xfId="7" applyNumberFormat="1" applyFont="1" applyFill="1" applyAlignment="1">
      <alignment horizontal="right" vertical="center"/>
    </xf>
    <xf numFmtId="178" fontId="7" fillId="3" borderId="0" xfId="7" applyNumberFormat="1" applyFont="1" applyFill="1" applyAlignment="1">
      <alignment horizontal="right" vertical="center"/>
    </xf>
    <xf numFmtId="0" fontId="15" fillId="3" borderId="0" xfId="7" applyFont="1" applyFill="1" applyAlignment="1">
      <alignment horizontal="left" vertical="top"/>
    </xf>
    <xf numFmtId="178" fontId="7" fillId="3" borderId="0" xfId="7" applyNumberFormat="1" applyFont="1" applyFill="1" applyAlignment="1">
      <alignment horizontal="right" vertical="top"/>
    </xf>
    <xf numFmtId="0" fontId="7" fillId="3" borderId="0" xfId="7" applyFont="1" applyFill="1" applyAlignment="1">
      <alignment vertical="top"/>
    </xf>
    <xf numFmtId="178" fontId="7" fillId="0" borderId="0" xfId="7" applyNumberFormat="1" applyFont="1" applyAlignment="1">
      <alignment horizontal="right" vertical="center"/>
    </xf>
    <xf numFmtId="0" fontId="15" fillId="4" borderId="0" xfId="7" applyFont="1" applyFill="1" applyAlignment="1">
      <alignment horizontal="left" vertical="center"/>
    </xf>
    <xf numFmtId="0" fontId="7" fillId="4" borderId="0" xfId="7" applyFont="1" applyFill="1">
      <alignment vertical="center"/>
    </xf>
    <xf numFmtId="195" fontId="7" fillId="3" borderId="0" xfId="7" applyNumberFormat="1" applyFont="1" applyFill="1" applyAlignment="1">
      <alignment horizontal="right"/>
    </xf>
    <xf numFmtId="0" fontId="15" fillId="3" borderId="3" xfId="7" applyFont="1" applyFill="1" applyBorder="1" applyAlignment="1">
      <alignment horizontal="left" vertical="center"/>
    </xf>
    <xf numFmtId="198" fontId="7" fillId="3" borderId="3" xfId="7" applyNumberFormat="1" applyFont="1" applyFill="1" applyBorder="1">
      <alignment vertical="center"/>
    </xf>
    <xf numFmtId="198" fontId="7" fillId="3" borderId="0" xfId="7" applyNumberFormat="1" applyFont="1" applyFill="1">
      <alignment vertical="center"/>
    </xf>
    <xf numFmtId="0" fontId="86" fillId="3" borderId="0" xfId="7" applyFont="1" applyFill="1">
      <alignment vertical="center"/>
    </xf>
    <xf numFmtId="1" fontId="86" fillId="3" borderId="0" xfId="7" applyNumberFormat="1" applyFont="1" applyFill="1">
      <alignment vertical="center"/>
    </xf>
    <xf numFmtId="0" fontId="16" fillId="3" borderId="0" xfId="6" applyFont="1" applyFill="1" applyBorder="1" applyAlignment="1">
      <alignment horizontal="right"/>
    </xf>
    <xf numFmtId="0" fontId="16" fillId="3" borderId="0" xfId="6" applyFont="1" applyFill="1" applyBorder="1"/>
    <xf numFmtId="49" fontId="74" fillId="3" borderId="0" xfId="6" applyNumberFormat="1" applyFont="1" applyFill="1" applyBorder="1" applyAlignment="1">
      <alignment horizontal="right"/>
    </xf>
    <xf numFmtId="0" fontId="16" fillId="3" borderId="0" xfId="6" applyFont="1" applyFill="1" applyBorder="1" applyAlignment="1">
      <alignment horizontal="left"/>
    </xf>
    <xf numFmtId="0" fontId="74" fillId="3" borderId="0" xfId="6" quotePrefix="1" applyFont="1" applyFill="1" applyBorder="1" applyAlignment="1">
      <alignment horizontal="right"/>
    </xf>
    <xf numFmtId="49" fontId="74" fillId="3" borderId="0" xfId="7" applyNumberFormat="1" applyFont="1" applyFill="1" applyBorder="1" applyAlignment="1">
      <alignment horizontal="right" vertical="center"/>
    </xf>
    <xf numFmtId="182" fontId="16" fillId="3" borderId="0" xfId="4" applyNumberFormat="1" applyFont="1" applyFill="1" applyAlignment="1">
      <alignment horizontal="right"/>
    </xf>
    <xf numFmtId="182" fontId="7" fillId="3" borderId="0" xfId="4" applyNumberFormat="1" applyFont="1" applyFill="1" applyAlignment="1">
      <alignment vertical="center"/>
    </xf>
    <xf numFmtId="182" fontId="16" fillId="3" borderId="0" xfId="4" applyNumberFormat="1" applyFont="1" applyFill="1" applyBorder="1" applyAlignment="1">
      <alignment horizontal="right" vertical="center"/>
    </xf>
    <xf numFmtId="182" fontId="7" fillId="3" borderId="0" xfId="7" applyNumberFormat="1" applyFont="1" applyFill="1">
      <alignment vertical="center"/>
    </xf>
    <xf numFmtId="182" fontId="16" fillId="0" borderId="0" xfId="4" applyNumberFormat="1" applyFont="1" applyFill="1" applyAlignment="1">
      <alignment horizontal="right"/>
    </xf>
    <xf numFmtId="182" fontId="15" fillId="3" borderId="0" xfId="6" applyNumberFormat="1" applyFont="1" applyFill="1" applyAlignment="1">
      <alignment horizontal="right"/>
    </xf>
    <xf numFmtId="0" fontId="100" fillId="0" borderId="0" xfId="0" applyFont="1"/>
    <xf numFmtId="0" fontId="99" fillId="0" borderId="0" xfId="0" applyFont="1"/>
    <xf numFmtId="0" fontId="101" fillId="0" borderId="0" xfId="0" applyFont="1"/>
    <xf numFmtId="0" fontId="102" fillId="0" borderId="0" xfId="0" applyFont="1"/>
    <xf numFmtId="0" fontId="103" fillId="0" borderId="0" xfId="0" applyFont="1"/>
    <xf numFmtId="0" fontId="104" fillId="0" borderId="0" xfId="0" applyFont="1"/>
    <xf numFmtId="3" fontId="0" fillId="0" borderId="0" xfId="0" quotePrefix="1" applyNumberFormat="1"/>
    <xf numFmtId="3" fontId="95" fillId="3" borderId="89" xfId="0" applyNumberFormat="1" applyFont="1" applyFill="1" applyBorder="1" applyAlignment="1">
      <alignment horizontal="right"/>
    </xf>
    <xf numFmtId="3" fontId="95" fillId="3" borderId="13" xfId="0" applyNumberFormat="1" applyFont="1" applyFill="1" applyBorder="1" applyAlignment="1">
      <alignment horizontal="right"/>
    </xf>
    <xf numFmtId="3" fontId="74" fillId="3" borderId="0" xfId="6" applyNumberFormat="1" applyFont="1" applyFill="1" applyAlignment="1">
      <alignment horizontal="right"/>
    </xf>
    <xf numFmtId="3" fontId="16" fillId="3" borderId="0" xfId="6" applyNumberFormat="1" applyFont="1" applyFill="1" applyAlignment="1">
      <alignment horizontal="right"/>
    </xf>
    <xf numFmtId="182" fontId="0" fillId="0" borderId="0" xfId="4" applyNumberFormat="1" applyFont="1"/>
    <xf numFmtId="0" fontId="16" fillId="3" borderId="2" xfId="6" applyFont="1" applyFill="1" applyBorder="1" applyAlignment="1">
      <alignment horizontal="right" wrapText="1"/>
    </xf>
    <xf numFmtId="0" fontId="105" fillId="0" borderId="0" xfId="0" applyFont="1" applyAlignment="1">
      <alignment wrapText="1"/>
    </xf>
    <xf numFmtId="182" fontId="0" fillId="0" borderId="0" xfId="0" applyNumberFormat="1"/>
    <xf numFmtId="0" fontId="74" fillId="3" borderId="2" xfId="6" applyFont="1" applyFill="1" applyBorder="1" applyAlignment="1">
      <alignment horizontal="right" wrapText="1"/>
    </xf>
    <xf numFmtId="167" fontId="103" fillId="0" borderId="0" xfId="0" applyNumberFormat="1" applyFont="1"/>
    <xf numFmtId="3" fontId="58" fillId="0" borderId="0" xfId="0" applyNumberFormat="1" applyFont="1"/>
    <xf numFmtId="166" fontId="0" fillId="0" borderId="0" xfId="0" applyNumberFormat="1" applyFill="1"/>
    <xf numFmtId="166" fontId="0" fillId="0" borderId="0" xfId="0" applyNumberFormat="1" applyFont="1" applyFill="1"/>
    <xf numFmtId="0" fontId="57" fillId="0" borderId="0" xfId="0" applyFont="1" applyFill="1"/>
    <xf numFmtId="164" fontId="6" fillId="3" borderId="13" xfId="4" applyNumberFormat="1" applyFont="1" applyFill="1" applyBorder="1"/>
    <xf numFmtId="193" fontId="16" fillId="3" borderId="0" xfId="6" applyNumberFormat="1" applyFont="1" applyFill="1" applyAlignment="1">
      <alignment horizontal="right"/>
    </xf>
    <xf numFmtId="182" fontId="16" fillId="3" borderId="0" xfId="4" applyNumberFormat="1" applyFont="1" applyFill="1" applyBorder="1" applyAlignment="1">
      <alignment horizontal="right"/>
    </xf>
    <xf numFmtId="182" fontId="16" fillId="3" borderId="0" xfId="4" applyNumberFormat="1" applyFont="1" applyFill="1" applyBorder="1"/>
    <xf numFmtId="182" fontId="74" fillId="3" borderId="0" xfId="4" applyNumberFormat="1" applyFont="1" applyFill="1" applyBorder="1" applyAlignment="1">
      <alignment horizontal="right"/>
    </xf>
    <xf numFmtId="182" fontId="7" fillId="3" borderId="0" xfId="4" applyNumberFormat="1" applyFont="1" applyFill="1"/>
    <xf numFmtId="182" fontId="74" fillId="3" borderId="0" xfId="4" applyNumberFormat="1" applyFont="1" applyFill="1" applyAlignment="1">
      <alignment horizontal="right"/>
    </xf>
    <xf numFmtId="182" fontId="15" fillId="3" borderId="0" xfId="4" applyNumberFormat="1" applyFont="1" applyFill="1" applyBorder="1" applyAlignment="1">
      <alignment horizontal="right"/>
    </xf>
    <xf numFmtId="182" fontId="89" fillId="3" borderId="0" xfId="4" applyNumberFormat="1" applyFont="1" applyFill="1"/>
    <xf numFmtId="182" fontId="15" fillId="3" borderId="0" xfId="6" applyNumberFormat="1" applyFont="1" applyFill="1" applyBorder="1" applyAlignment="1">
      <alignment horizontal="right"/>
    </xf>
    <xf numFmtId="182" fontId="15" fillId="3" borderId="0" xfId="4" applyNumberFormat="1" applyFont="1" applyFill="1" applyAlignment="1">
      <alignment horizontal="right"/>
    </xf>
    <xf numFmtId="182" fontId="6" fillId="3" borderId="13" xfId="4" applyNumberFormat="1" applyFont="1" applyFill="1" applyBorder="1"/>
    <xf numFmtId="0" fontId="4" fillId="0" borderId="0" xfId="0" applyFont="1" applyBorder="1" applyAlignment="1"/>
    <xf numFmtId="166" fontId="0" fillId="0" borderId="0" xfId="0" applyNumberFormat="1" applyAlignment="1"/>
    <xf numFmtId="0" fontId="107" fillId="0" borderId="0" xfId="0" applyFont="1" applyBorder="1" applyAlignment="1"/>
    <xf numFmtId="166" fontId="58" fillId="0" borderId="0" xfId="0" applyNumberFormat="1" applyFont="1" applyAlignment="1"/>
    <xf numFmtId="2" fontId="4" fillId="0" borderId="0" xfId="0" applyNumberFormat="1" applyFont="1" applyBorder="1" applyAlignment="1"/>
    <xf numFmtId="9" fontId="0" fillId="0" borderId="0" xfId="1" applyFont="1" applyAlignment="1"/>
    <xf numFmtId="179" fontId="0" fillId="0" borderId="0" xfId="1" applyNumberFormat="1" applyFont="1" applyAlignment="1"/>
    <xf numFmtId="179" fontId="58" fillId="0" borderId="0" xfId="1" applyNumberFormat="1" applyFont="1" applyAlignment="1"/>
    <xf numFmtId="9" fontId="57" fillId="0" borderId="0" xfId="1" applyFont="1" applyAlignment="1"/>
    <xf numFmtId="2" fontId="0" fillId="0" borderId="0" xfId="0" applyNumberFormat="1"/>
    <xf numFmtId="2" fontId="58" fillId="0" borderId="0" xfId="0" applyNumberFormat="1" applyFont="1"/>
    <xf numFmtId="179" fontId="57" fillId="0" borderId="0" xfId="1" applyNumberFormat="1" applyFont="1" applyAlignment="1"/>
    <xf numFmtId="166" fontId="109" fillId="0" borderId="0" xfId="0" applyNumberFormat="1" applyFont="1" applyAlignment="1"/>
    <xf numFmtId="2" fontId="58" fillId="0" borderId="0" xfId="1" applyNumberFormat="1" applyFont="1" applyAlignment="1"/>
    <xf numFmtId="182" fontId="108" fillId="3" borderId="0" xfId="4" applyNumberFormat="1" applyFont="1" applyFill="1" applyBorder="1" applyAlignment="1">
      <alignment horizontal="center" vertical="center" wrapText="1"/>
    </xf>
    <xf numFmtId="166" fontId="58" fillId="2" borderId="0" xfId="0" applyNumberFormat="1" applyFont="1" applyFill="1"/>
    <xf numFmtId="0" fontId="33" fillId="0" borderId="0" xfId="0" applyFont="1"/>
    <xf numFmtId="0" fontId="110" fillId="0" borderId="0" xfId="0" applyFont="1"/>
    <xf numFmtId="0" fontId="4" fillId="0" borderId="0" xfId="0" applyFont="1"/>
    <xf numFmtId="182" fontId="103" fillId="0" borderId="0" xfId="4" applyNumberFormat="1" applyFont="1"/>
    <xf numFmtId="164" fontId="0" fillId="0" borderId="0" xfId="0" applyNumberFormat="1"/>
    <xf numFmtId="0" fontId="6" fillId="0" borderId="0" xfId="0" applyFont="1" applyAlignment="1">
      <alignment horizontal="right"/>
    </xf>
    <xf numFmtId="164" fontId="6" fillId="0" borderId="0" xfId="4" applyFont="1"/>
    <xf numFmtId="0" fontId="6" fillId="0" borderId="42" xfId="0" applyFont="1" applyBorder="1"/>
    <xf numFmtId="0" fontId="6" fillId="0" borderId="0" xfId="0" applyFont="1" applyAlignment="1">
      <alignment vertical="center"/>
    </xf>
    <xf numFmtId="0" fontId="6" fillId="0" borderId="0" xfId="0" applyFont="1" applyAlignment="1">
      <alignment horizontal="right" vertical="center"/>
    </xf>
    <xf numFmtId="0" fontId="86" fillId="0" borderId="0" xfId="0" applyFont="1" applyAlignment="1">
      <alignment horizontal="right" vertical="center"/>
    </xf>
    <xf numFmtId="0" fontId="7" fillId="0" borderId="0" xfId="0" applyFont="1"/>
    <xf numFmtId="2" fontId="86" fillId="0" borderId="2" xfId="0" applyNumberFormat="1" applyFont="1" applyBorder="1" applyAlignment="1">
      <alignment horizontal="centerContinuous"/>
    </xf>
    <xf numFmtId="2" fontId="7" fillId="0" borderId="2" xfId="0" applyNumberFormat="1" applyFont="1" applyBorder="1" applyAlignment="1">
      <alignment horizontal="centerContinuous"/>
    </xf>
    <xf numFmtId="0" fontId="7" fillId="0" borderId="2" xfId="0" applyFont="1" applyBorder="1" applyAlignment="1">
      <alignment horizontal="centerContinuous"/>
    </xf>
    <xf numFmtId="0" fontId="86" fillId="0" borderId="2" xfId="0" applyFont="1" applyBorder="1" applyAlignment="1">
      <alignment horizontal="centerContinuous"/>
    </xf>
    <xf numFmtId="0" fontId="7" fillId="0" borderId="2" xfId="0" applyFont="1" applyBorder="1" applyAlignment="1">
      <alignment horizontal="right"/>
    </xf>
    <xf numFmtId="164" fontId="7" fillId="0" borderId="2" xfId="4" applyFont="1" applyBorder="1"/>
    <xf numFmtId="0" fontId="7" fillId="0" borderId="0" xfId="0" applyFont="1" applyAlignment="1">
      <alignment horizontal="right"/>
    </xf>
    <xf numFmtId="2" fontId="7" fillId="0" borderId="0" xfId="0" applyNumberFormat="1" applyFont="1" applyAlignment="1">
      <alignment horizontal="right"/>
    </xf>
    <xf numFmtId="0" fontId="7" fillId="0" borderId="11" xfId="0" applyFont="1" applyBorder="1" applyAlignment="1">
      <alignment horizontal="right"/>
    </xf>
    <xf numFmtId="164" fontId="7" fillId="0" borderId="0" xfId="4" applyFont="1" applyAlignment="1">
      <alignment horizontal="right"/>
    </xf>
    <xf numFmtId="2" fontId="7" fillId="0" borderId="2" xfId="0" applyNumberFormat="1" applyFont="1" applyBorder="1" applyAlignment="1">
      <alignment horizontal="right"/>
    </xf>
    <xf numFmtId="164" fontId="4" fillId="0" borderId="2" xfId="4" applyFont="1" applyBorder="1"/>
    <xf numFmtId="0" fontId="89" fillId="0" borderId="0" xfId="0" applyFont="1"/>
    <xf numFmtId="2" fontId="89" fillId="0" borderId="18" xfId="0" applyNumberFormat="1" applyFont="1" applyBorder="1"/>
    <xf numFmtId="0" fontId="7" fillId="0" borderId="2" xfId="0" applyFont="1" applyBorder="1"/>
    <xf numFmtId="2" fontId="7" fillId="0" borderId="2" xfId="0" applyNumberFormat="1" applyFont="1" applyBorder="1"/>
    <xf numFmtId="0" fontId="89" fillId="0" borderId="18" xfId="0" applyFont="1" applyBorder="1"/>
    <xf numFmtId="0" fontId="14" fillId="0" borderId="0" xfId="0" applyFont="1" applyAlignment="1">
      <alignment horizontal="left"/>
    </xf>
    <xf numFmtId="199" fontId="14" fillId="0" borderId="0" xfId="0" applyNumberFormat="1" applyFont="1"/>
    <xf numFmtId="2" fontId="14" fillId="0" borderId="0" xfId="0" applyNumberFormat="1" applyFont="1"/>
    <xf numFmtId="2" fontId="6" fillId="0" borderId="0" xfId="0" applyNumberFormat="1" applyFont="1"/>
    <xf numFmtId="2" fontId="14" fillId="8" borderId="0" xfId="0" applyNumberFormat="1" applyFont="1" applyFill="1"/>
    <xf numFmtId="164" fontId="114" fillId="0" borderId="0" xfId="4" applyFont="1"/>
    <xf numFmtId="166" fontId="14" fillId="0" borderId="42" xfId="0" applyNumberFormat="1" applyFont="1" applyBorder="1"/>
    <xf numFmtId="166" fontId="14" fillId="0" borderId="0" xfId="0" applyNumberFormat="1" applyFont="1"/>
    <xf numFmtId="2" fontId="6" fillId="0" borderId="0" xfId="0" applyNumberFormat="1" applyFont="1" applyAlignment="1">
      <alignment horizontal="left"/>
    </xf>
    <xf numFmtId="9" fontId="6" fillId="0" borderId="0" xfId="1" applyFont="1"/>
    <xf numFmtId="200" fontId="14" fillId="0" borderId="0" xfId="0" applyNumberFormat="1" applyFont="1" applyAlignment="1">
      <alignment horizontal="left"/>
    </xf>
    <xf numFmtId="0" fontId="115" fillId="0" borderId="0" xfId="0" applyFont="1"/>
    <xf numFmtId="179" fontId="6" fillId="0" borderId="0" xfId="0" applyNumberFormat="1" applyFont="1"/>
    <xf numFmtId="164" fontId="14" fillId="0" borderId="0" xfId="4" applyFont="1"/>
    <xf numFmtId="179" fontId="14" fillId="0" borderId="0" xfId="1" applyNumberFormat="1" applyFont="1"/>
    <xf numFmtId="179" fontId="14" fillId="0" borderId="42" xfId="1" applyNumberFormat="1" applyFont="1" applyBorder="1"/>
    <xf numFmtId="2" fontId="14" fillId="0" borderId="0" xfId="1" applyNumberFormat="1" applyFont="1"/>
    <xf numFmtId="9" fontId="14" fillId="0" borderId="0" xfId="1" applyFont="1"/>
    <xf numFmtId="0" fontId="116" fillId="0" borderId="0" xfId="0" applyFont="1" applyAlignment="1">
      <alignment horizontal="right"/>
    </xf>
    <xf numFmtId="199" fontId="6" fillId="0" borderId="0" xfId="0" applyNumberFormat="1" applyFont="1" applyFill="1"/>
    <xf numFmtId="199" fontId="14" fillId="0" borderId="0" xfId="0" applyNumberFormat="1" applyFont="1" applyFill="1"/>
    <xf numFmtId="2" fontId="117" fillId="0" borderId="0" xfId="0" applyNumberFormat="1" applyFont="1" applyAlignment="1">
      <alignment horizontal="right"/>
    </xf>
    <xf numFmtId="0" fontId="14" fillId="0" borderId="0" xfId="0" applyFont="1"/>
    <xf numFmtId="179" fontId="6" fillId="0" borderId="0" xfId="1" applyNumberFormat="1" applyFont="1"/>
    <xf numFmtId="0" fontId="3" fillId="0" borderId="0" xfId="2" applyFont="1" applyAlignment="1" applyProtection="1"/>
    <xf numFmtId="201" fontId="14" fillId="0" borderId="0" xfId="0" applyNumberFormat="1" applyFont="1"/>
    <xf numFmtId="2" fontId="89" fillId="0" borderId="0" xfId="0" applyNumberFormat="1" applyFont="1" applyBorder="1"/>
    <xf numFmtId="0" fontId="7" fillId="0" borderId="0" xfId="0" applyFont="1" applyBorder="1"/>
    <xf numFmtId="2" fontId="7" fillId="0" borderId="0" xfId="0" applyNumberFormat="1" applyFont="1" applyBorder="1"/>
    <xf numFmtId="0" fontId="89" fillId="0" borderId="0" xfId="0" applyFont="1" applyBorder="1"/>
    <xf numFmtId="0" fontId="6" fillId="0" borderId="0" xfId="0" applyFont="1" applyAlignment="1"/>
    <xf numFmtId="190" fontId="0" fillId="0" borderId="0" xfId="4" applyNumberFormat="1" applyFont="1"/>
    <xf numFmtId="164" fontId="0" fillId="0" borderId="0" xfId="4" applyFont="1"/>
    <xf numFmtId="202" fontId="0" fillId="0" borderId="0" xfId="0" applyNumberFormat="1"/>
    <xf numFmtId="167" fontId="0" fillId="0" borderId="0" xfId="0" applyNumberFormat="1"/>
    <xf numFmtId="1" fontId="0" fillId="0" borderId="0" xfId="0" applyNumberFormat="1"/>
    <xf numFmtId="164" fontId="95" fillId="0" borderId="0" xfId="0" applyNumberFormat="1" applyFont="1"/>
    <xf numFmtId="203" fontId="0" fillId="0" borderId="0" xfId="4" applyNumberFormat="1" applyFont="1"/>
    <xf numFmtId="164" fontId="0" fillId="0" borderId="0" xfId="4" applyNumberFormat="1" applyFont="1"/>
    <xf numFmtId="43" fontId="0" fillId="0" borderId="0" xfId="4" applyNumberFormat="1" applyFont="1"/>
    <xf numFmtId="2" fontId="14" fillId="0" borderId="0" xfId="0" applyNumberFormat="1" applyFont="1" applyBorder="1"/>
    <xf numFmtId="0" fontId="89" fillId="8" borderId="0" xfId="0" applyFont="1" applyFill="1" applyBorder="1"/>
    <xf numFmtId="3" fontId="16" fillId="3" borderId="0" xfId="6" applyNumberFormat="1" applyFont="1" applyFill="1" applyBorder="1" applyAlignment="1">
      <alignment horizontal="right"/>
    </xf>
    <xf numFmtId="0" fontId="0" fillId="0" borderId="0" xfId="0" applyAlignment="1">
      <alignment vertical="center"/>
    </xf>
    <xf numFmtId="0" fontId="47" fillId="0" borderId="0" xfId="0" applyFont="1" applyAlignment="1">
      <alignment vertical="center"/>
    </xf>
    <xf numFmtId="0" fontId="14" fillId="0" borderId="3" xfId="0" applyFont="1" applyBorder="1" applyAlignment="1">
      <alignment vertical="center"/>
    </xf>
    <xf numFmtId="0" fontId="13" fillId="0" borderId="3" xfId="0" applyFont="1" applyBorder="1" applyAlignment="1">
      <alignment horizontal="right" vertical="center"/>
    </xf>
    <xf numFmtId="0" fontId="14" fillId="0" borderId="0" xfId="0" applyFont="1" applyAlignment="1">
      <alignment vertical="center"/>
    </xf>
    <xf numFmtId="0" fontId="14" fillId="0" borderId="0" xfId="0" applyFont="1" applyAlignment="1">
      <alignment horizontal="right"/>
    </xf>
    <xf numFmtId="0" fontId="14" fillId="0" borderId="0" xfId="0" applyFont="1" applyAlignment="1">
      <alignment vertical="center" wrapText="1"/>
    </xf>
    <xf numFmtId="0" fontId="14" fillId="0" borderId="2" xfId="0" applyFont="1" applyBorder="1" applyAlignment="1">
      <alignment horizontal="right" vertical="center" wrapText="1"/>
    </xf>
    <xf numFmtId="0" fontId="14" fillId="0" borderId="2" xfId="0" applyFont="1" applyBorder="1" applyAlignment="1">
      <alignment horizontal="right" vertical="top" wrapText="1"/>
    </xf>
    <xf numFmtId="0" fontId="0" fillId="0" borderId="0" xfId="0" applyAlignment="1">
      <alignment vertical="top" wrapText="1"/>
    </xf>
    <xf numFmtId="0" fontId="14" fillId="0" borderId="0" xfId="0" applyFont="1" applyAlignment="1">
      <alignment horizontal="left" vertical="center"/>
    </xf>
    <xf numFmtId="2" fontId="14" fillId="0" borderId="0" xfId="0" applyNumberFormat="1" applyFont="1" applyAlignment="1">
      <alignment horizontal="right" vertical="center"/>
    </xf>
    <xf numFmtId="199" fontId="14" fillId="3" borderId="0" xfId="0" applyNumberFormat="1" applyFont="1" applyFill="1" applyAlignment="1" applyProtection="1">
      <alignment horizontal="right" vertical="center"/>
      <protection hidden="1"/>
    </xf>
    <xf numFmtId="2" fontId="14" fillId="0" borderId="0" xfId="8" applyNumberFormat="1" applyFont="1" applyAlignment="1">
      <alignment horizontal="right" vertical="center"/>
    </xf>
    <xf numFmtId="0" fontId="0" fillId="0" borderId="0" xfId="0" applyAlignment="1">
      <alignment horizontal="right" vertical="center"/>
    </xf>
    <xf numFmtId="2" fontId="14" fillId="0" borderId="0" xfId="8" applyNumberFormat="1" applyFont="1" applyAlignment="1">
      <alignment horizontal="right"/>
    </xf>
    <xf numFmtId="199" fontId="114" fillId="0" borderId="0" xfId="0" applyNumberFormat="1" applyFont="1" applyFill="1" applyAlignment="1" applyProtection="1">
      <alignment horizontal="right" vertical="center"/>
      <protection hidden="1"/>
    </xf>
    <xf numFmtId="179" fontId="14" fillId="0" borderId="0" xfId="10" applyNumberFormat="1" applyFont="1" applyAlignment="1">
      <alignment horizontal="right" vertical="center"/>
    </xf>
    <xf numFmtId="0" fontId="13" fillId="0" borderId="0" xfId="0" applyFont="1" applyAlignment="1">
      <alignment horizontal="left" vertical="center"/>
    </xf>
    <xf numFmtId="0" fontId="3" fillId="0" borderId="0" xfId="2" applyAlignment="1" applyProtection="1">
      <alignment vertical="center"/>
    </xf>
    <xf numFmtId="199" fontId="0" fillId="0" borderId="0" xfId="0" applyNumberFormat="1"/>
    <xf numFmtId="0" fontId="111" fillId="0" borderId="0" xfId="0" applyFont="1" applyBorder="1" applyAlignment="1"/>
    <xf numFmtId="0" fontId="13" fillId="0" borderId="2" xfId="0" applyFont="1" applyBorder="1" applyAlignment="1">
      <alignment horizontal="right" vertical="center" wrapText="1"/>
    </xf>
    <xf numFmtId="2" fontId="14" fillId="0" borderId="0" xfId="0" applyNumberFormat="1" applyFont="1" applyAlignment="1">
      <alignment vertical="center"/>
    </xf>
    <xf numFmtId="1" fontId="16" fillId="3" borderId="0" xfId="0" applyNumberFormat="1" applyFont="1" applyFill="1" applyBorder="1" applyAlignment="1">
      <alignment horizontal="right"/>
    </xf>
    <xf numFmtId="1" fontId="16" fillId="3" borderId="0" xfId="0" applyNumberFormat="1" applyFont="1" applyFill="1" applyAlignment="1">
      <alignment horizontal="right"/>
    </xf>
    <xf numFmtId="0" fontId="15" fillId="3" borderId="2" xfId="6" applyFont="1" applyFill="1" applyBorder="1" applyAlignment="1">
      <alignment horizontal="center"/>
    </xf>
    <xf numFmtId="0" fontId="16" fillId="3" borderId="2" xfId="0" applyFont="1" applyFill="1" applyBorder="1" applyAlignment="1">
      <alignment horizontal="center" vertical="center"/>
    </xf>
    <xf numFmtId="3" fontId="118" fillId="3" borderId="0" xfId="0" applyNumberFormat="1" applyFont="1" applyFill="1" applyBorder="1" applyAlignment="1">
      <alignment horizontal="right"/>
    </xf>
    <xf numFmtId="0" fontId="15" fillId="3" borderId="0" xfId="0" applyFont="1" applyFill="1" applyAlignment="1">
      <alignment horizontal="right" vertical="center"/>
    </xf>
    <xf numFmtId="0" fontId="16" fillId="3" borderId="0" xfId="7" applyFont="1" applyFill="1" applyAlignment="1">
      <alignment horizontal="right" vertical="center" wrapText="1"/>
    </xf>
    <xf numFmtId="181" fontId="16" fillId="3" borderId="0" xfId="4" applyNumberFormat="1" applyFont="1" applyFill="1" applyBorder="1" applyAlignment="1">
      <alignment horizontal="right"/>
    </xf>
    <xf numFmtId="196" fontId="7" fillId="3" borderId="0" xfId="6" applyNumberFormat="1" applyFont="1" applyFill="1" applyAlignment="1">
      <alignment horizontal="left"/>
    </xf>
    <xf numFmtId="182" fontId="7" fillId="3" borderId="0" xfId="4" applyNumberFormat="1" applyFont="1" applyFill="1" applyBorder="1" applyAlignment="1">
      <alignment horizontal="right"/>
    </xf>
    <xf numFmtId="0" fontId="7" fillId="3" borderId="0" xfId="0" applyFont="1" applyFill="1" applyBorder="1" applyAlignment="1">
      <alignment horizontal="right"/>
    </xf>
    <xf numFmtId="182" fontId="121" fillId="3" borderId="0" xfId="4" applyNumberFormat="1" applyFont="1" applyFill="1" applyBorder="1"/>
    <xf numFmtId="182" fontId="89" fillId="3" borderId="0" xfId="0" applyNumberFormat="1" applyFont="1" applyFill="1" applyBorder="1" applyAlignment="1">
      <alignment horizontal="right"/>
    </xf>
    <xf numFmtId="0" fontId="6" fillId="3" borderId="0" xfId="6" applyFill="1" applyAlignment="1">
      <alignment horizontal="center"/>
    </xf>
    <xf numFmtId="0" fontId="16" fillId="3" borderId="0" xfId="6" applyFont="1" applyFill="1" applyAlignment="1">
      <alignment horizontal="center"/>
    </xf>
    <xf numFmtId="182" fontId="91" fillId="3" borderId="0" xfId="4" applyNumberFormat="1" applyFont="1" applyFill="1" applyBorder="1" applyAlignment="1">
      <alignment horizontal="right"/>
    </xf>
    <xf numFmtId="164" fontId="15" fillId="3" borderId="0" xfId="4" applyFont="1" applyFill="1" applyBorder="1" applyAlignment="1">
      <alignment horizontal="right"/>
    </xf>
    <xf numFmtId="164" fontId="15" fillId="3" borderId="0" xfId="4" applyFont="1" applyFill="1" applyAlignment="1">
      <alignment horizontal="right"/>
    </xf>
    <xf numFmtId="182" fontId="7" fillId="3" borderId="0" xfId="4" applyNumberFormat="1" applyFont="1" applyFill="1" applyAlignment="1">
      <alignment horizontal="right"/>
    </xf>
    <xf numFmtId="2" fontId="0" fillId="4" borderId="0" xfId="1" applyNumberFormat="1" applyFont="1" applyFill="1"/>
    <xf numFmtId="0" fontId="33" fillId="3" borderId="0" xfId="6" applyFont="1" applyFill="1"/>
    <xf numFmtId="0" fontId="120" fillId="3" borderId="0" xfId="6" applyFont="1" applyFill="1"/>
    <xf numFmtId="0" fontId="33" fillId="3" borderId="0" xfId="7" applyFont="1" applyFill="1">
      <alignment vertical="center"/>
    </xf>
    <xf numFmtId="0" fontId="33" fillId="0" borderId="0" xfId="0" applyFont="1" applyAlignment="1">
      <alignment horizontal="left"/>
    </xf>
    <xf numFmtId="0" fontId="47" fillId="0" borderId="0" xfId="0" applyFont="1" applyBorder="1" applyAlignment="1">
      <alignment horizontal="center"/>
    </xf>
    <xf numFmtId="0" fontId="103" fillId="0" borderId="0" xfId="0" applyFont="1" applyAlignment="1">
      <alignment horizontal="left"/>
    </xf>
    <xf numFmtId="0" fontId="124" fillId="3" borderId="0" xfId="0" applyFont="1" applyFill="1" applyBorder="1"/>
    <xf numFmtId="0" fontId="124" fillId="3" borderId="0" xfId="3" applyFont="1" applyFill="1" applyAlignment="1">
      <alignment horizontal="left" vertical="center"/>
    </xf>
    <xf numFmtId="0" fontId="124" fillId="3" borderId="0" xfId="0" applyFont="1" applyFill="1"/>
    <xf numFmtId="0" fontId="119" fillId="0" borderId="0" xfId="0" applyFont="1"/>
    <xf numFmtId="0" fontId="98" fillId="0" borderId="0" xfId="0" applyFont="1"/>
    <xf numFmtId="0" fontId="125" fillId="0" borderId="0" xfId="0" applyFont="1"/>
    <xf numFmtId="0" fontId="122" fillId="0" borderId="0" xfId="0" applyFont="1" applyAlignment="1">
      <alignment vertical="top"/>
    </xf>
    <xf numFmtId="0" fontId="122" fillId="0" borderId="0" xfId="0" applyFont="1" applyFill="1" applyBorder="1" applyAlignment="1"/>
    <xf numFmtId="0" fontId="122" fillId="0" borderId="0" xfId="0" applyFont="1"/>
    <xf numFmtId="0" fontId="126" fillId="0" borderId="0" xfId="0" applyFont="1"/>
    <xf numFmtId="0" fontId="119" fillId="0" borderId="49" xfId="0" applyFont="1" applyBorder="1"/>
    <xf numFmtId="0" fontId="98" fillId="0" borderId="0" xfId="0" applyFont="1" applyFill="1" applyBorder="1" applyAlignment="1"/>
    <xf numFmtId="0" fontId="119" fillId="0" borderId="23" xfId="0" applyFont="1" applyBorder="1" applyAlignment="1">
      <alignment horizontal="right"/>
    </xf>
    <xf numFmtId="0" fontId="119" fillId="0" borderId="23" xfId="0" applyFont="1" applyBorder="1" applyAlignment="1">
      <alignment horizontal="right" wrapText="1"/>
    </xf>
    <xf numFmtId="0" fontId="126" fillId="0" borderId="23" xfId="0" applyFont="1" applyBorder="1" applyAlignment="1">
      <alignment horizontal="right" wrapText="1"/>
    </xf>
    <xf numFmtId="0" fontId="98" fillId="0" borderId="0" xfId="0" applyFont="1" applyAlignment="1"/>
    <xf numFmtId="0" fontId="98" fillId="0" borderId="0" xfId="0" applyFont="1" applyBorder="1" applyAlignment="1"/>
    <xf numFmtId="0" fontId="127" fillId="0" borderId="0" xfId="0" applyFont="1"/>
    <xf numFmtId="182" fontId="119" fillId="0" borderId="0" xfId="4" applyNumberFormat="1" applyFont="1"/>
    <xf numFmtId="181" fontId="119" fillId="0" borderId="0" xfId="4" applyNumberFormat="1" applyFont="1"/>
    <xf numFmtId="2" fontId="119" fillId="0" borderId="0" xfId="0" applyNumberFormat="1" applyFont="1"/>
    <xf numFmtId="166" fontId="119" fillId="0" borderId="0" xfId="0" applyNumberFormat="1" applyFont="1"/>
    <xf numFmtId="0" fontId="119" fillId="0" borderId="0" xfId="0" applyFont="1" applyFill="1" applyBorder="1"/>
    <xf numFmtId="0" fontId="96" fillId="0" borderId="0" xfId="0" applyFont="1"/>
    <xf numFmtId="182" fontId="96" fillId="0" borderId="0" xfId="4" applyNumberFormat="1" applyFont="1"/>
    <xf numFmtId="181" fontId="96" fillId="0" borderId="0" xfId="4" applyNumberFormat="1" applyFont="1"/>
    <xf numFmtId="164" fontId="96" fillId="0" borderId="0" xfId="0" applyNumberFormat="1" applyFont="1"/>
    <xf numFmtId="0" fontId="121" fillId="0" borderId="0" xfId="0" applyFont="1"/>
    <xf numFmtId="182" fontId="121" fillId="0" borderId="0" xfId="4" applyNumberFormat="1" applyFont="1"/>
    <xf numFmtId="2" fontId="121" fillId="0" borderId="0" xfId="0" applyNumberFormat="1" applyFont="1" applyFill="1"/>
    <xf numFmtId="181" fontId="121" fillId="0" borderId="0" xfId="4" applyNumberFormat="1" applyFont="1"/>
    <xf numFmtId="182" fontId="7" fillId="0" borderId="0" xfId="4" applyNumberFormat="1" applyFont="1" applyBorder="1"/>
    <xf numFmtId="168" fontId="7" fillId="0" borderId="0" xfId="0" applyNumberFormat="1" applyFont="1"/>
    <xf numFmtId="168" fontId="7" fillId="0" borderId="0" xfId="0" applyNumberFormat="1" applyFont="1" applyBorder="1"/>
    <xf numFmtId="3" fontId="121" fillId="0" borderId="0" xfId="0" applyNumberFormat="1" applyFont="1"/>
    <xf numFmtId="168" fontId="121" fillId="0" borderId="0" xfId="0" applyNumberFormat="1" applyFont="1"/>
    <xf numFmtId="2" fontId="121" fillId="0" borderId="2" xfId="0" applyNumberFormat="1" applyFont="1" applyFill="1" applyBorder="1"/>
    <xf numFmtId="2" fontId="121" fillId="0" borderId="0" xfId="0" applyNumberFormat="1" applyFont="1"/>
    <xf numFmtId="182" fontId="7" fillId="0" borderId="0" xfId="4" applyNumberFormat="1" applyFont="1"/>
    <xf numFmtId="164" fontId="121" fillId="0" borderId="0" xfId="0" applyNumberFormat="1" applyFont="1"/>
    <xf numFmtId="0" fontId="33" fillId="0" borderId="0" xfId="0" applyFont="1" applyAlignment="1">
      <alignment vertical="center"/>
    </xf>
    <xf numFmtId="0" fontId="47" fillId="0" borderId="0" xfId="0" applyFont="1"/>
    <xf numFmtId="0" fontId="33" fillId="3" borderId="0" xfId="0" applyFont="1" applyFill="1" applyAlignment="1">
      <alignment horizontal="left" vertical="center"/>
    </xf>
    <xf numFmtId="0" fontId="128" fillId="0" borderId="0" xfId="0" applyFont="1"/>
    <xf numFmtId="0" fontId="124" fillId="0" borderId="0" xfId="0" applyFont="1"/>
    <xf numFmtId="0" fontId="125" fillId="0" borderId="0" xfId="0" applyFont="1" applyFill="1"/>
    <xf numFmtId="181" fontId="96" fillId="0" borderId="0" xfId="0" applyNumberFormat="1" applyFont="1"/>
    <xf numFmtId="182" fontId="96" fillId="0" borderId="0" xfId="0" applyNumberFormat="1" applyFont="1"/>
    <xf numFmtId="164" fontId="96" fillId="2" borderId="0" xfId="0" applyNumberFormat="1" applyFont="1" applyFill="1"/>
    <xf numFmtId="11" fontId="119" fillId="0" borderId="0" xfId="0" applyNumberFormat="1" applyFont="1"/>
    <xf numFmtId="0" fontId="119" fillId="0" borderId="0" xfId="0" applyFont="1" applyFill="1"/>
    <xf numFmtId="0" fontId="126" fillId="0" borderId="0" xfId="0" applyFont="1" applyFill="1"/>
    <xf numFmtId="182" fontId="126" fillId="0" borderId="0" xfId="4" applyNumberFormat="1" applyFont="1"/>
    <xf numFmtId="0" fontId="103" fillId="0" borderId="0" xfId="0" applyFont="1" applyFill="1"/>
    <xf numFmtId="0" fontId="112" fillId="0" borderId="0" xfId="0" applyFont="1" applyFill="1"/>
    <xf numFmtId="0" fontId="101" fillId="0" borderId="0" xfId="0" applyFont="1" applyFill="1"/>
    <xf numFmtId="0" fontId="129" fillId="0" borderId="0" xfId="0" applyFont="1"/>
    <xf numFmtId="182" fontId="103" fillId="0" borderId="0" xfId="4" applyNumberFormat="1" applyFont="1" applyFill="1"/>
    <xf numFmtId="0" fontId="61" fillId="0" borderId="0" xfId="0" applyFont="1" applyFill="1"/>
    <xf numFmtId="0" fontId="130" fillId="0" borderId="0" xfId="0" applyFont="1"/>
    <xf numFmtId="0" fontId="58" fillId="0" borderId="0" xfId="0" applyFont="1"/>
    <xf numFmtId="9" fontId="58" fillId="0" borderId="0" xfId="1" applyFont="1" applyAlignment="1"/>
    <xf numFmtId="181" fontId="58" fillId="0" borderId="0" xfId="4" applyNumberFormat="1" applyFont="1"/>
    <xf numFmtId="0" fontId="69" fillId="0" borderId="0" xfId="0" applyFont="1" applyBorder="1" applyAlignment="1"/>
    <xf numFmtId="0" fontId="58" fillId="0" borderId="0" xfId="0" applyFont="1" applyAlignment="1"/>
    <xf numFmtId="1" fontId="58" fillId="0" borderId="0" xfId="0" applyNumberFormat="1" applyFont="1" applyAlignment="1"/>
    <xf numFmtId="2" fontId="58" fillId="0" borderId="0" xfId="0" applyNumberFormat="1" applyFont="1" applyAlignment="1"/>
    <xf numFmtId="166" fontId="131" fillId="0" borderId="0" xfId="0" applyNumberFormat="1" applyFont="1"/>
    <xf numFmtId="166" fontId="131" fillId="0" borderId="0" xfId="0" applyNumberFormat="1" applyFont="1" applyAlignment="1"/>
    <xf numFmtId="0" fontId="128" fillId="0" borderId="0" xfId="0" applyFont="1" applyBorder="1" applyAlignment="1">
      <alignment horizontal="center"/>
    </xf>
    <xf numFmtId="0" fontId="128" fillId="0" borderId="0" xfId="0" applyFont="1" applyBorder="1" applyAlignment="1">
      <alignment horizontal="center" vertical="center"/>
    </xf>
    <xf numFmtId="0" fontId="128" fillId="3" borderId="0" xfId="6" applyFont="1" applyFill="1" applyAlignment="1">
      <alignment vertical="center"/>
    </xf>
    <xf numFmtId="0" fontId="133" fillId="0" borderId="0" xfId="0" applyFont="1"/>
    <xf numFmtId="0" fontId="103" fillId="0" borderId="0" xfId="0" applyFont="1" applyAlignment="1">
      <alignment horizontal="center"/>
    </xf>
    <xf numFmtId="165" fontId="103" fillId="0" borderId="0" xfId="0" applyNumberFormat="1" applyFont="1" applyAlignment="1">
      <alignment horizontal="center"/>
    </xf>
    <xf numFmtId="0" fontId="103" fillId="0" borderId="0" xfId="0" applyFont="1" applyBorder="1"/>
    <xf numFmtId="165" fontId="103" fillId="0" borderId="0" xfId="0" applyNumberFormat="1" applyFont="1" applyBorder="1" applyAlignment="1">
      <alignment horizontal="center"/>
    </xf>
    <xf numFmtId="0" fontId="103" fillId="0" borderId="0" xfId="0" applyFont="1" applyBorder="1" applyAlignment="1"/>
    <xf numFmtId="2" fontId="103" fillId="0" borderId="0" xfId="0" applyNumberFormat="1" applyFont="1" applyBorder="1" applyAlignment="1"/>
    <xf numFmtId="0" fontId="103" fillId="0" borderId="0" xfId="0" applyFont="1" applyAlignment="1"/>
    <xf numFmtId="0" fontId="128" fillId="0" borderId="0" xfId="0" applyFont="1" applyAlignment="1">
      <alignment horizontal="center"/>
    </xf>
    <xf numFmtId="165" fontId="128" fillId="0" borderId="0" xfId="0" applyNumberFormat="1" applyFont="1" applyAlignment="1">
      <alignment horizontal="center"/>
    </xf>
    <xf numFmtId="165" fontId="128" fillId="0" borderId="0" xfId="0" applyNumberFormat="1" applyFont="1" applyBorder="1" applyAlignment="1">
      <alignment horizontal="center"/>
    </xf>
    <xf numFmtId="0" fontId="128" fillId="0" borderId="0" xfId="0" applyFont="1" applyBorder="1" applyAlignment="1"/>
    <xf numFmtId="0" fontId="128" fillId="0" borderId="0" xfId="0" applyFont="1" applyBorder="1"/>
    <xf numFmtId="0" fontId="134" fillId="0" borderId="0" xfId="2" applyFont="1" applyAlignment="1" applyProtection="1"/>
    <xf numFmtId="2" fontId="128" fillId="0" borderId="0" xfId="0" applyNumberFormat="1" applyFont="1" applyBorder="1" applyAlignment="1"/>
    <xf numFmtId="0" fontId="128" fillId="0" borderId="0" xfId="0" applyFont="1" applyFill="1" applyBorder="1" applyAlignment="1">
      <alignment horizontal="center"/>
    </xf>
    <xf numFmtId="2" fontId="128" fillId="0" borderId="0" xfId="0" applyNumberFormat="1" applyFont="1" applyFill="1" applyBorder="1" applyAlignment="1">
      <alignment horizontal="center"/>
    </xf>
    <xf numFmtId="0" fontId="128" fillId="3" borderId="0" xfId="0" applyFont="1" applyFill="1"/>
    <xf numFmtId="0" fontId="128" fillId="3" borderId="0" xfId="0" applyFont="1" applyFill="1" applyBorder="1"/>
    <xf numFmtId="3" fontId="128" fillId="3" borderId="0" xfId="0" applyNumberFormat="1" applyFont="1" applyFill="1" applyBorder="1" applyAlignment="1">
      <alignment horizontal="right"/>
    </xf>
    <xf numFmtId="0" fontId="134" fillId="3" borderId="0" xfId="2" applyFont="1" applyFill="1" applyAlignment="1" applyProtection="1"/>
    <xf numFmtId="0" fontId="128" fillId="3" borderId="0" xfId="0" applyFont="1" applyFill="1" applyAlignment="1">
      <alignment horizontal="right"/>
    </xf>
    <xf numFmtId="0" fontId="128" fillId="0" borderId="0" xfId="0" applyFont="1" applyAlignment="1">
      <alignment vertical="center"/>
    </xf>
    <xf numFmtId="0" fontId="45" fillId="3" borderId="0" xfId="3" applyFont="1" applyFill="1" applyAlignment="1">
      <alignment vertical="center"/>
    </xf>
    <xf numFmtId="0" fontId="132" fillId="3" borderId="0" xfId="3" applyFont="1" applyFill="1" applyAlignment="1">
      <alignment vertical="center"/>
    </xf>
    <xf numFmtId="0" fontId="47" fillId="3" borderId="0" xfId="3" applyFont="1" applyFill="1" applyBorder="1" applyAlignment="1">
      <alignment vertical="center"/>
    </xf>
    <xf numFmtId="0" fontId="134" fillId="0" borderId="0" xfId="2" applyFont="1" applyAlignment="1" applyProtection="1">
      <alignment vertical="center"/>
    </xf>
    <xf numFmtId="0" fontId="47" fillId="3" borderId="0" xfId="3" applyFont="1" applyFill="1" applyAlignment="1">
      <alignment vertical="center"/>
    </xf>
    <xf numFmtId="0" fontId="2" fillId="3" borderId="0" xfId="3" applyFont="1" applyFill="1" applyAlignment="1">
      <alignment vertical="center"/>
    </xf>
    <xf numFmtId="0" fontId="33" fillId="0" borderId="0" xfId="0" applyFont="1" applyFill="1" applyAlignment="1"/>
    <xf numFmtId="0" fontId="33" fillId="0" borderId="6" xfId="0" applyFont="1" applyFill="1" applyBorder="1" applyAlignment="1"/>
    <xf numFmtId="182" fontId="135" fillId="3" borderId="0" xfId="4" applyNumberFormat="1" applyFont="1" applyFill="1" applyBorder="1" applyAlignment="1">
      <alignment horizontal="right" vertical="center"/>
    </xf>
    <xf numFmtId="0" fontId="47" fillId="0" borderId="0" xfId="0" applyFont="1" applyFill="1"/>
    <xf numFmtId="0" fontId="2" fillId="0" borderId="0" xfId="0" applyFont="1" applyFill="1" applyAlignment="1"/>
    <xf numFmtId="0" fontId="47" fillId="0" borderId="2" xfId="0" applyFont="1" applyFill="1" applyBorder="1"/>
    <xf numFmtId="0" fontId="119" fillId="0" borderId="0" xfId="0" applyFont="1" applyAlignment="1">
      <alignment vertical="center"/>
    </xf>
    <xf numFmtId="182" fontId="135" fillId="3" borderId="0" xfId="4" applyNumberFormat="1" applyFont="1" applyFill="1" applyAlignment="1">
      <alignment horizontal="right"/>
    </xf>
    <xf numFmtId="193" fontId="118" fillId="3" borderId="0" xfId="6" applyNumberFormat="1" applyFont="1" applyFill="1" applyAlignment="1">
      <alignment horizontal="right"/>
    </xf>
    <xf numFmtId="182" fontId="135" fillId="0" borderId="0" xfId="4" applyNumberFormat="1" applyFont="1" applyFill="1" applyAlignment="1">
      <alignment horizontal="right"/>
    </xf>
    <xf numFmtId="182" fontId="135" fillId="3" borderId="0" xfId="4" applyNumberFormat="1" applyFont="1" applyFill="1" applyBorder="1" applyAlignment="1">
      <alignment horizontal="right"/>
    </xf>
    <xf numFmtId="182" fontId="136" fillId="3" borderId="0" xfId="4" applyNumberFormat="1" applyFont="1" applyFill="1" applyBorder="1" applyAlignment="1">
      <alignment horizontal="right"/>
    </xf>
    <xf numFmtId="182" fontId="136" fillId="0" borderId="0" xfId="4" applyNumberFormat="1" applyFont="1" applyFill="1" applyAlignment="1">
      <alignment horizontal="right"/>
    </xf>
    <xf numFmtId="193" fontId="121" fillId="3" borderId="0" xfId="6" applyNumberFormat="1" applyFont="1" applyFill="1" applyAlignment="1">
      <alignment horizontal="right"/>
    </xf>
    <xf numFmtId="182" fontId="136" fillId="3" borderId="0" xfId="4" applyNumberFormat="1" applyFont="1" applyFill="1" applyAlignment="1">
      <alignment horizontal="right"/>
    </xf>
    <xf numFmtId="166" fontId="58" fillId="0" borderId="0" xfId="0" applyNumberFormat="1" applyFont="1" applyAlignment="1">
      <alignment horizontal="center"/>
    </xf>
    <xf numFmtId="0" fontId="8" fillId="0" borderId="2" xfId="0" applyFont="1" applyFill="1" applyBorder="1" applyAlignment="1">
      <alignment horizontal="left"/>
    </xf>
    <xf numFmtId="3" fontId="128" fillId="0" borderId="0" xfId="0" applyNumberFormat="1" applyFont="1" applyFill="1" applyAlignment="1">
      <alignment horizontal="center"/>
    </xf>
    <xf numFmtId="0" fontId="128" fillId="0" borderId="0" xfId="0" applyFont="1" applyFill="1"/>
    <xf numFmtId="0" fontId="134" fillId="0" borderId="0" xfId="2" applyFont="1" applyFill="1" applyAlignment="1" applyProtection="1"/>
    <xf numFmtId="3" fontId="3" fillId="0" borderId="0" xfId="2" applyNumberFormat="1" applyFill="1" applyAlignment="1" applyProtection="1">
      <alignment horizontal="center"/>
    </xf>
    <xf numFmtId="14" fontId="0" fillId="0" borderId="0" xfId="0" applyNumberFormat="1" applyFill="1" applyAlignment="1">
      <alignment horizontal="left"/>
    </xf>
    <xf numFmtId="0" fontId="0" fillId="0" borderId="21" xfId="0" applyFill="1" applyBorder="1"/>
    <xf numFmtId="3" fontId="0" fillId="0" borderId="22" xfId="0" applyNumberFormat="1" applyFill="1" applyBorder="1" applyAlignment="1">
      <alignment horizontal="center"/>
    </xf>
    <xf numFmtId="0" fontId="21" fillId="0" borderId="0" xfId="0" applyFont="1" applyFill="1" applyAlignment="1">
      <alignment horizontal="center"/>
    </xf>
    <xf numFmtId="3" fontId="20" fillId="0" borderId="27" xfId="0" applyNumberFormat="1" applyFont="1" applyFill="1" applyBorder="1" applyAlignment="1">
      <alignment horizontal="center" wrapText="1"/>
    </xf>
    <xf numFmtId="3" fontId="20" fillId="0" borderId="19" xfId="0" applyNumberFormat="1" applyFont="1" applyFill="1" applyBorder="1" applyAlignment="1">
      <alignment horizontal="center" wrapText="1"/>
    </xf>
    <xf numFmtId="3" fontId="20" fillId="0" borderId="28" xfId="0" applyNumberFormat="1" applyFont="1" applyFill="1" applyBorder="1" applyAlignment="1">
      <alignment horizontal="center" wrapText="1"/>
    </xf>
    <xf numFmtId="3" fontId="20" fillId="0" borderId="18" xfId="0" applyNumberFormat="1" applyFont="1" applyFill="1" applyBorder="1" applyAlignment="1">
      <alignment horizontal="center" wrapText="1"/>
    </xf>
    <xf numFmtId="0" fontId="20" fillId="0" borderId="19" xfId="0" applyFont="1" applyFill="1" applyBorder="1" applyAlignment="1">
      <alignment horizontal="center" wrapText="1"/>
    </xf>
    <xf numFmtId="3" fontId="20" fillId="0" borderId="17" xfId="0" applyNumberFormat="1" applyFont="1" applyFill="1" applyBorder="1" applyAlignment="1">
      <alignment horizontal="center" wrapText="1"/>
    </xf>
    <xf numFmtId="0" fontId="20" fillId="0" borderId="30" xfId="0" applyFont="1" applyFill="1" applyBorder="1" applyAlignment="1">
      <alignment horizontal="center"/>
    </xf>
    <xf numFmtId="0" fontId="20" fillId="0" borderId="30" xfId="0" applyFont="1" applyFill="1" applyBorder="1" applyAlignment="1">
      <alignment horizontal="center" wrapText="1"/>
    </xf>
    <xf numFmtId="0" fontId="20" fillId="0" borderId="29" xfId="0" applyFont="1" applyFill="1" applyBorder="1" applyAlignment="1">
      <alignment horizontal="center"/>
    </xf>
    <xf numFmtId="0" fontId="0" fillId="0" borderId="20" xfId="0" applyFill="1" applyBorder="1" applyAlignment="1">
      <alignment horizontal="center"/>
    </xf>
    <xf numFmtId="3" fontId="20" fillId="0" borderId="32" xfId="0" applyNumberFormat="1" applyFont="1" applyFill="1" applyBorder="1" applyAlignment="1">
      <alignment horizontal="center" wrapText="1"/>
    </xf>
    <xf numFmtId="0" fontId="20" fillId="0" borderId="33" xfId="0" applyFont="1" applyFill="1" applyBorder="1" applyAlignment="1">
      <alignment horizontal="center" wrapText="1"/>
    </xf>
    <xf numFmtId="0" fontId="20" fillId="0" borderId="28" xfId="0" applyFont="1" applyFill="1" applyBorder="1" applyAlignment="1">
      <alignment horizontal="center"/>
    </xf>
    <xf numFmtId="0" fontId="20" fillId="0" borderId="28" xfId="0" applyFont="1" applyFill="1" applyBorder="1" applyAlignment="1">
      <alignment horizontal="center" wrapText="1"/>
    </xf>
    <xf numFmtId="0" fontId="20" fillId="0" borderId="35" xfId="0" applyFont="1" applyFill="1" applyBorder="1" applyAlignment="1">
      <alignment horizontal="center"/>
    </xf>
    <xf numFmtId="3" fontId="20" fillId="0" borderId="36" xfId="0" applyNumberFormat="1" applyFont="1" applyFill="1" applyBorder="1" applyAlignment="1">
      <alignment horizontal="center" wrapText="1"/>
    </xf>
    <xf numFmtId="3" fontId="20" fillId="0" borderId="17" xfId="0" applyNumberFormat="1" applyFont="1" applyFill="1" applyBorder="1" applyAlignment="1">
      <alignment horizontal="center"/>
    </xf>
    <xf numFmtId="3" fontId="20" fillId="0" borderId="28" xfId="0" applyNumberFormat="1" applyFont="1" applyFill="1" applyBorder="1" applyAlignment="1">
      <alignment horizontal="center"/>
    </xf>
    <xf numFmtId="3" fontId="20" fillId="0" borderId="18" xfId="0" applyNumberFormat="1" applyFont="1" applyFill="1" applyBorder="1" applyAlignment="1">
      <alignment horizontal="center"/>
    </xf>
    <xf numFmtId="3" fontId="20" fillId="0" borderId="19" xfId="0" applyNumberFormat="1" applyFont="1" applyFill="1" applyBorder="1" applyAlignment="1">
      <alignment horizontal="center"/>
    </xf>
    <xf numFmtId="3" fontId="20" fillId="0" borderId="37" xfId="0" applyNumberFormat="1" applyFont="1" applyFill="1" applyBorder="1" applyAlignment="1">
      <alignment horizontal="center" wrapText="1"/>
    </xf>
    <xf numFmtId="0" fontId="24" fillId="0" borderId="18" xfId="0" applyFont="1" applyFill="1" applyBorder="1" applyAlignment="1">
      <alignment horizontal="center"/>
    </xf>
    <xf numFmtId="0" fontId="24" fillId="0" borderId="19" xfId="0" applyFont="1" applyFill="1" applyBorder="1" applyAlignment="1">
      <alignment horizontal="center"/>
    </xf>
    <xf numFmtId="0" fontId="0" fillId="0" borderId="19" xfId="0" applyFill="1" applyBorder="1" applyAlignment="1">
      <alignment horizontal="center"/>
    </xf>
    <xf numFmtId="0" fontId="20" fillId="0" borderId="18" xfId="0" applyFont="1" applyFill="1" applyBorder="1" applyAlignment="1">
      <alignment horizontal="center" wrapText="1"/>
    </xf>
    <xf numFmtId="0" fontId="20" fillId="0" borderId="17" xfId="0" applyFont="1" applyFill="1" applyBorder="1" applyAlignment="1">
      <alignment horizontal="center"/>
    </xf>
    <xf numFmtId="0" fontId="20" fillId="0" borderId="18" xfId="0" applyFont="1" applyFill="1" applyBorder="1" applyAlignment="1">
      <alignment horizontal="center"/>
    </xf>
    <xf numFmtId="0" fontId="20" fillId="0" borderId="19" xfId="0" applyFont="1" applyFill="1" applyBorder="1" applyAlignment="1">
      <alignment horizontal="center"/>
    </xf>
    <xf numFmtId="3" fontId="20" fillId="0" borderId="14" xfId="0" applyNumberFormat="1" applyFont="1" applyFill="1" applyBorder="1" applyAlignment="1">
      <alignment horizontal="center" wrapText="1"/>
    </xf>
    <xf numFmtId="0" fontId="20" fillId="0" borderId="38" xfId="0" applyFont="1" applyFill="1" applyBorder="1" applyAlignment="1">
      <alignment horizontal="center" wrapText="1"/>
    </xf>
    <xf numFmtId="0" fontId="23" fillId="0" borderId="39" xfId="0" applyFont="1" applyFill="1" applyBorder="1"/>
    <xf numFmtId="3" fontId="20" fillId="0" borderId="6" xfId="0" applyNumberFormat="1" applyFont="1" applyFill="1" applyBorder="1" applyAlignment="1">
      <alignment horizontal="center" wrapText="1"/>
    </xf>
    <xf numFmtId="0" fontId="0" fillId="0" borderId="18" xfId="0" applyFill="1" applyBorder="1" applyAlignment="1">
      <alignment horizontal="center"/>
    </xf>
    <xf numFmtId="0" fontId="20" fillId="0" borderId="40" xfId="0" applyFont="1" applyFill="1" applyBorder="1" applyAlignment="1">
      <alignment horizontal="center"/>
    </xf>
    <xf numFmtId="3" fontId="20" fillId="0" borderId="41" xfId="0" applyNumberFormat="1" applyFont="1" applyFill="1" applyBorder="1" applyAlignment="1">
      <alignment horizontal="center" wrapText="1"/>
    </xf>
    <xf numFmtId="3" fontId="0" fillId="0" borderId="19" xfId="0" applyNumberFormat="1" applyFill="1" applyBorder="1" applyAlignment="1">
      <alignment horizontal="center"/>
    </xf>
    <xf numFmtId="3" fontId="20" fillId="0" borderId="20" xfId="0" applyNumberFormat="1" applyFont="1" applyFill="1" applyBorder="1" applyAlignment="1">
      <alignment horizontal="center"/>
    </xf>
    <xf numFmtId="0" fontId="20" fillId="0" borderId="43" xfId="0" applyFont="1" applyFill="1" applyBorder="1" applyAlignment="1">
      <alignment horizontal="center"/>
    </xf>
    <xf numFmtId="0" fontId="0" fillId="0" borderId="44" xfId="0" applyFill="1" applyBorder="1"/>
    <xf numFmtId="3" fontId="0" fillId="0" borderId="6" xfId="0" applyNumberFormat="1" applyFill="1" applyBorder="1" applyAlignment="1">
      <alignment horizontal="center"/>
    </xf>
    <xf numFmtId="3" fontId="0" fillId="0" borderId="8" xfId="0" applyNumberFormat="1" applyFill="1" applyBorder="1" applyAlignment="1">
      <alignment horizontal="center"/>
    </xf>
    <xf numFmtId="3" fontId="20" fillId="0" borderId="6" xfId="0" applyNumberFormat="1" applyFont="1" applyFill="1" applyBorder="1" applyAlignment="1">
      <alignment horizontal="center"/>
    </xf>
    <xf numFmtId="3" fontId="20" fillId="0" borderId="14" xfId="0" applyNumberFormat="1" applyFont="1" applyFill="1" applyBorder="1" applyAlignment="1">
      <alignment horizontal="center"/>
    </xf>
    <xf numFmtId="3" fontId="20" fillId="0" borderId="11" xfId="0" applyNumberFormat="1" applyFont="1" applyFill="1" applyBorder="1" applyAlignment="1">
      <alignment horizontal="center"/>
    </xf>
    <xf numFmtId="3" fontId="20" fillId="0" borderId="8" xfId="0" applyNumberFormat="1" applyFont="1" applyFill="1" applyBorder="1" applyAlignment="1">
      <alignment horizontal="center"/>
    </xf>
    <xf numFmtId="0" fontId="0" fillId="0" borderId="42" xfId="0" applyFill="1" applyBorder="1" applyAlignment="1">
      <alignment horizontal="center"/>
    </xf>
    <xf numFmtId="0" fontId="0" fillId="0" borderId="6" xfId="0" applyFont="1" applyFill="1" applyBorder="1" applyAlignment="1">
      <alignment horizontal="center" wrapText="1"/>
    </xf>
    <xf numFmtId="0" fontId="60" fillId="0" borderId="0" xfId="0" applyFont="1" applyFill="1" applyBorder="1" applyAlignment="1">
      <alignment horizontal="center"/>
    </xf>
    <xf numFmtId="0" fontId="60" fillId="0" borderId="38" xfId="0" applyFont="1" applyFill="1" applyBorder="1" applyAlignment="1">
      <alignment horizontal="center"/>
    </xf>
    <xf numFmtId="0" fontId="0" fillId="0" borderId="39" xfId="0" applyFill="1" applyBorder="1"/>
    <xf numFmtId="3" fontId="20" fillId="0" borderId="37" xfId="0" applyNumberFormat="1" applyFont="1" applyFill="1" applyBorder="1" applyAlignment="1">
      <alignment horizontal="center"/>
    </xf>
    <xf numFmtId="0" fontId="0" fillId="0" borderId="37" xfId="0" applyFill="1" applyBorder="1" applyAlignment="1">
      <alignment horizontal="center"/>
    </xf>
    <xf numFmtId="0" fontId="0" fillId="0" borderId="11" xfId="0" applyFill="1" applyBorder="1" applyAlignment="1">
      <alignment horizontal="center"/>
    </xf>
    <xf numFmtId="0" fontId="0" fillId="0" borderId="56" xfId="0" applyFill="1" applyBorder="1" applyAlignment="1">
      <alignment horizontal="center"/>
    </xf>
    <xf numFmtId="182" fontId="60" fillId="0" borderId="0" xfId="4" applyNumberFormat="1" applyFont="1" applyFill="1" applyBorder="1" applyAlignment="1">
      <alignment horizontal="center"/>
    </xf>
    <xf numFmtId="2" fontId="60" fillId="0" borderId="0" xfId="0" applyNumberFormat="1" applyFont="1" applyFill="1" applyBorder="1" applyAlignment="1">
      <alignment horizontal="center"/>
    </xf>
    <xf numFmtId="3" fontId="60" fillId="0" borderId="0" xfId="0" applyNumberFormat="1" applyFont="1" applyFill="1" applyBorder="1" applyAlignment="1">
      <alignment horizontal="center" wrapText="1"/>
    </xf>
    <xf numFmtId="3" fontId="0" fillId="0" borderId="14" xfId="0" applyNumberFormat="1" applyFont="1" applyFill="1" applyBorder="1" applyAlignment="1">
      <alignment horizontal="center"/>
    </xf>
    <xf numFmtId="3" fontId="0" fillId="0" borderId="38" xfId="0" applyNumberFormat="1" applyFont="1" applyFill="1" applyBorder="1" applyAlignment="1">
      <alignment horizontal="center"/>
    </xf>
    <xf numFmtId="3" fontId="0" fillId="0" borderId="20" xfId="0" applyNumberFormat="1" applyFill="1" applyBorder="1" applyAlignment="1">
      <alignment horizontal="center"/>
    </xf>
    <xf numFmtId="3" fontId="0" fillId="0" borderId="45" xfId="0" applyNumberFormat="1" applyFill="1" applyBorder="1" applyAlignment="1">
      <alignment horizontal="center"/>
    </xf>
    <xf numFmtId="3" fontId="0" fillId="0" borderId="36" xfId="0" applyNumberFormat="1" applyFill="1" applyBorder="1" applyAlignment="1">
      <alignment horizontal="center"/>
    </xf>
    <xf numFmtId="3" fontId="25" fillId="0" borderId="0" xfId="0" applyNumberFormat="1" applyFont="1" applyFill="1" applyAlignment="1">
      <alignment horizontal="center"/>
    </xf>
    <xf numFmtId="3" fontId="25" fillId="0" borderId="0" xfId="0" applyNumberFormat="1" applyFont="1" applyFill="1" applyBorder="1" applyAlignment="1">
      <alignment horizontal="center"/>
    </xf>
    <xf numFmtId="3" fontId="25" fillId="0" borderId="14" xfId="0" applyNumberFormat="1" applyFont="1" applyFill="1" applyBorder="1" applyAlignment="1">
      <alignment horizontal="center"/>
    </xf>
    <xf numFmtId="0" fontId="0" fillId="0" borderId="14" xfId="0" applyFill="1" applyBorder="1"/>
    <xf numFmtId="0" fontId="0" fillId="0" borderId="46" xfId="0" applyFill="1" applyBorder="1"/>
    <xf numFmtId="3" fontId="0" fillId="0" borderId="14" xfId="0" applyNumberFormat="1" applyFill="1" applyBorder="1"/>
    <xf numFmtId="3" fontId="0" fillId="0" borderId="0" xfId="0" applyNumberFormat="1" applyFill="1" applyBorder="1"/>
    <xf numFmtId="3" fontId="0" fillId="0" borderId="46" xfId="0" applyNumberFormat="1" applyFill="1" applyBorder="1"/>
    <xf numFmtId="0" fontId="0" fillId="0" borderId="29" xfId="0" applyFill="1" applyBorder="1"/>
    <xf numFmtId="3" fontId="0" fillId="0" borderId="2" xfId="0" applyNumberFormat="1" applyFill="1" applyBorder="1"/>
    <xf numFmtId="0" fontId="0" fillId="0" borderId="2" xfId="0" applyFill="1" applyBorder="1"/>
    <xf numFmtId="3" fontId="0" fillId="0" borderId="6" xfId="0" applyNumberFormat="1" applyFill="1" applyBorder="1"/>
    <xf numFmtId="3" fontId="0" fillId="0" borderId="11" xfId="0" applyNumberFormat="1" applyFill="1" applyBorder="1"/>
    <xf numFmtId="3" fontId="0" fillId="0" borderId="14" xfId="0" applyNumberFormat="1" applyFill="1" applyBorder="1" applyAlignment="1">
      <alignment horizontal="right"/>
    </xf>
    <xf numFmtId="3" fontId="0" fillId="0" borderId="29" xfId="0" applyNumberFormat="1" applyFill="1" applyBorder="1"/>
    <xf numFmtId="3" fontId="0" fillId="0" borderId="7" xfId="0" applyNumberFormat="1" applyFill="1" applyBorder="1"/>
    <xf numFmtId="3" fontId="0" fillId="0" borderId="30" xfId="0" applyNumberFormat="1" applyFill="1" applyBorder="1"/>
    <xf numFmtId="0" fontId="0" fillId="0" borderId="14" xfId="0" applyFill="1" applyBorder="1" applyAlignment="1">
      <alignment horizontal="right"/>
    </xf>
    <xf numFmtId="3" fontId="0" fillId="0" borderId="42" xfId="0" applyNumberFormat="1" applyFill="1" applyBorder="1"/>
    <xf numFmtId="0" fontId="18" fillId="0" borderId="47" xfId="0" applyFont="1" applyFill="1" applyBorder="1"/>
    <xf numFmtId="3" fontId="0" fillId="0" borderId="48" xfId="0" applyNumberFormat="1" applyFill="1" applyBorder="1"/>
    <xf numFmtId="3" fontId="0" fillId="0" borderId="48" xfId="0" applyNumberFormat="1" applyFill="1" applyBorder="1" applyAlignment="1">
      <alignment horizontal="right"/>
    </xf>
    <xf numFmtId="3" fontId="0" fillId="0" borderId="49" xfId="0" applyNumberFormat="1" applyFill="1" applyBorder="1"/>
    <xf numFmtId="0" fontId="0" fillId="0" borderId="48" xfId="0" applyFill="1" applyBorder="1" applyAlignment="1">
      <alignment horizontal="right"/>
    </xf>
    <xf numFmtId="3" fontId="0" fillId="0" borderId="50" xfId="0" applyNumberFormat="1" applyFill="1" applyBorder="1"/>
    <xf numFmtId="3" fontId="0" fillId="0" borderId="51" xfId="0" applyNumberFormat="1" applyFill="1" applyBorder="1"/>
    <xf numFmtId="3" fontId="0" fillId="0" borderId="0" xfId="0" applyNumberFormat="1" applyFill="1"/>
    <xf numFmtId="0" fontId="0" fillId="0" borderId="0" xfId="0" applyFill="1" applyBorder="1" applyAlignment="1">
      <alignment horizontal="right"/>
    </xf>
    <xf numFmtId="3" fontId="0" fillId="0" borderId="41" xfId="0" applyNumberFormat="1" applyFill="1" applyBorder="1" applyAlignment="1">
      <alignment horizontal="center"/>
    </xf>
    <xf numFmtId="3" fontId="0" fillId="0" borderId="7" xfId="0" applyNumberFormat="1" applyFill="1" applyBorder="1" applyAlignment="1">
      <alignment horizontal="center"/>
    </xf>
    <xf numFmtId="3" fontId="0" fillId="0" borderId="30" xfId="0" applyNumberFormat="1" applyFill="1" applyBorder="1" applyAlignment="1">
      <alignment horizontal="center"/>
    </xf>
    <xf numFmtId="3" fontId="25" fillId="0" borderId="30" xfId="0" applyNumberFormat="1" applyFont="1" applyFill="1" applyBorder="1" applyAlignment="1">
      <alignment horizontal="center"/>
    </xf>
    <xf numFmtId="3" fontId="0" fillId="0" borderId="2" xfId="0" applyNumberFormat="1" applyFill="1" applyBorder="1" applyAlignment="1">
      <alignment horizontal="center"/>
    </xf>
    <xf numFmtId="3" fontId="20" fillId="0" borderId="30" xfId="0" applyNumberFormat="1" applyFont="1" applyFill="1" applyBorder="1" applyAlignment="1">
      <alignment horizontal="center"/>
    </xf>
    <xf numFmtId="3" fontId="0" fillId="0" borderId="29" xfId="0" applyNumberFormat="1" applyFill="1" applyBorder="1" applyAlignment="1">
      <alignment horizontal="center"/>
    </xf>
    <xf numFmtId="3" fontId="25" fillId="0" borderId="2" xfId="0" applyNumberFormat="1" applyFont="1" applyFill="1" applyBorder="1" applyAlignment="1">
      <alignment horizontal="center"/>
    </xf>
    <xf numFmtId="3" fontId="20" fillId="0" borderId="42" xfId="0" applyNumberFormat="1" applyFont="1" applyFill="1" applyBorder="1" applyAlignment="1">
      <alignment horizontal="center"/>
    </xf>
    <xf numFmtId="3" fontId="24" fillId="0" borderId="20" xfId="0" applyNumberFormat="1" applyFont="1" applyFill="1" applyBorder="1" applyAlignment="1">
      <alignment horizontal="center"/>
    </xf>
    <xf numFmtId="3" fontId="26" fillId="0" borderId="14" xfId="0" applyNumberFormat="1" applyFont="1" applyFill="1" applyBorder="1" applyAlignment="1">
      <alignment horizontal="center"/>
    </xf>
    <xf numFmtId="3" fontId="26" fillId="0" borderId="42" xfId="0" applyNumberFormat="1" applyFont="1" applyFill="1" applyBorder="1" applyAlignment="1">
      <alignment horizontal="center"/>
    </xf>
    <xf numFmtId="3" fontId="0" fillId="0" borderId="31" xfId="0" applyNumberFormat="1" applyFill="1" applyBorder="1" applyAlignment="1">
      <alignment horizontal="center"/>
    </xf>
    <xf numFmtId="3" fontId="0" fillId="0" borderId="32" xfId="0" applyNumberFormat="1" applyFill="1" applyBorder="1" applyAlignment="1">
      <alignment horizontal="center"/>
    </xf>
    <xf numFmtId="3" fontId="20" fillId="0" borderId="52" xfId="0" applyNumberFormat="1" applyFont="1" applyFill="1" applyBorder="1" applyAlignment="1">
      <alignment horizontal="center"/>
    </xf>
    <xf numFmtId="3" fontId="18" fillId="0" borderId="6" xfId="0" applyNumberFormat="1" applyFont="1" applyFill="1" applyBorder="1" applyAlignment="1">
      <alignment horizontal="center"/>
    </xf>
    <xf numFmtId="3" fontId="18" fillId="0" borderId="55" xfId="0" applyNumberFormat="1" applyFont="1" applyFill="1" applyBorder="1" applyAlignment="1">
      <alignment horizontal="center"/>
    </xf>
    <xf numFmtId="3" fontId="0" fillId="0" borderId="55" xfId="0" applyNumberFormat="1" applyFill="1" applyBorder="1" applyAlignment="1">
      <alignment horizontal="center"/>
    </xf>
    <xf numFmtId="3" fontId="0" fillId="0" borderId="49" xfId="0" applyNumberFormat="1" applyFill="1" applyBorder="1" applyAlignment="1">
      <alignment horizontal="center"/>
    </xf>
    <xf numFmtId="3" fontId="0" fillId="0" borderId="48" xfId="0" applyNumberFormat="1" applyFill="1" applyBorder="1" applyAlignment="1">
      <alignment horizontal="center"/>
    </xf>
    <xf numFmtId="3" fontId="20" fillId="0" borderId="50" xfId="0" applyNumberFormat="1" applyFont="1" applyFill="1" applyBorder="1" applyAlignment="1">
      <alignment horizontal="center"/>
    </xf>
    <xf numFmtId="0" fontId="0" fillId="0" borderId="38" xfId="0" applyFill="1" applyBorder="1" applyAlignment="1">
      <alignment horizontal="center"/>
    </xf>
    <xf numFmtId="3" fontId="0" fillId="0" borderId="39" xfId="0" applyNumberFormat="1" applyFill="1" applyBorder="1" applyAlignment="1">
      <alignment horizontal="center"/>
    </xf>
    <xf numFmtId="0" fontId="0" fillId="0" borderId="29" xfId="0" applyFill="1" applyBorder="1" applyAlignment="1">
      <alignment horizontal="center"/>
    </xf>
    <xf numFmtId="3" fontId="20" fillId="0" borderId="2" xfId="0" applyNumberFormat="1" applyFont="1" applyFill="1" applyBorder="1" applyAlignment="1">
      <alignment horizontal="center"/>
    </xf>
    <xf numFmtId="3" fontId="20" fillId="0" borderId="29" xfId="0" applyNumberFormat="1" applyFont="1" applyFill="1" applyBorder="1" applyAlignment="1">
      <alignment horizontal="center"/>
    </xf>
    <xf numFmtId="3" fontId="18" fillId="0" borderId="14" xfId="0" applyNumberFormat="1" applyFont="1" applyFill="1" applyBorder="1" applyAlignment="1">
      <alignment horizontal="center"/>
    </xf>
    <xf numFmtId="3" fontId="27" fillId="0" borderId="36" xfId="0" applyNumberFormat="1" applyFont="1" applyFill="1" applyBorder="1" applyAlignment="1">
      <alignment horizontal="center"/>
    </xf>
    <xf numFmtId="3" fontId="18" fillId="0" borderId="39" xfId="0" applyNumberFormat="1" applyFont="1" applyFill="1" applyBorder="1" applyAlignment="1">
      <alignment horizontal="center"/>
    </xf>
    <xf numFmtId="0" fontId="18" fillId="0" borderId="0" xfId="0" applyFont="1" applyFill="1" applyAlignment="1">
      <alignment horizontal="center"/>
    </xf>
    <xf numFmtId="3" fontId="18" fillId="0" borderId="0" xfId="0" applyNumberFormat="1" applyFont="1" applyFill="1" applyAlignment="1">
      <alignment horizontal="left"/>
    </xf>
    <xf numFmtId="3" fontId="25" fillId="0" borderId="0" xfId="0" applyNumberFormat="1" applyFont="1" applyFill="1" applyAlignment="1">
      <alignment horizontal="left"/>
    </xf>
    <xf numFmtId="168" fontId="25" fillId="0" borderId="0" xfId="0" applyNumberFormat="1" applyFont="1" applyFill="1" applyAlignment="1">
      <alignment horizontal="left"/>
    </xf>
    <xf numFmtId="0" fontId="18" fillId="0" borderId="0" xfId="0" applyFont="1" applyFill="1" applyBorder="1"/>
    <xf numFmtId="171" fontId="18" fillId="0" borderId="0" xfId="0" applyNumberFormat="1" applyFont="1" applyFill="1" applyAlignment="1">
      <alignment horizontal="center"/>
    </xf>
    <xf numFmtId="172" fontId="18" fillId="0" borderId="0" xfId="0" applyNumberFormat="1" applyFont="1" applyFill="1" applyAlignment="1">
      <alignment horizontal="center"/>
    </xf>
    <xf numFmtId="171" fontId="18" fillId="0" borderId="0" xfId="0" applyNumberFormat="1" applyFont="1" applyFill="1" applyAlignment="1">
      <alignment horizontal="left"/>
    </xf>
    <xf numFmtId="0" fontId="33" fillId="0" borderId="0" xfId="0" applyFont="1" applyFill="1" applyAlignment="1">
      <alignment horizontal="left"/>
    </xf>
    <xf numFmtId="0" fontId="20" fillId="0" borderId="0" xfId="0" applyFont="1" applyFill="1"/>
    <xf numFmtId="0" fontId="19" fillId="0" borderId="28" xfId="0" applyFont="1" applyFill="1" applyBorder="1" applyAlignment="1">
      <alignment horizontal="center" wrapText="1"/>
    </xf>
    <xf numFmtId="0" fontId="20" fillId="0" borderId="17" xfId="0" applyFont="1" applyFill="1" applyBorder="1" applyAlignment="1">
      <alignment horizontal="center" wrapText="1"/>
    </xf>
    <xf numFmtId="0" fontId="0" fillId="0" borderId="6" xfId="0" applyFill="1" applyBorder="1" applyAlignment="1">
      <alignment horizontal="center" wrapText="1"/>
    </xf>
    <xf numFmtId="0" fontId="20" fillId="0" borderId="0" xfId="0" applyFont="1" applyFill="1" applyBorder="1" applyAlignment="1">
      <alignment horizontal="center"/>
    </xf>
    <xf numFmtId="0" fontId="20" fillId="0" borderId="38" xfId="0" applyFont="1" applyFill="1" applyBorder="1" applyAlignment="1">
      <alignment horizontal="center"/>
    </xf>
    <xf numFmtId="0" fontId="0" fillId="0" borderId="14" xfId="0" applyFill="1" applyBorder="1" applyAlignment="1">
      <alignment horizontal="center" wrapText="1"/>
    </xf>
    <xf numFmtId="3" fontId="20" fillId="0" borderId="0" xfId="0" applyNumberFormat="1" applyFont="1" applyFill="1" applyBorder="1" applyAlignment="1">
      <alignment horizontal="center" wrapText="1"/>
    </xf>
    <xf numFmtId="3" fontId="0" fillId="0" borderId="38" xfId="0" applyNumberFormat="1" applyFill="1" applyBorder="1" applyAlignment="1">
      <alignment horizontal="center"/>
    </xf>
    <xf numFmtId="3" fontId="20" fillId="0" borderId="49" xfId="0" applyNumberFormat="1" applyFont="1" applyFill="1" applyBorder="1" applyAlignment="1">
      <alignment horizontal="center"/>
    </xf>
    <xf numFmtId="3" fontId="18" fillId="0" borderId="54" xfId="0" applyNumberFormat="1" applyFont="1" applyFill="1" applyBorder="1" applyAlignment="1">
      <alignment horizontal="center"/>
    </xf>
    <xf numFmtId="3" fontId="0" fillId="0" borderId="0" xfId="0" applyNumberFormat="1" applyFill="1" applyBorder="1" applyAlignment="1">
      <alignment horizontal="right"/>
    </xf>
    <xf numFmtId="0" fontId="20" fillId="0" borderId="0" xfId="0" applyFont="1" applyFill="1" applyAlignment="1">
      <alignment horizontal="left"/>
    </xf>
    <xf numFmtId="0" fontId="0" fillId="0" borderId="0" xfId="0" applyFill="1" applyAlignment="1">
      <alignment horizontal="left" wrapText="1"/>
    </xf>
    <xf numFmtId="0" fontId="0" fillId="0" borderId="0" xfId="0" applyFill="1" applyAlignment="1">
      <alignment horizontal="center" wrapText="1"/>
    </xf>
    <xf numFmtId="0" fontId="137" fillId="0" borderId="34" xfId="0" applyFont="1" applyFill="1" applyBorder="1"/>
    <xf numFmtId="0" fontId="60" fillId="0" borderId="0" xfId="0" applyFont="1" applyFill="1" applyBorder="1" applyAlignment="1"/>
    <xf numFmtId="0" fontId="32" fillId="0" borderId="0" xfId="0" applyFont="1" applyFill="1" applyBorder="1" applyAlignment="1"/>
    <xf numFmtId="0" fontId="32" fillId="0" borderId="6" xfId="0" applyFont="1" applyFill="1" applyBorder="1" applyAlignment="1"/>
    <xf numFmtId="3" fontId="18" fillId="0" borderId="20" xfId="0" applyNumberFormat="1" applyFont="1" applyFill="1" applyBorder="1" applyAlignment="1">
      <alignment horizontal="center"/>
    </xf>
    <xf numFmtId="0" fontId="16" fillId="3" borderId="2" xfId="7" applyFont="1" applyFill="1" applyBorder="1" applyAlignment="1">
      <alignment horizontal="center" vertical="center"/>
    </xf>
    <xf numFmtId="0" fontId="16" fillId="3" borderId="18" xfId="6" applyFont="1" applyFill="1" applyBorder="1" applyAlignment="1">
      <alignment horizontal="center"/>
    </xf>
    <xf numFmtId="0" fontId="13" fillId="3" borderId="3" xfId="6" applyFont="1" applyFill="1" applyBorder="1" applyAlignment="1">
      <alignment horizontal="right"/>
    </xf>
    <xf numFmtId="0" fontId="13" fillId="3" borderId="0" xfId="6" applyFont="1" applyFill="1" applyAlignment="1">
      <alignment horizontal="right"/>
    </xf>
    <xf numFmtId="0" fontId="15" fillId="3" borderId="5" xfId="6" applyFont="1" applyFill="1" applyBorder="1" applyAlignment="1">
      <alignment horizontal="center"/>
    </xf>
    <xf numFmtId="0" fontId="15" fillId="3" borderId="2" xfId="6" applyFont="1" applyFill="1" applyBorder="1" applyAlignment="1">
      <alignment horizontal="center"/>
    </xf>
    <xf numFmtId="1" fontId="0" fillId="0" borderId="0" xfId="0" applyNumberFormat="1" applyFill="1" applyBorder="1" applyAlignment="1">
      <alignment horizontal="center"/>
    </xf>
    <xf numFmtId="1" fontId="6" fillId="0" borderId="0" xfId="0" applyNumberFormat="1" applyFont="1" applyFill="1" applyBorder="1" applyAlignment="1">
      <alignment horizontal="center"/>
    </xf>
    <xf numFmtId="0" fontId="4" fillId="3" borderId="117" xfId="0" applyFont="1" applyFill="1" applyBorder="1" applyAlignment="1">
      <alignment horizontal="center" vertical="center" wrapText="1"/>
    </xf>
    <xf numFmtId="0" fontId="4" fillId="3" borderId="118" xfId="0" applyFont="1" applyFill="1" applyBorder="1" applyAlignment="1">
      <alignment horizontal="center" vertical="center" wrapText="1"/>
    </xf>
    <xf numFmtId="0" fontId="4" fillId="3" borderId="120" xfId="0" applyFont="1" applyFill="1" applyBorder="1" applyAlignment="1">
      <alignment horizontal="center" vertical="center" wrapText="1"/>
    </xf>
    <xf numFmtId="0" fontId="4" fillId="3" borderId="104" xfId="0" applyFont="1" applyFill="1" applyBorder="1" applyAlignment="1">
      <alignment horizontal="center" vertical="center"/>
    </xf>
    <xf numFmtId="0" fontId="4" fillId="3" borderId="106" xfId="0" applyFont="1" applyFill="1" applyBorder="1" applyAlignment="1">
      <alignment horizontal="center" vertical="center"/>
    </xf>
    <xf numFmtId="0" fontId="4" fillId="3" borderId="105" xfId="0" applyFont="1" applyFill="1" applyBorder="1" applyAlignment="1">
      <alignment horizontal="center" vertical="center"/>
    </xf>
    <xf numFmtId="0" fontId="4" fillId="3" borderId="62" xfId="0" applyFont="1" applyFill="1" applyBorder="1" applyAlignment="1">
      <alignment horizontal="center" vertical="center" wrapText="1"/>
    </xf>
    <xf numFmtId="0" fontId="4" fillId="3" borderId="63" xfId="0" applyFont="1" applyFill="1" applyBorder="1" applyAlignment="1">
      <alignment horizontal="center" vertical="center" wrapText="1"/>
    </xf>
    <xf numFmtId="0" fontId="4" fillId="3" borderId="69" xfId="0" applyFont="1" applyFill="1" applyBorder="1" applyAlignment="1">
      <alignment horizontal="center" vertical="center" wrapText="1"/>
    </xf>
    <xf numFmtId="0" fontId="4" fillId="3" borderId="70" xfId="0" applyFont="1" applyFill="1" applyBorder="1" applyAlignment="1">
      <alignment horizontal="center" vertical="center" wrapText="1"/>
    </xf>
    <xf numFmtId="0" fontId="4" fillId="3" borderId="104" xfId="0" applyFont="1" applyFill="1" applyBorder="1" applyAlignment="1">
      <alignment horizontal="center" vertical="center" wrapText="1"/>
    </xf>
    <xf numFmtId="0" fontId="4" fillId="3" borderId="105" xfId="0" applyFont="1" applyFill="1" applyBorder="1" applyAlignment="1">
      <alignment horizontal="center" vertical="center" wrapText="1"/>
    </xf>
    <xf numFmtId="0" fontId="4" fillId="3" borderId="106" xfId="0" applyFont="1" applyFill="1" applyBorder="1" applyAlignment="1">
      <alignment horizontal="center" vertical="center" wrapText="1"/>
    </xf>
    <xf numFmtId="0" fontId="60" fillId="3" borderId="5" xfId="3" applyFont="1" applyFill="1" applyBorder="1" applyAlignment="1">
      <alignment horizontal="center"/>
    </xf>
    <xf numFmtId="3" fontId="61" fillId="3" borderId="12" xfId="3" applyNumberFormat="1" applyFont="1" applyFill="1" applyBorder="1" applyAlignment="1">
      <alignment horizontal="center"/>
    </xf>
    <xf numFmtId="3" fontId="61" fillId="4" borderId="0" xfId="3" applyNumberFormat="1" applyFont="1" applyFill="1" applyBorder="1" applyAlignment="1">
      <alignment horizontal="center"/>
    </xf>
    <xf numFmtId="3" fontId="61" fillId="3" borderId="13" xfId="3" applyNumberFormat="1" applyFont="1" applyFill="1" applyBorder="1" applyAlignment="1">
      <alignment horizontal="center"/>
    </xf>
    <xf numFmtId="0" fontId="60" fillId="3" borderId="1" xfId="3" applyFont="1" applyFill="1" applyBorder="1" applyAlignment="1">
      <alignment horizontal="center"/>
    </xf>
    <xf numFmtId="3" fontId="61" fillId="3" borderId="9" xfId="3" applyNumberFormat="1" applyFont="1" applyFill="1" applyBorder="1" applyAlignment="1">
      <alignment horizontal="center"/>
    </xf>
    <xf numFmtId="3" fontId="61" fillId="3" borderId="11" xfId="3" applyNumberFormat="1" applyFont="1" applyFill="1" applyBorder="1" applyAlignment="1">
      <alignment horizontal="center"/>
    </xf>
    <xf numFmtId="3" fontId="61" fillId="3" borderId="10" xfId="3" applyNumberFormat="1" applyFont="1" applyFill="1" applyBorder="1" applyAlignment="1">
      <alignment horizontal="center"/>
    </xf>
    <xf numFmtId="3" fontId="61" fillId="3" borderId="0" xfId="3" applyNumberFormat="1" applyFont="1" applyFill="1" applyAlignment="1">
      <alignment horizontal="center"/>
    </xf>
    <xf numFmtId="3" fontId="61" fillId="3" borderId="0" xfId="3" quotePrefix="1" applyNumberFormat="1" applyFont="1" applyFill="1" applyAlignment="1">
      <alignment horizontal="center"/>
    </xf>
    <xf numFmtId="3" fontId="61" fillId="3" borderId="0" xfId="3" applyNumberFormat="1" applyFont="1" applyFill="1" applyAlignment="1">
      <alignment horizontal="center" vertical="top"/>
    </xf>
    <xf numFmtId="3" fontId="61" fillId="4" borderId="3" xfId="3" applyNumberFormat="1" applyFont="1" applyFill="1" applyBorder="1" applyAlignment="1">
      <alignment horizontal="center"/>
    </xf>
    <xf numFmtId="3" fontId="0" fillId="0" borderId="42" xfId="0" applyNumberFormat="1" applyFill="1" applyBorder="1" applyAlignment="1">
      <alignment horizontal="center"/>
    </xf>
    <xf numFmtId="3" fontId="0" fillId="0" borderId="6" xfId="0" applyNumberFormat="1" applyFill="1" applyBorder="1" applyAlignment="1">
      <alignment horizontal="center"/>
    </xf>
    <xf numFmtId="0" fontId="0" fillId="0" borderId="0" xfId="0" applyFill="1" applyAlignment="1">
      <alignment horizontal="left"/>
    </xf>
    <xf numFmtId="0" fontId="0" fillId="0" borderId="6" xfId="0" applyFill="1" applyBorder="1" applyAlignment="1">
      <alignment horizontal="center"/>
    </xf>
    <xf numFmtId="0" fontId="32" fillId="0" borderId="11" xfId="0" applyFont="1" applyFill="1" applyBorder="1" applyAlignment="1">
      <alignment horizontal="center"/>
    </xf>
    <xf numFmtId="0" fontId="32" fillId="0" borderId="11" xfId="0" applyFont="1" applyFill="1" applyBorder="1" applyAlignment="1"/>
    <xf numFmtId="0" fontId="32" fillId="0" borderId="8" xfId="0" applyFont="1" applyFill="1" applyBorder="1" applyAlignment="1"/>
    <xf numFmtId="0" fontId="32" fillId="0" borderId="2" xfId="0" applyFont="1" applyFill="1" applyBorder="1" applyAlignment="1"/>
    <xf numFmtId="0" fontId="32" fillId="0" borderId="7" xfId="0" applyFont="1" applyFill="1" applyBorder="1" applyAlignment="1"/>
    <xf numFmtId="0" fontId="32" fillId="0" borderId="37" xfId="0" applyFont="1" applyFill="1" applyBorder="1" applyAlignment="1">
      <alignment horizontal="center"/>
    </xf>
    <xf numFmtId="0" fontId="0" fillId="0" borderId="11" xfId="0" applyFill="1" applyBorder="1" applyAlignment="1">
      <alignment horizontal="center"/>
    </xf>
    <xf numFmtId="0" fontId="0" fillId="0" borderId="29" xfId="0" applyFill="1" applyBorder="1" applyAlignment="1">
      <alignment horizontal="center"/>
    </xf>
    <xf numFmtId="0" fontId="0" fillId="0" borderId="2" xfId="0" applyFill="1" applyBorder="1" applyAlignment="1">
      <alignment horizontal="center"/>
    </xf>
    <xf numFmtId="0" fontId="0" fillId="0" borderId="42" xfId="0" applyFill="1" applyBorder="1" applyAlignment="1">
      <alignment horizontal="center"/>
    </xf>
    <xf numFmtId="0" fontId="0" fillId="0" borderId="0" xfId="0" applyFill="1" applyBorder="1" applyAlignment="1">
      <alignment horizontal="center"/>
    </xf>
    <xf numFmtId="0" fontId="20" fillId="0" borderId="17" xfId="0" applyFont="1" applyFill="1" applyBorder="1" applyAlignment="1">
      <alignment horizontal="center"/>
    </xf>
    <xf numFmtId="0" fontId="20" fillId="0" borderId="18" xfId="0" applyFont="1" applyFill="1" applyBorder="1" applyAlignment="1"/>
    <xf numFmtId="0" fontId="20" fillId="0" borderId="19" xfId="0" applyFont="1" applyFill="1" applyBorder="1" applyAlignment="1"/>
    <xf numFmtId="0" fontId="20" fillId="0" borderId="17" xfId="0" applyFont="1" applyFill="1" applyBorder="1" applyAlignment="1">
      <alignment horizontal="center" wrapText="1"/>
    </xf>
    <xf numFmtId="0" fontId="0" fillId="0" borderId="18" xfId="0" applyFill="1" applyBorder="1" applyAlignment="1">
      <alignment horizontal="center" wrapText="1"/>
    </xf>
    <xf numFmtId="3" fontId="20" fillId="0" borderId="17" xfId="0" applyNumberFormat="1" applyFont="1" applyFill="1" applyBorder="1" applyAlignment="1">
      <alignment horizontal="center"/>
    </xf>
    <xf numFmtId="3" fontId="20" fillId="0" borderId="18" xfId="0" applyNumberFormat="1" applyFont="1" applyFill="1" applyBorder="1" applyAlignment="1">
      <alignment horizontal="center"/>
    </xf>
    <xf numFmtId="3" fontId="20" fillId="0" borderId="19" xfId="0" applyNumberFormat="1" applyFont="1" applyFill="1" applyBorder="1" applyAlignment="1">
      <alignment horizontal="center"/>
    </xf>
    <xf numFmtId="3" fontId="20" fillId="0" borderId="17" xfId="0" applyNumberFormat="1" applyFont="1" applyFill="1" applyBorder="1" applyAlignment="1">
      <alignment horizontal="center" wrapText="1"/>
    </xf>
    <xf numFmtId="3" fontId="20" fillId="0" borderId="19" xfId="0" applyNumberFormat="1" applyFont="1" applyFill="1" applyBorder="1" applyAlignment="1">
      <alignment horizontal="center" wrapText="1"/>
    </xf>
    <xf numFmtId="0" fontId="0" fillId="0" borderId="18" xfId="0" applyFill="1" applyBorder="1" applyAlignment="1">
      <alignment horizontal="center"/>
    </xf>
    <xf numFmtId="0" fontId="0" fillId="0" borderId="19" xfId="0" applyFill="1" applyBorder="1" applyAlignment="1">
      <alignment horizontal="center"/>
    </xf>
    <xf numFmtId="0" fontId="20" fillId="0" borderId="29" xfId="0" applyFont="1" applyFill="1" applyBorder="1" applyAlignment="1">
      <alignment horizontal="center"/>
    </xf>
    <xf numFmtId="0" fontId="20" fillId="0" borderId="7" xfId="0" applyFont="1" applyFill="1" applyBorder="1" applyAlignment="1">
      <alignment horizontal="center"/>
    </xf>
    <xf numFmtId="3" fontId="20" fillId="0" borderId="31" xfId="0" applyNumberFormat="1" applyFont="1" applyFill="1" applyBorder="1" applyAlignment="1">
      <alignment horizontal="center" wrapText="1"/>
    </xf>
    <xf numFmtId="3" fontId="20" fillId="0" borderId="6" xfId="0" applyNumberFormat="1" applyFont="1" applyFill="1" applyBorder="1" applyAlignment="1">
      <alignment horizontal="center" wrapText="1"/>
    </xf>
    <xf numFmtId="0" fontId="0" fillId="0" borderId="7" xfId="0" applyFill="1" applyBorder="1" applyAlignment="1">
      <alignment horizontal="center" wrapText="1"/>
    </xf>
    <xf numFmtId="3" fontId="19" fillId="0" borderId="17" xfId="0" applyNumberFormat="1" applyFont="1" applyFill="1" applyBorder="1" applyAlignment="1">
      <alignment horizontal="center"/>
    </xf>
    <xf numFmtId="3" fontId="19" fillId="0" borderId="18" xfId="0" applyNumberFormat="1" applyFont="1" applyFill="1" applyBorder="1" applyAlignment="1">
      <alignment horizontal="center"/>
    </xf>
    <xf numFmtId="3" fontId="19" fillId="0" borderId="19" xfId="0" applyNumberFormat="1" applyFont="1" applyFill="1" applyBorder="1" applyAlignment="1">
      <alignment horizontal="center"/>
    </xf>
    <xf numFmtId="0" fontId="19" fillId="0" borderId="17" xfId="0" applyFont="1" applyFill="1" applyBorder="1" applyAlignment="1">
      <alignment horizontal="center"/>
    </xf>
    <xf numFmtId="0" fontId="19" fillId="0" borderId="18" xfId="0" applyFont="1" applyFill="1" applyBorder="1" applyAlignment="1">
      <alignment horizontal="center"/>
    </xf>
    <xf numFmtId="0" fontId="19" fillId="0" borderId="19" xfId="0" applyFont="1" applyFill="1" applyBorder="1" applyAlignment="1">
      <alignment horizontal="center"/>
    </xf>
    <xf numFmtId="0" fontId="0" fillId="0" borderId="17" xfId="0" applyFill="1" applyBorder="1" applyAlignment="1">
      <alignment horizontal="center"/>
    </xf>
    <xf numFmtId="0" fontId="0" fillId="0" borderId="40" xfId="0" applyFill="1" applyBorder="1" applyAlignment="1">
      <alignment horizontal="center"/>
    </xf>
    <xf numFmtId="3" fontId="20" fillId="0" borderId="20" xfId="0" applyNumberFormat="1" applyFont="1" applyFill="1" applyBorder="1" applyAlignment="1">
      <alignment horizontal="center" wrapText="1"/>
    </xf>
    <xf numFmtId="3" fontId="20" fillId="0" borderId="14" xfId="0" applyNumberFormat="1" applyFont="1" applyFill="1" applyBorder="1" applyAlignment="1">
      <alignment horizontal="center" wrapText="1"/>
    </xf>
    <xf numFmtId="0" fontId="0" fillId="0" borderId="30" xfId="0" applyFill="1" applyBorder="1" applyAlignment="1">
      <alignment horizontal="center" wrapText="1"/>
    </xf>
    <xf numFmtId="3" fontId="19" fillId="0" borderId="23" xfId="0" applyNumberFormat="1" applyFont="1" applyFill="1" applyBorder="1" applyAlignment="1">
      <alignment horizontal="center"/>
    </xf>
    <xf numFmtId="0" fontId="0" fillId="0" borderId="23" xfId="0" applyFill="1" applyBorder="1" applyAlignment="1">
      <alignment horizontal="center"/>
    </xf>
    <xf numFmtId="0" fontId="0" fillId="0" borderId="24" xfId="0" applyFill="1" applyBorder="1" applyAlignment="1">
      <alignment horizontal="center"/>
    </xf>
    <xf numFmtId="3" fontId="19" fillId="0" borderId="25" xfId="0" applyNumberFormat="1" applyFont="1" applyFill="1" applyBorder="1" applyAlignment="1">
      <alignment horizontal="center"/>
    </xf>
    <xf numFmtId="0" fontId="19" fillId="0" borderId="23" xfId="0" applyFont="1" applyFill="1" applyBorder="1" applyAlignment="1">
      <alignment horizontal="center"/>
    </xf>
    <xf numFmtId="0" fontId="0" fillId="0" borderId="26" xfId="0" applyFill="1" applyBorder="1" applyAlignment="1">
      <alignment horizontal="center"/>
    </xf>
    <xf numFmtId="0" fontId="4" fillId="0" borderId="57" xfId="0" applyFont="1" applyFill="1" applyBorder="1" applyAlignment="1">
      <alignment horizontal="center"/>
    </xf>
    <xf numFmtId="0" fontId="4" fillId="0" borderId="58" xfId="0" applyFont="1" applyFill="1" applyBorder="1" applyAlignment="1">
      <alignment horizontal="center"/>
    </xf>
    <xf numFmtId="0" fontId="4" fillId="0" borderId="29" xfId="0" applyFont="1" applyFill="1" applyBorder="1" applyAlignment="1">
      <alignment horizontal="center"/>
    </xf>
    <xf numFmtId="0" fontId="4" fillId="0" borderId="2" xfId="0" applyFont="1" applyFill="1" applyBorder="1" applyAlignment="1">
      <alignment horizontal="center"/>
    </xf>
    <xf numFmtId="0" fontId="4" fillId="0" borderId="7" xfId="0" applyFont="1" applyFill="1" applyBorder="1" applyAlignment="1">
      <alignment horizontal="center"/>
    </xf>
    <xf numFmtId="0" fontId="4" fillId="0" borderId="5" xfId="0" applyFont="1" applyFill="1" applyBorder="1" applyAlignment="1">
      <alignment horizontal="center"/>
    </xf>
    <xf numFmtId="4" fontId="6" fillId="0" borderId="42" xfId="0" applyNumberFormat="1" applyFont="1" applyFill="1" applyBorder="1" applyAlignment="1">
      <alignment horizontal="center"/>
    </xf>
    <xf numFmtId="4" fontId="6" fillId="0" borderId="0" xfId="0" applyNumberFormat="1" applyFont="1" applyFill="1" applyBorder="1" applyAlignment="1">
      <alignment horizontal="center"/>
    </xf>
    <xf numFmtId="0" fontId="42" fillId="0" borderId="0" xfId="0" applyFont="1" applyFill="1" applyBorder="1" applyAlignment="1">
      <alignment horizontal="center"/>
    </xf>
    <xf numFmtId="0" fontId="34" fillId="3" borderId="0" xfId="0" applyFont="1" applyFill="1" applyAlignment="1">
      <alignment horizontal="left" wrapText="1"/>
    </xf>
    <xf numFmtId="0" fontId="33" fillId="0" borderId="0" xfId="0" applyFont="1" applyFill="1" applyBorder="1" applyAlignment="1">
      <alignment horizontal="center"/>
    </xf>
    <xf numFmtId="4" fontId="34" fillId="0" borderId="2" xfId="0" applyNumberFormat="1" applyFont="1" applyFill="1" applyBorder="1" applyAlignment="1">
      <alignment horizontal="center"/>
    </xf>
    <xf numFmtId="0" fontId="16" fillId="3" borderId="1" xfId="0" applyFont="1" applyFill="1" applyBorder="1" applyAlignment="1">
      <alignment horizontal="center" vertical="center"/>
    </xf>
    <xf numFmtId="0" fontId="16" fillId="3" borderId="5" xfId="0" applyFont="1" applyFill="1" applyBorder="1" applyAlignment="1">
      <alignment horizontal="center" vertical="center"/>
    </xf>
    <xf numFmtId="0" fontId="16" fillId="4" borderId="2" xfId="0" applyFont="1" applyFill="1" applyBorder="1" applyAlignment="1">
      <alignment horizontal="right"/>
    </xf>
    <xf numFmtId="0" fontId="13" fillId="4" borderId="3" xfId="0" applyFont="1" applyFill="1" applyBorder="1" applyAlignment="1">
      <alignment horizontal="right"/>
    </xf>
    <xf numFmtId="0" fontId="16" fillId="3" borderId="2" xfId="0" applyFont="1" applyFill="1" applyBorder="1" applyAlignment="1">
      <alignment horizontal="center" vertical="center"/>
    </xf>
    <xf numFmtId="0" fontId="16" fillId="4" borderId="5" xfId="0" applyFont="1" applyFill="1" applyBorder="1" applyAlignment="1">
      <alignment horizontal="center" vertical="center"/>
    </xf>
    <xf numFmtId="0" fontId="16" fillId="3" borderId="1" xfId="0" applyFont="1" applyFill="1" applyBorder="1" applyAlignment="1">
      <alignment horizontal="right"/>
    </xf>
    <xf numFmtId="0" fontId="16" fillId="3" borderId="5" xfId="0" applyFont="1" applyFill="1" applyBorder="1" applyAlignment="1">
      <alignment horizontal="center"/>
    </xf>
    <xf numFmtId="0" fontId="14" fillId="0" borderId="5" xfId="0" applyFont="1" applyBorder="1" applyAlignment="1">
      <alignment horizontal="center" vertical="center"/>
    </xf>
  </cellXfs>
  <cellStyles count="11">
    <cellStyle name="Comma" xfId="4" builtinId="3"/>
    <cellStyle name="Hyperlink" xfId="2" builtinId="8"/>
    <cellStyle name="Normal" xfId="0" builtinId="0"/>
    <cellStyle name="Normal 13 2" xfId="9" xr:uid="{00000000-0005-0000-0000-000003000000}"/>
    <cellStyle name="Normal 2" xfId="6" xr:uid="{00000000-0005-0000-0000-000004000000}"/>
    <cellStyle name="Normal 45" xfId="7" xr:uid="{00000000-0005-0000-0000-000005000000}"/>
    <cellStyle name="Normal_dukes3_1_1" xfId="5" xr:uid="{00000000-0005-0000-0000-000006000000}"/>
    <cellStyle name="Normal_dukes3_1_3" xfId="3" xr:uid="{00000000-0005-0000-0000-000007000000}"/>
    <cellStyle name="Percent" xfId="1" builtinId="5"/>
    <cellStyle name="Percent 2" xfId="10" xr:uid="{00000000-0005-0000-0000-000009000000}"/>
    <cellStyle name="Percent 3" xfId="8" xr:uid="{00000000-0005-0000-0000-00000A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965249222934"/>
          <c:y val="4.5649118013274967E-2"/>
          <c:w val="0.7670969592703123"/>
          <c:h val="0.85134850761876213"/>
        </c:manualLayout>
      </c:layout>
      <c:lineChart>
        <c:grouping val="standard"/>
        <c:varyColors val="0"/>
        <c:ser>
          <c:idx val="1"/>
          <c:order val="0"/>
          <c:tx>
            <c:v>Fuel and Light (PHB &amp; ONS)</c:v>
          </c:tx>
          <c:spPr>
            <a:ln w="12700">
              <a:solidFill>
                <a:schemeClr val="tx1"/>
              </a:solidFill>
            </a:ln>
          </c:spPr>
          <c:marker>
            <c:symbol val="none"/>
          </c:marker>
          <c:cat>
            <c:numRef>
              <c:f>'2.1.1 PricesLR'!$A$10:$A$330</c:f>
              <c:numCache>
                <c:formatCode>General</c:formatCode>
                <c:ptCount val="3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'2.1.1 PricesLR'!$I$10:$I$330</c:f>
              <c:numCache>
                <c:formatCode>_(* #,##0.0_);_(* \(#,##0.0\);_(* "-"??_);_(@_)</c:formatCode>
                <c:ptCount val="321"/>
                <c:pt idx="0">
                  <c:v>104.62555245526109</c:v>
                </c:pt>
                <c:pt idx="1">
                  <c:v>126.17994047984408</c:v>
                </c:pt>
                <c:pt idx="2">
                  <c:v>138.21613736259346</c:v>
                </c:pt>
                <c:pt idx="3">
                  <c:v>151.30117607215558</c:v>
                </c:pt>
                <c:pt idx="4">
                  <c:v>141.19151959790403</c:v>
                </c:pt>
                <c:pt idx="5">
                  <c:v>151.23982117512716</c:v>
                </c:pt>
                <c:pt idx="6">
                  <c:v>133.79787630547017</c:v>
                </c:pt>
                <c:pt idx="7">
                  <c:v>148.43070666491377</c:v>
                </c:pt>
                <c:pt idx="8">
                  <c:v>137.74815511116145</c:v>
                </c:pt>
                <c:pt idx="9">
                  <c:v>120.30771022603413</c:v>
                </c:pt>
                <c:pt idx="10">
                  <c:v>104.26621471824775</c:v>
                </c:pt>
                <c:pt idx="11">
                  <c:v>96.335286168843652</c:v>
                </c:pt>
                <c:pt idx="12">
                  <c:v>130.66919751686166</c:v>
                </c:pt>
                <c:pt idx="13">
                  <c:v>140.07481371239342</c:v>
                </c:pt>
                <c:pt idx="14">
                  <c:v>128.47142147905751</c:v>
                </c:pt>
                <c:pt idx="15">
                  <c:v>126.5353890244544</c:v>
                </c:pt>
                <c:pt idx="16">
                  <c:v>125.72376221304414</c:v>
                </c:pt>
                <c:pt idx="17">
                  <c:v>138.21335439395634</c:v>
                </c:pt>
                <c:pt idx="18">
                  <c:v>143.2902538994463</c:v>
                </c:pt>
                <c:pt idx="19">
                  <c:v>137.42523047118189</c:v>
                </c:pt>
                <c:pt idx="20">
                  <c:v>129.49509814422927</c:v>
                </c:pt>
                <c:pt idx="21">
                  <c:v>131.29839611069085</c:v>
                </c:pt>
                <c:pt idx="22">
                  <c:v>141.38841015754721</c:v>
                </c:pt>
                <c:pt idx="23">
                  <c:v>144.5553317492207</c:v>
                </c:pt>
                <c:pt idx="24">
                  <c:v>126.64088251879916</c:v>
                </c:pt>
                <c:pt idx="25">
                  <c:v>123.87956037237512</c:v>
                </c:pt>
                <c:pt idx="26">
                  <c:v>122.45551316497507</c:v>
                </c:pt>
                <c:pt idx="27">
                  <c:v>128.69814181429692</c:v>
                </c:pt>
                <c:pt idx="28">
                  <c:v>121.19290688516669</c:v>
                </c:pt>
                <c:pt idx="29">
                  <c:v>121.22526382199362</c:v>
                </c:pt>
                <c:pt idx="30">
                  <c:v>139.17687481762562</c:v>
                </c:pt>
                <c:pt idx="31">
                  <c:v>153.10491388883523</c:v>
                </c:pt>
                <c:pt idx="32">
                  <c:v>144.12797715338129</c:v>
                </c:pt>
                <c:pt idx="33">
                  <c:v>144.58492016263452</c:v>
                </c:pt>
                <c:pt idx="34">
                  <c:v>149.01856859673555</c:v>
                </c:pt>
                <c:pt idx="35">
                  <c:v>136.70389114409915</c:v>
                </c:pt>
                <c:pt idx="36">
                  <c:v>124.51963071643014</c:v>
                </c:pt>
                <c:pt idx="37">
                  <c:v>117.75585253171081</c:v>
                </c:pt>
                <c:pt idx="38">
                  <c:v>124.11852283532532</c:v>
                </c:pt>
                <c:pt idx="39">
                  <c:v>134.58213488116382</c:v>
                </c:pt>
                <c:pt idx="40">
                  <c:v>127.93772669593417</c:v>
                </c:pt>
                <c:pt idx="41">
                  <c:v>120.74029037260398</c:v>
                </c:pt>
                <c:pt idx="42">
                  <c:v>142.67797703675836</c:v>
                </c:pt>
                <c:pt idx="43">
                  <c:v>146.79107896669763</c:v>
                </c:pt>
                <c:pt idx="44">
                  <c:v>168.4694133398884</c:v>
                </c:pt>
                <c:pt idx="45">
                  <c:v>157.58416542644264</c:v>
                </c:pt>
                <c:pt idx="46">
                  <c:v>139.25406285079742</c:v>
                </c:pt>
                <c:pt idx="47">
                  <c:v>141.55807543207226</c:v>
                </c:pt>
                <c:pt idx="48">
                  <c:v>131.03787629027906</c:v>
                </c:pt>
                <c:pt idx="49">
                  <c:v>136.09100493262673</c:v>
                </c:pt>
                <c:pt idx="50">
                  <c:v>137.44377394476859</c:v>
                </c:pt>
                <c:pt idx="51">
                  <c:v>135.32952011306111</c:v>
                </c:pt>
                <c:pt idx="52">
                  <c:v>124.11227920727572</c:v>
                </c:pt>
                <c:pt idx="53">
                  <c:v>128.89576607957744</c:v>
                </c:pt>
                <c:pt idx="54">
                  <c:v>130.7996616992348</c:v>
                </c:pt>
                <c:pt idx="55">
                  <c:v>150.13776833611445</c:v>
                </c:pt>
                <c:pt idx="56">
                  <c:v>154.41023186199808</c:v>
                </c:pt>
                <c:pt idx="57">
                  <c:v>123.93226038632278</c:v>
                </c:pt>
                <c:pt idx="58">
                  <c:v>127.16136741576314</c:v>
                </c:pt>
                <c:pt idx="59">
                  <c:v>136.91295130452119</c:v>
                </c:pt>
                <c:pt idx="60">
                  <c:v>140.26798161864778</c:v>
                </c:pt>
                <c:pt idx="61">
                  <c:v>151.65711441615451</c:v>
                </c:pt>
                <c:pt idx="62">
                  <c:v>147.98987087192324</c:v>
                </c:pt>
                <c:pt idx="63">
                  <c:v>134.72092844830277</c:v>
                </c:pt>
                <c:pt idx="64">
                  <c:v>126.49693152986049</c:v>
                </c:pt>
                <c:pt idx="65">
                  <c:v>121.55120077100607</c:v>
                </c:pt>
                <c:pt idx="66">
                  <c:v>117.9112442611008</c:v>
                </c:pt>
                <c:pt idx="67">
                  <c:v>112.31611917142578</c:v>
                </c:pt>
                <c:pt idx="68">
                  <c:v>114.65080345506588</c:v>
                </c:pt>
                <c:pt idx="69">
                  <c:v>123.97802345330877</c:v>
                </c:pt>
                <c:pt idx="70">
                  <c:v>124.72654269834511</c:v>
                </c:pt>
                <c:pt idx="71">
                  <c:v>118.68375168689903</c:v>
                </c:pt>
                <c:pt idx="72">
                  <c:v>110.99077036045117</c:v>
                </c:pt>
                <c:pt idx="73">
                  <c:v>109.09938821299988</c:v>
                </c:pt>
                <c:pt idx="74">
                  <c:v>106.20497128175516</c:v>
                </c:pt>
                <c:pt idx="75">
                  <c:v>113.05817942078865</c:v>
                </c:pt>
                <c:pt idx="76">
                  <c:v>122.5441794582276</c:v>
                </c:pt>
                <c:pt idx="77">
                  <c:v>123.0071927307398</c:v>
                </c:pt>
                <c:pt idx="78">
                  <c:v>119.02874783364587</c:v>
                </c:pt>
                <c:pt idx="79">
                  <c:v>129.1900939526553</c:v>
                </c:pt>
                <c:pt idx="80">
                  <c:v>136.90798961171464</c:v>
                </c:pt>
                <c:pt idx="81">
                  <c:v>135.56644362878424</c:v>
                </c:pt>
                <c:pt idx="82">
                  <c:v>137.16904541287684</c:v>
                </c:pt>
                <c:pt idx="83">
                  <c:v>110.14684347647315</c:v>
                </c:pt>
                <c:pt idx="84">
                  <c:v>106.72766238228249</c:v>
                </c:pt>
                <c:pt idx="85">
                  <c:v>112.34210839772469</c:v>
                </c:pt>
                <c:pt idx="86">
                  <c:v>109.2430157522702</c:v>
                </c:pt>
                <c:pt idx="87">
                  <c:v>112.2362041526462</c:v>
                </c:pt>
                <c:pt idx="88">
                  <c:v>107.58936207856388</c:v>
                </c:pt>
                <c:pt idx="89">
                  <c:v>109.73132196787262</c:v>
                </c:pt>
                <c:pt idx="90">
                  <c:v>110.26707729305078</c:v>
                </c:pt>
                <c:pt idx="91">
                  <c:v>110.95419578624745</c:v>
                </c:pt>
                <c:pt idx="92">
                  <c:v>111.52916690961213</c:v>
                </c:pt>
                <c:pt idx="93">
                  <c:v>114.54355636723807</c:v>
                </c:pt>
                <c:pt idx="94">
                  <c:v>110.66541371876139</c:v>
                </c:pt>
                <c:pt idx="95">
                  <c:v>109.92795499529056</c:v>
                </c:pt>
                <c:pt idx="96">
                  <c:v>103.85997724569</c:v>
                </c:pt>
                <c:pt idx="97">
                  <c:v>114.45586752025834</c:v>
                </c:pt>
                <c:pt idx="98">
                  <c:v>116.07762185429928</c:v>
                </c:pt>
                <c:pt idx="99">
                  <c:v>115.93606377886719</c:v>
                </c:pt>
                <c:pt idx="100">
                  <c:v>87.943428631412957</c:v>
                </c:pt>
                <c:pt idx="101">
                  <c:v>74.711296304851672</c:v>
                </c:pt>
                <c:pt idx="102">
                  <c:v>94.997650170373106</c:v>
                </c:pt>
                <c:pt idx="103">
                  <c:v>112.01307421208249</c:v>
                </c:pt>
                <c:pt idx="104">
                  <c:v>112.97394212557468</c:v>
                </c:pt>
                <c:pt idx="105">
                  <c:v>95.624760146901366</c:v>
                </c:pt>
                <c:pt idx="106">
                  <c:v>97.907562202278271</c:v>
                </c:pt>
                <c:pt idx="107">
                  <c:v>96.343612700933463</c:v>
                </c:pt>
                <c:pt idx="108">
                  <c:v>99.971458605139048</c:v>
                </c:pt>
                <c:pt idx="109">
                  <c:v>110.31317417234393</c:v>
                </c:pt>
                <c:pt idx="110">
                  <c:v>99.256792819125366</c:v>
                </c:pt>
                <c:pt idx="111">
                  <c:v>94.780026130600461</c:v>
                </c:pt>
                <c:pt idx="112">
                  <c:v>87.715736688809812</c:v>
                </c:pt>
                <c:pt idx="113">
                  <c:v>91.319332706003209</c:v>
                </c:pt>
                <c:pt idx="114">
                  <c:v>107.97622388566181</c:v>
                </c:pt>
                <c:pt idx="115">
                  <c:v>109.22532324994867</c:v>
                </c:pt>
                <c:pt idx="116">
                  <c:v>100.23786303876467</c:v>
                </c:pt>
                <c:pt idx="117">
                  <c:v>88.921847934256775</c:v>
                </c:pt>
                <c:pt idx="118">
                  <c:v>99.523283887888752</c:v>
                </c:pt>
                <c:pt idx="119">
                  <c:v>90.730377082093696</c:v>
                </c:pt>
                <c:pt idx="120">
                  <c:v>93.445488339765532</c:v>
                </c:pt>
                <c:pt idx="121">
                  <c:v>99.690192886633497</c:v>
                </c:pt>
                <c:pt idx="122">
                  <c:v>108.65497120511279</c:v>
                </c:pt>
                <c:pt idx="123">
                  <c:v>101.14279407431935</c:v>
                </c:pt>
                <c:pt idx="124">
                  <c:v>86.771184551269158</c:v>
                </c:pt>
                <c:pt idx="125">
                  <c:v>76.611230423837512</c:v>
                </c:pt>
                <c:pt idx="126">
                  <c:v>80.701584717750919</c:v>
                </c:pt>
                <c:pt idx="127">
                  <c:v>84.998472009397148</c:v>
                </c:pt>
                <c:pt idx="128">
                  <c:v>87.005058445662129</c:v>
                </c:pt>
                <c:pt idx="129">
                  <c:v>85.14962302886444</c:v>
                </c:pt>
                <c:pt idx="130">
                  <c:v>87.210150450743157</c:v>
                </c:pt>
                <c:pt idx="131">
                  <c:v>78.416882319348829</c:v>
                </c:pt>
                <c:pt idx="132">
                  <c:v>73.108013764275896</c:v>
                </c:pt>
                <c:pt idx="133">
                  <c:v>61.978671814905049</c:v>
                </c:pt>
                <c:pt idx="134">
                  <c:v>66.225096227062124</c:v>
                </c:pt>
                <c:pt idx="135">
                  <c:v>68.449663782175321</c:v>
                </c:pt>
                <c:pt idx="136">
                  <c:v>65.088924156337129</c:v>
                </c:pt>
                <c:pt idx="137">
                  <c:v>70.341648692545434</c:v>
                </c:pt>
                <c:pt idx="138">
                  <c:v>68.206697769272211</c:v>
                </c:pt>
                <c:pt idx="139">
                  <c:v>67.422441324080722</c:v>
                </c:pt>
                <c:pt idx="140">
                  <c:v>59.519116524669464</c:v>
                </c:pt>
                <c:pt idx="141">
                  <c:v>62.46346030883663</c:v>
                </c:pt>
                <c:pt idx="142">
                  <c:v>67.746939335463551</c:v>
                </c:pt>
                <c:pt idx="143">
                  <c:v>74.943318964183518</c:v>
                </c:pt>
                <c:pt idx="144">
                  <c:v>69.962430587013031</c:v>
                </c:pt>
                <c:pt idx="145">
                  <c:v>65.214322861979809</c:v>
                </c:pt>
                <c:pt idx="146">
                  <c:v>60.976961070342234</c:v>
                </c:pt>
                <c:pt idx="147">
                  <c:v>61.021553318473316</c:v>
                </c:pt>
                <c:pt idx="148">
                  <c:v>65.297601578852863</c:v>
                </c:pt>
                <c:pt idx="149">
                  <c:v>65.788534279934254</c:v>
                </c:pt>
                <c:pt idx="150">
                  <c:v>71.275732717552174</c:v>
                </c:pt>
                <c:pt idx="151">
                  <c:v>68.82521220871979</c:v>
                </c:pt>
                <c:pt idx="152">
                  <c:v>69.290506787873127</c:v>
                </c:pt>
                <c:pt idx="153">
                  <c:v>73.164696629573299</c:v>
                </c:pt>
                <c:pt idx="154">
                  <c:v>77.079211349890414</c:v>
                </c:pt>
                <c:pt idx="155">
                  <c:v>72.32528746306339</c:v>
                </c:pt>
                <c:pt idx="156">
                  <c:v>74.697419000227086</c:v>
                </c:pt>
                <c:pt idx="157">
                  <c:v>86.747052602536954</c:v>
                </c:pt>
                <c:pt idx="158">
                  <c:v>84.804944907670418</c:v>
                </c:pt>
                <c:pt idx="159">
                  <c:v>83.396129968138226</c:v>
                </c:pt>
                <c:pt idx="160">
                  <c:v>80.141262211735381</c:v>
                </c:pt>
                <c:pt idx="161">
                  <c:v>71.019534231286329</c:v>
                </c:pt>
                <c:pt idx="162">
                  <c:v>67.522982511214096</c:v>
                </c:pt>
                <c:pt idx="163">
                  <c:v>79.123539791942804</c:v>
                </c:pt>
                <c:pt idx="164">
                  <c:v>78.139585778252453</c:v>
                </c:pt>
                <c:pt idx="165">
                  <c:v>84.536012814084188</c:v>
                </c:pt>
                <c:pt idx="166">
                  <c:v>82.759045210935597</c:v>
                </c:pt>
                <c:pt idx="167">
                  <c:v>71.595573301217868</c:v>
                </c:pt>
                <c:pt idx="168">
                  <c:v>72.379926872742757</c:v>
                </c:pt>
                <c:pt idx="169">
                  <c:v>74.722636319069821</c:v>
                </c:pt>
                <c:pt idx="170">
                  <c:v>73.593773468946537</c:v>
                </c:pt>
                <c:pt idx="171">
                  <c:v>67.342608193956352</c:v>
                </c:pt>
                <c:pt idx="172">
                  <c:v>73.352970327085487</c:v>
                </c:pt>
                <c:pt idx="173">
                  <c:v>71.132883649892776</c:v>
                </c:pt>
                <c:pt idx="174">
                  <c:v>64.181217761744662</c:v>
                </c:pt>
                <c:pt idx="175">
                  <c:v>68.228831166267511</c:v>
                </c:pt>
                <c:pt idx="176">
                  <c:v>62.037981548699214</c:v>
                </c:pt>
                <c:pt idx="177">
                  <c:v>60.604737304981519</c:v>
                </c:pt>
                <c:pt idx="178">
                  <c:v>55.818747121193098</c:v>
                </c:pt>
                <c:pt idx="179">
                  <c:v>55.199226128069256</c:v>
                </c:pt>
                <c:pt idx="180">
                  <c:v>56.615030897590934</c:v>
                </c:pt>
                <c:pt idx="181">
                  <c:v>57.07229486719217</c:v>
                </c:pt>
                <c:pt idx="182">
                  <c:v>62.437541860575706</c:v>
                </c:pt>
                <c:pt idx="183">
                  <c:v>60.631407557397949</c:v>
                </c:pt>
                <c:pt idx="184">
                  <c:v>64.032361336619999</c:v>
                </c:pt>
                <c:pt idx="185">
                  <c:v>62.564254274295806</c:v>
                </c:pt>
                <c:pt idx="186">
                  <c:v>65.631858371754177</c:v>
                </c:pt>
                <c:pt idx="187">
                  <c:v>65.684132827291435</c:v>
                </c:pt>
                <c:pt idx="188">
                  <c:v>64.661344721363335</c:v>
                </c:pt>
                <c:pt idx="189">
                  <c:v>66.340564895210292</c:v>
                </c:pt>
                <c:pt idx="190">
                  <c:v>70.014295251505544</c:v>
                </c:pt>
                <c:pt idx="191">
                  <c:v>66.924913441847494</c:v>
                </c:pt>
                <c:pt idx="192">
                  <c:v>66.406655554798903</c:v>
                </c:pt>
                <c:pt idx="193">
                  <c:v>71.297567734139619</c:v>
                </c:pt>
                <c:pt idx="194">
                  <c:v>61.561329390752611</c:v>
                </c:pt>
                <c:pt idx="195">
                  <c:v>61.780155763775809</c:v>
                </c:pt>
                <c:pt idx="196">
                  <c:v>60.404490020906735</c:v>
                </c:pt>
                <c:pt idx="197">
                  <c:v>59.569637300513712</c:v>
                </c:pt>
                <c:pt idx="198">
                  <c:v>59.409992610968239</c:v>
                </c:pt>
                <c:pt idx="199">
                  <c:v>63.634974170230585</c:v>
                </c:pt>
                <c:pt idx="200">
                  <c:v>81.25433529800948</c:v>
                </c:pt>
                <c:pt idx="201">
                  <c:v>70.376472966024451</c:v>
                </c:pt>
                <c:pt idx="202">
                  <c:v>69.019778062068283</c:v>
                </c:pt>
                <c:pt idx="203">
                  <c:v>60.212375957887502</c:v>
                </c:pt>
                <c:pt idx="204">
                  <c:v>60.713899268360386</c:v>
                </c:pt>
                <c:pt idx="205">
                  <c:v>57.510651879278704</c:v>
                </c:pt>
                <c:pt idx="206">
                  <c:v>59.501206163109316</c:v>
                </c:pt>
                <c:pt idx="207">
                  <c:v>66.359020679848683</c:v>
                </c:pt>
                <c:pt idx="208">
                  <c:v>61.388702027642836</c:v>
                </c:pt>
                <c:pt idx="209">
                  <c:v>58.521553399889633</c:v>
                </c:pt>
                <c:pt idx="210">
                  <c:v>60.818134267322989</c:v>
                </c:pt>
                <c:pt idx="211">
                  <c:v>61.271053649515281</c:v>
                </c:pt>
                <c:pt idx="212">
                  <c:v>70.436691059135356</c:v>
                </c:pt>
                <c:pt idx="213">
                  <c:v>69.8739533708642</c:v>
                </c:pt>
                <c:pt idx="214">
                  <c:v>61.773130235278352</c:v>
                </c:pt>
                <c:pt idx="215">
                  <c:v>71.197800253532989</c:v>
                </c:pt>
                <c:pt idx="216">
                  <c:v>55.178725292518457</c:v>
                </c:pt>
                <c:pt idx="217">
                  <c:v>53.011734275851474</c:v>
                </c:pt>
                <c:pt idx="218">
                  <c:v>53.4970473487896</c:v>
                </c:pt>
                <c:pt idx="219">
                  <c:v>66.690559139892443</c:v>
                </c:pt>
                <c:pt idx="220">
                  <c:v>56.573840554847209</c:v>
                </c:pt>
                <c:pt idx="221">
                  <c:v>65.304997998302539</c:v>
                </c:pt>
                <c:pt idx="222">
                  <c:v>69.299451037656425</c:v>
                </c:pt>
                <c:pt idx="223">
                  <c:v>61.105519824343169</c:v>
                </c:pt>
                <c:pt idx="224">
                  <c:v>55.010118954629412</c:v>
                </c:pt>
                <c:pt idx="225">
                  <c:v>58.419393293885051</c:v>
                </c:pt>
                <c:pt idx="226">
                  <c:v>69.042998921580661</c:v>
                </c:pt>
                <c:pt idx="227">
                  <c:v>59.637205987442805</c:v>
                </c:pt>
                <c:pt idx="228">
                  <c:v>55.811058588531765</c:v>
                </c:pt>
                <c:pt idx="229">
                  <c:v>58.07722178812061</c:v>
                </c:pt>
                <c:pt idx="230">
                  <c:v>70.993983938809862</c:v>
                </c:pt>
                <c:pt idx="231">
                  <c:v>76.716571372117158</c:v>
                </c:pt>
                <c:pt idx="232">
                  <c:v>80.262498341320168</c:v>
                </c:pt>
                <c:pt idx="233">
                  <c:v>75.308896129862461</c:v>
                </c:pt>
                <c:pt idx="234">
                  <c:v>70.810523741929885</c:v>
                </c:pt>
                <c:pt idx="235">
                  <c:v>67.888739674577124</c:v>
                </c:pt>
                <c:pt idx="236">
                  <c:v>69.64657311257956</c:v>
                </c:pt>
                <c:pt idx="237">
                  <c:v>69.846863911073257</c:v>
                </c:pt>
                <c:pt idx="238">
                  <c:v>72.580403115490412</c:v>
                </c:pt>
                <c:pt idx="239">
                  <c:v>76.348159552141254</c:v>
                </c:pt>
                <c:pt idx="240">
                  <c:v>65.148012163969483</c:v>
                </c:pt>
                <c:pt idx="241">
                  <c:v>62.762597556422129</c:v>
                </c:pt>
                <c:pt idx="242">
                  <c:v>55.542869574601788</c:v>
                </c:pt>
                <c:pt idx="243">
                  <c:v>58.715253944948579</c:v>
                </c:pt>
                <c:pt idx="244">
                  <c:v>61.307422661675027</c:v>
                </c:pt>
                <c:pt idx="245">
                  <c:v>63.735872122452669</c:v>
                </c:pt>
                <c:pt idx="246">
                  <c:v>63.999819088364497</c:v>
                </c:pt>
                <c:pt idx="247">
                  <c:v>62.420966108780931</c:v>
                </c:pt>
                <c:pt idx="248">
                  <c:v>63.027930073703132</c:v>
                </c:pt>
                <c:pt idx="249">
                  <c:v>62.489648383274798</c:v>
                </c:pt>
                <c:pt idx="250">
                  <c:v>62.528287778428528</c:v>
                </c:pt>
                <c:pt idx="251">
                  <c:v>62.905553937166715</c:v>
                </c:pt>
                <c:pt idx="252">
                  <c:v>63.920389248017116</c:v>
                </c:pt>
                <c:pt idx="253">
                  <c:v>65.204159217123589</c:v>
                </c:pt>
                <c:pt idx="254">
                  <c:v>66.89823336030976</c:v>
                </c:pt>
                <c:pt idx="255">
                  <c:v>67.628631760231499</c:v>
                </c:pt>
                <c:pt idx="256">
                  <c:v>70.801780004934258</c:v>
                </c:pt>
                <c:pt idx="257">
                  <c:v>72.696340668809839</c:v>
                </c:pt>
                <c:pt idx="258">
                  <c:v>74.117985584184339</c:v>
                </c:pt>
                <c:pt idx="259">
                  <c:v>74.492228413802181</c:v>
                </c:pt>
                <c:pt idx="260">
                  <c:v>75.550510502877927</c:v>
                </c:pt>
                <c:pt idx="261">
                  <c:v>77.666989002153912</c:v>
                </c:pt>
                <c:pt idx="262">
                  <c:v>79.102473154571754</c:v>
                </c:pt>
                <c:pt idx="263">
                  <c:v>81.063221359811322</c:v>
                </c:pt>
                <c:pt idx="264">
                  <c:v>81.000122221475934</c:v>
                </c:pt>
                <c:pt idx="265">
                  <c:v>80.962610152888331</c:v>
                </c:pt>
                <c:pt idx="266">
                  <c:v>82.242859965794253</c:v>
                </c:pt>
                <c:pt idx="267">
                  <c:v>82.508410148256146</c:v>
                </c:pt>
                <c:pt idx="268">
                  <c:v>84.852312958994631</c:v>
                </c:pt>
                <c:pt idx="269">
                  <c:v>82.885098446366001</c:v>
                </c:pt>
                <c:pt idx="270">
                  <c:v>82.353120505283741</c:v>
                </c:pt>
                <c:pt idx="271">
                  <c:v>83.10321817656056</c:v>
                </c:pt>
                <c:pt idx="272">
                  <c:v>83.650328030134034</c:v>
                </c:pt>
                <c:pt idx="273">
                  <c:v>78.785535120122745</c:v>
                </c:pt>
                <c:pt idx="274">
                  <c:v>79.516979225806011</c:v>
                </c:pt>
                <c:pt idx="275">
                  <c:v>85.214884528177663</c:v>
                </c:pt>
                <c:pt idx="276">
                  <c:v>90.486508463741345</c:v>
                </c:pt>
                <c:pt idx="277">
                  <c:v>90.488523080132722</c:v>
                </c:pt>
                <c:pt idx="278">
                  <c:v>89.999494433796329</c:v>
                </c:pt>
                <c:pt idx="279">
                  <c:v>87.35591094540797</c:v>
                </c:pt>
                <c:pt idx="280">
                  <c:v>92.572161879041943</c:v>
                </c:pt>
                <c:pt idx="281">
                  <c:v>100.40890960786875</c:v>
                </c:pt>
                <c:pt idx="282">
                  <c:v>105.41488009225746</c:v>
                </c:pt>
                <c:pt idx="283">
                  <c:v>108.24982409747292</c:v>
                </c:pt>
                <c:pt idx="284">
                  <c:v>106.0919963762933</c:v>
                </c:pt>
                <c:pt idx="285">
                  <c:v>104.30629874422567</c:v>
                </c:pt>
                <c:pt idx="286">
                  <c:v>102.20562644696057</c:v>
                </c:pt>
                <c:pt idx="287">
                  <c:v>97.252208047105</c:v>
                </c:pt>
                <c:pt idx="288">
                  <c:v>95.042095416276879</c:v>
                </c:pt>
                <c:pt idx="289">
                  <c:v>93.1423611111111</c:v>
                </c:pt>
                <c:pt idx="290">
                  <c:v>91.911181601903252</c:v>
                </c:pt>
                <c:pt idx="291">
                  <c:v>93.707865168539314</c:v>
                </c:pt>
                <c:pt idx="292">
                  <c:v>92.274368231046935</c:v>
                </c:pt>
                <c:pt idx="293">
                  <c:v>89.694385216773284</c:v>
                </c:pt>
                <c:pt idx="294">
                  <c:v>91.394864677307424</c:v>
                </c:pt>
                <c:pt idx="295">
                  <c:v>90.207914151576134</c:v>
                </c:pt>
                <c:pt idx="296">
                  <c:v>88.277668631303214</c:v>
                </c:pt>
                <c:pt idx="297">
                  <c:v>82.92063492063491</c:v>
                </c:pt>
                <c:pt idx="298">
                  <c:v>76.734192756292202</c:v>
                </c:pt>
                <c:pt idx="299">
                  <c:v>75.211608222490938</c:v>
                </c:pt>
                <c:pt idx="300">
                  <c:v>72.753963593658241</c:v>
                </c:pt>
                <c:pt idx="301">
                  <c:v>72.071552221581072</c:v>
                </c:pt>
                <c:pt idx="302">
                  <c:v>73.098751418842227</c:v>
                </c:pt>
                <c:pt idx="303">
                  <c:v>72.476558190843903</c:v>
                </c:pt>
                <c:pt idx="304">
                  <c:v>75.361542581681846</c:v>
                </c:pt>
                <c:pt idx="305">
                  <c:v>83.229166666666686</c:v>
                </c:pt>
                <c:pt idx="306">
                  <c:v>100.5047955577991</c:v>
                </c:pt>
                <c:pt idx="307">
                  <c:v>103.19457889641821</c:v>
                </c:pt>
                <c:pt idx="308">
                  <c:v>118.0633147113594</c:v>
                </c:pt>
                <c:pt idx="309">
                  <c:v>126.06457650912495</c:v>
                </c:pt>
                <c:pt idx="310">
                  <c:v>117.21824686940967</c:v>
                </c:pt>
                <c:pt idx="311">
                  <c:v>123.25680272108841</c:v>
                </c:pt>
                <c:pt idx="312">
                  <c:v>128.5125669550886</c:v>
                </c:pt>
                <c:pt idx="313">
                  <c:v>133.42662934826069</c:v>
                </c:pt>
                <c:pt idx="314">
                  <c:v>135.5859375</c:v>
                </c:pt>
                <c:pt idx="315">
                  <c:v>128.70406189555126</c:v>
                </c:pt>
                <c:pt idx="316">
                  <c:v>122.80501710376284</c:v>
                </c:pt>
                <c:pt idx="317">
                  <c:v>123.63302752293576</c:v>
                </c:pt>
                <c:pt idx="318">
                  <c:v>128.05397727272728</c:v>
                </c:pt>
                <c:pt idx="319">
                  <c:v>129.22437673130193</c:v>
                </c:pt>
              </c:numCache>
            </c:numRef>
          </c:val>
          <c:smooth val="0"/>
          <c:extLst>
            <c:ext xmlns:c16="http://schemas.microsoft.com/office/drawing/2014/chart" uri="{C3380CC4-5D6E-409C-BE32-E72D297353CC}">
              <c16:uniqueId val="{00000000-E1C4-4C40-8C11-66B3A26A65BC}"/>
            </c:ext>
          </c:extLst>
        </c:ser>
        <c:dLbls>
          <c:showLegendKey val="0"/>
          <c:showVal val="0"/>
          <c:showCatName val="0"/>
          <c:showSerName val="0"/>
          <c:showPercent val="0"/>
          <c:showBubbleSize val="0"/>
        </c:dLbls>
        <c:marker val="1"/>
        <c:smooth val="0"/>
        <c:axId val="210023936"/>
        <c:axId val="210025472"/>
      </c:lineChart>
      <c:lineChart>
        <c:grouping val="standard"/>
        <c:varyColors val="0"/>
        <c:ser>
          <c:idx val="0"/>
          <c:order val="1"/>
          <c:tx>
            <c:v>Fuel &amp; Light (F &amp; ONS)</c:v>
          </c:tx>
          <c:spPr>
            <a:ln w="12700"/>
          </c:spPr>
          <c:marker>
            <c:symbol val="none"/>
          </c:marker>
          <c:cat>
            <c:numRef>
              <c:f>'2.1.1 PricesLR'!$A$10:$A$330</c:f>
              <c:numCache>
                <c:formatCode>General</c:formatCode>
                <c:ptCount val="3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'2.1.1 PricesLR'!$T$10:$T$330</c:f>
              <c:numCache>
                <c:formatCode>#,##0</c:formatCode>
                <c:ptCount val="321"/>
                <c:pt idx="0">
                  <c:v>1346.2946567567096</c:v>
                </c:pt>
                <c:pt idx="1">
                  <c:v>1265.0291975005005</c:v>
                </c:pt>
                <c:pt idx="2">
                  <c:v>1287.862155133982</c:v>
                </c:pt>
                <c:pt idx="3">
                  <c:v>1046.487025359932</c:v>
                </c:pt>
                <c:pt idx="4">
                  <c:v>939.75268918856773</c:v>
                </c:pt>
                <c:pt idx="5">
                  <c:v>999.2924984003223</c:v>
                </c:pt>
                <c:pt idx="6">
                  <c:v>1130.4748908065774</c:v>
                </c:pt>
                <c:pt idx="7">
                  <c:v>1095.532525323579</c:v>
                </c:pt>
                <c:pt idx="8">
                  <c:v>863.67093205693118</c:v>
                </c:pt>
                <c:pt idx="9">
                  <c:v>808.05481473240457</c:v>
                </c:pt>
                <c:pt idx="10">
                  <c:v>1051.7863264360769</c:v>
                </c:pt>
                <c:pt idx="11">
                  <c:v>1156.8723712672358</c:v>
                </c:pt>
                <c:pt idx="12">
                  <c:v>1157.3320102191792</c:v>
                </c:pt>
                <c:pt idx="13">
                  <c:v>1215.5407705015878</c:v>
                </c:pt>
                <c:pt idx="14">
                  <c:v>1301.7004112352874</c:v>
                </c:pt>
                <c:pt idx="15">
                  <c:v>1177.455810045969</c:v>
                </c:pt>
                <c:pt idx="16">
                  <c:v>1317.6264039945941</c:v>
                </c:pt>
                <c:pt idx="17">
                  <c:v>1171.92853315651</c:v>
                </c:pt>
                <c:pt idx="18">
                  <c:v>1294.0641111086425</c:v>
                </c:pt>
                <c:pt idx="19">
                  <c:v>1281.2327143076864</c:v>
                </c:pt>
                <c:pt idx="20">
                  <c:v>1398.2766392188987</c:v>
                </c:pt>
                <c:pt idx="21">
                  <c:v>1190.7385883322347</c:v>
                </c:pt>
                <c:pt idx="22">
                  <c:v>1020.1013875850269</c:v>
                </c:pt>
                <c:pt idx="23">
                  <c:v>1057.31991234723</c:v>
                </c:pt>
                <c:pt idx="24">
                  <c:v>1201.2212288981784</c:v>
                </c:pt>
                <c:pt idx="25">
                  <c:v>1129.0984244786225</c:v>
                </c:pt>
                <c:pt idx="26">
                  <c:v>1120.7132185873711</c:v>
                </c:pt>
                <c:pt idx="27">
                  <c:v>1093.2371907423874</c:v>
                </c:pt>
                <c:pt idx="28">
                  <c:v>1161.4855612109168</c:v>
                </c:pt>
                <c:pt idx="29">
                  <c:v>1249.8474267630484</c:v>
                </c:pt>
                <c:pt idx="30">
                  <c:v>1151.6260755593594</c:v>
                </c:pt>
                <c:pt idx="31">
                  <c:v>1327.5681364093341</c:v>
                </c:pt>
                <c:pt idx="32">
                  <c:v>1505.6814110816142</c:v>
                </c:pt>
                <c:pt idx="33">
                  <c:v>1213.9880947854667</c:v>
                </c:pt>
                <c:pt idx="34">
                  <c:v>979.62204069829841</c:v>
                </c:pt>
                <c:pt idx="35">
                  <c:v>953.5766184971485</c:v>
                </c:pt>
                <c:pt idx="36">
                  <c:v>999.09259421058732</c:v>
                </c:pt>
                <c:pt idx="37">
                  <c:v>1172.603913868511</c:v>
                </c:pt>
                <c:pt idx="38">
                  <c:v>1216.4415805918147</c:v>
                </c:pt>
                <c:pt idx="39">
                  <c:v>1047.1932329965239</c:v>
                </c:pt>
                <c:pt idx="40">
                  <c:v>1337.3641496904449</c:v>
                </c:pt>
                <c:pt idx="41">
                  <c:v>1424.4308984633894</c:v>
                </c:pt>
                <c:pt idx="42">
                  <c:v>1595.1435106108177</c:v>
                </c:pt>
                <c:pt idx="43">
                  <c:v>1309.3581308007947</c:v>
                </c:pt>
                <c:pt idx="44">
                  <c:v>1229.8460710329691</c:v>
                </c:pt>
                <c:pt idx="45">
                  <c:v>1121.5895346905356</c:v>
                </c:pt>
                <c:pt idx="46">
                  <c:v>1088.4110871049315</c:v>
                </c:pt>
                <c:pt idx="47">
                  <c:v>1105.4791388737963</c:v>
                </c:pt>
                <c:pt idx="48">
                  <c:v>1076.7206744917153</c:v>
                </c:pt>
                <c:pt idx="49">
                  <c:v>1169.8726795654702</c:v>
                </c:pt>
                <c:pt idx="50">
                  <c:v>1241.6901329910847</c:v>
                </c:pt>
                <c:pt idx="51">
                  <c:v>1025.3476474586903</c:v>
                </c:pt>
                <c:pt idx="52">
                  <c:v>1033.2034872686804</c:v>
                </c:pt>
                <c:pt idx="53">
                  <c:v>1240.2201824854278</c:v>
                </c:pt>
                <c:pt idx="54">
                  <c:v>1498.9107693234248</c:v>
                </c:pt>
                <c:pt idx="55">
                  <c:v>1175.6604815802198</c:v>
                </c:pt>
                <c:pt idx="56">
                  <c:v>896.73549570903083</c:v>
                </c:pt>
                <c:pt idx="57">
                  <c:v>1107.522999129953</c:v>
                </c:pt>
                <c:pt idx="58">
                  <c:v>1239.1577999269407</c:v>
                </c:pt>
                <c:pt idx="59">
                  <c:v>1182.3398532362598</c:v>
                </c:pt>
                <c:pt idx="60">
                  <c:v>1226.1146163501671</c:v>
                </c:pt>
                <c:pt idx="61">
                  <c:v>1267.8366074394885</c:v>
                </c:pt>
                <c:pt idx="62">
                  <c:v>1182.1940171651395</c:v>
                </c:pt>
                <c:pt idx="63">
                  <c:v>1247.0877868198163</c:v>
                </c:pt>
                <c:pt idx="64">
                  <c:v>1104.1360874700274</c:v>
                </c:pt>
                <c:pt idx="65">
                  <c:v>1059.1945075705139</c:v>
                </c:pt>
                <c:pt idx="66">
                  <c:v>1184.6615539490033</c:v>
                </c:pt>
                <c:pt idx="67">
                  <c:v>970.50448177668079</c:v>
                </c:pt>
                <c:pt idx="68">
                  <c:v>993.03706559660702</c:v>
                </c:pt>
                <c:pt idx="69">
                  <c:v>1061.620481277319</c:v>
                </c:pt>
                <c:pt idx="70">
                  <c:v>1096.4381127915221</c:v>
                </c:pt>
                <c:pt idx="71">
                  <c:v>1074.1871930778407</c:v>
                </c:pt>
                <c:pt idx="72">
                  <c:v>1144.1836746028207</c:v>
                </c:pt>
                <c:pt idx="73">
                  <c:v>1216.5939679698076</c:v>
                </c:pt>
                <c:pt idx="74">
                  <c:v>1074.0011085014437</c:v>
                </c:pt>
                <c:pt idx="75">
                  <c:v>1063.211806733869</c:v>
                </c:pt>
                <c:pt idx="76">
                  <c:v>1299.7204597655245</c:v>
                </c:pt>
                <c:pt idx="77">
                  <c:v>1194.8588340080178</c:v>
                </c:pt>
                <c:pt idx="78">
                  <c:v>1067.8064336308796</c:v>
                </c:pt>
                <c:pt idx="79">
                  <c:v>1080.256205440452</c:v>
                </c:pt>
                <c:pt idx="80">
                  <c:v>1158.7667430535889</c:v>
                </c:pt>
                <c:pt idx="81">
                  <c:v>1125.1004941059266</c:v>
                </c:pt>
                <c:pt idx="82">
                  <c:v>1091.3620552099508</c:v>
                </c:pt>
                <c:pt idx="83">
                  <c:v>1294.2124827056421</c:v>
                </c:pt>
                <c:pt idx="84">
                  <c:v>1416.3490021606058</c:v>
                </c:pt>
                <c:pt idx="85">
                  <c:v>1514.6882840788621</c:v>
                </c:pt>
                <c:pt idx="86">
                  <c:v>1540.1800017860949</c:v>
                </c:pt>
                <c:pt idx="87">
                  <c:v>1255.1655498109017</c:v>
                </c:pt>
                <c:pt idx="88">
                  <c:v>1282.2239507273334</c:v>
                </c:pt>
                <c:pt idx="89">
                  <c:v>1300.7401525157825</c:v>
                </c:pt>
                <c:pt idx="90">
                  <c:v>1165.4955156181602</c:v>
                </c:pt>
                <c:pt idx="91">
                  <c:v>1137.5400875535779</c:v>
                </c:pt>
                <c:pt idx="92">
                  <c:v>1322.2826941689377</c:v>
                </c:pt>
                <c:pt idx="93">
                  <c:v>1376.0952535014135</c:v>
                </c:pt>
                <c:pt idx="94">
                  <c:v>1452.9124990290713</c:v>
                </c:pt>
                <c:pt idx="95">
                  <c:v>1304.5349208881928</c:v>
                </c:pt>
                <c:pt idx="96">
                  <c:v>1314.209368587457</c:v>
                </c:pt>
                <c:pt idx="97">
                  <c:v>1198.9424793829007</c:v>
                </c:pt>
                <c:pt idx="98">
                  <c:v>1019.7673719916808</c:v>
                </c:pt>
                <c:pt idx="99">
                  <c:v>1097.1155884226844</c:v>
                </c:pt>
                <c:pt idx="100">
                  <c:v>1147.9165178755679</c:v>
                </c:pt>
                <c:pt idx="101">
                  <c:v>1137.4695163431707</c:v>
                </c:pt>
                <c:pt idx="102">
                  <c:v>1151.7564458375341</c:v>
                </c:pt>
                <c:pt idx="103">
                  <c:v>1251.0493415575497</c:v>
                </c:pt>
                <c:pt idx="104">
                  <c:v>1112.9611279848955</c:v>
                </c:pt>
                <c:pt idx="105">
                  <c:v>955.55829415066978</c:v>
                </c:pt>
                <c:pt idx="106">
                  <c:v>964.3277105004031</c:v>
                </c:pt>
                <c:pt idx="107">
                  <c:v>1215.8423723437852</c:v>
                </c:pt>
                <c:pt idx="108">
                  <c:v>1484.7197735568227</c:v>
                </c:pt>
                <c:pt idx="109">
                  <c:v>1143.1851721218322</c:v>
                </c:pt>
                <c:pt idx="110">
                  <c:v>1125.9268949239747</c:v>
                </c:pt>
                <c:pt idx="111">
                  <c:v>1331.1486927834428</c:v>
                </c:pt>
                <c:pt idx="112">
                  <c:v>1147.975723535636</c:v>
                </c:pt>
                <c:pt idx="113">
                  <c:v>1052.4726307204776</c:v>
                </c:pt>
                <c:pt idx="114">
                  <c:v>987.17036280804064</c:v>
                </c:pt>
                <c:pt idx="115">
                  <c:v>1046.9926977369551</c:v>
                </c:pt>
                <c:pt idx="116">
                  <c:v>995.92192400579756</c:v>
                </c:pt>
                <c:pt idx="117">
                  <c:v>1099.1529901427612</c:v>
                </c:pt>
                <c:pt idx="118">
                  <c:v>1201.0295880714364</c:v>
                </c:pt>
                <c:pt idx="119">
                  <c:v>1331.2031611624386</c:v>
                </c:pt>
                <c:pt idx="120">
                  <c:v>923.84430298317307</c:v>
                </c:pt>
                <c:pt idx="121">
                  <c:v>784.90896814798748</c:v>
                </c:pt>
                <c:pt idx="122">
                  <c:v>906.51495354495364</c:v>
                </c:pt>
                <c:pt idx="123">
                  <c:v>1055.401245712784</c:v>
                </c:pt>
                <c:pt idx="124">
                  <c:v>1267.7361743924653</c:v>
                </c:pt>
                <c:pt idx="125">
                  <c:v>1148.4644435075854</c:v>
                </c:pt>
                <c:pt idx="126">
                  <c:v>1182.875908463719</c:v>
                </c:pt>
                <c:pt idx="127">
                  <c:v>1340.2343042829843</c:v>
                </c:pt>
                <c:pt idx="128">
                  <c:v>1039.3560146120424</c:v>
                </c:pt>
                <c:pt idx="129">
                  <c:v>896.65075655581586</c:v>
                </c:pt>
                <c:pt idx="130">
                  <c:v>952.05074944470971</c:v>
                </c:pt>
                <c:pt idx="131">
                  <c:v>973.91617052099957</c:v>
                </c:pt>
                <c:pt idx="132">
                  <c:v>1083.4900702439843</c:v>
                </c:pt>
                <c:pt idx="133">
                  <c:v>1030.740092377051</c:v>
                </c:pt>
                <c:pt idx="134">
                  <c:v>1105.2344907192291</c:v>
                </c:pt>
                <c:pt idx="135">
                  <c:v>1160.4157592548918</c:v>
                </c:pt>
                <c:pt idx="136">
                  <c:v>1062.0282025143542</c:v>
                </c:pt>
                <c:pt idx="137">
                  <c:v>989.0157486400168</c:v>
                </c:pt>
                <c:pt idx="138">
                  <c:v>1044.2061320550661</c:v>
                </c:pt>
                <c:pt idx="139">
                  <c:v>930.68906977313986</c:v>
                </c:pt>
                <c:pt idx="140">
                  <c:v>883.42485794992626</c:v>
                </c:pt>
                <c:pt idx="141">
                  <c:v>953.60695268172935</c:v>
                </c:pt>
                <c:pt idx="142">
                  <c:v>875.3274617856141</c:v>
                </c:pt>
                <c:pt idx="143">
                  <c:v>927.83323720351882</c:v>
                </c:pt>
                <c:pt idx="144">
                  <c:v>841.3813109681073</c:v>
                </c:pt>
                <c:pt idx="145">
                  <c:v>1009.5874955648219</c:v>
                </c:pt>
                <c:pt idx="146">
                  <c:v>759.94443013046384</c:v>
                </c:pt>
                <c:pt idx="147">
                  <c:v>638.85515331400734</c:v>
                </c:pt>
                <c:pt idx="148">
                  <c:v>770.31560936069468</c:v>
                </c:pt>
                <c:pt idx="149">
                  <c:v>722.8106249815429</c:v>
                </c:pt>
                <c:pt idx="150">
                  <c:v>689.72914374170432</c:v>
                </c:pt>
                <c:pt idx="151">
                  <c:v>814.96908480653781</c:v>
                </c:pt>
                <c:pt idx="152">
                  <c:v>637.29367946045375</c:v>
                </c:pt>
                <c:pt idx="153">
                  <c:v>742.76517804289347</c:v>
                </c:pt>
                <c:pt idx="154">
                  <c:v>703.12512640846921</c:v>
                </c:pt>
                <c:pt idx="155">
                  <c:v>711.33126559937284</c:v>
                </c:pt>
                <c:pt idx="156">
                  <c:v>674.91091456486242</c:v>
                </c:pt>
                <c:pt idx="157">
                  <c:v>570.47284266964721</c:v>
                </c:pt>
                <c:pt idx="158">
                  <c:v>638.28376280371754</c:v>
                </c:pt>
                <c:pt idx="159">
                  <c:v>692.05411572556307</c:v>
                </c:pt>
                <c:pt idx="160">
                  <c:v>870.55627257698154</c:v>
                </c:pt>
                <c:pt idx="161">
                  <c:v>777.17969935605879</c:v>
                </c:pt>
                <c:pt idx="162">
                  <c:v>596.7823638662594</c:v>
                </c:pt>
                <c:pt idx="163">
                  <c:v>559.58008870620972</c:v>
                </c:pt>
                <c:pt idx="164">
                  <c:v>569.47666223070007</c:v>
                </c:pt>
                <c:pt idx="165">
                  <c:v>704.44481180761443</c:v>
                </c:pt>
                <c:pt idx="166">
                  <c:v>606.16444818970706</c:v>
                </c:pt>
                <c:pt idx="167">
                  <c:v>537.49697634782535</c:v>
                </c:pt>
                <c:pt idx="168">
                  <c:v>605.01835143512983</c:v>
                </c:pt>
                <c:pt idx="169">
                  <c:v>824.83032930951367</c:v>
                </c:pt>
                <c:pt idx="170">
                  <c:v>632.8620155234521</c:v>
                </c:pt>
                <c:pt idx="171">
                  <c:v>835.23024432784655</c:v>
                </c:pt>
                <c:pt idx="172">
                  <c:v>446.81652892257546</c:v>
                </c:pt>
                <c:pt idx="173">
                  <c:v>400.824633757622</c:v>
                </c:pt>
                <c:pt idx="174">
                  <c:v>370.93616708181338</c:v>
                </c:pt>
                <c:pt idx="175">
                  <c:v>468.6984973181485</c:v>
                </c:pt>
                <c:pt idx="176">
                  <c:v>662.56496033243957</c:v>
                </c:pt>
                <c:pt idx="177">
                  <c:v>657.07778900530616</c:v>
                </c:pt>
                <c:pt idx="178">
                  <c:v>596.62914088079185</c:v>
                </c:pt>
                <c:pt idx="179">
                  <c:v>573.55163707498025</c:v>
                </c:pt>
                <c:pt idx="180">
                  <c:v>588.44206465626746</c:v>
                </c:pt>
                <c:pt idx="181">
                  <c:v>609.29899231279012</c:v>
                </c:pt>
                <c:pt idx="182">
                  <c:v>715.1446494403591</c:v>
                </c:pt>
                <c:pt idx="183">
                  <c:v>539.06687135263473</c:v>
                </c:pt>
                <c:pt idx="184">
                  <c:v>568.32322787911346</c:v>
                </c:pt>
                <c:pt idx="185">
                  <c:v>536.03137391155451</c:v>
                </c:pt>
                <c:pt idx="186">
                  <c:v>574.97517256877666</c:v>
                </c:pt>
                <c:pt idx="187">
                  <c:v>582.00133008231194</c:v>
                </c:pt>
                <c:pt idx="188">
                  <c:v>702.00394208994385</c:v>
                </c:pt>
                <c:pt idx="189">
                  <c:v>609.53221454399966</c:v>
                </c:pt>
                <c:pt idx="190">
                  <c:v>469.60498213161208</c:v>
                </c:pt>
                <c:pt idx="191">
                  <c:v>465.61624593090301</c:v>
                </c:pt>
                <c:pt idx="192">
                  <c:v>605.89388198821564</c:v>
                </c:pt>
                <c:pt idx="193">
                  <c:v>867.85130699196804</c:v>
                </c:pt>
                <c:pt idx="194">
                  <c:v>834.06305130759245</c:v>
                </c:pt>
                <c:pt idx="195">
                  <c:v>720.3007405039981</c:v>
                </c:pt>
                <c:pt idx="196">
                  <c:v>711.75416463930731</c:v>
                </c:pt>
                <c:pt idx="197">
                  <c:v>711.49106531209918</c:v>
                </c:pt>
                <c:pt idx="198">
                  <c:v>710.18252650969976</c:v>
                </c:pt>
                <c:pt idx="199">
                  <c:v>660.19535262023692</c:v>
                </c:pt>
                <c:pt idx="200">
                  <c:v>724.53926675815501</c:v>
                </c:pt>
                <c:pt idx="201">
                  <c:v>907.34833830428101</c:v>
                </c:pt>
                <c:pt idx="202">
                  <c:v>1015.923539756624</c:v>
                </c:pt>
                <c:pt idx="203">
                  <c:v>992.39391942415386</c:v>
                </c:pt>
                <c:pt idx="204">
                  <c:v>988.15646741207593</c:v>
                </c:pt>
                <c:pt idx="205">
                  <c:v>957.85169966223316</c:v>
                </c:pt>
                <c:pt idx="206">
                  <c:v>902.45085695309535</c:v>
                </c:pt>
                <c:pt idx="207">
                  <c:v>810.35588401933001</c:v>
                </c:pt>
                <c:pt idx="208">
                  <c:v>795.74419493571781</c:v>
                </c:pt>
                <c:pt idx="209">
                  <c:v>770.43087468831254</c:v>
                </c:pt>
                <c:pt idx="210">
                  <c:v>781.21669576283716</c:v>
                </c:pt>
                <c:pt idx="211">
                  <c:v>809.554934734771</c:v>
                </c:pt>
                <c:pt idx="212">
                  <c:v>805.5815806872979</c:v>
                </c:pt>
                <c:pt idx="213">
                  <c:v>806.14318602286039</c:v>
                </c:pt>
                <c:pt idx="214">
                  <c:v>802.17925571989167</c:v>
                </c:pt>
                <c:pt idx="215">
                  <c:v>664.35800361243423</c:v>
                </c:pt>
                <c:pt idx="216">
                  <c:v>693.95485839729452</c:v>
                </c:pt>
                <c:pt idx="217">
                  <c:v>646.01151870355341</c:v>
                </c:pt>
                <c:pt idx="218">
                  <c:v>598.76394549031579</c:v>
                </c:pt>
                <c:pt idx="219">
                  <c:v>517.4706303933167</c:v>
                </c:pt>
                <c:pt idx="220">
                  <c:v>596.97432101621075</c:v>
                </c:pt>
                <c:pt idx="221">
                  <c:v>639.8368956068532</c:v>
                </c:pt>
                <c:pt idx="222">
                  <c:v>546.78712097196285</c:v>
                </c:pt>
                <c:pt idx="223">
                  <c:v>526.20305094922423</c:v>
                </c:pt>
                <c:pt idx="224">
                  <c:v>571.98722734671776</c:v>
                </c:pt>
                <c:pt idx="225">
                  <c:v>536.57459644613937</c:v>
                </c:pt>
                <c:pt idx="226">
                  <c:v>627.57203519828465</c:v>
                </c:pt>
                <c:pt idx="227">
                  <c:v>553.23254729990924</c:v>
                </c:pt>
                <c:pt idx="228" formatCode="#,##0.0">
                  <c:v>583.07992877535094</c:v>
                </c:pt>
                <c:pt idx="229" formatCode="#,##0.0">
                  <c:v>571.96424578030633</c:v>
                </c:pt>
                <c:pt idx="230" formatCode="#,##0.0">
                  <c:v>567.0853403912929</c:v>
                </c:pt>
                <c:pt idx="231" formatCode="#,##0.0">
                  <c:v>608.11774224093324</c:v>
                </c:pt>
                <c:pt idx="232" formatCode="#,##0.0">
                  <c:v>705.58722399885244</c:v>
                </c:pt>
                <c:pt idx="233" formatCode="#,##0.0">
                  <c:v>683.57991343576236</c:v>
                </c:pt>
                <c:pt idx="234" formatCode="#,##0.0">
                  <c:v>683.67770462148837</c:v>
                </c:pt>
                <c:pt idx="235" formatCode="#,##0.0">
                  <c:v>681.71670880662805</c:v>
                </c:pt>
                <c:pt idx="236" formatCode="#,##0.0">
                  <c:v>658.97222864736898</c:v>
                </c:pt>
                <c:pt idx="237" formatCode="#,##0.0">
                  <c:v>618.1474625258727</c:v>
                </c:pt>
                <c:pt idx="238" formatCode="#,##0.0">
                  <c:v>631.95048222741559</c:v>
                </c:pt>
                <c:pt idx="239" formatCode="#,##0.0">
                  <c:v>589.42163882817204</c:v>
                </c:pt>
                <c:pt idx="240" formatCode="#,##0.0">
                  <c:v>568.370053495555</c:v>
                </c:pt>
                <c:pt idx="241" formatCode="#,##0.0">
                  <c:v>510.43944564338625</c:v>
                </c:pt>
                <c:pt idx="242" formatCode="#,##0.0">
                  <c:v>493.00945825964004</c:v>
                </c:pt>
                <c:pt idx="243" formatCode="#,##0.0">
                  <c:v>466.85311967330131</c:v>
                </c:pt>
                <c:pt idx="244" formatCode="#,##0.0">
                  <c:v>473.91541332887061</c:v>
                </c:pt>
                <c:pt idx="245" formatCode="#,##0.0">
                  <c:v>462.66058553964797</c:v>
                </c:pt>
                <c:pt idx="246" formatCode="#,##0.0">
                  <c:v>467.15251274423292</c:v>
                </c:pt>
                <c:pt idx="247" formatCode="#,##0.0">
                  <c:v>452.15262291974784</c:v>
                </c:pt>
                <c:pt idx="248" formatCode="_(* #,##0.0_);_(* \(#,##0.0\);_(* &quot;-&quot;??_);_(@_)">
                  <c:v>456.54922819303175</c:v>
                </c:pt>
                <c:pt idx="249" formatCode="_(* #,##0.0_);_(* \(#,##0.0\);_(* &quot;-&quot;??_);_(@_)">
                  <c:v>452.65012996740194</c:v>
                </c:pt>
                <c:pt idx="250" formatCode="_(* #,##0.0_);_(* \(#,##0.0\);_(* &quot;-&quot;??_);_(@_)">
                  <c:v>452.93001835997097</c:v>
                </c:pt>
                <c:pt idx="251" formatCode="_(* #,##0.0_);_(* \(#,##0.0\);_(* &quot;-&quot;??_);_(@_)">
                  <c:v>455.66278418924469</c:v>
                </c:pt>
                <c:pt idx="252" formatCode="_(* #,##0.0_);_(* \(#,##0.0\);_(* &quot;-&quot;??_);_(@_)">
                  <c:v>463.01384708104501</c:v>
                </c:pt>
                <c:pt idx="253" formatCode="_(* #,##0.0_);_(* \(#,##0.0\);_(* &quot;-&quot;??_);_(@_)">
                  <c:v>472.31296554943799</c:v>
                </c:pt>
                <c:pt idx="254" formatCode="_(* #,##0.0_);_(* \(#,##0.0\);_(* &quot;-&quot;??_);_(@_)">
                  <c:v>484.58416407474243</c:v>
                </c:pt>
                <c:pt idx="255" formatCode="_(* #,##0.0_);_(* \(#,##0.0\);_(* &quot;-&quot;??_);_(@_)">
                  <c:v>489.87487924447356</c:v>
                </c:pt>
                <c:pt idx="256" formatCode="_(* #,##0.0_);_(* \(#,##0.0\);_(* &quot;-&quot;??_);_(@_)">
                  <c:v>512.85990160467247</c:v>
                </c:pt>
                <c:pt idx="257" formatCode="_(* #,##0.0_);_(* \(#,##0.0\);_(* &quot;-&quot;??_);_(@_)">
                  <c:v>526.58334465358439</c:v>
                </c:pt>
                <c:pt idx="258" formatCode="_(* #,##0.0_);_(* \(#,##0.0\);_(* &quot;-&quot;??_);_(@_)">
                  <c:v>536.88117433194759</c:v>
                </c:pt>
                <c:pt idx="259" formatCode="_(* #,##0.0_);_(* \(#,##0.0\);_(* &quot;-&quot;??_);_(@_)">
                  <c:v>539.59204036894107</c:v>
                </c:pt>
                <c:pt idx="260" formatCode="_(* #,##0.0_);_(* \(#,##0.0\);_(* &quot;-&quot;??_);_(@_)">
                  <c:v>547.25781442201639</c:v>
                </c:pt>
                <c:pt idx="261" formatCode="_(* #,##0.0_);_(* \(#,##0.0\);_(* &quot;-&quot;??_);_(@_)">
                  <c:v>562.58874190450967</c:v>
                </c:pt>
                <c:pt idx="262" formatCode="_(* #,##0.0_);_(* \(#,##0.0\);_(* &quot;-&quot;??_);_(@_)">
                  <c:v>572.98681750533183</c:v>
                </c:pt>
                <c:pt idx="263" formatCode="_(* #,##0.0_);_(* \(#,##0.0\);_(* &quot;-&quot;??_);_(@_)">
                  <c:v>587.18969674848961</c:v>
                </c:pt>
                <c:pt idx="264" formatCode="_(* #,##0.0_);_(* \(#,##0.0\);_(* &quot;-&quot;??_);_(@_)">
                  <c:v>586.73263171600354</c:v>
                </c:pt>
                <c:pt idx="265" formatCode="_(* #,##0.0_);_(* \(#,##0.0\);_(* &quot;-&quot;??_);_(@_)">
                  <c:v>586.46090922818621</c:v>
                </c:pt>
                <c:pt idx="266" formatCode="_(* #,##0.0_);_(* \(#,##0.0\);_(* &quot;-&quot;??_);_(@_)">
                  <c:v>595.7345290867629</c:v>
                </c:pt>
                <c:pt idx="267" formatCode="_(* #,##0.0_);_(* \(#,##0.0\);_(* &quot;-&quot;??_);_(@_)">
                  <c:v>597.65806886837595</c:v>
                </c:pt>
                <c:pt idx="268" formatCode="_(* #,##0.0_);_(* \(#,##0.0\);_(* &quot;-&quot;??_);_(@_)">
                  <c:v>614.63636750440571</c:v>
                </c:pt>
                <c:pt idx="269" formatCode="_(* #,##0.0_);_(* \(#,##0.0\);_(* &quot;-&quot;??_);_(@_)">
                  <c:v>600.3866489053579</c:v>
                </c:pt>
                <c:pt idx="270" formatCode="_(* #,##0.0_);_(* \(#,##0.0\);_(* &quot;-&quot;??_);_(@_)">
                  <c:v>596.53321252988417</c:v>
                </c:pt>
                <c:pt idx="271" formatCode="_(* #,##0.0_);_(* \(#,##0.0\);_(* &quot;-&quot;??_);_(@_)">
                  <c:v>601.9666213772058</c:v>
                </c:pt>
                <c:pt idx="272" formatCode="_(* #,##0.0_);_(* \(#,##0.0\);_(* &quot;-&quot;??_);_(@_)">
                  <c:v>605.92966730134901</c:v>
                </c:pt>
                <c:pt idx="273" formatCode="_(* #,##0.0_);_(* \(#,##0.0\);_(* &quot;-&quot;??_);_(@_)">
                  <c:v>570.69104458619086</c:v>
                </c:pt>
                <c:pt idx="274" formatCode="_(* #,##0.0_);_(* \(#,##0.0\);_(* &quot;-&quot;??_);_(@_)">
                  <c:v>575.98933443206613</c:v>
                </c:pt>
                <c:pt idx="275" formatCode="_(* #,##0.0_);_(* \(#,##0.0\);_(* &quot;-&quot;??_);_(@_)">
                  <c:v>617.26269157822003</c:v>
                </c:pt>
                <c:pt idx="276" formatCode="_(* #,##0.0_);_(* \(#,##0.0\);_(* &quot;-&quot;??_);_(@_)">
                  <c:v>655.44823624534013</c:v>
                </c:pt>
                <c:pt idx="277" formatCode="_(* #,##0.0_);_(* \(#,##0.0\);_(* &quot;-&quot;??_);_(@_)">
                  <c:v>655.46282932427368</c:v>
                </c:pt>
                <c:pt idx="278" formatCode="_(* #,##0.0_);_(* \(#,##0.0\);_(* &quot;-&quot;??_);_(@_)">
                  <c:v>651.92050053784385</c:v>
                </c:pt>
                <c:pt idx="279" formatCode="_(* #,##0.0_);_(* \(#,##0.0\);_(* &quot;-&quot;??_);_(@_)">
                  <c:v>632.77143440357293</c:v>
                </c:pt>
                <c:pt idx="280" formatCode="_(* #,##0.0_);_(* \(#,##0.0\);_(* &quot;-&quot;??_);_(@_)">
                  <c:v>670.55587909383871</c:v>
                </c:pt>
                <c:pt idx="281" formatCode="_(* #,##0.0_);_(* \(#,##0.0\);_(* &quot;-&quot;??_);_(@_)">
                  <c:v>727.32215910581942</c:v>
                </c:pt>
                <c:pt idx="282" formatCode="_(* #,##0.0_);_(* \(#,##0.0\);_(* &quot;-&quot;??_);_(@_)">
                  <c:v>763.5834159538897</c:v>
                </c:pt>
                <c:pt idx="283" formatCode="_(* #,##0.0_);_(* \(#,##0.0\);_(* &quot;-&quot;??_);_(@_)">
                  <c:v>784.11862147369777</c:v>
                </c:pt>
                <c:pt idx="284" formatCode="_(* #,##0.0_);_(* \(#,##0.0\);_(* &quot;-&quot;??_);_(@_)">
                  <c:v>768.48817669269226</c:v>
                </c:pt>
                <c:pt idx="285" formatCode="_(* #,##0.0_);_(* \(#,##0.0\);_(* &quot;-&quot;??_);_(@_)">
                  <c:v>755.5532940977339</c:v>
                </c:pt>
                <c:pt idx="286" formatCode="_(* #,##0.0_);_(* \(#,##0.0\);_(* &quot;-&quot;??_);_(@_)">
                  <c:v>740.33686044869341</c:v>
                </c:pt>
                <c:pt idx="287" formatCode="_(* #,##0.0_);_(* \(#,##0.0\);_(* &quot;-&quot;??_);_(@_)">
                  <c:v>704.45626997512545</c:v>
                </c:pt>
                <c:pt idx="288" formatCode="_(* #,##0.0_);_(* \(#,##0.0\);_(* &quot;-&quot;??_);_(@_)">
                  <c:v>688.44709412809505</c:v>
                </c:pt>
                <c:pt idx="289" formatCode="_(* #,##0.0_);_(* \(#,##0.0\);_(* &quot;-&quot;??_);_(@_)">
                  <c:v>674.68617528178299</c:v>
                </c:pt>
                <c:pt idx="290" formatCode="_(* #,##0.0_);_(* \(#,##0.0\);_(* &quot;-&quot;??_);_(@_)">
                  <c:v>665.7680011637591</c:v>
                </c:pt>
                <c:pt idx="291" formatCode="_(* #,##0.0_);_(* \(#,##0.0\);_(* &quot;-&quot;??_);_(@_)">
                  <c:v>678.78246149421238</c:v>
                </c:pt>
                <c:pt idx="292" formatCode="_(* #,##0.0_);_(* \(#,##0.0\);_(* &quot;-&quot;??_);_(@_)">
                  <c:v>668.39878048701587</c:v>
                </c:pt>
                <c:pt idx="293" formatCode="_(* #,##0.0_);_(* \(#,##0.0\);_(* &quot;-&quot;??_);_(@_)">
                  <c:v>649.71041086198818</c:v>
                </c:pt>
                <c:pt idx="294" formatCode="_(* #,##0.0_);_(* \(#,##0.0\);_(* &quot;-&quot;??_);_(@_)">
                  <c:v>662.02800695561075</c:v>
                </c:pt>
                <c:pt idx="295" formatCode="_(* #,##0.0_);_(* \(#,##0.0\);_(* &quot;-&quot;??_);_(@_)">
                  <c:v>653.43020998223324</c:v>
                </c:pt>
                <c:pt idx="296" formatCode="_(* #,##0.0_);_(* \(#,##0.0\);_(* &quot;-&quot;??_);_(@_)">
                  <c:v>639.44828004302781</c:v>
                </c:pt>
                <c:pt idx="297" formatCode="_(* #,##0.0_);_(* \(#,##0.0\);_(* &quot;-&quot;??_);_(@_)">
                  <c:v>600.64406097459778</c:v>
                </c:pt>
                <c:pt idx="298" formatCode="_(* #,##0.0_);_(* \(#,##0.0\);_(* &quot;-&quot;??_);_(@_)">
                  <c:v>555.83193733213159</c:v>
                </c:pt>
                <c:pt idx="299" formatCode="_(* #,##0.0_);_(* \(#,##0.0\);_(* &quot;-&quot;??_);_(@_)">
                  <c:v>544.80294125130297</c:v>
                </c:pt>
                <c:pt idx="300" formatCode="_(* #,##0.0_);_(* \(#,##0.0\);_(* &quot;-&quot;??_);_(@_)">
                  <c:v>527.00074217615906</c:v>
                </c:pt>
                <c:pt idx="301" formatCode="_(* #,##0.0_);_(* \(#,##0.0\);_(* &quot;-&quot;??_);_(@_)">
                  <c:v>522.05762592805036</c:v>
                </c:pt>
                <c:pt idx="302" formatCode="_(* #,##0.0_);_(* \(#,##0.0\);_(* &quot;-&quot;??_);_(@_)">
                  <c:v>529.49824788980106</c:v>
                </c:pt>
                <c:pt idx="303" formatCode="_(* #,##0.0_);_(* \(#,##0.0\);_(* &quot;-&quot;??_);_(@_)">
                  <c:v>524.99132789897487</c:v>
                </c:pt>
                <c:pt idx="304" formatCode="_(* #,##0.0_);_(* \(#,##0.0\);_(* &quot;-&quot;??_);_(@_)">
                  <c:v>545.88900604651644</c:v>
                </c:pt>
                <c:pt idx="305" formatCode="_(* #,##0.0_);_(* \(#,##0.0\);_(* &quot;-&quot;??_);_(@_)">
                  <c:v>602.87894208776675</c:v>
                </c:pt>
                <c:pt idx="306" formatCode="_(* #,##0.0_);_(* \(#,##0.0\);_(* &quot;-&quot;??_);_(@_)">
                  <c:v>728.01671874603073</c:v>
                </c:pt>
                <c:pt idx="307" formatCode="_(* #,##0.0_);_(* \(#,##0.0\);_(* &quot;-&quot;??_);_(@_)">
                  <c:v>747.50043819893074</c:v>
                </c:pt>
                <c:pt idx="308" formatCode="_(* #,##0.0_);_(* \(#,##0.0\);_(* &quot;-&quot;??_);_(@_)">
                  <c:v>855.20363982048843</c:v>
                </c:pt>
                <c:pt idx="309" formatCode="_(* #,##0.0_);_(* \(#,##0.0\);_(* &quot;-&quot;??_);_(@_)">
                  <c:v>913.16159423956219</c:v>
                </c:pt>
                <c:pt idx="310" formatCode="_(* #,##0.0_);_(* \(#,##0.0\);_(* &quot;-&quot;??_);_(@_)">
                  <c:v>849.08230487323988</c:v>
                </c:pt>
                <c:pt idx="311" formatCode="_(* #,##0.0_);_(* \(#,##0.0\);_(* &quot;-&quot;??_);_(@_)">
                  <c:v>892.82319895401645</c:v>
                </c:pt>
                <c:pt idx="312" formatCode="_(* #,##0.0_);_(* \(#,##0.0\);_(* &quot;-&quot;??_);_(@_)">
                  <c:v>930.89386225822773</c:v>
                </c:pt>
                <c:pt idx="313" formatCode="_(* #,##0.0_);_(* \(#,##0.0\);_(* &quot;-&quot;??_);_(@_)">
                  <c:v>966.48937349065477</c:v>
                </c:pt>
                <c:pt idx="314" formatCode="_(* #,##0.0_);_(* \(#,##0.0\);_(* &quot;-&quot;??_);_(@_)">
                  <c:v>982.13054192113782</c:v>
                </c:pt>
                <c:pt idx="315" formatCode="_(* #,##0.0_);_(* \(#,##0.0\);_(* &quot;-&quot;??_);_(@_)">
                  <c:v>932.28097535505435</c:v>
                </c:pt>
                <c:pt idx="316" formatCode="_(* #,##0.0_);_(* \(#,##0.0\);_(* &quot;-&quot;??_);_(@_)">
                  <c:v>889.55064383983915</c:v>
                </c:pt>
                <c:pt idx="317" formatCode="_(* #,##0.0_);_(* \(#,##0.0\);_(* &quot;-&quot;??_);_(@_)">
                  <c:v>895.5484216086337</c:v>
                </c:pt>
                <c:pt idx="318" formatCode="_(* #,##0.0_);_(* \(#,##0.0\);_(* &quot;-&quot;??_);_(@_)">
                  <c:v>927.5720212062605</c:v>
                </c:pt>
                <c:pt idx="319" formatCode="_(* #,##0.0_);_(* \(#,##0.0\);_(* &quot;-&quot;??_);_(@_)">
                  <c:v>936.04992883966929</c:v>
                </c:pt>
              </c:numCache>
            </c:numRef>
          </c:val>
          <c:smooth val="0"/>
          <c:extLst>
            <c:ext xmlns:c16="http://schemas.microsoft.com/office/drawing/2014/chart" uri="{C3380CC4-5D6E-409C-BE32-E72D297353CC}">
              <c16:uniqueId val="{00000001-E1C4-4C40-8C11-66B3A26A65BC}"/>
            </c:ext>
          </c:extLst>
        </c:ser>
        <c:dLbls>
          <c:showLegendKey val="0"/>
          <c:showVal val="0"/>
          <c:showCatName val="0"/>
          <c:showSerName val="0"/>
          <c:showPercent val="0"/>
          <c:showBubbleSize val="0"/>
        </c:dLbls>
        <c:marker val="1"/>
        <c:smooth val="0"/>
        <c:axId val="210033664"/>
        <c:axId val="210031744"/>
      </c:lineChart>
      <c:catAx>
        <c:axId val="210023936"/>
        <c:scaling>
          <c:orientation val="minMax"/>
        </c:scaling>
        <c:delete val="0"/>
        <c:axPos val="b"/>
        <c:numFmt formatCode="General"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0025472"/>
        <c:crosses val="autoZero"/>
        <c:auto val="1"/>
        <c:lblAlgn val="ctr"/>
        <c:lblOffset val="100"/>
        <c:tickLblSkip val="40"/>
        <c:tickMarkSkip val="40"/>
        <c:noMultiLvlLbl val="0"/>
      </c:catAx>
      <c:valAx>
        <c:axId val="210025472"/>
        <c:scaling>
          <c:orientation val="minMax"/>
        </c:scaling>
        <c:delete val="0"/>
        <c:axPos val="l"/>
        <c:majorGridlines>
          <c:spPr>
            <a:ln>
              <a:noFill/>
            </a:ln>
          </c:spPr>
        </c:majorGridlines>
        <c:title>
          <c:tx>
            <c:rich>
              <a:bodyPr rot="-5400000" vert="horz"/>
              <a:lstStyle/>
              <a:p>
                <a:pPr>
                  <a:defRPr/>
                </a:pPr>
                <a:r>
                  <a:rPr lang="en-GB" sz="1400">
                    <a:latin typeface="Times New Roman" panose="02020603050405020304" pitchFamily="18" charset="0"/>
                    <a:cs typeface="Times New Roman" panose="02020603050405020304" pitchFamily="18" charset="0"/>
                  </a:rPr>
                  <a:t>Index Jan</a:t>
                </a:r>
                <a:r>
                  <a:rPr lang="en-GB" sz="1400" baseline="0">
                    <a:latin typeface="Times New Roman" panose="02020603050405020304" pitchFamily="18" charset="0"/>
                    <a:cs typeface="Times New Roman" panose="02020603050405020304" pitchFamily="18" charset="0"/>
                  </a:rPr>
                  <a:t> 1987 = 100</a:t>
                </a:r>
                <a:endParaRPr lang="en-GB" sz="1400">
                  <a:latin typeface="Times New Roman" panose="02020603050405020304" pitchFamily="18" charset="0"/>
                  <a:cs typeface="Times New Roman" panose="02020603050405020304" pitchFamily="18" charset="0"/>
                </a:endParaRPr>
              </a:p>
            </c:rich>
          </c:tx>
          <c:layout>
            <c:manualLayout>
              <c:xMode val="edge"/>
              <c:yMode val="edge"/>
              <c:x val="0"/>
              <c:y val="0.21754097865501307"/>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0023936"/>
        <c:crosses val="autoZero"/>
        <c:crossBetween val="between"/>
      </c:valAx>
      <c:valAx>
        <c:axId val="210031744"/>
        <c:scaling>
          <c:orientation val="minMax"/>
        </c:scaling>
        <c:delete val="0"/>
        <c:axPos val="r"/>
        <c:title>
          <c:tx>
            <c:rich>
              <a:bodyPr rot="-5400000" vert="horz"/>
              <a:lstStyle/>
              <a:p>
                <a:pPr>
                  <a:defRPr sz="1400">
                    <a:latin typeface="Times New Roman" panose="02020603050405020304" pitchFamily="18" charset="0"/>
                    <a:cs typeface="Times New Roman" panose="02020603050405020304" pitchFamily="18" charset="0"/>
                  </a:defRPr>
                </a:pPr>
                <a:r>
                  <a:rPr lang="en-GB" sz="1400">
                    <a:solidFill>
                      <a:schemeClr val="accent1">
                        <a:lumMod val="75000"/>
                      </a:schemeClr>
                    </a:solidFill>
                    <a:latin typeface="Times New Roman" panose="02020603050405020304" pitchFamily="18" charset="0"/>
                    <a:cs typeface="Times New Roman" panose="02020603050405020304" pitchFamily="18" charset="0"/>
                  </a:rPr>
                  <a:t>£(2000) per tonne of oil equivalent</a:t>
                </a:r>
              </a:p>
            </c:rich>
          </c:tx>
          <c:layout>
            <c:manualLayout>
              <c:xMode val="edge"/>
              <c:yMode val="edge"/>
              <c:x val="0.9670772584327495"/>
              <c:y val="0.15547062991053662"/>
            </c:manualLayout>
          </c:layout>
          <c:overlay val="0"/>
        </c:title>
        <c:numFmt formatCode="#,##0"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0033664"/>
        <c:crosses val="max"/>
        <c:crossBetween val="between"/>
      </c:valAx>
      <c:catAx>
        <c:axId val="210033664"/>
        <c:scaling>
          <c:orientation val="minMax"/>
        </c:scaling>
        <c:delete val="1"/>
        <c:axPos val="b"/>
        <c:numFmt formatCode="General" sourceLinked="1"/>
        <c:majorTickMark val="out"/>
        <c:minorTickMark val="none"/>
        <c:tickLblPos val="nextTo"/>
        <c:crossAx val="210031744"/>
        <c:crosses val="autoZero"/>
        <c:auto val="1"/>
        <c:lblAlgn val="ctr"/>
        <c:lblOffset val="100"/>
        <c:noMultiLvlLbl val="0"/>
      </c:catAx>
    </c:plotArea>
    <c:legend>
      <c:legendPos val="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68295872431094"/>
          <c:y val="7.7381177284392699E-2"/>
          <c:w val="0.82742984556020838"/>
          <c:h val="0.82400296506036974"/>
        </c:manualLayout>
      </c:layout>
      <c:lineChart>
        <c:grouping val="standard"/>
        <c:varyColors val="0"/>
        <c:ser>
          <c:idx val="1"/>
          <c:order val="0"/>
          <c:tx>
            <c:v>Gas</c:v>
          </c:tx>
          <c:spPr>
            <a:ln w="12700">
              <a:solidFill>
                <a:srgbClr val="00FF00"/>
              </a:solidFill>
              <a:prstDash val="solid"/>
            </a:ln>
          </c:spPr>
          <c:marker>
            <c:symbol val="none"/>
          </c:marker>
          <c:cat>
            <c:numRef>
              <c:f>'2.1.1 PricesLR'!$A$130:$A$330</c:f>
              <c:numCache>
                <c:formatCode>General</c:formatCode>
                <c:ptCount val="201"/>
                <c:pt idx="0">
                  <c:v>1820</c:v>
                </c:pt>
                <c:pt idx="1">
                  <c:v>1821</c:v>
                </c:pt>
                <c:pt idx="2">
                  <c:v>1822</c:v>
                </c:pt>
                <c:pt idx="3">
                  <c:v>1823</c:v>
                </c:pt>
                <c:pt idx="4">
                  <c:v>1824</c:v>
                </c:pt>
                <c:pt idx="5">
                  <c:v>1825</c:v>
                </c:pt>
                <c:pt idx="6">
                  <c:v>1826</c:v>
                </c:pt>
                <c:pt idx="7">
                  <c:v>1827</c:v>
                </c:pt>
                <c:pt idx="8">
                  <c:v>1828</c:v>
                </c:pt>
                <c:pt idx="9">
                  <c:v>1829</c:v>
                </c:pt>
                <c:pt idx="10">
                  <c:v>1830</c:v>
                </c:pt>
                <c:pt idx="11">
                  <c:v>1831</c:v>
                </c:pt>
                <c:pt idx="12">
                  <c:v>1832</c:v>
                </c:pt>
                <c:pt idx="13">
                  <c:v>1833</c:v>
                </c:pt>
                <c:pt idx="14">
                  <c:v>1834</c:v>
                </c:pt>
                <c:pt idx="15">
                  <c:v>1835</c:v>
                </c:pt>
                <c:pt idx="16">
                  <c:v>1836</c:v>
                </c:pt>
                <c:pt idx="17">
                  <c:v>1837</c:v>
                </c:pt>
                <c:pt idx="18">
                  <c:v>1838</c:v>
                </c:pt>
                <c:pt idx="19">
                  <c:v>1839</c:v>
                </c:pt>
                <c:pt idx="20">
                  <c:v>1840</c:v>
                </c:pt>
                <c:pt idx="21">
                  <c:v>1841</c:v>
                </c:pt>
                <c:pt idx="22">
                  <c:v>1842</c:v>
                </c:pt>
                <c:pt idx="23">
                  <c:v>1843</c:v>
                </c:pt>
                <c:pt idx="24">
                  <c:v>1844</c:v>
                </c:pt>
                <c:pt idx="25">
                  <c:v>1845</c:v>
                </c:pt>
                <c:pt idx="26">
                  <c:v>1846</c:v>
                </c:pt>
                <c:pt idx="27">
                  <c:v>1847</c:v>
                </c:pt>
                <c:pt idx="28">
                  <c:v>1848</c:v>
                </c:pt>
                <c:pt idx="29">
                  <c:v>1849</c:v>
                </c:pt>
                <c:pt idx="30">
                  <c:v>1850</c:v>
                </c:pt>
                <c:pt idx="31">
                  <c:v>1851</c:v>
                </c:pt>
                <c:pt idx="32">
                  <c:v>1852</c:v>
                </c:pt>
                <c:pt idx="33">
                  <c:v>1853</c:v>
                </c:pt>
                <c:pt idx="34">
                  <c:v>1854</c:v>
                </c:pt>
                <c:pt idx="35">
                  <c:v>1855</c:v>
                </c:pt>
                <c:pt idx="36">
                  <c:v>1856</c:v>
                </c:pt>
                <c:pt idx="37">
                  <c:v>1857</c:v>
                </c:pt>
                <c:pt idx="38">
                  <c:v>1858</c:v>
                </c:pt>
                <c:pt idx="39">
                  <c:v>1859</c:v>
                </c:pt>
                <c:pt idx="40">
                  <c:v>1860</c:v>
                </c:pt>
                <c:pt idx="41">
                  <c:v>1861</c:v>
                </c:pt>
                <c:pt idx="42">
                  <c:v>1862</c:v>
                </c:pt>
                <c:pt idx="43">
                  <c:v>1863</c:v>
                </c:pt>
                <c:pt idx="44">
                  <c:v>1864</c:v>
                </c:pt>
                <c:pt idx="45">
                  <c:v>1865</c:v>
                </c:pt>
                <c:pt idx="46">
                  <c:v>1866</c:v>
                </c:pt>
                <c:pt idx="47">
                  <c:v>1867</c:v>
                </c:pt>
                <c:pt idx="48">
                  <c:v>1868</c:v>
                </c:pt>
                <c:pt idx="49">
                  <c:v>1869</c:v>
                </c:pt>
                <c:pt idx="50">
                  <c:v>1870</c:v>
                </c:pt>
                <c:pt idx="51">
                  <c:v>1871</c:v>
                </c:pt>
                <c:pt idx="52">
                  <c:v>1872</c:v>
                </c:pt>
                <c:pt idx="53">
                  <c:v>1873</c:v>
                </c:pt>
                <c:pt idx="54">
                  <c:v>1874</c:v>
                </c:pt>
                <c:pt idx="55">
                  <c:v>1875</c:v>
                </c:pt>
                <c:pt idx="56">
                  <c:v>1876</c:v>
                </c:pt>
                <c:pt idx="57">
                  <c:v>1877</c:v>
                </c:pt>
                <c:pt idx="58">
                  <c:v>1878</c:v>
                </c:pt>
                <c:pt idx="59">
                  <c:v>1879</c:v>
                </c:pt>
                <c:pt idx="60">
                  <c:v>1880</c:v>
                </c:pt>
                <c:pt idx="61">
                  <c:v>1881</c:v>
                </c:pt>
                <c:pt idx="62">
                  <c:v>1882</c:v>
                </c:pt>
                <c:pt idx="63">
                  <c:v>1883</c:v>
                </c:pt>
                <c:pt idx="64">
                  <c:v>1884</c:v>
                </c:pt>
                <c:pt idx="65">
                  <c:v>1885</c:v>
                </c:pt>
                <c:pt idx="66">
                  <c:v>1886</c:v>
                </c:pt>
                <c:pt idx="67">
                  <c:v>1887</c:v>
                </c:pt>
                <c:pt idx="68">
                  <c:v>1888</c:v>
                </c:pt>
                <c:pt idx="69">
                  <c:v>1889</c:v>
                </c:pt>
                <c:pt idx="70">
                  <c:v>1890</c:v>
                </c:pt>
                <c:pt idx="71">
                  <c:v>1891</c:v>
                </c:pt>
                <c:pt idx="72">
                  <c:v>1892</c:v>
                </c:pt>
                <c:pt idx="73">
                  <c:v>1893</c:v>
                </c:pt>
                <c:pt idx="74">
                  <c:v>1894</c:v>
                </c:pt>
                <c:pt idx="75">
                  <c:v>1895</c:v>
                </c:pt>
                <c:pt idx="76">
                  <c:v>1896</c:v>
                </c:pt>
                <c:pt idx="77">
                  <c:v>1897</c:v>
                </c:pt>
                <c:pt idx="78">
                  <c:v>1898</c:v>
                </c:pt>
                <c:pt idx="79">
                  <c:v>1899</c:v>
                </c:pt>
                <c:pt idx="80">
                  <c:v>1900</c:v>
                </c:pt>
                <c:pt idx="81">
                  <c:v>1901</c:v>
                </c:pt>
                <c:pt idx="82">
                  <c:v>1902</c:v>
                </c:pt>
                <c:pt idx="83">
                  <c:v>1903</c:v>
                </c:pt>
                <c:pt idx="84">
                  <c:v>1904</c:v>
                </c:pt>
                <c:pt idx="85">
                  <c:v>1905</c:v>
                </c:pt>
                <c:pt idx="86">
                  <c:v>1906</c:v>
                </c:pt>
                <c:pt idx="87">
                  <c:v>1907</c:v>
                </c:pt>
                <c:pt idx="88">
                  <c:v>1908</c:v>
                </c:pt>
                <c:pt idx="89">
                  <c:v>1909</c:v>
                </c:pt>
                <c:pt idx="90">
                  <c:v>1910</c:v>
                </c:pt>
                <c:pt idx="91">
                  <c:v>1911</c:v>
                </c:pt>
                <c:pt idx="92">
                  <c:v>1912</c:v>
                </c:pt>
                <c:pt idx="93">
                  <c:v>1913</c:v>
                </c:pt>
                <c:pt idx="94">
                  <c:v>1914</c:v>
                </c:pt>
                <c:pt idx="95">
                  <c:v>1915</c:v>
                </c:pt>
                <c:pt idx="96">
                  <c:v>1916</c:v>
                </c:pt>
                <c:pt idx="97">
                  <c:v>1917</c:v>
                </c:pt>
                <c:pt idx="98">
                  <c:v>1918</c:v>
                </c:pt>
                <c:pt idx="99">
                  <c:v>1919</c:v>
                </c:pt>
                <c:pt idx="100">
                  <c:v>1920</c:v>
                </c:pt>
                <c:pt idx="101">
                  <c:v>1921</c:v>
                </c:pt>
                <c:pt idx="102">
                  <c:v>1922</c:v>
                </c:pt>
                <c:pt idx="103">
                  <c:v>1923</c:v>
                </c:pt>
                <c:pt idx="104">
                  <c:v>1924</c:v>
                </c:pt>
                <c:pt idx="105">
                  <c:v>1925</c:v>
                </c:pt>
                <c:pt idx="106">
                  <c:v>1926</c:v>
                </c:pt>
                <c:pt idx="107">
                  <c:v>1927</c:v>
                </c:pt>
                <c:pt idx="108">
                  <c:v>1928</c:v>
                </c:pt>
                <c:pt idx="109">
                  <c:v>1929</c:v>
                </c:pt>
                <c:pt idx="110">
                  <c:v>1930</c:v>
                </c:pt>
                <c:pt idx="111">
                  <c:v>1931</c:v>
                </c:pt>
                <c:pt idx="112">
                  <c:v>1932</c:v>
                </c:pt>
                <c:pt idx="113">
                  <c:v>1933</c:v>
                </c:pt>
                <c:pt idx="114">
                  <c:v>1934</c:v>
                </c:pt>
                <c:pt idx="115">
                  <c:v>1935</c:v>
                </c:pt>
                <c:pt idx="116">
                  <c:v>1936</c:v>
                </c:pt>
                <c:pt idx="117">
                  <c:v>1937</c:v>
                </c:pt>
                <c:pt idx="118">
                  <c:v>1938</c:v>
                </c:pt>
                <c:pt idx="119">
                  <c:v>1939</c:v>
                </c:pt>
                <c:pt idx="120">
                  <c:v>1940</c:v>
                </c:pt>
                <c:pt idx="121">
                  <c:v>1941</c:v>
                </c:pt>
                <c:pt idx="122">
                  <c:v>1942</c:v>
                </c:pt>
                <c:pt idx="123">
                  <c:v>1943</c:v>
                </c:pt>
                <c:pt idx="124">
                  <c:v>1944</c:v>
                </c:pt>
                <c:pt idx="125">
                  <c:v>1945</c:v>
                </c:pt>
                <c:pt idx="126">
                  <c:v>1946</c:v>
                </c:pt>
                <c:pt idx="127">
                  <c:v>1947</c:v>
                </c:pt>
                <c:pt idx="128">
                  <c:v>1948</c:v>
                </c:pt>
                <c:pt idx="129">
                  <c:v>1949</c:v>
                </c:pt>
                <c:pt idx="130">
                  <c:v>1950</c:v>
                </c:pt>
                <c:pt idx="131">
                  <c:v>1951</c:v>
                </c:pt>
                <c:pt idx="132">
                  <c:v>1952</c:v>
                </c:pt>
                <c:pt idx="133">
                  <c:v>1953</c:v>
                </c:pt>
                <c:pt idx="134">
                  <c:v>1954</c:v>
                </c:pt>
                <c:pt idx="135">
                  <c:v>1955</c:v>
                </c:pt>
                <c:pt idx="136">
                  <c:v>1956</c:v>
                </c:pt>
                <c:pt idx="137">
                  <c:v>1957</c:v>
                </c:pt>
                <c:pt idx="138">
                  <c:v>1958</c:v>
                </c:pt>
                <c:pt idx="139">
                  <c:v>1959</c:v>
                </c:pt>
                <c:pt idx="140">
                  <c:v>1960</c:v>
                </c:pt>
                <c:pt idx="141">
                  <c:v>1961</c:v>
                </c:pt>
                <c:pt idx="142">
                  <c:v>1962</c:v>
                </c:pt>
                <c:pt idx="143">
                  <c:v>1963</c:v>
                </c:pt>
                <c:pt idx="144">
                  <c:v>1964</c:v>
                </c:pt>
                <c:pt idx="145">
                  <c:v>1965</c:v>
                </c:pt>
                <c:pt idx="146">
                  <c:v>1966</c:v>
                </c:pt>
                <c:pt idx="147">
                  <c:v>1967</c:v>
                </c:pt>
                <c:pt idx="148">
                  <c:v>1968</c:v>
                </c:pt>
                <c:pt idx="149">
                  <c:v>1969</c:v>
                </c:pt>
                <c:pt idx="150">
                  <c:v>1970</c:v>
                </c:pt>
                <c:pt idx="151">
                  <c:v>1971</c:v>
                </c:pt>
                <c:pt idx="152">
                  <c:v>1972</c:v>
                </c:pt>
                <c:pt idx="153">
                  <c:v>1973</c:v>
                </c:pt>
                <c:pt idx="154">
                  <c:v>1974</c:v>
                </c:pt>
                <c:pt idx="155">
                  <c:v>1975</c:v>
                </c:pt>
                <c:pt idx="156">
                  <c:v>1976</c:v>
                </c:pt>
                <c:pt idx="157">
                  <c:v>1977</c:v>
                </c:pt>
                <c:pt idx="158">
                  <c:v>1978</c:v>
                </c:pt>
                <c:pt idx="159">
                  <c:v>1979</c:v>
                </c:pt>
                <c:pt idx="160">
                  <c:v>1980</c:v>
                </c:pt>
                <c:pt idx="161">
                  <c:v>1981</c:v>
                </c:pt>
                <c:pt idx="162">
                  <c:v>1982</c:v>
                </c:pt>
                <c:pt idx="163">
                  <c:v>1983</c:v>
                </c:pt>
                <c:pt idx="164">
                  <c:v>1984</c:v>
                </c:pt>
                <c:pt idx="165">
                  <c:v>1985</c:v>
                </c:pt>
                <c:pt idx="166">
                  <c:v>1986</c:v>
                </c:pt>
                <c:pt idx="167">
                  <c:v>1987</c:v>
                </c:pt>
                <c:pt idx="168">
                  <c:v>1988</c:v>
                </c:pt>
                <c:pt idx="169">
                  <c:v>1989</c:v>
                </c:pt>
                <c:pt idx="170">
                  <c:v>1990</c:v>
                </c:pt>
                <c:pt idx="171">
                  <c:v>1991</c:v>
                </c:pt>
                <c:pt idx="172">
                  <c:v>1992</c:v>
                </c:pt>
                <c:pt idx="173">
                  <c:v>1993</c:v>
                </c:pt>
                <c:pt idx="174">
                  <c:v>1994</c:v>
                </c:pt>
                <c:pt idx="175">
                  <c:v>1995</c:v>
                </c:pt>
                <c:pt idx="176">
                  <c:v>1996</c:v>
                </c:pt>
                <c:pt idx="177">
                  <c:v>1997</c:v>
                </c:pt>
                <c:pt idx="178">
                  <c:v>1998</c:v>
                </c:pt>
                <c:pt idx="179">
                  <c:v>1999</c:v>
                </c:pt>
                <c:pt idx="180">
                  <c:v>2000</c:v>
                </c:pt>
                <c:pt idx="181">
                  <c:v>2001</c:v>
                </c:pt>
                <c:pt idx="182">
                  <c:v>2002</c:v>
                </c:pt>
                <c:pt idx="183">
                  <c:v>2003</c:v>
                </c:pt>
                <c:pt idx="184">
                  <c:v>2004</c:v>
                </c:pt>
                <c:pt idx="185">
                  <c:v>2005</c:v>
                </c:pt>
                <c:pt idx="186">
                  <c:v>2006</c:v>
                </c:pt>
                <c:pt idx="187">
                  <c:v>2007</c:v>
                </c:pt>
                <c:pt idx="188">
                  <c:v>2008</c:v>
                </c:pt>
                <c:pt idx="189">
                  <c:v>2009</c:v>
                </c:pt>
                <c:pt idx="190">
                  <c:v>2010</c:v>
                </c:pt>
                <c:pt idx="191">
                  <c:v>2011</c:v>
                </c:pt>
                <c:pt idx="192">
                  <c:v>2012</c:v>
                </c:pt>
                <c:pt idx="193">
                  <c:v>2013</c:v>
                </c:pt>
                <c:pt idx="194">
                  <c:v>2014</c:v>
                </c:pt>
                <c:pt idx="195">
                  <c:v>2015</c:v>
                </c:pt>
                <c:pt idx="196">
                  <c:v>2016</c:v>
                </c:pt>
                <c:pt idx="197">
                  <c:v>2017</c:v>
                </c:pt>
                <c:pt idx="198">
                  <c:v>2018</c:v>
                </c:pt>
                <c:pt idx="199">
                  <c:v>2019</c:v>
                </c:pt>
                <c:pt idx="200">
                  <c:v>2020</c:v>
                </c:pt>
              </c:numCache>
            </c:numRef>
          </c:cat>
          <c:val>
            <c:numRef>
              <c:f>'2.1.1 PricesLR'!$W$130:$W$330</c:f>
              <c:numCache>
                <c:formatCode>General</c:formatCode>
                <c:ptCount val="201"/>
                <c:pt idx="2" formatCode="#,##0">
                  <c:v>4425.7787399689932</c:v>
                </c:pt>
                <c:pt idx="3" formatCode="#,##0">
                  <c:v>4425.7787399689932</c:v>
                </c:pt>
                <c:pt idx="4" formatCode="#,##0">
                  <c:v>4227.2143897211326</c:v>
                </c:pt>
                <c:pt idx="5" formatCode="#,##0">
                  <c:v>4018.8587989481475</c:v>
                </c:pt>
                <c:pt idx="6" formatCode="#,##0">
                  <c:v>4308.8374317990811</c:v>
                </c:pt>
                <c:pt idx="7" formatCode="#,##0">
                  <c:v>4389.1263280437861</c:v>
                </c:pt>
                <c:pt idx="8" formatCode="#,##0">
                  <c:v>3966.6387002092174</c:v>
                </c:pt>
                <c:pt idx="9" formatCode="#,##0">
                  <c:v>3789.3807642515053</c:v>
                </c:pt>
                <c:pt idx="10" formatCode="#,##0">
                  <c:v>3905.7384131026274</c:v>
                </c:pt>
                <c:pt idx="11" formatCode="#,##0">
                  <c:v>3576.1606215336515</c:v>
                </c:pt>
                <c:pt idx="12" formatCode="#,##0">
                  <c:v>3734.9330804178089</c:v>
                </c:pt>
                <c:pt idx="13" formatCode="#,##0">
                  <c:v>3282.2510272830173</c:v>
                </c:pt>
                <c:pt idx="14" formatCode="#,##0">
                  <c:v>3158.2093354862554</c:v>
                </c:pt>
                <c:pt idx="15" formatCode="#,##0">
                  <c:v>3337.186960165523</c:v>
                </c:pt>
                <c:pt idx="16" formatCode="#,##0">
                  <c:v>2795.5358458617347</c:v>
                </c:pt>
                <c:pt idx="17" formatCode="#,##0">
                  <c:v>2638.9394395582758</c:v>
                </c:pt>
                <c:pt idx="18" formatCode="#,##0">
                  <c:v>2574.8356475042278</c:v>
                </c:pt>
                <c:pt idx="19" formatCode="#,##0">
                  <c:v>2399.9411506926208</c:v>
                </c:pt>
                <c:pt idx="20" formatCode="#,##0">
                  <c:v>2422.7977330801696</c:v>
                </c:pt>
                <c:pt idx="21" formatCode="#,##0">
                  <c:v>2489.1757531645571</c:v>
                </c:pt>
                <c:pt idx="22" formatCode="#,##0">
                  <c:v>2590.567840869835</c:v>
                </c:pt>
                <c:pt idx="23" formatCode="#,##0">
                  <c:v>2529.3936064968216</c:v>
                </c:pt>
                <c:pt idx="24" formatCode="#,##0">
                  <c:v>2136.736661643778</c:v>
                </c:pt>
                <c:pt idx="25" formatCode="#,##0">
                  <c:v>2164.79009702641</c:v>
                </c:pt>
                <c:pt idx="26" formatCode="#,##0">
                  <c:v>1908.0213584205769</c:v>
                </c:pt>
                <c:pt idx="27" formatCode="#,##0">
                  <c:v>1462.0331147897573</c:v>
                </c:pt>
                <c:pt idx="28" formatCode="#,##0">
                  <c:v>1743.0199518562367</c:v>
                </c:pt>
                <c:pt idx="29" formatCode="#,##0">
                  <c:v>1206.6584227364772</c:v>
                </c:pt>
                <c:pt idx="30" formatCode="#,##0">
                  <c:v>1281.9035624762801</c:v>
                </c:pt>
                <c:pt idx="31" formatCode="#,##0">
                  <c:v>1341.2087094947562</c:v>
                </c:pt>
                <c:pt idx="32" formatCode="#,##0">
                  <c:v>1319.2986488962417</c:v>
                </c:pt>
                <c:pt idx="33" formatCode="#,##0">
                  <c:v>1134.0410652999794</c:v>
                </c:pt>
                <c:pt idx="34" formatCode="#,##0">
                  <c:v>1043.9879428477186</c:v>
                </c:pt>
                <c:pt idx="35" formatCode="#,##0">
                  <c:v>1026.9200200763664</c:v>
                </c:pt>
                <c:pt idx="36" formatCode="#,##0">
                  <c:v>1028.7888463185434</c:v>
                </c:pt>
                <c:pt idx="37" formatCode="#,##0">
                  <c:v>1062.6305846842852</c:v>
                </c:pt>
                <c:pt idx="38" formatCode="#,##0">
                  <c:v>1186.3997293851828</c:v>
                </c:pt>
                <c:pt idx="39" formatCode="#,##0">
                  <c:v>1178.9769990657758</c:v>
                </c:pt>
                <c:pt idx="40" formatCode="#,##0">
                  <c:v>1090.2979190974725</c:v>
                </c:pt>
                <c:pt idx="41" formatCode="#,##0">
                  <c:v>1201.1036920369113</c:v>
                </c:pt>
                <c:pt idx="42" formatCode="#,##0">
                  <c:v>1204.5159184347431</c:v>
                </c:pt>
                <c:pt idx="43" formatCode="#,##0">
                  <c:v>1265.640606832924</c:v>
                </c:pt>
                <c:pt idx="44" formatCode="#,##0">
                  <c:v>1286.116086822132</c:v>
                </c:pt>
                <c:pt idx="45" formatCode="#,##0">
                  <c:v>1266.9012050469009</c:v>
                </c:pt>
                <c:pt idx="46" formatCode="#,##0">
                  <c:v>1055.6852867451717</c:v>
                </c:pt>
                <c:pt idx="47" formatCode="#,##0">
                  <c:v>966.9981255196069</c:v>
                </c:pt>
                <c:pt idx="48" formatCode="#,##0">
                  <c:v>991.12913553118904</c:v>
                </c:pt>
                <c:pt idx="49" formatCode="#,##0">
                  <c:v>1068.0104124679222</c:v>
                </c:pt>
                <c:pt idx="50" formatCode="#,##0">
                  <c:v>1049.3800132569245</c:v>
                </c:pt>
                <c:pt idx="51" formatCode="#,##0">
                  <c:v>1007.5366932092928</c:v>
                </c:pt>
                <c:pt idx="52" formatCode="#,##0">
                  <c:v>953.87469674802821</c:v>
                </c:pt>
                <c:pt idx="53" formatCode="#,##0">
                  <c:v>934.57076298237075</c:v>
                </c:pt>
                <c:pt idx="54" formatCode="#,##0">
                  <c:v>965.63884717409007</c:v>
                </c:pt>
                <c:pt idx="55" formatCode="#,##0">
                  <c:v>967.22299722091941</c:v>
                </c:pt>
                <c:pt idx="56" formatCode="#,##0">
                  <c:v>952.18397723971714</c:v>
                </c:pt>
                <c:pt idx="57" formatCode="#,##0">
                  <c:v>925.96721240330271</c:v>
                </c:pt>
                <c:pt idx="58" formatCode="#,##0">
                  <c:v>924.45475363057778</c:v>
                </c:pt>
                <c:pt idx="59" formatCode="#,##0">
                  <c:v>959.59969959919238</c:v>
                </c:pt>
                <c:pt idx="60" formatCode="#,##0">
                  <c:v>916.26375491154624</c:v>
                </c:pt>
                <c:pt idx="61" formatCode="#,##0">
                  <c:v>927.51141854177592</c:v>
                </c:pt>
                <c:pt idx="62" formatCode="#,##0">
                  <c:v>919.80951118932728</c:v>
                </c:pt>
                <c:pt idx="63" formatCode="#,##0">
                  <c:v>902.39986744441921</c:v>
                </c:pt>
                <c:pt idx="64" formatCode="#,##0">
                  <c:v>900.91217896056708</c:v>
                </c:pt>
                <c:pt idx="65" formatCode="#,##0">
                  <c:v>906.31831131876481</c:v>
                </c:pt>
                <c:pt idx="66" formatCode="#,##0">
                  <c:v>886.09318793270336</c:v>
                </c:pt>
                <c:pt idx="67" formatCode="#,##0">
                  <c:v>888.90001657442645</c:v>
                </c:pt>
                <c:pt idx="68" formatCode="#,##0">
                  <c:v>869.24251414184027</c:v>
                </c:pt>
                <c:pt idx="69" formatCode="#,##0">
                  <c:v>799.49713607353044</c:v>
                </c:pt>
                <c:pt idx="70" formatCode="#,##0">
                  <c:v>879.95135868944908</c:v>
                </c:pt>
                <c:pt idx="71" formatCode="#,##0">
                  <c:v>824.34630927842852</c:v>
                </c:pt>
                <c:pt idx="72" formatCode="#,##0">
                  <c:v>878.65317750028169</c:v>
                </c:pt>
                <c:pt idx="73" formatCode="#,##0">
                  <c:v>912.14429562693169</c:v>
                </c:pt>
                <c:pt idx="74" formatCode="#,##0">
                  <c:v>906.23979542627217</c:v>
                </c:pt>
                <c:pt idx="75" formatCode="#,##0">
                  <c:v>882.40329776276701</c:v>
                </c:pt>
                <c:pt idx="76" formatCode="#,##0">
                  <c:v>941.17694727891183</c:v>
                </c:pt>
                <c:pt idx="77" formatCode="#,##0">
                  <c:v>857.32756484946947</c:v>
                </c:pt>
                <c:pt idx="78" formatCode="#,##0">
                  <c:v>847.57164813830389</c:v>
                </c:pt>
                <c:pt idx="79" formatCode="#,##0">
                  <c:v>848.51496170550581</c:v>
                </c:pt>
                <c:pt idx="80" formatCode="#,##0">
                  <c:v>869.48497919519832</c:v>
                </c:pt>
                <c:pt idx="81" formatCode="#,##0">
                  <c:v>897.39603606343189</c:v>
                </c:pt>
                <c:pt idx="82" formatCode="#,##0">
                  <c:v>839.19671154885771</c:v>
                </c:pt>
                <c:pt idx="83" formatCode="#,##0">
                  <c:v>820.13169828520904</c:v>
                </c:pt>
                <c:pt idx="84" formatCode="#,##0">
                  <c:v>791.77648674475256</c:v>
                </c:pt>
                <c:pt idx="85" formatCode="#,##0">
                  <c:v>776.80398592297183</c:v>
                </c:pt>
                <c:pt idx="86" formatCode="#,##0">
                  <c:v>777.6529520278059</c:v>
                </c:pt>
                <c:pt idx="87" formatCode="#,##0">
                  <c:v>777.30315311608513</c:v>
                </c:pt>
                <c:pt idx="88" formatCode="#,##0">
                  <c:v>776.42945155769314</c:v>
                </c:pt>
                <c:pt idx="89" formatCode="#,##0">
                  <c:v>760.36987904271905</c:v>
                </c:pt>
                <c:pt idx="90" formatCode="#,##0">
                  <c:v>724.59755977079601</c:v>
                </c:pt>
                <c:pt idx="91" formatCode="#,##0">
                  <c:v>700.20710051619005</c:v>
                </c:pt>
                <c:pt idx="92" formatCode="#,##0">
                  <c:v>666.7934422008243</c:v>
                </c:pt>
                <c:pt idx="93" formatCode="#,##0">
                  <c:v>661.65873341836732</c:v>
                </c:pt>
                <c:pt idx="94" formatCode="#,##0">
                  <c:v>669.59637032312924</c:v>
                </c:pt>
                <c:pt idx="95" formatCode="#,##0">
                  <c:v>653.12319659090917</c:v>
                </c:pt>
                <c:pt idx="96" formatCode="#,##0">
                  <c:v>586.83560224358985</c:v>
                </c:pt>
                <c:pt idx="97" formatCode="#,##0">
                  <c:v>521.54657208588969</c:v>
                </c:pt>
                <c:pt idx="98" formatCode="#,##0">
                  <c:v>432.78070561139037</c:v>
                </c:pt>
                <c:pt idx="99" formatCode="#,##0">
                  <c:v>398.331641933029</c:v>
                </c:pt>
                <c:pt idx="100" formatCode="#,##0">
                  <c:v>349.19327569169957</c:v>
                </c:pt>
                <c:pt idx="101" formatCode="#,##0">
                  <c:v>387.26046717171715</c:v>
                </c:pt>
                <c:pt idx="102" formatCode="#,##0">
                  <c:v>455.11777428810717</c:v>
                </c:pt>
                <c:pt idx="103" formatCode="#,##0">
                  <c:v>490.2658088235292</c:v>
                </c:pt>
                <c:pt idx="104" formatCode="#,##0">
                  <c:v>498.87621191756261</c:v>
                </c:pt>
                <c:pt idx="105" formatCode="#,##0">
                  <c:v>504.85077732974889</c:v>
                </c:pt>
                <c:pt idx="106" formatCode="#,##0">
                  <c:v>513.58656081081062</c:v>
                </c:pt>
                <c:pt idx="107" formatCode="#,##0">
                  <c:v>534.02657175925901</c:v>
                </c:pt>
                <c:pt idx="108" formatCode="#,##0">
                  <c:v>540.20028935185189</c:v>
                </c:pt>
                <c:pt idx="109" formatCode="#,##0">
                  <c:v>536.28101919475648</c:v>
                </c:pt>
                <c:pt idx="110" formatCode="#,##0">
                  <c:v>551.78047061657014</c:v>
                </c:pt>
                <c:pt idx="111" formatCode="#,##0">
                  <c:v>581.7427143574298</c:v>
                </c:pt>
                <c:pt idx="112" formatCode="#,##0">
                  <c:v>596.10673199588496</c:v>
                </c:pt>
                <c:pt idx="113" formatCode="#,##0">
                  <c:v>616.82472099156109</c:v>
                </c:pt>
                <c:pt idx="114" formatCode="#,##0">
                  <c:v>616.82472099156109</c:v>
                </c:pt>
                <c:pt idx="115" formatCode="#,##0">
                  <c:v>612.94532023060799</c:v>
                </c:pt>
                <c:pt idx="116" formatCode="#,##0">
                  <c:v>627.4396679487179</c:v>
                </c:pt>
                <c:pt idx="117" formatCode="#,##0">
                  <c:v>622.42402305375333</c:v>
                </c:pt>
                <c:pt idx="118" formatCode="#,##0">
                  <c:v>632.46683798840013</c:v>
                </c:pt>
                <c:pt idx="119" formatCode="#,##0">
                  <c:v>631.13566322069039</c:v>
                </c:pt>
                <c:pt idx="120" formatCode="#,##0">
                  <c:v>555.0421321401368</c:v>
                </c:pt>
                <c:pt idx="121" formatCode="#,##0">
                  <c:v>513.61853414033862</c:v>
                </c:pt>
                <c:pt idx="122" formatCode="#,##0">
                  <c:v>491.59413584401682</c:v>
                </c:pt>
                <c:pt idx="123" formatCode="#,##0">
                  <c:v>487.55900628101699</c:v>
                </c:pt>
                <c:pt idx="124" formatCode="#,##0">
                  <c:v>485.6732333836095</c:v>
                </c:pt>
                <c:pt idx="125" formatCode="#,##0">
                  <c:v>483.88822697690324</c:v>
                </c:pt>
                <c:pt idx="126" formatCode="#,##0">
                  <c:v>480.41020897435857</c:v>
                </c:pt>
                <c:pt idx="127" formatCode="#,##0">
                  <c:v>458.97161722562288</c:v>
                </c:pt>
                <c:pt idx="128" formatCode="#,##0">
                  <c:v>435.93195605573413</c:v>
                </c:pt>
                <c:pt idx="129" formatCode="#,##0">
                  <c:v>435.82587630208332</c:v>
                </c:pt>
                <c:pt idx="130" formatCode="#,##0">
                  <c:v>437.09920555555556</c:v>
                </c:pt>
                <c:pt idx="131" formatCode="#,##0">
                  <c:v>421.97359745370375</c:v>
                </c:pt>
                <c:pt idx="132" formatCode="#,##0">
                  <c:v>431.21767917726891</c:v>
                </c:pt>
                <c:pt idx="133" formatCode="#,##0">
                  <c:v>443.95889176954734</c:v>
                </c:pt>
                <c:pt idx="134" formatCode="#,##0">
                  <c:v>442.08601472962062</c:v>
                </c:pt>
                <c:pt idx="135" formatCode="#,##0">
                  <c:v>443.4763263727765</c:v>
                </c:pt>
                <c:pt idx="136" formatCode="#,##0">
                  <c:v>463.64210264900663</c:v>
                </c:pt>
                <c:pt idx="137" formatCode="#,##0">
                  <c:v>470.33460465529492</c:v>
                </c:pt>
                <c:pt idx="138" formatCode="#,##0">
                  <c:v>481.47343853305796</c:v>
                </c:pt>
                <c:pt idx="139" formatCode="#,##0">
                  <c:v>480.17803497942384</c:v>
                </c:pt>
                <c:pt idx="140" formatCode="#,##0">
                  <c:v>462.23607834458568</c:v>
                </c:pt>
                <c:pt idx="141" formatCode="#,##0">
                  <c:v>434.15217309917944</c:v>
                </c:pt>
                <c:pt idx="142" formatCode="#,##0">
                  <c:v>404.03904415391469</c:v>
                </c:pt>
                <c:pt idx="143" formatCode="#,##0">
                  <c:v>404.25697244094493</c:v>
                </c:pt>
                <c:pt idx="144" formatCode="#,##0">
                  <c:v>406.11990779781564</c:v>
                </c:pt>
                <c:pt idx="145" formatCode="#,##0">
                  <c:v>391.59921987919313</c:v>
                </c:pt>
                <c:pt idx="146" formatCode="#,##0">
                  <c:v>387.03632946334744</c:v>
                </c:pt>
                <c:pt idx="147" formatCode="#,##0">
                  <c:v>380.43352783711026</c:v>
                </c:pt>
                <c:pt idx="148" formatCode="#,##0">
                  <c:v>389.02204709917396</c:v>
                </c:pt>
                <c:pt idx="149" formatCode="#,##0">
                  <c:v>384.33413973799122</c:v>
                </c:pt>
                <c:pt idx="150" formatCode="#,##0">
                  <c:v>346.60652530779754</c:v>
                </c:pt>
                <c:pt idx="151" formatCode="#,##0">
                  <c:v>272.84919306873007</c:v>
                </c:pt>
                <c:pt idx="152" formatCode="#,##0">
                  <c:v>238.66185257197969</c:v>
                </c:pt>
                <c:pt idx="153" formatCode="#,##0">
                  <c:v>210.63857110935766</c:v>
                </c:pt>
                <c:pt idx="154" formatCode="#,##0">
                  <c:v>189.48748953556051</c:v>
                </c:pt>
                <c:pt idx="155" formatCode="#,##0">
                  <c:v>183.22583245605691</c:v>
                </c:pt>
                <c:pt idx="156" formatCode="#,##0">
                  <c:v>200.26359904434108</c:v>
                </c:pt>
                <c:pt idx="157" formatCode="#,##0">
                  <c:v>207.04612454315648</c:v>
                </c:pt>
                <c:pt idx="158" formatCode="#,##0">
                  <c:v>213.4407473891234</c:v>
                </c:pt>
                <c:pt idx="159" formatCode="#,##0">
                  <c:v>202.07073721984136</c:v>
                </c:pt>
                <c:pt idx="160" formatCode="#,##0">
                  <c:v>210.73284834910731</c:v>
                </c:pt>
                <c:pt idx="161" formatCode="#,##0">
                  <c:v>231.57907385205809</c:v>
                </c:pt>
                <c:pt idx="162" formatCode="#,##0">
                  <c:v>252.35207188680229</c:v>
                </c:pt>
                <c:pt idx="163" formatCode="#,##0">
                  <c:v>267.40129856932907</c:v>
                </c:pt>
                <c:pt idx="164" formatCode="#,##0">
                  <c:v>264.89509179123905</c:v>
                </c:pt>
                <c:pt idx="165" formatCode="#,##0">
                  <c:v>264.08158439207534</c:v>
                </c:pt>
                <c:pt idx="166" formatCode="#,##0">
                  <c:v>253.0272068037273</c:v>
                </c:pt>
                <c:pt idx="167" formatCode="#,##0">
                  <c:v>238.59424744507442</c:v>
                </c:pt>
                <c:pt idx="168" formatCode="#,##0.0">
                  <c:v>229.05248266293628</c:v>
                </c:pt>
                <c:pt idx="169" formatCode="#,##0.0">
                  <c:v>221.55772472879119</c:v>
                </c:pt>
                <c:pt idx="170" formatCode="#,##0.0">
                  <c:v>216.31819026209206</c:v>
                </c:pt>
                <c:pt idx="171" formatCode="#,##0.0">
                  <c:v>218.57862317762317</c:v>
                </c:pt>
                <c:pt idx="172" formatCode="#,##0.0">
                  <c:v>210.15250501644604</c:v>
                </c:pt>
                <c:pt idx="173" formatCode="#,##0.0">
                  <c:v>198.96416633442792</c:v>
                </c:pt>
                <c:pt idx="174" formatCode="#,##0.0">
                  <c:v>205.92927034775951</c:v>
                </c:pt>
                <c:pt idx="175" formatCode="#,##0.0">
                  <c:v>205.81783545309207</c:v>
                </c:pt>
                <c:pt idx="176" formatCode="#,##0.0">
                  <c:v>201.12735657629997</c:v>
                </c:pt>
                <c:pt idx="177" formatCode="#,##0.0">
                  <c:v>193.11524032673859</c:v>
                </c:pt>
                <c:pt idx="178" formatCode="#,##0.0">
                  <c:v>180.3432219728206</c:v>
                </c:pt>
                <c:pt idx="179" formatCode="#,##0.0">
                  <c:v>176.57167035887343</c:v>
                </c:pt>
                <c:pt idx="180" formatCode="#,##0.0">
                  <c:v>167.28373380007901</c:v>
                </c:pt>
                <c:pt idx="181" formatCode="#,##0.0">
                  <c:v>168.80767711279637</c:v>
                </c:pt>
                <c:pt idx="182" formatCode="#,##0.0">
                  <c:v>176.54640567264792</c:v>
                </c:pt>
                <c:pt idx="183" formatCode="#,##0.0">
                  <c:v>174.71463095341934</c:v>
                </c:pt>
                <c:pt idx="184" formatCode="#,##0.0">
                  <c:v>182.10135194152309</c:v>
                </c:pt>
                <c:pt idx="185" formatCode="#,##0.0">
                  <c:v>203.19824628079064</c:v>
                </c:pt>
                <c:pt idx="186" formatCode="#,##0.0">
                  <c:v>259.67808736917237</c:v>
                </c:pt>
                <c:pt idx="187" formatCode="#,##0.0">
                  <c:v>268.24893753230231</c:v>
                </c:pt>
                <c:pt idx="188" formatCode="#,##0.0">
                  <c:v>308.96606763219978</c:v>
                </c:pt>
                <c:pt idx="189" formatCode="#,##0.0">
                  <c:v>353.22037439350225</c:v>
                </c:pt>
                <c:pt idx="190" formatCode="#,##0.0">
                  <c:v>317.58063934996142</c:v>
                </c:pt>
                <c:pt idx="191" formatCode="#,##0.0">
                  <c:v>334.06336905192614</c:v>
                </c:pt>
                <c:pt idx="192" formatCode="#,##0.0">
                  <c:v>358.15012980640211</c:v>
                </c:pt>
                <c:pt idx="193" formatCode="#,##0.0">
                  <c:v>374.91873464682595</c:v>
                </c:pt>
                <c:pt idx="194" formatCode="#,##0.0">
                  <c:v>383.5543844457863</c:v>
                </c:pt>
                <c:pt idx="195" formatCode="#,##0.0">
                  <c:v>362.54452367072054</c:v>
                </c:pt>
                <c:pt idx="196" formatCode="#,##0.0">
                  <c:v>334.88796843395079</c:v>
                </c:pt>
                <c:pt idx="197" formatCode="#,##0.0">
                  <c:v>319.16496392772012</c:v>
                </c:pt>
                <c:pt idx="198" formatCode="#,##0.0">
                  <c:v>320.25746974130027</c:v>
                </c:pt>
                <c:pt idx="199" formatCode="#,##0.0">
                  <c:v>310.47657109801156</c:v>
                </c:pt>
              </c:numCache>
            </c:numRef>
          </c:val>
          <c:smooth val="1"/>
          <c:extLst>
            <c:ext xmlns:c16="http://schemas.microsoft.com/office/drawing/2014/chart" uri="{C3380CC4-5D6E-409C-BE32-E72D297353CC}">
              <c16:uniqueId val="{00000000-1DB8-4AA8-82DD-BA521A4A7E69}"/>
            </c:ext>
          </c:extLst>
        </c:ser>
        <c:ser>
          <c:idx val="0"/>
          <c:order val="1"/>
          <c:tx>
            <c:v>Petroleum</c:v>
          </c:tx>
          <c:spPr>
            <a:ln w="12700">
              <a:solidFill>
                <a:srgbClr val="FF0000"/>
              </a:solidFill>
              <a:prstDash val="solid"/>
            </a:ln>
          </c:spPr>
          <c:marker>
            <c:symbol val="none"/>
          </c:marker>
          <c:cat>
            <c:numRef>
              <c:f>'2.1.1 PricesLR'!$A$130:$A$330</c:f>
              <c:numCache>
                <c:formatCode>General</c:formatCode>
                <c:ptCount val="201"/>
                <c:pt idx="0">
                  <c:v>1820</c:v>
                </c:pt>
                <c:pt idx="1">
                  <c:v>1821</c:v>
                </c:pt>
                <c:pt idx="2">
                  <c:v>1822</c:v>
                </c:pt>
                <c:pt idx="3">
                  <c:v>1823</c:v>
                </c:pt>
                <c:pt idx="4">
                  <c:v>1824</c:v>
                </c:pt>
                <c:pt idx="5">
                  <c:v>1825</c:v>
                </c:pt>
                <c:pt idx="6">
                  <c:v>1826</c:v>
                </c:pt>
                <c:pt idx="7">
                  <c:v>1827</c:v>
                </c:pt>
                <c:pt idx="8">
                  <c:v>1828</c:v>
                </c:pt>
                <c:pt idx="9">
                  <c:v>1829</c:v>
                </c:pt>
                <c:pt idx="10">
                  <c:v>1830</c:v>
                </c:pt>
                <c:pt idx="11">
                  <c:v>1831</c:v>
                </c:pt>
                <c:pt idx="12">
                  <c:v>1832</c:v>
                </c:pt>
                <c:pt idx="13">
                  <c:v>1833</c:v>
                </c:pt>
                <c:pt idx="14">
                  <c:v>1834</c:v>
                </c:pt>
                <c:pt idx="15">
                  <c:v>1835</c:v>
                </c:pt>
                <c:pt idx="16">
                  <c:v>1836</c:v>
                </c:pt>
                <c:pt idx="17">
                  <c:v>1837</c:v>
                </c:pt>
                <c:pt idx="18">
                  <c:v>1838</c:v>
                </c:pt>
                <c:pt idx="19">
                  <c:v>1839</c:v>
                </c:pt>
                <c:pt idx="20">
                  <c:v>1840</c:v>
                </c:pt>
                <c:pt idx="21">
                  <c:v>1841</c:v>
                </c:pt>
                <c:pt idx="22">
                  <c:v>1842</c:v>
                </c:pt>
                <c:pt idx="23">
                  <c:v>1843</c:v>
                </c:pt>
                <c:pt idx="24">
                  <c:v>1844</c:v>
                </c:pt>
                <c:pt idx="25">
                  <c:v>1845</c:v>
                </c:pt>
                <c:pt idx="26">
                  <c:v>1846</c:v>
                </c:pt>
                <c:pt idx="27">
                  <c:v>1847</c:v>
                </c:pt>
                <c:pt idx="28">
                  <c:v>1848</c:v>
                </c:pt>
                <c:pt idx="29">
                  <c:v>1849</c:v>
                </c:pt>
                <c:pt idx="30">
                  <c:v>1850</c:v>
                </c:pt>
                <c:pt idx="31">
                  <c:v>1851</c:v>
                </c:pt>
                <c:pt idx="32">
                  <c:v>1852</c:v>
                </c:pt>
                <c:pt idx="33">
                  <c:v>1853</c:v>
                </c:pt>
                <c:pt idx="34">
                  <c:v>1854</c:v>
                </c:pt>
                <c:pt idx="35">
                  <c:v>1855</c:v>
                </c:pt>
                <c:pt idx="36">
                  <c:v>1856</c:v>
                </c:pt>
                <c:pt idx="37">
                  <c:v>1857</c:v>
                </c:pt>
                <c:pt idx="38">
                  <c:v>1858</c:v>
                </c:pt>
                <c:pt idx="39">
                  <c:v>1859</c:v>
                </c:pt>
                <c:pt idx="40">
                  <c:v>1860</c:v>
                </c:pt>
                <c:pt idx="41">
                  <c:v>1861</c:v>
                </c:pt>
                <c:pt idx="42">
                  <c:v>1862</c:v>
                </c:pt>
                <c:pt idx="43">
                  <c:v>1863</c:v>
                </c:pt>
                <c:pt idx="44">
                  <c:v>1864</c:v>
                </c:pt>
                <c:pt idx="45">
                  <c:v>1865</c:v>
                </c:pt>
                <c:pt idx="46">
                  <c:v>1866</c:v>
                </c:pt>
                <c:pt idx="47">
                  <c:v>1867</c:v>
                </c:pt>
                <c:pt idx="48">
                  <c:v>1868</c:v>
                </c:pt>
                <c:pt idx="49">
                  <c:v>1869</c:v>
                </c:pt>
                <c:pt idx="50">
                  <c:v>1870</c:v>
                </c:pt>
                <c:pt idx="51">
                  <c:v>1871</c:v>
                </c:pt>
                <c:pt idx="52">
                  <c:v>1872</c:v>
                </c:pt>
                <c:pt idx="53">
                  <c:v>1873</c:v>
                </c:pt>
                <c:pt idx="54">
                  <c:v>1874</c:v>
                </c:pt>
                <c:pt idx="55">
                  <c:v>1875</c:v>
                </c:pt>
                <c:pt idx="56">
                  <c:v>1876</c:v>
                </c:pt>
                <c:pt idx="57">
                  <c:v>1877</c:v>
                </c:pt>
                <c:pt idx="58">
                  <c:v>1878</c:v>
                </c:pt>
                <c:pt idx="59">
                  <c:v>1879</c:v>
                </c:pt>
                <c:pt idx="60">
                  <c:v>1880</c:v>
                </c:pt>
                <c:pt idx="61">
                  <c:v>1881</c:v>
                </c:pt>
                <c:pt idx="62">
                  <c:v>1882</c:v>
                </c:pt>
                <c:pt idx="63">
                  <c:v>1883</c:v>
                </c:pt>
                <c:pt idx="64">
                  <c:v>1884</c:v>
                </c:pt>
                <c:pt idx="65">
                  <c:v>1885</c:v>
                </c:pt>
                <c:pt idx="66">
                  <c:v>1886</c:v>
                </c:pt>
                <c:pt idx="67">
                  <c:v>1887</c:v>
                </c:pt>
                <c:pt idx="68">
                  <c:v>1888</c:v>
                </c:pt>
                <c:pt idx="69">
                  <c:v>1889</c:v>
                </c:pt>
                <c:pt idx="70">
                  <c:v>1890</c:v>
                </c:pt>
                <c:pt idx="71">
                  <c:v>1891</c:v>
                </c:pt>
                <c:pt idx="72">
                  <c:v>1892</c:v>
                </c:pt>
                <c:pt idx="73">
                  <c:v>1893</c:v>
                </c:pt>
                <c:pt idx="74">
                  <c:v>1894</c:v>
                </c:pt>
                <c:pt idx="75">
                  <c:v>1895</c:v>
                </c:pt>
                <c:pt idx="76">
                  <c:v>1896</c:v>
                </c:pt>
                <c:pt idx="77">
                  <c:v>1897</c:v>
                </c:pt>
                <c:pt idx="78">
                  <c:v>1898</c:v>
                </c:pt>
                <c:pt idx="79">
                  <c:v>1899</c:v>
                </c:pt>
                <c:pt idx="80">
                  <c:v>1900</c:v>
                </c:pt>
                <c:pt idx="81">
                  <c:v>1901</c:v>
                </c:pt>
                <c:pt idx="82">
                  <c:v>1902</c:v>
                </c:pt>
                <c:pt idx="83">
                  <c:v>1903</c:v>
                </c:pt>
                <c:pt idx="84">
                  <c:v>1904</c:v>
                </c:pt>
                <c:pt idx="85">
                  <c:v>1905</c:v>
                </c:pt>
                <c:pt idx="86">
                  <c:v>1906</c:v>
                </c:pt>
                <c:pt idx="87">
                  <c:v>1907</c:v>
                </c:pt>
                <c:pt idx="88">
                  <c:v>1908</c:v>
                </c:pt>
                <c:pt idx="89">
                  <c:v>1909</c:v>
                </c:pt>
                <c:pt idx="90">
                  <c:v>1910</c:v>
                </c:pt>
                <c:pt idx="91">
                  <c:v>1911</c:v>
                </c:pt>
                <c:pt idx="92">
                  <c:v>1912</c:v>
                </c:pt>
                <c:pt idx="93">
                  <c:v>1913</c:v>
                </c:pt>
                <c:pt idx="94">
                  <c:v>1914</c:v>
                </c:pt>
                <c:pt idx="95">
                  <c:v>1915</c:v>
                </c:pt>
                <c:pt idx="96">
                  <c:v>1916</c:v>
                </c:pt>
                <c:pt idx="97">
                  <c:v>1917</c:v>
                </c:pt>
                <c:pt idx="98">
                  <c:v>1918</c:v>
                </c:pt>
                <c:pt idx="99">
                  <c:v>1919</c:v>
                </c:pt>
                <c:pt idx="100">
                  <c:v>1920</c:v>
                </c:pt>
                <c:pt idx="101">
                  <c:v>1921</c:v>
                </c:pt>
                <c:pt idx="102">
                  <c:v>1922</c:v>
                </c:pt>
                <c:pt idx="103">
                  <c:v>1923</c:v>
                </c:pt>
                <c:pt idx="104">
                  <c:v>1924</c:v>
                </c:pt>
                <c:pt idx="105">
                  <c:v>1925</c:v>
                </c:pt>
                <c:pt idx="106">
                  <c:v>1926</c:v>
                </c:pt>
                <c:pt idx="107">
                  <c:v>1927</c:v>
                </c:pt>
                <c:pt idx="108">
                  <c:v>1928</c:v>
                </c:pt>
                <c:pt idx="109">
                  <c:v>1929</c:v>
                </c:pt>
                <c:pt idx="110">
                  <c:v>1930</c:v>
                </c:pt>
                <c:pt idx="111">
                  <c:v>1931</c:v>
                </c:pt>
                <c:pt idx="112">
                  <c:v>1932</c:v>
                </c:pt>
                <c:pt idx="113">
                  <c:v>1933</c:v>
                </c:pt>
                <c:pt idx="114">
                  <c:v>1934</c:v>
                </c:pt>
                <c:pt idx="115">
                  <c:v>1935</c:v>
                </c:pt>
                <c:pt idx="116">
                  <c:v>1936</c:v>
                </c:pt>
                <c:pt idx="117">
                  <c:v>1937</c:v>
                </c:pt>
                <c:pt idx="118">
                  <c:v>1938</c:v>
                </c:pt>
                <c:pt idx="119">
                  <c:v>1939</c:v>
                </c:pt>
                <c:pt idx="120">
                  <c:v>1940</c:v>
                </c:pt>
                <c:pt idx="121">
                  <c:v>1941</c:v>
                </c:pt>
                <c:pt idx="122">
                  <c:v>1942</c:v>
                </c:pt>
                <c:pt idx="123">
                  <c:v>1943</c:v>
                </c:pt>
                <c:pt idx="124">
                  <c:v>1944</c:v>
                </c:pt>
                <c:pt idx="125">
                  <c:v>1945</c:v>
                </c:pt>
                <c:pt idx="126">
                  <c:v>1946</c:v>
                </c:pt>
                <c:pt idx="127">
                  <c:v>1947</c:v>
                </c:pt>
                <c:pt idx="128">
                  <c:v>1948</c:v>
                </c:pt>
                <c:pt idx="129">
                  <c:v>1949</c:v>
                </c:pt>
                <c:pt idx="130">
                  <c:v>1950</c:v>
                </c:pt>
                <c:pt idx="131">
                  <c:v>1951</c:v>
                </c:pt>
                <c:pt idx="132">
                  <c:v>1952</c:v>
                </c:pt>
                <c:pt idx="133">
                  <c:v>1953</c:v>
                </c:pt>
                <c:pt idx="134">
                  <c:v>1954</c:v>
                </c:pt>
                <c:pt idx="135">
                  <c:v>1955</c:v>
                </c:pt>
                <c:pt idx="136">
                  <c:v>1956</c:v>
                </c:pt>
                <c:pt idx="137">
                  <c:v>1957</c:v>
                </c:pt>
                <c:pt idx="138">
                  <c:v>1958</c:v>
                </c:pt>
                <c:pt idx="139">
                  <c:v>1959</c:v>
                </c:pt>
                <c:pt idx="140">
                  <c:v>1960</c:v>
                </c:pt>
                <c:pt idx="141">
                  <c:v>1961</c:v>
                </c:pt>
                <c:pt idx="142">
                  <c:v>1962</c:v>
                </c:pt>
                <c:pt idx="143">
                  <c:v>1963</c:v>
                </c:pt>
                <c:pt idx="144">
                  <c:v>1964</c:v>
                </c:pt>
                <c:pt idx="145">
                  <c:v>1965</c:v>
                </c:pt>
                <c:pt idx="146">
                  <c:v>1966</c:v>
                </c:pt>
                <c:pt idx="147">
                  <c:v>1967</c:v>
                </c:pt>
                <c:pt idx="148">
                  <c:v>1968</c:v>
                </c:pt>
                <c:pt idx="149">
                  <c:v>1969</c:v>
                </c:pt>
                <c:pt idx="150">
                  <c:v>1970</c:v>
                </c:pt>
                <c:pt idx="151">
                  <c:v>1971</c:v>
                </c:pt>
                <c:pt idx="152">
                  <c:v>1972</c:v>
                </c:pt>
                <c:pt idx="153">
                  <c:v>1973</c:v>
                </c:pt>
                <c:pt idx="154">
                  <c:v>1974</c:v>
                </c:pt>
                <c:pt idx="155">
                  <c:v>1975</c:v>
                </c:pt>
                <c:pt idx="156">
                  <c:v>1976</c:v>
                </c:pt>
                <c:pt idx="157">
                  <c:v>1977</c:v>
                </c:pt>
                <c:pt idx="158">
                  <c:v>1978</c:v>
                </c:pt>
                <c:pt idx="159">
                  <c:v>1979</c:v>
                </c:pt>
                <c:pt idx="160">
                  <c:v>1980</c:v>
                </c:pt>
                <c:pt idx="161">
                  <c:v>1981</c:v>
                </c:pt>
                <c:pt idx="162">
                  <c:v>1982</c:v>
                </c:pt>
                <c:pt idx="163">
                  <c:v>1983</c:v>
                </c:pt>
                <c:pt idx="164">
                  <c:v>1984</c:v>
                </c:pt>
                <c:pt idx="165">
                  <c:v>1985</c:v>
                </c:pt>
                <c:pt idx="166">
                  <c:v>1986</c:v>
                </c:pt>
                <c:pt idx="167">
                  <c:v>1987</c:v>
                </c:pt>
                <c:pt idx="168">
                  <c:v>1988</c:v>
                </c:pt>
                <c:pt idx="169">
                  <c:v>1989</c:v>
                </c:pt>
                <c:pt idx="170">
                  <c:v>1990</c:v>
                </c:pt>
                <c:pt idx="171">
                  <c:v>1991</c:v>
                </c:pt>
                <c:pt idx="172">
                  <c:v>1992</c:v>
                </c:pt>
                <c:pt idx="173">
                  <c:v>1993</c:v>
                </c:pt>
                <c:pt idx="174">
                  <c:v>1994</c:v>
                </c:pt>
                <c:pt idx="175">
                  <c:v>1995</c:v>
                </c:pt>
                <c:pt idx="176">
                  <c:v>1996</c:v>
                </c:pt>
                <c:pt idx="177">
                  <c:v>1997</c:v>
                </c:pt>
                <c:pt idx="178">
                  <c:v>1998</c:v>
                </c:pt>
                <c:pt idx="179">
                  <c:v>1999</c:v>
                </c:pt>
                <c:pt idx="180">
                  <c:v>2000</c:v>
                </c:pt>
                <c:pt idx="181">
                  <c:v>2001</c:v>
                </c:pt>
                <c:pt idx="182">
                  <c:v>2002</c:v>
                </c:pt>
                <c:pt idx="183">
                  <c:v>2003</c:v>
                </c:pt>
                <c:pt idx="184">
                  <c:v>2004</c:v>
                </c:pt>
                <c:pt idx="185">
                  <c:v>2005</c:v>
                </c:pt>
                <c:pt idx="186">
                  <c:v>2006</c:v>
                </c:pt>
                <c:pt idx="187">
                  <c:v>2007</c:v>
                </c:pt>
                <c:pt idx="188">
                  <c:v>2008</c:v>
                </c:pt>
                <c:pt idx="189">
                  <c:v>2009</c:v>
                </c:pt>
                <c:pt idx="190">
                  <c:v>2010</c:v>
                </c:pt>
                <c:pt idx="191">
                  <c:v>2011</c:v>
                </c:pt>
                <c:pt idx="192">
                  <c:v>2012</c:v>
                </c:pt>
                <c:pt idx="193">
                  <c:v>2013</c:v>
                </c:pt>
                <c:pt idx="194">
                  <c:v>2014</c:v>
                </c:pt>
                <c:pt idx="195">
                  <c:v>2015</c:v>
                </c:pt>
                <c:pt idx="196">
                  <c:v>2016</c:v>
                </c:pt>
                <c:pt idx="197">
                  <c:v>2017</c:v>
                </c:pt>
                <c:pt idx="198">
                  <c:v>2018</c:v>
                </c:pt>
                <c:pt idx="199">
                  <c:v>2019</c:v>
                </c:pt>
                <c:pt idx="200">
                  <c:v>2020</c:v>
                </c:pt>
              </c:numCache>
            </c:numRef>
          </c:cat>
          <c:val>
            <c:numRef>
              <c:f>'2.1.1 PricesLR'!$V$130:$V$330</c:f>
              <c:numCache>
                <c:formatCode>General</c:formatCode>
                <c:ptCount val="201"/>
                <c:pt idx="37" formatCode="#,##0">
                  <c:v>3946.2351499798056</c:v>
                </c:pt>
                <c:pt idx="38" formatCode="#,##0">
                  <c:v>3513.1143794406744</c:v>
                </c:pt>
                <c:pt idx="39" formatCode="#,##0">
                  <c:v>3491.5594378828987</c:v>
                </c:pt>
                <c:pt idx="40" formatCode="#,##0">
                  <c:v>3401.1447711147048</c:v>
                </c:pt>
                <c:pt idx="41" formatCode="#,##0">
                  <c:v>1763.3800941473517</c:v>
                </c:pt>
                <c:pt idx="42" formatCode="#,##0">
                  <c:v>1744.5416607256111</c:v>
                </c:pt>
                <c:pt idx="43" formatCode="#,##0">
                  <c:v>2735.8761638227547</c:v>
                </c:pt>
                <c:pt idx="44" formatCode="#,##0">
                  <c:v>2993.1534424347665</c:v>
                </c:pt>
                <c:pt idx="45" formatCode="#,##0">
                  <c:v>2972.5995662170312</c:v>
                </c:pt>
                <c:pt idx="46" formatCode="#,##0">
                  <c:v>1856.9830555870103</c:v>
                </c:pt>
                <c:pt idx="47" formatCode="#,##0">
                  <c:v>1165.2714205395923</c:v>
                </c:pt>
                <c:pt idx="48" formatCode="#,##0">
                  <c:v>1170.7329738866713</c:v>
                </c:pt>
                <c:pt idx="49" formatCode="#,##0">
                  <c:v>1498.3932241633127</c:v>
                </c:pt>
                <c:pt idx="50" formatCode="#,##0">
                  <c:v>1555.6020461365272</c:v>
                </c:pt>
                <c:pt idx="51" formatCode="#,##0">
                  <c:v>1508.2743357137756</c:v>
                </c:pt>
                <c:pt idx="52" formatCode="#,##0">
                  <c:v>1293.9910168080896</c:v>
                </c:pt>
                <c:pt idx="53" formatCode="#,##0">
                  <c:v>1511.5007141356512</c:v>
                </c:pt>
                <c:pt idx="54" formatCode="#,##0">
                  <c:v>1335.992678645978</c:v>
                </c:pt>
                <c:pt idx="55" formatCode="#,##0">
                  <c:v>1131.7622645812164</c:v>
                </c:pt>
                <c:pt idx="56" formatCode="#,##0">
                  <c:v>1613.3763421112342</c:v>
                </c:pt>
                <c:pt idx="57" formatCode="#,##0">
                  <c:v>1487.983280591722</c:v>
                </c:pt>
                <c:pt idx="58" formatCode="#,##0">
                  <c:v>1174.9365536297507</c:v>
                </c:pt>
                <c:pt idx="59" formatCode="#,##0">
                  <c:v>974.46556936640104</c:v>
                </c:pt>
                <c:pt idx="60" formatCode="#,##0">
                  <c:v>1013.1676168508311</c:v>
                </c:pt>
                <c:pt idx="61" formatCode="#,##0">
                  <c:v>1002.7417284091268</c:v>
                </c:pt>
                <c:pt idx="62" formatCode="#,##0">
                  <c:v>869.94574221881919</c:v>
                </c:pt>
                <c:pt idx="63" formatCode="#,##0">
                  <c:v>929.03165245622483</c:v>
                </c:pt>
                <c:pt idx="64" formatCode="#,##0">
                  <c:v>1008.3477750632754</c:v>
                </c:pt>
                <c:pt idx="65" formatCode="#,##0">
                  <c:v>1003.0791302671164</c:v>
                </c:pt>
                <c:pt idx="66" formatCode="#,##0">
                  <c:v>957.55900540913944</c:v>
                </c:pt>
                <c:pt idx="67" formatCode="#,##0">
                  <c:v>904.86743995355607</c:v>
                </c:pt>
                <c:pt idx="68" formatCode="#,##0">
                  <c:v>906.91696982887504</c:v>
                </c:pt>
                <c:pt idx="69" formatCode="#,##0">
                  <c:v>833.54215439576399</c:v>
                </c:pt>
                <c:pt idx="70" formatCode="#,##0">
                  <c:v>752.87638625031855</c:v>
                </c:pt>
                <c:pt idx="71" formatCode="#,##0">
                  <c:v>672.0518244706567</c:v>
                </c:pt>
                <c:pt idx="72" formatCode="#,##0">
                  <c:v>612.08057764610805</c:v>
                </c:pt>
                <c:pt idx="73" formatCode="#,##0">
                  <c:v>545.57346338281877</c:v>
                </c:pt>
                <c:pt idx="74" formatCode="#,##0">
                  <c:v>520.29299533372455</c:v>
                </c:pt>
                <c:pt idx="75" formatCode="#,##0">
                  <c:v>657.36395069640741</c:v>
                </c:pt>
                <c:pt idx="76" formatCode="#,##0">
                  <c:v>682.03036271634699</c:v>
                </c:pt>
                <c:pt idx="77" formatCode="#,##0">
                  <c:v>610.57470573850424</c:v>
                </c:pt>
                <c:pt idx="78" formatCode="#,##0">
                  <c:v>568.90957156443244</c:v>
                </c:pt>
                <c:pt idx="79" formatCode="#,##0">
                  <c:v>591.63151421974931</c:v>
                </c:pt>
                <c:pt idx="80" formatCode="#,##0">
                  <c:v>658.03003078077904</c:v>
                </c:pt>
                <c:pt idx="81" formatCode="#,##0">
                  <c:v>589.71434928716565</c:v>
                </c:pt>
                <c:pt idx="82" formatCode="#,##0">
                  <c:v>539.11019162112814</c:v>
                </c:pt>
                <c:pt idx="83" formatCode="#,##0">
                  <c:v>565.79356205710917</c:v>
                </c:pt>
                <c:pt idx="84" formatCode="#,##0">
                  <c:v>603.24441445384934</c:v>
                </c:pt>
                <c:pt idx="85" formatCode="#,##0">
                  <c:v>550.33976363748741</c:v>
                </c:pt>
                <c:pt idx="86" formatCode="#,##0">
                  <c:v>622.82982680327063</c:v>
                </c:pt>
                <c:pt idx="87" formatCode="#,##0">
                  <c:v>600.88483804535451</c:v>
                </c:pt>
                <c:pt idx="88" formatCode="#,##0">
                  <c:v>610.70428620021767</c:v>
                </c:pt>
                <c:pt idx="89" formatCode="#,##0">
                  <c:v>599.39264377957659</c:v>
                </c:pt>
                <c:pt idx="90" formatCode="#,##0">
                  <c:v>539.26907600055256</c:v>
                </c:pt>
                <c:pt idx="91" formatCode="#,##0">
                  <c:v>572.76270402819091</c:v>
                </c:pt>
                <c:pt idx="92" formatCode="#,##0">
                  <c:v>717.50587616705047</c:v>
                </c:pt>
                <c:pt idx="93" formatCode="#,##0">
                  <c:v>831.23473308960331</c:v>
                </c:pt>
                <c:pt idx="94" formatCode="#,##0">
                  <c:v>788.11311189924822</c:v>
                </c:pt>
                <c:pt idx="95" formatCode="#,##0">
                  <c:v>905.22929960602107</c:v>
                </c:pt>
                <c:pt idx="96" formatCode="#,##0">
                  <c:v>1045.8687461362256</c:v>
                </c:pt>
                <c:pt idx="97" formatCode="#,##0">
                  <c:v>777.0326554679383</c:v>
                </c:pt>
                <c:pt idx="98" formatCode="#,##0">
                  <c:v>695.94794539582267</c:v>
                </c:pt>
                <c:pt idx="99" formatCode="#,##0">
                  <c:v>731.10545600270507</c:v>
                </c:pt>
                <c:pt idx="100" formatCode="#,##0">
                  <c:v>841.80305296641347</c:v>
                </c:pt>
                <c:pt idx="101" formatCode="#,##0">
                  <c:v>784.82323444495432</c:v>
                </c:pt>
                <c:pt idx="102" formatCode="#,##0">
                  <c:v>641.28198156740075</c:v>
                </c:pt>
                <c:pt idx="103" formatCode="#,##0">
                  <c:v>563.47459937234169</c:v>
                </c:pt>
                <c:pt idx="104" formatCode="#,##0">
                  <c:v>662.90692189878621</c:v>
                </c:pt>
                <c:pt idx="105" formatCode="#,##0">
                  <c:v>591.55481730989982</c:v>
                </c:pt>
                <c:pt idx="106" formatCode="#,##0">
                  <c:v>562.53292722311733</c:v>
                </c:pt>
                <c:pt idx="107" formatCode="#,##0">
                  <c:v>515.62062834979031</c:v>
                </c:pt>
                <c:pt idx="108" formatCode="#,##0">
                  <c:v>563.06951368360819</c:v>
                </c:pt>
                <c:pt idx="109" formatCode="#,##0">
                  <c:v>637.80902910777934</c:v>
                </c:pt>
                <c:pt idx="110" formatCode="#,##0">
                  <c:v>590.8602044946814</c:v>
                </c:pt>
                <c:pt idx="111" formatCode="#,##0">
                  <c:v>557.94425767892972</c:v>
                </c:pt>
                <c:pt idx="112" formatCode="#,##0">
                  <c:v>713.86149325617976</c:v>
                </c:pt>
                <c:pt idx="113" formatCode="#,##0">
                  <c:v>655.33579318820955</c:v>
                </c:pt>
                <c:pt idx="114" formatCode="#,##0">
                  <c:v>653.06901928055902</c:v>
                </c:pt>
                <c:pt idx="115" formatCode="#,##0">
                  <c:v>692.70263317562706</c:v>
                </c:pt>
                <c:pt idx="116" formatCode="#,##0">
                  <c:v>728.21335077443871</c:v>
                </c:pt>
                <c:pt idx="117" formatCode="#,##0">
                  <c:v>719.7662819044765</c:v>
                </c:pt>
                <c:pt idx="118" formatCode="#,##0">
                  <c:v>712.04964314308495</c:v>
                </c:pt>
                <c:pt idx="119" formatCode="#,##0">
                  <c:v>675.43623461622872</c:v>
                </c:pt>
                <c:pt idx="120" formatCode="#,##0">
                  <c:v>711.96662504781182</c:v>
                </c:pt>
                <c:pt idx="121" formatCode="#,##0">
                  <c:v>711.46326603766715</c:v>
                </c:pt>
                <c:pt idx="122" formatCode="#,##0">
                  <c:v>699.04309122758184</c:v>
                </c:pt>
                <c:pt idx="123" formatCode="#,##0">
                  <c:v>700.18891964469287</c:v>
                </c:pt>
                <c:pt idx="124" formatCode="#,##0">
                  <c:v>721.80027263877275</c:v>
                </c:pt>
                <c:pt idx="125" formatCode="#,##0">
                  <c:v>612.00196058674805</c:v>
                </c:pt>
                <c:pt idx="126" formatCode="#,##0">
                  <c:v>539.3776762479506</c:v>
                </c:pt>
                <c:pt idx="127" formatCode="#,##0">
                  <c:v>538.42801962554029</c:v>
                </c:pt>
                <c:pt idx="128" formatCode="#,##0">
                  <c:v>515.36692413179139</c:v>
                </c:pt>
                <c:pt idx="129" formatCode="#,##0">
                  <c:v>484.52100993885915</c:v>
                </c:pt>
                <c:pt idx="130" formatCode="#,##0">
                  <c:v>606.78704188202255</c:v>
                </c:pt>
                <c:pt idx="131" formatCode="#,##0">
                  <c:v>649.75072750025049</c:v>
                </c:pt>
                <c:pt idx="132" formatCode="#,##0">
                  <c:v>703.47218744886413</c:v>
                </c:pt>
                <c:pt idx="133" formatCode="#,##0">
                  <c:v>708.68330035966017</c:v>
                </c:pt>
                <c:pt idx="134" formatCode="#,##0">
                  <c:v>628.50968754816802</c:v>
                </c:pt>
                <c:pt idx="135" formatCode="#,##0">
                  <c:v>587.93626509094111</c:v>
                </c:pt>
                <c:pt idx="136" formatCode="#,##0">
                  <c:v>540.09426320220894</c:v>
                </c:pt>
                <c:pt idx="137" formatCode="#,##0">
                  <c:v>636.15543145899949</c:v>
                </c:pt>
                <c:pt idx="138" formatCode="#,##0">
                  <c:v>462.32246890771751</c:v>
                </c:pt>
                <c:pt idx="139" formatCode="#,##0">
                  <c:v>437.60365810932103</c:v>
                </c:pt>
                <c:pt idx="140" formatCode="#,##0">
                  <c:v>407.32882748320617</c:v>
                </c:pt>
                <c:pt idx="141" formatCode="#,##0">
                  <c:v>398.1934481650332</c:v>
                </c:pt>
                <c:pt idx="142" formatCode="#,##0">
                  <c:v>370.54163959200338</c:v>
                </c:pt>
                <c:pt idx="143" formatCode="#,##0">
                  <c:v>390.89355328768204</c:v>
                </c:pt>
                <c:pt idx="144" formatCode="#,##0">
                  <c:v>377.29734236111108</c:v>
                </c:pt>
                <c:pt idx="145" formatCode="#,##0">
                  <c:v>362.50232773789469</c:v>
                </c:pt>
                <c:pt idx="146" formatCode="#,##0">
                  <c:v>365.56606291062724</c:v>
                </c:pt>
                <c:pt idx="147" formatCode="#,##0">
                  <c:v>360.24137157874645</c:v>
                </c:pt>
                <c:pt idx="148" formatCode="#,##0">
                  <c:v>368.79179569291745</c:v>
                </c:pt>
                <c:pt idx="149" formatCode="#,##0">
                  <c:v>359.30813042573368</c:v>
                </c:pt>
                <c:pt idx="150" formatCode="#,##0">
                  <c:v>346.37828212199332</c:v>
                </c:pt>
                <c:pt idx="151" formatCode="#,##0">
                  <c:v>330.88152190741596</c:v>
                </c:pt>
                <c:pt idx="152" formatCode="#,##0">
                  <c:v>324.32267917335639</c:v>
                </c:pt>
                <c:pt idx="153" formatCode="#,##0">
                  <c:v>324.2227677753948</c:v>
                </c:pt>
                <c:pt idx="154" formatCode="#,##0">
                  <c:v>487.57836111344596</c:v>
                </c:pt>
                <c:pt idx="155" formatCode="#,##0">
                  <c:v>485.32080085542265</c:v>
                </c:pt>
                <c:pt idx="156" formatCode="#,##0">
                  <c:v>466.62170887946513</c:v>
                </c:pt>
                <c:pt idx="157" formatCode="#,##0">
                  <c:v>456.06698215079712</c:v>
                </c:pt>
                <c:pt idx="158" formatCode="#,##0">
                  <c:v>418.17798485949385</c:v>
                </c:pt>
                <c:pt idx="159" formatCode="#,##0">
                  <c:v>488.18476181615438</c:v>
                </c:pt>
                <c:pt idx="160" formatCode="#,##0">
                  <c:v>1216.5100915879286</c:v>
                </c:pt>
                <c:pt idx="161" formatCode="#,##0">
                  <c:v>628.70830315547096</c:v>
                </c:pt>
                <c:pt idx="162" formatCode="#,##0">
                  <c:v>636.28666697070048</c:v>
                </c:pt>
                <c:pt idx="163" formatCode="#,##0">
                  <c:v>675.89324989638556</c:v>
                </c:pt>
                <c:pt idx="164" formatCode="#,##0">
                  <c:v>680.19942003574852</c:v>
                </c:pt>
                <c:pt idx="165" formatCode="#,##0">
                  <c:v>701.59728652291506</c:v>
                </c:pt>
                <c:pt idx="166" formatCode="#,##0">
                  <c:v>559.77108283582731</c:v>
                </c:pt>
                <c:pt idx="167" formatCode="#,##0">
                  <c:v>559.07089320622208</c:v>
                </c:pt>
                <c:pt idx="168" formatCode="#,##0.0">
                  <c:v>484.92051565566283</c:v>
                </c:pt>
                <c:pt idx="169" formatCode="#,##0.0">
                  <c:v>484.4020375312067</c:v>
                </c:pt>
                <c:pt idx="170" formatCode="#,##0.0">
                  <c:v>577.09325894549352</c:v>
                </c:pt>
                <c:pt idx="171" formatCode="#,##0.0">
                  <c:v>524.13900859281705</c:v>
                </c:pt>
                <c:pt idx="172" formatCode="#,##0.0">
                  <c:v>445.01199418187798</c:v>
                </c:pt>
                <c:pt idx="173" formatCode="#,##0.0">
                  <c:v>464.99176545896893</c:v>
                </c:pt>
                <c:pt idx="174" formatCode="#,##0.0">
                  <c:v>454.4250649880837</c:v>
                </c:pt>
                <c:pt idx="175" formatCode="#,##0.0">
                  <c:v>439.18612920712854</c:v>
                </c:pt>
                <c:pt idx="176" formatCode="#,##0.0">
                  <c:v>471.98254339590909</c:v>
                </c:pt>
                <c:pt idx="177" formatCode="#,##0.0">
                  <c:v>445.75110797438026</c:v>
                </c:pt>
                <c:pt idx="178" formatCode="#,##0.0">
                  <c:v>361.17408771212064</c:v>
                </c:pt>
                <c:pt idx="179" formatCode="#,##0.0">
                  <c:v>398.02004022381243</c:v>
                </c:pt>
                <c:pt idx="180" formatCode="#,##0.0">
                  <c:v>542.01682694961994</c:v>
                </c:pt>
                <c:pt idx="181" formatCode="#,##0.0">
                  <c:v>518.50217029353917</c:v>
                </c:pt>
                <c:pt idx="182" formatCode="#,##0.0">
                  <c:v>481.17716051335202</c:v>
                </c:pt>
                <c:pt idx="183" formatCode="#,##0.0">
                  <c:v>518.45818591281216</c:v>
                </c:pt>
                <c:pt idx="184" formatCode="#,##0.0">
                  <c:v>572.79803037340093</c:v>
                </c:pt>
                <c:pt idx="185" formatCode="#,##0.0">
                  <c:v>714.60689298490888</c:v>
                </c:pt>
                <c:pt idx="186" formatCode="#,##0.0">
                  <c:v>784.14476515221202</c:v>
                </c:pt>
                <c:pt idx="187" formatCode="#,##0.0">
                  <c:v>758.37472732279809</c:v>
                </c:pt>
                <c:pt idx="188" formatCode="#,##0.0">
                  <c:v>1053.0088109608171</c:v>
                </c:pt>
                <c:pt idx="189" formatCode="#,##0.0">
                  <c:v>811.48957433550777</c:v>
                </c:pt>
                <c:pt idx="190" formatCode="#,##0.0">
                  <c:v>988.8787216680048</c:v>
                </c:pt>
                <c:pt idx="191" formatCode="#,##0.0">
                  <c:v>1174.8864466050227</c:v>
                </c:pt>
                <c:pt idx="192" formatCode="#,##0.0">
                  <c:v>1168.8521252346568</c:v>
                </c:pt>
                <c:pt idx="193" formatCode="#,##0.0">
                  <c:v>1137.765164994164</c:v>
                </c:pt>
                <c:pt idx="194" formatCode="#,##0.0">
                  <c:v>1013.3720995186546</c:v>
                </c:pt>
                <c:pt idx="195" formatCode="#,##0.0">
                  <c:v>748.6747866887855</c:v>
                </c:pt>
                <c:pt idx="196" formatCode="#,##0.0">
                  <c:v>679.29142654404984</c:v>
                </c:pt>
                <c:pt idx="197" formatCode="#,##0.0">
                  <c:v>803.93547119360562</c:v>
                </c:pt>
                <c:pt idx="198" formatCode="#,##0.0">
                  <c:v>949.82280399927822</c:v>
                </c:pt>
                <c:pt idx="199" formatCode="#,##0.0">
                  <c:v>916.65342716418661</c:v>
                </c:pt>
              </c:numCache>
            </c:numRef>
          </c:val>
          <c:smooth val="0"/>
          <c:extLst>
            <c:ext xmlns:c16="http://schemas.microsoft.com/office/drawing/2014/chart" uri="{C3380CC4-5D6E-409C-BE32-E72D297353CC}">
              <c16:uniqueId val="{00000001-1DB8-4AA8-82DD-BA521A4A7E69}"/>
            </c:ext>
          </c:extLst>
        </c:ser>
        <c:ser>
          <c:idx val="2"/>
          <c:order val="2"/>
          <c:tx>
            <c:v>Electricity</c:v>
          </c:tx>
          <c:spPr>
            <a:ln w="12700">
              <a:solidFill>
                <a:srgbClr val="7030A0"/>
              </a:solidFill>
              <a:prstDash val="solid"/>
            </a:ln>
          </c:spPr>
          <c:marker>
            <c:symbol val="none"/>
          </c:marker>
          <c:cat>
            <c:numRef>
              <c:f>'2.1.1 PricesLR'!$A$130:$A$330</c:f>
              <c:numCache>
                <c:formatCode>General</c:formatCode>
                <c:ptCount val="201"/>
                <c:pt idx="0">
                  <c:v>1820</c:v>
                </c:pt>
                <c:pt idx="1">
                  <c:v>1821</c:v>
                </c:pt>
                <c:pt idx="2">
                  <c:v>1822</c:v>
                </c:pt>
                <c:pt idx="3">
                  <c:v>1823</c:v>
                </c:pt>
                <c:pt idx="4">
                  <c:v>1824</c:v>
                </c:pt>
                <c:pt idx="5">
                  <c:v>1825</c:v>
                </c:pt>
                <c:pt idx="6">
                  <c:v>1826</c:v>
                </c:pt>
                <c:pt idx="7">
                  <c:v>1827</c:v>
                </c:pt>
                <c:pt idx="8">
                  <c:v>1828</c:v>
                </c:pt>
                <c:pt idx="9">
                  <c:v>1829</c:v>
                </c:pt>
                <c:pt idx="10">
                  <c:v>1830</c:v>
                </c:pt>
                <c:pt idx="11">
                  <c:v>1831</c:v>
                </c:pt>
                <c:pt idx="12">
                  <c:v>1832</c:v>
                </c:pt>
                <c:pt idx="13">
                  <c:v>1833</c:v>
                </c:pt>
                <c:pt idx="14">
                  <c:v>1834</c:v>
                </c:pt>
                <c:pt idx="15">
                  <c:v>1835</c:v>
                </c:pt>
                <c:pt idx="16">
                  <c:v>1836</c:v>
                </c:pt>
                <c:pt idx="17">
                  <c:v>1837</c:v>
                </c:pt>
                <c:pt idx="18">
                  <c:v>1838</c:v>
                </c:pt>
                <c:pt idx="19">
                  <c:v>1839</c:v>
                </c:pt>
                <c:pt idx="20">
                  <c:v>1840</c:v>
                </c:pt>
                <c:pt idx="21">
                  <c:v>1841</c:v>
                </c:pt>
                <c:pt idx="22">
                  <c:v>1842</c:v>
                </c:pt>
                <c:pt idx="23">
                  <c:v>1843</c:v>
                </c:pt>
                <c:pt idx="24">
                  <c:v>1844</c:v>
                </c:pt>
                <c:pt idx="25">
                  <c:v>1845</c:v>
                </c:pt>
                <c:pt idx="26">
                  <c:v>1846</c:v>
                </c:pt>
                <c:pt idx="27">
                  <c:v>1847</c:v>
                </c:pt>
                <c:pt idx="28">
                  <c:v>1848</c:v>
                </c:pt>
                <c:pt idx="29">
                  <c:v>1849</c:v>
                </c:pt>
                <c:pt idx="30">
                  <c:v>1850</c:v>
                </c:pt>
                <c:pt idx="31">
                  <c:v>1851</c:v>
                </c:pt>
                <c:pt idx="32">
                  <c:v>1852</c:v>
                </c:pt>
                <c:pt idx="33">
                  <c:v>1853</c:v>
                </c:pt>
                <c:pt idx="34">
                  <c:v>1854</c:v>
                </c:pt>
                <c:pt idx="35">
                  <c:v>1855</c:v>
                </c:pt>
                <c:pt idx="36">
                  <c:v>1856</c:v>
                </c:pt>
                <c:pt idx="37">
                  <c:v>1857</c:v>
                </c:pt>
                <c:pt idx="38">
                  <c:v>1858</c:v>
                </c:pt>
                <c:pt idx="39">
                  <c:v>1859</c:v>
                </c:pt>
                <c:pt idx="40">
                  <c:v>1860</c:v>
                </c:pt>
                <c:pt idx="41">
                  <c:v>1861</c:v>
                </c:pt>
                <c:pt idx="42">
                  <c:v>1862</c:v>
                </c:pt>
                <c:pt idx="43">
                  <c:v>1863</c:v>
                </c:pt>
                <c:pt idx="44">
                  <c:v>1864</c:v>
                </c:pt>
                <c:pt idx="45">
                  <c:v>1865</c:v>
                </c:pt>
                <c:pt idx="46">
                  <c:v>1866</c:v>
                </c:pt>
                <c:pt idx="47">
                  <c:v>1867</c:v>
                </c:pt>
                <c:pt idx="48">
                  <c:v>1868</c:v>
                </c:pt>
                <c:pt idx="49">
                  <c:v>1869</c:v>
                </c:pt>
                <c:pt idx="50">
                  <c:v>1870</c:v>
                </c:pt>
                <c:pt idx="51">
                  <c:v>1871</c:v>
                </c:pt>
                <c:pt idx="52">
                  <c:v>1872</c:v>
                </c:pt>
                <c:pt idx="53">
                  <c:v>1873</c:v>
                </c:pt>
                <c:pt idx="54">
                  <c:v>1874</c:v>
                </c:pt>
                <c:pt idx="55">
                  <c:v>1875</c:v>
                </c:pt>
                <c:pt idx="56">
                  <c:v>1876</c:v>
                </c:pt>
                <c:pt idx="57">
                  <c:v>1877</c:v>
                </c:pt>
                <c:pt idx="58">
                  <c:v>1878</c:v>
                </c:pt>
                <c:pt idx="59">
                  <c:v>1879</c:v>
                </c:pt>
                <c:pt idx="60">
                  <c:v>1880</c:v>
                </c:pt>
                <c:pt idx="61">
                  <c:v>1881</c:v>
                </c:pt>
                <c:pt idx="62">
                  <c:v>1882</c:v>
                </c:pt>
                <c:pt idx="63">
                  <c:v>1883</c:v>
                </c:pt>
                <c:pt idx="64">
                  <c:v>1884</c:v>
                </c:pt>
                <c:pt idx="65">
                  <c:v>1885</c:v>
                </c:pt>
                <c:pt idx="66">
                  <c:v>1886</c:v>
                </c:pt>
                <c:pt idx="67">
                  <c:v>1887</c:v>
                </c:pt>
                <c:pt idx="68">
                  <c:v>1888</c:v>
                </c:pt>
                <c:pt idx="69">
                  <c:v>1889</c:v>
                </c:pt>
                <c:pt idx="70">
                  <c:v>1890</c:v>
                </c:pt>
                <c:pt idx="71">
                  <c:v>1891</c:v>
                </c:pt>
                <c:pt idx="72">
                  <c:v>1892</c:v>
                </c:pt>
                <c:pt idx="73">
                  <c:v>1893</c:v>
                </c:pt>
                <c:pt idx="74">
                  <c:v>1894</c:v>
                </c:pt>
                <c:pt idx="75">
                  <c:v>1895</c:v>
                </c:pt>
                <c:pt idx="76">
                  <c:v>1896</c:v>
                </c:pt>
                <c:pt idx="77">
                  <c:v>1897</c:v>
                </c:pt>
                <c:pt idx="78">
                  <c:v>1898</c:v>
                </c:pt>
                <c:pt idx="79">
                  <c:v>1899</c:v>
                </c:pt>
                <c:pt idx="80">
                  <c:v>1900</c:v>
                </c:pt>
                <c:pt idx="81">
                  <c:v>1901</c:v>
                </c:pt>
                <c:pt idx="82">
                  <c:v>1902</c:v>
                </c:pt>
                <c:pt idx="83">
                  <c:v>1903</c:v>
                </c:pt>
                <c:pt idx="84">
                  <c:v>1904</c:v>
                </c:pt>
                <c:pt idx="85">
                  <c:v>1905</c:v>
                </c:pt>
                <c:pt idx="86">
                  <c:v>1906</c:v>
                </c:pt>
                <c:pt idx="87">
                  <c:v>1907</c:v>
                </c:pt>
                <c:pt idx="88">
                  <c:v>1908</c:v>
                </c:pt>
                <c:pt idx="89">
                  <c:v>1909</c:v>
                </c:pt>
                <c:pt idx="90">
                  <c:v>1910</c:v>
                </c:pt>
                <c:pt idx="91">
                  <c:v>1911</c:v>
                </c:pt>
                <c:pt idx="92">
                  <c:v>1912</c:v>
                </c:pt>
                <c:pt idx="93">
                  <c:v>1913</c:v>
                </c:pt>
                <c:pt idx="94">
                  <c:v>1914</c:v>
                </c:pt>
                <c:pt idx="95">
                  <c:v>1915</c:v>
                </c:pt>
                <c:pt idx="96">
                  <c:v>1916</c:v>
                </c:pt>
                <c:pt idx="97">
                  <c:v>1917</c:v>
                </c:pt>
                <c:pt idx="98">
                  <c:v>1918</c:v>
                </c:pt>
                <c:pt idx="99">
                  <c:v>1919</c:v>
                </c:pt>
                <c:pt idx="100">
                  <c:v>1920</c:v>
                </c:pt>
                <c:pt idx="101">
                  <c:v>1921</c:v>
                </c:pt>
                <c:pt idx="102">
                  <c:v>1922</c:v>
                </c:pt>
                <c:pt idx="103">
                  <c:v>1923</c:v>
                </c:pt>
                <c:pt idx="104">
                  <c:v>1924</c:v>
                </c:pt>
                <c:pt idx="105">
                  <c:v>1925</c:v>
                </c:pt>
                <c:pt idx="106">
                  <c:v>1926</c:v>
                </c:pt>
                <c:pt idx="107">
                  <c:v>1927</c:v>
                </c:pt>
                <c:pt idx="108">
                  <c:v>1928</c:v>
                </c:pt>
                <c:pt idx="109">
                  <c:v>1929</c:v>
                </c:pt>
                <c:pt idx="110">
                  <c:v>1930</c:v>
                </c:pt>
                <c:pt idx="111">
                  <c:v>1931</c:v>
                </c:pt>
                <c:pt idx="112">
                  <c:v>1932</c:v>
                </c:pt>
                <c:pt idx="113">
                  <c:v>1933</c:v>
                </c:pt>
                <c:pt idx="114">
                  <c:v>1934</c:v>
                </c:pt>
                <c:pt idx="115">
                  <c:v>1935</c:v>
                </c:pt>
                <c:pt idx="116">
                  <c:v>1936</c:v>
                </c:pt>
                <c:pt idx="117">
                  <c:v>1937</c:v>
                </c:pt>
                <c:pt idx="118">
                  <c:v>1938</c:v>
                </c:pt>
                <c:pt idx="119">
                  <c:v>1939</c:v>
                </c:pt>
                <c:pt idx="120">
                  <c:v>1940</c:v>
                </c:pt>
                <c:pt idx="121">
                  <c:v>1941</c:v>
                </c:pt>
                <c:pt idx="122">
                  <c:v>1942</c:v>
                </c:pt>
                <c:pt idx="123">
                  <c:v>1943</c:v>
                </c:pt>
                <c:pt idx="124">
                  <c:v>1944</c:v>
                </c:pt>
                <c:pt idx="125">
                  <c:v>1945</c:v>
                </c:pt>
                <c:pt idx="126">
                  <c:v>1946</c:v>
                </c:pt>
                <c:pt idx="127">
                  <c:v>1947</c:v>
                </c:pt>
                <c:pt idx="128">
                  <c:v>1948</c:v>
                </c:pt>
                <c:pt idx="129">
                  <c:v>1949</c:v>
                </c:pt>
                <c:pt idx="130">
                  <c:v>1950</c:v>
                </c:pt>
                <c:pt idx="131">
                  <c:v>1951</c:v>
                </c:pt>
                <c:pt idx="132">
                  <c:v>1952</c:v>
                </c:pt>
                <c:pt idx="133">
                  <c:v>1953</c:v>
                </c:pt>
                <c:pt idx="134">
                  <c:v>1954</c:v>
                </c:pt>
                <c:pt idx="135">
                  <c:v>1955</c:v>
                </c:pt>
                <c:pt idx="136">
                  <c:v>1956</c:v>
                </c:pt>
                <c:pt idx="137">
                  <c:v>1957</c:v>
                </c:pt>
                <c:pt idx="138">
                  <c:v>1958</c:v>
                </c:pt>
                <c:pt idx="139">
                  <c:v>1959</c:v>
                </c:pt>
                <c:pt idx="140">
                  <c:v>1960</c:v>
                </c:pt>
                <c:pt idx="141">
                  <c:v>1961</c:v>
                </c:pt>
                <c:pt idx="142">
                  <c:v>1962</c:v>
                </c:pt>
                <c:pt idx="143">
                  <c:v>1963</c:v>
                </c:pt>
                <c:pt idx="144">
                  <c:v>1964</c:v>
                </c:pt>
                <c:pt idx="145">
                  <c:v>1965</c:v>
                </c:pt>
                <c:pt idx="146">
                  <c:v>1966</c:v>
                </c:pt>
                <c:pt idx="147">
                  <c:v>1967</c:v>
                </c:pt>
                <c:pt idx="148">
                  <c:v>1968</c:v>
                </c:pt>
                <c:pt idx="149">
                  <c:v>1969</c:v>
                </c:pt>
                <c:pt idx="150">
                  <c:v>1970</c:v>
                </c:pt>
                <c:pt idx="151">
                  <c:v>1971</c:v>
                </c:pt>
                <c:pt idx="152">
                  <c:v>1972</c:v>
                </c:pt>
                <c:pt idx="153">
                  <c:v>1973</c:v>
                </c:pt>
                <c:pt idx="154">
                  <c:v>1974</c:v>
                </c:pt>
                <c:pt idx="155">
                  <c:v>1975</c:v>
                </c:pt>
                <c:pt idx="156">
                  <c:v>1976</c:v>
                </c:pt>
                <c:pt idx="157">
                  <c:v>1977</c:v>
                </c:pt>
                <c:pt idx="158">
                  <c:v>1978</c:v>
                </c:pt>
                <c:pt idx="159">
                  <c:v>1979</c:v>
                </c:pt>
                <c:pt idx="160">
                  <c:v>1980</c:v>
                </c:pt>
                <c:pt idx="161">
                  <c:v>1981</c:v>
                </c:pt>
                <c:pt idx="162">
                  <c:v>1982</c:v>
                </c:pt>
                <c:pt idx="163">
                  <c:v>1983</c:v>
                </c:pt>
                <c:pt idx="164">
                  <c:v>1984</c:v>
                </c:pt>
                <c:pt idx="165">
                  <c:v>1985</c:v>
                </c:pt>
                <c:pt idx="166">
                  <c:v>1986</c:v>
                </c:pt>
                <c:pt idx="167">
                  <c:v>1987</c:v>
                </c:pt>
                <c:pt idx="168">
                  <c:v>1988</c:v>
                </c:pt>
                <c:pt idx="169">
                  <c:v>1989</c:v>
                </c:pt>
                <c:pt idx="170">
                  <c:v>1990</c:v>
                </c:pt>
                <c:pt idx="171">
                  <c:v>1991</c:v>
                </c:pt>
                <c:pt idx="172">
                  <c:v>1992</c:v>
                </c:pt>
                <c:pt idx="173">
                  <c:v>1993</c:v>
                </c:pt>
                <c:pt idx="174">
                  <c:v>1994</c:v>
                </c:pt>
                <c:pt idx="175">
                  <c:v>1995</c:v>
                </c:pt>
                <c:pt idx="176">
                  <c:v>1996</c:v>
                </c:pt>
                <c:pt idx="177">
                  <c:v>1997</c:v>
                </c:pt>
                <c:pt idx="178">
                  <c:v>1998</c:v>
                </c:pt>
                <c:pt idx="179">
                  <c:v>1999</c:v>
                </c:pt>
                <c:pt idx="180">
                  <c:v>2000</c:v>
                </c:pt>
                <c:pt idx="181">
                  <c:v>2001</c:v>
                </c:pt>
                <c:pt idx="182">
                  <c:v>2002</c:v>
                </c:pt>
                <c:pt idx="183">
                  <c:v>2003</c:v>
                </c:pt>
                <c:pt idx="184">
                  <c:v>2004</c:v>
                </c:pt>
                <c:pt idx="185">
                  <c:v>2005</c:v>
                </c:pt>
                <c:pt idx="186">
                  <c:v>2006</c:v>
                </c:pt>
                <c:pt idx="187">
                  <c:v>2007</c:v>
                </c:pt>
                <c:pt idx="188">
                  <c:v>2008</c:v>
                </c:pt>
                <c:pt idx="189">
                  <c:v>2009</c:v>
                </c:pt>
                <c:pt idx="190">
                  <c:v>2010</c:v>
                </c:pt>
                <c:pt idx="191">
                  <c:v>2011</c:v>
                </c:pt>
                <c:pt idx="192">
                  <c:v>2012</c:v>
                </c:pt>
                <c:pt idx="193">
                  <c:v>2013</c:v>
                </c:pt>
                <c:pt idx="194">
                  <c:v>2014</c:v>
                </c:pt>
                <c:pt idx="195">
                  <c:v>2015</c:v>
                </c:pt>
                <c:pt idx="196">
                  <c:v>2016</c:v>
                </c:pt>
                <c:pt idx="197">
                  <c:v>2017</c:v>
                </c:pt>
                <c:pt idx="198">
                  <c:v>2018</c:v>
                </c:pt>
                <c:pt idx="199">
                  <c:v>2019</c:v>
                </c:pt>
                <c:pt idx="200">
                  <c:v>2020</c:v>
                </c:pt>
              </c:numCache>
            </c:numRef>
          </c:cat>
          <c:val>
            <c:numRef>
              <c:f>'2.1.1 PricesLR'!$X$130:$X$330</c:f>
              <c:numCache>
                <c:formatCode>General</c:formatCode>
                <c:ptCount val="201"/>
                <c:pt idx="63" formatCode="#,##0">
                  <c:v>31314.145882508579</c:v>
                </c:pt>
                <c:pt idx="64" formatCode="#,##0">
                  <c:v>31044.232470742529</c:v>
                </c:pt>
                <c:pt idx="65" formatCode="#,##0">
                  <c:v>30754.764410045031</c:v>
                </c:pt>
                <c:pt idx="66" formatCode="#,##0">
                  <c:v>29600.692472559334</c:v>
                </c:pt>
                <c:pt idx="67" formatCode="#,##0">
                  <c:v>28747.1866981821</c:v>
                </c:pt>
                <c:pt idx="68" formatCode="#,##0">
                  <c:v>27353.448644463442</c:v>
                </c:pt>
                <c:pt idx="69" formatCode="#,##0">
                  <c:v>26899.492040128411</c:v>
                </c:pt>
                <c:pt idx="70" formatCode="#,##0">
                  <c:v>26541.387783408667</c:v>
                </c:pt>
                <c:pt idx="71" formatCode="#,##0">
                  <c:v>26099.282398468829</c:v>
                </c:pt>
                <c:pt idx="72" formatCode="#,##0">
                  <c:v>25749.067628368481</c:v>
                </c:pt>
                <c:pt idx="73" formatCode="#,##0">
                  <c:v>26031.971777143768</c:v>
                </c:pt>
                <c:pt idx="74" formatCode="#,##0">
                  <c:v>25718.573542611495</c:v>
                </c:pt>
                <c:pt idx="75" formatCode="#,##0">
                  <c:v>24757.867488662134</c:v>
                </c:pt>
                <c:pt idx="76" formatCode="#,##0">
                  <c:v>23490.06901160465</c:v>
                </c:pt>
                <c:pt idx="77" formatCode="#,##0">
                  <c:v>21729.428165383808</c:v>
                </c:pt>
                <c:pt idx="78" formatCode="#,##0">
                  <c:v>20059.195672606525</c:v>
                </c:pt>
                <c:pt idx="79" formatCode="#,##0">
                  <c:v>18423.413541618022</c:v>
                </c:pt>
                <c:pt idx="80" formatCode="#,##0">
                  <c:v>16296.917888387474</c:v>
                </c:pt>
                <c:pt idx="81" formatCode="#,##0">
                  <c:v>16884.062101109757</c:v>
                </c:pt>
                <c:pt idx="82" formatCode="#,##0">
                  <c:v>16350.881192653656</c:v>
                </c:pt>
                <c:pt idx="83" formatCode="#,##0">
                  <c:v>15469.231247957696</c:v>
                </c:pt>
                <c:pt idx="84" formatCode="#,##0">
                  <c:v>14109.146493208453</c:v>
                </c:pt>
                <c:pt idx="85" formatCode="#,##0">
                  <c:v>13359.790623236189</c:v>
                </c:pt>
                <c:pt idx="86" formatCode="#,##0">
                  <c:v>12318.518475149625</c:v>
                </c:pt>
                <c:pt idx="87" formatCode="#,##0">
                  <c:v>11427.270825104235</c:v>
                </c:pt>
                <c:pt idx="88" formatCode="#,##0">
                  <c:v>10597.96107211462</c:v>
                </c:pt>
                <c:pt idx="89" formatCode="#,##0">
                  <c:v>9893.2169412256444</c:v>
                </c:pt>
                <c:pt idx="90" formatCode="#,##0">
                  <c:v>9353.89577158664</c:v>
                </c:pt>
                <c:pt idx="91" formatCode="#,##0">
                  <c:v>9001.1534731905213</c:v>
                </c:pt>
                <c:pt idx="92" formatCode="#,##0">
                  <c:v>8585.607264334305</c:v>
                </c:pt>
                <c:pt idx="93" formatCode="#,##0">
                  <c:v>8373.072986394558</c:v>
                </c:pt>
                <c:pt idx="94" formatCode="#,##0">
                  <c:v>8212.0523520408169</c:v>
                </c:pt>
                <c:pt idx="95" formatCode="#,##0">
                  <c:v>7172.7373484848504</c:v>
                </c:pt>
                <c:pt idx="96" formatCode="#,##0">
                  <c:v>5947.8545089743584</c:v>
                </c:pt>
                <c:pt idx="97" formatCode="#,##0">
                  <c:v>4646.8776932515339</c:v>
                </c:pt>
                <c:pt idx="98" formatCode="#,##0">
                  <c:v>3658.2917146470445</c:v>
                </c:pt>
                <c:pt idx="99" formatCode="#,##0">
                  <c:v>3189.7672987649498</c:v>
                </c:pt>
                <c:pt idx="100" formatCode="#,##0">
                  <c:v>2644.735279226426</c:v>
                </c:pt>
                <c:pt idx="101" formatCode="#,##0">
                  <c:v>2769.1645578313751</c:v>
                </c:pt>
                <c:pt idx="102" formatCode="#,##0">
                  <c:v>3066.5125631849728</c:v>
                </c:pt>
                <c:pt idx="103" formatCode="#,##0">
                  <c:v>3105.8555469977082</c:v>
                </c:pt>
                <c:pt idx="104" formatCode="#,##0">
                  <c:v>2964.2686801254486</c:v>
                </c:pt>
                <c:pt idx="105" formatCode="#,##0">
                  <c:v>2797.9845755734768</c:v>
                </c:pt>
                <c:pt idx="106" formatCode="#,##0">
                  <c:v>3000.7631341801798</c:v>
                </c:pt>
                <c:pt idx="107" formatCode="#,##0">
                  <c:v>2724.6838274444449</c:v>
                </c:pt>
                <c:pt idx="108" formatCode="#,##0">
                  <c:v>2535.3235614444438</c:v>
                </c:pt>
                <c:pt idx="109" formatCode="#,##0">
                  <c:v>2452.1090625280895</c:v>
                </c:pt>
                <c:pt idx="110" formatCode="#,##0">
                  <c:v>2521.1549866281307</c:v>
                </c:pt>
                <c:pt idx="111" formatCode="#,##0">
                  <c:v>2595.1482237951805</c:v>
                </c:pt>
                <c:pt idx="112" formatCode="#,##0">
                  <c:v>2592.9888276337451</c:v>
                </c:pt>
                <c:pt idx="113" formatCode="#,##0">
                  <c:v>2520.8086043459916</c:v>
                </c:pt>
                <c:pt idx="114" formatCode="#,##0">
                  <c:v>2388.9755077637133</c:v>
                </c:pt>
                <c:pt idx="115" formatCode="#,##0">
                  <c:v>2233.0220047169814</c:v>
                </c:pt>
                <c:pt idx="116" formatCode="#,##0">
                  <c:v>2140.1655063541671</c:v>
                </c:pt>
                <c:pt idx="117" formatCode="#,##0">
                  <c:v>1990.5642419879514</c:v>
                </c:pt>
                <c:pt idx="118" formatCode="#,##0">
                  <c:v>1953.7170301587298</c:v>
                </c:pt>
                <c:pt idx="119" formatCode="#,##0">
                  <c:v>1840.6985394412332</c:v>
                </c:pt>
                <c:pt idx="120" formatCode="#,##0">
                  <c:v>1613.9369206105612</c:v>
                </c:pt>
                <c:pt idx="121" formatCode="#,##0">
                  <c:v>1456.8341893154761</c:v>
                </c:pt>
                <c:pt idx="122" formatCode="#,##0">
                  <c:v>1328.1518656944443</c:v>
                </c:pt>
                <c:pt idx="123" formatCode="#,##0">
                  <c:v>1289.126004422043</c:v>
                </c:pt>
                <c:pt idx="124" formatCode="#,##0">
                  <c:v>1319.3336180130718</c:v>
                </c:pt>
                <c:pt idx="125" formatCode="#,##0">
                  <c:v>1358.7683209160305</c:v>
                </c:pt>
                <c:pt idx="126" formatCode="#,##0">
                  <c:v>1310.3262850987655</c:v>
                </c:pt>
                <c:pt idx="127" formatCode="#,##0">
                  <c:v>1226.3643524682814</c:v>
                </c:pt>
                <c:pt idx="128" formatCode="#,##0">
                  <c:v>1181.2183795498393</c:v>
                </c:pt>
                <c:pt idx="129" formatCode="#,##0">
                  <c:v>1158.8453778645835</c:v>
                </c:pt>
                <c:pt idx="130" formatCode="#,##0">
                  <c:v>1134.248866040404</c:v>
                </c:pt>
                <c:pt idx="131" formatCode="#,##0">
                  <c:v>1055.5081493703703</c:v>
                </c:pt>
                <c:pt idx="132" formatCode="#,##0">
                  <c:v>1040.7587138931299</c:v>
                </c:pt>
                <c:pt idx="133" formatCode="#,##0">
                  <c:v>1063.6903830864198</c:v>
                </c:pt>
                <c:pt idx="134" formatCode="#,##0">
                  <c:v>1054.5486968523003</c:v>
                </c:pt>
                <c:pt idx="135" formatCode="#,##0">
                  <c:v>1013.1939055497697</c:v>
                </c:pt>
                <c:pt idx="136" formatCode="#,##0">
                  <c:v>1017.7727100247894</c:v>
                </c:pt>
                <c:pt idx="137" formatCode="#,##0">
                  <c:v>1015.2214977049056</c:v>
                </c:pt>
                <c:pt idx="138" formatCode="#,##0">
                  <c:v>1018.2480477513883</c:v>
                </c:pt>
                <c:pt idx="139" formatCode="#,##0">
                  <c:v>988.39425667737601</c:v>
                </c:pt>
                <c:pt idx="140" formatCode="#,##0">
                  <c:v>955.53776407920759</c:v>
                </c:pt>
                <c:pt idx="141" formatCode="#,##0">
                  <c:v>952.50913745939124</c:v>
                </c:pt>
                <c:pt idx="142" formatCode="#,##0">
                  <c:v>933.8737208949932</c:v>
                </c:pt>
                <c:pt idx="143" formatCode="#,##0">
                  <c:v>938.92238779038996</c:v>
                </c:pt>
                <c:pt idx="144" formatCode="#,##0">
                  <c:v>925.76741190552252</c:v>
                </c:pt>
                <c:pt idx="145" formatCode="#,##0">
                  <c:v>922.05311972911579</c:v>
                </c:pt>
                <c:pt idx="146" formatCode="#,##0">
                  <c:v>915.68776712656552</c:v>
                </c:pt>
                <c:pt idx="147" formatCode="#,##0">
                  <c:v>898.47342904654897</c:v>
                </c:pt>
                <c:pt idx="148" formatCode="#,##0">
                  <c:v>925.89038038036801</c:v>
                </c:pt>
                <c:pt idx="149" formatCode="#,##0">
                  <c:v>863.28435678602614</c:v>
                </c:pt>
                <c:pt idx="150" formatCode="#,##0">
                  <c:v>808.21344722298227</c:v>
                </c:pt>
                <c:pt idx="151" formatCode="#,##0">
                  <c:v>810.68309474136186</c:v>
                </c:pt>
                <c:pt idx="152" formatCode="#,##0">
                  <c:v>796.82398161227002</c:v>
                </c:pt>
                <c:pt idx="153" formatCode="#,##0">
                  <c:v>735.24603172355717</c:v>
                </c:pt>
                <c:pt idx="154" formatCode="#,##0">
                  <c:v>796.12179385088746</c:v>
                </c:pt>
                <c:pt idx="155" formatCode="#,##0">
                  <c:v>883.33262643211538</c:v>
                </c:pt>
                <c:pt idx="156" formatCode="#,##0">
                  <c:v>920.18171951614443</c:v>
                </c:pt>
                <c:pt idx="157" formatCode="#,##0">
                  <c:v>907.35861166194411</c:v>
                </c:pt>
                <c:pt idx="158" formatCode="#,##0">
                  <c:v>926.98457834238957</c:v>
                </c:pt>
                <c:pt idx="159" formatCode="#,##0">
                  <c:v>901.20664900316081</c:v>
                </c:pt>
                <c:pt idx="160" formatCode="#,##0">
                  <c:v>958.09343135019208</c:v>
                </c:pt>
                <c:pt idx="161" formatCode="#,##0">
                  <c:v>1023.659547367247</c:v>
                </c:pt>
                <c:pt idx="162" formatCode="#,##0">
                  <c:v>1034.2232350874312</c:v>
                </c:pt>
                <c:pt idx="163" formatCode="#,##0">
                  <c:v>1010.6640146113473</c:v>
                </c:pt>
                <c:pt idx="164" formatCode="#,##0">
                  <c:v>976.12619571529012</c:v>
                </c:pt>
                <c:pt idx="165" formatCode="#,##0">
                  <c:v>941.13988158382301</c:v>
                </c:pt>
                <c:pt idx="166" formatCode="#,##0">
                  <c:v>925.75253616459952</c:v>
                </c:pt>
                <c:pt idx="167" formatCode="#,##0">
                  <c:v>874.3118295060068</c:v>
                </c:pt>
                <c:pt idx="168" formatCode="#,##0.0">
                  <c:v>878.42248549767874</c:v>
                </c:pt>
                <c:pt idx="169" formatCode="#,##0.0">
                  <c:v>874.68295666280244</c:v>
                </c:pt>
                <c:pt idx="170" formatCode="#,##0.0">
                  <c:v>863.36941135115865</c:v>
                </c:pt>
                <c:pt idx="171" formatCode="#,##0.0">
                  <c:v>897.59734044090294</c:v>
                </c:pt>
                <c:pt idx="172" formatCode="#,##0.0">
                  <c:v>910.22174172365976</c:v>
                </c:pt>
                <c:pt idx="173" formatCode="#,##0.0">
                  <c:v>892.82337847614508</c:v>
                </c:pt>
                <c:pt idx="174" formatCode="#,##0.0">
                  <c:v>900.81603745070561</c:v>
                </c:pt>
                <c:pt idx="175" formatCode="#,##0.0">
                  <c:v>882.55827300590147</c:v>
                </c:pt>
                <c:pt idx="176" formatCode="#,##0.0">
                  <c:v>857.66726835097131</c:v>
                </c:pt>
                <c:pt idx="177" formatCode="#,##0.0">
                  <c:v>791.9322260147743</c:v>
                </c:pt>
                <c:pt idx="178" formatCode="#,##0.0">
                  <c:v>730.6777996931894</c:v>
                </c:pt>
                <c:pt idx="179" formatCode="#,##0.0">
                  <c:v>710.47668190911315</c:v>
                </c:pt>
                <c:pt idx="180" formatCode="#,##0.0">
                  <c:v>675.90927217408944</c:v>
                </c:pt>
                <c:pt idx="181" formatCode="#,##0.0">
                  <c:v>658.03947228002005</c:v>
                </c:pt>
                <c:pt idx="182" formatCode="#,##0.0">
                  <c:v>650.74850836614144</c:v>
                </c:pt>
                <c:pt idx="183" formatCode="#,##0.0">
                  <c:v>638.83115308693175</c:v>
                </c:pt>
                <c:pt idx="184" formatCode="#,##0.0">
                  <c:v>657.09802336643656</c:v>
                </c:pt>
                <c:pt idx="185" formatCode="#,##0.0">
                  <c:v>707.17072994913042</c:v>
                </c:pt>
                <c:pt idx="186" formatCode="#,##0.0">
                  <c:v>833.80749137320322</c:v>
                </c:pt>
                <c:pt idx="187" formatCode="#,##0.0">
                  <c:v>863.7561857676875</c:v>
                </c:pt>
                <c:pt idx="188" formatCode="#,##0.0">
                  <c:v>960.1901727780388</c:v>
                </c:pt>
                <c:pt idx="189" formatCode="#,##0.0">
                  <c:v>1008.9075738536374</c:v>
                </c:pt>
                <c:pt idx="190" formatCode="#,##0.0">
                  <c:v>940.33097498623681</c:v>
                </c:pt>
                <c:pt idx="191" formatCode="#,##0.0">
                  <c:v>958.72790053096003</c:v>
                </c:pt>
                <c:pt idx="192" formatCode="#,##0.0">
                  <c:v>981.96169866634193</c:v>
                </c:pt>
                <c:pt idx="193" formatCode="#,##0.0">
                  <c:v>1023.0839753113696</c:v>
                </c:pt>
                <c:pt idx="194" formatCode="#,##0.0">
                  <c:v>1054.839804368019</c:v>
                </c:pt>
                <c:pt idx="195" formatCode="#,##0.0">
                  <c:v>1041.1917453150725</c:v>
                </c:pt>
                <c:pt idx="196" formatCode="#,##0.0">
                  <c:v>1020.6173300492571</c:v>
                </c:pt>
                <c:pt idx="197" formatCode="#,##0.0">
                  <c:v>1051.7804467800809</c:v>
                </c:pt>
                <c:pt idx="198" formatCode="#,##0.0">
                  <c:v>1105.7452134807672</c:v>
                </c:pt>
                <c:pt idx="199" formatCode="#,##0.0">
                  <c:v>1156.2265342767646</c:v>
                </c:pt>
              </c:numCache>
            </c:numRef>
          </c:val>
          <c:smooth val="0"/>
          <c:extLst>
            <c:ext xmlns:c16="http://schemas.microsoft.com/office/drawing/2014/chart" uri="{C3380CC4-5D6E-409C-BE32-E72D297353CC}">
              <c16:uniqueId val="{00000002-1DB8-4AA8-82DD-BA521A4A7E69}"/>
            </c:ext>
          </c:extLst>
        </c:ser>
        <c:dLbls>
          <c:showLegendKey val="0"/>
          <c:showVal val="0"/>
          <c:showCatName val="0"/>
          <c:showSerName val="0"/>
          <c:showPercent val="0"/>
          <c:showBubbleSize val="0"/>
        </c:dLbls>
        <c:smooth val="0"/>
        <c:axId val="210792832"/>
        <c:axId val="210794368"/>
      </c:lineChart>
      <c:catAx>
        <c:axId val="210792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210794368"/>
        <c:crossesAt val="0.1"/>
        <c:auto val="1"/>
        <c:lblAlgn val="ctr"/>
        <c:lblOffset val="100"/>
        <c:tickLblSkip val="20"/>
        <c:tickMarkSkip val="20"/>
        <c:noMultiLvlLbl val="0"/>
      </c:catAx>
      <c:valAx>
        <c:axId val="210794368"/>
        <c:scaling>
          <c:orientation val="minMax"/>
          <c:max val="5000"/>
          <c:min val="0"/>
        </c:scaling>
        <c:delete val="0"/>
        <c:axPos val="l"/>
        <c:title>
          <c:tx>
            <c:rich>
              <a:bodyPr/>
              <a:lstStyle/>
              <a:p>
                <a:pPr>
                  <a:defRPr sz="1200" b="1" i="0" u="none" strike="noStrike" baseline="0">
                    <a:solidFill>
                      <a:srgbClr val="000000"/>
                    </a:solidFill>
                    <a:latin typeface="Times New Roman"/>
                    <a:ea typeface="Times New Roman"/>
                    <a:cs typeface="Times New Roman"/>
                  </a:defRPr>
                </a:pPr>
                <a:r>
                  <a:rPr lang="es-ES"/>
                  <a:t>£(2000) per tonne of oil equivalent</a:t>
                </a:r>
              </a:p>
            </c:rich>
          </c:tx>
          <c:layout>
            <c:manualLayout>
              <c:xMode val="edge"/>
              <c:yMode val="edge"/>
              <c:x val="6.7811595000678015E-3"/>
              <c:y val="0.177978178686298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210792832"/>
        <c:crosses val="autoZero"/>
        <c:crossBetween val="between"/>
        <c:majorUnit val="1000"/>
      </c:valAx>
      <c:spPr>
        <a:noFill/>
        <a:ln w="25400">
          <a:noFill/>
        </a:ln>
      </c:spPr>
    </c:plotArea>
    <c:legend>
      <c:legendPos val="t"/>
      <c:layout>
        <c:manualLayout>
          <c:xMode val="edge"/>
          <c:yMode val="edge"/>
          <c:x val="0.14233369494146916"/>
          <c:y val="1.3047909457782307E-2"/>
          <c:w val="0.48585507694884461"/>
          <c:h val="6.248998290415643E-2"/>
        </c:manualLayout>
      </c:layout>
      <c:overlay val="0"/>
      <c:txPr>
        <a:bodyPr/>
        <a:lstStyle/>
        <a:p>
          <a:pPr>
            <a:defRPr sz="1200">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solidFill>
      <a:srgbClr val="FFFFFF"/>
    </a:solidFill>
    <a:ln w="9525">
      <a:noFill/>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64139331771943"/>
          <c:y val="3.8452899331230771E-2"/>
          <c:w val="0.79629359913825803"/>
          <c:h val="0.82460165510096906"/>
        </c:manualLayout>
      </c:layout>
      <c:lineChart>
        <c:grouping val="standard"/>
        <c:varyColors val="0"/>
        <c:ser>
          <c:idx val="2"/>
          <c:order val="0"/>
          <c:tx>
            <c:v>Woodfuel</c:v>
          </c:tx>
          <c:spPr>
            <a:ln w="6350">
              <a:solidFill>
                <a:schemeClr val="accent6">
                  <a:lumMod val="50000"/>
                </a:schemeClr>
              </a:solidFill>
            </a:ln>
          </c:spPr>
          <c:marker>
            <c:symbol val="none"/>
          </c:marker>
          <c:cat>
            <c:numRef>
              <c:f>'2.1.1 PricesLR'!$A$10:$A$730</c:f>
              <c:numCache>
                <c:formatCode>General</c:formatCode>
                <c:ptCount val="7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'2.1.1 PricesLR'!$N$10:$N$330</c:f>
              <c:numCache>
                <c:formatCode>#,##0.0</c:formatCode>
                <c:ptCount val="321"/>
                <c:pt idx="0">
                  <c:v>346.77143786916201</c:v>
                </c:pt>
                <c:pt idx="1">
                  <c:v>323.81027462041908</c:v>
                </c:pt>
                <c:pt idx="2">
                  <c:v>342.50746623231674</c:v>
                </c:pt>
                <c:pt idx="3">
                  <c:v>367.65971733348175</c:v>
                </c:pt>
                <c:pt idx="4">
                  <c:v>312.47010113019712</c:v>
                </c:pt>
                <c:pt idx="5">
                  <c:v>345.42083940545734</c:v>
                </c:pt>
                <c:pt idx="6">
                  <c:v>335.54069113774904</c:v>
                </c:pt>
                <c:pt idx="7">
                  <c:v>288.63361825727986</c:v>
                </c:pt>
                <c:pt idx="8">
                  <c:v>278.54621287031415</c:v>
                </c:pt>
                <c:pt idx="9">
                  <c:v>244.96876821579212</c:v>
                </c:pt>
                <c:pt idx="10">
                  <c:v>306.48101994502855</c:v>
                </c:pt>
                <c:pt idx="11">
                  <c:v>318.58747104469415</c:v>
                </c:pt>
                <c:pt idx="12">
                  <c:v>314.15354458381069</c:v>
                </c:pt>
                <c:pt idx="13">
                  <c:v>310.19204014793326</c:v>
                </c:pt>
                <c:pt idx="14">
                  <c:v>327.422261318984</c:v>
                </c:pt>
                <c:pt idx="15">
                  <c:v>336.5749941753125</c:v>
                </c:pt>
                <c:pt idx="16">
                  <c:v>308.82901364503215</c:v>
                </c:pt>
                <c:pt idx="17">
                  <c:v>320.10143545147309</c:v>
                </c:pt>
                <c:pt idx="18">
                  <c:v>327.205328289693</c:v>
                </c:pt>
                <c:pt idx="19">
                  <c:v>322.23594299707798</c:v>
                </c:pt>
                <c:pt idx="20">
                  <c:v>312.69257367990645</c:v>
                </c:pt>
                <c:pt idx="21">
                  <c:v>304.93751212425991</c:v>
                </c:pt>
                <c:pt idx="22">
                  <c:v>317.8851219239466</c:v>
                </c:pt>
                <c:pt idx="23">
                  <c:v>312.7512617930667</c:v>
                </c:pt>
                <c:pt idx="24">
                  <c:v>276.60879985740456</c:v>
                </c:pt>
                <c:pt idx="25">
                  <c:v>277.27445130416066</c:v>
                </c:pt>
                <c:pt idx="26">
                  <c:v>325.44558543767556</c:v>
                </c:pt>
                <c:pt idx="27">
                  <c:v>294.35794444907475</c:v>
                </c:pt>
                <c:pt idx="28">
                  <c:v>290.73201160920416</c:v>
                </c:pt>
                <c:pt idx="29">
                  <c:v>339.37880578497834</c:v>
                </c:pt>
                <c:pt idx="30">
                  <c:v>347.20723029107012</c:v>
                </c:pt>
                <c:pt idx="31">
                  <c:v>359.79317265680345</c:v>
                </c:pt>
                <c:pt idx="32">
                  <c:v>339.79027413553382</c:v>
                </c:pt>
                <c:pt idx="33">
                  <c:v>330.23641364611478</c:v>
                </c:pt>
                <c:pt idx="34">
                  <c:v>322.42093838362581</c:v>
                </c:pt>
                <c:pt idx="35">
                  <c:v>285.83227725924121</c:v>
                </c:pt>
                <c:pt idx="36">
                  <c:v>321.37947902813409</c:v>
                </c:pt>
                <c:pt idx="37">
                  <c:v>287.5436043739204</c:v>
                </c:pt>
                <c:pt idx="38">
                  <c:v>289.75319578795359</c:v>
                </c:pt>
                <c:pt idx="39">
                  <c:v>275.09187591708547</c:v>
                </c:pt>
                <c:pt idx="40">
                  <c:v>270.31877482373164</c:v>
                </c:pt>
                <c:pt idx="41">
                  <c:v>318.14449307094861</c:v>
                </c:pt>
                <c:pt idx="42">
                  <c:v>338.78305255676872</c:v>
                </c:pt>
                <c:pt idx="43">
                  <c:v>307.4199497377146</c:v>
                </c:pt>
                <c:pt idx="44">
                  <c:v>292.298717695645</c:v>
                </c:pt>
                <c:pt idx="45">
                  <c:v>288.08589945234564</c:v>
                </c:pt>
                <c:pt idx="46">
                  <c:v>296.3056156809979</c:v>
                </c:pt>
                <c:pt idx="47">
                  <c:v>275.76362319363045</c:v>
                </c:pt>
                <c:pt idx="48">
                  <c:v>287.53065054871644</c:v>
                </c:pt>
                <c:pt idx="49">
                  <c:v>288.92221668478192</c:v>
                </c:pt>
                <c:pt idx="50">
                  <c:v>289.0537199767677</c:v>
                </c:pt>
                <c:pt idx="51">
                  <c:v>259.31341827619917</c:v>
                </c:pt>
                <c:pt idx="52">
                  <c:v>283.14231818858445</c:v>
                </c:pt>
                <c:pt idx="53">
                  <c:v>264.04141598091365</c:v>
                </c:pt>
                <c:pt idx="54">
                  <c:v>339.22208324947593</c:v>
                </c:pt>
                <c:pt idx="55">
                  <c:v>298.62278883385295</c:v>
                </c:pt>
                <c:pt idx="56">
                  <c:v>209.13881029169787</c:v>
                </c:pt>
                <c:pt idx="57">
                  <c:v>268.10395477985054</c:v>
                </c:pt>
                <c:pt idx="58">
                  <c:v>230.73821937195768</c:v>
                </c:pt>
                <c:pt idx="59">
                  <c:v>286.9415835804748</c:v>
                </c:pt>
                <c:pt idx="60">
                  <c:v>306.81210724863774</c:v>
                </c:pt>
                <c:pt idx="61">
                  <c:v>291.68978519608106</c:v>
                </c:pt>
                <c:pt idx="62">
                  <c:v>278.95294236430954</c:v>
                </c:pt>
                <c:pt idx="63">
                  <c:v>278.24510527511239</c:v>
                </c:pt>
                <c:pt idx="64">
                  <c:v>271.75131173940105</c:v>
                </c:pt>
                <c:pt idx="65">
                  <c:v>265.57052473024163</c:v>
                </c:pt>
                <c:pt idx="66">
                  <c:v>260.43428857345822</c:v>
                </c:pt>
                <c:pt idx="67">
                  <c:v>225.33482825777438</c:v>
                </c:pt>
                <c:pt idx="68">
                  <c:v>238.61570916380379</c:v>
                </c:pt>
                <c:pt idx="69">
                  <c:v>261.81707215633963</c:v>
                </c:pt>
                <c:pt idx="70">
                  <c:v>271.09864393871862</c:v>
                </c:pt>
                <c:pt idx="71">
                  <c:v>245.75214791893643</c:v>
                </c:pt>
                <c:pt idx="72">
                  <c:v>239.75833485860659</c:v>
                </c:pt>
                <c:pt idx="73">
                  <c:v>265.42355328273527</c:v>
                </c:pt>
                <c:pt idx="74">
                  <c:v>286.7825241731033</c:v>
                </c:pt>
                <c:pt idx="75">
                  <c:v>278.34683264177858</c:v>
                </c:pt>
                <c:pt idx="76">
                  <c:v>299.08284172943212</c:v>
                </c:pt>
                <c:pt idx="77">
                  <c:v>273.87870247139864</c:v>
                </c:pt>
                <c:pt idx="78">
                  <c:v>312.10222393243203</c:v>
                </c:pt>
                <c:pt idx="79">
                  <c:v>323.09718276731695</c:v>
                </c:pt>
                <c:pt idx="80">
                  <c:v>274.01171369394376</c:v>
                </c:pt>
                <c:pt idx="81">
                  <c:v>240.11181941982039</c:v>
                </c:pt>
                <c:pt idx="82">
                  <c:v>251.94881434563607</c:v>
                </c:pt>
                <c:pt idx="83">
                  <c:v>230.78402444327716</c:v>
                </c:pt>
                <c:pt idx="84">
                  <c:v>238.86530399888241</c:v>
                </c:pt>
                <c:pt idx="85">
                  <c:v>236.21674028831515</c:v>
                </c:pt>
                <c:pt idx="86">
                  <c:v>237.98000231291712</c:v>
                </c:pt>
                <c:pt idx="87">
                  <c:v>232.38066241015875</c:v>
                </c:pt>
                <c:pt idx="88">
                  <c:v>248.17327823747289</c:v>
                </c:pt>
                <c:pt idx="89">
                  <c:v>223.29097144045181</c:v>
                </c:pt>
                <c:pt idx="90">
                  <c:v>230.26651891347311</c:v>
                </c:pt>
                <c:pt idx="91">
                  <c:v>228.56154797692781</c:v>
                </c:pt>
                <c:pt idx="92">
                  <c:v>225.56395335010225</c:v>
                </c:pt>
                <c:pt idx="93">
                  <c:v>203.31311391243665</c:v>
                </c:pt>
                <c:pt idx="94">
                  <c:v>206.05287832255476</c:v>
                </c:pt>
                <c:pt idx="95">
                  <c:v>174.27740922969238</c:v>
                </c:pt>
                <c:pt idx="96">
                  <c:v>162.7542369504134</c:v>
                </c:pt>
                <c:pt idx="97">
                  <c:v>201.84817319576638</c:v>
                </c:pt>
                <c:pt idx="98">
                  <c:v>201.52172262555047</c:v>
                </c:pt>
                <c:pt idx="99">
                  <c:v>191.63231619591815</c:v>
                </c:pt>
                <c:pt idx="100">
                  <c:v>135.22890018112651</c:v>
                </c:pt>
                <c:pt idx="101">
                  <c:v>126.61247786467835</c:v>
                </c:pt>
                <c:pt idx="102">
                  <c:v>176.83999271976381</c:v>
                </c:pt>
                <c:pt idx="103">
                  <c:v>199.2680765758484</c:v>
                </c:pt>
                <c:pt idx="104">
                  <c:v>190.88300396166156</c:v>
                </c:pt>
                <c:pt idx="105">
                  <c:v>167.32092205863793</c:v>
                </c:pt>
                <c:pt idx="106">
                  <c:v>183.28241175704935</c:v>
                </c:pt>
                <c:pt idx="107">
                  <c:v>196.01992383755424</c:v>
                </c:pt>
                <c:pt idx="108">
                  <c:v>183.98351211315753</c:v>
                </c:pt>
                <c:pt idx="109">
                  <c:v>163.3537819219797</c:v>
                </c:pt>
                <c:pt idx="110">
                  <c:v>164.35092323652816</c:v>
                </c:pt>
                <c:pt idx="111">
                  <c:v>159.84678036059137</c:v>
                </c:pt>
                <c:pt idx="112">
                  <c:v>163.50835415204818</c:v>
                </c:pt>
                <c:pt idx="113">
                  <c:v>178.42498985167549</c:v>
                </c:pt>
                <c:pt idx="114">
                  <c:v>205.9809728403512</c:v>
                </c:pt>
                <c:pt idx="115">
                  <c:v>251.48577622471416</c:v>
                </c:pt>
                <c:pt idx="116">
                  <c:v>208.00995168367788</c:v>
                </c:pt>
                <c:pt idx="117">
                  <c:v>192.21644021649001</c:v>
                </c:pt>
                <c:pt idx="118">
                  <c:v>206.22837974614683</c:v>
                </c:pt>
                <c:pt idx="119">
                  <c:v>207.69483103589275</c:v>
                </c:pt>
                <c:pt idx="120">
                  <c:v>225.21810163805714</c:v>
                </c:pt>
                <c:pt idx="121">
                  <c:v>231.23894958063917</c:v>
                </c:pt>
                <c:pt idx="122">
                  <c:v>243.33933232007516</c:v>
                </c:pt>
                <c:pt idx="123">
                  <c:v>237.5810897754034</c:v>
                </c:pt>
                <c:pt idx="124">
                  <c:v>245.25831102499458</c:v>
                </c:pt>
                <c:pt idx="125">
                  <c:v>233.16974972328865</c:v>
                </c:pt>
                <c:pt idx="126">
                  <c:v>249.99398979478616</c:v>
                </c:pt>
                <c:pt idx="127">
                  <c:v>251.70781224761978</c:v>
                </c:pt>
                <c:pt idx="128">
                  <c:v>255.7111080645214</c:v>
                </c:pt>
                <c:pt idx="129">
                  <c:v>239.17532994736987</c:v>
                </c:pt>
                <c:pt idx="130">
                  <c:v>250.18461910979713</c:v>
                </c:pt>
                <c:pt idx="131">
                  <c:v>247.39916282416169</c:v>
                </c:pt>
                <c:pt idx="132">
                  <c:v>270.24126046636434</c:v>
                </c:pt>
                <c:pt idx="133">
                  <c:v>283.69357900952053</c:v>
                </c:pt>
                <c:pt idx="134">
                  <c:v>275.89243335494166</c:v>
                </c:pt>
                <c:pt idx="135">
                  <c:v>237.01278365490063</c:v>
                </c:pt>
                <c:pt idx="136">
                  <c:v>221.07149904687256</c:v>
                </c:pt>
                <c:pt idx="137">
                  <c:v>249.02355221342091</c:v>
                </c:pt>
                <c:pt idx="138">
                  <c:v>228.44148081230344</c:v>
                </c:pt>
                <c:pt idx="139">
                  <c:v>209.85369274593137</c:v>
                </c:pt>
                <c:pt idx="140">
                  <c:v>211.85229934351165</c:v>
                </c:pt>
                <c:pt idx="141">
                  <c:v>217.65647192826538</c:v>
                </c:pt>
                <c:pt idx="142">
                  <c:v>226.52231599866323</c:v>
                </c:pt>
                <c:pt idx="143">
                  <c:v>227.02678330092283</c:v>
                </c:pt>
                <c:pt idx="144">
                  <c:v>210.79319601096876</c:v>
                </c:pt>
                <c:pt idx="145">
                  <c:v>237.31472228972888</c:v>
                </c:pt>
                <c:pt idx="146">
                  <c:v>209.16649582720561</c:v>
                </c:pt>
                <c:pt idx="147">
                  <c:v>171.51787519283843</c:v>
                </c:pt>
                <c:pt idx="148">
                  <c:v>187.06042474120954</c:v>
                </c:pt>
                <c:pt idx="149">
                  <c:v>205.5954682117077</c:v>
                </c:pt>
                <c:pt idx="150">
                  <c:v>221.60504432153374</c:v>
                </c:pt>
                <c:pt idx="151">
                  <c:v>236.89921933004373</c:v>
                </c:pt>
                <c:pt idx="152">
                  <c:v>234.77834474966684</c:v>
                </c:pt>
                <c:pt idx="153">
                  <c:v>170.7179882967753</c:v>
                </c:pt>
                <c:pt idx="154">
                  <c:v>191.33781425025933</c:v>
                </c:pt>
                <c:pt idx="155">
                  <c:v>162.38330765707789</c:v>
                </c:pt>
                <c:pt idx="156">
                  <c:v>177.45620026606807</c:v>
                </c:pt>
                <c:pt idx="157">
                  <c:v>208.01269342126341</c:v>
                </c:pt>
                <c:pt idx="158">
                  <c:v>182.97762363570257</c:v>
                </c:pt>
                <c:pt idx="159">
                  <c:v>241.42013124759384</c:v>
                </c:pt>
                <c:pt idx="160">
                  <c:v>223.26123998692617</c:v>
                </c:pt>
                <c:pt idx="161">
                  <c:v>218.62314057265576</c:v>
                </c:pt>
                <c:pt idx="162">
                  <c:v>219.24422904019173</c:v>
                </c:pt>
                <c:pt idx="163">
                  <c:v>220.90106979597786</c:v>
                </c:pt>
                <c:pt idx="164">
                  <c:v>271.2571983455361</c:v>
                </c:pt>
                <c:pt idx="165">
                  <c:v>200.40342773950647</c:v>
                </c:pt>
                <c:pt idx="166">
                  <c:v>186.62038864698687</c:v>
                </c:pt>
                <c:pt idx="167">
                  <c:v>174.20349909131124</c:v>
                </c:pt>
                <c:pt idx="168">
                  <c:v>156.67356273569141</c:v>
                </c:pt>
                <c:pt idx="169">
                  <c:v>177.53377411623617</c:v>
                </c:pt>
              </c:numCache>
            </c:numRef>
          </c:val>
          <c:smooth val="0"/>
          <c:extLst>
            <c:ext xmlns:c16="http://schemas.microsoft.com/office/drawing/2014/chart" uri="{C3380CC4-5D6E-409C-BE32-E72D297353CC}">
              <c16:uniqueId val="{00000000-08B2-4339-A324-2F313FD4BB4D}"/>
            </c:ext>
          </c:extLst>
        </c:ser>
        <c:ser>
          <c:idx val="1"/>
          <c:order val="1"/>
          <c:tx>
            <c:v>Coal</c:v>
          </c:tx>
          <c:spPr>
            <a:ln w="12700">
              <a:solidFill>
                <a:schemeClr val="tx2">
                  <a:lumMod val="75000"/>
                </a:schemeClr>
              </a:solidFill>
              <a:prstDash val="solid"/>
            </a:ln>
          </c:spPr>
          <c:marker>
            <c:symbol val="none"/>
          </c:marker>
          <c:cat>
            <c:numRef>
              <c:f>'2.1.1 PricesLR'!$A$10:$A$730</c:f>
              <c:numCache>
                <c:formatCode>General</c:formatCode>
                <c:ptCount val="7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'2.1.1 PricesLR'!$O$10:$O$330</c:f>
              <c:numCache>
                <c:formatCode>#,##0.0</c:formatCode>
                <c:ptCount val="321"/>
                <c:pt idx="0">
                  <c:v>121.52848665897432</c:v>
                </c:pt>
                <c:pt idx="1">
                  <c:v>131.24526174081092</c:v>
                </c:pt>
                <c:pt idx="2">
                  <c:v>152.99230893190241</c:v>
                </c:pt>
                <c:pt idx="3">
                  <c:v>149.72481885266433</c:v>
                </c:pt>
                <c:pt idx="4">
                  <c:v>170.48019329495219</c:v>
                </c:pt>
                <c:pt idx="5">
                  <c:v>163.86070352221731</c:v>
                </c:pt>
                <c:pt idx="6">
                  <c:v>152.41491265863468</c:v>
                </c:pt>
                <c:pt idx="7">
                  <c:v>149.51738924182234</c:v>
                </c:pt>
                <c:pt idx="8">
                  <c:v>132.84097886287921</c:v>
                </c:pt>
                <c:pt idx="9">
                  <c:v>120.45730847049045</c:v>
                </c:pt>
                <c:pt idx="10">
                  <c:v>139.59113145851424</c:v>
                </c:pt>
                <c:pt idx="11">
                  <c:v>144.89696913355331</c:v>
                </c:pt>
                <c:pt idx="12">
                  <c:v>128.46492807445415</c:v>
                </c:pt>
                <c:pt idx="13">
                  <c:v>134.90411402083663</c:v>
                </c:pt>
                <c:pt idx="14">
                  <c:v>128.4047293449876</c:v>
                </c:pt>
                <c:pt idx="15">
                  <c:v>117.22823808581494</c:v>
                </c:pt>
                <c:pt idx="16">
                  <c:v>118.22980192297061</c:v>
                </c:pt>
                <c:pt idx="17">
                  <c:v>140.2085934328698</c:v>
                </c:pt>
                <c:pt idx="18">
                  <c:v>143.17075005214497</c:v>
                </c:pt>
                <c:pt idx="19">
                  <c:v>144.74183972419607</c:v>
                </c:pt>
                <c:pt idx="20">
                  <c:v>138.27794064147093</c:v>
                </c:pt>
                <c:pt idx="21">
                  <c:v>141.20405006058823</c:v>
                </c:pt>
                <c:pt idx="22">
                  <c:v>136.5059389390334</c:v>
                </c:pt>
                <c:pt idx="23">
                  <c:v>130.1565445440624</c:v>
                </c:pt>
                <c:pt idx="24">
                  <c:v>127.08811714732819</c:v>
                </c:pt>
                <c:pt idx="25">
                  <c:v>123.16660157055742</c:v>
                </c:pt>
                <c:pt idx="26">
                  <c:v>135.20364586762523</c:v>
                </c:pt>
                <c:pt idx="27">
                  <c:v>119.21063449697633</c:v>
                </c:pt>
                <c:pt idx="28">
                  <c:v>119.36329037046301</c:v>
                </c:pt>
                <c:pt idx="29">
                  <c:v>142.24405728590878</c:v>
                </c:pt>
                <c:pt idx="30">
                  <c:v>135.88149539498025</c:v>
                </c:pt>
                <c:pt idx="31">
                  <c:v>156.83024945794941</c:v>
                </c:pt>
                <c:pt idx="32">
                  <c:v>146.63788501927456</c:v>
                </c:pt>
                <c:pt idx="33">
                  <c:v>140.32086916094823</c:v>
                </c:pt>
                <c:pt idx="34">
                  <c:v>135.1966723099346</c:v>
                </c:pt>
                <c:pt idx="35">
                  <c:v>137.15959072073105</c:v>
                </c:pt>
                <c:pt idx="36">
                  <c:v>138.35873547900408</c:v>
                </c:pt>
                <c:pt idx="37">
                  <c:v>138.58222465786099</c:v>
                </c:pt>
                <c:pt idx="38">
                  <c:v>138.31899132842673</c:v>
                </c:pt>
                <c:pt idx="39">
                  <c:v>121.04648621362858</c:v>
                </c:pt>
                <c:pt idx="40">
                  <c:v>141.60013589519255</c:v>
                </c:pt>
                <c:pt idx="41">
                  <c:v>140.08414134168152</c:v>
                </c:pt>
                <c:pt idx="42">
                  <c:v>151.30581868002855</c:v>
                </c:pt>
                <c:pt idx="43">
                  <c:v>152.45775573510036</c:v>
                </c:pt>
                <c:pt idx="44">
                  <c:v>157.58343658635906</c:v>
                </c:pt>
                <c:pt idx="45">
                  <c:v>154.33958254429862</c:v>
                </c:pt>
                <c:pt idx="46">
                  <c:v>155.00713030580312</c:v>
                </c:pt>
                <c:pt idx="47">
                  <c:v>149.30294839649247</c:v>
                </c:pt>
                <c:pt idx="48">
                  <c:v>146.05921323419261</c:v>
                </c:pt>
                <c:pt idx="49">
                  <c:v>145.46046964672738</c:v>
                </c:pt>
                <c:pt idx="50">
                  <c:v>142.19152057161625</c:v>
                </c:pt>
                <c:pt idx="51">
                  <c:v>137.76360941975889</c:v>
                </c:pt>
                <c:pt idx="52">
                  <c:v>132.57664817139423</c:v>
                </c:pt>
                <c:pt idx="53">
                  <c:v>139.5829365438866</c:v>
                </c:pt>
                <c:pt idx="54">
                  <c:v>143.13949312724787</c:v>
                </c:pt>
                <c:pt idx="55">
                  <c:v>141.49652811864033</c:v>
                </c:pt>
                <c:pt idx="56">
                  <c:v>134.54677698450189</c:v>
                </c:pt>
                <c:pt idx="57">
                  <c:v>145.56970592621963</c:v>
                </c:pt>
                <c:pt idx="58">
                  <c:v>151.13664945882039</c:v>
                </c:pt>
                <c:pt idx="59">
                  <c:v>166.13070757302953</c:v>
                </c:pt>
                <c:pt idx="60">
                  <c:v>153.94836977294437</c:v>
                </c:pt>
                <c:pt idx="61">
                  <c:v>163.78240254805939</c:v>
                </c:pt>
                <c:pt idx="62">
                  <c:v>158.82487543646019</c:v>
                </c:pt>
                <c:pt idx="63">
                  <c:v>162.39583546117728</c:v>
                </c:pt>
                <c:pt idx="64">
                  <c:v>143.82870941367412</c:v>
                </c:pt>
                <c:pt idx="65">
                  <c:v>129.95474495805848</c:v>
                </c:pt>
                <c:pt idx="66">
                  <c:v>125.22541387605222</c:v>
                </c:pt>
                <c:pt idx="67">
                  <c:v>107.59406907433593</c:v>
                </c:pt>
                <c:pt idx="68">
                  <c:v>108.20666161104569</c:v>
                </c:pt>
                <c:pt idx="69">
                  <c:v>121.99211578123277</c:v>
                </c:pt>
                <c:pt idx="70">
                  <c:v>118.60661104440554</c:v>
                </c:pt>
                <c:pt idx="71">
                  <c:v>128.10874618059304</c:v>
                </c:pt>
                <c:pt idx="72">
                  <c:v>122.09305764498843</c:v>
                </c:pt>
                <c:pt idx="73">
                  <c:v>105.93524257697052</c:v>
                </c:pt>
                <c:pt idx="74">
                  <c:v>106.84973871076085</c:v>
                </c:pt>
                <c:pt idx="75">
                  <c:v>115.8478003475692</c:v>
                </c:pt>
                <c:pt idx="76">
                  <c:v>134.16621499135678</c:v>
                </c:pt>
                <c:pt idx="77">
                  <c:v>122.23891457220711</c:v>
                </c:pt>
                <c:pt idx="78">
                  <c:v>135.13277883608865</c:v>
                </c:pt>
                <c:pt idx="79">
                  <c:v>135.26602390280866</c:v>
                </c:pt>
                <c:pt idx="80">
                  <c:v>146.17770040686003</c:v>
                </c:pt>
                <c:pt idx="81">
                  <c:v>134.44829960201557</c:v>
                </c:pt>
                <c:pt idx="82">
                  <c:v>137.90295054922851</c:v>
                </c:pt>
                <c:pt idx="83">
                  <c:v>125.79635460357345</c:v>
                </c:pt>
                <c:pt idx="84">
                  <c:v>121.16619928339667</c:v>
                </c:pt>
                <c:pt idx="85">
                  <c:v>129.25435787539698</c:v>
                </c:pt>
                <c:pt idx="86">
                  <c:v>135.52489140675169</c:v>
                </c:pt>
                <c:pt idx="87">
                  <c:v>130.34056880694126</c:v>
                </c:pt>
                <c:pt idx="88">
                  <c:v>120.84960928091955</c:v>
                </c:pt>
                <c:pt idx="89">
                  <c:v>125.20753351190366</c:v>
                </c:pt>
                <c:pt idx="90">
                  <c:v>119.86231212228068</c:v>
                </c:pt>
                <c:pt idx="91">
                  <c:v>126.44683974845516</c:v>
                </c:pt>
                <c:pt idx="92">
                  <c:v>126.71691077293343</c:v>
                </c:pt>
                <c:pt idx="93">
                  <c:v>133.66115362587354</c:v>
                </c:pt>
                <c:pt idx="94">
                  <c:v>135.3994713492562</c:v>
                </c:pt>
                <c:pt idx="95">
                  <c:v>131.14542746059033</c:v>
                </c:pt>
                <c:pt idx="96">
                  <c:v>114.24831171169571</c:v>
                </c:pt>
                <c:pt idx="97">
                  <c:v>130.57675027915064</c:v>
                </c:pt>
                <c:pt idx="98">
                  <c:v>130.57901517524999</c:v>
                </c:pt>
                <c:pt idx="99">
                  <c:v>139.7789869541491</c:v>
                </c:pt>
                <c:pt idx="100">
                  <c:v>109.75763804278172</c:v>
                </c:pt>
                <c:pt idx="101">
                  <c:v>92.182922371423942</c:v>
                </c:pt>
                <c:pt idx="102">
                  <c:v>121.89058190434152</c:v>
                </c:pt>
                <c:pt idx="103">
                  <c:v>146.50387199777188</c:v>
                </c:pt>
                <c:pt idx="104">
                  <c:v>144.22108182883275</c:v>
                </c:pt>
                <c:pt idx="105">
                  <c:v>121.96574475523869</c:v>
                </c:pt>
                <c:pt idx="106">
                  <c:v>132.58608117219813</c:v>
                </c:pt>
                <c:pt idx="107">
                  <c:v>134.99417204389607</c:v>
                </c:pt>
                <c:pt idx="108">
                  <c:v>140.84696710698199</c:v>
                </c:pt>
                <c:pt idx="109">
                  <c:v>132.01452220435959</c:v>
                </c:pt>
                <c:pt idx="110">
                  <c:v>129.21658031430781</c:v>
                </c:pt>
                <c:pt idx="111">
                  <c:v>121.13367194025335</c:v>
                </c:pt>
                <c:pt idx="112">
                  <c:v>104.4918602302143</c:v>
                </c:pt>
                <c:pt idx="113">
                  <c:v>114.18534520752553</c:v>
                </c:pt>
                <c:pt idx="114">
                  <c:v>143.64354055391797</c:v>
                </c:pt>
                <c:pt idx="115">
                  <c:v>204.67252117270746</c:v>
                </c:pt>
                <c:pt idx="116">
                  <c:v>126.95390314443998</c:v>
                </c:pt>
                <c:pt idx="117">
                  <c:v>113.59525954678568</c:v>
                </c:pt>
                <c:pt idx="118">
                  <c:v>125.32265985050242</c:v>
                </c:pt>
                <c:pt idx="119">
                  <c:v>124.12387595891492</c:v>
                </c:pt>
                <c:pt idx="120">
                  <c:v>129.49136516397982</c:v>
                </c:pt>
                <c:pt idx="121">
                  <c:v>139.79703846692027</c:v>
                </c:pt>
                <c:pt idx="122">
                  <c:v>147.32996851010444</c:v>
                </c:pt>
                <c:pt idx="123">
                  <c:v>150.79364316159857</c:v>
                </c:pt>
                <c:pt idx="124">
                  <c:v>134.13688057218258</c:v>
                </c:pt>
                <c:pt idx="125">
                  <c:v>130.49476161679266</c:v>
                </c:pt>
                <c:pt idx="126">
                  <c:v>136.82942552804812</c:v>
                </c:pt>
                <c:pt idx="127">
                  <c:v>138.94420680222447</c:v>
                </c:pt>
                <c:pt idx="128">
                  <c:v>136.93493537806108</c:v>
                </c:pt>
                <c:pt idx="129">
                  <c:v>119.79261669310813</c:v>
                </c:pt>
                <c:pt idx="130">
                  <c:v>131.4343230141134</c:v>
                </c:pt>
                <c:pt idx="131">
                  <c:v>116.43007325055798</c:v>
                </c:pt>
                <c:pt idx="132">
                  <c:v>126.41432979642092</c:v>
                </c:pt>
                <c:pt idx="133">
                  <c:v>103.20774833429452</c:v>
                </c:pt>
                <c:pt idx="134">
                  <c:v>109.64944947419146</c:v>
                </c:pt>
                <c:pt idx="135">
                  <c:v>123.34872917090465</c:v>
                </c:pt>
                <c:pt idx="136">
                  <c:v>119.8169010417856</c:v>
                </c:pt>
                <c:pt idx="137">
                  <c:v>121.85974377278235</c:v>
                </c:pt>
                <c:pt idx="138">
                  <c:v>116.0006382198566</c:v>
                </c:pt>
                <c:pt idx="139">
                  <c:v>105.28254892701439</c:v>
                </c:pt>
                <c:pt idx="140">
                  <c:v>104.05712765194987</c:v>
                </c:pt>
                <c:pt idx="141">
                  <c:v>105.56881087624006</c:v>
                </c:pt>
                <c:pt idx="142">
                  <c:v>101.94670651541632</c:v>
                </c:pt>
                <c:pt idx="143">
                  <c:v>105.12927108535553</c:v>
                </c:pt>
                <c:pt idx="144">
                  <c:v>102.9045690402146</c:v>
                </c:pt>
                <c:pt idx="145">
                  <c:v>104.40756565396244</c:v>
                </c:pt>
                <c:pt idx="146">
                  <c:v>89.655808177075102</c:v>
                </c:pt>
                <c:pt idx="147">
                  <c:v>83.483583121490454</c:v>
                </c:pt>
                <c:pt idx="148">
                  <c:v>92.293783489803914</c:v>
                </c:pt>
                <c:pt idx="149">
                  <c:v>87.859833653624875</c:v>
                </c:pt>
                <c:pt idx="150">
                  <c:v>90.469741966207934</c:v>
                </c:pt>
                <c:pt idx="151">
                  <c:v>91.892002547545445</c:v>
                </c:pt>
                <c:pt idx="152">
                  <c:v>92.794849384457663</c:v>
                </c:pt>
                <c:pt idx="153">
                  <c:v>90.323867265077183</c:v>
                </c:pt>
                <c:pt idx="154">
                  <c:v>88.921502168512461</c:v>
                </c:pt>
                <c:pt idx="155">
                  <c:v>83.925397131631215</c:v>
                </c:pt>
                <c:pt idx="156">
                  <c:v>80.776541791319488</c:v>
                </c:pt>
                <c:pt idx="157">
                  <c:v>84.059889200811881</c:v>
                </c:pt>
                <c:pt idx="158">
                  <c:v>88.828883188453133</c:v>
                </c:pt>
                <c:pt idx="159">
                  <c:v>85.748781675865615</c:v>
                </c:pt>
                <c:pt idx="160">
                  <c:v>81.546669995958808</c:v>
                </c:pt>
                <c:pt idx="161">
                  <c:v>83.088771154172207</c:v>
                </c:pt>
                <c:pt idx="162">
                  <c:v>78.253599444089829</c:v>
                </c:pt>
                <c:pt idx="163">
                  <c:v>84.240902278659831</c:v>
                </c:pt>
                <c:pt idx="164">
                  <c:v>87.037951457974046</c:v>
                </c:pt>
                <c:pt idx="165">
                  <c:v>94.136790847133454</c:v>
                </c:pt>
                <c:pt idx="166">
                  <c:v>88.954510358145853</c:v>
                </c:pt>
                <c:pt idx="167">
                  <c:v>82.902963084358461</c:v>
                </c:pt>
                <c:pt idx="168">
                  <c:v>81.275433827623061</c:v>
                </c:pt>
                <c:pt idx="169">
                  <c:v>77.246245824619734</c:v>
                </c:pt>
                <c:pt idx="170">
                  <c:v>80.953358431834857</c:v>
                </c:pt>
                <c:pt idx="171">
                  <c:v>79.337620190812217</c:v>
                </c:pt>
                <c:pt idx="172">
                  <c:v>104.14937780674373</c:v>
                </c:pt>
                <c:pt idx="173">
                  <c:v>132.41324865619157</c:v>
                </c:pt>
                <c:pt idx="174">
                  <c:v>108.97548665696411</c:v>
                </c:pt>
                <c:pt idx="175">
                  <c:v>104.26610764553644</c:v>
                </c:pt>
                <c:pt idx="176">
                  <c:v>91.714880325618992</c:v>
                </c:pt>
                <c:pt idx="177">
                  <c:v>82.249550032009566</c:v>
                </c:pt>
                <c:pt idx="178">
                  <c:v>80.426756978525148</c:v>
                </c:pt>
                <c:pt idx="179">
                  <c:v>79.502873137797863</c:v>
                </c:pt>
                <c:pt idx="180">
                  <c:v>75.915500412245066</c:v>
                </c:pt>
                <c:pt idx="181">
                  <c:v>79.82587796542218</c:v>
                </c:pt>
                <c:pt idx="182">
                  <c:v>82.85482825998406</c:v>
                </c:pt>
                <c:pt idx="183">
                  <c:v>81.404507689773723</c:v>
                </c:pt>
                <c:pt idx="184">
                  <c:v>80.666773589929235</c:v>
                </c:pt>
                <c:pt idx="185">
                  <c:v>83.756018811669577</c:v>
                </c:pt>
                <c:pt idx="186">
                  <c:v>81.595397997825572</c:v>
                </c:pt>
                <c:pt idx="187">
                  <c:v>83.636202437826569</c:v>
                </c:pt>
                <c:pt idx="188">
                  <c:v>85.583663782456895</c:v>
                </c:pt>
                <c:pt idx="189">
                  <c:v>91.538422794808412</c:v>
                </c:pt>
                <c:pt idx="190">
                  <c:v>101.57559366104049</c:v>
                </c:pt>
                <c:pt idx="191">
                  <c:v>100.98801098161613</c:v>
                </c:pt>
                <c:pt idx="192">
                  <c:v>98.091613746389214</c:v>
                </c:pt>
                <c:pt idx="193">
                  <c:v>105.70303160343593</c:v>
                </c:pt>
                <c:pt idx="194">
                  <c:v>92.005623959529402</c:v>
                </c:pt>
                <c:pt idx="195">
                  <c:v>84.989164339773225</c:v>
                </c:pt>
                <c:pt idx="196">
                  <c:v>85.359517121790304</c:v>
                </c:pt>
                <c:pt idx="197">
                  <c:v>88.045831337093702</c:v>
                </c:pt>
                <c:pt idx="198">
                  <c:v>86.623337758548956</c:v>
                </c:pt>
                <c:pt idx="199">
                  <c:v>103.00138789166297</c:v>
                </c:pt>
                <c:pt idx="200">
                  <c:v>126.05337596519367</c:v>
                </c:pt>
                <c:pt idx="201">
                  <c:v>107.84996833391176</c:v>
                </c:pt>
                <c:pt idx="202">
                  <c:v>99.960743150286092</c:v>
                </c:pt>
                <c:pt idx="203">
                  <c:v>88.357239209980804</c:v>
                </c:pt>
                <c:pt idx="204">
                  <c:v>87.479033532599502</c:v>
                </c:pt>
                <c:pt idx="205">
                  <c:v>83.334596044518307</c:v>
                </c:pt>
                <c:pt idx="206">
                  <c:v>88.985589479011708</c:v>
                </c:pt>
                <c:pt idx="207">
                  <c:v>105.00469179148489</c:v>
                </c:pt>
                <c:pt idx="208">
                  <c:v>94.670326946203105</c:v>
                </c:pt>
                <c:pt idx="209">
                  <c:v>92.029285568948609</c:v>
                </c:pt>
                <c:pt idx="210">
                  <c:v>89.010201302736704</c:v>
                </c:pt>
                <c:pt idx="211">
                  <c:v>91.583380538308901</c:v>
                </c:pt>
                <c:pt idx="212">
                  <c:v>109.27883027935158</c:v>
                </c:pt>
                <c:pt idx="213">
                  <c:v>107.58936449029068</c:v>
                </c:pt>
                <c:pt idx="214">
                  <c:v>106.55100201904716</c:v>
                </c:pt>
                <c:pt idx="215">
                  <c:v>138.3114694343131</c:v>
                </c:pt>
                <c:pt idx="216">
                  <c:v>104.36369913589114</c:v>
                </c:pt>
                <c:pt idx="217">
                  <c:v>83.401321775712759</c:v>
                </c:pt>
                <c:pt idx="218">
                  <c:v>83.832915881562954</c:v>
                </c:pt>
                <c:pt idx="219">
                  <c:v>102.73179853414206</c:v>
                </c:pt>
                <c:pt idx="220">
                  <c:v>62.96419820391781</c:v>
                </c:pt>
                <c:pt idx="221">
                  <c:v>69.708043303287639</c:v>
                </c:pt>
                <c:pt idx="222">
                  <c:v>86.621136162159956</c:v>
                </c:pt>
                <c:pt idx="223">
                  <c:v>87.084010852102352</c:v>
                </c:pt>
                <c:pt idx="224">
                  <c:v>74.488238108753592</c:v>
                </c:pt>
                <c:pt idx="225">
                  <c:v>80.579967481183573</c:v>
                </c:pt>
                <c:pt idx="227">
                  <c:v>65.182955882708512</c:v>
                </c:pt>
                <c:pt idx="228">
                  <c:v>60.676237944221796</c:v>
                </c:pt>
                <c:pt idx="229">
                  <c:v>67.288292188255838</c:v>
                </c:pt>
                <c:pt idx="230">
                  <c:v>73.384214605635009</c:v>
                </c:pt>
                <c:pt idx="231">
                  <c:v>76.429227083428685</c:v>
                </c:pt>
                <c:pt idx="232">
                  <c:v>74.601454101943901</c:v>
                </c:pt>
                <c:pt idx="233">
                  <c:v>74.229950005292338</c:v>
                </c:pt>
                <c:pt idx="234">
                  <c:v>66.534243471756</c:v>
                </c:pt>
                <c:pt idx="235">
                  <c:v>66.314136477629319</c:v>
                </c:pt>
                <c:pt idx="236">
                  <c:v>75.334683905379592</c:v>
                </c:pt>
                <c:pt idx="237">
                  <c:v>77.310428053239448</c:v>
                </c:pt>
                <c:pt idx="238">
                  <c:v>80.246922288438256</c:v>
                </c:pt>
                <c:pt idx="239">
                  <c:v>77.156236258061412</c:v>
                </c:pt>
                <c:pt idx="240">
                  <c:v>73.473142381180807</c:v>
                </c:pt>
                <c:pt idx="241">
                  <c:v>73.035114932429622</c:v>
                </c:pt>
                <c:pt idx="242">
                  <c:v>72.004040237930937</c:v>
                </c:pt>
                <c:pt idx="243">
                  <c:v>75.094517966169946</c:v>
                </c:pt>
                <c:pt idx="244">
                  <c:v>81.496218099134765</c:v>
                </c:pt>
                <c:pt idx="245">
                  <c:v>87.358889669197552</c:v>
                </c:pt>
                <c:pt idx="246">
                  <c:v>90.007489367812354</c:v>
                </c:pt>
                <c:pt idx="247">
                  <c:v>89.945211482187119</c:v>
                </c:pt>
                <c:pt idx="248">
                  <c:v>95.304647474970594</c:v>
                </c:pt>
                <c:pt idx="249">
                  <c:v>92.902076877531229</c:v>
                </c:pt>
                <c:pt idx="250">
                  <c:v>87.468995794352182</c:v>
                </c:pt>
                <c:pt idx="251">
                  <c:v>88.765971210765159</c:v>
                </c:pt>
                <c:pt idx="252">
                  <c:v>90.506555671260642</c:v>
                </c:pt>
                <c:pt idx="253">
                  <c:v>94.302844174861292</c:v>
                </c:pt>
                <c:pt idx="254">
                  <c:v>83.411495650554983</c:v>
                </c:pt>
                <c:pt idx="255">
                  <c:v>84.977800973544419</c:v>
                </c:pt>
                <c:pt idx="256">
                  <c:v>90.885806400334559</c:v>
                </c:pt>
                <c:pt idx="257">
                  <c:v>94.570697243720957</c:v>
                </c:pt>
                <c:pt idx="258">
                  <c:v>95.568244119352272</c:v>
                </c:pt>
                <c:pt idx="259">
                  <c:v>93.89480316491327</c:v>
                </c:pt>
                <c:pt idx="260">
                  <c:v>96.486243141163797</c:v>
                </c:pt>
                <c:pt idx="261">
                  <c:v>99.442771338672145</c:v>
                </c:pt>
                <c:pt idx="262">
                  <c:v>94.535711942848494</c:v>
                </c:pt>
                <c:pt idx="263">
                  <c:v>94.290269815836396</c:v>
                </c:pt>
                <c:pt idx="264">
                  <c:v>90.239940676705487</c:v>
                </c:pt>
                <c:pt idx="265">
                  <c:v>85.915330480119835</c:v>
                </c:pt>
                <c:pt idx="266">
                  <c:v>82.860498187808872</c:v>
                </c:pt>
                <c:pt idx="267">
                  <c:v>100.82391653290529</c:v>
                </c:pt>
                <c:pt idx="268">
                  <c:v>113.85567484662576</c:v>
                </c:pt>
                <c:pt idx="269">
                  <c:v>132.99097525473067</c:v>
                </c:pt>
                <c:pt idx="270">
                  <c:v>164.01121997364552</c:v>
                </c:pt>
                <c:pt idx="271">
                  <c:v>174.41153442726866</c:v>
                </c:pt>
                <c:pt idx="272">
                  <c:v>182.14567240832341</c:v>
                </c:pt>
                <c:pt idx="273">
                  <c:v>177.52375000060871</c:v>
                </c:pt>
                <c:pt idx="274">
                  <c:v>197.64531235197643</c:v>
                </c:pt>
                <c:pt idx="275">
                  <c:v>202.38545864116324</c:v>
                </c:pt>
                <c:pt idx="276">
                  <c:v>206.70391781571806</c:v>
                </c:pt>
                <c:pt idx="277">
                  <c:v>209.92226675790627</c:v>
                </c:pt>
                <c:pt idx="278">
                  <c:v>209.75546759918595</c:v>
                </c:pt>
                <c:pt idx="279">
                  <c:v>214.56561398136506</c:v>
                </c:pt>
                <c:pt idx="280">
                  <c:v>230.05017701051798</c:v>
                </c:pt>
                <c:pt idx="281">
                  <c:v>255.56638995437541</c:v>
                </c:pt>
                <c:pt idx="282">
                  <c:v>249.27532024311685</c:v>
                </c:pt>
                <c:pt idx="283">
                  <c:v>256.17093293946039</c:v>
                </c:pt>
                <c:pt idx="284">
                  <c:v>276.8750790856264</c:v>
                </c:pt>
                <c:pt idx="285">
                  <c:v>264.36570034101578</c:v>
                </c:pt>
                <c:pt idx="286">
                  <c:v>225.51609839797095</c:v>
                </c:pt>
                <c:pt idx="287">
                  <c:v>231.51227457090332</c:v>
                </c:pt>
                <c:pt idx="288">
                  <c:v>233.39323668299323</c:v>
                </c:pt>
                <c:pt idx="289">
                  <c:v>253.61476629941293</c:v>
                </c:pt>
                <c:pt idx="290">
                  <c:v>236.82859922911862</c:v>
                </c:pt>
                <c:pt idx="291">
                  <c:v>225.23773097006193</c:v>
                </c:pt>
                <c:pt idx="292">
                  <c:v>201.55614653541033</c:v>
                </c:pt>
                <c:pt idx="293">
                  <c:v>179.77915992598452</c:v>
                </c:pt>
                <c:pt idx="294">
                  <c:v>218.11220095275263</c:v>
                </c:pt>
                <c:pt idx="295">
                  <c:v>296.70408604029245</c:v>
                </c:pt>
                <c:pt idx="296">
                  <c:v>280.0307479189471</c:v>
                </c:pt>
                <c:pt idx="297">
                  <c:v>283.52769719617174</c:v>
                </c:pt>
                <c:pt idx="298">
                  <c:v>262.23928820870668</c:v>
                </c:pt>
                <c:pt idx="299">
                  <c:v>256.35598703357272</c:v>
                </c:pt>
                <c:pt idx="300">
                  <c:v>269.87653734243719</c:v>
                </c:pt>
                <c:pt idx="301">
                  <c:v>325.24604355010774</c:v>
                </c:pt>
                <c:pt idx="302">
                  <c:v>354.3203464636793</c:v>
                </c:pt>
                <c:pt idx="303">
                  <c:v>316.40678815854687</c:v>
                </c:pt>
                <c:pt idx="304">
                  <c:v>285.41910162551051</c:v>
                </c:pt>
                <c:pt idx="305">
                  <c:v>429.18866308338869</c:v>
                </c:pt>
                <c:pt idx="306">
                  <c:v>498.95219927608048</c:v>
                </c:pt>
                <c:pt idx="307">
                  <c:v>541.13790545656843</c:v>
                </c:pt>
                <c:pt idx="308">
                  <c:v>518.83384122891744</c:v>
                </c:pt>
                <c:pt idx="309">
                  <c:v>408.18441633034809</c:v>
                </c:pt>
                <c:pt idx="310">
                  <c:v>389.23564310533487</c:v>
                </c:pt>
              </c:numCache>
            </c:numRef>
          </c:val>
          <c:smooth val="1"/>
          <c:extLst>
            <c:ext xmlns:c16="http://schemas.microsoft.com/office/drawing/2014/chart" uri="{C3380CC4-5D6E-409C-BE32-E72D297353CC}">
              <c16:uniqueId val="{00000001-08B2-4339-A324-2F313FD4BB4D}"/>
            </c:ext>
          </c:extLst>
        </c:ser>
        <c:dLbls>
          <c:showLegendKey val="0"/>
          <c:showVal val="0"/>
          <c:showCatName val="0"/>
          <c:showSerName val="0"/>
          <c:showPercent val="0"/>
          <c:showBubbleSize val="0"/>
        </c:dLbls>
        <c:smooth val="0"/>
        <c:axId val="210819712"/>
        <c:axId val="218964352"/>
      </c:lineChart>
      <c:catAx>
        <c:axId val="210819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218964352"/>
        <c:crossesAt val="0"/>
        <c:auto val="1"/>
        <c:lblAlgn val="ctr"/>
        <c:lblOffset val="100"/>
        <c:tickLblSkip val="25"/>
        <c:tickMarkSkip val="25"/>
        <c:noMultiLvlLbl val="0"/>
      </c:catAx>
      <c:valAx>
        <c:axId val="218964352"/>
        <c:scaling>
          <c:orientation val="minMax"/>
          <c:max val="500"/>
          <c:min val="0"/>
        </c:scaling>
        <c:delete val="0"/>
        <c:axPos val="l"/>
        <c:title>
          <c:tx>
            <c:rich>
              <a:bodyPr/>
              <a:lstStyle/>
              <a:p>
                <a:pPr>
                  <a:defRPr sz="1400" b="1" i="0" u="none" strike="noStrike" baseline="0">
                    <a:solidFill>
                      <a:srgbClr val="000000"/>
                    </a:solidFill>
                    <a:latin typeface="Times New Roman"/>
                    <a:ea typeface="Times New Roman"/>
                    <a:cs typeface="Times New Roman"/>
                  </a:defRPr>
                </a:pPr>
                <a:r>
                  <a:rPr lang="en-GB"/>
                  <a:t>£(2000) per tonne of oil equivalent</a:t>
                </a:r>
              </a:p>
            </c:rich>
          </c:tx>
          <c:layout>
            <c:manualLayout>
              <c:xMode val="edge"/>
              <c:yMode val="edge"/>
              <c:x val="2.5517391721383662E-2"/>
              <c:y val="0.14953480362466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210819712"/>
        <c:crosses val="autoZero"/>
        <c:crossBetween val="between"/>
        <c:majorUnit val="50"/>
      </c:valAx>
      <c:spPr>
        <a:noFill/>
        <a:ln w="25400">
          <a:noFill/>
        </a:ln>
      </c:spPr>
    </c:plotArea>
    <c:legend>
      <c:legendPos val="t"/>
      <c:layout>
        <c:manualLayout>
          <c:xMode val="edge"/>
          <c:yMode val="edge"/>
          <c:x val="0.65748645099984482"/>
          <c:y val="0.2045468077948043"/>
          <c:w val="0.34003635989172953"/>
          <c:h val="0.11947079368844503"/>
        </c:manualLayout>
      </c:layout>
      <c:overlay val="0"/>
      <c:txPr>
        <a:bodyPr/>
        <a:lstStyle/>
        <a:p>
          <a:pPr>
            <a:defRPr sz="1200">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9484884469369"/>
          <c:y val="4.5649118013274967E-2"/>
          <c:w val="0.83751771690152088"/>
          <c:h val="0.85134850761876213"/>
        </c:manualLayout>
      </c:layout>
      <c:lineChart>
        <c:grouping val="standard"/>
        <c:varyColors val="0"/>
        <c:ser>
          <c:idx val="1"/>
          <c:order val="0"/>
          <c:tx>
            <c:v>Fuel &amp; Light (ONS)</c:v>
          </c:tx>
          <c:spPr>
            <a:ln w="12700">
              <a:solidFill>
                <a:schemeClr val="tx1"/>
              </a:solidFill>
            </a:ln>
          </c:spPr>
          <c:marker>
            <c:symbol val="none"/>
          </c:marker>
          <c:cat>
            <c:numRef>
              <c:f>'2.1.2 Prices ONS'!$A$101:$A$983</c:f>
              <c:numCache>
                <c:formatCode>General</c:formatCode>
                <c:ptCount val="883"/>
                <c:pt idx="0">
                  <c:v>1947</c:v>
                </c:pt>
                <c:pt idx="1">
                  <c:v>1947</c:v>
                </c:pt>
                <c:pt idx="2">
                  <c:v>1947</c:v>
                </c:pt>
                <c:pt idx="3">
                  <c:v>1947</c:v>
                </c:pt>
                <c:pt idx="4">
                  <c:v>1947</c:v>
                </c:pt>
                <c:pt idx="5">
                  <c:v>1947</c:v>
                </c:pt>
                <c:pt idx="6">
                  <c:v>1947</c:v>
                </c:pt>
                <c:pt idx="7">
                  <c:v>1948</c:v>
                </c:pt>
                <c:pt idx="8">
                  <c:v>1948</c:v>
                </c:pt>
                <c:pt idx="9">
                  <c:v>1948</c:v>
                </c:pt>
                <c:pt idx="10">
                  <c:v>1948</c:v>
                </c:pt>
                <c:pt idx="11">
                  <c:v>1948</c:v>
                </c:pt>
                <c:pt idx="12">
                  <c:v>1948</c:v>
                </c:pt>
                <c:pt idx="13">
                  <c:v>1948</c:v>
                </c:pt>
                <c:pt idx="14">
                  <c:v>1948</c:v>
                </c:pt>
                <c:pt idx="15">
                  <c:v>1948</c:v>
                </c:pt>
                <c:pt idx="16">
                  <c:v>1948</c:v>
                </c:pt>
                <c:pt idx="17">
                  <c:v>1948</c:v>
                </c:pt>
                <c:pt idx="18">
                  <c:v>1948</c:v>
                </c:pt>
                <c:pt idx="19">
                  <c:v>1949</c:v>
                </c:pt>
                <c:pt idx="20">
                  <c:v>1949</c:v>
                </c:pt>
                <c:pt idx="21">
                  <c:v>1949</c:v>
                </c:pt>
                <c:pt idx="22">
                  <c:v>1949</c:v>
                </c:pt>
                <c:pt idx="23">
                  <c:v>1949</c:v>
                </c:pt>
                <c:pt idx="24">
                  <c:v>1949</c:v>
                </c:pt>
                <c:pt idx="25">
                  <c:v>1949</c:v>
                </c:pt>
                <c:pt idx="26">
                  <c:v>1949</c:v>
                </c:pt>
                <c:pt idx="27">
                  <c:v>1949</c:v>
                </c:pt>
                <c:pt idx="28">
                  <c:v>1949</c:v>
                </c:pt>
                <c:pt idx="29">
                  <c:v>1949</c:v>
                </c:pt>
                <c:pt idx="30">
                  <c:v>1949</c:v>
                </c:pt>
                <c:pt idx="31">
                  <c:v>1950</c:v>
                </c:pt>
                <c:pt idx="32">
                  <c:v>1950</c:v>
                </c:pt>
                <c:pt idx="33">
                  <c:v>1950</c:v>
                </c:pt>
                <c:pt idx="34">
                  <c:v>1950</c:v>
                </c:pt>
                <c:pt idx="35">
                  <c:v>1950</c:v>
                </c:pt>
                <c:pt idx="36">
                  <c:v>1950</c:v>
                </c:pt>
                <c:pt idx="37">
                  <c:v>1950</c:v>
                </c:pt>
                <c:pt idx="38">
                  <c:v>1950</c:v>
                </c:pt>
                <c:pt idx="39">
                  <c:v>1950</c:v>
                </c:pt>
                <c:pt idx="40">
                  <c:v>1950</c:v>
                </c:pt>
                <c:pt idx="41">
                  <c:v>1950</c:v>
                </c:pt>
                <c:pt idx="42">
                  <c:v>1950</c:v>
                </c:pt>
                <c:pt idx="43">
                  <c:v>1951</c:v>
                </c:pt>
                <c:pt idx="44">
                  <c:v>1951</c:v>
                </c:pt>
                <c:pt idx="45">
                  <c:v>1951</c:v>
                </c:pt>
                <c:pt idx="46">
                  <c:v>1951</c:v>
                </c:pt>
                <c:pt idx="47">
                  <c:v>1951</c:v>
                </c:pt>
                <c:pt idx="48">
                  <c:v>1951</c:v>
                </c:pt>
                <c:pt idx="49">
                  <c:v>1951</c:v>
                </c:pt>
                <c:pt idx="50">
                  <c:v>1951</c:v>
                </c:pt>
                <c:pt idx="51">
                  <c:v>1951</c:v>
                </c:pt>
                <c:pt idx="52">
                  <c:v>1951</c:v>
                </c:pt>
                <c:pt idx="53">
                  <c:v>1951</c:v>
                </c:pt>
                <c:pt idx="54">
                  <c:v>1951</c:v>
                </c:pt>
                <c:pt idx="55">
                  <c:v>1952</c:v>
                </c:pt>
                <c:pt idx="56">
                  <c:v>1952</c:v>
                </c:pt>
                <c:pt idx="57">
                  <c:v>1952</c:v>
                </c:pt>
                <c:pt idx="58">
                  <c:v>1952</c:v>
                </c:pt>
                <c:pt idx="59">
                  <c:v>1952</c:v>
                </c:pt>
                <c:pt idx="60">
                  <c:v>1952</c:v>
                </c:pt>
                <c:pt idx="61">
                  <c:v>1952</c:v>
                </c:pt>
                <c:pt idx="62">
                  <c:v>1952</c:v>
                </c:pt>
                <c:pt idx="63">
                  <c:v>1952</c:v>
                </c:pt>
                <c:pt idx="64">
                  <c:v>1952</c:v>
                </c:pt>
                <c:pt idx="65">
                  <c:v>1952</c:v>
                </c:pt>
                <c:pt idx="66">
                  <c:v>1952</c:v>
                </c:pt>
                <c:pt idx="67">
                  <c:v>1953</c:v>
                </c:pt>
                <c:pt idx="68">
                  <c:v>1953</c:v>
                </c:pt>
                <c:pt idx="69">
                  <c:v>1953</c:v>
                </c:pt>
                <c:pt idx="70">
                  <c:v>1953</c:v>
                </c:pt>
                <c:pt idx="71">
                  <c:v>1953</c:v>
                </c:pt>
                <c:pt idx="72">
                  <c:v>1953</c:v>
                </c:pt>
                <c:pt idx="73">
                  <c:v>1953</c:v>
                </c:pt>
                <c:pt idx="74">
                  <c:v>1953</c:v>
                </c:pt>
                <c:pt idx="75">
                  <c:v>1953</c:v>
                </c:pt>
                <c:pt idx="76">
                  <c:v>1953</c:v>
                </c:pt>
                <c:pt idx="77">
                  <c:v>1953</c:v>
                </c:pt>
                <c:pt idx="78">
                  <c:v>1953</c:v>
                </c:pt>
                <c:pt idx="79">
                  <c:v>1954</c:v>
                </c:pt>
                <c:pt idx="80">
                  <c:v>1954</c:v>
                </c:pt>
                <c:pt idx="81">
                  <c:v>1954</c:v>
                </c:pt>
                <c:pt idx="82">
                  <c:v>1954</c:v>
                </c:pt>
                <c:pt idx="83">
                  <c:v>1954</c:v>
                </c:pt>
                <c:pt idx="84">
                  <c:v>1954</c:v>
                </c:pt>
                <c:pt idx="85">
                  <c:v>1954</c:v>
                </c:pt>
                <c:pt idx="86">
                  <c:v>1954</c:v>
                </c:pt>
                <c:pt idx="87">
                  <c:v>1954</c:v>
                </c:pt>
                <c:pt idx="88">
                  <c:v>1954</c:v>
                </c:pt>
                <c:pt idx="89">
                  <c:v>1954</c:v>
                </c:pt>
                <c:pt idx="90">
                  <c:v>1954</c:v>
                </c:pt>
                <c:pt idx="91">
                  <c:v>1955</c:v>
                </c:pt>
                <c:pt idx="92">
                  <c:v>1955</c:v>
                </c:pt>
                <c:pt idx="93">
                  <c:v>1955</c:v>
                </c:pt>
                <c:pt idx="94">
                  <c:v>1955</c:v>
                </c:pt>
                <c:pt idx="95">
                  <c:v>1955</c:v>
                </c:pt>
                <c:pt idx="96">
                  <c:v>1955</c:v>
                </c:pt>
                <c:pt idx="97">
                  <c:v>1955</c:v>
                </c:pt>
                <c:pt idx="98">
                  <c:v>1955</c:v>
                </c:pt>
                <c:pt idx="99">
                  <c:v>1955</c:v>
                </c:pt>
                <c:pt idx="100">
                  <c:v>1955</c:v>
                </c:pt>
                <c:pt idx="101">
                  <c:v>1955</c:v>
                </c:pt>
                <c:pt idx="102">
                  <c:v>1955</c:v>
                </c:pt>
                <c:pt idx="103">
                  <c:v>1956</c:v>
                </c:pt>
                <c:pt idx="104">
                  <c:v>1956</c:v>
                </c:pt>
                <c:pt idx="105">
                  <c:v>1956</c:v>
                </c:pt>
                <c:pt idx="106">
                  <c:v>1956</c:v>
                </c:pt>
                <c:pt idx="107">
                  <c:v>1956</c:v>
                </c:pt>
                <c:pt idx="108">
                  <c:v>1956</c:v>
                </c:pt>
                <c:pt idx="109">
                  <c:v>1956</c:v>
                </c:pt>
                <c:pt idx="110">
                  <c:v>1956</c:v>
                </c:pt>
                <c:pt idx="111">
                  <c:v>1956</c:v>
                </c:pt>
                <c:pt idx="112">
                  <c:v>1956</c:v>
                </c:pt>
                <c:pt idx="113">
                  <c:v>1956</c:v>
                </c:pt>
                <c:pt idx="114">
                  <c:v>1956</c:v>
                </c:pt>
                <c:pt idx="115">
                  <c:v>1957</c:v>
                </c:pt>
                <c:pt idx="116">
                  <c:v>1957</c:v>
                </c:pt>
                <c:pt idx="117">
                  <c:v>1957</c:v>
                </c:pt>
                <c:pt idx="118">
                  <c:v>1957</c:v>
                </c:pt>
                <c:pt idx="119">
                  <c:v>1957</c:v>
                </c:pt>
                <c:pt idx="120">
                  <c:v>1957</c:v>
                </c:pt>
                <c:pt idx="121">
                  <c:v>1957</c:v>
                </c:pt>
                <c:pt idx="122">
                  <c:v>1957</c:v>
                </c:pt>
                <c:pt idx="123">
                  <c:v>1957</c:v>
                </c:pt>
                <c:pt idx="124">
                  <c:v>1957</c:v>
                </c:pt>
                <c:pt idx="125">
                  <c:v>1957</c:v>
                </c:pt>
                <c:pt idx="126">
                  <c:v>1957</c:v>
                </c:pt>
                <c:pt idx="127">
                  <c:v>1958</c:v>
                </c:pt>
                <c:pt idx="128">
                  <c:v>1958</c:v>
                </c:pt>
                <c:pt idx="129">
                  <c:v>1958</c:v>
                </c:pt>
                <c:pt idx="130">
                  <c:v>1958</c:v>
                </c:pt>
                <c:pt idx="131">
                  <c:v>1958</c:v>
                </c:pt>
                <c:pt idx="132">
                  <c:v>1958</c:v>
                </c:pt>
                <c:pt idx="133">
                  <c:v>1958</c:v>
                </c:pt>
                <c:pt idx="134">
                  <c:v>1958</c:v>
                </c:pt>
                <c:pt idx="135">
                  <c:v>1958</c:v>
                </c:pt>
                <c:pt idx="136">
                  <c:v>1958</c:v>
                </c:pt>
                <c:pt idx="137">
                  <c:v>1958</c:v>
                </c:pt>
                <c:pt idx="138">
                  <c:v>1958</c:v>
                </c:pt>
                <c:pt idx="139">
                  <c:v>1959</c:v>
                </c:pt>
                <c:pt idx="140">
                  <c:v>1959</c:v>
                </c:pt>
                <c:pt idx="141">
                  <c:v>1959</c:v>
                </c:pt>
                <c:pt idx="142">
                  <c:v>1959</c:v>
                </c:pt>
                <c:pt idx="143">
                  <c:v>1959</c:v>
                </c:pt>
                <c:pt idx="144">
                  <c:v>1959</c:v>
                </c:pt>
                <c:pt idx="145">
                  <c:v>1959</c:v>
                </c:pt>
                <c:pt idx="146">
                  <c:v>1959</c:v>
                </c:pt>
                <c:pt idx="147">
                  <c:v>1959</c:v>
                </c:pt>
                <c:pt idx="148">
                  <c:v>1959</c:v>
                </c:pt>
                <c:pt idx="149">
                  <c:v>1959</c:v>
                </c:pt>
                <c:pt idx="150">
                  <c:v>1959</c:v>
                </c:pt>
                <c:pt idx="151">
                  <c:v>1960</c:v>
                </c:pt>
                <c:pt idx="152">
                  <c:v>1960</c:v>
                </c:pt>
                <c:pt idx="153">
                  <c:v>1960</c:v>
                </c:pt>
                <c:pt idx="154">
                  <c:v>1960</c:v>
                </c:pt>
                <c:pt idx="155">
                  <c:v>1960</c:v>
                </c:pt>
                <c:pt idx="156">
                  <c:v>1960</c:v>
                </c:pt>
                <c:pt idx="157">
                  <c:v>1960</c:v>
                </c:pt>
                <c:pt idx="158">
                  <c:v>1960</c:v>
                </c:pt>
                <c:pt idx="159">
                  <c:v>1960</c:v>
                </c:pt>
                <c:pt idx="160">
                  <c:v>1960</c:v>
                </c:pt>
                <c:pt idx="161">
                  <c:v>1960</c:v>
                </c:pt>
                <c:pt idx="162">
                  <c:v>1960</c:v>
                </c:pt>
                <c:pt idx="163">
                  <c:v>1961</c:v>
                </c:pt>
                <c:pt idx="164">
                  <c:v>1961</c:v>
                </c:pt>
                <c:pt idx="165">
                  <c:v>1961</c:v>
                </c:pt>
                <c:pt idx="166">
                  <c:v>1961</c:v>
                </c:pt>
                <c:pt idx="167">
                  <c:v>1961</c:v>
                </c:pt>
                <c:pt idx="168">
                  <c:v>1961</c:v>
                </c:pt>
                <c:pt idx="169">
                  <c:v>1961</c:v>
                </c:pt>
                <c:pt idx="170">
                  <c:v>1961</c:v>
                </c:pt>
                <c:pt idx="171">
                  <c:v>1961</c:v>
                </c:pt>
                <c:pt idx="172">
                  <c:v>1961</c:v>
                </c:pt>
                <c:pt idx="173">
                  <c:v>1961</c:v>
                </c:pt>
                <c:pt idx="174">
                  <c:v>1961</c:v>
                </c:pt>
                <c:pt idx="175">
                  <c:v>1962</c:v>
                </c:pt>
                <c:pt idx="176">
                  <c:v>1962</c:v>
                </c:pt>
                <c:pt idx="177">
                  <c:v>1962</c:v>
                </c:pt>
                <c:pt idx="178">
                  <c:v>1962</c:v>
                </c:pt>
                <c:pt idx="179">
                  <c:v>1962</c:v>
                </c:pt>
                <c:pt idx="180">
                  <c:v>1962</c:v>
                </c:pt>
                <c:pt idx="181">
                  <c:v>1962</c:v>
                </c:pt>
                <c:pt idx="182">
                  <c:v>1962</c:v>
                </c:pt>
                <c:pt idx="183">
                  <c:v>1962</c:v>
                </c:pt>
                <c:pt idx="184">
                  <c:v>1962</c:v>
                </c:pt>
                <c:pt idx="185">
                  <c:v>1962</c:v>
                </c:pt>
                <c:pt idx="186">
                  <c:v>1962</c:v>
                </c:pt>
                <c:pt idx="187">
                  <c:v>1963</c:v>
                </c:pt>
                <c:pt idx="188">
                  <c:v>1963</c:v>
                </c:pt>
                <c:pt idx="189">
                  <c:v>1963</c:v>
                </c:pt>
                <c:pt idx="190">
                  <c:v>1963</c:v>
                </c:pt>
                <c:pt idx="191">
                  <c:v>1963</c:v>
                </c:pt>
                <c:pt idx="192">
                  <c:v>1963</c:v>
                </c:pt>
                <c:pt idx="193">
                  <c:v>1963</c:v>
                </c:pt>
                <c:pt idx="194">
                  <c:v>1963</c:v>
                </c:pt>
                <c:pt idx="195">
                  <c:v>1963</c:v>
                </c:pt>
                <c:pt idx="196">
                  <c:v>1963</c:v>
                </c:pt>
                <c:pt idx="197">
                  <c:v>1963</c:v>
                </c:pt>
                <c:pt idx="198">
                  <c:v>1963</c:v>
                </c:pt>
                <c:pt idx="199">
                  <c:v>1964</c:v>
                </c:pt>
                <c:pt idx="200">
                  <c:v>1964</c:v>
                </c:pt>
                <c:pt idx="201">
                  <c:v>1964</c:v>
                </c:pt>
                <c:pt idx="202">
                  <c:v>1964</c:v>
                </c:pt>
                <c:pt idx="203">
                  <c:v>1964</c:v>
                </c:pt>
                <c:pt idx="204">
                  <c:v>1964</c:v>
                </c:pt>
                <c:pt idx="205">
                  <c:v>1964</c:v>
                </c:pt>
                <c:pt idx="206">
                  <c:v>1964</c:v>
                </c:pt>
                <c:pt idx="207">
                  <c:v>1964</c:v>
                </c:pt>
                <c:pt idx="208">
                  <c:v>1964</c:v>
                </c:pt>
                <c:pt idx="209">
                  <c:v>1964</c:v>
                </c:pt>
                <c:pt idx="210">
                  <c:v>1964</c:v>
                </c:pt>
                <c:pt idx="211">
                  <c:v>1965</c:v>
                </c:pt>
                <c:pt idx="212">
                  <c:v>1965</c:v>
                </c:pt>
                <c:pt idx="213">
                  <c:v>1965</c:v>
                </c:pt>
                <c:pt idx="214">
                  <c:v>1965</c:v>
                </c:pt>
                <c:pt idx="215">
                  <c:v>1965</c:v>
                </c:pt>
                <c:pt idx="216">
                  <c:v>1965</c:v>
                </c:pt>
                <c:pt idx="217">
                  <c:v>1965</c:v>
                </c:pt>
                <c:pt idx="218">
                  <c:v>1965</c:v>
                </c:pt>
                <c:pt idx="219">
                  <c:v>1965</c:v>
                </c:pt>
                <c:pt idx="220">
                  <c:v>1965</c:v>
                </c:pt>
                <c:pt idx="221">
                  <c:v>1965</c:v>
                </c:pt>
                <c:pt idx="222">
                  <c:v>1965</c:v>
                </c:pt>
                <c:pt idx="223">
                  <c:v>1966</c:v>
                </c:pt>
                <c:pt idx="224">
                  <c:v>1966</c:v>
                </c:pt>
                <c:pt idx="225">
                  <c:v>1966</c:v>
                </c:pt>
                <c:pt idx="226">
                  <c:v>1966</c:v>
                </c:pt>
                <c:pt idx="227">
                  <c:v>1966</c:v>
                </c:pt>
                <c:pt idx="228">
                  <c:v>1966</c:v>
                </c:pt>
                <c:pt idx="229">
                  <c:v>1966</c:v>
                </c:pt>
                <c:pt idx="230">
                  <c:v>1966</c:v>
                </c:pt>
                <c:pt idx="231">
                  <c:v>1966</c:v>
                </c:pt>
                <c:pt idx="232">
                  <c:v>1966</c:v>
                </c:pt>
                <c:pt idx="233">
                  <c:v>1966</c:v>
                </c:pt>
                <c:pt idx="234">
                  <c:v>1966</c:v>
                </c:pt>
                <c:pt idx="235">
                  <c:v>1967</c:v>
                </c:pt>
                <c:pt idx="236">
                  <c:v>1967</c:v>
                </c:pt>
                <c:pt idx="237">
                  <c:v>1967</c:v>
                </c:pt>
                <c:pt idx="238">
                  <c:v>1967</c:v>
                </c:pt>
                <c:pt idx="239">
                  <c:v>1967</c:v>
                </c:pt>
                <c:pt idx="240">
                  <c:v>1967</c:v>
                </c:pt>
                <c:pt idx="241">
                  <c:v>1967</c:v>
                </c:pt>
                <c:pt idx="242">
                  <c:v>1967</c:v>
                </c:pt>
                <c:pt idx="243">
                  <c:v>1967</c:v>
                </c:pt>
                <c:pt idx="244">
                  <c:v>1967</c:v>
                </c:pt>
                <c:pt idx="245">
                  <c:v>1967</c:v>
                </c:pt>
                <c:pt idx="246">
                  <c:v>1967</c:v>
                </c:pt>
                <c:pt idx="247">
                  <c:v>1968</c:v>
                </c:pt>
                <c:pt idx="248">
                  <c:v>1968</c:v>
                </c:pt>
                <c:pt idx="249">
                  <c:v>1968</c:v>
                </c:pt>
                <c:pt idx="250">
                  <c:v>1968</c:v>
                </c:pt>
                <c:pt idx="251">
                  <c:v>1968</c:v>
                </c:pt>
                <c:pt idx="252">
                  <c:v>1968</c:v>
                </c:pt>
                <c:pt idx="253">
                  <c:v>1968</c:v>
                </c:pt>
                <c:pt idx="254">
                  <c:v>1968</c:v>
                </c:pt>
                <c:pt idx="255">
                  <c:v>1968</c:v>
                </c:pt>
                <c:pt idx="256">
                  <c:v>1968</c:v>
                </c:pt>
                <c:pt idx="257">
                  <c:v>1968</c:v>
                </c:pt>
                <c:pt idx="258">
                  <c:v>1968</c:v>
                </c:pt>
                <c:pt idx="259">
                  <c:v>1969</c:v>
                </c:pt>
                <c:pt idx="260">
                  <c:v>1969</c:v>
                </c:pt>
                <c:pt idx="261">
                  <c:v>1969</c:v>
                </c:pt>
                <c:pt idx="262">
                  <c:v>1969</c:v>
                </c:pt>
                <c:pt idx="263">
                  <c:v>1969</c:v>
                </c:pt>
                <c:pt idx="264">
                  <c:v>1969</c:v>
                </c:pt>
                <c:pt idx="265">
                  <c:v>1969</c:v>
                </c:pt>
                <c:pt idx="266">
                  <c:v>1969</c:v>
                </c:pt>
                <c:pt idx="267">
                  <c:v>1969</c:v>
                </c:pt>
                <c:pt idx="268">
                  <c:v>1969</c:v>
                </c:pt>
                <c:pt idx="269">
                  <c:v>1969</c:v>
                </c:pt>
                <c:pt idx="270">
                  <c:v>1969</c:v>
                </c:pt>
                <c:pt idx="271">
                  <c:v>1970</c:v>
                </c:pt>
                <c:pt idx="272">
                  <c:v>1970</c:v>
                </c:pt>
                <c:pt idx="273">
                  <c:v>1970</c:v>
                </c:pt>
                <c:pt idx="274">
                  <c:v>1970</c:v>
                </c:pt>
                <c:pt idx="275">
                  <c:v>1970</c:v>
                </c:pt>
                <c:pt idx="276">
                  <c:v>1970</c:v>
                </c:pt>
                <c:pt idx="277">
                  <c:v>1970</c:v>
                </c:pt>
                <c:pt idx="278">
                  <c:v>1970</c:v>
                </c:pt>
                <c:pt idx="279">
                  <c:v>1970</c:v>
                </c:pt>
                <c:pt idx="280">
                  <c:v>1970</c:v>
                </c:pt>
                <c:pt idx="281">
                  <c:v>1970</c:v>
                </c:pt>
                <c:pt idx="282">
                  <c:v>1970</c:v>
                </c:pt>
                <c:pt idx="283">
                  <c:v>1971</c:v>
                </c:pt>
                <c:pt idx="284">
                  <c:v>1971</c:v>
                </c:pt>
                <c:pt idx="285">
                  <c:v>1971</c:v>
                </c:pt>
                <c:pt idx="286">
                  <c:v>1971</c:v>
                </c:pt>
                <c:pt idx="287">
                  <c:v>1971</c:v>
                </c:pt>
                <c:pt idx="288">
                  <c:v>1971</c:v>
                </c:pt>
                <c:pt idx="289">
                  <c:v>1971</c:v>
                </c:pt>
                <c:pt idx="290">
                  <c:v>1971</c:v>
                </c:pt>
                <c:pt idx="291">
                  <c:v>1971</c:v>
                </c:pt>
                <c:pt idx="292">
                  <c:v>1971</c:v>
                </c:pt>
                <c:pt idx="293">
                  <c:v>1971</c:v>
                </c:pt>
                <c:pt idx="294">
                  <c:v>1971</c:v>
                </c:pt>
                <c:pt idx="295">
                  <c:v>1972</c:v>
                </c:pt>
                <c:pt idx="296">
                  <c:v>1972</c:v>
                </c:pt>
                <c:pt idx="297">
                  <c:v>1972</c:v>
                </c:pt>
                <c:pt idx="298">
                  <c:v>1972</c:v>
                </c:pt>
                <c:pt idx="299">
                  <c:v>1972</c:v>
                </c:pt>
                <c:pt idx="300">
                  <c:v>1972</c:v>
                </c:pt>
                <c:pt idx="301">
                  <c:v>1972</c:v>
                </c:pt>
                <c:pt idx="302">
                  <c:v>1972</c:v>
                </c:pt>
                <c:pt idx="303">
                  <c:v>1972</c:v>
                </c:pt>
                <c:pt idx="304">
                  <c:v>1972</c:v>
                </c:pt>
                <c:pt idx="305">
                  <c:v>1972</c:v>
                </c:pt>
                <c:pt idx="306">
                  <c:v>1972</c:v>
                </c:pt>
                <c:pt idx="307">
                  <c:v>1973</c:v>
                </c:pt>
                <c:pt idx="308">
                  <c:v>1973</c:v>
                </c:pt>
                <c:pt idx="309">
                  <c:v>1973</c:v>
                </c:pt>
                <c:pt idx="310">
                  <c:v>1973</c:v>
                </c:pt>
                <c:pt idx="311">
                  <c:v>1973</c:v>
                </c:pt>
                <c:pt idx="312">
                  <c:v>1973</c:v>
                </c:pt>
                <c:pt idx="313">
                  <c:v>1973</c:v>
                </c:pt>
                <c:pt idx="314">
                  <c:v>1973</c:v>
                </c:pt>
                <c:pt idx="315">
                  <c:v>1973</c:v>
                </c:pt>
                <c:pt idx="316">
                  <c:v>1973</c:v>
                </c:pt>
                <c:pt idx="317">
                  <c:v>1973</c:v>
                </c:pt>
                <c:pt idx="318">
                  <c:v>1973</c:v>
                </c:pt>
                <c:pt idx="319">
                  <c:v>1974</c:v>
                </c:pt>
                <c:pt idx="320">
                  <c:v>1974</c:v>
                </c:pt>
                <c:pt idx="321">
                  <c:v>1974</c:v>
                </c:pt>
                <c:pt idx="322">
                  <c:v>1974</c:v>
                </c:pt>
                <c:pt idx="323">
                  <c:v>1974</c:v>
                </c:pt>
                <c:pt idx="324">
                  <c:v>1974</c:v>
                </c:pt>
                <c:pt idx="325">
                  <c:v>1974</c:v>
                </c:pt>
                <c:pt idx="326">
                  <c:v>1974</c:v>
                </c:pt>
                <c:pt idx="327">
                  <c:v>1974</c:v>
                </c:pt>
                <c:pt idx="328">
                  <c:v>1974</c:v>
                </c:pt>
                <c:pt idx="329">
                  <c:v>1974</c:v>
                </c:pt>
                <c:pt idx="330">
                  <c:v>1974</c:v>
                </c:pt>
                <c:pt idx="331">
                  <c:v>1975</c:v>
                </c:pt>
                <c:pt idx="332">
                  <c:v>1975</c:v>
                </c:pt>
                <c:pt idx="333">
                  <c:v>1975</c:v>
                </c:pt>
                <c:pt idx="334">
                  <c:v>1975</c:v>
                </c:pt>
                <c:pt idx="335">
                  <c:v>1975</c:v>
                </c:pt>
                <c:pt idx="336">
                  <c:v>1975</c:v>
                </c:pt>
                <c:pt idx="337">
                  <c:v>1975</c:v>
                </c:pt>
                <c:pt idx="338">
                  <c:v>1975</c:v>
                </c:pt>
                <c:pt idx="339">
                  <c:v>1975</c:v>
                </c:pt>
                <c:pt idx="340">
                  <c:v>1975</c:v>
                </c:pt>
                <c:pt idx="341">
                  <c:v>1975</c:v>
                </c:pt>
                <c:pt idx="342">
                  <c:v>1975</c:v>
                </c:pt>
                <c:pt idx="343">
                  <c:v>1976</c:v>
                </c:pt>
                <c:pt idx="344">
                  <c:v>1976</c:v>
                </c:pt>
                <c:pt idx="345">
                  <c:v>1976</c:v>
                </c:pt>
                <c:pt idx="346">
                  <c:v>1976</c:v>
                </c:pt>
                <c:pt idx="347">
                  <c:v>1976</c:v>
                </c:pt>
                <c:pt idx="348">
                  <c:v>1976</c:v>
                </c:pt>
                <c:pt idx="349">
                  <c:v>1976</c:v>
                </c:pt>
                <c:pt idx="350">
                  <c:v>1976</c:v>
                </c:pt>
                <c:pt idx="351">
                  <c:v>1976</c:v>
                </c:pt>
                <c:pt idx="352">
                  <c:v>1976</c:v>
                </c:pt>
                <c:pt idx="353">
                  <c:v>1976</c:v>
                </c:pt>
                <c:pt idx="354">
                  <c:v>1976</c:v>
                </c:pt>
                <c:pt idx="355">
                  <c:v>1977</c:v>
                </c:pt>
                <c:pt idx="356">
                  <c:v>1977</c:v>
                </c:pt>
                <c:pt idx="357">
                  <c:v>1977</c:v>
                </c:pt>
                <c:pt idx="358">
                  <c:v>1977</c:v>
                </c:pt>
                <c:pt idx="359">
                  <c:v>1977</c:v>
                </c:pt>
                <c:pt idx="360">
                  <c:v>1977</c:v>
                </c:pt>
                <c:pt idx="361">
                  <c:v>1977</c:v>
                </c:pt>
                <c:pt idx="362">
                  <c:v>1977</c:v>
                </c:pt>
                <c:pt idx="363">
                  <c:v>1977</c:v>
                </c:pt>
                <c:pt idx="364">
                  <c:v>1977</c:v>
                </c:pt>
                <c:pt idx="365">
                  <c:v>1977</c:v>
                </c:pt>
                <c:pt idx="366">
                  <c:v>1977</c:v>
                </c:pt>
                <c:pt idx="367">
                  <c:v>1978</c:v>
                </c:pt>
                <c:pt idx="368">
                  <c:v>1978</c:v>
                </c:pt>
                <c:pt idx="369">
                  <c:v>1978</c:v>
                </c:pt>
                <c:pt idx="370">
                  <c:v>1978</c:v>
                </c:pt>
                <c:pt idx="371">
                  <c:v>1978</c:v>
                </c:pt>
                <c:pt idx="372">
                  <c:v>1978</c:v>
                </c:pt>
                <c:pt idx="373">
                  <c:v>1978</c:v>
                </c:pt>
                <c:pt idx="374">
                  <c:v>1978</c:v>
                </c:pt>
                <c:pt idx="375">
                  <c:v>1978</c:v>
                </c:pt>
                <c:pt idx="376">
                  <c:v>1978</c:v>
                </c:pt>
                <c:pt idx="377">
                  <c:v>1978</c:v>
                </c:pt>
                <c:pt idx="378">
                  <c:v>1978</c:v>
                </c:pt>
                <c:pt idx="379">
                  <c:v>1979</c:v>
                </c:pt>
                <c:pt idx="380">
                  <c:v>1979</c:v>
                </c:pt>
                <c:pt idx="381">
                  <c:v>1979</c:v>
                </c:pt>
                <c:pt idx="382">
                  <c:v>1979</c:v>
                </c:pt>
                <c:pt idx="383">
                  <c:v>1979</c:v>
                </c:pt>
                <c:pt idx="384">
                  <c:v>1979</c:v>
                </c:pt>
                <c:pt idx="385">
                  <c:v>1979</c:v>
                </c:pt>
                <c:pt idx="386">
                  <c:v>1979</c:v>
                </c:pt>
                <c:pt idx="387">
                  <c:v>1979</c:v>
                </c:pt>
                <c:pt idx="388">
                  <c:v>1979</c:v>
                </c:pt>
                <c:pt idx="389">
                  <c:v>1979</c:v>
                </c:pt>
                <c:pt idx="390">
                  <c:v>1979</c:v>
                </c:pt>
                <c:pt idx="391">
                  <c:v>1980</c:v>
                </c:pt>
                <c:pt idx="392">
                  <c:v>1980</c:v>
                </c:pt>
                <c:pt idx="393">
                  <c:v>1980</c:v>
                </c:pt>
                <c:pt idx="394">
                  <c:v>1980</c:v>
                </c:pt>
                <c:pt idx="395">
                  <c:v>1980</c:v>
                </c:pt>
                <c:pt idx="396">
                  <c:v>1980</c:v>
                </c:pt>
                <c:pt idx="397">
                  <c:v>1980</c:v>
                </c:pt>
                <c:pt idx="398">
                  <c:v>1980</c:v>
                </c:pt>
                <c:pt idx="399">
                  <c:v>1980</c:v>
                </c:pt>
                <c:pt idx="400">
                  <c:v>1980</c:v>
                </c:pt>
                <c:pt idx="401">
                  <c:v>1980</c:v>
                </c:pt>
                <c:pt idx="402">
                  <c:v>1980</c:v>
                </c:pt>
                <c:pt idx="403">
                  <c:v>1981</c:v>
                </c:pt>
                <c:pt idx="404">
                  <c:v>1981</c:v>
                </c:pt>
                <c:pt idx="405">
                  <c:v>1981</c:v>
                </c:pt>
                <c:pt idx="406">
                  <c:v>1981</c:v>
                </c:pt>
                <c:pt idx="407">
                  <c:v>1981</c:v>
                </c:pt>
                <c:pt idx="408">
                  <c:v>1981</c:v>
                </c:pt>
                <c:pt idx="409">
                  <c:v>1981</c:v>
                </c:pt>
                <c:pt idx="410">
                  <c:v>1981</c:v>
                </c:pt>
                <c:pt idx="411">
                  <c:v>1981</c:v>
                </c:pt>
                <c:pt idx="412">
                  <c:v>1981</c:v>
                </c:pt>
                <c:pt idx="413">
                  <c:v>1981</c:v>
                </c:pt>
                <c:pt idx="414">
                  <c:v>1981</c:v>
                </c:pt>
                <c:pt idx="415">
                  <c:v>1982</c:v>
                </c:pt>
                <c:pt idx="416">
                  <c:v>1982</c:v>
                </c:pt>
                <c:pt idx="417">
                  <c:v>1982</c:v>
                </c:pt>
                <c:pt idx="418">
                  <c:v>1982</c:v>
                </c:pt>
                <c:pt idx="419">
                  <c:v>1982</c:v>
                </c:pt>
                <c:pt idx="420">
                  <c:v>1982</c:v>
                </c:pt>
                <c:pt idx="421">
                  <c:v>1982</c:v>
                </c:pt>
                <c:pt idx="422">
                  <c:v>1982</c:v>
                </c:pt>
                <c:pt idx="423">
                  <c:v>1982</c:v>
                </c:pt>
                <c:pt idx="424">
                  <c:v>1982</c:v>
                </c:pt>
                <c:pt idx="425">
                  <c:v>1982</c:v>
                </c:pt>
                <c:pt idx="426">
                  <c:v>1982</c:v>
                </c:pt>
                <c:pt idx="427">
                  <c:v>1983</c:v>
                </c:pt>
                <c:pt idx="428">
                  <c:v>1983</c:v>
                </c:pt>
                <c:pt idx="429">
                  <c:v>1983</c:v>
                </c:pt>
                <c:pt idx="430">
                  <c:v>1983</c:v>
                </c:pt>
                <c:pt idx="431">
                  <c:v>1983</c:v>
                </c:pt>
                <c:pt idx="432">
                  <c:v>1983</c:v>
                </c:pt>
                <c:pt idx="433">
                  <c:v>1983</c:v>
                </c:pt>
                <c:pt idx="434">
                  <c:v>1983</c:v>
                </c:pt>
                <c:pt idx="435">
                  <c:v>1983</c:v>
                </c:pt>
                <c:pt idx="436">
                  <c:v>1983</c:v>
                </c:pt>
                <c:pt idx="437">
                  <c:v>1983</c:v>
                </c:pt>
                <c:pt idx="438">
                  <c:v>1983</c:v>
                </c:pt>
                <c:pt idx="439">
                  <c:v>1984</c:v>
                </c:pt>
                <c:pt idx="440">
                  <c:v>1984</c:v>
                </c:pt>
                <c:pt idx="441">
                  <c:v>1984</c:v>
                </c:pt>
                <c:pt idx="442">
                  <c:v>1984</c:v>
                </c:pt>
                <c:pt idx="443">
                  <c:v>1984</c:v>
                </c:pt>
                <c:pt idx="444">
                  <c:v>1984</c:v>
                </c:pt>
                <c:pt idx="445">
                  <c:v>1984</c:v>
                </c:pt>
                <c:pt idx="446">
                  <c:v>1984</c:v>
                </c:pt>
                <c:pt idx="447">
                  <c:v>1984</c:v>
                </c:pt>
                <c:pt idx="448">
                  <c:v>1984</c:v>
                </c:pt>
                <c:pt idx="449">
                  <c:v>1984</c:v>
                </c:pt>
                <c:pt idx="450">
                  <c:v>1984</c:v>
                </c:pt>
                <c:pt idx="451">
                  <c:v>1985</c:v>
                </c:pt>
                <c:pt idx="452">
                  <c:v>1985</c:v>
                </c:pt>
                <c:pt idx="453">
                  <c:v>1985</c:v>
                </c:pt>
                <c:pt idx="454">
                  <c:v>1985</c:v>
                </c:pt>
                <c:pt idx="455">
                  <c:v>1985</c:v>
                </c:pt>
                <c:pt idx="456">
                  <c:v>1985</c:v>
                </c:pt>
                <c:pt idx="457">
                  <c:v>1985</c:v>
                </c:pt>
                <c:pt idx="458">
                  <c:v>1985</c:v>
                </c:pt>
                <c:pt idx="459">
                  <c:v>1985</c:v>
                </c:pt>
                <c:pt idx="460">
                  <c:v>1985</c:v>
                </c:pt>
                <c:pt idx="461">
                  <c:v>1985</c:v>
                </c:pt>
                <c:pt idx="462">
                  <c:v>1985</c:v>
                </c:pt>
                <c:pt idx="463">
                  <c:v>1986</c:v>
                </c:pt>
                <c:pt idx="464">
                  <c:v>1986</c:v>
                </c:pt>
                <c:pt idx="465">
                  <c:v>1986</c:v>
                </c:pt>
                <c:pt idx="466">
                  <c:v>1986</c:v>
                </c:pt>
                <c:pt idx="467">
                  <c:v>1986</c:v>
                </c:pt>
                <c:pt idx="468">
                  <c:v>1986</c:v>
                </c:pt>
                <c:pt idx="469">
                  <c:v>1986</c:v>
                </c:pt>
                <c:pt idx="470">
                  <c:v>1986</c:v>
                </c:pt>
                <c:pt idx="471">
                  <c:v>1986</c:v>
                </c:pt>
                <c:pt idx="472">
                  <c:v>1986</c:v>
                </c:pt>
                <c:pt idx="473">
                  <c:v>1986</c:v>
                </c:pt>
                <c:pt idx="474">
                  <c:v>1986</c:v>
                </c:pt>
                <c:pt idx="475">
                  <c:v>1987</c:v>
                </c:pt>
                <c:pt idx="476">
                  <c:v>1987</c:v>
                </c:pt>
                <c:pt idx="477">
                  <c:v>1987</c:v>
                </c:pt>
                <c:pt idx="478">
                  <c:v>1987</c:v>
                </c:pt>
                <c:pt idx="479">
                  <c:v>1987</c:v>
                </c:pt>
                <c:pt idx="480">
                  <c:v>1987</c:v>
                </c:pt>
                <c:pt idx="481">
                  <c:v>1987</c:v>
                </c:pt>
                <c:pt idx="482">
                  <c:v>1987</c:v>
                </c:pt>
                <c:pt idx="483">
                  <c:v>1987</c:v>
                </c:pt>
                <c:pt idx="484">
                  <c:v>1987</c:v>
                </c:pt>
                <c:pt idx="485">
                  <c:v>1987</c:v>
                </c:pt>
                <c:pt idx="486">
                  <c:v>1987</c:v>
                </c:pt>
                <c:pt idx="487">
                  <c:v>1988</c:v>
                </c:pt>
                <c:pt idx="488">
                  <c:v>1988</c:v>
                </c:pt>
                <c:pt idx="489">
                  <c:v>1988</c:v>
                </c:pt>
                <c:pt idx="490">
                  <c:v>1988</c:v>
                </c:pt>
                <c:pt idx="491">
                  <c:v>1988</c:v>
                </c:pt>
                <c:pt idx="492">
                  <c:v>1988</c:v>
                </c:pt>
                <c:pt idx="493">
                  <c:v>1988</c:v>
                </c:pt>
                <c:pt idx="494">
                  <c:v>1988</c:v>
                </c:pt>
                <c:pt idx="495">
                  <c:v>1988</c:v>
                </c:pt>
                <c:pt idx="496">
                  <c:v>1988</c:v>
                </c:pt>
                <c:pt idx="497">
                  <c:v>1988</c:v>
                </c:pt>
                <c:pt idx="498">
                  <c:v>1988</c:v>
                </c:pt>
                <c:pt idx="499">
                  <c:v>1989</c:v>
                </c:pt>
                <c:pt idx="500">
                  <c:v>1989</c:v>
                </c:pt>
                <c:pt idx="501">
                  <c:v>1989</c:v>
                </c:pt>
                <c:pt idx="502">
                  <c:v>1989</c:v>
                </c:pt>
                <c:pt idx="503">
                  <c:v>1989</c:v>
                </c:pt>
                <c:pt idx="504">
                  <c:v>1989</c:v>
                </c:pt>
                <c:pt idx="505">
                  <c:v>1989</c:v>
                </c:pt>
                <c:pt idx="506">
                  <c:v>1989</c:v>
                </c:pt>
                <c:pt idx="507">
                  <c:v>1989</c:v>
                </c:pt>
                <c:pt idx="508">
                  <c:v>1989</c:v>
                </c:pt>
                <c:pt idx="509">
                  <c:v>1989</c:v>
                </c:pt>
                <c:pt idx="510">
                  <c:v>1989</c:v>
                </c:pt>
                <c:pt idx="511">
                  <c:v>1990</c:v>
                </c:pt>
                <c:pt idx="512">
                  <c:v>1990</c:v>
                </c:pt>
                <c:pt idx="513">
                  <c:v>1990</c:v>
                </c:pt>
                <c:pt idx="514">
                  <c:v>1990</c:v>
                </c:pt>
                <c:pt idx="515">
                  <c:v>1990</c:v>
                </c:pt>
                <c:pt idx="516">
                  <c:v>1990</c:v>
                </c:pt>
                <c:pt idx="517">
                  <c:v>1990</c:v>
                </c:pt>
                <c:pt idx="518">
                  <c:v>1990</c:v>
                </c:pt>
                <c:pt idx="519">
                  <c:v>1990</c:v>
                </c:pt>
                <c:pt idx="520">
                  <c:v>1990</c:v>
                </c:pt>
                <c:pt idx="521">
                  <c:v>1990</c:v>
                </c:pt>
                <c:pt idx="522">
                  <c:v>1990</c:v>
                </c:pt>
                <c:pt idx="523">
                  <c:v>1991</c:v>
                </c:pt>
                <c:pt idx="524">
                  <c:v>1991</c:v>
                </c:pt>
                <c:pt idx="525">
                  <c:v>1991</c:v>
                </c:pt>
                <c:pt idx="526">
                  <c:v>1991</c:v>
                </c:pt>
                <c:pt idx="527">
                  <c:v>1991</c:v>
                </c:pt>
                <c:pt idx="528">
                  <c:v>1991</c:v>
                </c:pt>
                <c:pt idx="529">
                  <c:v>1991</c:v>
                </c:pt>
                <c:pt idx="530">
                  <c:v>1991</c:v>
                </c:pt>
                <c:pt idx="531">
                  <c:v>1991</c:v>
                </c:pt>
                <c:pt idx="532">
                  <c:v>1991</c:v>
                </c:pt>
                <c:pt idx="533">
                  <c:v>1991</c:v>
                </c:pt>
                <c:pt idx="534">
                  <c:v>1991</c:v>
                </c:pt>
                <c:pt idx="535">
                  <c:v>1992</c:v>
                </c:pt>
                <c:pt idx="536">
                  <c:v>1992</c:v>
                </c:pt>
                <c:pt idx="537">
                  <c:v>1992</c:v>
                </c:pt>
                <c:pt idx="538">
                  <c:v>1992</c:v>
                </c:pt>
                <c:pt idx="539">
                  <c:v>1992</c:v>
                </c:pt>
                <c:pt idx="540">
                  <c:v>1992</c:v>
                </c:pt>
                <c:pt idx="541">
                  <c:v>1992</c:v>
                </c:pt>
                <c:pt idx="542">
                  <c:v>1992</c:v>
                </c:pt>
                <c:pt idx="543">
                  <c:v>1992</c:v>
                </c:pt>
                <c:pt idx="544">
                  <c:v>1992</c:v>
                </c:pt>
                <c:pt idx="545">
                  <c:v>1992</c:v>
                </c:pt>
                <c:pt idx="546">
                  <c:v>1992</c:v>
                </c:pt>
                <c:pt idx="547">
                  <c:v>1993</c:v>
                </c:pt>
                <c:pt idx="548">
                  <c:v>1993</c:v>
                </c:pt>
                <c:pt idx="549">
                  <c:v>1993</c:v>
                </c:pt>
                <c:pt idx="550">
                  <c:v>1993</c:v>
                </c:pt>
                <c:pt idx="551">
                  <c:v>1993</c:v>
                </c:pt>
                <c:pt idx="552">
                  <c:v>1993</c:v>
                </c:pt>
                <c:pt idx="553">
                  <c:v>1993</c:v>
                </c:pt>
                <c:pt idx="554">
                  <c:v>1993</c:v>
                </c:pt>
                <c:pt idx="555">
                  <c:v>1993</c:v>
                </c:pt>
                <c:pt idx="556">
                  <c:v>1993</c:v>
                </c:pt>
                <c:pt idx="557">
                  <c:v>1993</c:v>
                </c:pt>
                <c:pt idx="558">
                  <c:v>1993</c:v>
                </c:pt>
                <c:pt idx="559">
                  <c:v>1994</c:v>
                </c:pt>
                <c:pt idx="560">
                  <c:v>1994</c:v>
                </c:pt>
                <c:pt idx="561">
                  <c:v>1994</c:v>
                </c:pt>
                <c:pt idx="562">
                  <c:v>1994</c:v>
                </c:pt>
                <c:pt idx="563">
                  <c:v>1994</c:v>
                </c:pt>
                <c:pt idx="564">
                  <c:v>1994</c:v>
                </c:pt>
                <c:pt idx="565">
                  <c:v>1994</c:v>
                </c:pt>
                <c:pt idx="566">
                  <c:v>1994</c:v>
                </c:pt>
                <c:pt idx="567">
                  <c:v>1994</c:v>
                </c:pt>
                <c:pt idx="568">
                  <c:v>1994</c:v>
                </c:pt>
                <c:pt idx="569">
                  <c:v>1994</c:v>
                </c:pt>
                <c:pt idx="570">
                  <c:v>1994</c:v>
                </c:pt>
                <c:pt idx="571">
                  <c:v>1995</c:v>
                </c:pt>
                <c:pt idx="572">
                  <c:v>1995</c:v>
                </c:pt>
                <c:pt idx="573">
                  <c:v>1995</c:v>
                </c:pt>
                <c:pt idx="574">
                  <c:v>1995</c:v>
                </c:pt>
                <c:pt idx="575">
                  <c:v>1995</c:v>
                </c:pt>
                <c:pt idx="576">
                  <c:v>1995</c:v>
                </c:pt>
                <c:pt idx="577">
                  <c:v>1995</c:v>
                </c:pt>
                <c:pt idx="578">
                  <c:v>1995</c:v>
                </c:pt>
                <c:pt idx="579">
                  <c:v>1995</c:v>
                </c:pt>
                <c:pt idx="580">
                  <c:v>1995</c:v>
                </c:pt>
                <c:pt idx="581">
                  <c:v>1995</c:v>
                </c:pt>
                <c:pt idx="582">
                  <c:v>1995</c:v>
                </c:pt>
                <c:pt idx="583">
                  <c:v>1996</c:v>
                </c:pt>
                <c:pt idx="584">
                  <c:v>1996</c:v>
                </c:pt>
                <c:pt idx="585">
                  <c:v>1996</c:v>
                </c:pt>
                <c:pt idx="586">
                  <c:v>1996</c:v>
                </c:pt>
                <c:pt idx="587">
                  <c:v>1996</c:v>
                </c:pt>
                <c:pt idx="588">
                  <c:v>1996</c:v>
                </c:pt>
                <c:pt idx="589">
                  <c:v>1996</c:v>
                </c:pt>
                <c:pt idx="590">
                  <c:v>1996</c:v>
                </c:pt>
                <c:pt idx="591">
                  <c:v>1996</c:v>
                </c:pt>
                <c:pt idx="592">
                  <c:v>1996</c:v>
                </c:pt>
                <c:pt idx="593">
                  <c:v>1996</c:v>
                </c:pt>
                <c:pt idx="594">
                  <c:v>1996</c:v>
                </c:pt>
                <c:pt idx="595">
                  <c:v>1997</c:v>
                </c:pt>
                <c:pt idx="596">
                  <c:v>1997</c:v>
                </c:pt>
                <c:pt idx="597">
                  <c:v>1997</c:v>
                </c:pt>
                <c:pt idx="598">
                  <c:v>1997</c:v>
                </c:pt>
                <c:pt idx="599">
                  <c:v>1997</c:v>
                </c:pt>
                <c:pt idx="600">
                  <c:v>1997</c:v>
                </c:pt>
                <c:pt idx="601">
                  <c:v>1997</c:v>
                </c:pt>
                <c:pt idx="602">
                  <c:v>1997</c:v>
                </c:pt>
                <c:pt idx="603">
                  <c:v>1997</c:v>
                </c:pt>
                <c:pt idx="604">
                  <c:v>1997</c:v>
                </c:pt>
                <c:pt idx="605">
                  <c:v>1997</c:v>
                </c:pt>
                <c:pt idx="606">
                  <c:v>1997</c:v>
                </c:pt>
                <c:pt idx="607">
                  <c:v>1998</c:v>
                </c:pt>
                <c:pt idx="608">
                  <c:v>1998</c:v>
                </c:pt>
                <c:pt idx="609">
                  <c:v>1998</c:v>
                </c:pt>
                <c:pt idx="610">
                  <c:v>1998</c:v>
                </c:pt>
                <c:pt idx="611">
                  <c:v>1998</c:v>
                </c:pt>
                <c:pt idx="612">
                  <c:v>1998</c:v>
                </c:pt>
                <c:pt idx="613">
                  <c:v>1998</c:v>
                </c:pt>
                <c:pt idx="614">
                  <c:v>1998</c:v>
                </c:pt>
                <c:pt idx="615">
                  <c:v>1998</c:v>
                </c:pt>
                <c:pt idx="616">
                  <c:v>1998</c:v>
                </c:pt>
                <c:pt idx="617">
                  <c:v>1998</c:v>
                </c:pt>
                <c:pt idx="618">
                  <c:v>1998</c:v>
                </c:pt>
                <c:pt idx="619">
                  <c:v>1999</c:v>
                </c:pt>
                <c:pt idx="620">
                  <c:v>1999</c:v>
                </c:pt>
                <c:pt idx="621">
                  <c:v>1999</c:v>
                </c:pt>
                <c:pt idx="622">
                  <c:v>1999</c:v>
                </c:pt>
                <c:pt idx="623">
                  <c:v>1999</c:v>
                </c:pt>
                <c:pt idx="624">
                  <c:v>1999</c:v>
                </c:pt>
                <c:pt idx="625">
                  <c:v>1999</c:v>
                </c:pt>
                <c:pt idx="626">
                  <c:v>1999</c:v>
                </c:pt>
                <c:pt idx="627">
                  <c:v>1999</c:v>
                </c:pt>
                <c:pt idx="628">
                  <c:v>1999</c:v>
                </c:pt>
                <c:pt idx="629">
                  <c:v>1999</c:v>
                </c:pt>
                <c:pt idx="630">
                  <c:v>1999</c:v>
                </c:pt>
                <c:pt idx="631">
                  <c:v>2000</c:v>
                </c:pt>
                <c:pt idx="632">
                  <c:v>2000</c:v>
                </c:pt>
                <c:pt idx="633">
                  <c:v>2000</c:v>
                </c:pt>
                <c:pt idx="634">
                  <c:v>2000</c:v>
                </c:pt>
                <c:pt idx="635">
                  <c:v>2000</c:v>
                </c:pt>
                <c:pt idx="636">
                  <c:v>2000</c:v>
                </c:pt>
                <c:pt idx="637">
                  <c:v>2000</c:v>
                </c:pt>
                <c:pt idx="638">
                  <c:v>2000</c:v>
                </c:pt>
                <c:pt idx="639">
                  <c:v>2000</c:v>
                </c:pt>
                <c:pt idx="640">
                  <c:v>2000</c:v>
                </c:pt>
                <c:pt idx="641">
                  <c:v>2000</c:v>
                </c:pt>
                <c:pt idx="642">
                  <c:v>2000</c:v>
                </c:pt>
                <c:pt idx="643">
                  <c:v>2001</c:v>
                </c:pt>
                <c:pt idx="644">
                  <c:v>2001</c:v>
                </c:pt>
                <c:pt idx="645">
                  <c:v>2001</c:v>
                </c:pt>
                <c:pt idx="646">
                  <c:v>2001</c:v>
                </c:pt>
                <c:pt idx="647">
                  <c:v>2001</c:v>
                </c:pt>
                <c:pt idx="648">
                  <c:v>2001</c:v>
                </c:pt>
                <c:pt idx="649">
                  <c:v>2001</c:v>
                </c:pt>
                <c:pt idx="650">
                  <c:v>2001</c:v>
                </c:pt>
                <c:pt idx="651">
                  <c:v>2001</c:v>
                </c:pt>
                <c:pt idx="652">
                  <c:v>2001</c:v>
                </c:pt>
                <c:pt idx="653">
                  <c:v>2001</c:v>
                </c:pt>
                <c:pt idx="654">
                  <c:v>2001</c:v>
                </c:pt>
                <c:pt idx="655">
                  <c:v>2002</c:v>
                </c:pt>
                <c:pt idx="656">
                  <c:v>2002</c:v>
                </c:pt>
                <c:pt idx="657">
                  <c:v>2002</c:v>
                </c:pt>
                <c:pt idx="658">
                  <c:v>2002</c:v>
                </c:pt>
                <c:pt idx="659">
                  <c:v>2002</c:v>
                </c:pt>
                <c:pt idx="660">
                  <c:v>2002</c:v>
                </c:pt>
                <c:pt idx="661">
                  <c:v>2002</c:v>
                </c:pt>
                <c:pt idx="662">
                  <c:v>2002</c:v>
                </c:pt>
                <c:pt idx="663">
                  <c:v>2002</c:v>
                </c:pt>
                <c:pt idx="664">
                  <c:v>2002</c:v>
                </c:pt>
                <c:pt idx="665">
                  <c:v>2002</c:v>
                </c:pt>
                <c:pt idx="666">
                  <c:v>2002</c:v>
                </c:pt>
                <c:pt idx="667">
                  <c:v>2003</c:v>
                </c:pt>
                <c:pt idx="668">
                  <c:v>2003</c:v>
                </c:pt>
                <c:pt idx="669">
                  <c:v>2003</c:v>
                </c:pt>
                <c:pt idx="670">
                  <c:v>2003</c:v>
                </c:pt>
                <c:pt idx="671">
                  <c:v>2003</c:v>
                </c:pt>
                <c:pt idx="672">
                  <c:v>2003</c:v>
                </c:pt>
                <c:pt idx="673">
                  <c:v>2003</c:v>
                </c:pt>
                <c:pt idx="674">
                  <c:v>2003</c:v>
                </c:pt>
                <c:pt idx="675">
                  <c:v>2003</c:v>
                </c:pt>
                <c:pt idx="676">
                  <c:v>2003</c:v>
                </c:pt>
                <c:pt idx="677">
                  <c:v>2003</c:v>
                </c:pt>
                <c:pt idx="678">
                  <c:v>2003</c:v>
                </c:pt>
                <c:pt idx="679">
                  <c:v>2004</c:v>
                </c:pt>
                <c:pt idx="680">
                  <c:v>2004</c:v>
                </c:pt>
                <c:pt idx="681">
                  <c:v>2004</c:v>
                </c:pt>
                <c:pt idx="682">
                  <c:v>2004</c:v>
                </c:pt>
                <c:pt idx="683">
                  <c:v>2004</c:v>
                </c:pt>
                <c:pt idx="684">
                  <c:v>2004</c:v>
                </c:pt>
                <c:pt idx="685">
                  <c:v>2004</c:v>
                </c:pt>
                <c:pt idx="686">
                  <c:v>2004</c:v>
                </c:pt>
                <c:pt idx="687">
                  <c:v>2004</c:v>
                </c:pt>
                <c:pt idx="688">
                  <c:v>2004</c:v>
                </c:pt>
                <c:pt idx="689">
                  <c:v>2004</c:v>
                </c:pt>
                <c:pt idx="690">
                  <c:v>2004</c:v>
                </c:pt>
                <c:pt idx="691">
                  <c:v>2005</c:v>
                </c:pt>
                <c:pt idx="692">
                  <c:v>2005</c:v>
                </c:pt>
                <c:pt idx="693">
                  <c:v>2005</c:v>
                </c:pt>
                <c:pt idx="694">
                  <c:v>2005</c:v>
                </c:pt>
                <c:pt idx="695">
                  <c:v>2005</c:v>
                </c:pt>
                <c:pt idx="696">
                  <c:v>2005</c:v>
                </c:pt>
                <c:pt idx="697">
                  <c:v>2005</c:v>
                </c:pt>
                <c:pt idx="698">
                  <c:v>2005</c:v>
                </c:pt>
                <c:pt idx="699">
                  <c:v>2005</c:v>
                </c:pt>
                <c:pt idx="700">
                  <c:v>2005</c:v>
                </c:pt>
                <c:pt idx="701">
                  <c:v>2005</c:v>
                </c:pt>
                <c:pt idx="702">
                  <c:v>2005</c:v>
                </c:pt>
                <c:pt idx="703">
                  <c:v>2006</c:v>
                </c:pt>
                <c:pt idx="704">
                  <c:v>2006</c:v>
                </c:pt>
                <c:pt idx="705">
                  <c:v>2006</c:v>
                </c:pt>
                <c:pt idx="706">
                  <c:v>2006</c:v>
                </c:pt>
                <c:pt idx="707">
                  <c:v>2006</c:v>
                </c:pt>
                <c:pt idx="708">
                  <c:v>2006</c:v>
                </c:pt>
                <c:pt idx="709">
                  <c:v>2006</c:v>
                </c:pt>
                <c:pt idx="710">
                  <c:v>2006</c:v>
                </c:pt>
                <c:pt idx="711">
                  <c:v>2006</c:v>
                </c:pt>
                <c:pt idx="712">
                  <c:v>2006</c:v>
                </c:pt>
                <c:pt idx="713">
                  <c:v>2006</c:v>
                </c:pt>
                <c:pt idx="714">
                  <c:v>2006</c:v>
                </c:pt>
                <c:pt idx="715">
                  <c:v>2007</c:v>
                </c:pt>
                <c:pt idx="716">
                  <c:v>2007</c:v>
                </c:pt>
                <c:pt idx="717">
                  <c:v>2007</c:v>
                </c:pt>
                <c:pt idx="718">
                  <c:v>2007</c:v>
                </c:pt>
                <c:pt idx="719">
                  <c:v>2007</c:v>
                </c:pt>
                <c:pt idx="720">
                  <c:v>2007</c:v>
                </c:pt>
                <c:pt idx="721">
                  <c:v>2007</c:v>
                </c:pt>
                <c:pt idx="722">
                  <c:v>2007</c:v>
                </c:pt>
                <c:pt idx="723">
                  <c:v>2007</c:v>
                </c:pt>
                <c:pt idx="724">
                  <c:v>2007</c:v>
                </c:pt>
                <c:pt idx="725">
                  <c:v>2007</c:v>
                </c:pt>
                <c:pt idx="726">
                  <c:v>2007</c:v>
                </c:pt>
                <c:pt idx="727">
                  <c:v>2008</c:v>
                </c:pt>
                <c:pt idx="728">
                  <c:v>2008</c:v>
                </c:pt>
                <c:pt idx="729">
                  <c:v>2008</c:v>
                </c:pt>
                <c:pt idx="730">
                  <c:v>2008</c:v>
                </c:pt>
                <c:pt idx="731">
                  <c:v>2008</c:v>
                </c:pt>
                <c:pt idx="732">
                  <c:v>2008</c:v>
                </c:pt>
                <c:pt idx="733">
                  <c:v>2008</c:v>
                </c:pt>
                <c:pt idx="734">
                  <c:v>2008</c:v>
                </c:pt>
                <c:pt idx="735">
                  <c:v>2008</c:v>
                </c:pt>
                <c:pt idx="736">
                  <c:v>2008</c:v>
                </c:pt>
                <c:pt idx="737">
                  <c:v>2008</c:v>
                </c:pt>
                <c:pt idx="738">
                  <c:v>2008</c:v>
                </c:pt>
                <c:pt idx="739">
                  <c:v>2009</c:v>
                </c:pt>
                <c:pt idx="740">
                  <c:v>2009</c:v>
                </c:pt>
                <c:pt idx="741">
                  <c:v>2009</c:v>
                </c:pt>
                <c:pt idx="742">
                  <c:v>2009</c:v>
                </c:pt>
                <c:pt idx="743">
                  <c:v>2009</c:v>
                </c:pt>
                <c:pt idx="744">
                  <c:v>2009</c:v>
                </c:pt>
                <c:pt idx="745">
                  <c:v>2009</c:v>
                </c:pt>
                <c:pt idx="746">
                  <c:v>2009</c:v>
                </c:pt>
                <c:pt idx="747">
                  <c:v>2009</c:v>
                </c:pt>
                <c:pt idx="748">
                  <c:v>2009</c:v>
                </c:pt>
                <c:pt idx="749">
                  <c:v>2009</c:v>
                </c:pt>
                <c:pt idx="750">
                  <c:v>2009</c:v>
                </c:pt>
                <c:pt idx="751">
                  <c:v>2010</c:v>
                </c:pt>
                <c:pt idx="752">
                  <c:v>2010</c:v>
                </c:pt>
                <c:pt idx="753">
                  <c:v>2010</c:v>
                </c:pt>
                <c:pt idx="754">
                  <c:v>2010</c:v>
                </c:pt>
                <c:pt idx="755">
                  <c:v>2010</c:v>
                </c:pt>
                <c:pt idx="756">
                  <c:v>2010</c:v>
                </c:pt>
                <c:pt idx="757">
                  <c:v>2010</c:v>
                </c:pt>
                <c:pt idx="758">
                  <c:v>2010</c:v>
                </c:pt>
                <c:pt idx="759">
                  <c:v>2010</c:v>
                </c:pt>
                <c:pt idx="760">
                  <c:v>2010</c:v>
                </c:pt>
                <c:pt idx="761">
                  <c:v>2010</c:v>
                </c:pt>
                <c:pt idx="762">
                  <c:v>2010</c:v>
                </c:pt>
                <c:pt idx="763">
                  <c:v>2011</c:v>
                </c:pt>
                <c:pt idx="764">
                  <c:v>2011</c:v>
                </c:pt>
                <c:pt idx="765">
                  <c:v>2011</c:v>
                </c:pt>
                <c:pt idx="766">
                  <c:v>2011</c:v>
                </c:pt>
                <c:pt idx="767">
                  <c:v>2011</c:v>
                </c:pt>
                <c:pt idx="768">
                  <c:v>2011</c:v>
                </c:pt>
                <c:pt idx="769">
                  <c:v>2011</c:v>
                </c:pt>
                <c:pt idx="770">
                  <c:v>2011</c:v>
                </c:pt>
                <c:pt idx="771">
                  <c:v>2011</c:v>
                </c:pt>
                <c:pt idx="772">
                  <c:v>2011</c:v>
                </c:pt>
                <c:pt idx="773">
                  <c:v>2011</c:v>
                </c:pt>
                <c:pt idx="774">
                  <c:v>2011</c:v>
                </c:pt>
                <c:pt idx="775">
                  <c:v>2012</c:v>
                </c:pt>
                <c:pt idx="776">
                  <c:v>2012</c:v>
                </c:pt>
                <c:pt idx="777">
                  <c:v>2012</c:v>
                </c:pt>
                <c:pt idx="778">
                  <c:v>2012</c:v>
                </c:pt>
                <c:pt idx="779">
                  <c:v>2012</c:v>
                </c:pt>
                <c:pt idx="780">
                  <c:v>2012</c:v>
                </c:pt>
                <c:pt idx="781">
                  <c:v>2012</c:v>
                </c:pt>
                <c:pt idx="782">
                  <c:v>2012</c:v>
                </c:pt>
                <c:pt idx="783">
                  <c:v>2012</c:v>
                </c:pt>
                <c:pt idx="784">
                  <c:v>2012</c:v>
                </c:pt>
                <c:pt idx="785">
                  <c:v>2012</c:v>
                </c:pt>
                <c:pt idx="786">
                  <c:v>2012</c:v>
                </c:pt>
                <c:pt idx="787">
                  <c:v>2013</c:v>
                </c:pt>
                <c:pt idx="788">
                  <c:v>2013</c:v>
                </c:pt>
                <c:pt idx="789">
                  <c:v>2013</c:v>
                </c:pt>
                <c:pt idx="790">
                  <c:v>2013</c:v>
                </c:pt>
                <c:pt idx="791">
                  <c:v>2013</c:v>
                </c:pt>
                <c:pt idx="792">
                  <c:v>2013</c:v>
                </c:pt>
                <c:pt idx="793">
                  <c:v>2013</c:v>
                </c:pt>
                <c:pt idx="794">
                  <c:v>2013</c:v>
                </c:pt>
                <c:pt idx="795">
                  <c:v>2013</c:v>
                </c:pt>
                <c:pt idx="796">
                  <c:v>2013</c:v>
                </c:pt>
                <c:pt idx="797">
                  <c:v>2013</c:v>
                </c:pt>
                <c:pt idx="798">
                  <c:v>2013</c:v>
                </c:pt>
                <c:pt idx="799">
                  <c:v>2014</c:v>
                </c:pt>
                <c:pt idx="800">
                  <c:v>2014</c:v>
                </c:pt>
                <c:pt idx="801">
                  <c:v>2014</c:v>
                </c:pt>
                <c:pt idx="802">
                  <c:v>2014</c:v>
                </c:pt>
                <c:pt idx="803">
                  <c:v>2014</c:v>
                </c:pt>
                <c:pt idx="804">
                  <c:v>2014</c:v>
                </c:pt>
                <c:pt idx="805">
                  <c:v>2014</c:v>
                </c:pt>
                <c:pt idx="806">
                  <c:v>2014</c:v>
                </c:pt>
                <c:pt idx="807">
                  <c:v>2014</c:v>
                </c:pt>
                <c:pt idx="808">
                  <c:v>2014</c:v>
                </c:pt>
                <c:pt idx="809">
                  <c:v>2014</c:v>
                </c:pt>
                <c:pt idx="810">
                  <c:v>2014</c:v>
                </c:pt>
                <c:pt idx="811">
                  <c:v>2015</c:v>
                </c:pt>
                <c:pt idx="812">
                  <c:v>2015</c:v>
                </c:pt>
                <c:pt idx="813">
                  <c:v>2015</c:v>
                </c:pt>
                <c:pt idx="814">
                  <c:v>2015</c:v>
                </c:pt>
                <c:pt idx="815">
                  <c:v>2015</c:v>
                </c:pt>
                <c:pt idx="816">
                  <c:v>2015</c:v>
                </c:pt>
                <c:pt idx="817">
                  <c:v>2015</c:v>
                </c:pt>
                <c:pt idx="818">
                  <c:v>2015</c:v>
                </c:pt>
                <c:pt idx="819">
                  <c:v>2015</c:v>
                </c:pt>
                <c:pt idx="820">
                  <c:v>2015</c:v>
                </c:pt>
                <c:pt idx="821">
                  <c:v>2015</c:v>
                </c:pt>
                <c:pt idx="822">
                  <c:v>2015</c:v>
                </c:pt>
                <c:pt idx="823">
                  <c:v>2016</c:v>
                </c:pt>
                <c:pt idx="824">
                  <c:v>2016</c:v>
                </c:pt>
                <c:pt idx="825">
                  <c:v>2016</c:v>
                </c:pt>
                <c:pt idx="826">
                  <c:v>2016</c:v>
                </c:pt>
                <c:pt idx="827">
                  <c:v>2016</c:v>
                </c:pt>
                <c:pt idx="828">
                  <c:v>2016</c:v>
                </c:pt>
                <c:pt idx="829">
                  <c:v>2016</c:v>
                </c:pt>
                <c:pt idx="830">
                  <c:v>2016</c:v>
                </c:pt>
                <c:pt idx="831">
                  <c:v>2016</c:v>
                </c:pt>
                <c:pt idx="832">
                  <c:v>2016</c:v>
                </c:pt>
                <c:pt idx="833">
                  <c:v>2016</c:v>
                </c:pt>
                <c:pt idx="834">
                  <c:v>2016</c:v>
                </c:pt>
                <c:pt idx="835">
                  <c:v>2017</c:v>
                </c:pt>
                <c:pt idx="836">
                  <c:v>2017</c:v>
                </c:pt>
                <c:pt idx="837">
                  <c:v>2017</c:v>
                </c:pt>
                <c:pt idx="838">
                  <c:v>2017</c:v>
                </c:pt>
                <c:pt idx="839">
                  <c:v>2017</c:v>
                </c:pt>
                <c:pt idx="840">
                  <c:v>2017</c:v>
                </c:pt>
                <c:pt idx="841">
                  <c:v>2017</c:v>
                </c:pt>
                <c:pt idx="842">
                  <c:v>2017</c:v>
                </c:pt>
                <c:pt idx="843">
                  <c:v>2017</c:v>
                </c:pt>
                <c:pt idx="844">
                  <c:v>2017</c:v>
                </c:pt>
                <c:pt idx="845">
                  <c:v>2017</c:v>
                </c:pt>
                <c:pt idx="846">
                  <c:v>2017</c:v>
                </c:pt>
                <c:pt idx="847">
                  <c:v>2018</c:v>
                </c:pt>
                <c:pt idx="848">
                  <c:v>2018</c:v>
                </c:pt>
                <c:pt idx="849">
                  <c:v>2018</c:v>
                </c:pt>
                <c:pt idx="850">
                  <c:v>2018</c:v>
                </c:pt>
                <c:pt idx="851">
                  <c:v>2018</c:v>
                </c:pt>
                <c:pt idx="852">
                  <c:v>2018</c:v>
                </c:pt>
                <c:pt idx="853">
                  <c:v>2018</c:v>
                </c:pt>
                <c:pt idx="854">
                  <c:v>2018</c:v>
                </c:pt>
                <c:pt idx="855">
                  <c:v>2018</c:v>
                </c:pt>
                <c:pt idx="856">
                  <c:v>2018</c:v>
                </c:pt>
                <c:pt idx="857">
                  <c:v>2018</c:v>
                </c:pt>
                <c:pt idx="858">
                  <c:v>2018</c:v>
                </c:pt>
                <c:pt idx="859">
                  <c:v>2019</c:v>
                </c:pt>
                <c:pt idx="860">
                  <c:v>2019</c:v>
                </c:pt>
                <c:pt idx="861">
                  <c:v>2019</c:v>
                </c:pt>
                <c:pt idx="862">
                  <c:v>2019</c:v>
                </c:pt>
                <c:pt idx="863">
                  <c:v>2019</c:v>
                </c:pt>
                <c:pt idx="864">
                  <c:v>2019</c:v>
                </c:pt>
                <c:pt idx="865">
                  <c:v>2019</c:v>
                </c:pt>
                <c:pt idx="866">
                  <c:v>2019</c:v>
                </c:pt>
                <c:pt idx="867">
                  <c:v>2019</c:v>
                </c:pt>
                <c:pt idx="868">
                  <c:v>2019</c:v>
                </c:pt>
                <c:pt idx="869">
                  <c:v>2019</c:v>
                </c:pt>
                <c:pt idx="870">
                  <c:v>2019</c:v>
                </c:pt>
                <c:pt idx="871">
                  <c:v>2020</c:v>
                </c:pt>
                <c:pt idx="872">
                  <c:v>2020</c:v>
                </c:pt>
                <c:pt idx="873">
                  <c:v>2020</c:v>
                </c:pt>
                <c:pt idx="874">
                  <c:v>2020</c:v>
                </c:pt>
                <c:pt idx="875">
                  <c:v>2020</c:v>
                </c:pt>
                <c:pt idx="876">
                  <c:v>2020</c:v>
                </c:pt>
                <c:pt idx="877">
                  <c:v>2020</c:v>
                </c:pt>
                <c:pt idx="878">
                  <c:v>2020</c:v>
                </c:pt>
                <c:pt idx="879">
                  <c:v>2020</c:v>
                </c:pt>
                <c:pt idx="880">
                  <c:v>2020</c:v>
                </c:pt>
                <c:pt idx="881">
                  <c:v>2020</c:v>
                </c:pt>
                <c:pt idx="882">
                  <c:v>2020</c:v>
                </c:pt>
              </c:numCache>
            </c:numRef>
          </c:cat>
          <c:val>
            <c:numRef>
              <c:f>'2.1.2 Prices ONS'!$F$101:$F$983</c:f>
              <c:numCache>
                <c:formatCode>0.0</c:formatCode>
                <c:ptCount val="883"/>
                <c:pt idx="0">
                  <c:v>61.213597325245516</c:v>
                </c:pt>
                <c:pt idx="1">
                  <c:v>60.848868840685952</c:v>
                </c:pt>
                <c:pt idx="2">
                  <c:v>61.152444880365167</c:v>
                </c:pt>
                <c:pt idx="3">
                  <c:v>63.039052513871127</c:v>
                </c:pt>
                <c:pt idx="4">
                  <c:v>64.114142904329213</c:v>
                </c:pt>
                <c:pt idx="5">
                  <c:v>63.285624314011081</c:v>
                </c:pt>
                <c:pt idx="6">
                  <c:v>63.220600516237177</c:v>
                </c:pt>
                <c:pt idx="7">
                  <c:v>64.150910056783204</c:v>
                </c:pt>
                <c:pt idx="8">
                  <c:v>63.521367252681735</c:v>
                </c:pt>
                <c:pt idx="9">
                  <c:v>63.342265653285068</c:v>
                </c:pt>
                <c:pt idx="10">
                  <c:v>62.234769477103178</c:v>
                </c:pt>
                <c:pt idx="11">
                  <c:v>62.576423239722232</c:v>
                </c:pt>
                <c:pt idx="12">
                  <c:v>61.604203689217016</c:v>
                </c:pt>
                <c:pt idx="13">
                  <c:v>62.800616515159305</c:v>
                </c:pt>
                <c:pt idx="14">
                  <c:v>62.970654285507202</c:v>
                </c:pt>
                <c:pt idx="15">
                  <c:v>62.910832001546247</c:v>
                </c:pt>
                <c:pt idx="16">
                  <c:v>63.246521221655904</c:v>
                </c:pt>
                <c:pt idx="17">
                  <c:v>63.071967805220787</c:v>
                </c:pt>
                <c:pt idx="18">
                  <c:v>63.970459704783245</c:v>
                </c:pt>
                <c:pt idx="19">
                  <c:v>63.909241978100376</c:v>
                </c:pt>
                <c:pt idx="20">
                  <c:v>63.792192084367592</c:v>
                </c:pt>
                <c:pt idx="21">
                  <c:v>62.843711487258467</c:v>
                </c:pt>
                <c:pt idx="22">
                  <c:v>62.848214565054128</c:v>
                </c:pt>
                <c:pt idx="23">
                  <c:v>61.711718822467233</c:v>
                </c:pt>
                <c:pt idx="24">
                  <c:v>61.984965788389935</c:v>
                </c:pt>
                <c:pt idx="25">
                  <c:v>62.149416708814918</c:v>
                </c:pt>
                <c:pt idx="26">
                  <c:v>62.09357716100827</c:v>
                </c:pt>
                <c:pt idx="27">
                  <c:v>62.035624146981135</c:v>
                </c:pt>
                <c:pt idx="28">
                  <c:v>62.031232196019062</c:v>
                </c:pt>
                <c:pt idx="29">
                  <c:v>62.194759170173775</c:v>
                </c:pt>
                <c:pt idx="30">
                  <c:v>62.355236351737666</c:v>
                </c:pt>
                <c:pt idx="31">
                  <c:v>62.40642207383312</c:v>
                </c:pt>
                <c:pt idx="32">
                  <c:v>62.295109645479528</c:v>
                </c:pt>
                <c:pt idx="33">
                  <c:v>62.238318337738633</c:v>
                </c:pt>
                <c:pt idx="34">
                  <c:v>61.912259981284322</c:v>
                </c:pt>
                <c:pt idx="35">
                  <c:v>62.392843508393867</c:v>
                </c:pt>
                <c:pt idx="36">
                  <c:v>61.429138160897814</c:v>
                </c:pt>
                <c:pt idx="37">
                  <c:v>61.91410504111542</c:v>
                </c:pt>
                <c:pt idx="38">
                  <c:v>62.565487725538048</c:v>
                </c:pt>
                <c:pt idx="39">
                  <c:v>62.772152481024399</c:v>
                </c:pt>
                <c:pt idx="40">
                  <c:v>62.649537488392035</c:v>
                </c:pt>
                <c:pt idx="41">
                  <c:v>63.490573696340306</c:v>
                </c:pt>
                <c:pt idx="42">
                  <c:v>64.216329724160303</c:v>
                </c:pt>
                <c:pt idx="43">
                  <c:v>63.822872573550967</c:v>
                </c:pt>
                <c:pt idx="44">
                  <c:v>64.936045811240177</c:v>
                </c:pt>
                <c:pt idx="45">
                  <c:v>64.859709246464007</c:v>
                </c:pt>
                <c:pt idx="46">
                  <c:v>64.853051501478149</c:v>
                </c:pt>
                <c:pt idx="47">
                  <c:v>62.594726032019807</c:v>
                </c:pt>
                <c:pt idx="48">
                  <c:v>61.754440353822005</c:v>
                </c:pt>
                <c:pt idx="49">
                  <c:v>61.746310593107623</c:v>
                </c:pt>
                <c:pt idx="50">
                  <c:v>61.599194788711621</c:v>
                </c:pt>
                <c:pt idx="51">
                  <c:v>61.644341950677287</c:v>
                </c:pt>
                <c:pt idx="52">
                  <c:v>61.688858174044015</c:v>
                </c:pt>
                <c:pt idx="53">
                  <c:v>62.681208707366643</c:v>
                </c:pt>
                <c:pt idx="54">
                  <c:v>63.094199393609443</c:v>
                </c:pt>
                <c:pt idx="55">
                  <c:v>64.724716869938831</c:v>
                </c:pt>
                <c:pt idx="56">
                  <c:v>64.854036983565095</c:v>
                </c:pt>
                <c:pt idx="57">
                  <c:v>64.660378185177493</c:v>
                </c:pt>
                <c:pt idx="58">
                  <c:v>64.281396891377625</c:v>
                </c:pt>
                <c:pt idx="59">
                  <c:v>63.078099806711442</c:v>
                </c:pt>
                <c:pt idx="60">
                  <c:v>62.731270344589454</c:v>
                </c:pt>
                <c:pt idx="61">
                  <c:v>62.916415531568681</c:v>
                </c:pt>
                <c:pt idx="62">
                  <c:v>63.407644142934281</c:v>
                </c:pt>
                <c:pt idx="63">
                  <c:v>63.907802967696917</c:v>
                </c:pt>
                <c:pt idx="64">
                  <c:v>63.416517587678314</c:v>
                </c:pt>
                <c:pt idx="65">
                  <c:v>64.412940777116418</c:v>
                </c:pt>
                <c:pt idx="66">
                  <c:v>64.724716869938845</c:v>
                </c:pt>
                <c:pt idx="67">
                  <c:v>64.786713725178274</c:v>
                </c:pt>
                <c:pt idx="68">
                  <c:v>64.539259228477718</c:v>
                </c:pt>
                <c:pt idx="69">
                  <c:v>65.830072566009932</c:v>
                </c:pt>
                <c:pt idx="70">
                  <c:v>65.515526380567806</c:v>
                </c:pt>
                <c:pt idx="71">
                  <c:v>63.930923172477335</c:v>
                </c:pt>
                <c:pt idx="72">
                  <c:v>63.996108424873874</c:v>
                </c:pt>
                <c:pt idx="73">
                  <c:v>64.117543165718047</c:v>
                </c:pt>
                <c:pt idx="74">
                  <c:v>64.663598157124923</c:v>
                </c:pt>
                <c:pt idx="75">
                  <c:v>65.21459173745022</c:v>
                </c:pt>
                <c:pt idx="76">
                  <c:v>65.21459173745022</c:v>
                </c:pt>
                <c:pt idx="77">
                  <c:v>66.922914801370737</c:v>
                </c:pt>
                <c:pt idx="78">
                  <c:v>67.728041800456836</c:v>
                </c:pt>
                <c:pt idx="79">
                  <c:v>67.722364437639243</c:v>
                </c:pt>
                <c:pt idx="80">
                  <c:v>68.095795873581494</c:v>
                </c:pt>
                <c:pt idx="81">
                  <c:v>68.003454872731268</c:v>
                </c:pt>
                <c:pt idx="82">
                  <c:v>67.809726739440606</c:v>
                </c:pt>
                <c:pt idx="83">
                  <c:v>66.483870374370156</c:v>
                </c:pt>
                <c:pt idx="84">
                  <c:v>66.353391012984858</c:v>
                </c:pt>
                <c:pt idx="85">
                  <c:v>65.377303382834654</c:v>
                </c:pt>
                <c:pt idx="86">
                  <c:v>65.799481541210909</c:v>
                </c:pt>
                <c:pt idx="87">
                  <c:v>66.220204782830223</c:v>
                </c:pt>
                <c:pt idx="88">
                  <c:v>66.094237098097636</c:v>
                </c:pt>
                <c:pt idx="89">
                  <c:v>67.391944213480286</c:v>
                </c:pt>
                <c:pt idx="90">
                  <c:v>67.495264859817837</c:v>
                </c:pt>
                <c:pt idx="91">
                  <c:v>67.485208424282888</c:v>
                </c:pt>
                <c:pt idx="92">
                  <c:v>67.426474561424484</c:v>
                </c:pt>
                <c:pt idx="93">
                  <c:v>67.426474561424484</c:v>
                </c:pt>
                <c:pt idx="94">
                  <c:v>67.061349247914976</c:v>
                </c:pt>
                <c:pt idx="95">
                  <c:v>65.192888420535169</c:v>
                </c:pt>
                <c:pt idx="96">
                  <c:v>64.610058381241004</c:v>
                </c:pt>
                <c:pt idx="97">
                  <c:v>64.553336331006989</c:v>
                </c:pt>
                <c:pt idx="98">
                  <c:v>68.57943334130411</c:v>
                </c:pt>
                <c:pt idx="99">
                  <c:v>69.127369872576054</c:v>
                </c:pt>
                <c:pt idx="100">
                  <c:v>68.798300449165765</c:v>
                </c:pt>
                <c:pt idx="101">
                  <c:v>70.016324531422683</c:v>
                </c:pt>
                <c:pt idx="102">
                  <c:v>71.018944930440668</c:v>
                </c:pt>
                <c:pt idx="103">
                  <c:v>71.320154340278037</c:v>
                </c:pt>
                <c:pt idx="104">
                  <c:v>71.320154340278037</c:v>
                </c:pt>
                <c:pt idx="105">
                  <c:v>70.404890760392945</c:v>
                </c:pt>
                <c:pt idx="106">
                  <c:v>69.514580812676058</c:v>
                </c:pt>
                <c:pt idx="107">
                  <c:v>68.189025613143897</c:v>
                </c:pt>
                <c:pt idx="108">
                  <c:v>70.205776928711202</c:v>
                </c:pt>
                <c:pt idx="109">
                  <c:v>70.551015420922099</c:v>
                </c:pt>
                <c:pt idx="110">
                  <c:v>70.483554289365699</c:v>
                </c:pt>
                <c:pt idx="111">
                  <c:v>71.180447867525316</c:v>
                </c:pt>
                <c:pt idx="112">
                  <c:v>71.111818933247079</c:v>
                </c:pt>
                <c:pt idx="113">
                  <c:v>72.288614244025766</c:v>
                </c:pt>
                <c:pt idx="114">
                  <c:v>73.04452944521708</c:v>
                </c:pt>
                <c:pt idx="115">
                  <c:v>72.549812173731127</c:v>
                </c:pt>
                <c:pt idx="116">
                  <c:v>72.687750780168344</c:v>
                </c:pt>
                <c:pt idx="117">
                  <c:v>72.827400637574996</c:v>
                </c:pt>
                <c:pt idx="118">
                  <c:v>72.548635467670394</c:v>
                </c:pt>
                <c:pt idx="119">
                  <c:v>69.411010629448441</c:v>
                </c:pt>
                <c:pt idx="120">
                  <c:v>69.430878728615056</c:v>
                </c:pt>
                <c:pt idx="121">
                  <c:v>71.119440960333563</c:v>
                </c:pt>
                <c:pt idx="122">
                  <c:v>72.459668084436629</c:v>
                </c:pt>
                <c:pt idx="123">
                  <c:v>73.403966578306907</c:v>
                </c:pt>
                <c:pt idx="124">
                  <c:v>73.184733538716699</c:v>
                </c:pt>
                <c:pt idx="125">
                  <c:v>76.352960031885402</c:v>
                </c:pt>
                <c:pt idx="126">
                  <c:v>76.197872844141799</c:v>
                </c:pt>
                <c:pt idx="127">
                  <c:v>76.268361163146565</c:v>
                </c:pt>
                <c:pt idx="128">
                  <c:v>76.556485374554967</c:v>
                </c:pt>
                <c:pt idx="129">
                  <c:v>76.057286362879552</c:v>
                </c:pt>
                <c:pt idx="130">
                  <c:v>75.289615485129303</c:v>
                </c:pt>
                <c:pt idx="131">
                  <c:v>71.777334816818296</c:v>
                </c:pt>
                <c:pt idx="132">
                  <c:v>71.514310840296943</c:v>
                </c:pt>
                <c:pt idx="133">
                  <c:v>72.766277285426568</c:v>
                </c:pt>
                <c:pt idx="134">
                  <c:v>72.900656375519674</c:v>
                </c:pt>
                <c:pt idx="135">
                  <c:v>72.89919834781189</c:v>
                </c:pt>
                <c:pt idx="136">
                  <c:v>72.298035798325742</c:v>
                </c:pt>
                <c:pt idx="137">
                  <c:v>75.67211275630595</c:v>
                </c:pt>
                <c:pt idx="138">
                  <c:v>75.4621596740147</c:v>
                </c:pt>
                <c:pt idx="139">
                  <c:v>75.325452863011037</c:v>
                </c:pt>
                <c:pt idx="140">
                  <c:v>75.587724772243945</c:v>
                </c:pt>
                <c:pt idx="141">
                  <c:v>75.652384930304024</c:v>
                </c:pt>
                <c:pt idx="142">
                  <c:v>76.205096418379298</c:v>
                </c:pt>
                <c:pt idx="143">
                  <c:v>72.627581550915608</c:v>
                </c:pt>
                <c:pt idx="144">
                  <c:v>72.494685701783084</c:v>
                </c:pt>
                <c:pt idx="145">
                  <c:v>72.694212359677906</c:v>
                </c:pt>
                <c:pt idx="146">
                  <c:v>72.690440928700596</c:v>
                </c:pt>
                <c:pt idx="147">
                  <c:v>73.288511865768712</c:v>
                </c:pt>
                <c:pt idx="148">
                  <c:v>73.279499239736239</c:v>
                </c:pt>
                <c:pt idx="149">
                  <c:v>76.960930183554581</c:v>
                </c:pt>
                <c:pt idx="150">
                  <c:v>77.015411674165961</c:v>
                </c:pt>
                <c:pt idx="151">
                  <c:v>77.225644827052676</c:v>
                </c:pt>
                <c:pt idx="152">
                  <c:v>77.225644827052676</c:v>
                </c:pt>
                <c:pt idx="153">
                  <c:v>77.431452889034773</c:v>
                </c:pt>
                <c:pt idx="154">
                  <c:v>76.945588091505812</c:v>
                </c:pt>
                <c:pt idx="155">
                  <c:v>72.613357501479854</c:v>
                </c:pt>
                <c:pt idx="156">
                  <c:v>72.284809268234923</c:v>
                </c:pt>
                <c:pt idx="157">
                  <c:v>72.154683598985187</c:v>
                </c:pt>
                <c:pt idx="158">
                  <c:v>72.935194067186529</c:v>
                </c:pt>
                <c:pt idx="159">
                  <c:v>73.256448123272037</c:v>
                </c:pt>
                <c:pt idx="160">
                  <c:v>75.289498657241452</c:v>
                </c:pt>
                <c:pt idx="161">
                  <c:v>79.478313192427834</c:v>
                </c:pt>
                <c:pt idx="162">
                  <c:v>79.710760733251945</c:v>
                </c:pt>
                <c:pt idx="163">
                  <c:v>79.893814924372037</c:v>
                </c:pt>
                <c:pt idx="164">
                  <c:v>80.084340715129699</c:v>
                </c:pt>
                <c:pt idx="165">
                  <c:v>79.800101706380318</c:v>
                </c:pt>
                <c:pt idx="166">
                  <c:v>79.440454349012285</c:v>
                </c:pt>
                <c:pt idx="167">
                  <c:v>75.903227638552977</c:v>
                </c:pt>
                <c:pt idx="168">
                  <c:v>75.738767741813618</c:v>
                </c:pt>
                <c:pt idx="169">
                  <c:v>75.801001733384524</c:v>
                </c:pt>
                <c:pt idx="170">
                  <c:v>75.32690458411389</c:v>
                </c:pt>
                <c:pt idx="171">
                  <c:v>75.580838885281693</c:v>
                </c:pt>
                <c:pt idx="172">
                  <c:v>75.696758452775669</c:v>
                </c:pt>
                <c:pt idx="173">
                  <c:v>79.434423396956376</c:v>
                </c:pt>
                <c:pt idx="174">
                  <c:v>79.420564696603392</c:v>
                </c:pt>
                <c:pt idx="175">
                  <c:v>79.271592824172885</c:v>
                </c:pt>
                <c:pt idx="176">
                  <c:v>79.509170025444135</c:v>
                </c:pt>
                <c:pt idx="177">
                  <c:v>79.271592824172885</c:v>
                </c:pt>
                <c:pt idx="178">
                  <c:v>78.415864147955119</c:v>
                </c:pt>
                <c:pt idx="179">
                  <c:v>77.410029000513234</c:v>
                </c:pt>
                <c:pt idx="180">
                  <c:v>77.114542679297429</c:v>
                </c:pt>
                <c:pt idx="181">
                  <c:v>77.49281561933779</c:v>
                </c:pt>
                <c:pt idx="182">
                  <c:v>78.569383832620161</c:v>
                </c:pt>
                <c:pt idx="183">
                  <c:v>78.802992275458564</c:v>
                </c:pt>
                <c:pt idx="184">
                  <c:v>79.037061484456373</c:v>
                </c:pt>
                <c:pt idx="185">
                  <c:v>82.152780382615305</c:v>
                </c:pt>
                <c:pt idx="186">
                  <c:v>82.216187670036589</c:v>
                </c:pt>
                <c:pt idx="187">
                  <c:v>82.204718946196806</c:v>
                </c:pt>
                <c:pt idx="188">
                  <c:v>81.56710226888832</c:v>
                </c:pt>
                <c:pt idx="189">
                  <c:v>81.641331857489519</c:v>
                </c:pt>
                <c:pt idx="190">
                  <c:v>81.405828015592917</c:v>
                </c:pt>
                <c:pt idx="191">
                  <c:v>78.737520495232346</c:v>
                </c:pt>
                <c:pt idx="192">
                  <c:v>79.271592824172885</c:v>
                </c:pt>
                <c:pt idx="193">
                  <c:v>79.962245617413501</c:v>
                </c:pt>
                <c:pt idx="194">
                  <c:v>80.42603349636957</c:v>
                </c:pt>
                <c:pt idx="195">
                  <c:v>80.422680812907231</c:v>
                </c:pt>
                <c:pt idx="196">
                  <c:v>80.188911159650303</c:v>
                </c:pt>
                <c:pt idx="197">
                  <c:v>83.463840521605107</c:v>
                </c:pt>
                <c:pt idx="198">
                  <c:v>83.45579398091904</c:v>
                </c:pt>
                <c:pt idx="199">
                  <c:v>83.360099044330795</c:v>
                </c:pt>
                <c:pt idx="200">
                  <c:v>83.356197797937511</c:v>
                </c:pt>
                <c:pt idx="201">
                  <c:v>82.888547629838556</c:v>
                </c:pt>
                <c:pt idx="202">
                  <c:v>82.260154287855187</c:v>
                </c:pt>
                <c:pt idx="203">
                  <c:v>78.604822417240598</c:v>
                </c:pt>
                <c:pt idx="204">
                  <c:v>78.607305733467527</c:v>
                </c:pt>
                <c:pt idx="205">
                  <c:v>78.607305733467527</c:v>
                </c:pt>
                <c:pt idx="206">
                  <c:v>80.080486628501177</c:v>
                </c:pt>
                <c:pt idx="207">
                  <c:v>80.448165630468594</c:v>
                </c:pt>
                <c:pt idx="208">
                  <c:v>80.594010498718859</c:v>
                </c:pt>
                <c:pt idx="209">
                  <c:v>80.291631702425107</c:v>
                </c:pt>
                <c:pt idx="210">
                  <c:v>83.046430577704925</c:v>
                </c:pt>
                <c:pt idx="211">
                  <c:v>83.108482705160242</c:v>
                </c:pt>
                <c:pt idx="212">
                  <c:v>83.325665151253872</c:v>
                </c:pt>
                <c:pt idx="213">
                  <c:v>83.455170971399468</c:v>
                </c:pt>
                <c:pt idx="214">
                  <c:v>78.209919705991993</c:v>
                </c:pt>
                <c:pt idx="215">
                  <c:v>78.425276886548261</c:v>
                </c:pt>
                <c:pt idx="216">
                  <c:v>78.849561274088558</c:v>
                </c:pt>
                <c:pt idx="217">
                  <c:v>78.919899865769281</c:v>
                </c:pt>
                <c:pt idx="218">
                  <c:v>79.131164847513574</c:v>
                </c:pt>
                <c:pt idx="219">
                  <c:v>80.81493356942228</c:v>
                </c:pt>
                <c:pt idx="220">
                  <c:v>80.883658814408051</c:v>
                </c:pt>
                <c:pt idx="221">
                  <c:v>83.458472726858062</c:v>
                </c:pt>
                <c:pt idx="222">
                  <c:v>83.092747605355626</c:v>
                </c:pt>
                <c:pt idx="223">
                  <c:v>83.016707445787347</c:v>
                </c:pt>
                <c:pt idx="224">
                  <c:v>83.221313795307367</c:v>
                </c:pt>
                <c:pt idx="225">
                  <c:v>83.076075900376651</c:v>
                </c:pt>
                <c:pt idx="226">
                  <c:v>82.210108765068952</c:v>
                </c:pt>
                <c:pt idx="227">
                  <c:v>81.036200198683588</c:v>
                </c:pt>
                <c:pt idx="228">
                  <c:v>80.896288151056012</c:v>
                </c:pt>
                <c:pt idx="229">
                  <c:v>81.3791566128087</c:v>
                </c:pt>
                <c:pt idx="230">
                  <c:v>81.366579505800658</c:v>
                </c:pt>
                <c:pt idx="231">
                  <c:v>81.708635814497583</c:v>
                </c:pt>
                <c:pt idx="232">
                  <c:v>81.567362974106331</c:v>
                </c:pt>
                <c:pt idx="233">
                  <c:v>83.768795804037055</c:v>
                </c:pt>
                <c:pt idx="234">
                  <c:v>83.694183801683792</c:v>
                </c:pt>
                <c:pt idx="235">
                  <c:v>83.552927795267436</c:v>
                </c:pt>
                <c:pt idx="236">
                  <c:v>83.482478446367566</c:v>
                </c:pt>
                <c:pt idx="237">
                  <c:v>83.482478446367566</c:v>
                </c:pt>
                <c:pt idx="238">
                  <c:v>82.787404054031597</c:v>
                </c:pt>
                <c:pt idx="239">
                  <c:v>79.736334155637877</c:v>
                </c:pt>
                <c:pt idx="240">
                  <c:v>79.469937093124116</c:v>
                </c:pt>
                <c:pt idx="241">
                  <c:v>80.003125979429498</c:v>
                </c:pt>
                <c:pt idx="242">
                  <c:v>80.404996590372164</c:v>
                </c:pt>
                <c:pt idx="243">
                  <c:v>80.672858353893119</c:v>
                </c:pt>
                <c:pt idx="244">
                  <c:v>84.238484605136094</c:v>
                </c:pt>
                <c:pt idx="245">
                  <c:v>85.592251388226543</c:v>
                </c:pt>
                <c:pt idx="246">
                  <c:v>86.597020543898438</c:v>
                </c:pt>
                <c:pt idx="247">
                  <c:v>86.442542832938514</c:v>
                </c:pt>
                <c:pt idx="248">
                  <c:v>86.082981732960235</c:v>
                </c:pt>
                <c:pt idx="249">
                  <c:v>85.80212371751827</c:v>
                </c:pt>
                <c:pt idx="250">
                  <c:v>84.670699707229531</c:v>
                </c:pt>
                <c:pt idx="251">
                  <c:v>83.016207697372408</c:v>
                </c:pt>
                <c:pt idx="252">
                  <c:v>83.380566933878796</c:v>
                </c:pt>
                <c:pt idx="253">
                  <c:v>83.377292850922871</c:v>
                </c:pt>
                <c:pt idx="254">
                  <c:v>83.623016773948464</c:v>
                </c:pt>
                <c:pt idx="255">
                  <c:v>83.934627696183043</c:v>
                </c:pt>
                <c:pt idx="256">
                  <c:v>86.2956580111249</c:v>
                </c:pt>
                <c:pt idx="257">
                  <c:v>86.341592815594765</c:v>
                </c:pt>
                <c:pt idx="258">
                  <c:v>85.321916887077037</c:v>
                </c:pt>
                <c:pt idx="259">
                  <c:v>84.982094863404541</c:v>
                </c:pt>
                <c:pt idx="260">
                  <c:v>84.584865994976468</c:v>
                </c:pt>
                <c:pt idx="261">
                  <c:v>84.260288612033335</c:v>
                </c:pt>
                <c:pt idx="262">
                  <c:v>83.424774224983778</c:v>
                </c:pt>
                <c:pt idx="263">
                  <c:v>81.260917967289018</c:v>
                </c:pt>
                <c:pt idx="264">
                  <c:v>80.891829770616994</c:v>
                </c:pt>
                <c:pt idx="265">
                  <c:v>80.951838546411224</c:v>
                </c:pt>
                <c:pt idx="266">
                  <c:v>81.376680645755627</c:v>
                </c:pt>
                <c:pt idx="267">
                  <c:v>81.190421092231531</c:v>
                </c:pt>
                <c:pt idx="268">
                  <c:v>84.092162658075281</c:v>
                </c:pt>
                <c:pt idx="269">
                  <c:v>84.081329916875504</c:v>
                </c:pt>
                <c:pt idx="270">
                  <c:v>83.577267136795356</c:v>
                </c:pt>
                <c:pt idx="271">
                  <c:v>85.004888836548503</c:v>
                </c:pt>
                <c:pt idx="272">
                  <c:v>84.68441083639614</c:v>
                </c:pt>
                <c:pt idx="273">
                  <c:v>84.247765804376456</c:v>
                </c:pt>
                <c:pt idx="274">
                  <c:v>82.918883939016197</c:v>
                </c:pt>
                <c:pt idx="275">
                  <c:v>80.749056202974685</c:v>
                </c:pt>
                <c:pt idx="276">
                  <c:v>80.518179702036946</c:v>
                </c:pt>
                <c:pt idx="277">
                  <c:v>79.946723494073595</c:v>
                </c:pt>
                <c:pt idx="278">
                  <c:v>80.566512309226837</c:v>
                </c:pt>
                <c:pt idx="279">
                  <c:v>80.616128674194201</c:v>
                </c:pt>
                <c:pt idx="280">
                  <c:v>83.595497887309577</c:v>
                </c:pt>
                <c:pt idx="281">
                  <c:v>83.070023313664493</c:v>
                </c:pt>
                <c:pt idx="282">
                  <c:v>82.497126601156467</c:v>
                </c:pt>
                <c:pt idx="283">
                  <c:v>82.2914630269985</c:v>
                </c:pt>
                <c:pt idx="284">
                  <c:v>82.596923510978513</c:v>
                </c:pt>
                <c:pt idx="285">
                  <c:v>83.2617736710272</c:v>
                </c:pt>
                <c:pt idx="286">
                  <c:v>82.813293423413199</c:v>
                </c:pt>
                <c:pt idx="287">
                  <c:v>81.651810363279921</c:v>
                </c:pt>
                <c:pt idx="288">
                  <c:v>81.737591823239811</c:v>
                </c:pt>
                <c:pt idx="289">
                  <c:v>83.051295059346089</c:v>
                </c:pt>
                <c:pt idx="290">
                  <c:v>83.099905420317739</c:v>
                </c:pt>
                <c:pt idx="291">
                  <c:v>82.993024513024736</c:v>
                </c:pt>
                <c:pt idx="292">
                  <c:v>84.999016090881028</c:v>
                </c:pt>
                <c:pt idx="293">
                  <c:v>84.5126898703992</c:v>
                </c:pt>
                <c:pt idx="294">
                  <c:v>84.085048175925323</c:v>
                </c:pt>
                <c:pt idx="295">
                  <c:v>83.858376811483495</c:v>
                </c:pt>
                <c:pt idx="296">
                  <c:v>83.835414188267919</c:v>
                </c:pt>
                <c:pt idx="297">
                  <c:v>84.315699167320489</c:v>
                </c:pt>
                <c:pt idx="298">
                  <c:v>85.395788808735077</c:v>
                </c:pt>
                <c:pt idx="299">
                  <c:v>83.951834466928474</c:v>
                </c:pt>
                <c:pt idx="300">
                  <c:v>83.678260476585692</c:v>
                </c:pt>
                <c:pt idx="301">
                  <c:v>83.423454567704482</c:v>
                </c:pt>
                <c:pt idx="302">
                  <c:v>83.007655809239651</c:v>
                </c:pt>
                <c:pt idx="303">
                  <c:v>82.558696132386785</c:v>
                </c:pt>
                <c:pt idx="304">
                  <c:v>83.641633211041935</c:v>
                </c:pt>
                <c:pt idx="305">
                  <c:v>83.34520686770685</c:v>
                </c:pt>
                <c:pt idx="306">
                  <c:v>82.904486032331221</c:v>
                </c:pt>
                <c:pt idx="307">
                  <c:v>82.510945712492841</c:v>
                </c:pt>
                <c:pt idx="308">
                  <c:v>81.984483761891084</c:v>
                </c:pt>
                <c:pt idx="309">
                  <c:v>81.511678203864051</c:v>
                </c:pt>
                <c:pt idx="310">
                  <c:v>79.989388797679823</c:v>
                </c:pt>
                <c:pt idx="311">
                  <c:v>78.024623948287015</c:v>
                </c:pt>
                <c:pt idx="312">
                  <c:v>77.632102083818268</c:v>
                </c:pt>
                <c:pt idx="313">
                  <c:v>77.330607802323343</c:v>
                </c:pt>
                <c:pt idx="314">
                  <c:v>77.116038968243657</c:v>
                </c:pt>
                <c:pt idx="315">
                  <c:v>76.437349956421912</c:v>
                </c:pt>
                <c:pt idx="316">
                  <c:v>77.518553284911235</c:v>
                </c:pt>
                <c:pt idx="317">
                  <c:v>77.65900153545843</c:v>
                </c:pt>
                <c:pt idx="318">
                  <c:v>78.260690471473566</c:v>
                </c:pt>
                <c:pt idx="319">
                  <c:v>77.949021932424429</c:v>
                </c:pt>
                <c:pt idx="320">
                  <c:v>78.638836285808694</c:v>
                </c:pt>
                <c:pt idx="321">
                  <c:v>78.404864165947373</c:v>
                </c:pt>
                <c:pt idx="322">
                  <c:v>75.818464311274283</c:v>
                </c:pt>
                <c:pt idx="323">
                  <c:v>76.934815327355707</c:v>
                </c:pt>
                <c:pt idx="324">
                  <c:v>78.594414018341453</c:v>
                </c:pt>
                <c:pt idx="325">
                  <c:v>80.720226905409405</c:v>
                </c:pt>
                <c:pt idx="326">
                  <c:v>82.137539504385302</c:v>
                </c:pt>
                <c:pt idx="327">
                  <c:v>81.319790448421159</c:v>
                </c:pt>
                <c:pt idx="328">
                  <c:v>79.877089612731737</c:v>
                </c:pt>
                <c:pt idx="329">
                  <c:v>81.467554172429686</c:v>
                </c:pt>
                <c:pt idx="330">
                  <c:v>81.616426728218556</c:v>
                </c:pt>
                <c:pt idx="331">
                  <c:v>81.19960666688749</c:v>
                </c:pt>
                <c:pt idx="332">
                  <c:v>81.721780171975723</c:v>
                </c:pt>
                <c:pt idx="333">
                  <c:v>81.523514490870269</c:v>
                </c:pt>
                <c:pt idx="334">
                  <c:v>82.537810210398277</c:v>
                </c:pt>
                <c:pt idx="335">
                  <c:v>83.454714931368898</c:v>
                </c:pt>
                <c:pt idx="336">
                  <c:v>86.079372141276863</c:v>
                </c:pt>
                <c:pt idx="337">
                  <c:v>87.179086623339657</c:v>
                </c:pt>
                <c:pt idx="338">
                  <c:v>86.734374727392577</c:v>
                </c:pt>
                <c:pt idx="339">
                  <c:v>86.326461300250827</c:v>
                </c:pt>
                <c:pt idx="340">
                  <c:v>87.302904564315327</c:v>
                </c:pt>
                <c:pt idx="341">
                  <c:v>87.516967065599957</c:v>
                </c:pt>
                <c:pt idx="342">
                  <c:v>89.054088070742424</c:v>
                </c:pt>
                <c:pt idx="343">
                  <c:v>88.911426639621354</c:v>
                </c:pt>
                <c:pt idx="344">
                  <c:v>88.14795938152669</c:v>
                </c:pt>
                <c:pt idx="345">
                  <c:v>87.834986865421143</c:v>
                </c:pt>
                <c:pt idx="346">
                  <c:v>88.663838628021523</c:v>
                </c:pt>
                <c:pt idx="347">
                  <c:v>90.404793478327292</c:v>
                </c:pt>
                <c:pt idx="348">
                  <c:v>91.839937379356485</c:v>
                </c:pt>
                <c:pt idx="349">
                  <c:v>92.561346581304988</c:v>
                </c:pt>
                <c:pt idx="350">
                  <c:v>91.965092122166354</c:v>
                </c:pt>
                <c:pt idx="351">
                  <c:v>90.908168169010565</c:v>
                </c:pt>
                <c:pt idx="352">
                  <c:v>91.202739423075172</c:v>
                </c:pt>
                <c:pt idx="353">
                  <c:v>91.630062573157517</c:v>
                </c:pt>
                <c:pt idx="354">
                  <c:v>91.265313179213578</c:v>
                </c:pt>
                <c:pt idx="355">
                  <c:v>89.885531091449977</c:v>
                </c:pt>
                <c:pt idx="356">
                  <c:v>88.649663082251777</c:v>
                </c:pt>
                <c:pt idx="357">
                  <c:v>88.102791000982535</c:v>
                </c:pt>
                <c:pt idx="358">
                  <c:v>87.719670272262405</c:v>
                </c:pt>
                <c:pt idx="359">
                  <c:v>90.26127801090864</c:v>
                </c:pt>
                <c:pt idx="360">
                  <c:v>91.06789327072461</c:v>
                </c:pt>
                <c:pt idx="361">
                  <c:v>91.859402342563257</c:v>
                </c:pt>
                <c:pt idx="362">
                  <c:v>91.707214217194519</c:v>
                </c:pt>
                <c:pt idx="363">
                  <c:v>91.297319710836362</c:v>
                </c:pt>
                <c:pt idx="364">
                  <c:v>92.284954652435985</c:v>
                </c:pt>
                <c:pt idx="365">
                  <c:v>91.63377551607843</c:v>
                </c:pt>
                <c:pt idx="366">
                  <c:v>91.023274018754634</c:v>
                </c:pt>
                <c:pt idx="367">
                  <c:v>90.453772680422844</c:v>
                </c:pt>
                <c:pt idx="368">
                  <c:v>90.422501307759916</c:v>
                </c:pt>
                <c:pt idx="369">
                  <c:v>90.222538420220118</c:v>
                </c:pt>
                <c:pt idx="370">
                  <c:v>89.565268777441403</c:v>
                </c:pt>
                <c:pt idx="371">
                  <c:v>90.17710048799637</c:v>
                </c:pt>
                <c:pt idx="372">
                  <c:v>90.479366735963254</c:v>
                </c:pt>
                <c:pt idx="373">
                  <c:v>90.737225934462757</c:v>
                </c:pt>
                <c:pt idx="374">
                  <c:v>90.145659265883012</c:v>
                </c:pt>
                <c:pt idx="375">
                  <c:v>89.785436851234124</c:v>
                </c:pt>
                <c:pt idx="376">
                  <c:v>89.267328448718771</c:v>
                </c:pt>
                <c:pt idx="377">
                  <c:v>89.958945311642395</c:v>
                </c:pt>
                <c:pt idx="378">
                  <c:v>88.866465748620996</c:v>
                </c:pt>
                <c:pt idx="379">
                  <c:v>87.692649673977471</c:v>
                </c:pt>
                <c:pt idx="380">
                  <c:v>87.46410120134172</c:v>
                </c:pt>
                <c:pt idx="381">
                  <c:v>87.461319480683258</c:v>
                </c:pt>
                <c:pt idx="382">
                  <c:v>86.318898237026474</c:v>
                </c:pt>
                <c:pt idx="383">
                  <c:v>85.928055673538722</c:v>
                </c:pt>
                <c:pt idx="384">
                  <c:v>85.651634755437229</c:v>
                </c:pt>
                <c:pt idx="385">
                  <c:v>85.604425657782571</c:v>
                </c:pt>
                <c:pt idx="386">
                  <c:v>86.827580948547251</c:v>
                </c:pt>
                <c:pt idx="387">
                  <c:v>87.609085113586801</c:v>
                </c:pt>
                <c:pt idx="388">
                  <c:v>87.841533629281329</c:v>
                </c:pt>
                <c:pt idx="389">
                  <c:v>89.688925109457642</c:v>
                </c:pt>
                <c:pt idx="390">
                  <c:v>89.800920004021108</c:v>
                </c:pt>
                <c:pt idx="391">
                  <c:v>88.054113238788446</c:v>
                </c:pt>
                <c:pt idx="392">
                  <c:v>87.160039797429548</c:v>
                </c:pt>
                <c:pt idx="393">
                  <c:v>87.252216064724081</c:v>
                </c:pt>
                <c:pt idx="394">
                  <c:v>86.407447241809436</c:v>
                </c:pt>
                <c:pt idx="395">
                  <c:v>88.99574882482348</c:v>
                </c:pt>
                <c:pt idx="396">
                  <c:v>92.500288352628615</c:v>
                </c:pt>
                <c:pt idx="397">
                  <c:v>93.922897647579703</c:v>
                </c:pt>
                <c:pt idx="398">
                  <c:v>94.090420887518633</c:v>
                </c:pt>
                <c:pt idx="399">
                  <c:v>95.431297021635828</c:v>
                </c:pt>
                <c:pt idx="400">
                  <c:v>96.726737771239428</c:v>
                </c:pt>
                <c:pt idx="401">
                  <c:v>99.192334367127458</c:v>
                </c:pt>
                <c:pt idx="402">
                  <c:v>99.387831302808181</c:v>
                </c:pt>
                <c:pt idx="403">
                  <c:v>99.987259651508694</c:v>
                </c:pt>
                <c:pt idx="404">
                  <c:v>99.567478336842314</c:v>
                </c:pt>
                <c:pt idx="405">
                  <c:v>98.122448383245526</c:v>
                </c:pt>
                <c:pt idx="406">
                  <c:v>96.836053940691528</c:v>
                </c:pt>
                <c:pt idx="407">
                  <c:v>98.940394040714168</c:v>
                </c:pt>
                <c:pt idx="408">
                  <c:v>101.24413193521792</c:v>
                </c:pt>
                <c:pt idx="409">
                  <c:v>102.1129563651955</c:v>
                </c:pt>
                <c:pt idx="410">
                  <c:v>102.35204015851249</c:v>
                </c:pt>
                <c:pt idx="411">
                  <c:v>101.82576552767202</c:v>
                </c:pt>
                <c:pt idx="412">
                  <c:v>101.74182513669092</c:v>
                </c:pt>
                <c:pt idx="413">
                  <c:v>101.21435399175998</c:v>
                </c:pt>
                <c:pt idx="414">
                  <c:v>100.61683983893903</c:v>
                </c:pt>
                <c:pt idx="415">
                  <c:v>100.86191859189108</c:v>
                </c:pt>
                <c:pt idx="416">
                  <c:v>101.9835127632138</c:v>
                </c:pt>
                <c:pt idx="417">
                  <c:v>102.02517165501115</c:v>
                </c:pt>
                <c:pt idx="418">
                  <c:v>101.47758188387563</c:v>
                </c:pt>
                <c:pt idx="419">
                  <c:v>103.14931132113678</c:v>
                </c:pt>
                <c:pt idx="420">
                  <c:v>105.25169886199149</c:v>
                </c:pt>
                <c:pt idx="421">
                  <c:v>106.47402005134876</c:v>
                </c:pt>
                <c:pt idx="422">
                  <c:v>107.45433106995308</c:v>
                </c:pt>
                <c:pt idx="423">
                  <c:v>107.54502716288347</c:v>
                </c:pt>
                <c:pt idx="424">
                  <c:v>107.85550338261498</c:v>
                </c:pt>
                <c:pt idx="425">
                  <c:v>109.50152391059069</c:v>
                </c:pt>
                <c:pt idx="426">
                  <c:v>110.85284870205612</c:v>
                </c:pt>
                <c:pt idx="427">
                  <c:v>111.69743247143973</c:v>
                </c:pt>
                <c:pt idx="428">
                  <c:v>110.695708506541</c:v>
                </c:pt>
                <c:pt idx="429">
                  <c:v>110.68333214924311</c:v>
                </c:pt>
                <c:pt idx="430">
                  <c:v>109.1286307053942</c:v>
                </c:pt>
                <c:pt idx="431">
                  <c:v>107.99406273117562</c:v>
                </c:pt>
                <c:pt idx="432">
                  <c:v>107.54962153687958</c:v>
                </c:pt>
                <c:pt idx="433">
                  <c:v>106.99748359758348</c:v>
                </c:pt>
                <c:pt idx="434">
                  <c:v>107.2836834407214</c:v>
                </c:pt>
                <c:pt idx="435">
                  <c:v>106.99335558323939</c:v>
                </c:pt>
                <c:pt idx="436">
                  <c:v>106.77666139084965</c:v>
                </c:pt>
                <c:pt idx="437">
                  <c:v>106.8806711960239</c:v>
                </c:pt>
                <c:pt idx="438">
                  <c:v>106.64554050848032</c:v>
                </c:pt>
                <c:pt idx="439">
                  <c:v>106.77605368618441</c:v>
                </c:pt>
                <c:pt idx="440">
                  <c:v>106.97596876249294</c:v>
                </c:pt>
                <c:pt idx="441">
                  <c:v>107.06414487386024</c:v>
                </c:pt>
                <c:pt idx="442">
                  <c:v>106.03474330355817</c:v>
                </c:pt>
                <c:pt idx="443">
                  <c:v>106.06396830463221</c:v>
                </c:pt>
                <c:pt idx="444">
                  <c:v>106.16927028192961</c:v>
                </c:pt>
                <c:pt idx="445">
                  <c:v>106.42314544913364</c:v>
                </c:pt>
                <c:pt idx="446">
                  <c:v>105.52118160694322</c:v>
                </c:pt>
                <c:pt idx="447">
                  <c:v>105.37918408079656</c:v>
                </c:pt>
                <c:pt idx="448">
                  <c:v>105.25406092636567</c:v>
                </c:pt>
                <c:pt idx="449">
                  <c:v>105.58312335328392</c:v>
                </c:pt>
                <c:pt idx="450">
                  <c:v>105.95413776198166</c:v>
                </c:pt>
                <c:pt idx="451">
                  <c:v>105.61464200126989</c:v>
                </c:pt>
                <c:pt idx="452">
                  <c:v>105.02808662358922</c:v>
                </c:pt>
                <c:pt idx="453">
                  <c:v>104.69143426433511</c:v>
                </c:pt>
                <c:pt idx="454">
                  <c:v>103.69575691144131</c:v>
                </c:pt>
                <c:pt idx="455">
                  <c:v>103.45470562650046</c:v>
                </c:pt>
                <c:pt idx="456">
                  <c:v>103.62829589528475</c:v>
                </c:pt>
                <c:pt idx="457">
                  <c:v>104.04959941205976</c:v>
                </c:pt>
                <c:pt idx="458">
                  <c:v>104.00100457455936</c:v>
                </c:pt>
                <c:pt idx="459">
                  <c:v>104.49102621326587</c:v>
                </c:pt>
                <c:pt idx="460">
                  <c:v>104.32477159717475</c:v>
                </c:pt>
                <c:pt idx="461">
                  <c:v>104.39895432175661</c:v>
                </c:pt>
                <c:pt idx="462">
                  <c:v>104.38462319480641</c:v>
                </c:pt>
                <c:pt idx="463">
                  <c:v>104.08257603302391</c:v>
                </c:pt>
                <c:pt idx="464">
                  <c:v>103.70022072878294</c:v>
                </c:pt>
                <c:pt idx="465">
                  <c:v>103.56434517751356</c:v>
                </c:pt>
                <c:pt idx="466">
                  <c:v>102.52936495030546</c:v>
                </c:pt>
                <c:pt idx="467">
                  <c:v>101.81838564333781</c:v>
                </c:pt>
                <c:pt idx="468">
                  <c:v>101.99239572702913</c:v>
                </c:pt>
                <c:pt idx="469">
                  <c:v>102.32455439530629</c:v>
                </c:pt>
                <c:pt idx="470">
                  <c:v>102.16795878056561</c:v>
                </c:pt>
                <c:pt idx="471">
                  <c:v>101.84829657854424</c:v>
                </c:pt>
                <c:pt idx="472">
                  <c:v>101.630753621472</c:v>
                </c:pt>
                <c:pt idx="473">
                  <c:v>100.71483278018893</c:v>
                </c:pt>
                <c:pt idx="474">
                  <c:v>100.22300453550652</c:v>
                </c:pt>
                <c:pt idx="475">
                  <c:v>100</c:v>
                </c:pt>
                <c:pt idx="476">
                  <c:v>99.601593625497998</c:v>
                </c:pt>
                <c:pt idx="477">
                  <c:v>99.204771371769382</c:v>
                </c:pt>
                <c:pt idx="478">
                  <c:v>98.133595284872314</c:v>
                </c:pt>
                <c:pt idx="479">
                  <c:v>97.546614327772332</c:v>
                </c:pt>
                <c:pt idx="480">
                  <c:v>97.546614327772332</c:v>
                </c:pt>
                <c:pt idx="481">
                  <c:v>97.347740667976424</c:v>
                </c:pt>
                <c:pt idx="482">
                  <c:v>96.963761018609205</c:v>
                </c:pt>
                <c:pt idx="483">
                  <c:v>96.19140625</c:v>
                </c:pt>
                <c:pt idx="484">
                  <c:v>95.238095238095227</c:v>
                </c:pt>
                <c:pt idx="485">
                  <c:v>95.067698259187623</c:v>
                </c:pt>
                <c:pt idx="486">
                  <c:v>95.06292352371733</c:v>
                </c:pt>
                <c:pt idx="487">
                  <c:v>95.159728944820912</c:v>
                </c:pt>
                <c:pt idx="488">
                  <c:v>94.503375120540014</c:v>
                </c:pt>
                <c:pt idx="489">
                  <c:v>93.948126801152739</c:v>
                </c:pt>
                <c:pt idx="490">
                  <c:v>93.667296786389414</c:v>
                </c:pt>
                <c:pt idx="491">
                  <c:v>94.821092278719405</c:v>
                </c:pt>
                <c:pt idx="492">
                  <c:v>96.060037523452166</c:v>
                </c:pt>
                <c:pt idx="493">
                  <c:v>97.094657919400191</c:v>
                </c:pt>
                <c:pt idx="494">
                  <c:v>95.829471733086194</c:v>
                </c:pt>
                <c:pt idx="495">
                  <c:v>95.571955719557195</c:v>
                </c:pt>
                <c:pt idx="496">
                  <c:v>94.703196347031977</c:v>
                </c:pt>
                <c:pt idx="497">
                  <c:v>94.454545454545453</c:v>
                </c:pt>
                <c:pt idx="498">
                  <c:v>94.378966455122395</c:v>
                </c:pt>
                <c:pt idx="499">
                  <c:v>93.873873873873876</c:v>
                </c:pt>
                <c:pt idx="500">
                  <c:v>93.202146690518788</c:v>
                </c:pt>
                <c:pt idx="501">
                  <c:v>92.876224398931427</c:v>
                </c:pt>
                <c:pt idx="502">
                  <c:v>92.213473315835529</c:v>
                </c:pt>
                <c:pt idx="503">
                  <c:v>92.521739130434781</c:v>
                </c:pt>
                <c:pt idx="504">
                  <c:v>93.240901213171568</c:v>
                </c:pt>
                <c:pt idx="505">
                  <c:v>93.852813852813853</c:v>
                </c:pt>
                <c:pt idx="506">
                  <c:v>93.868739205526779</c:v>
                </c:pt>
                <c:pt idx="507">
                  <c:v>93.481989708404811</c:v>
                </c:pt>
                <c:pt idx="508">
                  <c:v>93.106382978723417</c:v>
                </c:pt>
                <c:pt idx="509">
                  <c:v>92.573839662447256</c:v>
                </c:pt>
                <c:pt idx="510">
                  <c:v>92.592592592592595</c:v>
                </c:pt>
                <c:pt idx="511">
                  <c:v>92.55230125523012</c:v>
                </c:pt>
                <c:pt idx="512">
                  <c:v>91.430948419301174</c:v>
                </c:pt>
                <c:pt idx="513">
                  <c:v>90.691927512355846</c:v>
                </c:pt>
                <c:pt idx="514">
                  <c:v>89.28856914468426</c:v>
                </c:pt>
                <c:pt idx="515">
                  <c:v>90.570522979397765</c:v>
                </c:pt>
                <c:pt idx="516">
                  <c:v>91.554853985793201</c:v>
                </c:pt>
                <c:pt idx="517">
                  <c:v>92.034700315457414</c:v>
                </c:pt>
                <c:pt idx="518">
                  <c:v>92.583918813427019</c:v>
                </c:pt>
                <c:pt idx="519">
                  <c:v>92.420726991492643</c:v>
                </c:pt>
                <c:pt idx="520">
                  <c:v>93.553338449731385</c:v>
                </c:pt>
                <c:pt idx="521">
                  <c:v>92.92307692307692</c:v>
                </c:pt>
                <c:pt idx="522">
                  <c:v>92.76366435719784</c:v>
                </c:pt>
                <c:pt idx="523">
                  <c:v>93.394777265745006</c:v>
                </c:pt>
                <c:pt idx="524">
                  <c:v>92.895339954163475</c:v>
                </c:pt>
                <c:pt idx="525">
                  <c:v>91.476407914764081</c:v>
                </c:pt>
                <c:pt idx="526">
                  <c:v>91.134485349361384</c:v>
                </c:pt>
                <c:pt idx="527">
                  <c:v>92.509363295880149</c:v>
                </c:pt>
                <c:pt idx="528">
                  <c:v>93.736017897091727</c:v>
                </c:pt>
                <c:pt idx="529">
                  <c:v>95.067264573991025</c:v>
                </c:pt>
                <c:pt idx="530">
                  <c:v>95.152870991797172</c:v>
                </c:pt>
                <c:pt idx="531">
                  <c:v>95.096582466567611</c:v>
                </c:pt>
                <c:pt idx="532">
                  <c:v>94.744633604737231</c:v>
                </c:pt>
                <c:pt idx="533">
                  <c:v>94.616519174041315</c:v>
                </c:pt>
                <c:pt idx="534">
                  <c:v>94.325718496683876</c:v>
                </c:pt>
                <c:pt idx="535">
                  <c:v>94.174041297935105</c:v>
                </c:pt>
                <c:pt idx="536">
                  <c:v>93.763756419662499</c:v>
                </c:pt>
                <c:pt idx="537">
                  <c:v>93.343087051938554</c:v>
                </c:pt>
                <c:pt idx="538">
                  <c:v>92.07492795389048</c:v>
                </c:pt>
                <c:pt idx="539">
                  <c:v>92.03158650394829</c:v>
                </c:pt>
                <c:pt idx="540">
                  <c:v>92.103374012921762</c:v>
                </c:pt>
                <c:pt idx="541">
                  <c:v>92.507204610951007</c:v>
                </c:pt>
                <c:pt idx="542">
                  <c:v>92.008639308855294</c:v>
                </c:pt>
                <c:pt idx="543">
                  <c:v>91.463414634146332</c:v>
                </c:pt>
                <c:pt idx="544">
                  <c:v>91.279485346676196</c:v>
                </c:pt>
                <c:pt idx="545">
                  <c:v>91.481746599856834</c:v>
                </c:pt>
                <c:pt idx="546">
                  <c:v>91.522988505747136</c:v>
                </c:pt>
                <c:pt idx="547">
                  <c:v>92.168237853517027</c:v>
                </c:pt>
                <c:pt idx="548">
                  <c:v>91.57060518731987</c:v>
                </c:pt>
                <c:pt idx="549">
                  <c:v>91.385498923187356</c:v>
                </c:pt>
                <c:pt idx="550">
                  <c:v>90.327169274537695</c:v>
                </c:pt>
                <c:pt idx="551">
                  <c:v>89.4401133947555</c:v>
                </c:pt>
                <c:pt idx="552">
                  <c:v>89.148936170212764</c:v>
                </c:pt>
                <c:pt idx="553">
                  <c:v>89.125799573560784</c:v>
                </c:pt>
                <c:pt idx="554">
                  <c:v>88.747346072186829</c:v>
                </c:pt>
                <c:pt idx="555">
                  <c:v>88.583509513742072</c:v>
                </c:pt>
                <c:pt idx="556">
                  <c:v>88.787023977432995</c:v>
                </c:pt>
                <c:pt idx="557">
                  <c:v>88.841807909604526</c:v>
                </c:pt>
                <c:pt idx="558">
                  <c:v>88.513037350246648</c:v>
                </c:pt>
                <c:pt idx="559">
                  <c:v>88.747346072186829</c:v>
                </c:pt>
                <c:pt idx="560">
                  <c:v>87.895847994370172</c:v>
                </c:pt>
                <c:pt idx="561">
                  <c:v>87.368421052631589</c:v>
                </c:pt>
                <c:pt idx="562">
                  <c:v>93.134535367545084</c:v>
                </c:pt>
                <c:pt idx="563">
                  <c:v>92.467173462335879</c:v>
                </c:pt>
                <c:pt idx="564">
                  <c:v>92.398064961990329</c:v>
                </c:pt>
                <c:pt idx="565">
                  <c:v>92.986111111111114</c:v>
                </c:pt>
                <c:pt idx="566">
                  <c:v>92.743607463718035</c:v>
                </c:pt>
                <c:pt idx="567">
                  <c:v>92.551724137931018</c:v>
                </c:pt>
                <c:pt idx="568">
                  <c:v>92.286501377410474</c:v>
                </c:pt>
                <c:pt idx="569">
                  <c:v>92.085340674466622</c:v>
                </c:pt>
                <c:pt idx="570">
                  <c:v>91.643835616438366</c:v>
                </c:pt>
                <c:pt idx="571">
                  <c:v>91.849315068493141</c:v>
                </c:pt>
                <c:pt idx="572">
                  <c:v>91.422736555479929</c:v>
                </c:pt>
                <c:pt idx="573">
                  <c:v>91.18644067796609</c:v>
                </c:pt>
                <c:pt idx="574">
                  <c:v>90.402684563758385</c:v>
                </c:pt>
                <c:pt idx="575">
                  <c:v>89.839572192513373</c:v>
                </c:pt>
                <c:pt idx="576">
                  <c:v>89.652870493991983</c:v>
                </c:pt>
                <c:pt idx="577">
                  <c:v>90.140845070422543</c:v>
                </c:pt>
                <c:pt idx="578">
                  <c:v>89.659773182121413</c:v>
                </c:pt>
                <c:pt idx="579">
                  <c:v>89.442231075697208</c:v>
                </c:pt>
                <c:pt idx="580">
                  <c:v>89.853137516688903</c:v>
                </c:pt>
                <c:pt idx="581">
                  <c:v>89.853137516688903</c:v>
                </c:pt>
                <c:pt idx="582">
                  <c:v>89.449236894492373</c:v>
                </c:pt>
                <c:pt idx="583">
                  <c:v>89.813581890812273</c:v>
                </c:pt>
                <c:pt idx="584">
                  <c:v>89.396951623591775</c:v>
                </c:pt>
                <c:pt idx="585">
                  <c:v>89.10891089108911</c:v>
                </c:pt>
                <c:pt idx="586">
                  <c:v>88.532110091743121</c:v>
                </c:pt>
                <c:pt idx="587">
                  <c:v>88.227599738391106</c:v>
                </c:pt>
                <c:pt idx="588">
                  <c:v>88.300653594771234</c:v>
                </c:pt>
                <c:pt idx="589">
                  <c:v>88.71391076115485</c:v>
                </c:pt>
                <c:pt idx="590">
                  <c:v>88.177661659046379</c:v>
                </c:pt>
                <c:pt idx="591">
                  <c:v>87.776332899869956</c:v>
                </c:pt>
                <c:pt idx="592">
                  <c:v>87.646293888166454</c:v>
                </c:pt>
                <c:pt idx="593">
                  <c:v>87.134502923976598</c:v>
                </c:pt>
                <c:pt idx="594">
                  <c:v>86.72279792746113</c:v>
                </c:pt>
                <c:pt idx="595">
                  <c:v>86.269430051813458</c:v>
                </c:pt>
                <c:pt idx="596">
                  <c:v>85.93548387096773</c:v>
                </c:pt>
                <c:pt idx="597">
                  <c:v>85.714285714285694</c:v>
                </c:pt>
                <c:pt idx="598">
                  <c:v>84.964811260396672</c:v>
                </c:pt>
                <c:pt idx="599">
                  <c:v>84.321223709369036</c:v>
                </c:pt>
                <c:pt idx="600">
                  <c:v>83.61904761904762</c:v>
                </c:pt>
                <c:pt idx="601">
                  <c:v>83.301587301587304</c:v>
                </c:pt>
                <c:pt idx="602">
                  <c:v>82.776025236593057</c:v>
                </c:pt>
                <c:pt idx="603">
                  <c:v>80.100439422473315</c:v>
                </c:pt>
                <c:pt idx="604">
                  <c:v>80</c:v>
                </c:pt>
                <c:pt idx="605">
                  <c:v>79.636591478696744</c:v>
                </c:pt>
                <c:pt idx="606">
                  <c:v>79.0625</c:v>
                </c:pt>
                <c:pt idx="607">
                  <c:v>78.683385579937308</c:v>
                </c:pt>
                <c:pt idx="608">
                  <c:v>78.540237055520905</c:v>
                </c:pt>
                <c:pt idx="609">
                  <c:v>78.482587064676608</c:v>
                </c:pt>
                <c:pt idx="610">
                  <c:v>77.613776137761377</c:v>
                </c:pt>
                <c:pt idx="611">
                  <c:v>76.697247706422019</c:v>
                </c:pt>
                <c:pt idx="612">
                  <c:v>76.254589963280281</c:v>
                </c:pt>
                <c:pt idx="613">
                  <c:v>76.196319018404907</c:v>
                </c:pt>
                <c:pt idx="614">
                  <c:v>75.870494807574843</c:v>
                </c:pt>
                <c:pt idx="615">
                  <c:v>75.608272506082713</c:v>
                </c:pt>
                <c:pt idx="616">
                  <c:v>75.683890577507597</c:v>
                </c:pt>
                <c:pt idx="617">
                  <c:v>75.669099756690997</c:v>
                </c:pt>
                <c:pt idx="618">
                  <c:v>75.547445255474457</c:v>
                </c:pt>
                <c:pt idx="619">
                  <c:v>76.070991432068539</c:v>
                </c:pt>
                <c:pt idx="620">
                  <c:v>75.870494807574843</c:v>
                </c:pt>
                <c:pt idx="621">
                  <c:v>75.868372943327245</c:v>
                </c:pt>
                <c:pt idx="622">
                  <c:v>75.181598062954009</c:v>
                </c:pt>
                <c:pt idx="623">
                  <c:v>74.879227053140099</c:v>
                </c:pt>
                <c:pt idx="624">
                  <c:v>74.818840579710155</c:v>
                </c:pt>
                <c:pt idx="625">
                  <c:v>75.227135069654764</c:v>
                </c:pt>
                <c:pt idx="626">
                  <c:v>75.045317220543808</c:v>
                </c:pt>
                <c:pt idx="627">
                  <c:v>74.909747292418785</c:v>
                </c:pt>
                <c:pt idx="628">
                  <c:v>74.834834834834822</c:v>
                </c:pt>
                <c:pt idx="629">
                  <c:v>74.925014997000602</c:v>
                </c:pt>
                <c:pt idx="630">
                  <c:v>75.014943215780022</c:v>
                </c:pt>
                <c:pt idx="631">
                  <c:v>75.270108043217292</c:v>
                </c:pt>
                <c:pt idx="632">
                  <c:v>74.865671641791039</c:v>
                </c:pt>
                <c:pt idx="633">
                  <c:v>74.524940617577201</c:v>
                </c:pt>
                <c:pt idx="634">
                  <c:v>72.780717225161666</c:v>
                </c:pt>
                <c:pt idx="635">
                  <c:v>71.997656707674295</c:v>
                </c:pt>
                <c:pt idx="636">
                  <c:v>71.537112799532437</c:v>
                </c:pt>
                <c:pt idx="637">
                  <c:v>71.847507331378296</c:v>
                </c:pt>
                <c:pt idx="638">
                  <c:v>71.847507331378296</c:v>
                </c:pt>
                <c:pt idx="639">
                  <c:v>72.277227722772281</c:v>
                </c:pt>
                <c:pt idx="640">
                  <c:v>72.610722610722604</c:v>
                </c:pt>
                <c:pt idx="641">
                  <c:v>72.167344567112153</c:v>
                </c:pt>
                <c:pt idx="642">
                  <c:v>71.951219512195124</c:v>
                </c:pt>
                <c:pt idx="643">
                  <c:v>71.946230274693164</c:v>
                </c:pt>
                <c:pt idx="644">
                  <c:v>71.627906976744185</c:v>
                </c:pt>
                <c:pt idx="645">
                  <c:v>71.544715447154488</c:v>
                </c:pt>
                <c:pt idx="646">
                  <c:v>72.270363951473144</c:v>
                </c:pt>
                <c:pt idx="647">
                  <c:v>71.986222732491399</c:v>
                </c:pt>
                <c:pt idx="648">
                  <c:v>71.903669724770651</c:v>
                </c:pt>
                <c:pt idx="649">
                  <c:v>72.360069244085395</c:v>
                </c:pt>
                <c:pt idx="650">
                  <c:v>72.011494252873561</c:v>
                </c:pt>
                <c:pt idx="651">
                  <c:v>72.222222222222214</c:v>
                </c:pt>
                <c:pt idx="652">
                  <c:v>72.117039586919105</c:v>
                </c:pt>
                <c:pt idx="653">
                  <c:v>72.292626728110605</c:v>
                </c:pt>
                <c:pt idx="654">
                  <c:v>72.260668973471738</c:v>
                </c:pt>
                <c:pt idx="655">
                  <c:v>73.744950952106166</c:v>
                </c:pt>
                <c:pt idx="656">
                  <c:v>73.475258918296888</c:v>
                </c:pt>
                <c:pt idx="657">
                  <c:v>73.409742120343836</c:v>
                </c:pt>
                <c:pt idx="658">
                  <c:v>73.19294251565168</c:v>
                </c:pt>
                <c:pt idx="659">
                  <c:v>73.04199772985244</c:v>
                </c:pt>
                <c:pt idx="660">
                  <c:v>73.04199772985244</c:v>
                </c:pt>
                <c:pt idx="661">
                  <c:v>73.10972143263217</c:v>
                </c:pt>
                <c:pt idx="662">
                  <c:v>72.845804988662138</c:v>
                </c:pt>
                <c:pt idx="663">
                  <c:v>72.972972972972968</c:v>
                </c:pt>
                <c:pt idx="664">
                  <c:v>72.962338392355264</c:v>
                </c:pt>
                <c:pt idx="665">
                  <c:v>72.446689113355774</c:v>
                </c:pt>
                <c:pt idx="666">
                  <c:v>72.77310924369749</c:v>
                </c:pt>
                <c:pt idx="667">
                  <c:v>73.038116591928258</c:v>
                </c:pt>
                <c:pt idx="668">
                  <c:v>73.340769659788066</c:v>
                </c:pt>
                <c:pt idx="669">
                  <c:v>73.207337409672036</c:v>
                </c:pt>
                <c:pt idx="670">
                  <c:v>71.743929359823397</c:v>
                </c:pt>
                <c:pt idx="671">
                  <c:v>71.625344352617077</c:v>
                </c:pt>
                <c:pt idx="672">
                  <c:v>71.980143408714838</c:v>
                </c:pt>
                <c:pt idx="673">
                  <c:v>72.255929398786535</c:v>
                </c:pt>
                <c:pt idx="674">
                  <c:v>72.411894273127757</c:v>
                </c:pt>
                <c:pt idx="675">
                  <c:v>72.219178082191775</c:v>
                </c:pt>
                <c:pt idx="676">
                  <c:v>72.617743702081043</c:v>
                </c:pt>
                <c:pt idx="677">
                  <c:v>72.687465790914075</c:v>
                </c:pt>
                <c:pt idx="678">
                  <c:v>72.697547683923716</c:v>
                </c:pt>
                <c:pt idx="679">
                  <c:v>73.184052430365924</c:v>
                </c:pt>
                <c:pt idx="680">
                  <c:v>73.394994559303598</c:v>
                </c:pt>
                <c:pt idx="681">
                  <c:v>73.889490790899245</c:v>
                </c:pt>
                <c:pt idx="682">
                  <c:v>74.474959612277885</c:v>
                </c:pt>
                <c:pt idx="683">
                  <c:v>74.745308310991959</c:v>
                </c:pt>
                <c:pt idx="684">
                  <c:v>74.678800856531041</c:v>
                </c:pt>
                <c:pt idx="685">
                  <c:v>74.946466809421835</c:v>
                </c:pt>
                <c:pt idx="686">
                  <c:v>75.293489861259332</c:v>
                </c:pt>
                <c:pt idx="687">
                  <c:v>75.491759702286018</c:v>
                </c:pt>
                <c:pt idx="688">
                  <c:v>76.829268292682926</c:v>
                </c:pt>
                <c:pt idx="689">
                  <c:v>78.095238095238102</c:v>
                </c:pt>
                <c:pt idx="690">
                  <c:v>79.199578725645082</c:v>
                </c:pt>
                <c:pt idx="691">
                  <c:v>80.889359449444157</c:v>
                </c:pt>
                <c:pt idx="692">
                  <c:v>81.065400843881847</c:v>
                </c:pt>
                <c:pt idx="693">
                  <c:v>81.574803149606296</c:v>
                </c:pt>
                <c:pt idx="694">
                  <c:v>81.57620041753654</c:v>
                </c:pt>
                <c:pt idx="695">
                  <c:v>81.354166666666657</c:v>
                </c:pt>
                <c:pt idx="696">
                  <c:v>81.893860561914678</c:v>
                </c:pt>
                <c:pt idx="697">
                  <c:v>82.310093652445374</c:v>
                </c:pt>
                <c:pt idx="698">
                  <c:v>82.606438213914842</c:v>
                </c:pt>
                <c:pt idx="699">
                  <c:v>83.480062143966848</c:v>
                </c:pt>
                <c:pt idx="700">
                  <c:v>85.876875323331603</c:v>
                </c:pt>
                <c:pt idx="701">
                  <c:v>87.34504132231406</c:v>
                </c:pt>
                <c:pt idx="702">
                  <c:v>88.459556929417829</c:v>
                </c:pt>
                <c:pt idx="703">
                  <c:v>89.60703205791107</c:v>
                </c:pt>
                <c:pt idx="704">
                  <c:v>90.061791967044286</c:v>
                </c:pt>
                <c:pt idx="705">
                  <c:v>92.051282051282044</c:v>
                </c:pt>
                <c:pt idx="706">
                  <c:v>95.877862595419856</c:v>
                </c:pt>
                <c:pt idx="707">
                  <c:v>99.747091552857867</c:v>
                </c:pt>
                <c:pt idx="708">
                  <c:v>101.66246851385392</c:v>
                </c:pt>
                <c:pt idx="709">
                  <c:v>102.82115869017632</c:v>
                </c:pt>
                <c:pt idx="710">
                  <c:v>103.21285140562249</c:v>
                </c:pt>
                <c:pt idx="711">
                  <c:v>104.04797601199401</c:v>
                </c:pt>
                <c:pt idx="712">
                  <c:v>107.03592814371257</c:v>
                </c:pt>
                <c:pt idx="713">
                  <c:v>108.90104425658878</c:v>
                </c:pt>
                <c:pt idx="714">
                  <c:v>109.86679822397632</c:v>
                </c:pt>
                <c:pt idx="715">
                  <c:v>110.41666666666667</c:v>
                </c:pt>
                <c:pt idx="716">
                  <c:v>110.09354997538159</c:v>
                </c:pt>
                <c:pt idx="717">
                  <c:v>109.1487279843444</c:v>
                </c:pt>
                <c:pt idx="718">
                  <c:v>106.96202531645569</c:v>
                </c:pt>
                <c:pt idx="719">
                  <c:v>104.31619786614937</c:v>
                </c:pt>
                <c:pt idx="720">
                  <c:v>101.88133140376266</c:v>
                </c:pt>
                <c:pt idx="721">
                  <c:v>101.01892285298399</c:v>
                </c:pt>
                <c:pt idx="722">
                  <c:v>99.469368065605394</c:v>
                </c:pt>
                <c:pt idx="723">
                  <c:v>99.086538461538453</c:v>
                </c:pt>
                <c:pt idx="724">
                  <c:v>98.755385351842989</c:v>
                </c:pt>
                <c:pt idx="725">
                  <c:v>99.237005245588932</c:v>
                </c:pt>
                <c:pt idx="726">
                  <c:v>98.767188240872457</c:v>
                </c:pt>
                <c:pt idx="727">
                  <c:v>99.952335557673962</c:v>
                </c:pt>
                <c:pt idx="728">
                  <c:v>109.46073793755913</c:v>
                </c:pt>
                <c:pt idx="729">
                  <c:v>110.13672795851012</c:v>
                </c:pt>
                <c:pt idx="730">
                  <c:v>112.05607476635515</c:v>
                </c:pt>
                <c:pt idx="731">
                  <c:v>112.31985123198511</c:v>
                </c:pt>
                <c:pt idx="732">
                  <c:v>111.90036900369003</c:v>
                </c:pt>
                <c:pt idx="733">
                  <c:v>112.74826789838338</c:v>
                </c:pt>
                <c:pt idx="734">
                  <c:v>118.2780847145488</c:v>
                </c:pt>
                <c:pt idx="735">
                  <c:v>131.73076923076923</c:v>
                </c:pt>
                <c:pt idx="736">
                  <c:v>131.74092788240699</c:v>
                </c:pt>
                <c:pt idx="737">
                  <c:v>132.17592592592592</c:v>
                </c:pt>
                <c:pt idx="738">
                  <c:v>133.34899013621418</c:v>
                </c:pt>
                <c:pt idx="739">
                  <c:v>134.88814850071392</c:v>
                </c:pt>
                <c:pt idx="740">
                  <c:v>133.82213812677389</c:v>
                </c:pt>
                <c:pt idx="741">
                  <c:v>130.38334122101276</c:v>
                </c:pt>
                <c:pt idx="742">
                  <c:v>126.66666666666666</c:v>
                </c:pt>
                <c:pt idx="743">
                  <c:v>124.57706766917293</c:v>
                </c:pt>
                <c:pt idx="744">
                  <c:v>124.64854732895969</c:v>
                </c:pt>
                <c:pt idx="745">
                  <c:v>123.89878163074037</c:v>
                </c:pt>
                <c:pt idx="746">
                  <c:v>123.7873134328358</c:v>
                </c:pt>
                <c:pt idx="747">
                  <c:v>123.13051555968417</c:v>
                </c:pt>
                <c:pt idx="748">
                  <c:v>122.77777777777776</c:v>
                </c:pt>
                <c:pt idx="749">
                  <c:v>122.62234533702679</c:v>
                </c:pt>
                <c:pt idx="750">
                  <c:v>121.92660550458716</c:v>
                </c:pt>
                <c:pt idx="751">
                  <c:v>123.03809086737036</c:v>
                </c:pt>
                <c:pt idx="752">
                  <c:v>119.47992700729925</c:v>
                </c:pt>
                <c:pt idx="753">
                  <c:v>119.30222020842774</c:v>
                </c:pt>
                <c:pt idx="754">
                  <c:v>116.92100538599641</c:v>
                </c:pt>
                <c:pt idx="755">
                  <c:v>116.45796064400716</c:v>
                </c:pt>
                <c:pt idx="756">
                  <c:v>115.79651941097724</c:v>
                </c:pt>
                <c:pt idx="757">
                  <c:v>115.87656529516997</c:v>
                </c:pt>
                <c:pt idx="758">
                  <c:v>115.41202672605793</c:v>
                </c:pt>
                <c:pt idx="759">
                  <c:v>115.00221926320462</c:v>
                </c:pt>
                <c:pt idx="760">
                  <c:v>115.05757307351638</c:v>
                </c:pt>
                <c:pt idx="761">
                  <c:v>114.90299823633157</c:v>
                </c:pt>
                <c:pt idx="762">
                  <c:v>119.61471103327494</c:v>
                </c:pt>
                <c:pt idx="763">
                  <c:v>119.91266375545852</c:v>
                </c:pt>
                <c:pt idx="764">
                  <c:v>119.49848681366188</c:v>
                </c:pt>
                <c:pt idx="765">
                  <c:v>120.12903225806453</c:v>
                </c:pt>
                <c:pt idx="766">
                  <c:v>119.45392491467577</c:v>
                </c:pt>
                <c:pt idx="767">
                  <c:v>118.40986394557824</c:v>
                </c:pt>
                <c:pt idx="768">
                  <c:v>118.62244897959184</c:v>
                </c:pt>
                <c:pt idx="769">
                  <c:v>118.61951427354069</c:v>
                </c:pt>
                <c:pt idx="770">
                  <c:v>119.144430326133</c:v>
                </c:pt>
                <c:pt idx="771">
                  <c:v>129.42412778478351</c:v>
                </c:pt>
                <c:pt idx="772">
                  <c:v>131.21848739495798</c:v>
                </c:pt>
                <c:pt idx="773">
                  <c:v>132.28511530398325</c:v>
                </c:pt>
                <c:pt idx="774">
                  <c:v>131.8295739348371</c:v>
                </c:pt>
                <c:pt idx="775">
                  <c:v>132.60504201680675</c:v>
                </c:pt>
                <c:pt idx="776">
                  <c:v>130.38766152563568</c:v>
                </c:pt>
                <c:pt idx="777">
                  <c:v>129.1112956810631</c:v>
                </c:pt>
                <c:pt idx="778">
                  <c:v>127.75257731958763</c:v>
                </c:pt>
                <c:pt idx="779">
                  <c:v>127.31023102310233</c:v>
                </c:pt>
                <c:pt idx="780">
                  <c:v>127.04714640198512</c:v>
                </c:pt>
                <c:pt idx="781">
                  <c:v>127.05493597686907</c:v>
                </c:pt>
                <c:pt idx="782">
                  <c:v>127.03703703703704</c:v>
                </c:pt>
                <c:pt idx="783">
                  <c:v>126.61752661752661</c:v>
                </c:pt>
                <c:pt idx="784">
                  <c:v>125.73289902280132</c:v>
                </c:pt>
                <c:pt idx="785">
                  <c:v>127.72801302931596</c:v>
                </c:pt>
                <c:pt idx="786">
                  <c:v>133.54943273905997</c:v>
                </c:pt>
                <c:pt idx="787">
                  <c:v>133.93002441008949</c:v>
                </c:pt>
                <c:pt idx="788">
                  <c:v>134.77382875605818</c:v>
                </c:pt>
                <c:pt idx="789">
                  <c:v>134.05709690390029</c:v>
                </c:pt>
                <c:pt idx="790">
                  <c:v>133.18637274549098</c:v>
                </c:pt>
                <c:pt idx="791">
                  <c:v>132.44</c:v>
                </c:pt>
                <c:pt idx="792">
                  <c:v>132.55907088506208</c:v>
                </c:pt>
                <c:pt idx="793">
                  <c:v>132.99959951942333</c:v>
                </c:pt>
                <c:pt idx="794">
                  <c:v>132.31075697211156</c:v>
                </c:pt>
                <c:pt idx="795">
                  <c:v>132.03652242953555</c:v>
                </c:pt>
                <c:pt idx="796">
                  <c:v>131.83803096466852</c:v>
                </c:pt>
                <c:pt idx="797">
                  <c:v>131.65410551368504</c:v>
                </c:pt>
                <c:pt idx="798">
                  <c:v>139.14759273875296</c:v>
                </c:pt>
                <c:pt idx="799">
                  <c:v>138.67775138558986</c:v>
                </c:pt>
                <c:pt idx="800">
                  <c:v>138.11959087332809</c:v>
                </c:pt>
                <c:pt idx="801">
                  <c:v>137.12715855572998</c:v>
                </c:pt>
                <c:pt idx="802">
                  <c:v>135.82323034806413</c:v>
                </c:pt>
                <c:pt idx="803">
                  <c:v>135.59984368894098</c:v>
                </c:pt>
                <c:pt idx="804">
                  <c:v>135.31018337885291</c:v>
                </c:pt>
                <c:pt idx="805">
                  <c:v>135.390625</c:v>
                </c:pt>
                <c:pt idx="806">
                  <c:v>134.863813229572</c:v>
                </c:pt>
                <c:pt idx="807">
                  <c:v>134.43322981366458</c:v>
                </c:pt>
                <c:pt idx="808">
                  <c:v>133.99301513387661</c:v>
                </c:pt>
                <c:pt idx="809">
                  <c:v>134.22792687670167</c:v>
                </c:pt>
                <c:pt idx="810">
                  <c:v>133.32038834951456</c:v>
                </c:pt>
                <c:pt idx="811">
                  <c:v>133.12451057165231</c:v>
                </c:pt>
                <c:pt idx="812">
                  <c:v>132.29450720685628</c:v>
                </c:pt>
                <c:pt idx="813">
                  <c:v>130.29949436017111</c:v>
                </c:pt>
                <c:pt idx="814">
                  <c:v>129.68992248062017</c:v>
                </c:pt>
                <c:pt idx="815">
                  <c:v>129.05222437137331</c:v>
                </c:pt>
                <c:pt idx="816">
                  <c:v>128.73696407879493</c:v>
                </c:pt>
                <c:pt idx="817">
                  <c:v>128.65429234338745</c:v>
                </c:pt>
                <c:pt idx="818">
                  <c:v>127.55966127790607</c:v>
                </c:pt>
                <c:pt idx="819">
                  <c:v>126.46379044684129</c:v>
                </c:pt>
                <c:pt idx="820">
                  <c:v>126.55105973025047</c:v>
                </c:pt>
                <c:pt idx="821">
                  <c:v>126.2509622786759</c:v>
                </c:pt>
                <c:pt idx="822">
                  <c:v>125.55640828856482</c:v>
                </c:pt>
                <c:pt idx="823">
                  <c:v>126.08191653786707</c:v>
                </c:pt>
                <c:pt idx="824">
                  <c:v>124.88461538461537</c:v>
                </c:pt>
                <c:pt idx="825">
                  <c:v>123.28609728073533</c:v>
                </c:pt>
                <c:pt idx="826">
                  <c:v>122.41775057383322</c:v>
                </c:pt>
                <c:pt idx="827">
                  <c:v>122.39603204883632</c:v>
                </c:pt>
                <c:pt idx="828">
                  <c:v>122.38692512352716</c:v>
                </c:pt>
                <c:pt idx="829">
                  <c:v>122.24753227031132</c:v>
                </c:pt>
                <c:pt idx="830">
                  <c:v>121.67170953101363</c:v>
                </c:pt>
                <c:pt idx="831">
                  <c:v>121.70630426576065</c:v>
                </c:pt>
                <c:pt idx="832">
                  <c:v>122.69637462235647</c:v>
                </c:pt>
                <c:pt idx="833">
                  <c:v>122.10922787193974</c:v>
                </c:pt>
                <c:pt idx="834">
                  <c:v>121.97678771995506</c:v>
                </c:pt>
                <c:pt idx="835">
                  <c:v>122.93785310734462</c:v>
                </c:pt>
                <c:pt idx="836">
                  <c:v>121.53502235469449</c:v>
                </c:pt>
                <c:pt idx="837">
                  <c:v>121.46305235796511</c:v>
                </c:pt>
                <c:pt idx="838">
                  <c:v>122.13599408721359</c:v>
                </c:pt>
                <c:pt idx="839">
                  <c:v>124.03386087596616</c:v>
                </c:pt>
                <c:pt idx="840">
                  <c:v>123.68710980536173</c:v>
                </c:pt>
                <c:pt idx="841">
                  <c:v>124.44118724807625</c:v>
                </c:pt>
                <c:pt idx="842">
                  <c:v>123.80779031670914</c:v>
                </c:pt>
                <c:pt idx="843">
                  <c:v>123.80952380952381</c:v>
                </c:pt>
                <c:pt idx="844">
                  <c:v>125.28151107882309</c:v>
                </c:pt>
                <c:pt idx="845">
                  <c:v>125.52574329224075</c:v>
                </c:pt>
                <c:pt idx="846">
                  <c:v>124.88313556274721</c:v>
                </c:pt>
                <c:pt idx="847">
                  <c:v>125.9782608695652</c:v>
                </c:pt>
                <c:pt idx="848">
                  <c:v>124.99101042790363</c:v>
                </c:pt>
                <c:pt idx="849">
                  <c:v>125.08084800574919</c:v>
                </c:pt>
                <c:pt idx="850">
                  <c:v>125.20557740436182</c:v>
                </c:pt>
                <c:pt idx="851">
                  <c:v>124.86640541503384</c:v>
                </c:pt>
                <c:pt idx="852">
                  <c:v>127.28241563055063</c:v>
                </c:pt>
                <c:pt idx="853">
                  <c:v>128.93148739794105</c:v>
                </c:pt>
                <c:pt idx="854">
                  <c:v>127.83251231527095</c:v>
                </c:pt>
                <c:pt idx="855">
                  <c:v>129.88384371700104</c:v>
                </c:pt>
                <c:pt idx="856">
                  <c:v>132.51318101933217</c:v>
                </c:pt>
                <c:pt idx="857">
                  <c:v>132.25579761068164</c:v>
                </c:pt>
                <c:pt idx="858">
                  <c:v>131.65266106442576</c:v>
                </c:pt>
                <c:pt idx="859">
                  <c:v>124.59363957597174</c:v>
                </c:pt>
                <c:pt idx="860">
                  <c:v>124</c:v>
                </c:pt>
                <c:pt idx="861">
                  <c:v>124.02665731322342</c:v>
                </c:pt>
                <c:pt idx="862">
                  <c:v>133.93476752255378</c:v>
                </c:pt>
                <c:pt idx="863">
                  <c:v>133.60995850622405</c:v>
                </c:pt>
                <c:pt idx="864">
                  <c:v>133.1146408839779</c:v>
                </c:pt>
                <c:pt idx="865">
                  <c:v>133.02245250431778</c:v>
                </c:pt>
                <c:pt idx="866">
                  <c:v>132.12204319506341</c:v>
                </c:pt>
                <c:pt idx="867">
                  <c:v>132.43986254295532</c:v>
                </c:pt>
                <c:pt idx="868">
                  <c:v>126.92837465564739</c:v>
                </c:pt>
                <c:pt idx="869">
                  <c:v>126.49484536082475</c:v>
                </c:pt>
                <c:pt idx="870">
                  <c:v>126.10483042137722</c:v>
                </c:pt>
                <c:pt idx="871">
                  <c:v>126.9442532690984</c:v>
                </c:pt>
              </c:numCache>
            </c:numRef>
          </c:val>
          <c:smooth val="0"/>
          <c:extLst>
            <c:ext xmlns:c16="http://schemas.microsoft.com/office/drawing/2014/chart" uri="{C3380CC4-5D6E-409C-BE32-E72D297353CC}">
              <c16:uniqueId val="{00000000-3B63-4871-BE7D-331896D2E180}"/>
            </c:ext>
          </c:extLst>
        </c:ser>
        <c:dLbls>
          <c:showLegendKey val="0"/>
          <c:showVal val="0"/>
          <c:showCatName val="0"/>
          <c:showSerName val="0"/>
          <c:showPercent val="0"/>
          <c:showBubbleSize val="0"/>
        </c:dLbls>
        <c:smooth val="0"/>
        <c:axId val="206635776"/>
        <c:axId val="206637312"/>
      </c:lineChart>
      <c:catAx>
        <c:axId val="206635776"/>
        <c:scaling>
          <c:orientation val="minMax"/>
        </c:scaling>
        <c:delete val="0"/>
        <c:axPos val="b"/>
        <c:numFmt formatCode="General"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06637312"/>
        <c:crosses val="autoZero"/>
        <c:auto val="1"/>
        <c:lblAlgn val="ctr"/>
        <c:lblOffset val="100"/>
        <c:tickLblSkip val="96"/>
        <c:tickMarkSkip val="96"/>
        <c:noMultiLvlLbl val="0"/>
      </c:catAx>
      <c:valAx>
        <c:axId val="206637312"/>
        <c:scaling>
          <c:orientation val="minMax"/>
        </c:scaling>
        <c:delete val="0"/>
        <c:axPos val="l"/>
        <c:majorGridlines>
          <c:spPr>
            <a:ln>
              <a:noFill/>
            </a:ln>
          </c:spPr>
        </c:majorGridlines>
        <c:title>
          <c:tx>
            <c:rich>
              <a:bodyPr rot="-5400000" vert="horz"/>
              <a:lstStyle/>
              <a:p>
                <a:pPr>
                  <a:defRPr/>
                </a:pPr>
                <a:r>
                  <a:rPr lang="en-GB" sz="1400">
                    <a:latin typeface="Times New Roman" panose="02020603050405020304" pitchFamily="18" charset="0"/>
                    <a:cs typeface="Times New Roman" panose="02020603050405020304" pitchFamily="18" charset="0"/>
                  </a:rPr>
                  <a:t>Index Jan</a:t>
                </a:r>
                <a:r>
                  <a:rPr lang="en-GB" sz="1400" baseline="0">
                    <a:latin typeface="Times New Roman" panose="02020603050405020304" pitchFamily="18" charset="0"/>
                    <a:cs typeface="Times New Roman" panose="02020603050405020304" pitchFamily="18" charset="0"/>
                  </a:rPr>
                  <a:t> 1987 = 100</a:t>
                </a:r>
                <a:endParaRPr lang="en-GB" sz="1400">
                  <a:latin typeface="Times New Roman" panose="02020603050405020304" pitchFamily="18" charset="0"/>
                  <a:cs typeface="Times New Roman" panose="02020603050405020304" pitchFamily="18" charset="0"/>
                </a:endParaRPr>
              </a:p>
            </c:rich>
          </c:tx>
          <c:layout>
            <c:manualLayout>
              <c:xMode val="edge"/>
              <c:yMode val="edge"/>
              <c:x val="0"/>
              <c:y val="0.17379764842389753"/>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06635776"/>
        <c:crosses val="autoZero"/>
        <c:crossBetween val="between"/>
      </c:valAx>
    </c:plotArea>
    <c:legend>
      <c:legendPos val="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9484884469369"/>
          <c:y val="4.5649118013274967E-2"/>
          <c:w val="0.83751771690152088"/>
          <c:h val="0.85134850761876213"/>
        </c:manualLayout>
      </c:layout>
      <c:lineChart>
        <c:grouping val="standard"/>
        <c:varyColors val="0"/>
        <c:ser>
          <c:idx val="3"/>
          <c:order val="0"/>
          <c:tx>
            <c:v>Coal</c:v>
          </c:tx>
          <c:spPr>
            <a:ln w="12700">
              <a:solidFill>
                <a:schemeClr val="tx2">
                  <a:lumMod val="75000"/>
                </a:schemeClr>
              </a:solidFill>
            </a:ln>
          </c:spPr>
          <c:marker>
            <c:symbol val="none"/>
          </c:marker>
          <c:cat>
            <c:numRef>
              <c:f>'2.1.2 Prices ONS'!$A$576:$A$983</c:f>
              <c:numCache>
                <c:formatCode>General</c:formatCode>
                <c:ptCount val="408"/>
                <c:pt idx="0">
                  <c:v>1987</c:v>
                </c:pt>
                <c:pt idx="1">
                  <c:v>1987</c:v>
                </c:pt>
                <c:pt idx="2">
                  <c:v>1987</c:v>
                </c:pt>
                <c:pt idx="3">
                  <c:v>1987</c:v>
                </c:pt>
                <c:pt idx="4">
                  <c:v>1987</c:v>
                </c:pt>
                <c:pt idx="5">
                  <c:v>1987</c:v>
                </c:pt>
                <c:pt idx="6">
                  <c:v>1987</c:v>
                </c:pt>
                <c:pt idx="7">
                  <c:v>1987</c:v>
                </c:pt>
                <c:pt idx="8">
                  <c:v>1987</c:v>
                </c:pt>
                <c:pt idx="9">
                  <c:v>1987</c:v>
                </c:pt>
                <c:pt idx="10">
                  <c:v>1987</c:v>
                </c:pt>
                <c:pt idx="11">
                  <c:v>1987</c:v>
                </c:pt>
                <c:pt idx="12">
                  <c:v>1988</c:v>
                </c:pt>
                <c:pt idx="13">
                  <c:v>1988</c:v>
                </c:pt>
                <c:pt idx="14">
                  <c:v>1988</c:v>
                </c:pt>
                <c:pt idx="15">
                  <c:v>1988</c:v>
                </c:pt>
                <c:pt idx="16">
                  <c:v>1988</c:v>
                </c:pt>
                <c:pt idx="17">
                  <c:v>1988</c:v>
                </c:pt>
                <c:pt idx="18">
                  <c:v>1988</c:v>
                </c:pt>
                <c:pt idx="19">
                  <c:v>1988</c:v>
                </c:pt>
                <c:pt idx="20">
                  <c:v>1988</c:v>
                </c:pt>
                <c:pt idx="21">
                  <c:v>1988</c:v>
                </c:pt>
                <c:pt idx="22">
                  <c:v>1988</c:v>
                </c:pt>
                <c:pt idx="23">
                  <c:v>1988</c:v>
                </c:pt>
                <c:pt idx="24">
                  <c:v>1989</c:v>
                </c:pt>
                <c:pt idx="25">
                  <c:v>1989</c:v>
                </c:pt>
                <c:pt idx="26">
                  <c:v>1989</c:v>
                </c:pt>
                <c:pt idx="27">
                  <c:v>1989</c:v>
                </c:pt>
                <c:pt idx="28">
                  <c:v>1989</c:v>
                </c:pt>
                <c:pt idx="29">
                  <c:v>1989</c:v>
                </c:pt>
                <c:pt idx="30">
                  <c:v>1989</c:v>
                </c:pt>
                <c:pt idx="31">
                  <c:v>1989</c:v>
                </c:pt>
                <c:pt idx="32">
                  <c:v>1989</c:v>
                </c:pt>
                <c:pt idx="33">
                  <c:v>1989</c:v>
                </c:pt>
                <c:pt idx="34">
                  <c:v>1989</c:v>
                </c:pt>
                <c:pt idx="35">
                  <c:v>1989</c:v>
                </c:pt>
                <c:pt idx="36">
                  <c:v>1990</c:v>
                </c:pt>
                <c:pt idx="37">
                  <c:v>1990</c:v>
                </c:pt>
                <c:pt idx="38">
                  <c:v>1990</c:v>
                </c:pt>
                <c:pt idx="39">
                  <c:v>1990</c:v>
                </c:pt>
                <c:pt idx="40">
                  <c:v>1990</c:v>
                </c:pt>
                <c:pt idx="41">
                  <c:v>1990</c:v>
                </c:pt>
                <c:pt idx="42">
                  <c:v>1990</c:v>
                </c:pt>
                <c:pt idx="43">
                  <c:v>1990</c:v>
                </c:pt>
                <c:pt idx="44">
                  <c:v>1990</c:v>
                </c:pt>
                <c:pt idx="45">
                  <c:v>1990</c:v>
                </c:pt>
                <c:pt idx="46">
                  <c:v>1990</c:v>
                </c:pt>
                <c:pt idx="47">
                  <c:v>1990</c:v>
                </c:pt>
                <c:pt idx="48">
                  <c:v>1991</c:v>
                </c:pt>
                <c:pt idx="49">
                  <c:v>1991</c:v>
                </c:pt>
                <c:pt idx="50">
                  <c:v>1991</c:v>
                </c:pt>
                <c:pt idx="51">
                  <c:v>1991</c:v>
                </c:pt>
                <c:pt idx="52">
                  <c:v>1991</c:v>
                </c:pt>
                <c:pt idx="53">
                  <c:v>1991</c:v>
                </c:pt>
                <c:pt idx="54">
                  <c:v>1991</c:v>
                </c:pt>
                <c:pt idx="55">
                  <c:v>1991</c:v>
                </c:pt>
                <c:pt idx="56">
                  <c:v>1991</c:v>
                </c:pt>
                <c:pt idx="57">
                  <c:v>1991</c:v>
                </c:pt>
                <c:pt idx="58">
                  <c:v>1991</c:v>
                </c:pt>
                <c:pt idx="59">
                  <c:v>1991</c:v>
                </c:pt>
                <c:pt idx="60">
                  <c:v>1992</c:v>
                </c:pt>
                <c:pt idx="61">
                  <c:v>1992</c:v>
                </c:pt>
                <c:pt idx="62">
                  <c:v>1992</c:v>
                </c:pt>
                <c:pt idx="63">
                  <c:v>1992</c:v>
                </c:pt>
                <c:pt idx="64">
                  <c:v>1992</c:v>
                </c:pt>
                <c:pt idx="65">
                  <c:v>1992</c:v>
                </c:pt>
                <c:pt idx="66">
                  <c:v>1992</c:v>
                </c:pt>
                <c:pt idx="67">
                  <c:v>1992</c:v>
                </c:pt>
                <c:pt idx="68">
                  <c:v>1992</c:v>
                </c:pt>
                <c:pt idx="69">
                  <c:v>1992</c:v>
                </c:pt>
                <c:pt idx="70">
                  <c:v>1992</c:v>
                </c:pt>
                <c:pt idx="71">
                  <c:v>1992</c:v>
                </c:pt>
                <c:pt idx="72">
                  <c:v>1993</c:v>
                </c:pt>
                <c:pt idx="73">
                  <c:v>1993</c:v>
                </c:pt>
                <c:pt idx="74">
                  <c:v>1993</c:v>
                </c:pt>
                <c:pt idx="75">
                  <c:v>1993</c:v>
                </c:pt>
                <c:pt idx="76">
                  <c:v>1993</c:v>
                </c:pt>
                <c:pt idx="77">
                  <c:v>1993</c:v>
                </c:pt>
                <c:pt idx="78">
                  <c:v>1993</c:v>
                </c:pt>
                <c:pt idx="79">
                  <c:v>1993</c:v>
                </c:pt>
                <c:pt idx="80">
                  <c:v>1993</c:v>
                </c:pt>
                <c:pt idx="81">
                  <c:v>1993</c:v>
                </c:pt>
                <c:pt idx="82">
                  <c:v>1993</c:v>
                </c:pt>
                <c:pt idx="83">
                  <c:v>1993</c:v>
                </c:pt>
                <c:pt idx="84">
                  <c:v>1994</c:v>
                </c:pt>
                <c:pt idx="85">
                  <c:v>1994</c:v>
                </c:pt>
                <c:pt idx="86">
                  <c:v>1994</c:v>
                </c:pt>
                <c:pt idx="87">
                  <c:v>1994</c:v>
                </c:pt>
                <c:pt idx="88">
                  <c:v>1994</c:v>
                </c:pt>
                <c:pt idx="89">
                  <c:v>1994</c:v>
                </c:pt>
                <c:pt idx="90">
                  <c:v>1994</c:v>
                </c:pt>
                <c:pt idx="91">
                  <c:v>1994</c:v>
                </c:pt>
                <c:pt idx="92">
                  <c:v>1994</c:v>
                </c:pt>
                <c:pt idx="93">
                  <c:v>1994</c:v>
                </c:pt>
                <c:pt idx="94">
                  <c:v>1994</c:v>
                </c:pt>
                <c:pt idx="95">
                  <c:v>1994</c:v>
                </c:pt>
                <c:pt idx="96">
                  <c:v>1995</c:v>
                </c:pt>
                <c:pt idx="97">
                  <c:v>1995</c:v>
                </c:pt>
                <c:pt idx="98">
                  <c:v>1995</c:v>
                </c:pt>
                <c:pt idx="99">
                  <c:v>1995</c:v>
                </c:pt>
                <c:pt idx="100">
                  <c:v>1995</c:v>
                </c:pt>
                <c:pt idx="101">
                  <c:v>1995</c:v>
                </c:pt>
                <c:pt idx="102">
                  <c:v>1995</c:v>
                </c:pt>
                <c:pt idx="103">
                  <c:v>1995</c:v>
                </c:pt>
                <c:pt idx="104">
                  <c:v>1995</c:v>
                </c:pt>
                <c:pt idx="105">
                  <c:v>1995</c:v>
                </c:pt>
                <c:pt idx="106">
                  <c:v>1995</c:v>
                </c:pt>
                <c:pt idx="107">
                  <c:v>1995</c:v>
                </c:pt>
                <c:pt idx="108">
                  <c:v>1996</c:v>
                </c:pt>
                <c:pt idx="109">
                  <c:v>1996</c:v>
                </c:pt>
                <c:pt idx="110">
                  <c:v>1996</c:v>
                </c:pt>
                <c:pt idx="111">
                  <c:v>1996</c:v>
                </c:pt>
                <c:pt idx="112">
                  <c:v>1996</c:v>
                </c:pt>
                <c:pt idx="113">
                  <c:v>1996</c:v>
                </c:pt>
                <c:pt idx="114">
                  <c:v>1996</c:v>
                </c:pt>
                <c:pt idx="115">
                  <c:v>1996</c:v>
                </c:pt>
                <c:pt idx="116">
                  <c:v>1996</c:v>
                </c:pt>
                <c:pt idx="117">
                  <c:v>1996</c:v>
                </c:pt>
                <c:pt idx="118">
                  <c:v>1996</c:v>
                </c:pt>
                <c:pt idx="119">
                  <c:v>1996</c:v>
                </c:pt>
                <c:pt idx="120">
                  <c:v>1997</c:v>
                </c:pt>
                <c:pt idx="121">
                  <c:v>1997</c:v>
                </c:pt>
                <c:pt idx="122">
                  <c:v>1997</c:v>
                </c:pt>
                <c:pt idx="123">
                  <c:v>1997</c:v>
                </c:pt>
                <c:pt idx="124">
                  <c:v>1997</c:v>
                </c:pt>
                <c:pt idx="125">
                  <c:v>1997</c:v>
                </c:pt>
                <c:pt idx="126">
                  <c:v>1997</c:v>
                </c:pt>
                <c:pt idx="127">
                  <c:v>1997</c:v>
                </c:pt>
                <c:pt idx="128">
                  <c:v>1997</c:v>
                </c:pt>
                <c:pt idx="129">
                  <c:v>1997</c:v>
                </c:pt>
                <c:pt idx="130">
                  <c:v>1997</c:v>
                </c:pt>
                <c:pt idx="131">
                  <c:v>1997</c:v>
                </c:pt>
                <c:pt idx="132">
                  <c:v>1998</c:v>
                </c:pt>
                <c:pt idx="133">
                  <c:v>1998</c:v>
                </c:pt>
                <c:pt idx="134">
                  <c:v>1998</c:v>
                </c:pt>
                <c:pt idx="135">
                  <c:v>1998</c:v>
                </c:pt>
                <c:pt idx="136">
                  <c:v>1998</c:v>
                </c:pt>
                <c:pt idx="137">
                  <c:v>1998</c:v>
                </c:pt>
                <c:pt idx="138">
                  <c:v>1998</c:v>
                </c:pt>
                <c:pt idx="139">
                  <c:v>1998</c:v>
                </c:pt>
                <c:pt idx="140">
                  <c:v>1998</c:v>
                </c:pt>
                <c:pt idx="141">
                  <c:v>1998</c:v>
                </c:pt>
                <c:pt idx="142">
                  <c:v>1998</c:v>
                </c:pt>
                <c:pt idx="143">
                  <c:v>1998</c:v>
                </c:pt>
                <c:pt idx="144">
                  <c:v>1999</c:v>
                </c:pt>
                <c:pt idx="145">
                  <c:v>1999</c:v>
                </c:pt>
                <c:pt idx="146">
                  <c:v>1999</c:v>
                </c:pt>
                <c:pt idx="147">
                  <c:v>1999</c:v>
                </c:pt>
                <c:pt idx="148">
                  <c:v>1999</c:v>
                </c:pt>
                <c:pt idx="149">
                  <c:v>1999</c:v>
                </c:pt>
                <c:pt idx="150">
                  <c:v>1999</c:v>
                </c:pt>
                <c:pt idx="151">
                  <c:v>1999</c:v>
                </c:pt>
                <c:pt idx="152">
                  <c:v>1999</c:v>
                </c:pt>
                <c:pt idx="153">
                  <c:v>1999</c:v>
                </c:pt>
                <c:pt idx="154">
                  <c:v>1999</c:v>
                </c:pt>
                <c:pt idx="155">
                  <c:v>1999</c:v>
                </c:pt>
                <c:pt idx="156">
                  <c:v>2000</c:v>
                </c:pt>
                <c:pt idx="157">
                  <c:v>2000</c:v>
                </c:pt>
                <c:pt idx="158">
                  <c:v>2000</c:v>
                </c:pt>
                <c:pt idx="159">
                  <c:v>2000</c:v>
                </c:pt>
                <c:pt idx="160">
                  <c:v>2000</c:v>
                </c:pt>
                <c:pt idx="161">
                  <c:v>2000</c:v>
                </c:pt>
                <c:pt idx="162">
                  <c:v>2000</c:v>
                </c:pt>
                <c:pt idx="163">
                  <c:v>2000</c:v>
                </c:pt>
                <c:pt idx="164">
                  <c:v>2000</c:v>
                </c:pt>
                <c:pt idx="165">
                  <c:v>2000</c:v>
                </c:pt>
                <c:pt idx="166">
                  <c:v>2000</c:v>
                </c:pt>
                <c:pt idx="167">
                  <c:v>2000</c:v>
                </c:pt>
                <c:pt idx="168">
                  <c:v>2001</c:v>
                </c:pt>
                <c:pt idx="169">
                  <c:v>2001</c:v>
                </c:pt>
                <c:pt idx="170">
                  <c:v>2001</c:v>
                </c:pt>
                <c:pt idx="171">
                  <c:v>2001</c:v>
                </c:pt>
                <c:pt idx="172">
                  <c:v>2001</c:v>
                </c:pt>
                <c:pt idx="173">
                  <c:v>2001</c:v>
                </c:pt>
                <c:pt idx="174">
                  <c:v>2001</c:v>
                </c:pt>
                <c:pt idx="175">
                  <c:v>2001</c:v>
                </c:pt>
                <c:pt idx="176">
                  <c:v>2001</c:v>
                </c:pt>
                <c:pt idx="177">
                  <c:v>2001</c:v>
                </c:pt>
                <c:pt idx="178">
                  <c:v>2001</c:v>
                </c:pt>
                <c:pt idx="179">
                  <c:v>2001</c:v>
                </c:pt>
                <c:pt idx="180">
                  <c:v>2002</c:v>
                </c:pt>
                <c:pt idx="181">
                  <c:v>2002</c:v>
                </c:pt>
                <c:pt idx="182">
                  <c:v>2002</c:v>
                </c:pt>
                <c:pt idx="183">
                  <c:v>2002</c:v>
                </c:pt>
                <c:pt idx="184">
                  <c:v>2002</c:v>
                </c:pt>
                <c:pt idx="185">
                  <c:v>2002</c:v>
                </c:pt>
                <c:pt idx="186">
                  <c:v>2002</c:v>
                </c:pt>
                <c:pt idx="187">
                  <c:v>2002</c:v>
                </c:pt>
                <c:pt idx="188">
                  <c:v>2002</c:v>
                </c:pt>
                <c:pt idx="189">
                  <c:v>2002</c:v>
                </c:pt>
                <c:pt idx="190">
                  <c:v>2002</c:v>
                </c:pt>
                <c:pt idx="191">
                  <c:v>2002</c:v>
                </c:pt>
                <c:pt idx="192">
                  <c:v>2003</c:v>
                </c:pt>
                <c:pt idx="193">
                  <c:v>2003</c:v>
                </c:pt>
                <c:pt idx="194">
                  <c:v>2003</c:v>
                </c:pt>
                <c:pt idx="195">
                  <c:v>2003</c:v>
                </c:pt>
                <c:pt idx="196">
                  <c:v>2003</c:v>
                </c:pt>
                <c:pt idx="197">
                  <c:v>2003</c:v>
                </c:pt>
                <c:pt idx="198">
                  <c:v>2003</c:v>
                </c:pt>
                <c:pt idx="199">
                  <c:v>2003</c:v>
                </c:pt>
                <c:pt idx="200">
                  <c:v>2003</c:v>
                </c:pt>
                <c:pt idx="201">
                  <c:v>2003</c:v>
                </c:pt>
                <c:pt idx="202">
                  <c:v>2003</c:v>
                </c:pt>
                <c:pt idx="203">
                  <c:v>2003</c:v>
                </c:pt>
                <c:pt idx="204">
                  <c:v>2004</c:v>
                </c:pt>
                <c:pt idx="205">
                  <c:v>2004</c:v>
                </c:pt>
                <c:pt idx="206">
                  <c:v>2004</c:v>
                </c:pt>
                <c:pt idx="207">
                  <c:v>2004</c:v>
                </c:pt>
                <c:pt idx="208">
                  <c:v>2004</c:v>
                </c:pt>
                <c:pt idx="209">
                  <c:v>2004</c:v>
                </c:pt>
                <c:pt idx="210">
                  <c:v>2004</c:v>
                </c:pt>
                <c:pt idx="211">
                  <c:v>2004</c:v>
                </c:pt>
                <c:pt idx="212">
                  <c:v>2004</c:v>
                </c:pt>
                <c:pt idx="213">
                  <c:v>2004</c:v>
                </c:pt>
                <c:pt idx="214">
                  <c:v>2004</c:v>
                </c:pt>
                <c:pt idx="215">
                  <c:v>2004</c:v>
                </c:pt>
                <c:pt idx="216">
                  <c:v>2005</c:v>
                </c:pt>
                <c:pt idx="217">
                  <c:v>2005</c:v>
                </c:pt>
                <c:pt idx="218">
                  <c:v>2005</c:v>
                </c:pt>
                <c:pt idx="219">
                  <c:v>2005</c:v>
                </c:pt>
                <c:pt idx="220">
                  <c:v>2005</c:v>
                </c:pt>
                <c:pt idx="221">
                  <c:v>2005</c:v>
                </c:pt>
                <c:pt idx="222">
                  <c:v>2005</c:v>
                </c:pt>
                <c:pt idx="223">
                  <c:v>2005</c:v>
                </c:pt>
                <c:pt idx="224">
                  <c:v>2005</c:v>
                </c:pt>
                <c:pt idx="225">
                  <c:v>2005</c:v>
                </c:pt>
                <c:pt idx="226">
                  <c:v>2005</c:v>
                </c:pt>
                <c:pt idx="227">
                  <c:v>2005</c:v>
                </c:pt>
                <c:pt idx="228">
                  <c:v>2006</c:v>
                </c:pt>
                <c:pt idx="229">
                  <c:v>2006</c:v>
                </c:pt>
                <c:pt idx="230">
                  <c:v>2006</c:v>
                </c:pt>
                <c:pt idx="231">
                  <c:v>2006</c:v>
                </c:pt>
                <c:pt idx="232">
                  <c:v>2006</c:v>
                </c:pt>
                <c:pt idx="233">
                  <c:v>2006</c:v>
                </c:pt>
                <c:pt idx="234">
                  <c:v>2006</c:v>
                </c:pt>
                <c:pt idx="235">
                  <c:v>2006</c:v>
                </c:pt>
                <c:pt idx="236">
                  <c:v>2006</c:v>
                </c:pt>
                <c:pt idx="237">
                  <c:v>2006</c:v>
                </c:pt>
                <c:pt idx="238">
                  <c:v>2006</c:v>
                </c:pt>
                <c:pt idx="239">
                  <c:v>2006</c:v>
                </c:pt>
                <c:pt idx="240">
                  <c:v>2007</c:v>
                </c:pt>
                <c:pt idx="241">
                  <c:v>2007</c:v>
                </c:pt>
                <c:pt idx="242">
                  <c:v>2007</c:v>
                </c:pt>
                <c:pt idx="243">
                  <c:v>2007</c:v>
                </c:pt>
                <c:pt idx="244">
                  <c:v>2007</c:v>
                </c:pt>
                <c:pt idx="245">
                  <c:v>2007</c:v>
                </c:pt>
                <c:pt idx="246">
                  <c:v>2007</c:v>
                </c:pt>
                <c:pt idx="247">
                  <c:v>2007</c:v>
                </c:pt>
                <c:pt idx="248">
                  <c:v>2007</c:v>
                </c:pt>
                <c:pt idx="249">
                  <c:v>2007</c:v>
                </c:pt>
                <c:pt idx="250">
                  <c:v>2007</c:v>
                </c:pt>
                <c:pt idx="251">
                  <c:v>2007</c:v>
                </c:pt>
                <c:pt idx="252">
                  <c:v>2008</c:v>
                </c:pt>
                <c:pt idx="253">
                  <c:v>2008</c:v>
                </c:pt>
                <c:pt idx="254">
                  <c:v>2008</c:v>
                </c:pt>
                <c:pt idx="255">
                  <c:v>2008</c:v>
                </c:pt>
                <c:pt idx="256">
                  <c:v>2008</c:v>
                </c:pt>
                <c:pt idx="257">
                  <c:v>2008</c:v>
                </c:pt>
                <c:pt idx="258">
                  <c:v>2008</c:v>
                </c:pt>
                <c:pt idx="259">
                  <c:v>2008</c:v>
                </c:pt>
                <c:pt idx="260">
                  <c:v>2008</c:v>
                </c:pt>
                <c:pt idx="261">
                  <c:v>2008</c:v>
                </c:pt>
                <c:pt idx="262">
                  <c:v>2008</c:v>
                </c:pt>
                <c:pt idx="263">
                  <c:v>2008</c:v>
                </c:pt>
                <c:pt idx="264">
                  <c:v>2009</c:v>
                </c:pt>
                <c:pt idx="265">
                  <c:v>2009</c:v>
                </c:pt>
                <c:pt idx="266">
                  <c:v>2009</c:v>
                </c:pt>
                <c:pt idx="267">
                  <c:v>2009</c:v>
                </c:pt>
                <c:pt idx="268">
                  <c:v>2009</c:v>
                </c:pt>
                <c:pt idx="269">
                  <c:v>2009</c:v>
                </c:pt>
                <c:pt idx="270">
                  <c:v>2009</c:v>
                </c:pt>
                <c:pt idx="271">
                  <c:v>2009</c:v>
                </c:pt>
                <c:pt idx="272">
                  <c:v>2009</c:v>
                </c:pt>
                <c:pt idx="273">
                  <c:v>2009</c:v>
                </c:pt>
                <c:pt idx="274">
                  <c:v>2009</c:v>
                </c:pt>
                <c:pt idx="275">
                  <c:v>2009</c:v>
                </c:pt>
                <c:pt idx="276">
                  <c:v>2010</c:v>
                </c:pt>
                <c:pt idx="277">
                  <c:v>2010</c:v>
                </c:pt>
                <c:pt idx="278">
                  <c:v>2010</c:v>
                </c:pt>
                <c:pt idx="279">
                  <c:v>2010</c:v>
                </c:pt>
                <c:pt idx="280">
                  <c:v>2010</c:v>
                </c:pt>
                <c:pt idx="281">
                  <c:v>2010</c:v>
                </c:pt>
                <c:pt idx="282">
                  <c:v>2010</c:v>
                </c:pt>
                <c:pt idx="283">
                  <c:v>2010</c:v>
                </c:pt>
                <c:pt idx="284">
                  <c:v>2010</c:v>
                </c:pt>
                <c:pt idx="285">
                  <c:v>2010</c:v>
                </c:pt>
                <c:pt idx="286">
                  <c:v>2010</c:v>
                </c:pt>
                <c:pt idx="287">
                  <c:v>2010</c:v>
                </c:pt>
                <c:pt idx="288">
                  <c:v>2011</c:v>
                </c:pt>
                <c:pt idx="289">
                  <c:v>2011</c:v>
                </c:pt>
                <c:pt idx="290">
                  <c:v>2011</c:v>
                </c:pt>
                <c:pt idx="291">
                  <c:v>2011</c:v>
                </c:pt>
                <c:pt idx="292">
                  <c:v>2011</c:v>
                </c:pt>
                <c:pt idx="293">
                  <c:v>2011</c:v>
                </c:pt>
                <c:pt idx="294">
                  <c:v>2011</c:v>
                </c:pt>
                <c:pt idx="295">
                  <c:v>2011</c:v>
                </c:pt>
                <c:pt idx="296">
                  <c:v>2011</c:v>
                </c:pt>
                <c:pt idx="297">
                  <c:v>2011</c:v>
                </c:pt>
                <c:pt idx="298">
                  <c:v>2011</c:v>
                </c:pt>
                <c:pt idx="299">
                  <c:v>2011</c:v>
                </c:pt>
                <c:pt idx="300">
                  <c:v>2012</c:v>
                </c:pt>
                <c:pt idx="301">
                  <c:v>2012</c:v>
                </c:pt>
                <c:pt idx="302">
                  <c:v>2012</c:v>
                </c:pt>
                <c:pt idx="303">
                  <c:v>2012</c:v>
                </c:pt>
                <c:pt idx="304">
                  <c:v>2012</c:v>
                </c:pt>
                <c:pt idx="305">
                  <c:v>2012</c:v>
                </c:pt>
                <c:pt idx="306">
                  <c:v>2012</c:v>
                </c:pt>
                <c:pt idx="307">
                  <c:v>2012</c:v>
                </c:pt>
                <c:pt idx="308">
                  <c:v>2012</c:v>
                </c:pt>
                <c:pt idx="309">
                  <c:v>2012</c:v>
                </c:pt>
                <c:pt idx="310">
                  <c:v>2012</c:v>
                </c:pt>
                <c:pt idx="311">
                  <c:v>2012</c:v>
                </c:pt>
                <c:pt idx="312">
                  <c:v>2013</c:v>
                </c:pt>
                <c:pt idx="313">
                  <c:v>2013</c:v>
                </c:pt>
                <c:pt idx="314">
                  <c:v>2013</c:v>
                </c:pt>
                <c:pt idx="315">
                  <c:v>2013</c:v>
                </c:pt>
                <c:pt idx="316">
                  <c:v>2013</c:v>
                </c:pt>
                <c:pt idx="317">
                  <c:v>2013</c:v>
                </c:pt>
                <c:pt idx="318">
                  <c:v>2013</c:v>
                </c:pt>
                <c:pt idx="319">
                  <c:v>2013</c:v>
                </c:pt>
                <c:pt idx="320">
                  <c:v>2013</c:v>
                </c:pt>
                <c:pt idx="321">
                  <c:v>2013</c:v>
                </c:pt>
                <c:pt idx="322">
                  <c:v>2013</c:v>
                </c:pt>
                <c:pt idx="323">
                  <c:v>2013</c:v>
                </c:pt>
                <c:pt idx="324">
                  <c:v>2014</c:v>
                </c:pt>
                <c:pt idx="325">
                  <c:v>2014</c:v>
                </c:pt>
                <c:pt idx="326">
                  <c:v>2014</c:v>
                </c:pt>
                <c:pt idx="327">
                  <c:v>2014</c:v>
                </c:pt>
                <c:pt idx="328">
                  <c:v>2014</c:v>
                </c:pt>
                <c:pt idx="329">
                  <c:v>2014</c:v>
                </c:pt>
                <c:pt idx="330">
                  <c:v>2014</c:v>
                </c:pt>
                <c:pt idx="331">
                  <c:v>2014</c:v>
                </c:pt>
                <c:pt idx="332">
                  <c:v>2014</c:v>
                </c:pt>
                <c:pt idx="333">
                  <c:v>2014</c:v>
                </c:pt>
                <c:pt idx="334">
                  <c:v>2014</c:v>
                </c:pt>
                <c:pt idx="335">
                  <c:v>2014</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2016</c:v>
                </c:pt>
                <c:pt idx="349">
                  <c:v>2016</c:v>
                </c:pt>
                <c:pt idx="350">
                  <c:v>2016</c:v>
                </c:pt>
                <c:pt idx="351">
                  <c:v>2016</c:v>
                </c:pt>
                <c:pt idx="352">
                  <c:v>2016</c:v>
                </c:pt>
                <c:pt idx="353">
                  <c:v>2016</c:v>
                </c:pt>
                <c:pt idx="354">
                  <c:v>2016</c:v>
                </c:pt>
                <c:pt idx="355">
                  <c:v>2016</c:v>
                </c:pt>
                <c:pt idx="356">
                  <c:v>2016</c:v>
                </c:pt>
                <c:pt idx="357">
                  <c:v>2016</c:v>
                </c:pt>
                <c:pt idx="358">
                  <c:v>2016</c:v>
                </c:pt>
                <c:pt idx="359">
                  <c:v>2016</c:v>
                </c:pt>
                <c:pt idx="360">
                  <c:v>2017</c:v>
                </c:pt>
                <c:pt idx="361">
                  <c:v>2017</c:v>
                </c:pt>
                <c:pt idx="362">
                  <c:v>2017</c:v>
                </c:pt>
                <c:pt idx="363">
                  <c:v>2017</c:v>
                </c:pt>
                <c:pt idx="364">
                  <c:v>2017</c:v>
                </c:pt>
                <c:pt idx="365">
                  <c:v>2017</c:v>
                </c:pt>
                <c:pt idx="366">
                  <c:v>2017</c:v>
                </c:pt>
                <c:pt idx="367">
                  <c:v>2017</c:v>
                </c:pt>
                <c:pt idx="368">
                  <c:v>2017</c:v>
                </c:pt>
                <c:pt idx="369">
                  <c:v>2017</c:v>
                </c:pt>
                <c:pt idx="370">
                  <c:v>2017</c:v>
                </c:pt>
                <c:pt idx="371">
                  <c:v>2017</c:v>
                </c:pt>
                <c:pt idx="372">
                  <c:v>2018</c:v>
                </c:pt>
                <c:pt idx="373">
                  <c:v>2018</c:v>
                </c:pt>
                <c:pt idx="374">
                  <c:v>2018</c:v>
                </c:pt>
                <c:pt idx="375">
                  <c:v>2018</c:v>
                </c:pt>
                <c:pt idx="376">
                  <c:v>2018</c:v>
                </c:pt>
                <c:pt idx="377">
                  <c:v>2018</c:v>
                </c:pt>
                <c:pt idx="378">
                  <c:v>2018</c:v>
                </c:pt>
                <c:pt idx="379">
                  <c:v>2018</c:v>
                </c:pt>
                <c:pt idx="380">
                  <c:v>2018</c:v>
                </c:pt>
                <c:pt idx="381">
                  <c:v>2018</c:v>
                </c:pt>
                <c:pt idx="382">
                  <c:v>2018</c:v>
                </c:pt>
                <c:pt idx="383">
                  <c:v>2018</c:v>
                </c:pt>
                <c:pt idx="384">
                  <c:v>2019</c:v>
                </c:pt>
                <c:pt idx="385">
                  <c:v>2019</c:v>
                </c:pt>
                <c:pt idx="386">
                  <c:v>2019</c:v>
                </c:pt>
                <c:pt idx="387">
                  <c:v>2019</c:v>
                </c:pt>
                <c:pt idx="388">
                  <c:v>2019</c:v>
                </c:pt>
                <c:pt idx="389">
                  <c:v>2019</c:v>
                </c:pt>
                <c:pt idx="390">
                  <c:v>2019</c:v>
                </c:pt>
                <c:pt idx="391">
                  <c:v>2019</c:v>
                </c:pt>
                <c:pt idx="392">
                  <c:v>2019</c:v>
                </c:pt>
                <c:pt idx="393">
                  <c:v>2019</c:v>
                </c:pt>
                <c:pt idx="394">
                  <c:v>2019</c:v>
                </c:pt>
                <c:pt idx="395">
                  <c:v>2019</c:v>
                </c:pt>
                <c:pt idx="396">
                  <c:v>2020</c:v>
                </c:pt>
                <c:pt idx="397">
                  <c:v>2020</c:v>
                </c:pt>
                <c:pt idx="398">
                  <c:v>2020</c:v>
                </c:pt>
                <c:pt idx="399">
                  <c:v>2020</c:v>
                </c:pt>
                <c:pt idx="400">
                  <c:v>2020</c:v>
                </c:pt>
                <c:pt idx="401">
                  <c:v>2020</c:v>
                </c:pt>
                <c:pt idx="402">
                  <c:v>2020</c:v>
                </c:pt>
                <c:pt idx="403">
                  <c:v>2020</c:v>
                </c:pt>
                <c:pt idx="404">
                  <c:v>2020</c:v>
                </c:pt>
                <c:pt idx="405">
                  <c:v>2020</c:v>
                </c:pt>
                <c:pt idx="406">
                  <c:v>2020</c:v>
                </c:pt>
                <c:pt idx="407">
                  <c:v>2020</c:v>
                </c:pt>
              </c:numCache>
            </c:numRef>
          </c:cat>
          <c:val>
            <c:numRef>
              <c:f>'2.1.2 Prices ONS'!$G$576:$G$983</c:f>
              <c:numCache>
                <c:formatCode>_(* #,##0.0_);_(* \(#,##0.0\);_(* "-"??_);_(@_)</c:formatCode>
                <c:ptCount val="408"/>
                <c:pt idx="0">
                  <c:v>100</c:v>
                </c:pt>
                <c:pt idx="1">
                  <c:v>99.701195219123491</c:v>
                </c:pt>
                <c:pt idx="2">
                  <c:v>99.602385685884698</c:v>
                </c:pt>
                <c:pt idx="3">
                  <c:v>98.526522593320237</c:v>
                </c:pt>
                <c:pt idx="4">
                  <c:v>94.798822374877318</c:v>
                </c:pt>
                <c:pt idx="5">
                  <c:v>93.71933267909715</c:v>
                </c:pt>
                <c:pt idx="6">
                  <c:v>93.614931237721024</c:v>
                </c:pt>
                <c:pt idx="7">
                  <c:v>96.278158667972576</c:v>
                </c:pt>
                <c:pt idx="8">
                  <c:v>96.875</c:v>
                </c:pt>
                <c:pt idx="9">
                  <c:v>96.987366375121468</c:v>
                </c:pt>
                <c:pt idx="10">
                  <c:v>96.905222437137326</c:v>
                </c:pt>
                <c:pt idx="11">
                  <c:v>97.095837366892539</c:v>
                </c:pt>
                <c:pt idx="12">
                  <c:v>98.547918683446284</c:v>
                </c:pt>
                <c:pt idx="13">
                  <c:v>98.360655737704917</c:v>
                </c:pt>
                <c:pt idx="14">
                  <c:v>97.886647454370816</c:v>
                </c:pt>
                <c:pt idx="15">
                  <c:v>96.313799621928169</c:v>
                </c:pt>
                <c:pt idx="16">
                  <c:v>91.525423728813564</c:v>
                </c:pt>
                <c:pt idx="17">
                  <c:v>90.619136960600372</c:v>
                </c:pt>
                <c:pt idx="18">
                  <c:v>90.1593252108716</c:v>
                </c:pt>
                <c:pt idx="19">
                  <c:v>88.785912882298419</c:v>
                </c:pt>
                <c:pt idx="20">
                  <c:v>92.52767527675276</c:v>
                </c:pt>
                <c:pt idx="21">
                  <c:v>92.328767123287676</c:v>
                </c:pt>
                <c:pt idx="22">
                  <c:v>92.72727272727272</c:v>
                </c:pt>
                <c:pt idx="23">
                  <c:v>92.747053490480496</c:v>
                </c:pt>
                <c:pt idx="24">
                  <c:v>92.882882882882882</c:v>
                </c:pt>
                <c:pt idx="25">
                  <c:v>92.218246869409654</c:v>
                </c:pt>
                <c:pt idx="26">
                  <c:v>92.074799643811218</c:v>
                </c:pt>
                <c:pt idx="27">
                  <c:v>89.676290463692041</c:v>
                </c:pt>
                <c:pt idx="28">
                  <c:v>85.130434782608702</c:v>
                </c:pt>
                <c:pt idx="29">
                  <c:v>83.882149046793756</c:v>
                </c:pt>
                <c:pt idx="30">
                  <c:v>83.46320346320347</c:v>
                </c:pt>
                <c:pt idx="31">
                  <c:v>87.219343696027636</c:v>
                </c:pt>
                <c:pt idx="32">
                  <c:v>87.135506003430535</c:v>
                </c:pt>
                <c:pt idx="33">
                  <c:v>87.148936170212778</c:v>
                </c:pt>
                <c:pt idx="34">
                  <c:v>87.932489451476798</c:v>
                </c:pt>
                <c:pt idx="35">
                  <c:v>88.215488215488207</c:v>
                </c:pt>
                <c:pt idx="36">
                  <c:v>88.20083682008368</c:v>
                </c:pt>
                <c:pt idx="37">
                  <c:v>87.770382695507493</c:v>
                </c:pt>
                <c:pt idx="38">
                  <c:v>86.902800658978578</c:v>
                </c:pt>
                <c:pt idx="39">
                  <c:v>84.33253397282175</c:v>
                </c:pt>
                <c:pt idx="40">
                  <c:v>79.397781299524567</c:v>
                </c:pt>
                <c:pt idx="41">
                  <c:v>78.847671665351228</c:v>
                </c:pt>
                <c:pt idx="42">
                  <c:v>78.548895899053633</c:v>
                </c:pt>
                <c:pt idx="43">
                  <c:v>80.952380952380949</c:v>
                </c:pt>
                <c:pt idx="44">
                  <c:v>82.134570765661252</c:v>
                </c:pt>
                <c:pt idx="45">
                  <c:v>82.425172678434379</c:v>
                </c:pt>
                <c:pt idx="46">
                  <c:v>85.307692307692307</c:v>
                </c:pt>
                <c:pt idx="47">
                  <c:v>85.912240184757493</c:v>
                </c:pt>
                <c:pt idx="48">
                  <c:v>86.405529953917053</c:v>
                </c:pt>
                <c:pt idx="49">
                  <c:v>86.01986249045072</c:v>
                </c:pt>
                <c:pt idx="50">
                  <c:v>85.768645357686452</c:v>
                </c:pt>
                <c:pt idx="51">
                  <c:v>84.823441021788142</c:v>
                </c:pt>
                <c:pt idx="52">
                  <c:v>80.449438202247194</c:v>
                </c:pt>
                <c:pt idx="53">
                  <c:v>79.0454884414616</c:v>
                </c:pt>
                <c:pt idx="54">
                  <c:v>78.923766816143484</c:v>
                </c:pt>
                <c:pt idx="55">
                  <c:v>82.774049217002243</c:v>
                </c:pt>
                <c:pt idx="56">
                  <c:v>84.39821693907875</c:v>
                </c:pt>
                <c:pt idx="57">
                  <c:v>84.4559585492228</c:v>
                </c:pt>
                <c:pt idx="58">
                  <c:v>86.135693215339231</c:v>
                </c:pt>
                <c:pt idx="59">
                  <c:v>86.440677966101703</c:v>
                </c:pt>
                <c:pt idx="60">
                  <c:v>86.65191740412979</c:v>
                </c:pt>
                <c:pt idx="61">
                  <c:v>86.28026412325751</c:v>
                </c:pt>
                <c:pt idx="62">
                  <c:v>86.027798098024874</c:v>
                </c:pt>
                <c:pt idx="63">
                  <c:v>84.726224783861653</c:v>
                </c:pt>
                <c:pt idx="64">
                  <c:v>83.632447954055991</c:v>
                </c:pt>
                <c:pt idx="65">
                  <c:v>80.402010050251249</c:v>
                </c:pt>
                <c:pt idx="66">
                  <c:v>80.7636887608069</c:v>
                </c:pt>
                <c:pt idx="67">
                  <c:v>80.561555075593944</c:v>
                </c:pt>
                <c:pt idx="68">
                  <c:v>83.57245337159253</c:v>
                </c:pt>
                <c:pt idx="69">
                  <c:v>84.274481772694784</c:v>
                </c:pt>
                <c:pt idx="70">
                  <c:v>84.896206156048677</c:v>
                </c:pt>
                <c:pt idx="71">
                  <c:v>85.201149425287355</c:v>
                </c:pt>
                <c:pt idx="72">
                  <c:v>86.004350978970251</c:v>
                </c:pt>
                <c:pt idx="73">
                  <c:v>85.446685878962526</c:v>
                </c:pt>
                <c:pt idx="74">
                  <c:v>85.139985642498189</c:v>
                </c:pt>
                <c:pt idx="75">
                  <c:v>84.21052631578948</c:v>
                </c:pt>
                <c:pt idx="76">
                  <c:v>80.510276399716503</c:v>
                </c:pt>
                <c:pt idx="77">
                  <c:v>80.070921985815602</c:v>
                </c:pt>
                <c:pt idx="78">
                  <c:v>80.170575692963752</c:v>
                </c:pt>
                <c:pt idx="79">
                  <c:v>79.68860580325547</c:v>
                </c:pt>
                <c:pt idx="80">
                  <c:v>83.086680761099359</c:v>
                </c:pt>
                <c:pt idx="81">
                  <c:v>84.062059238363886</c:v>
                </c:pt>
                <c:pt idx="82">
                  <c:v>83.545197740112997</c:v>
                </c:pt>
                <c:pt idx="83">
                  <c:v>84.425651867512329</c:v>
                </c:pt>
                <c:pt idx="84">
                  <c:v>84.854918612880397</c:v>
                </c:pt>
                <c:pt idx="85">
                  <c:v>84.166080225193525</c:v>
                </c:pt>
                <c:pt idx="86">
                  <c:v>83.78947368421052</c:v>
                </c:pt>
                <c:pt idx="87">
                  <c:v>89.042995839112365</c:v>
                </c:pt>
                <c:pt idx="88">
                  <c:v>85.625431928127171</c:v>
                </c:pt>
                <c:pt idx="89">
                  <c:v>85.279889426399464</c:v>
                </c:pt>
                <c:pt idx="90">
                  <c:v>85.555555555555557</c:v>
                </c:pt>
                <c:pt idx="91">
                  <c:v>85.003455425017279</c:v>
                </c:pt>
                <c:pt idx="92">
                  <c:v>87.034482758620697</c:v>
                </c:pt>
                <c:pt idx="93">
                  <c:v>88.016528925619838</c:v>
                </c:pt>
                <c:pt idx="94">
                  <c:v>88.093599449414995</c:v>
                </c:pt>
                <c:pt idx="95">
                  <c:v>87.876712328767127</c:v>
                </c:pt>
                <c:pt idx="96">
                  <c:v>87.876712328767127</c:v>
                </c:pt>
                <c:pt idx="97">
                  <c:v>87.338325391422742</c:v>
                </c:pt>
                <c:pt idx="98">
                  <c:v>86.915254237288124</c:v>
                </c:pt>
                <c:pt idx="99">
                  <c:v>85.973154362416111</c:v>
                </c:pt>
                <c:pt idx="100">
                  <c:v>82.68716577540107</c:v>
                </c:pt>
                <c:pt idx="101">
                  <c:v>82.376502002670222</c:v>
                </c:pt>
                <c:pt idx="102">
                  <c:v>82.629107981220656</c:v>
                </c:pt>
                <c:pt idx="103">
                  <c:v>81.987991994663105</c:v>
                </c:pt>
                <c:pt idx="104">
                  <c:v>83.997343957503318</c:v>
                </c:pt>
                <c:pt idx="105">
                  <c:v>85.246995994659542</c:v>
                </c:pt>
                <c:pt idx="106">
                  <c:v>85.246995994659542</c:v>
                </c:pt>
                <c:pt idx="107">
                  <c:v>85.202388852023901</c:v>
                </c:pt>
                <c:pt idx="108">
                  <c:v>85.685752330226364</c:v>
                </c:pt>
                <c:pt idx="109">
                  <c:v>85.288270377733582</c:v>
                </c:pt>
                <c:pt idx="110">
                  <c:v>85.016501650165026</c:v>
                </c:pt>
                <c:pt idx="111">
                  <c:v>84.403669724770651</c:v>
                </c:pt>
                <c:pt idx="112">
                  <c:v>81.556572923479393</c:v>
                </c:pt>
                <c:pt idx="113">
                  <c:v>81.111111111111114</c:v>
                </c:pt>
                <c:pt idx="114">
                  <c:v>81.69291338582677</c:v>
                </c:pt>
                <c:pt idx="115">
                  <c:v>81.319399085564996</c:v>
                </c:pt>
                <c:pt idx="116">
                  <c:v>82.769830949284767</c:v>
                </c:pt>
                <c:pt idx="117">
                  <c:v>84.395318595578672</c:v>
                </c:pt>
                <c:pt idx="118">
                  <c:v>84.860298895386606</c:v>
                </c:pt>
                <c:pt idx="119">
                  <c:v>84.779792746113998</c:v>
                </c:pt>
                <c:pt idx="120">
                  <c:v>84.844559585492235</c:v>
                </c:pt>
                <c:pt idx="121">
                  <c:v>84.516129032258064</c:v>
                </c:pt>
                <c:pt idx="122">
                  <c:v>84.169884169884185</c:v>
                </c:pt>
                <c:pt idx="123">
                  <c:v>83.557261676263579</c:v>
                </c:pt>
                <c:pt idx="124">
                  <c:v>80.879541108986615</c:v>
                </c:pt>
                <c:pt idx="125">
                  <c:v>80.063492063492063</c:v>
                </c:pt>
                <c:pt idx="126">
                  <c:v>80.38095238095238</c:v>
                </c:pt>
                <c:pt idx="127">
                  <c:v>79.432176656151427</c:v>
                </c:pt>
                <c:pt idx="128">
                  <c:v>78.844946641556803</c:v>
                </c:pt>
                <c:pt idx="129">
                  <c:v>81.442006269592483</c:v>
                </c:pt>
                <c:pt idx="130">
                  <c:v>81.453634085213039</c:v>
                </c:pt>
                <c:pt idx="131">
                  <c:v>81.3125</c:v>
                </c:pt>
                <c:pt idx="132">
                  <c:v>81.567398119122259</c:v>
                </c:pt>
                <c:pt idx="133">
                  <c:v>81.222707423580772</c:v>
                </c:pt>
                <c:pt idx="134">
                  <c:v>80.907960199004975</c:v>
                </c:pt>
                <c:pt idx="135">
                  <c:v>80.012300123001239</c:v>
                </c:pt>
                <c:pt idx="136">
                  <c:v>77.737003058103966</c:v>
                </c:pt>
                <c:pt idx="137">
                  <c:v>77.968176254589963</c:v>
                </c:pt>
                <c:pt idx="138">
                  <c:v>78.343558282208591</c:v>
                </c:pt>
                <c:pt idx="139">
                  <c:v>78.069639584605994</c:v>
                </c:pt>
                <c:pt idx="140">
                  <c:v>78.406326034063255</c:v>
                </c:pt>
                <c:pt idx="141">
                  <c:v>80.911854103343458</c:v>
                </c:pt>
                <c:pt idx="142">
                  <c:v>81.021897810218974</c:v>
                </c:pt>
                <c:pt idx="143">
                  <c:v>81.143552311435514</c:v>
                </c:pt>
                <c:pt idx="144">
                  <c:v>81.517747858017131</c:v>
                </c:pt>
                <c:pt idx="145">
                  <c:v>81.490531459987793</c:v>
                </c:pt>
                <c:pt idx="146">
                  <c:v>81.230956733698974</c:v>
                </c:pt>
                <c:pt idx="147">
                  <c:v>80.932203389830505</c:v>
                </c:pt>
                <c:pt idx="148">
                  <c:v>78.623188405797094</c:v>
                </c:pt>
                <c:pt idx="149">
                  <c:v>78.44202898550725</c:v>
                </c:pt>
                <c:pt idx="150">
                  <c:v>78.800726832222892</c:v>
                </c:pt>
                <c:pt idx="151">
                  <c:v>78.549848942598189</c:v>
                </c:pt>
                <c:pt idx="152">
                  <c:v>78.941034897713592</c:v>
                </c:pt>
                <c:pt idx="153">
                  <c:v>80.840840840840826</c:v>
                </c:pt>
                <c:pt idx="154">
                  <c:v>80.92381523695262</c:v>
                </c:pt>
                <c:pt idx="155">
                  <c:v>80.81291093843393</c:v>
                </c:pt>
                <c:pt idx="156">
                  <c:v>81.272509003601442</c:v>
                </c:pt>
                <c:pt idx="157">
                  <c:v>80.776119402985074</c:v>
                </c:pt>
                <c:pt idx="158">
                  <c:v>80.581947743467921</c:v>
                </c:pt>
                <c:pt idx="159">
                  <c:v>79.541446208112887</c:v>
                </c:pt>
                <c:pt idx="160">
                  <c:v>77.328646748681905</c:v>
                </c:pt>
                <c:pt idx="161">
                  <c:v>76.621858562244299</c:v>
                </c:pt>
                <c:pt idx="162">
                  <c:v>76.715542521994138</c:v>
                </c:pt>
                <c:pt idx="163">
                  <c:v>76.89149560117302</c:v>
                </c:pt>
                <c:pt idx="164">
                  <c:v>77.810133954571924</c:v>
                </c:pt>
                <c:pt idx="165">
                  <c:v>80.24475524475524</c:v>
                </c:pt>
                <c:pt idx="166">
                  <c:v>80.825101685066826</c:v>
                </c:pt>
                <c:pt idx="167">
                  <c:v>81.01045296167247</c:v>
                </c:pt>
                <c:pt idx="168">
                  <c:v>81.589713617767387</c:v>
                </c:pt>
                <c:pt idx="169">
                  <c:v>81.04651162790698</c:v>
                </c:pt>
                <c:pt idx="170">
                  <c:v>80.952380952380963</c:v>
                </c:pt>
                <c:pt idx="171">
                  <c:v>80.589254766031189</c:v>
                </c:pt>
                <c:pt idx="172">
                  <c:v>78.989667049368535</c:v>
                </c:pt>
                <c:pt idx="173">
                  <c:v>78.612385321100902</c:v>
                </c:pt>
                <c:pt idx="174">
                  <c:v>78.765147143681475</c:v>
                </c:pt>
                <c:pt idx="175">
                  <c:v>78.563218390804593</c:v>
                </c:pt>
                <c:pt idx="176">
                  <c:v>82.302405498281786</c:v>
                </c:pt>
                <c:pt idx="177">
                  <c:v>84.452094090648302</c:v>
                </c:pt>
                <c:pt idx="178">
                  <c:v>85.195852534562221</c:v>
                </c:pt>
                <c:pt idx="179">
                  <c:v>85.640138408304495</c:v>
                </c:pt>
                <c:pt idx="180">
                  <c:v>85.574148874783617</c:v>
                </c:pt>
                <c:pt idx="181">
                  <c:v>85.443037974683534</c:v>
                </c:pt>
                <c:pt idx="182">
                  <c:v>85.157593123209168</c:v>
                </c:pt>
                <c:pt idx="183">
                  <c:v>84.575981787137167</c:v>
                </c:pt>
                <c:pt idx="184">
                  <c:v>83.087400681044272</c:v>
                </c:pt>
                <c:pt idx="185">
                  <c:v>82.803632236095353</c:v>
                </c:pt>
                <c:pt idx="186">
                  <c:v>82.831154064809539</c:v>
                </c:pt>
                <c:pt idx="187">
                  <c:v>82.426303854875286</c:v>
                </c:pt>
                <c:pt idx="188">
                  <c:v>83.502252252252262</c:v>
                </c:pt>
                <c:pt idx="189">
                  <c:v>84.935356942102302</c:v>
                </c:pt>
                <c:pt idx="190">
                  <c:v>85.46576879910215</c:v>
                </c:pt>
                <c:pt idx="191">
                  <c:v>85.210084033613441</c:v>
                </c:pt>
                <c:pt idx="192">
                  <c:v>85.08968609865471</c:v>
                </c:pt>
                <c:pt idx="193">
                  <c:v>84.718349135527049</c:v>
                </c:pt>
                <c:pt idx="194">
                  <c:v>84.491384102279042</c:v>
                </c:pt>
                <c:pt idx="195">
                  <c:v>83.388520971302427</c:v>
                </c:pt>
                <c:pt idx="196">
                  <c:v>82.369146005509634</c:v>
                </c:pt>
                <c:pt idx="197">
                  <c:v>82.294539437396566</c:v>
                </c:pt>
                <c:pt idx="198">
                  <c:v>82.239382239382223</c:v>
                </c:pt>
                <c:pt idx="199">
                  <c:v>82.048458149779734</c:v>
                </c:pt>
                <c:pt idx="200">
                  <c:v>83.123287671232873</c:v>
                </c:pt>
                <c:pt idx="201">
                  <c:v>84.446878422782035</c:v>
                </c:pt>
                <c:pt idx="202">
                  <c:v>84.5648604269294</c:v>
                </c:pt>
                <c:pt idx="203">
                  <c:v>84.250681198910087</c:v>
                </c:pt>
                <c:pt idx="204">
                  <c:v>84.76242490442381</c:v>
                </c:pt>
                <c:pt idx="205">
                  <c:v>84.766050054406961</c:v>
                </c:pt>
                <c:pt idx="206">
                  <c:v>84.29035752979415</c:v>
                </c:pt>
                <c:pt idx="207">
                  <c:v>83.791060850834683</c:v>
                </c:pt>
                <c:pt idx="208">
                  <c:v>82.627345844504021</c:v>
                </c:pt>
                <c:pt idx="209">
                  <c:v>82.441113490364017</c:v>
                </c:pt>
                <c:pt idx="210">
                  <c:v>82.922912205567442</c:v>
                </c:pt>
                <c:pt idx="211">
                  <c:v>84.044823906083238</c:v>
                </c:pt>
                <c:pt idx="212">
                  <c:v>85.911749069643804</c:v>
                </c:pt>
                <c:pt idx="213">
                  <c:v>88.971367974549324</c:v>
                </c:pt>
                <c:pt idx="214">
                  <c:v>89.894179894179899</c:v>
                </c:pt>
                <c:pt idx="215">
                  <c:v>90.205371248025273</c:v>
                </c:pt>
                <c:pt idx="216">
                  <c:v>91.053467443091591</c:v>
                </c:pt>
                <c:pt idx="217">
                  <c:v>91.297468354430379</c:v>
                </c:pt>
                <c:pt idx="218">
                  <c:v>91.076115485564301</c:v>
                </c:pt>
                <c:pt idx="219">
                  <c:v>90.553235908141957</c:v>
                </c:pt>
                <c:pt idx="220">
                  <c:v>89.583333333333343</c:v>
                </c:pt>
                <c:pt idx="221">
                  <c:v>89.125910509885543</c:v>
                </c:pt>
                <c:pt idx="222">
                  <c:v>88.969823100936523</c:v>
                </c:pt>
                <c:pt idx="223">
                  <c:v>89.92731048805814</c:v>
                </c:pt>
                <c:pt idx="224">
                  <c:v>90.833764888658735</c:v>
                </c:pt>
                <c:pt idx="225">
                  <c:v>94.619762027935849</c:v>
                </c:pt>
                <c:pt idx="226">
                  <c:v>95.247933884297538</c:v>
                </c:pt>
                <c:pt idx="227">
                  <c:v>95.260175167439471</c:v>
                </c:pt>
                <c:pt idx="228">
                  <c:v>95.656670113753876</c:v>
                </c:pt>
                <c:pt idx="229">
                  <c:v>95.365602471678685</c:v>
                </c:pt>
                <c:pt idx="230">
                  <c:v>94.974358974358964</c:v>
                </c:pt>
                <c:pt idx="231">
                  <c:v>94.503816793893122</c:v>
                </c:pt>
                <c:pt idx="232">
                  <c:v>94.891249367728875</c:v>
                </c:pt>
                <c:pt idx="233">
                  <c:v>92.644836272040308</c:v>
                </c:pt>
                <c:pt idx="234">
                  <c:v>92.544080604534003</c:v>
                </c:pt>
                <c:pt idx="235">
                  <c:v>93.022088353413665</c:v>
                </c:pt>
                <c:pt idx="236">
                  <c:v>93.753123438280866</c:v>
                </c:pt>
                <c:pt idx="237">
                  <c:v>98.453093812375243</c:v>
                </c:pt>
                <c:pt idx="238">
                  <c:v>99.20437593237196</c:v>
                </c:pt>
                <c:pt idx="239">
                  <c:v>98.421312284163804</c:v>
                </c:pt>
                <c:pt idx="240">
                  <c:v>99.107142857142861</c:v>
                </c:pt>
                <c:pt idx="241">
                  <c:v>98.572131954702115</c:v>
                </c:pt>
                <c:pt idx="242">
                  <c:v>98.091976516634048</c:v>
                </c:pt>
                <c:pt idx="243">
                  <c:v>97.565725413826669</c:v>
                </c:pt>
                <c:pt idx="244">
                  <c:v>96.702230843840937</c:v>
                </c:pt>
                <c:pt idx="245">
                  <c:v>95.754944524843225</c:v>
                </c:pt>
                <c:pt idx="246">
                  <c:v>96.166909267345943</c:v>
                </c:pt>
                <c:pt idx="247">
                  <c:v>95.706705258080078</c:v>
                </c:pt>
                <c:pt idx="248">
                  <c:v>96.538461538461533</c:v>
                </c:pt>
                <c:pt idx="249">
                  <c:v>98.851124940162762</c:v>
                </c:pt>
                <c:pt idx="250">
                  <c:v>100.38149737720555</c:v>
                </c:pt>
                <c:pt idx="251">
                  <c:v>101.80180180180179</c:v>
                </c:pt>
                <c:pt idx="252">
                  <c:v>103.57483317445187</c:v>
                </c:pt>
                <c:pt idx="253">
                  <c:v>103.26395458845789</c:v>
                </c:pt>
                <c:pt idx="254">
                  <c:v>103.25318246110326</c:v>
                </c:pt>
                <c:pt idx="255">
                  <c:v>102.66355140186916</c:v>
                </c:pt>
                <c:pt idx="256">
                  <c:v>104.23059042305904</c:v>
                </c:pt>
                <c:pt idx="257">
                  <c:v>105.53505535055349</c:v>
                </c:pt>
                <c:pt idx="258">
                  <c:v>106.83602771362588</c:v>
                </c:pt>
                <c:pt idx="259">
                  <c:v>107.59668508287292</c:v>
                </c:pt>
                <c:pt idx="260">
                  <c:v>117.03296703296702</c:v>
                </c:pt>
                <c:pt idx="261">
                  <c:v>128.06614607257697</c:v>
                </c:pt>
                <c:pt idx="262">
                  <c:v>130.0462962962963</c:v>
                </c:pt>
                <c:pt idx="263">
                  <c:v>133.0201972757163</c:v>
                </c:pt>
                <c:pt idx="264">
                  <c:v>136.12565445026178</c:v>
                </c:pt>
                <c:pt idx="265">
                  <c:v>135.38315988647113</c:v>
                </c:pt>
                <c:pt idx="266">
                  <c:v>135.30525319451016</c:v>
                </c:pt>
                <c:pt idx="267">
                  <c:v>135.22458628841608</c:v>
                </c:pt>
                <c:pt idx="268">
                  <c:v>132.23684210526315</c:v>
                </c:pt>
                <c:pt idx="269">
                  <c:v>130.74039362699156</c:v>
                </c:pt>
                <c:pt idx="270">
                  <c:v>129.7563261480787</c:v>
                </c:pt>
                <c:pt idx="271">
                  <c:v>129.80410447761196</c:v>
                </c:pt>
                <c:pt idx="272">
                  <c:v>129.63307013469577</c:v>
                </c:pt>
                <c:pt idx="273">
                  <c:v>131.75925925925927</c:v>
                </c:pt>
                <c:pt idx="274">
                  <c:v>132.50230840258541</c:v>
                </c:pt>
                <c:pt idx="275">
                  <c:v>131.83486238532109</c:v>
                </c:pt>
                <c:pt idx="276">
                  <c:v>131.66590178981184</c:v>
                </c:pt>
                <c:pt idx="277">
                  <c:v>131.02189781021897</c:v>
                </c:pt>
                <c:pt idx="278">
                  <c:v>130.13140009062076</c:v>
                </c:pt>
                <c:pt idx="279">
                  <c:v>128.90484739676839</c:v>
                </c:pt>
                <c:pt idx="280">
                  <c:v>125.44722719141323</c:v>
                </c:pt>
                <c:pt idx="281">
                  <c:v>123.69477911646587</c:v>
                </c:pt>
                <c:pt idx="282">
                  <c:v>122.76386404293382</c:v>
                </c:pt>
                <c:pt idx="283">
                  <c:v>123.16258351893097</c:v>
                </c:pt>
                <c:pt idx="284">
                  <c:v>123.34664891256102</c:v>
                </c:pt>
                <c:pt idx="285">
                  <c:v>126.74933569530558</c:v>
                </c:pt>
                <c:pt idx="286">
                  <c:v>126.85185185185183</c:v>
                </c:pt>
                <c:pt idx="287">
                  <c:v>126.66374781085814</c:v>
                </c:pt>
                <c:pt idx="288">
                  <c:v>127.46724890829692</c:v>
                </c:pt>
                <c:pt idx="289">
                  <c:v>127.28058798097707</c:v>
                </c:pt>
                <c:pt idx="290">
                  <c:v>126.40860215053762</c:v>
                </c:pt>
                <c:pt idx="291">
                  <c:v>125.81058020477815</c:v>
                </c:pt>
                <c:pt idx="292">
                  <c:v>123.7670068027211</c:v>
                </c:pt>
                <c:pt idx="293">
                  <c:v>123.51190476190477</c:v>
                </c:pt>
                <c:pt idx="294">
                  <c:v>123.94546229228803</c:v>
                </c:pt>
                <c:pt idx="295">
                  <c:v>123.33756882676832</c:v>
                </c:pt>
                <c:pt idx="296">
                  <c:v>123.16099201345104</c:v>
                </c:pt>
                <c:pt idx="297">
                  <c:v>129.83193277310926</c:v>
                </c:pt>
                <c:pt idx="298">
                  <c:v>130.56603773584905</c:v>
                </c:pt>
                <c:pt idx="299">
                  <c:v>130.32581453634086</c:v>
                </c:pt>
                <c:pt idx="300">
                  <c:v>131.1764705882353</c:v>
                </c:pt>
                <c:pt idx="301">
                  <c:v>129.38724468528554</c:v>
                </c:pt>
                <c:pt idx="302">
                  <c:v>129.36046511627904</c:v>
                </c:pt>
                <c:pt idx="303">
                  <c:v>128.49484536082477</c:v>
                </c:pt>
                <c:pt idx="304">
                  <c:v>125.90759075907589</c:v>
                </c:pt>
                <c:pt idx="305">
                  <c:v>125.18610421836227</c:v>
                </c:pt>
                <c:pt idx="306">
                  <c:v>125.32011565468815</c:v>
                </c:pt>
                <c:pt idx="307">
                  <c:v>124.85596707818929</c:v>
                </c:pt>
                <c:pt idx="308">
                  <c:v>124.65192465192465</c:v>
                </c:pt>
                <c:pt idx="309">
                  <c:v>125</c:v>
                </c:pt>
                <c:pt idx="310">
                  <c:v>125.48859934853421</c:v>
                </c:pt>
                <c:pt idx="311">
                  <c:v>125.52674230145865</c:v>
                </c:pt>
                <c:pt idx="312">
                  <c:v>126.15947925142392</c:v>
                </c:pt>
                <c:pt idx="313">
                  <c:v>125.56542810985461</c:v>
                </c:pt>
                <c:pt idx="314">
                  <c:v>124.40691596300763</c:v>
                </c:pt>
                <c:pt idx="315">
                  <c:v>123.88777555110222</c:v>
                </c:pt>
                <c:pt idx="316">
                  <c:v>123.92</c:v>
                </c:pt>
                <c:pt idx="317">
                  <c:v>124.02883460152184</c:v>
                </c:pt>
                <c:pt idx="318">
                  <c:v>124.34921906287546</c:v>
                </c:pt>
                <c:pt idx="319">
                  <c:v>123.62549800796813</c:v>
                </c:pt>
                <c:pt idx="320">
                  <c:v>123.7792774910679</c:v>
                </c:pt>
                <c:pt idx="321">
                  <c:v>125.16871774513696</c:v>
                </c:pt>
                <c:pt idx="322">
                  <c:v>126.33875446251488</c:v>
                </c:pt>
                <c:pt idx="323">
                  <c:v>125.9273875295975</c:v>
                </c:pt>
                <c:pt idx="324">
                  <c:v>127.11797307996835</c:v>
                </c:pt>
                <c:pt idx="325">
                  <c:v>126.19984264358774</c:v>
                </c:pt>
                <c:pt idx="326">
                  <c:v>125.90266875981162</c:v>
                </c:pt>
                <c:pt idx="327">
                  <c:v>125.69417285881892</c:v>
                </c:pt>
                <c:pt idx="328">
                  <c:v>124.54083626416568</c:v>
                </c:pt>
                <c:pt idx="329">
                  <c:v>124.1513850955911</c:v>
                </c:pt>
                <c:pt idx="330">
                  <c:v>124.17968749999999</c:v>
                </c:pt>
                <c:pt idx="331">
                  <c:v>123.46303501945526</c:v>
                </c:pt>
                <c:pt idx="332">
                  <c:v>123.71894409937887</c:v>
                </c:pt>
                <c:pt idx="333">
                  <c:v>126.15444315095073</c:v>
                </c:pt>
                <c:pt idx="334">
                  <c:v>126.44885258654219</c:v>
                </c:pt>
                <c:pt idx="335">
                  <c:v>126.25242718446603</c:v>
                </c:pt>
                <c:pt idx="336">
                  <c:v>127.01644479248237</c:v>
                </c:pt>
                <c:pt idx="337">
                  <c:v>126.41215426567977</c:v>
                </c:pt>
                <c:pt idx="338">
                  <c:v>126.40995721509138</c:v>
                </c:pt>
                <c:pt idx="339">
                  <c:v>126.12403100775194</c:v>
                </c:pt>
                <c:pt idx="340">
                  <c:v>123.28820116054158</c:v>
                </c:pt>
                <c:pt idx="341">
                  <c:v>122.63422170722286</c:v>
                </c:pt>
                <c:pt idx="342">
                  <c:v>122.77648878576952</c:v>
                </c:pt>
                <c:pt idx="343">
                  <c:v>122.17090069284062</c:v>
                </c:pt>
                <c:pt idx="344">
                  <c:v>122.65023112480738</c:v>
                </c:pt>
                <c:pt idx="345">
                  <c:v>124.27745664739885</c:v>
                </c:pt>
                <c:pt idx="346">
                  <c:v>124.364896073903</c:v>
                </c:pt>
                <c:pt idx="347">
                  <c:v>124.02148887183422</c:v>
                </c:pt>
                <c:pt idx="348">
                  <c:v>124.76816074188561</c:v>
                </c:pt>
                <c:pt idx="349">
                  <c:v>124.30769230769229</c:v>
                </c:pt>
                <c:pt idx="350">
                  <c:v>123.55419379548064</c:v>
                </c:pt>
                <c:pt idx="351">
                  <c:v>123.75669472073452</c:v>
                </c:pt>
                <c:pt idx="352">
                  <c:v>121.9381915299504</c:v>
                </c:pt>
                <c:pt idx="353">
                  <c:v>120.52451539338654</c:v>
                </c:pt>
                <c:pt idx="354">
                  <c:v>119.47608200455582</c:v>
                </c:pt>
                <c:pt idx="355">
                  <c:v>119.13767019667172</c:v>
                </c:pt>
                <c:pt idx="356">
                  <c:v>119.74329935824841</c:v>
                </c:pt>
                <c:pt idx="357">
                  <c:v>121.90332326283988</c:v>
                </c:pt>
                <c:pt idx="358">
                  <c:v>122.4482109227872</c:v>
                </c:pt>
                <c:pt idx="359">
                  <c:v>122.46349681767128</c:v>
                </c:pt>
                <c:pt idx="360">
                  <c:v>123.42749529190206</c:v>
                </c:pt>
                <c:pt idx="361">
                  <c:v>122.6527570789866</c:v>
                </c:pt>
                <c:pt idx="362">
                  <c:v>122.31711845525435</c:v>
                </c:pt>
                <c:pt idx="363">
                  <c:v>121.80339985218033</c:v>
                </c:pt>
                <c:pt idx="364">
                  <c:v>119.61722488038278</c:v>
                </c:pt>
                <c:pt idx="365">
                  <c:v>119.09658464928387</c:v>
                </c:pt>
                <c:pt idx="366">
                  <c:v>118.7248076218395</c:v>
                </c:pt>
                <c:pt idx="367">
                  <c:v>117.98325445941028</c:v>
                </c:pt>
                <c:pt idx="368">
                  <c:v>117.84805525263539</c:v>
                </c:pt>
                <c:pt idx="369">
                  <c:v>120.23247366509263</c:v>
                </c:pt>
                <c:pt idx="370">
                  <c:v>121.28353879622915</c:v>
                </c:pt>
                <c:pt idx="371">
                  <c:v>120.67601582164689</c:v>
                </c:pt>
                <c:pt idx="372">
                  <c:v>121.81159420289856</c:v>
                </c:pt>
                <c:pt idx="373">
                  <c:v>120.89176555195971</c:v>
                </c:pt>
                <c:pt idx="374">
                  <c:v>121.16421128278836</c:v>
                </c:pt>
                <c:pt idx="375">
                  <c:v>120.41473006792994</c:v>
                </c:pt>
                <c:pt idx="376">
                  <c:v>116.60135375846099</c:v>
                </c:pt>
                <c:pt idx="377">
                  <c:v>116.1278863232682</c:v>
                </c:pt>
                <c:pt idx="378">
                  <c:v>116.64891728789493</c:v>
                </c:pt>
                <c:pt idx="379">
                  <c:v>115.83391977480647</c:v>
                </c:pt>
                <c:pt idx="380">
                  <c:v>115.45230552622314</c:v>
                </c:pt>
                <c:pt idx="381">
                  <c:v>119.6133567662566</c:v>
                </c:pt>
                <c:pt idx="382">
                  <c:v>118.55235418130707</c:v>
                </c:pt>
                <c:pt idx="383">
                  <c:v>120.58823529411764</c:v>
                </c:pt>
                <c:pt idx="384">
                  <c:v>121.76678445229683</c:v>
                </c:pt>
                <c:pt idx="385">
                  <c:v>120.94736842105263</c:v>
                </c:pt>
                <c:pt idx="386">
                  <c:v>121.22062434233602</c:v>
                </c:pt>
                <c:pt idx="387">
                  <c:v>117.93893129770991</c:v>
                </c:pt>
                <c:pt idx="388">
                  <c:v>118.53388658367912</c:v>
                </c:pt>
                <c:pt idx="389">
                  <c:v>119.06077348066297</c:v>
                </c:pt>
                <c:pt idx="390">
                  <c:v>118.89464594127806</c:v>
                </c:pt>
                <c:pt idx="391">
                  <c:v>117.20946177579705</c:v>
                </c:pt>
                <c:pt idx="392">
                  <c:v>117.93814432989691</c:v>
                </c:pt>
                <c:pt idx="393">
                  <c:v>119.90358126721763</c:v>
                </c:pt>
                <c:pt idx="394">
                  <c:v>122.43986254295534</c:v>
                </c:pt>
                <c:pt idx="395">
                  <c:v>122.74751627269613</c:v>
                </c:pt>
                <c:pt idx="396">
                  <c:v>122.16104611149345</c:v>
                </c:pt>
              </c:numCache>
            </c:numRef>
          </c:val>
          <c:smooth val="0"/>
          <c:extLst>
            <c:ext xmlns:c16="http://schemas.microsoft.com/office/drawing/2014/chart" uri="{C3380CC4-5D6E-409C-BE32-E72D297353CC}">
              <c16:uniqueId val="{00000000-43B7-4CEB-BF1E-4DF3FD7E2C64}"/>
            </c:ext>
          </c:extLst>
        </c:ser>
        <c:ser>
          <c:idx val="1"/>
          <c:order val="1"/>
          <c:tx>
            <c:v>Petroleum</c:v>
          </c:tx>
          <c:spPr>
            <a:ln w="12700">
              <a:solidFill>
                <a:srgbClr val="FF0000"/>
              </a:solidFill>
            </a:ln>
          </c:spPr>
          <c:marker>
            <c:symbol val="none"/>
          </c:marker>
          <c:cat>
            <c:numRef>
              <c:f>'2.1.2 Prices ONS'!$A$576:$A$983</c:f>
              <c:numCache>
                <c:formatCode>General</c:formatCode>
                <c:ptCount val="408"/>
                <c:pt idx="0">
                  <c:v>1987</c:v>
                </c:pt>
                <c:pt idx="1">
                  <c:v>1987</c:v>
                </c:pt>
                <c:pt idx="2">
                  <c:v>1987</c:v>
                </c:pt>
                <c:pt idx="3">
                  <c:v>1987</c:v>
                </c:pt>
                <c:pt idx="4">
                  <c:v>1987</c:v>
                </c:pt>
                <c:pt idx="5">
                  <c:v>1987</c:v>
                </c:pt>
                <c:pt idx="6">
                  <c:v>1987</c:v>
                </c:pt>
                <c:pt idx="7">
                  <c:v>1987</c:v>
                </c:pt>
                <c:pt idx="8">
                  <c:v>1987</c:v>
                </c:pt>
                <c:pt idx="9">
                  <c:v>1987</c:v>
                </c:pt>
                <c:pt idx="10">
                  <c:v>1987</c:v>
                </c:pt>
                <c:pt idx="11">
                  <c:v>1987</c:v>
                </c:pt>
                <c:pt idx="12">
                  <c:v>1988</c:v>
                </c:pt>
                <c:pt idx="13">
                  <c:v>1988</c:v>
                </c:pt>
                <c:pt idx="14">
                  <c:v>1988</c:v>
                </c:pt>
                <c:pt idx="15">
                  <c:v>1988</c:v>
                </c:pt>
                <c:pt idx="16">
                  <c:v>1988</c:v>
                </c:pt>
                <c:pt idx="17">
                  <c:v>1988</c:v>
                </c:pt>
                <c:pt idx="18">
                  <c:v>1988</c:v>
                </c:pt>
                <c:pt idx="19">
                  <c:v>1988</c:v>
                </c:pt>
                <c:pt idx="20">
                  <c:v>1988</c:v>
                </c:pt>
                <c:pt idx="21">
                  <c:v>1988</c:v>
                </c:pt>
                <c:pt idx="22">
                  <c:v>1988</c:v>
                </c:pt>
                <c:pt idx="23">
                  <c:v>1988</c:v>
                </c:pt>
                <c:pt idx="24">
                  <c:v>1989</c:v>
                </c:pt>
                <c:pt idx="25">
                  <c:v>1989</c:v>
                </c:pt>
                <c:pt idx="26">
                  <c:v>1989</c:v>
                </c:pt>
                <c:pt idx="27">
                  <c:v>1989</c:v>
                </c:pt>
                <c:pt idx="28">
                  <c:v>1989</c:v>
                </c:pt>
                <c:pt idx="29">
                  <c:v>1989</c:v>
                </c:pt>
                <c:pt idx="30">
                  <c:v>1989</c:v>
                </c:pt>
                <c:pt idx="31">
                  <c:v>1989</c:v>
                </c:pt>
                <c:pt idx="32">
                  <c:v>1989</c:v>
                </c:pt>
                <c:pt idx="33">
                  <c:v>1989</c:v>
                </c:pt>
                <c:pt idx="34">
                  <c:v>1989</c:v>
                </c:pt>
                <c:pt idx="35">
                  <c:v>1989</c:v>
                </c:pt>
                <c:pt idx="36">
                  <c:v>1990</c:v>
                </c:pt>
                <c:pt idx="37">
                  <c:v>1990</c:v>
                </c:pt>
                <c:pt idx="38">
                  <c:v>1990</c:v>
                </c:pt>
                <c:pt idx="39">
                  <c:v>1990</c:v>
                </c:pt>
                <c:pt idx="40">
                  <c:v>1990</c:v>
                </c:pt>
                <c:pt idx="41">
                  <c:v>1990</c:v>
                </c:pt>
                <c:pt idx="42">
                  <c:v>1990</c:v>
                </c:pt>
                <c:pt idx="43">
                  <c:v>1990</c:v>
                </c:pt>
                <c:pt idx="44">
                  <c:v>1990</c:v>
                </c:pt>
                <c:pt idx="45">
                  <c:v>1990</c:v>
                </c:pt>
                <c:pt idx="46">
                  <c:v>1990</c:v>
                </c:pt>
                <c:pt idx="47">
                  <c:v>1990</c:v>
                </c:pt>
                <c:pt idx="48">
                  <c:v>1991</c:v>
                </c:pt>
                <c:pt idx="49">
                  <c:v>1991</c:v>
                </c:pt>
                <c:pt idx="50">
                  <c:v>1991</c:v>
                </c:pt>
                <c:pt idx="51">
                  <c:v>1991</c:v>
                </c:pt>
                <c:pt idx="52">
                  <c:v>1991</c:v>
                </c:pt>
                <c:pt idx="53">
                  <c:v>1991</c:v>
                </c:pt>
                <c:pt idx="54">
                  <c:v>1991</c:v>
                </c:pt>
                <c:pt idx="55">
                  <c:v>1991</c:v>
                </c:pt>
                <c:pt idx="56">
                  <c:v>1991</c:v>
                </c:pt>
                <c:pt idx="57">
                  <c:v>1991</c:v>
                </c:pt>
                <c:pt idx="58">
                  <c:v>1991</c:v>
                </c:pt>
                <c:pt idx="59">
                  <c:v>1991</c:v>
                </c:pt>
                <c:pt idx="60">
                  <c:v>1992</c:v>
                </c:pt>
                <c:pt idx="61">
                  <c:v>1992</c:v>
                </c:pt>
                <c:pt idx="62">
                  <c:v>1992</c:v>
                </c:pt>
                <c:pt idx="63">
                  <c:v>1992</c:v>
                </c:pt>
                <c:pt idx="64">
                  <c:v>1992</c:v>
                </c:pt>
                <c:pt idx="65">
                  <c:v>1992</c:v>
                </c:pt>
                <c:pt idx="66">
                  <c:v>1992</c:v>
                </c:pt>
                <c:pt idx="67">
                  <c:v>1992</c:v>
                </c:pt>
                <c:pt idx="68">
                  <c:v>1992</c:v>
                </c:pt>
                <c:pt idx="69">
                  <c:v>1992</c:v>
                </c:pt>
                <c:pt idx="70">
                  <c:v>1992</c:v>
                </c:pt>
                <c:pt idx="71">
                  <c:v>1992</c:v>
                </c:pt>
                <c:pt idx="72">
                  <c:v>1993</c:v>
                </c:pt>
                <c:pt idx="73">
                  <c:v>1993</c:v>
                </c:pt>
                <c:pt idx="74">
                  <c:v>1993</c:v>
                </c:pt>
                <c:pt idx="75">
                  <c:v>1993</c:v>
                </c:pt>
                <c:pt idx="76">
                  <c:v>1993</c:v>
                </c:pt>
                <c:pt idx="77">
                  <c:v>1993</c:v>
                </c:pt>
                <c:pt idx="78">
                  <c:v>1993</c:v>
                </c:pt>
                <c:pt idx="79">
                  <c:v>1993</c:v>
                </c:pt>
                <c:pt idx="80">
                  <c:v>1993</c:v>
                </c:pt>
                <c:pt idx="81">
                  <c:v>1993</c:v>
                </c:pt>
                <c:pt idx="82">
                  <c:v>1993</c:v>
                </c:pt>
                <c:pt idx="83">
                  <c:v>1993</c:v>
                </c:pt>
                <c:pt idx="84">
                  <c:v>1994</c:v>
                </c:pt>
                <c:pt idx="85">
                  <c:v>1994</c:v>
                </c:pt>
                <c:pt idx="86">
                  <c:v>1994</c:v>
                </c:pt>
                <c:pt idx="87">
                  <c:v>1994</c:v>
                </c:pt>
                <c:pt idx="88">
                  <c:v>1994</c:v>
                </c:pt>
                <c:pt idx="89">
                  <c:v>1994</c:v>
                </c:pt>
                <c:pt idx="90">
                  <c:v>1994</c:v>
                </c:pt>
                <c:pt idx="91">
                  <c:v>1994</c:v>
                </c:pt>
                <c:pt idx="92">
                  <c:v>1994</c:v>
                </c:pt>
                <c:pt idx="93">
                  <c:v>1994</c:v>
                </c:pt>
                <c:pt idx="94">
                  <c:v>1994</c:v>
                </c:pt>
                <c:pt idx="95">
                  <c:v>1994</c:v>
                </c:pt>
                <c:pt idx="96">
                  <c:v>1995</c:v>
                </c:pt>
                <c:pt idx="97">
                  <c:v>1995</c:v>
                </c:pt>
                <c:pt idx="98">
                  <c:v>1995</c:v>
                </c:pt>
                <c:pt idx="99">
                  <c:v>1995</c:v>
                </c:pt>
                <c:pt idx="100">
                  <c:v>1995</c:v>
                </c:pt>
                <c:pt idx="101">
                  <c:v>1995</c:v>
                </c:pt>
                <c:pt idx="102">
                  <c:v>1995</c:v>
                </c:pt>
                <c:pt idx="103">
                  <c:v>1995</c:v>
                </c:pt>
                <c:pt idx="104">
                  <c:v>1995</c:v>
                </c:pt>
                <c:pt idx="105">
                  <c:v>1995</c:v>
                </c:pt>
                <c:pt idx="106">
                  <c:v>1995</c:v>
                </c:pt>
                <c:pt idx="107">
                  <c:v>1995</c:v>
                </c:pt>
                <c:pt idx="108">
                  <c:v>1996</c:v>
                </c:pt>
                <c:pt idx="109">
                  <c:v>1996</c:v>
                </c:pt>
                <c:pt idx="110">
                  <c:v>1996</c:v>
                </c:pt>
                <c:pt idx="111">
                  <c:v>1996</c:v>
                </c:pt>
                <c:pt idx="112">
                  <c:v>1996</c:v>
                </c:pt>
                <c:pt idx="113">
                  <c:v>1996</c:v>
                </c:pt>
                <c:pt idx="114">
                  <c:v>1996</c:v>
                </c:pt>
                <c:pt idx="115">
                  <c:v>1996</c:v>
                </c:pt>
                <c:pt idx="116">
                  <c:v>1996</c:v>
                </c:pt>
                <c:pt idx="117">
                  <c:v>1996</c:v>
                </c:pt>
                <c:pt idx="118">
                  <c:v>1996</c:v>
                </c:pt>
                <c:pt idx="119">
                  <c:v>1996</c:v>
                </c:pt>
                <c:pt idx="120">
                  <c:v>1997</c:v>
                </c:pt>
                <c:pt idx="121">
                  <c:v>1997</c:v>
                </c:pt>
                <c:pt idx="122">
                  <c:v>1997</c:v>
                </c:pt>
                <c:pt idx="123">
                  <c:v>1997</c:v>
                </c:pt>
                <c:pt idx="124">
                  <c:v>1997</c:v>
                </c:pt>
                <c:pt idx="125">
                  <c:v>1997</c:v>
                </c:pt>
                <c:pt idx="126">
                  <c:v>1997</c:v>
                </c:pt>
                <c:pt idx="127">
                  <c:v>1997</c:v>
                </c:pt>
                <c:pt idx="128">
                  <c:v>1997</c:v>
                </c:pt>
                <c:pt idx="129">
                  <c:v>1997</c:v>
                </c:pt>
                <c:pt idx="130">
                  <c:v>1997</c:v>
                </c:pt>
                <c:pt idx="131">
                  <c:v>1997</c:v>
                </c:pt>
                <c:pt idx="132">
                  <c:v>1998</c:v>
                </c:pt>
                <c:pt idx="133">
                  <c:v>1998</c:v>
                </c:pt>
                <c:pt idx="134">
                  <c:v>1998</c:v>
                </c:pt>
                <c:pt idx="135">
                  <c:v>1998</c:v>
                </c:pt>
                <c:pt idx="136">
                  <c:v>1998</c:v>
                </c:pt>
                <c:pt idx="137">
                  <c:v>1998</c:v>
                </c:pt>
                <c:pt idx="138">
                  <c:v>1998</c:v>
                </c:pt>
                <c:pt idx="139">
                  <c:v>1998</c:v>
                </c:pt>
                <c:pt idx="140">
                  <c:v>1998</c:v>
                </c:pt>
                <c:pt idx="141">
                  <c:v>1998</c:v>
                </c:pt>
                <c:pt idx="142">
                  <c:v>1998</c:v>
                </c:pt>
                <c:pt idx="143">
                  <c:v>1998</c:v>
                </c:pt>
                <c:pt idx="144">
                  <c:v>1999</c:v>
                </c:pt>
                <c:pt idx="145">
                  <c:v>1999</c:v>
                </c:pt>
                <c:pt idx="146">
                  <c:v>1999</c:v>
                </c:pt>
                <c:pt idx="147">
                  <c:v>1999</c:v>
                </c:pt>
                <c:pt idx="148">
                  <c:v>1999</c:v>
                </c:pt>
                <c:pt idx="149">
                  <c:v>1999</c:v>
                </c:pt>
                <c:pt idx="150">
                  <c:v>1999</c:v>
                </c:pt>
                <c:pt idx="151">
                  <c:v>1999</c:v>
                </c:pt>
                <c:pt idx="152">
                  <c:v>1999</c:v>
                </c:pt>
                <c:pt idx="153">
                  <c:v>1999</c:v>
                </c:pt>
                <c:pt idx="154">
                  <c:v>1999</c:v>
                </c:pt>
                <c:pt idx="155">
                  <c:v>1999</c:v>
                </c:pt>
                <c:pt idx="156">
                  <c:v>2000</c:v>
                </c:pt>
                <c:pt idx="157">
                  <c:v>2000</c:v>
                </c:pt>
                <c:pt idx="158">
                  <c:v>2000</c:v>
                </c:pt>
                <c:pt idx="159">
                  <c:v>2000</c:v>
                </c:pt>
                <c:pt idx="160">
                  <c:v>2000</c:v>
                </c:pt>
                <c:pt idx="161">
                  <c:v>2000</c:v>
                </c:pt>
                <c:pt idx="162">
                  <c:v>2000</c:v>
                </c:pt>
                <c:pt idx="163">
                  <c:v>2000</c:v>
                </c:pt>
                <c:pt idx="164">
                  <c:v>2000</c:v>
                </c:pt>
                <c:pt idx="165">
                  <c:v>2000</c:v>
                </c:pt>
                <c:pt idx="166">
                  <c:v>2000</c:v>
                </c:pt>
                <c:pt idx="167">
                  <c:v>2000</c:v>
                </c:pt>
                <c:pt idx="168">
                  <c:v>2001</c:v>
                </c:pt>
                <c:pt idx="169">
                  <c:v>2001</c:v>
                </c:pt>
                <c:pt idx="170">
                  <c:v>2001</c:v>
                </c:pt>
                <c:pt idx="171">
                  <c:v>2001</c:v>
                </c:pt>
                <c:pt idx="172">
                  <c:v>2001</c:v>
                </c:pt>
                <c:pt idx="173">
                  <c:v>2001</c:v>
                </c:pt>
                <c:pt idx="174">
                  <c:v>2001</c:v>
                </c:pt>
                <c:pt idx="175">
                  <c:v>2001</c:v>
                </c:pt>
                <c:pt idx="176">
                  <c:v>2001</c:v>
                </c:pt>
                <c:pt idx="177">
                  <c:v>2001</c:v>
                </c:pt>
                <c:pt idx="178">
                  <c:v>2001</c:v>
                </c:pt>
                <c:pt idx="179">
                  <c:v>2001</c:v>
                </c:pt>
                <c:pt idx="180">
                  <c:v>2002</c:v>
                </c:pt>
                <c:pt idx="181">
                  <c:v>2002</c:v>
                </c:pt>
                <c:pt idx="182">
                  <c:v>2002</c:v>
                </c:pt>
                <c:pt idx="183">
                  <c:v>2002</c:v>
                </c:pt>
                <c:pt idx="184">
                  <c:v>2002</c:v>
                </c:pt>
                <c:pt idx="185">
                  <c:v>2002</c:v>
                </c:pt>
                <c:pt idx="186">
                  <c:v>2002</c:v>
                </c:pt>
                <c:pt idx="187">
                  <c:v>2002</c:v>
                </c:pt>
                <c:pt idx="188">
                  <c:v>2002</c:v>
                </c:pt>
                <c:pt idx="189">
                  <c:v>2002</c:v>
                </c:pt>
                <c:pt idx="190">
                  <c:v>2002</c:v>
                </c:pt>
                <c:pt idx="191">
                  <c:v>2002</c:v>
                </c:pt>
                <c:pt idx="192">
                  <c:v>2003</c:v>
                </c:pt>
                <c:pt idx="193">
                  <c:v>2003</c:v>
                </c:pt>
                <c:pt idx="194">
                  <c:v>2003</c:v>
                </c:pt>
                <c:pt idx="195">
                  <c:v>2003</c:v>
                </c:pt>
                <c:pt idx="196">
                  <c:v>2003</c:v>
                </c:pt>
                <c:pt idx="197">
                  <c:v>2003</c:v>
                </c:pt>
                <c:pt idx="198">
                  <c:v>2003</c:v>
                </c:pt>
                <c:pt idx="199">
                  <c:v>2003</c:v>
                </c:pt>
                <c:pt idx="200">
                  <c:v>2003</c:v>
                </c:pt>
                <c:pt idx="201">
                  <c:v>2003</c:v>
                </c:pt>
                <c:pt idx="202">
                  <c:v>2003</c:v>
                </c:pt>
                <c:pt idx="203">
                  <c:v>2003</c:v>
                </c:pt>
                <c:pt idx="204">
                  <c:v>2004</c:v>
                </c:pt>
                <c:pt idx="205">
                  <c:v>2004</c:v>
                </c:pt>
                <c:pt idx="206">
                  <c:v>2004</c:v>
                </c:pt>
                <c:pt idx="207">
                  <c:v>2004</c:v>
                </c:pt>
                <c:pt idx="208">
                  <c:v>2004</c:v>
                </c:pt>
                <c:pt idx="209">
                  <c:v>2004</c:v>
                </c:pt>
                <c:pt idx="210">
                  <c:v>2004</c:v>
                </c:pt>
                <c:pt idx="211">
                  <c:v>2004</c:v>
                </c:pt>
                <c:pt idx="212">
                  <c:v>2004</c:v>
                </c:pt>
                <c:pt idx="213">
                  <c:v>2004</c:v>
                </c:pt>
                <c:pt idx="214">
                  <c:v>2004</c:v>
                </c:pt>
                <c:pt idx="215">
                  <c:v>2004</c:v>
                </c:pt>
                <c:pt idx="216">
                  <c:v>2005</c:v>
                </c:pt>
                <c:pt idx="217">
                  <c:v>2005</c:v>
                </c:pt>
                <c:pt idx="218">
                  <c:v>2005</c:v>
                </c:pt>
                <c:pt idx="219">
                  <c:v>2005</c:v>
                </c:pt>
                <c:pt idx="220">
                  <c:v>2005</c:v>
                </c:pt>
                <c:pt idx="221">
                  <c:v>2005</c:v>
                </c:pt>
                <c:pt idx="222">
                  <c:v>2005</c:v>
                </c:pt>
                <c:pt idx="223">
                  <c:v>2005</c:v>
                </c:pt>
                <c:pt idx="224">
                  <c:v>2005</c:v>
                </c:pt>
                <c:pt idx="225">
                  <c:v>2005</c:v>
                </c:pt>
                <c:pt idx="226">
                  <c:v>2005</c:v>
                </c:pt>
                <c:pt idx="227">
                  <c:v>2005</c:v>
                </c:pt>
                <c:pt idx="228">
                  <c:v>2006</c:v>
                </c:pt>
                <c:pt idx="229">
                  <c:v>2006</c:v>
                </c:pt>
                <c:pt idx="230">
                  <c:v>2006</c:v>
                </c:pt>
                <c:pt idx="231">
                  <c:v>2006</c:v>
                </c:pt>
                <c:pt idx="232">
                  <c:v>2006</c:v>
                </c:pt>
                <c:pt idx="233">
                  <c:v>2006</c:v>
                </c:pt>
                <c:pt idx="234">
                  <c:v>2006</c:v>
                </c:pt>
                <c:pt idx="235">
                  <c:v>2006</c:v>
                </c:pt>
                <c:pt idx="236">
                  <c:v>2006</c:v>
                </c:pt>
                <c:pt idx="237">
                  <c:v>2006</c:v>
                </c:pt>
                <c:pt idx="238">
                  <c:v>2006</c:v>
                </c:pt>
                <c:pt idx="239">
                  <c:v>2006</c:v>
                </c:pt>
                <c:pt idx="240">
                  <c:v>2007</c:v>
                </c:pt>
                <c:pt idx="241">
                  <c:v>2007</c:v>
                </c:pt>
                <c:pt idx="242">
                  <c:v>2007</c:v>
                </c:pt>
                <c:pt idx="243">
                  <c:v>2007</c:v>
                </c:pt>
                <c:pt idx="244">
                  <c:v>2007</c:v>
                </c:pt>
                <c:pt idx="245">
                  <c:v>2007</c:v>
                </c:pt>
                <c:pt idx="246">
                  <c:v>2007</c:v>
                </c:pt>
                <c:pt idx="247">
                  <c:v>2007</c:v>
                </c:pt>
                <c:pt idx="248">
                  <c:v>2007</c:v>
                </c:pt>
                <c:pt idx="249">
                  <c:v>2007</c:v>
                </c:pt>
                <c:pt idx="250">
                  <c:v>2007</c:v>
                </c:pt>
                <c:pt idx="251">
                  <c:v>2007</c:v>
                </c:pt>
                <c:pt idx="252">
                  <c:v>2008</c:v>
                </c:pt>
                <c:pt idx="253">
                  <c:v>2008</c:v>
                </c:pt>
                <c:pt idx="254">
                  <c:v>2008</c:v>
                </c:pt>
                <c:pt idx="255">
                  <c:v>2008</c:v>
                </c:pt>
                <c:pt idx="256">
                  <c:v>2008</c:v>
                </c:pt>
                <c:pt idx="257">
                  <c:v>2008</c:v>
                </c:pt>
                <c:pt idx="258">
                  <c:v>2008</c:v>
                </c:pt>
                <c:pt idx="259">
                  <c:v>2008</c:v>
                </c:pt>
                <c:pt idx="260">
                  <c:v>2008</c:v>
                </c:pt>
                <c:pt idx="261">
                  <c:v>2008</c:v>
                </c:pt>
                <c:pt idx="262">
                  <c:v>2008</c:v>
                </c:pt>
                <c:pt idx="263">
                  <c:v>2008</c:v>
                </c:pt>
                <c:pt idx="264">
                  <c:v>2009</c:v>
                </c:pt>
                <c:pt idx="265">
                  <c:v>2009</c:v>
                </c:pt>
                <c:pt idx="266">
                  <c:v>2009</c:v>
                </c:pt>
                <c:pt idx="267">
                  <c:v>2009</c:v>
                </c:pt>
                <c:pt idx="268">
                  <c:v>2009</c:v>
                </c:pt>
                <c:pt idx="269">
                  <c:v>2009</c:v>
                </c:pt>
                <c:pt idx="270">
                  <c:v>2009</c:v>
                </c:pt>
                <c:pt idx="271">
                  <c:v>2009</c:v>
                </c:pt>
                <c:pt idx="272">
                  <c:v>2009</c:v>
                </c:pt>
                <c:pt idx="273">
                  <c:v>2009</c:v>
                </c:pt>
                <c:pt idx="274">
                  <c:v>2009</c:v>
                </c:pt>
                <c:pt idx="275">
                  <c:v>2009</c:v>
                </c:pt>
                <c:pt idx="276">
                  <c:v>2010</c:v>
                </c:pt>
                <c:pt idx="277">
                  <c:v>2010</c:v>
                </c:pt>
                <c:pt idx="278">
                  <c:v>2010</c:v>
                </c:pt>
                <c:pt idx="279">
                  <c:v>2010</c:v>
                </c:pt>
                <c:pt idx="280">
                  <c:v>2010</c:v>
                </c:pt>
                <c:pt idx="281">
                  <c:v>2010</c:v>
                </c:pt>
                <c:pt idx="282">
                  <c:v>2010</c:v>
                </c:pt>
                <c:pt idx="283">
                  <c:v>2010</c:v>
                </c:pt>
                <c:pt idx="284">
                  <c:v>2010</c:v>
                </c:pt>
                <c:pt idx="285">
                  <c:v>2010</c:v>
                </c:pt>
                <c:pt idx="286">
                  <c:v>2010</c:v>
                </c:pt>
                <c:pt idx="287">
                  <c:v>2010</c:v>
                </c:pt>
                <c:pt idx="288">
                  <c:v>2011</c:v>
                </c:pt>
                <c:pt idx="289">
                  <c:v>2011</c:v>
                </c:pt>
                <c:pt idx="290">
                  <c:v>2011</c:v>
                </c:pt>
                <c:pt idx="291">
                  <c:v>2011</c:v>
                </c:pt>
                <c:pt idx="292">
                  <c:v>2011</c:v>
                </c:pt>
                <c:pt idx="293">
                  <c:v>2011</c:v>
                </c:pt>
                <c:pt idx="294">
                  <c:v>2011</c:v>
                </c:pt>
                <c:pt idx="295">
                  <c:v>2011</c:v>
                </c:pt>
                <c:pt idx="296">
                  <c:v>2011</c:v>
                </c:pt>
                <c:pt idx="297">
                  <c:v>2011</c:v>
                </c:pt>
                <c:pt idx="298">
                  <c:v>2011</c:v>
                </c:pt>
                <c:pt idx="299">
                  <c:v>2011</c:v>
                </c:pt>
                <c:pt idx="300">
                  <c:v>2012</c:v>
                </c:pt>
                <c:pt idx="301">
                  <c:v>2012</c:v>
                </c:pt>
                <c:pt idx="302">
                  <c:v>2012</c:v>
                </c:pt>
                <c:pt idx="303">
                  <c:v>2012</c:v>
                </c:pt>
                <c:pt idx="304">
                  <c:v>2012</c:v>
                </c:pt>
                <c:pt idx="305">
                  <c:v>2012</c:v>
                </c:pt>
                <c:pt idx="306">
                  <c:v>2012</c:v>
                </c:pt>
                <c:pt idx="307">
                  <c:v>2012</c:v>
                </c:pt>
                <c:pt idx="308">
                  <c:v>2012</c:v>
                </c:pt>
                <c:pt idx="309">
                  <c:v>2012</c:v>
                </c:pt>
                <c:pt idx="310">
                  <c:v>2012</c:v>
                </c:pt>
                <c:pt idx="311">
                  <c:v>2012</c:v>
                </c:pt>
                <c:pt idx="312">
                  <c:v>2013</c:v>
                </c:pt>
                <c:pt idx="313">
                  <c:v>2013</c:v>
                </c:pt>
                <c:pt idx="314">
                  <c:v>2013</c:v>
                </c:pt>
                <c:pt idx="315">
                  <c:v>2013</c:v>
                </c:pt>
                <c:pt idx="316">
                  <c:v>2013</c:v>
                </c:pt>
                <c:pt idx="317">
                  <c:v>2013</c:v>
                </c:pt>
                <c:pt idx="318">
                  <c:v>2013</c:v>
                </c:pt>
                <c:pt idx="319">
                  <c:v>2013</c:v>
                </c:pt>
                <c:pt idx="320">
                  <c:v>2013</c:v>
                </c:pt>
                <c:pt idx="321">
                  <c:v>2013</c:v>
                </c:pt>
                <c:pt idx="322">
                  <c:v>2013</c:v>
                </c:pt>
                <c:pt idx="323">
                  <c:v>2013</c:v>
                </c:pt>
                <c:pt idx="324">
                  <c:v>2014</c:v>
                </c:pt>
                <c:pt idx="325">
                  <c:v>2014</c:v>
                </c:pt>
                <c:pt idx="326">
                  <c:v>2014</c:v>
                </c:pt>
                <c:pt idx="327">
                  <c:v>2014</c:v>
                </c:pt>
                <c:pt idx="328">
                  <c:v>2014</c:v>
                </c:pt>
                <c:pt idx="329">
                  <c:v>2014</c:v>
                </c:pt>
                <c:pt idx="330">
                  <c:v>2014</c:v>
                </c:pt>
                <c:pt idx="331">
                  <c:v>2014</c:v>
                </c:pt>
                <c:pt idx="332">
                  <c:v>2014</c:v>
                </c:pt>
                <c:pt idx="333">
                  <c:v>2014</c:v>
                </c:pt>
                <c:pt idx="334">
                  <c:v>2014</c:v>
                </c:pt>
                <c:pt idx="335">
                  <c:v>2014</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2016</c:v>
                </c:pt>
                <c:pt idx="349">
                  <c:v>2016</c:v>
                </c:pt>
                <c:pt idx="350">
                  <c:v>2016</c:v>
                </c:pt>
                <c:pt idx="351">
                  <c:v>2016</c:v>
                </c:pt>
                <c:pt idx="352">
                  <c:v>2016</c:v>
                </c:pt>
                <c:pt idx="353">
                  <c:v>2016</c:v>
                </c:pt>
                <c:pt idx="354">
                  <c:v>2016</c:v>
                </c:pt>
                <c:pt idx="355">
                  <c:v>2016</c:v>
                </c:pt>
                <c:pt idx="356">
                  <c:v>2016</c:v>
                </c:pt>
                <c:pt idx="357">
                  <c:v>2016</c:v>
                </c:pt>
                <c:pt idx="358">
                  <c:v>2016</c:v>
                </c:pt>
                <c:pt idx="359">
                  <c:v>2016</c:v>
                </c:pt>
                <c:pt idx="360">
                  <c:v>2017</c:v>
                </c:pt>
                <c:pt idx="361">
                  <c:v>2017</c:v>
                </c:pt>
                <c:pt idx="362">
                  <c:v>2017</c:v>
                </c:pt>
                <c:pt idx="363">
                  <c:v>2017</c:v>
                </c:pt>
                <c:pt idx="364">
                  <c:v>2017</c:v>
                </c:pt>
                <c:pt idx="365">
                  <c:v>2017</c:v>
                </c:pt>
                <c:pt idx="366">
                  <c:v>2017</c:v>
                </c:pt>
                <c:pt idx="367">
                  <c:v>2017</c:v>
                </c:pt>
                <c:pt idx="368">
                  <c:v>2017</c:v>
                </c:pt>
                <c:pt idx="369">
                  <c:v>2017</c:v>
                </c:pt>
                <c:pt idx="370">
                  <c:v>2017</c:v>
                </c:pt>
                <c:pt idx="371">
                  <c:v>2017</c:v>
                </c:pt>
                <c:pt idx="372">
                  <c:v>2018</c:v>
                </c:pt>
                <c:pt idx="373">
                  <c:v>2018</c:v>
                </c:pt>
                <c:pt idx="374">
                  <c:v>2018</c:v>
                </c:pt>
                <c:pt idx="375">
                  <c:v>2018</c:v>
                </c:pt>
                <c:pt idx="376">
                  <c:v>2018</c:v>
                </c:pt>
                <c:pt idx="377">
                  <c:v>2018</c:v>
                </c:pt>
                <c:pt idx="378">
                  <c:v>2018</c:v>
                </c:pt>
                <c:pt idx="379">
                  <c:v>2018</c:v>
                </c:pt>
                <c:pt idx="380">
                  <c:v>2018</c:v>
                </c:pt>
                <c:pt idx="381">
                  <c:v>2018</c:v>
                </c:pt>
                <c:pt idx="382">
                  <c:v>2018</c:v>
                </c:pt>
                <c:pt idx="383">
                  <c:v>2018</c:v>
                </c:pt>
                <c:pt idx="384">
                  <c:v>2019</c:v>
                </c:pt>
                <c:pt idx="385">
                  <c:v>2019</c:v>
                </c:pt>
                <c:pt idx="386">
                  <c:v>2019</c:v>
                </c:pt>
                <c:pt idx="387">
                  <c:v>2019</c:v>
                </c:pt>
                <c:pt idx="388">
                  <c:v>2019</c:v>
                </c:pt>
                <c:pt idx="389">
                  <c:v>2019</c:v>
                </c:pt>
                <c:pt idx="390">
                  <c:v>2019</c:v>
                </c:pt>
                <c:pt idx="391">
                  <c:v>2019</c:v>
                </c:pt>
                <c:pt idx="392">
                  <c:v>2019</c:v>
                </c:pt>
                <c:pt idx="393">
                  <c:v>2019</c:v>
                </c:pt>
                <c:pt idx="394">
                  <c:v>2019</c:v>
                </c:pt>
                <c:pt idx="395">
                  <c:v>2019</c:v>
                </c:pt>
                <c:pt idx="396">
                  <c:v>2020</c:v>
                </c:pt>
                <c:pt idx="397">
                  <c:v>2020</c:v>
                </c:pt>
                <c:pt idx="398">
                  <c:v>2020</c:v>
                </c:pt>
                <c:pt idx="399">
                  <c:v>2020</c:v>
                </c:pt>
                <c:pt idx="400">
                  <c:v>2020</c:v>
                </c:pt>
                <c:pt idx="401">
                  <c:v>2020</c:v>
                </c:pt>
                <c:pt idx="402">
                  <c:v>2020</c:v>
                </c:pt>
                <c:pt idx="403">
                  <c:v>2020</c:v>
                </c:pt>
                <c:pt idx="404">
                  <c:v>2020</c:v>
                </c:pt>
                <c:pt idx="405">
                  <c:v>2020</c:v>
                </c:pt>
                <c:pt idx="406">
                  <c:v>2020</c:v>
                </c:pt>
                <c:pt idx="407">
                  <c:v>2020</c:v>
                </c:pt>
              </c:numCache>
            </c:numRef>
          </c:cat>
          <c:val>
            <c:numRef>
              <c:f>'2.1.2 Prices ONS'!$H$576:$H$983</c:f>
              <c:numCache>
                <c:formatCode>_(* #,##0.0_);_(* \(#,##0.0\);_(* "-"??_);_(@_)</c:formatCode>
                <c:ptCount val="408"/>
                <c:pt idx="0">
                  <c:v>100</c:v>
                </c:pt>
                <c:pt idx="1">
                  <c:v>99.20318725099601</c:v>
                </c:pt>
                <c:pt idx="2">
                  <c:v>95.427435387673967</c:v>
                </c:pt>
                <c:pt idx="3">
                  <c:v>94.695481335952863</c:v>
                </c:pt>
                <c:pt idx="4">
                  <c:v>93.130520117762515</c:v>
                </c:pt>
                <c:pt idx="5">
                  <c:v>95.09322865554465</c:v>
                </c:pt>
                <c:pt idx="6">
                  <c:v>94.204322200392937</c:v>
                </c:pt>
                <c:pt idx="7">
                  <c:v>96.963761018609205</c:v>
                </c:pt>
                <c:pt idx="8">
                  <c:v>95.703125</c:v>
                </c:pt>
                <c:pt idx="9">
                  <c:v>93.877551020408163</c:v>
                </c:pt>
                <c:pt idx="10">
                  <c:v>97.872340425531917</c:v>
                </c:pt>
                <c:pt idx="11">
                  <c:v>95.06292352371733</c:v>
                </c:pt>
                <c:pt idx="12">
                  <c:v>94.191674733785092</c:v>
                </c:pt>
                <c:pt idx="13">
                  <c:v>89.585342333654765</c:v>
                </c:pt>
                <c:pt idx="14">
                  <c:v>85.878962536023067</c:v>
                </c:pt>
                <c:pt idx="15">
                  <c:v>84.593572778827976</c:v>
                </c:pt>
                <c:pt idx="16">
                  <c:v>84.839924670433149</c:v>
                </c:pt>
                <c:pt idx="17">
                  <c:v>83.208255159474675</c:v>
                </c:pt>
                <c:pt idx="18">
                  <c:v>84.254920337394566</c:v>
                </c:pt>
                <c:pt idx="19">
                  <c:v>80.166821130676553</c:v>
                </c:pt>
                <c:pt idx="20">
                  <c:v>77.121771217712165</c:v>
                </c:pt>
                <c:pt idx="21">
                  <c:v>77.168949771689498</c:v>
                </c:pt>
                <c:pt idx="22">
                  <c:v>77.818181818181813</c:v>
                </c:pt>
                <c:pt idx="23">
                  <c:v>80.870353581142339</c:v>
                </c:pt>
                <c:pt idx="24">
                  <c:v>80.450450450450447</c:v>
                </c:pt>
                <c:pt idx="25">
                  <c:v>79.338103756708406</c:v>
                </c:pt>
                <c:pt idx="26">
                  <c:v>81.47818343722173</c:v>
                </c:pt>
                <c:pt idx="27">
                  <c:v>84.251968503937007</c:v>
                </c:pt>
                <c:pt idx="28">
                  <c:v>81.478260869565219</c:v>
                </c:pt>
                <c:pt idx="29">
                  <c:v>78.07625649913345</c:v>
                </c:pt>
                <c:pt idx="30">
                  <c:v>78.701298701298711</c:v>
                </c:pt>
                <c:pt idx="31">
                  <c:v>77.720207253886002</c:v>
                </c:pt>
                <c:pt idx="32">
                  <c:v>81.560891938250421</c:v>
                </c:pt>
                <c:pt idx="33">
                  <c:v>86.723404255319153</c:v>
                </c:pt>
                <c:pt idx="34">
                  <c:v>91.139240506329116</c:v>
                </c:pt>
                <c:pt idx="35">
                  <c:v>95.454545454545453</c:v>
                </c:pt>
                <c:pt idx="36">
                  <c:v>104.18410041841004</c:v>
                </c:pt>
                <c:pt idx="37">
                  <c:v>92.928452579034939</c:v>
                </c:pt>
                <c:pt idx="38">
                  <c:v>86.243822075782532</c:v>
                </c:pt>
                <c:pt idx="39">
                  <c:v>84.412470023980816</c:v>
                </c:pt>
                <c:pt idx="40">
                  <c:v>82.646592709984148</c:v>
                </c:pt>
                <c:pt idx="41">
                  <c:v>79.479084451460153</c:v>
                </c:pt>
                <c:pt idx="42">
                  <c:v>77.287066246056781</c:v>
                </c:pt>
                <c:pt idx="43">
                  <c:v>100.46838407494145</c:v>
                </c:pt>
                <c:pt idx="44">
                  <c:v>108.50734725444701</c:v>
                </c:pt>
                <c:pt idx="45">
                  <c:v>141.21258633921718</c:v>
                </c:pt>
                <c:pt idx="46">
                  <c:v>118.92307692307691</c:v>
                </c:pt>
                <c:pt idx="47">
                  <c:v>108.16012317167052</c:v>
                </c:pt>
                <c:pt idx="48">
                  <c:v>114.28571428571431</c:v>
                </c:pt>
                <c:pt idx="49">
                  <c:v>110.92436974789915</c:v>
                </c:pt>
                <c:pt idx="50">
                  <c:v>90.563165905631664</c:v>
                </c:pt>
                <c:pt idx="51">
                  <c:v>84.973703981968441</c:v>
                </c:pt>
                <c:pt idx="52">
                  <c:v>86.591760299625463</c:v>
                </c:pt>
                <c:pt idx="53">
                  <c:v>85.085756897837442</c:v>
                </c:pt>
                <c:pt idx="54">
                  <c:v>83.333333333333329</c:v>
                </c:pt>
                <c:pt idx="55">
                  <c:v>83.892617449664428</c:v>
                </c:pt>
                <c:pt idx="56">
                  <c:v>86.627043090638935</c:v>
                </c:pt>
                <c:pt idx="57">
                  <c:v>85.41820873427092</c:v>
                </c:pt>
                <c:pt idx="58">
                  <c:v>86.799410029498532</c:v>
                </c:pt>
                <c:pt idx="59">
                  <c:v>81.50331613854091</c:v>
                </c:pt>
                <c:pt idx="60">
                  <c:v>77.064896755162252</c:v>
                </c:pt>
                <c:pt idx="61">
                  <c:v>78.283198826118849</c:v>
                </c:pt>
                <c:pt idx="62">
                  <c:v>75.713240673006581</c:v>
                </c:pt>
                <c:pt idx="63">
                  <c:v>74.207492795389044</c:v>
                </c:pt>
                <c:pt idx="64">
                  <c:v>74.515434314429285</c:v>
                </c:pt>
                <c:pt idx="65">
                  <c:v>74.084709260588653</c:v>
                </c:pt>
                <c:pt idx="66">
                  <c:v>74.49567723342939</c:v>
                </c:pt>
                <c:pt idx="67">
                  <c:v>72.570194384449238</c:v>
                </c:pt>
                <c:pt idx="68">
                  <c:v>70.51649928263987</c:v>
                </c:pt>
                <c:pt idx="69">
                  <c:v>79.12794853466761</c:v>
                </c:pt>
                <c:pt idx="70">
                  <c:v>83.536148890479609</c:v>
                </c:pt>
                <c:pt idx="71">
                  <c:v>81.537356321839084</c:v>
                </c:pt>
                <c:pt idx="72">
                  <c:v>82.6686004350979</c:v>
                </c:pt>
                <c:pt idx="73">
                  <c:v>82.27665706051873</c:v>
                </c:pt>
                <c:pt idx="74">
                  <c:v>84.350323043790382</c:v>
                </c:pt>
                <c:pt idx="75">
                  <c:v>81.436699857752487</c:v>
                </c:pt>
                <c:pt idx="76">
                  <c:v>80.297661233167972</c:v>
                </c:pt>
                <c:pt idx="77">
                  <c:v>78.723404255319153</c:v>
                </c:pt>
                <c:pt idx="78">
                  <c:v>78.251599147121539</c:v>
                </c:pt>
                <c:pt idx="79">
                  <c:v>76.43312101910827</c:v>
                </c:pt>
                <c:pt idx="80">
                  <c:v>76.391825229034524</c:v>
                </c:pt>
                <c:pt idx="81">
                  <c:v>79.337094499294778</c:v>
                </c:pt>
                <c:pt idx="82">
                  <c:v>79.166666666666657</c:v>
                </c:pt>
                <c:pt idx="83">
                  <c:v>78.224101479915433</c:v>
                </c:pt>
                <c:pt idx="84">
                  <c:v>77.070063694267503</c:v>
                </c:pt>
                <c:pt idx="85">
                  <c:v>75.299085151301909</c:v>
                </c:pt>
                <c:pt idx="86">
                  <c:v>74.666666666666671</c:v>
                </c:pt>
                <c:pt idx="87">
                  <c:v>80.443828016643565</c:v>
                </c:pt>
                <c:pt idx="88">
                  <c:v>80.165860400829303</c:v>
                </c:pt>
                <c:pt idx="89">
                  <c:v>79.060124395300633</c:v>
                </c:pt>
                <c:pt idx="90">
                  <c:v>79.027777777777771</c:v>
                </c:pt>
                <c:pt idx="91">
                  <c:v>78.714581893572927</c:v>
                </c:pt>
                <c:pt idx="92">
                  <c:v>78.068965517241381</c:v>
                </c:pt>
                <c:pt idx="93">
                  <c:v>78.030303030303045</c:v>
                </c:pt>
                <c:pt idx="94">
                  <c:v>77.701307639366817</c:v>
                </c:pt>
                <c:pt idx="95">
                  <c:v>76.575342465753423</c:v>
                </c:pt>
                <c:pt idx="96">
                  <c:v>76.575342465753423</c:v>
                </c:pt>
                <c:pt idx="97">
                  <c:v>75.90197413206262</c:v>
                </c:pt>
                <c:pt idx="98">
                  <c:v>75.389830508474574</c:v>
                </c:pt>
                <c:pt idx="99">
                  <c:v>75.369127516778519</c:v>
                </c:pt>
                <c:pt idx="100">
                  <c:v>74.799465240641723</c:v>
                </c:pt>
                <c:pt idx="101">
                  <c:v>74.499332443257671</c:v>
                </c:pt>
                <c:pt idx="102">
                  <c:v>74.714956405097254</c:v>
                </c:pt>
                <c:pt idx="103">
                  <c:v>74.316210807204811</c:v>
                </c:pt>
                <c:pt idx="104">
                  <c:v>75.365205843293495</c:v>
                </c:pt>
                <c:pt idx="105">
                  <c:v>74.699599465954606</c:v>
                </c:pt>
                <c:pt idx="106">
                  <c:v>75.30040053404538</c:v>
                </c:pt>
                <c:pt idx="107">
                  <c:v>76.775049767750502</c:v>
                </c:pt>
                <c:pt idx="108">
                  <c:v>78.961384820239672</c:v>
                </c:pt>
                <c:pt idx="109">
                  <c:v>77.932405566600394</c:v>
                </c:pt>
                <c:pt idx="110">
                  <c:v>79.471947194719476</c:v>
                </c:pt>
                <c:pt idx="111">
                  <c:v>80.799475753604199</c:v>
                </c:pt>
                <c:pt idx="112">
                  <c:v>76.913015042511432</c:v>
                </c:pt>
                <c:pt idx="113">
                  <c:v>75.620915032679733</c:v>
                </c:pt>
                <c:pt idx="114">
                  <c:v>76.771653543307082</c:v>
                </c:pt>
                <c:pt idx="115">
                  <c:v>76.943174395819725</c:v>
                </c:pt>
                <c:pt idx="116">
                  <c:v>84.590377113133925</c:v>
                </c:pt>
                <c:pt idx="117">
                  <c:v>91.612483745123527</c:v>
                </c:pt>
                <c:pt idx="118">
                  <c:v>84.275503573749177</c:v>
                </c:pt>
                <c:pt idx="119">
                  <c:v>87.176165803108802</c:v>
                </c:pt>
                <c:pt idx="120">
                  <c:v>87.629533678756474</c:v>
                </c:pt>
                <c:pt idx="121">
                  <c:v>83.741935483870975</c:v>
                </c:pt>
                <c:pt idx="122">
                  <c:v>79.086229086229082</c:v>
                </c:pt>
                <c:pt idx="123">
                  <c:v>76.263595649392187</c:v>
                </c:pt>
                <c:pt idx="124">
                  <c:v>76.03569152326321</c:v>
                </c:pt>
                <c:pt idx="125">
                  <c:v>74.666666666666657</c:v>
                </c:pt>
                <c:pt idx="126">
                  <c:v>72.888888888888886</c:v>
                </c:pt>
                <c:pt idx="127">
                  <c:v>74.13249211356468</c:v>
                </c:pt>
                <c:pt idx="128">
                  <c:v>72.755806654111737</c:v>
                </c:pt>
                <c:pt idx="129">
                  <c:v>74.231974921630098</c:v>
                </c:pt>
                <c:pt idx="130">
                  <c:v>74.122807017543863</c:v>
                </c:pt>
                <c:pt idx="131">
                  <c:v>72.625</c:v>
                </c:pt>
                <c:pt idx="132">
                  <c:v>69.592476489028215</c:v>
                </c:pt>
                <c:pt idx="133">
                  <c:v>66.313162819713028</c:v>
                </c:pt>
                <c:pt idx="134">
                  <c:v>63.184079601990042</c:v>
                </c:pt>
                <c:pt idx="135">
                  <c:v>62.730627306273071</c:v>
                </c:pt>
                <c:pt idx="136">
                  <c:v>62.691131498470952</c:v>
                </c:pt>
                <c:pt idx="137">
                  <c:v>61.260709914320678</c:v>
                </c:pt>
                <c:pt idx="138">
                  <c:v>60.061349693251543</c:v>
                </c:pt>
                <c:pt idx="139">
                  <c:v>58.949297495418449</c:v>
                </c:pt>
                <c:pt idx="140">
                  <c:v>60.21897810218978</c:v>
                </c:pt>
                <c:pt idx="141">
                  <c:v>61.519756838905778</c:v>
                </c:pt>
                <c:pt idx="142">
                  <c:v>60.036496350364963</c:v>
                </c:pt>
                <c:pt idx="143">
                  <c:v>56.995133819951334</c:v>
                </c:pt>
                <c:pt idx="144">
                  <c:v>57.955936352509177</c:v>
                </c:pt>
                <c:pt idx="145">
                  <c:v>57.483200977397672</c:v>
                </c:pt>
                <c:pt idx="146">
                  <c:v>59.414990859232176</c:v>
                </c:pt>
                <c:pt idx="147">
                  <c:v>63.559322033898312</c:v>
                </c:pt>
                <c:pt idx="148">
                  <c:v>62.922705314009661</c:v>
                </c:pt>
                <c:pt idx="149">
                  <c:v>62.922705314009661</c:v>
                </c:pt>
                <c:pt idx="150">
                  <c:v>69.473046638400973</c:v>
                </c:pt>
                <c:pt idx="151">
                  <c:v>70.392749244712988</c:v>
                </c:pt>
                <c:pt idx="152">
                  <c:v>74.007220216606513</c:v>
                </c:pt>
                <c:pt idx="153">
                  <c:v>74.89489489489489</c:v>
                </c:pt>
                <c:pt idx="154">
                  <c:v>78.164367126574703</c:v>
                </c:pt>
                <c:pt idx="155">
                  <c:v>87.148834429169156</c:v>
                </c:pt>
                <c:pt idx="156">
                  <c:v>85.954381752701082</c:v>
                </c:pt>
                <c:pt idx="157">
                  <c:v>85.850746268656721</c:v>
                </c:pt>
                <c:pt idx="158">
                  <c:v>87.173396674584325</c:v>
                </c:pt>
                <c:pt idx="159">
                  <c:v>84.832451499118179</c:v>
                </c:pt>
                <c:pt idx="160">
                  <c:v>83.245459871118925</c:v>
                </c:pt>
                <c:pt idx="161">
                  <c:v>84.570426651081235</c:v>
                </c:pt>
                <c:pt idx="162">
                  <c:v>90.322580645161281</c:v>
                </c:pt>
                <c:pt idx="163">
                  <c:v>90.850439882697955</c:v>
                </c:pt>
                <c:pt idx="164">
                  <c:v>105.88235294117649</c:v>
                </c:pt>
                <c:pt idx="165">
                  <c:v>110.60606060606062</c:v>
                </c:pt>
                <c:pt idx="166">
                  <c:v>104.82277745496805</c:v>
                </c:pt>
                <c:pt idx="167">
                  <c:v>101.10336817653891</c:v>
                </c:pt>
                <c:pt idx="168">
                  <c:v>93.220338983050851</c:v>
                </c:pt>
                <c:pt idx="169">
                  <c:v>93.720930232558132</c:v>
                </c:pt>
                <c:pt idx="170">
                  <c:v>91.463414634146346</c:v>
                </c:pt>
                <c:pt idx="171">
                  <c:v>88.908145580589263</c:v>
                </c:pt>
                <c:pt idx="172">
                  <c:v>91.216991963260625</c:v>
                </c:pt>
                <c:pt idx="173">
                  <c:v>91.227064220183479</c:v>
                </c:pt>
                <c:pt idx="174">
                  <c:v>88.978649740334674</c:v>
                </c:pt>
                <c:pt idx="175">
                  <c:v>86.781609195402297</c:v>
                </c:pt>
                <c:pt idx="176">
                  <c:v>97.995418098510882</c:v>
                </c:pt>
                <c:pt idx="177">
                  <c:v>85.599541021227751</c:v>
                </c:pt>
                <c:pt idx="178">
                  <c:v>80.357142857142861</c:v>
                </c:pt>
                <c:pt idx="179">
                  <c:v>77.104959630911168</c:v>
                </c:pt>
                <c:pt idx="180">
                  <c:v>79.5729948066936</c:v>
                </c:pt>
                <c:pt idx="181">
                  <c:v>77.330264672036819</c:v>
                </c:pt>
                <c:pt idx="182">
                  <c:v>80.859598853868192</c:v>
                </c:pt>
                <c:pt idx="183">
                  <c:v>83.039271485486637</c:v>
                </c:pt>
                <c:pt idx="184">
                  <c:v>82.973893303064699</c:v>
                </c:pt>
                <c:pt idx="185">
                  <c:v>81.157775255391613</c:v>
                </c:pt>
                <c:pt idx="186">
                  <c:v>80.272882319499701</c:v>
                </c:pt>
                <c:pt idx="187">
                  <c:v>79.195011337868465</c:v>
                </c:pt>
                <c:pt idx="188">
                  <c:v>87.387387387387378</c:v>
                </c:pt>
                <c:pt idx="189">
                  <c:v>88.58909499718942</c:v>
                </c:pt>
                <c:pt idx="190">
                  <c:v>81.313131313131322</c:v>
                </c:pt>
                <c:pt idx="191">
                  <c:v>88.683473389355754</c:v>
                </c:pt>
                <c:pt idx="192">
                  <c:v>92.488789237668158</c:v>
                </c:pt>
                <c:pt idx="193">
                  <c:v>104.01561628555494</c:v>
                </c:pt>
                <c:pt idx="194">
                  <c:v>106.05892162312396</c:v>
                </c:pt>
                <c:pt idx="195">
                  <c:v>85.264900662251662</c:v>
                </c:pt>
                <c:pt idx="196">
                  <c:v>81.542699724517902</c:v>
                </c:pt>
                <c:pt idx="197">
                  <c:v>80.584666298952001</c:v>
                </c:pt>
                <c:pt idx="198">
                  <c:v>82.294539437396566</c:v>
                </c:pt>
                <c:pt idx="199">
                  <c:v>84.581497797356832</c:v>
                </c:pt>
                <c:pt idx="200">
                  <c:v>83.397260273972591</c:v>
                </c:pt>
                <c:pt idx="201">
                  <c:v>88.335158817086537</c:v>
                </c:pt>
                <c:pt idx="202">
                  <c:v>87.958401751505193</c:v>
                </c:pt>
                <c:pt idx="203">
                  <c:v>90.626702997275217</c:v>
                </c:pt>
                <c:pt idx="204">
                  <c:v>89.787001638448942</c:v>
                </c:pt>
                <c:pt idx="205">
                  <c:v>87.867247007616967</c:v>
                </c:pt>
                <c:pt idx="206">
                  <c:v>88.244853737811496</c:v>
                </c:pt>
                <c:pt idx="207">
                  <c:v>92.891760904684986</c:v>
                </c:pt>
                <c:pt idx="208">
                  <c:v>97.801608579088466</c:v>
                </c:pt>
                <c:pt idx="209">
                  <c:v>93.361884368308353</c:v>
                </c:pt>
                <c:pt idx="210">
                  <c:v>95.128479657387572</c:v>
                </c:pt>
                <c:pt idx="211">
                  <c:v>101.6008537886873</c:v>
                </c:pt>
                <c:pt idx="212">
                  <c:v>104.94417862838917</c:v>
                </c:pt>
                <c:pt idx="213">
                  <c:v>115.37645811240722</c:v>
                </c:pt>
                <c:pt idx="214">
                  <c:v>108.8888888888889</c:v>
                </c:pt>
                <c:pt idx="215">
                  <c:v>102.36966824644549</c:v>
                </c:pt>
                <c:pt idx="216">
                  <c:v>103.97035468501852</c:v>
                </c:pt>
                <c:pt idx="217">
                  <c:v>103.9029535864979</c:v>
                </c:pt>
                <c:pt idx="218">
                  <c:v>114.8031496062992</c:v>
                </c:pt>
                <c:pt idx="219">
                  <c:v>117.53653444676408</c:v>
                </c:pt>
                <c:pt idx="220">
                  <c:v>111.92708333333334</c:v>
                </c:pt>
                <c:pt idx="221">
                  <c:v>120.7075962539022</c:v>
                </c:pt>
                <c:pt idx="222">
                  <c:v>127.67950052029138</c:v>
                </c:pt>
                <c:pt idx="223">
                  <c:v>133.80062305295951</c:v>
                </c:pt>
                <c:pt idx="224">
                  <c:v>135.8363542206111</c:v>
                </c:pt>
                <c:pt idx="225">
                  <c:v>140.76564924987068</c:v>
                </c:pt>
                <c:pt idx="226">
                  <c:v>127.84090909090911</c:v>
                </c:pt>
                <c:pt idx="227">
                  <c:v>131.32405976300876</c:v>
                </c:pt>
                <c:pt idx="228">
                  <c:v>135.26370217166493</c:v>
                </c:pt>
                <c:pt idx="229">
                  <c:v>137.07518022657055</c:v>
                </c:pt>
                <c:pt idx="230">
                  <c:v>137.69230769230768</c:v>
                </c:pt>
                <c:pt idx="231">
                  <c:v>140.15267175572518</c:v>
                </c:pt>
                <c:pt idx="232">
                  <c:v>140.11127971674256</c:v>
                </c:pt>
                <c:pt idx="233">
                  <c:v>139.34508816120908</c:v>
                </c:pt>
                <c:pt idx="234">
                  <c:v>143.77833753148616</c:v>
                </c:pt>
                <c:pt idx="235">
                  <c:v>140.56224899598396</c:v>
                </c:pt>
                <c:pt idx="236">
                  <c:v>133.5832083958021</c:v>
                </c:pt>
                <c:pt idx="237">
                  <c:v>124.40119760479043</c:v>
                </c:pt>
                <c:pt idx="238">
                  <c:v>119.34361014420686</c:v>
                </c:pt>
                <c:pt idx="239">
                  <c:v>123.03897385298472</c:v>
                </c:pt>
                <c:pt idx="240">
                  <c:v>116.66666666666667</c:v>
                </c:pt>
                <c:pt idx="241">
                  <c:v>118.21762678483505</c:v>
                </c:pt>
                <c:pt idx="242">
                  <c:v>120.8904109589041</c:v>
                </c:pt>
                <c:pt idx="243">
                  <c:v>124.68354430379746</c:v>
                </c:pt>
                <c:pt idx="244">
                  <c:v>123.71483996120271</c:v>
                </c:pt>
                <c:pt idx="245">
                  <c:v>125.61505065123009</c:v>
                </c:pt>
                <c:pt idx="246">
                  <c:v>129.59728287239204</c:v>
                </c:pt>
                <c:pt idx="247">
                  <c:v>126.57983598649298</c:v>
                </c:pt>
                <c:pt idx="248">
                  <c:v>132.83653846153845</c:v>
                </c:pt>
                <c:pt idx="249">
                  <c:v>136.57252273815223</c:v>
                </c:pt>
                <c:pt idx="250">
                  <c:v>152.16976633285648</c:v>
                </c:pt>
                <c:pt idx="251">
                  <c:v>151.9203413940256</c:v>
                </c:pt>
                <c:pt idx="252">
                  <c:v>159.86653956148712</c:v>
                </c:pt>
                <c:pt idx="253">
                  <c:v>158.98770104068117</c:v>
                </c:pt>
                <c:pt idx="254">
                  <c:v>176.70909948137671</c:v>
                </c:pt>
                <c:pt idx="255">
                  <c:v>190.70093457943926</c:v>
                </c:pt>
                <c:pt idx="256">
                  <c:v>203.44026034402606</c:v>
                </c:pt>
                <c:pt idx="257">
                  <c:v>209.2712177121771</c:v>
                </c:pt>
                <c:pt idx="258">
                  <c:v>220.69284064665129</c:v>
                </c:pt>
                <c:pt idx="259">
                  <c:v>191.39042357274403</c:v>
                </c:pt>
                <c:pt idx="260">
                  <c:v>186.17216117216117</c:v>
                </c:pt>
                <c:pt idx="261">
                  <c:v>166.10013780431788</c:v>
                </c:pt>
                <c:pt idx="262">
                  <c:v>156.5277777777778</c:v>
                </c:pt>
                <c:pt idx="263">
                  <c:v>145.13856270549553</c:v>
                </c:pt>
                <c:pt idx="264">
                  <c:v>145.2641599238458</c:v>
                </c:pt>
                <c:pt idx="265">
                  <c:v>137.74834437086093</c:v>
                </c:pt>
                <c:pt idx="266">
                  <c:v>126.31329862754377</c:v>
                </c:pt>
                <c:pt idx="267">
                  <c:v>132.15130023640663</c:v>
                </c:pt>
                <c:pt idx="268">
                  <c:v>131.57894736842104</c:v>
                </c:pt>
                <c:pt idx="269">
                  <c:v>142.97094657919399</c:v>
                </c:pt>
                <c:pt idx="270">
                  <c:v>129.80318650421742</c:v>
                </c:pt>
                <c:pt idx="271">
                  <c:v>141.6044776119403</c:v>
                </c:pt>
                <c:pt idx="272">
                  <c:v>138.08639108221087</c:v>
                </c:pt>
                <c:pt idx="273">
                  <c:v>145.37037037037038</c:v>
                </c:pt>
                <c:pt idx="274">
                  <c:v>148.43028624192061</c:v>
                </c:pt>
                <c:pt idx="275">
                  <c:v>150.22935779816513</c:v>
                </c:pt>
                <c:pt idx="276">
                  <c:v>177.83386874713173</c:v>
                </c:pt>
                <c:pt idx="277">
                  <c:v>157.93795620437956</c:v>
                </c:pt>
                <c:pt idx="278">
                  <c:v>166.19845944721342</c:v>
                </c:pt>
                <c:pt idx="279">
                  <c:v>170.51166965888686</c:v>
                </c:pt>
                <c:pt idx="280">
                  <c:v>169.94633273703042</c:v>
                </c:pt>
                <c:pt idx="281">
                  <c:v>164.74788041053102</c:v>
                </c:pt>
                <c:pt idx="282">
                  <c:v>162.83542039355993</c:v>
                </c:pt>
                <c:pt idx="283">
                  <c:v>161.82628062360803</c:v>
                </c:pt>
                <c:pt idx="284">
                  <c:v>160.89658233466488</c:v>
                </c:pt>
                <c:pt idx="285">
                  <c:v>165.72187776793621</c:v>
                </c:pt>
                <c:pt idx="286">
                  <c:v>169.66490299823633</c:v>
                </c:pt>
                <c:pt idx="287">
                  <c:v>206.43607705779331</c:v>
                </c:pt>
                <c:pt idx="288">
                  <c:v>205.10917030567683</c:v>
                </c:pt>
                <c:pt idx="289">
                  <c:v>195.41720709035883</c:v>
                </c:pt>
                <c:pt idx="290">
                  <c:v>208.98924731182797</c:v>
                </c:pt>
                <c:pt idx="291">
                  <c:v>214.54778156996585</c:v>
                </c:pt>
                <c:pt idx="292">
                  <c:v>199.91496598639455</c:v>
                </c:pt>
                <c:pt idx="293">
                  <c:v>204.42176870748301</c:v>
                </c:pt>
                <c:pt idx="294">
                  <c:v>199.4034938219003</c:v>
                </c:pt>
                <c:pt idx="295">
                  <c:v>191.91020753917834</c:v>
                </c:pt>
                <c:pt idx="296">
                  <c:v>195.3762084909626</c:v>
                </c:pt>
                <c:pt idx="297">
                  <c:v>194.57983193277312</c:v>
                </c:pt>
                <c:pt idx="298">
                  <c:v>204.44444444444449</c:v>
                </c:pt>
                <c:pt idx="299">
                  <c:v>204.38596491228068</c:v>
                </c:pt>
                <c:pt idx="300">
                  <c:v>205.92436974789919</c:v>
                </c:pt>
                <c:pt idx="301">
                  <c:v>207.71154647769902</c:v>
                </c:pt>
                <c:pt idx="302">
                  <c:v>209.88372093023253</c:v>
                </c:pt>
                <c:pt idx="303">
                  <c:v>206.22680412371136</c:v>
                </c:pt>
                <c:pt idx="304">
                  <c:v>196.53465346534654</c:v>
                </c:pt>
                <c:pt idx="305">
                  <c:v>184.16046319272127</c:v>
                </c:pt>
                <c:pt idx="306">
                  <c:v>187.64973151590252</c:v>
                </c:pt>
                <c:pt idx="307">
                  <c:v>198.06584362139918</c:v>
                </c:pt>
                <c:pt idx="308">
                  <c:v>201.76085176085175</c:v>
                </c:pt>
                <c:pt idx="309">
                  <c:v>202.48371335504888</c:v>
                </c:pt>
                <c:pt idx="310">
                  <c:v>198.53420195439742</c:v>
                </c:pt>
                <c:pt idx="311">
                  <c:v>206.28038897893032</c:v>
                </c:pt>
                <c:pt idx="312">
                  <c:v>203.21399511798211</c:v>
                </c:pt>
                <c:pt idx="313">
                  <c:v>212.64135702746367</c:v>
                </c:pt>
                <c:pt idx="314">
                  <c:v>209.52955367913151</c:v>
                </c:pt>
                <c:pt idx="315">
                  <c:v>199.27855711422845</c:v>
                </c:pt>
                <c:pt idx="316">
                  <c:v>188</c:v>
                </c:pt>
                <c:pt idx="317">
                  <c:v>187.82539046856229</c:v>
                </c:pt>
                <c:pt idx="318">
                  <c:v>191.79014817781336</c:v>
                </c:pt>
                <c:pt idx="319">
                  <c:v>190.91633466135457</c:v>
                </c:pt>
                <c:pt idx="320">
                  <c:v>194.00555776101626</c:v>
                </c:pt>
                <c:pt idx="321">
                  <c:v>189.12266772528781</c:v>
                </c:pt>
                <c:pt idx="322">
                  <c:v>186.03728679095596</c:v>
                </c:pt>
                <c:pt idx="323">
                  <c:v>189.46329913180742</c:v>
                </c:pt>
                <c:pt idx="324">
                  <c:v>187.88598574821853</c:v>
                </c:pt>
                <c:pt idx="325">
                  <c:v>186.93941778127459</c:v>
                </c:pt>
                <c:pt idx="326">
                  <c:v>181.90737833594977</c:v>
                </c:pt>
                <c:pt idx="327">
                  <c:v>178.76417676965195</c:v>
                </c:pt>
                <c:pt idx="328">
                  <c:v>176.82688550214925</c:v>
                </c:pt>
                <c:pt idx="329">
                  <c:v>175.53648068669528</c:v>
                </c:pt>
                <c:pt idx="330">
                  <c:v>174.4140625</c:v>
                </c:pt>
                <c:pt idx="331">
                  <c:v>173.92996108949416</c:v>
                </c:pt>
                <c:pt idx="332">
                  <c:v>171.35093167701859</c:v>
                </c:pt>
                <c:pt idx="333">
                  <c:v>164.14435389988361</c:v>
                </c:pt>
                <c:pt idx="334">
                  <c:v>162.81602489303773</c:v>
                </c:pt>
                <c:pt idx="335">
                  <c:v>151.45631067961165</c:v>
                </c:pt>
                <c:pt idx="336">
                  <c:v>136.4526233359436</c:v>
                </c:pt>
                <c:pt idx="337">
                  <c:v>141.72185430463577</c:v>
                </c:pt>
                <c:pt idx="338">
                  <c:v>137.92298716452743</c:v>
                </c:pt>
                <c:pt idx="339">
                  <c:v>137.09302325581393</c:v>
                </c:pt>
                <c:pt idx="340">
                  <c:v>138.6073500967118</c:v>
                </c:pt>
                <c:pt idx="341">
                  <c:v>135.45770567786789</c:v>
                </c:pt>
                <c:pt idx="342">
                  <c:v>130.89713843774166</c:v>
                </c:pt>
                <c:pt idx="343">
                  <c:v>118.12933025404155</c:v>
                </c:pt>
                <c:pt idx="344">
                  <c:v>119.8382126348228</c:v>
                </c:pt>
                <c:pt idx="345">
                  <c:v>119.84585741811176</c:v>
                </c:pt>
                <c:pt idx="346">
                  <c:v>116.39722863741338</c:v>
                </c:pt>
                <c:pt idx="347">
                  <c:v>108.59554873369149</c:v>
                </c:pt>
                <c:pt idx="348">
                  <c:v>101.66151468315302</c:v>
                </c:pt>
                <c:pt idx="349">
                  <c:v>97.730769230769226</c:v>
                </c:pt>
                <c:pt idx="350">
                  <c:v>103.79165070854077</c:v>
                </c:pt>
                <c:pt idx="351">
                  <c:v>105.58530986993115</c:v>
                </c:pt>
                <c:pt idx="352">
                  <c:v>110.95001907668829</c:v>
                </c:pt>
                <c:pt idx="353">
                  <c:v>118.35803876852906</c:v>
                </c:pt>
                <c:pt idx="354">
                  <c:v>118.52695520121488</c:v>
                </c:pt>
                <c:pt idx="355">
                  <c:v>116.1875945537065</c:v>
                </c:pt>
                <c:pt idx="356">
                  <c:v>120.34730086825218</c:v>
                </c:pt>
                <c:pt idx="357">
                  <c:v>135.00755287009062</c:v>
                </c:pt>
                <c:pt idx="358">
                  <c:v>129.83050847457628</c:v>
                </c:pt>
                <c:pt idx="359">
                  <c:v>138.97416697865964</c:v>
                </c:pt>
                <c:pt idx="360">
                  <c:v>148.09792843691147</c:v>
                </c:pt>
                <c:pt idx="361">
                  <c:v>144.74664679582713</c:v>
                </c:pt>
                <c:pt idx="362">
                  <c:v>138.61864092090605</c:v>
                </c:pt>
                <c:pt idx="363">
                  <c:v>138.17442719881743</c:v>
                </c:pt>
                <c:pt idx="364">
                  <c:v>130.14354066985646</c:v>
                </c:pt>
                <c:pt idx="365">
                  <c:v>128.05728975394783</c:v>
                </c:pt>
                <c:pt idx="366">
                  <c:v>127.18944668376697</c:v>
                </c:pt>
                <c:pt idx="367">
                  <c:v>130.72442664725156</c:v>
                </c:pt>
                <c:pt idx="368">
                  <c:v>134.67829880043621</c:v>
                </c:pt>
                <c:pt idx="369">
                  <c:v>135.74282600799128</c:v>
                </c:pt>
                <c:pt idx="370">
                  <c:v>145.25018129079044</c:v>
                </c:pt>
                <c:pt idx="371">
                  <c:v>153.07443365695792</c:v>
                </c:pt>
                <c:pt idx="372">
                  <c:v>157.42753623188406</c:v>
                </c:pt>
                <c:pt idx="373">
                  <c:v>154.33297375044944</c:v>
                </c:pt>
                <c:pt idx="374">
                  <c:v>160.76176787639235</c:v>
                </c:pt>
                <c:pt idx="375">
                  <c:v>160.45763317840544</c:v>
                </c:pt>
                <c:pt idx="376">
                  <c:v>164.58852867830424</c:v>
                </c:pt>
                <c:pt idx="377">
                  <c:v>162.80639431616342</c:v>
                </c:pt>
                <c:pt idx="378">
                  <c:v>160.17039403620873</c:v>
                </c:pt>
                <c:pt idx="379">
                  <c:v>160.30964109781846</c:v>
                </c:pt>
                <c:pt idx="380">
                  <c:v>166.91305878211895</c:v>
                </c:pt>
                <c:pt idx="381">
                  <c:v>177.60984182776804</c:v>
                </c:pt>
                <c:pt idx="382">
                  <c:v>169.11454673225577</c:v>
                </c:pt>
                <c:pt idx="383">
                  <c:v>159.69887955182071</c:v>
                </c:pt>
                <c:pt idx="384">
                  <c:v>156.36042402826854</c:v>
                </c:pt>
                <c:pt idx="385">
                  <c:v>158.17543859649123</c:v>
                </c:pt>
                <c:pt idx="386">
                  <c:v>158.96176780077164</c:v>
                </c:pt>
                <c:pt idx="387">
                  <c:v>158.95211658570437</c:v>
                </c:pt>
                <c:pt idx="388">
                  <c:v>160.40802213001385</c:v>
                </c:pt>
                <c:pt idx="389">
                  <c:v>155.17955801104969</c:v>
                </c:pt>
                <c:pt idx="390">
                  <c:v>154.61139896373058</c:v>
                </c:pt>
                <c:pt idx="391">
                  <c:v>155.33081933493315</c:v>
                </c:pt>
                <c:pt idx="392">
                  <c:v>155.73883161512029</c:v>
                </c:pt>
                <c:pt idx="393">
                  <c:v>160.43388429752065</c:v>
                </c:pt>
                <c:pt idx="394">
                  <c:v>156.42611683848799</c:v>
                </c:pt>
                <c:pt idx="395">
                  <c:v>155.94381637547104</c:v>
                </c:pt>
                <c:pt idx="396">
                  <c:v>160.8052305574673</c:v>
                </c:pt>
              </c:numCache>
            </c:numRef>
          </c:val>
          <c:smooth val="0"/>
          <c:extLst>
            <c:ext xmlns:c16="http://schemas.microsoft.com/office/drawing/2014/chart" uri="{C3380CC4-5D6E-409C-BE32-E72D297353CC}">
              <c16:uniqueId val="{00000001-43B7-4CEB-BF1E-4DF3FD7E2C64}"/>
            </c:ext>
          </c:extLst>
        </c:ser>
        <c:ser>
          <c:idx val="2"/>
          <c:order val="2"/>
          <c:tx>
            <c:v>Gas</c:v>
          </c:tx>
          <c:spPr>
            <a:ln w="12700">
              <a:solidFill>
                <a:srgbClr val="00FF00"/>
              </a:solidFill>
            </a:ln>
          </c:spPr>
          <c:marker>
            <c:symbol val="none"/>
          </c:marker>
          <c:cat>
            <c:numRef>
              <c:f>'2.1.2 Prices ONS'!$A$576:$A$983</c:f>
              <c:numCache>
                <c:formatCode>General</c:formatCode>
                <c:ptCount val="408"/>
                <c:pt idx="0">
                  <c:v>1987</c:v>
                </c:pt>
                <c:pt idx="1">
                  <c:v>1987</c:v>
                </c:pt>
                <c:pt idx="2">
                  <c:v>1987</c:v>
                </c:pt>
                <c:pt idx="3">
                  <c:v>1987</c:v>
                </c:pt>
                <c:pt idx="4">
                  <c:v>1987</c:v>
                </c:pt>
                <c:pt idx="5">
                  <c:v>1987</c:v>
                </c:pt>
                <c:pt idx="6">
                  <c:v>1987</c:v>
                </c:pt>
                <c:pt idx="7">
                  <c:v>1987</c:v>
                </c:pt>
                <c:pt idx="8">
                  <c:v>1987</c:v>
                </c:pt>
                <c:pt idx="9">
                  <c:v>1987</c:v>
                </c:pt>
                <c:pt idx="10">
                  <c:v>1987</c:v>
                </c:pt>
                <c:pt idx="11">
                  <c:v>1987</c:v>
                </c:pt>
                <c:pt idx="12">
                  <c:v>1988</c:v>
                </c:pt>
                <c:pt idx="13">
                  <c:v>1988</c:v>
                </c:pt>
                <c:pt idx="14">
                  <c:v>1988</c:v>
                </c:pt>
                <c:pt idx="15">
                  <c:v>1988</c:v>
                </c:pt>
                <c:pt idx="16">
                  <c:v>1988</c:v>
                </c:pt>
                <c:pt idx="17">
                  <c:v>1988</c:v>
                </c:pt>
                <c:pt idx="18">
                  <c:v>1988</c:v>
                </c:pt>
                <c:pt idx="19">
                  <c:v>1988</c:v>
                </c:pt>
                <c:pt idx="20">
                  <c:v>1988</c:v>
                </c:pt>
                <c:pt idx="21">
                  <c:v>1988</c:v>
                </c:pt>
                <c:pt idx="22">
                  <c:v>1988</c:v>
                </c:pt>
                <c:pt idx="23">
                  <c:v>1988</c:v>
                </c:pt>
                <c:pt idx="24">
                  <c:v>1989</c:v>
                </c:pt>
                <c:pt idx="25">
                  <c:v>1989</c:v>
                </c:pt>
                <c:pt idx="26">
                  <c:v>1989</c:v>
                </c:pt>
                <c:pt idx="27">
                  <c:v>1989</c:v>
                </c:pt>
                <c:pt idx="28">
                  <c:v>1989</c:v>
                </c:pt>
                <c:pt idx="29">
                  <c:v>1989</c:v>
                </c:pt>
                <c:pt idx="30">
                  <c:v>1989</c:v>
                </c:pt>
                <c:pt idx="31">
                  <c:v>1989</c:v>
                </c:pt>
                <c:pt idx="32">
                  <c:v>1989</c:v>
                </c:pt>
                <c:pt idx="33">
                  <c:v>1989</c:v>
                </c:pt>
                <c:pt idx="34">
                  <c:v>1989</c:v>
                </c:pt>
                <c:pt idx="35">
                  <c:v>1989</c:v>
                </c:pt>
                <c:pt idx="36">
                  <c:v>1990</c:v>
                </c:pt>
                <c:pt idx="37">
                  <c:v>1990</c:v>
                </c:pt>
                <c:pt idx="38">
                  <c:v>1990</c:v>
                </c:pt>
                <c:pt idx="39">
                  <c:v>1990</c:v>
                </c:pt>
                <c:pt idx="40">
                  <c:v>1990</c:v>
                </c:pt>
                <c:pt idx="41">
                  <c:v>1990</c:v>
                </c:pt>
                <c:pt idx="42">
                  <c:v>1990</c:v>
                </c:pt>
                <c:pt idx="43">
                  <c:v>1990</c:v>
                </c:pt>
                <c:pt idx="44">
                  <c:v>1990</c:v>
                </c:pt>
                <c:pt idx="45">
                  <c:v>1990</c:v>
                </c:pt>
                <c:pt idx="46">
                  <c:v>1990</c:v>
                </c:pt>
                <c:pt idx="47">
                  <c:v>1990</c:v>
                </c:pt>
                <c:pt idx="48">
                  <c:v>1991</c:v>
                </c:pt>
                <c:pt idx="49">
                  <c:v>1991</c:v>
                </c:pt>
                <c:pt idx="50">
                  <c:v>1991</c:v>
                </c:pt>
                <c:pt idx="51">
                  <c:v>1991</c:v>
                </c:pt>
                <c:pt idx="52">
                  <c:v>1991</c:v>
                </c:pt>
                <c:pt idx="53">
                  <c:v>1991</c:v>
                </c:pt>
                <c:pt idx="54">
                  <c:v>1991</c:v>
                </c:pt>
                <c:pt idx="55">
                  <c:v>1991</c:v>
                </c:pt>
                <c:pt idx="56">
                  <c:v>1991</c:v>
                </c:pt>
                <c:pt idx="57">
                  <c:v>1991</c:v>
                </c:pt>
                <c:pt idx="58">
                  <c:v>1991</c:v>
                </c:pt>
                <c:pt idx="59">
                  <c:v>1991</c:v>
                </c:pt>
                <c:pt idx="60">
                  <c:v>1992</c:v>
                </c:pt>
                <c:pt idx="61">
                  <c:v>1992</c:v>
                </c:pt>
                <c:pt idx="62">
                  <c:v>1992</c:v>
                </c:pt>
                <c:pt idx="63">
                  <c:v>1992</c:v>
                </c:pt>
                <c:pt idx="64">
                  <c:v>1992</c:v>
                </c:pt>
                <c:pt idx="65">
                  <c:v>1992</c:v>
                </c:pt>
                <c:pt idx="66">
                  <c:v>1992</c:v>
                </c:pt>
                <c:pt idx="67">
                  <c:v>1992</c:v>
                </c:pt>
                <c:pt idx="68">
                  <c:v>1992</c:v>
                </c:pt>
                <c:pt idx="69">
                  <c:v>1992</c:v>
                </c:pt>
                <c:pt idx="70">
                  <c:v>1992</c:v>
                </c:pt>
                <c:pt idx="71">
                  <c:v>1992</c:v>
                </c:pt>
                <c:pt idx="72">
                  <c:v>1993</c:v>
                </c:pt>
                <c:pt idx="73">
                  <c:v>1993</c:v>
                </c:pt>
                <c:pt idx="74">
                  <c:v>1993</c:v>
                </c:pt>
                <c:pt idx="75">
                  <c:v>1993</c:v>
                </c:pt>
                <c:pt idx="76">
                  <c:v>1993</c:v>
                </c:pt>
                <c:pt idx="77">
                  <c:v>1993</c:v>
                </c:pt>
                <c:pt idx="78">
                  <c:v>1993</c:v>
                </c:pt>
                <c:pt idx="79">
                  <c:v>1993</c:v>
                </c:pt>
                <c:pt idx="80">
                  <c:v>1993</c:v>
                </c:pt>
                <c:pt idx="81">
                  <c:v>1993</c:v>
                </c:pt>
                <c:pt idx="82">
                  <c:v>1993</c:v>
                </c:pt>
                <c:pt idx="83">
                  <c:v>1993</c:v>
                </c:pt>
                <c:pt idx="84">
                  <c:v>1994</c:v>
                </c:pt>
                <c:pt idx="85">
                  <c:v>1994</c:v>
                </c:pt>
                <c:pt idx="86">
                  <c:v>1994</c:v>
                </c:pt>
                <c:pt idx="87">
                  <c:v>1994</c:v>
                </c:pt>
                <c:pt idx="88">
                  <c:v>1994</c:v>
                </c:pt>
                <c:pt idx="89">
                  <c:v>1994</c:v>
                </c:pt>
                <c:pt idx="90">
                  <c:v>1994</c:v>
                </c:pt>
                <c:pt idx="91">
                  <c:v>1994</c:v>
                </c:pt>
                <c:pt idx="92">
                  <c:v>1994</c:v>
                </c:pt>
                <c:pt idx="93">
                  <c:v>1994</c:v>
                </c:pt>
                <c:pt idx="94">
                  <c:v>1994</c:v>
                </c:pt>
                <c:pt idx="95">
                  <c:v>1994</c:v>
                </c:pt>
                <c:pt idx="96">
                  <c:v>1995</c:v>
                </c:pt>
                <c:pt idx="97">
                  <c:v>1995</c:v>
                </c:pt>
                <c:pt idx="98">
                  <c:v>1995</c:v>
                </c:pt>
                <c:pt idx="99">
                  <c:v>1995</c:v>
                </c:pt>
                <c:pt idx="100">
                  <c:v>1995</c:v>
                </c:pt>
                <c:pt idx="101">
                  <c:v>1995</c:v>
                </c:pt>
                <c:pt idx="102">
                  <c:v>1995</c:v>
                </c:pt>
                <c:pt idx="103">
                  <c:v>1995</c:v>
                </c:pt>
                <c:pt idx="104">
                  <c:v>1995</c:v>
                </c:pt>
                <c:pt idx="105">
                  <c:v>1995</c:v>
                </c:pt>
                <c:pt idx="106">
                  <c:v>1995</c:v>
                </c:pt>
                <c:pt idx="107">
                  <c:v>1995</c:v>
                </c:pt>
                <c:pt idx="108">
                  <c:v>1996</c:v>
                </c:pt>
                <c:pt idx="109">
                  <c:v>1996</c:v>
                </c:pt>
                <c:pt idx="110">
                  <c:v>1996</c:v>
                </c:pt>
                <c:pt idx="111">
                  <c:v>1996</c:v>
                </c:pt>
                <c:pt idx="112">
                  <c:v>1996</c:v>
                </c:pt>
                <c:pt idx="113">
                  <c:v>1996</c:v>
                </c:pt>
                <c:pt idx="114">
                  <c:v>1996</c:v>
                </c:pt>
                <c:pt idx="115">
                  <c:v>1996</c:v>
                </c:pt>
                <c:pt idx="116">
                  <c:v>1996</c:v>
                </c:pt>
                <c:pt idx="117">
                  <c:v>1996</c:v>
                </c:pt>
                <c:pt idx="118">
                  <c:v>1996</c:v>
                </c:pt>
                <c:pt idx="119">
                  <c:v>1996</c:v>
                </c:pt>
                <c:pt idx="120">
                  <c:v>1997</c:v>
                </c:pt>
                <c:pt idx="121">
                  <c:v>1997</c:v>
                </c:pt>
                <c:pt idx="122">
                  <c:v>1997</c:v>
                </c:pt>
                <c:pt idx="123">
                  <c:v>1997</c:v>
                </c:pt>
                <c:pt idx="124">
                  <c:v>1997</c:v>
                </c:pt>
                <c:pt idx="125">
                  <c:v>1997</c:v>
                </c:pt>
                <c:pt idx="126">
                  <c:v>1997</c:v>
                </c:pt>
                <c:pt idx="127">
                  <c:v>1997</c:v>
                </c:pt>
                <c:pt idx="128">
                  <c:v>1997</c:v>
                </c:pt>
                <c:pt idx="129">
                  <c:v>1997</c:v>
                </c:pt>
                <c:pt idx="130">
                  <c:v>1997</c:v>
                </c:pt>
                <c:pt idx="131">
                  <c:v>1997</c:v>
                </c:pt>
                <c:pt idx="132">
                  <c:v>1998</c:v>
                </c:pt>
                <c:pt idx="133">
                  <c:v>1998</c:v>
                </c:pt>
                <c:pt idx="134">
                  <c:v>1998</c:v>
                </c:pt>
                <c:pt idx="135">
                  <c:v>1998</c:v>
                </c:pt>
                <c:pt idx="136">
                  <c:v>1998</c:v>
                </c:pt>
                <c:pt idx="137">
                  <c:v>1998</c:v>
                </c:pt>
                <c:pt idx="138">
                  <c:v>1998</c:v>
                </c:pt>
                <c:pt idx="139">
                  <c:v>1998</c:v>
                </c:pt>
                <c:pt idx="140">
                  <c:v>1998</c:v>
                </c:pt>
                <c:pt idx="141">
                  <c:v>1998</c:v>
                </c:pt>
                <c:pt idx="142">
                  <c:v>1998</c:v>
                </c:pt>
                <c:pt idx="143">
                  <c:v>1998</c:v>
                </c:pt>
                <c:pt idx="144">
                  <c:v>1999</c:v>
                </c:pt>
                <c:pt idx="145">
                  <c:v>1999</c:v>
                </c:pt>
                <c:pt idx="146">
                  <c:v>1999</c:v>
                </c:pt>
                <c:pt idx="147">
                  <c:v>1999</c:v>
                </c:pt>
                <c:pt idx="148">
                  <c:v>1999</c:v>
                </c:pt>
                <c:pt idx="149">
                  <c:v>1999</c:v>
                </c:pt>
                <c:pt idx="150">
                  <c:v>1999</c:v>
                </c:pt>
                <c:pt idx="151">
                  <c:v>1999</c:v>
                </c:pt>
                <c:pt idx="152">
                  <c:v>1999</c:v>
                </c:pt>
                <c:pt idx="153">
                  <c:v>1999</c:v>
                </c:pt>
                <c:pt idx="154">
                  <c:v>1999</c:v>
                </c:pt>
                <c:pt idx="155">
                  <c:v>1999</c:v>
                </c:pt>
                <c:pt idx="156">
                  <c:v>2000</c:v>
                </c:pt>
                <c:pt idx="157">
                  <c:v>2000</c:v>
                </c:pt>
                <c:pt idx="158">
                  <c:v>2000</c:v>
                </c:pt>
                <c:pt idx="159">
                  <c:v>2000</c:v>
                </c:pt>
                <c:pt idx="160">
                  <c:v>2000</c:v>
                </c:pt>
                <c:pt idx="161">
                  <c:v>2000</c:v>
                </c:pt>
                <c:pt idx="162">
                  <c:v>2000</c:v>
                </c:pt>
                <c:pt idx="163">
                  <c:v>2000</c:v>
                </c:pt>
                <c:pt idx="164">
                  <c:v>2000</c:v>
                </c:pt>
                <c:pt idx="165">
                  <c:v>2000</c:v>
                </c:pt>
                <c:pt idx="166">
                  <c:v>2000</c:v>
                </c:pt>
                <c:pt idx="167">
                  <c:v>2000</c:v>
                </c:pt>
                <c:pt idx="168">
                  <c:v>2001</c:v>
                </c:pt>
                <c:pt idx="169">
                  <c:v>2001</c:v>
                </c:pt>
                <c:pt idx="170">
                  <c:v>2001</c:v>
                </c:pt>
                <c:pt idx="171">
                  <c:v>2001</c:v>
                </c:pt>
                <c:pt idx="172">
                  <c:v>2001</c:v>
                </c:pt>
                <c:pt idx="173">
                  <c:v>2001</c:v>
                </c:pt>
                <c:pt idx="174">
                  <c:v>2001</c:v>
                </c:pt>
                <c:pt idx="175">
                  <c:v>2001</c:v>
                </c:pt>
                <c:pt idx="176">
                  <c:v>2001</c:v>
                </c:pt>
                <c:pt idx="177">
                  <c:v>2001</c:v>
                </c:pt>
                <c:pt idx="178">
                  <c:v>2001</c:v>
                </c:pt>
                <c:pt idx="179">
                  <c:v>2001</c:v>
                </c:pt>
                <c:pt idx="180">
                  <c:v>2002</c:v>
                </c:pt>
                <c:pt idx="181">
                  <c:v>2002</c:v>
                </c:pt>
                <c:pt idx="182">
                  <c:v>2002</c:v>
                </c:pt>
                <c:pt idx="183">
                  <c:v>2002</c:v>
                </c:pt>
                <c:pt idx="184">
                  <c:v>2002</c:v>
                </c:pt>
                <c:pt idx="185">
                  <c:v>2002</c:v>
                </c:pt>
                <c:pt idx="186">
                  <c:v>2002</c:v>
                </c:pt>
                <c:pt idx="187">
                  <c:v>2002</c:v>
                </c:pt>
                <c:pt idx="188">
                  <c:v>2002</c:v>
                </c:pt>
                <c:pt idx="189">
                  <c:v>2002</c:v>
                </c:pt>
                <c:pt idx="190">
                  <c:v>2002</c:v>
                </c:pt>
                <c:pt idx="191">
                  <c:v>2002</c:v>
                </c:pt>
                <c:pt idx="192">
                  <c:v>2003</c:v>
                </c:pt>
                <c:pt idx="193">
                  <c:v>2003</c:v>
                </c:pt>
                <c:pt idx="194">
                  <c:v>2003</c:v>
                </c:pt>
                <c:pt idx="195">
                  <c:v>2003</c:v>
                </c:pt>
                <c:pt idx="196">
                  <c:v>2003</c:v>
                </c:pt>
                <c:pt idx="197">
                  <c:v>2003</c:v>
                </c:pt>
                <c:pt idx="198">
                  <c:v>2003</c:v>
                </c:pt>
                <c:pt idx="199">
                  <c:v>2003</c:v>
                </c:pt>
                <c:pt idx="200">
                  <c:v>2003</c:v>
                </c:pt>
                <c:pt idx="201">
                  <c:v>2003</c:v>
                </c:pt>
                <c:pt idx="202">
                  <c:v>2003</c:v>
                </c:pt>
                <c:pt idx="203">
                  <c:v>2003</c:v>
                </c:pt>
                <c:pt idx="204">
                  <c:v>2004</c:v>
                </c:pt>
                <c:pt idx="205">
                  <c:v>2004</c:v>
                </c:pt>
                <c:pt idx="206">
                  <c:v>2004</c:v>
                </c:pt>
                <c:pt idx="207">
                  <c:v>2004</c:v>
                </c:pt>
                <c:pt idx="208">
                  <c:v>2004</c:v>
                </c:pt>
                <c:pt idx="209">
                  <c:v>2004</c:v>
                </c:pt>
                <c:pt idx="210">
                  <c:v>2004</c:v>
                </c:pt>
                <c:pt idx="211">
                  <c:v>2004</c:v>
                </c:pt>
                <c:pt idx="212">
                  <c:v>2004</c:v>
                </c:pt>
                <c:pt idx="213">
                  <c:v>2004</c:v>
                </c:pt>
                <c:pt idx="214">
                  <c:v>2004</c:v>
                </c:pt>
                <c:pt idx="215">
                  <c:v>2004</c:v>
                </c:pt>
                <c:pt idx="216">
                  <c:v>2005</c:v>
                </c:pt>
                <c:pt idx="217">
                  <c:v>2005</c:v>
                </c:pt>
                <c:pt idx="218">
                  <c:v>2005</c:v>
                </c:pt>
                <c:pt idx="219">
                  <c:v>2005</c:v>
                </c:pt>
                <c:pt idx="220">
                  <c:v>2005</c:v>
                </c:pt>
                <c:pt idx="221">
                  <c:v>2005</c:v>
                </c:pt>
                <c:pt idx="222">
                  <c:v>2005</c:v>
                </c:pt>
                <c:pt idx="223">
                  <c:v>2005</c:v>
                </c:pt>
                <c:pt idx="224">
                  <c:v>2005</c:v>
                </c:pt>
                <c:pt idx="225">
                  <c:v>2005</c:v>
                </c:pt>
                <c:pt idx="226">
                  <c:v>2005</c:v>
                </c:pt>
                <c:pt idx="227">
                  <c:v>2005</c:v>
                </c:pt>
                <c:pt idx="228">
                  <c:v>2006</c:v>
                </c:pt>
                <c:pt idx="229">
                  <c:v>2006</c:v>
                </c:pt>
                <c:pt idx="230">
                  <c:v>2006</c:v>
                </c:pt>
                <c:pt idx="231">
                  <c:v>2006</c:v>
                </c:pt>
                <c:pt idx="232">
                  <c:v>2006</c:v>
                </c:pt>
                <c:pt idx="233">
                  <c:v>2006</c:v>
                </c:pt>
                <c:pt idx="234">
                  <c:v>2006</c:v>
                </c:pt>
                <c:pt idx="235">
                  <c:v>2006</c:v>
                </c:pt>
                <c:pt idx="236">
                  <c:v>2006</c:v>
                </c:pt>
                <c:pt idx="237">
                  <c:v>2006</c:v>
                </c:pt>
                <c:pt idx="238">
                  <c:v>2006</c:v>
                </c:pt>
                <c:pt idx="239">
                  <c:v>2006</c:v>
                </c:pt>
                <c:pt idx="240">
                  <c:v>2007</c:v>
                </c:pt>
                <c:pt idx="241">
                  <c:v>2007</c:v>
                </c:pt>
                <c:pt idx="242">
                  <c:v>2007</c:v>
                </c:pt>
                <c:pt idx="243">
                  <c:v>2007</c:v>
                </c:pt>
                <c:pt idx="244">
                  <c:v>2007</c:v>
                </c:pt>
                <c:pt idx="245">
                  <c:v>2007</c:v>
                </c:pt>
                <c:pt idx="246">
                  <c:v>2007</c:v>
                </c:pt>
                <c:pt idx="247">
                  <c:v>2007</c:v>
                </c:pt>
                <c:pt idx="248">
                  <c:v>2007</c:v>
                </c:pt>
                <c:pt idx="249">
                  <c:v>2007</c:v>
                </c:pt>
                <c:pt idx="250">
                  <c:v>2007</c:v>
                </c:pt>
                <c:pt idx="251">
                  <c:v>2007</c:v>
                </c:pt>
                <c:pt idx="252">
                  <c:v>2008</c:v>
                </c:pt>
                <c:pt idx="253">
                  <c:v>2008</c:v>
                </c:pt>
                <c:pt idx="254">
                  <c:v>2008</c:v>
                </c:pt>
                <c:pt idx="255">
                  <c:v>2008</c:v>
                </c:pt>
                <c:pt idx="256">
                  <c:v>2008</c:v>
                </c:pt>
                <c:pt idx="257">
                  <c:v>2008</c:v>
                </c:pt>
                <c:pt idx="258">
                  <c:v>2008</c:v>
                </c:pt>
                <c:pt idx="259">
                  <c:v>2008</c:v>
                </c:pt>
                <c:pt idx="260">
                  <c:v>2008</c:v>
                </c:pt>
                <c:pt idx="261">
                  <c:v>2008</c:v>
                </c:pt>
                <c:pt idx="262">
                  <c:v>2008</c:v>
                </c:pt>
                <c:pt idx="263">
                  <c:v>2008</c:v>
                </c:pt>
                <c:pt idx="264">
                  <c:v>2009</c:v>
                </c:pt>
                <c:pt idx="265">
                  <c:v>2009</c:v>
                </c:pt>
                <c:pt idx="266">
                  <c:v>2009</c:v>
                </c:pt>
                <c:pt idx="267">
                  <c:v>2009</c:v>
                </c:pt>
                <c:pt idx="268">
                  <c:v>2009</c:v>
                </c:pt>
                <c:pt idx="269">
                  <c:v>2009</c:v>
                </c:pt>
                <c:pt idx="270">
                  <c:v>2009</c:v>
                </c:pt>
                <c:pt idx="271">
                  <c:v>2009</c:v>
                </c:pt>
                <c:pt idx="272">
                  <c:v>2009</c:v>
                </c:pt>
                <c:pt idx="273">
                  <c:v>2009</c:v>
                </c:pt>
                <c:pt idx="274">
                  <c:v>2009</c:v>
                </c:pt>
                <c:pt idx="275">
                  <c:v>2009</c:v>
                </c:pt>
                <c:pt idx="276">
                  <c:v>2010</c:v>
                </c:pt>
                <c:pt idx="277">
                  <c:v>2010</c:v>
                </c:pt>
                <c:pt idx="278">
                  <c:v>2010</c:v>
                </c:pt>
                <c:pt idx="279">
                  <c:v>2010</c:v>
                </c:pt>
                <c:pt idx="280">
                  <c:v>2010</c:v>
                </c:pt>
                <c:pt idx="281">
                  <c:v>2010</c:v>
                </c:pt>
                <c:pt idx="282">
                  <c:v>2010</c:v>
                </c:pt>
                <c:pt idx="283">
                  <c:v>2010</c:v>
                </c:pt>
                <c:pt idx="284">
                  <c:v>2010</c:v>
                </c:pt>
                <c:pt idx="285">
                  <c:v>2010</c:v>
                </c:pt>
                <c:pt idx="286">
                  <c:v>2010</c:v>
                </c:pt>
                <c:pt idx="287">
                  <c:v>2010</c:v>
                </c:pt>
                <c:pt idx="288">
                  <c:v>2011</c:v>
                </c:pt>
                <c:pt idx="289">
                  <c:v>2011</c:v>
                </c:pt>
                <c:pt idx="290">
                  <c:v>2011</c:v>
                </c:pt>
                <c:pt idx="291">
                  <c:v>2011</c:v>
                </c:pt>
                <c:pt idx="292">
                  <c:v>2011</c:v>
                </c:pt>
                <c:pt idx="293">
                  <c:v>2011</c:v>
                </c:pt>
                <c:pt idx="294">
                  <c:v>2011</c:v>
                </c:pt>
                <c:pt idx="295">
                  <c:v>2011</c:v>
                </c:pt>
                <c:pt idx="296">
                  <c:v>2011</c:v>
                </c:pt>
                <c:pt idx="297">
                  <c:v>2011</c:v>
                </c:pt>
                <c:pt idx="298">
                  <c:v>2011</c:v>
                </c:pt>
                <c:pt idx="299">
                  <c:v>2011</c:v>
                </c:pt>
                <c:pt idx="300">
                  <c:v>2012</c:v>
                </c:pt>
                <c:pt idx="301">
                  <c:v>2012</c:v>
                </c:pt>
                <c:pt idx="302">
                  <c:v>2012</c:v>
                </c:pt>
                <c:pt idx="303">
                  <c:v>2012</c:v>
                </c:pt>
                <c:pt idx="304">
                  <c:v>2012</c:v>
                </c:pt>
                <c:pt idx="305">
                  <c:v>2012</c:v>
                </c:pt>
                <c:pt idx="306">
                  <c:v>2012</c:v>
                </c:pt>
                <c:pt idx="307">
                  <c:v>2012</c:v>
                </c:pt>
                <c:pt idx="308">
                  <c:v>2012</c:v>
                </c:pt>
                <c:pt idx="309">
                  <c:v>2012</c:v>
                </c:pt>
                <c:pt idx="310">
                  <c:v>2012</c:v>
                </c:pt>
                <c:pt idx="311">
                  <c:v>2012</c:v>
                </c:pt>
                <c:pt idx="312">
                  <c:v>2013</c:v>
                </c:pt>
                <c:pt idx="313">
                  <c:v>2013</c:v>
                </c:pt>
                <c:pt idx="314">
                  <c:v>2013</c:v>
                </c:pt>
                <c:pt idx="315">
                  <c:v>2013</c:v>
                </c:pt>
                <c:pt idx="316">
                  <c:v>2013</c:v>
                </c:pt>
                <c:pt idx="317">
                  <c:v>2013</c:v>
                </c:pt>
                <c:pt idx="318">
                  <c:v>2013</c:v>
                </c:pt>
                <c:pt idx="319">
                  <c:v>2013</c:v>
                </c:pt>
                <c:pt idx="320">
                  <c:v>2013</c:v>
                </c:pt>
                <c:pt idx="321">
                  <c:v>2013</c:v>
                </c:pt>
                <c:pt idx="322">
                  <c:v>2013</c:v>
                </c:pt>
                <c:pt idx="323">
                  <c:v>2013</c:v>
                </c:pt>
                <c:pt idx="324">
                  <c:v>2014</c:v>
                </c:pt>
                <c:pt idx="325">
                  <c:v>2014</c:v>
                </c:pt>
                <c:pt idx="326">
                  <c:v>2014</c:v>
                </c:pt>
                <c:pt idx="327">
                  <c:v>2014</c:v>
                </c:pt>
                <c:pt idx="328">
                  <c:v>2014</c:v>
                </c:pt>
                <c:pt idx="329">
                  <c:v>2014</c:v>
                </c:pt>
                <c:pt idx="330">
                  <c:v>2014</c:v>
                </c:pt>
                <c:pt idx="331">
                  <c:v>2014</c:v>
                </c:pt>
                <c:pt idx="332">
                  <c:v>2014</c:v>
                </c:pt>
                <c:pt idx="333">
                  <c:v>2014</c:v>
                </c:pt>
                <c:pt idx="334">
                  <c:v>2014</c:v>
                </c:pt>
                <c:pt idx="335">
                  <c:v>2014</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2016</c:v>
                </c:pt>
                <c:pt idx="349">
                  <c:v>2016</c:v>
                </c:pt>
                <c:pt idx="350">
                  <c:v>2016</c:v>
                </c:pt>
                <c:pt idx="351">
                  <c:v>2016</c:v>
                </c:pt>
                <c:pt idx="352">
                  <c:v>2016</c:v>
                </c:pt>
                <c:pt idx="353">
                  <c:v>2016</c:v>
                </c:pt>
                <c:pt idx="354">
                  <c:v>2016</c:v>
                </c:pt>
                <c:pt idx="355">
                  <c:v>2016</c:v>
                </c:pt>
                <c:pt idx="356">
                  <c:v>2016</c:v>
                </c:pt>
                <c:pt idx="357">
                  <c:v>2016</c:v>
                </c:pt>
                <c:pt idx="358">
                  <c:v>2016</c:v>
                </c:pt>
                <c:pt idx="359">
                  <c:v>2016</c:v>
                </c:pt>
                <c:pt idx="360">
                  <c:v>2017</c:v>
                </c:pt>
                <c:pt idx="361">
                  <c:v>2017</c:v>
                </c:pt>
                <c:pt idx="362">
                  <c:v>2017</c:v>
                </c:pt>
                <c:pt idx="363">
                  <c:v>2017</c:v>
                </c:pt>
                <c:pt idx="364">
                  <c:v>2017</c:v>
                </c:pt>
                <c:pt idx="365">
                  <c:v>2017</c:v>
                </c:pt>
                <c:pt idx="366">
                  <c:v>2017</c:v>
                </c:pt>
                <c:pt idx="367">
                  <c:v>2017</c:v>
                </c:pt>
                <c:pt idx="368">
                  <c:v>2017</c:v>
                </c:pt>
                <c:pt idx="369">
                  <c:v>2017</c:v>
                </c:pt>
                <c:pt idx="370">
                  <c:v>2017</c:v>
                </c:pt>
                <c:pt idx="371">
                  <c:v>2017</c:v>
                </c:pt>
                <c:pt idx="372">
                  <c:v>2018</c:v>
                </c:pt>
                <c:pt idx="373">
                  <c:v>2018</c:v>
                </c:pt>
                <c:pt idx="374">
                  <c:v>2018</c:v>
                </c:pt>
                <c:pt idx="375">
                  <c:v>2018</c:v>
                </c:pt>
                <c:pt idx="376">
                  <c:v>2018</c:v>
                </c:pt>
                <c:pt idx="377">
                  <c:v>2018</c:v>
                </c:pt>
                <c:pt idx="378">
                  <c:v>2018</c:v>
                </c:pt>
                <c:pt idx="379">
                  <c:v>2018</c:v>
                </c:pt>
                <c:pt idx="380">
                  <c:v>2018</c:v>
                </c:pt>
                <c:pt idx="381">
                  <c:v>2018</c:v>
                </c:pt>
                <c:pt idx="382">
                  <c:v>2018</c:v>
                </c:pt>
                <c:pt idx="383">
                  <c:v>2018</c:v>
                </c:pt>
                <c:pt idx="384">
                  <c:v>2019</c:v>
                </c:pt>
                <c:pt idx="385">
                  <c:v>2019</c:v>
                </c:pt>
                <c:pt idx="386">
                  <c:v>2019</c:v>
                </c:pt>
                <c:pt idx="387">
                  <c:v>2019</c:v>
                </c:pt>
                <c:pt idx="388">
                  <c:v>2019</c:v>
                </c:pt>
                <c:pt idx="389">
                  <c:v>2019</c:v>
                </c:pt>
                <c:pt idx="390">
                  <c:v>2019</c:v>
                </c:pt>
                <c:pt idx="391">
                  <c:v>2019</c:v>
                </c:pt>
                <c:pt idx="392">
                  <c:v>2019</c:v>
                </c:pt>
                <c:pt idx="393">
                  <c:v>2019</c:v>
                </c:pt>
                <c:pt idx="394">
                  <c:v>2019</c:v>
                </c:pt>
                <c:pt idx="395">
                  <c:v>2019</c:v>
                </c:pt>
                <c:pt idx="396">
                  <c:v>2020</c:v>
                </c:pt>
                <c:pt idx="397">
                  <c:v>2020</c:v>
                </c:pt>
                <c:pt idx="398">
                  <c:v>2020</c:v>
                </c:pt>
                <c:pt idx="399">
                  <c:v>2020</c:v>
                </c:pt>
                <c:pt idx="400">
                  <c:v>2020</c:v>
                </c:pt>
                <c:pt idx="401">
                  <c:v>2020</c:v>
                </c:pt>
                <c:pt idx="402">
                  <c:v>2020</c:v>
                </c:pt>
                <c:pt idx="403">
                  <c:v>2020</c:v>
                </c:pt>
                <c:pt idx="404">
                  <c:v>2020</c:v>
                </c:pt>
                <c:pt idx="405">
                  <c:v>2020</c:v>
                </c:pt>
                <c:pt idx="406">
                  <c:v>2020</c:v>
                </c:pt>
                <c:pt idx="407">
                  <c:v>2020</c:v>
                </c:pt>
              </c:numCache>
            </c:numRef>
          </c:cat>
          <c:val>
            <c:numRef>
              <c:f>'2.1.2 Prices ONS'!$I$576:$I$983</c:f>
              <c:numCache>
                <c:formatCode>_(* #,##0.0_);_(* \(#,##0.0\);_(* "-"??_);_(@_)</c:formatCode>
                <c:ptCount val="408"/>
                <c:pt idx="0">
                  <c:v>100</c:v>
                </c:pt>
                <c:pt idx="1">
                  <c:v>99.601593625497998</c:v>
                </c:pt>
                <c:pt idx="2">
                  <c:v>99.40357852882704</c:v>
                </c:pt>
                <c:pt idx="3">
                  <c:v>98.231827111984288</c:v>
                </c:pt>
                <c:pt idx="4">
                  <c:v>98.135426889106952</c:v>
                </c:pt>
                <c:pt idx="5">
                  <c:v>98.135426889106952</c:v>
                </c:pt>
                <c:pt idx="6">
                  <c:v>97.544204322200386</c:v>
                </c:pt>
                <c:pt idx="7">
                  <c:v>95.886385896180229</c:v>
                </c:pt>
                <c:pt idx="8">
                  <c:v>94.23828125</c:v>
                </c:pt>
                <c:pt idx="9">
                  <c:v>92.808551992225446</c:v>
                </c:pt>
                <c:pt idx="10">
                  <c:v>92.359767891682779</c:v>
                </c:pt>
                <c:pt idx="11">
                  <c:v>92.44917715392063</c:v>
                </c:pt>
                <c:pt idx="12">
                  <c:v>92.44917715392063</c:v>
                </c:pt>
                <c:pt idx="13">
                  <c:v>92.092574734811961</c:v>
                </c:pt>
                <c:pt idx="14">
                  <c:v>91.738712776176754</c:v>
                </c:pt>
                <c:pt idx="15">
                  <c:v>91.304347826086953</c:v>
                </c:pt>
                <c:pt idx="16">
                  <c:v>92.655367231638422</c:v>
                </c:pt>
                <c:pt idx="17">
                  <c:v>93.902439024390233</c:v>
                </c:pt>
                <c:pt idx="18">
                  <c:v>94.845360824742258</c:v>
                </c:pt>
                <c:pt idx="19">
                  <c:v>93.790546802595003</c:v>
                </c:pt>
                <c:pt idx="20">
                  <c:v>93.357933579335793</c:v>
                </c:pt>
                <c:pt idx="21">
                  <c:v>92.420091324200911</c:v>
                </c:pt>
                <c:pt idx="22">
                  <c:v>92</c:v>
                </c:pt>
                <c:pt idx="23">
                  <c:v>91.749773345421588</c:v>
                </c:pt>
                <c:pt idx="24">
                  <c:v>91.171171171171167</c:v>
                </c:pt>
                <c:pt idx="25">
                  <c:v>90.518783542039358</c:v>
                </c:pt>
                <c:pt idx="26">
                  <c:v>90.115761353517371</c:v>
                </c:pt>
                <c:pt idx="27">
                  <c:v>89.063867016622922</c:v>
                </c:pt>
                <c:pt idx="28">
                  <c:v>89.478260869565219</c:v>
                </c:pt>
                <c:pt idx="29">
                  <c:v>90.034662045060657</c:v>
                </c:pt>
                <c:pt idx="30">
                  <c:v>90.562770562770552</c:v>
                </c:pt>
                <c:pt idx="31">
                  <c:v>90.328151986183073</c:v>
                </c:pt>
                <c:pt idx="32">
                  <c:v>89.708404802744425</c:v>
                </c:pt>
                <c:pt idx="33">
                  <c:v>89.021276595744681</c:v>
                </c:pt>
                <c:pt idx="34">
                  <c:v>88.270042194092824</c:v>
                </c:pt>
                <c:pt idx="35">
                  <c:v>88.047138047138034</c:v>
                </c:pt>
                <c:pt idx="36">
                  <c:v>87.531380753138066</c:v>
                </c:pt>
                <c:pt idx="37">
                  <c:v>87.021630615640589</c:v>
                </c:pt>
                <c:pt idx="38">
                  <c:v>87.397034596375605</c:v>
                </c:pt>
                <c:pt idx="39">
                  <c:v>86.730615507593939</c:v>
                </c:pt>
                <c:pt idx="40">
                  <c:v>88.351822503961969</c:v>
                </c:pt>
                <c:pt idx="41">
                  <c:v>88.713496448303076</c:v>
                </c:pt>
                <c:pt idx="42">
                  <c:v>88.643533123028391</c:v>
                </c:pt>
                <c:pt idx="43">
                  <c:v>87.743950039032015</c:v>
                </c:pt>
                <c:pt idx="44">
                  <c:v>86.929621036349573</c:v>
                </c:pt>
                <c:pt idx="45">
                  <c:v>86.262471220260935</c:v>
                </c:pt>
                <c:pt idx="46">
                  <c:v>86.846153846153854</c:v>
                </c:pt>
                <c:pt idx="47">
                  <c:v>87.759815242494227</c:v>
                </c:pt>
                <c:pt idx="48">
                  <c:v>88.556067588325661</c:v>
                </c:pt>
                <c:pt idx="49">
                  <c:v>88.464476699770813</c:v>
                </c:pt>
                <c:pt idx="50">
                  <c:v>88.127853881278526</c:v>
                </c:pt>
                <c:pt idx="51">
                  <c:v>87.528174305033815</c:v>
                </c:pt>
                <c:pt idx="52">
                  <c:v>88.089887640449433</c:v>
                </c:pt>
                <c:pt idx="53">
                  <c:v>88.516032811334838</c:v>
                </c:pt>
                <c:pt idx="54">
                  <c:v>89.312406576980564</c:v>
                </c:pt>
                <c:pt idx="55">
                  <c:v>89.112602535421331</c:v>
                </c:pt>
                <c:pt idx="56">
                  <c:v>88.781575037147107</c:v>
                </c:pt>
                <c:pt idx="57">
                  <c:v>88.452997779422645</c:v>
                </c:pt>
                <c:pt idx="58">
                  <c:v>88.126843657817105</c:v>
                </c:pt>
                <c:pt idx="59">
                  <c:v>88.061901252763448</c:v>
                </c:pt>
                <c:pt idx="60">
                  <c:v>88.126843657817105</c:v>
                </c:pt>
                <c:pt idx="61">
                  <c:v>87.674247982391776</c:v>
                </c:pt>
                <c:pt idx="62">
                  <c:v>87.417702999268471</c:v>
                </c:pt>
                <c:pt idx="63">
                  <c:v>86.095100864553302</c:v>
                </c:pt>
                <c:pt idx="64">
                  <c:v>85.786073223259137</c:v>
                </c:pt>
                <c:pt idx="65">
                  <c:v>85.786073223259137</c:v>
                </c:pt>
                <c:pt idx="66">
                  <c:v>85.66282420749279</c:v>
                </c:pt>
                <c:pt idx="67">
                  <c:v>84.737221022318209</c:v>
                </c:pt>
                <c:pt idx="68">
                  <c:v>83.57245337159253</c:v>
                </c:pt>
                <c:pt idx="69">
                  <c:v>82.416011436740519</c:v>
                </c:pt>
                <c:pt idx="70">
                  <c:v>82.032927702219041</c:v>
                </c:pt>
                <c:pt idx="71">
                  <c:v>81.824712643678183</c:v>
                </c:pt>
                <c:pt idx="72">
                  <c:v>82.160986221899918</c:v>
                </c:pt>
                <c:pt idx="73">
                  <c:v>81.628242074927954</c:v>
                </c:pt>
                <c:pt idx="74">
                  <c:v>81.335247666905957</c:v>
                </c:pt>
                <c:pt idx="75">
                  <c:v>80.583214793741107</c:v>
                </c:pt>
                <c:pt idx="76">
                  <c:v>80.297661233167972</c:v>
                </c:pt>
                <c:pt idx="77">
                  <c:v>80.354609929078009</c:v>
                </c:pt>
                <c:pt idx="78">
                  <c:v>80.52594171997157</c:v>
                </c:pt>
                <c:pt idx="79">
                  <c:v>80.184005661712661</c:v>
                </c:pt>
                <c:pt idx="80">
                  <c:v>79.84496124031007</c:v>
                </c:pt>
                <c:pt idx="81">
                  <c:v>79.901269393511981</c:v>
                </c:pt>
                <c:pt idx="82">
                  <c:v>80.014124293785315</c:v>
                </c:pt>
                <c:pt idx="83">
                  <c:v>79.84496124031007</c:v>
                </c:pt>
                <c:pt idx="84">
                  <c:v>80.184005661712661</c:v>
                </c:pt>
                <c:pt idx="85">
                  <c:v>79.732582688247717</c:v>
                </c:pt>
                <c:pt idx="86">
                  <c:v>79.508771929824562</c:v>
                </c:pt>
                <c:pt idx="87">
                  <c:v>84.882108183079069</c:v>
                </c:pt>
                <c:pt idx="88">
                  <c:v>84.588804422944037</c:v>
                </c:pt>
                <c:pt idx="89">
                  <c:v>84.588804422944037</c:v>
                </c:pt>
                <c:pt idx="90">
                  <c:v>85.000000000000014</c:v>
                </c:pt>
                <c:pt idx="91">
                  <c:v>84.588804422944037</c:v>
                </c:pt>
                <c:pt idx="92">
                  <c:v>84.41379310344827</c:v>
                </c:pt>
                <c:pt idx="93">
                  <c:v>84.297520661157037</c:v>
                </c:pt>
                <c:pt idx="94">
                  <c:v>84.239504473503089</c:v>
                </c:pt>
                <c:pt idx="95">
                  <c:v>83.835616438356169</c:v>
                </c:pt>
                <c:pt idx="96">
                  <c:v>84.109589041095887</c:v>
                </c:pt>
                <c:pt idx="97">
                  <c:v>84.002722940776039</c:v>
                </c:pt>
                <c:pt idx="98">
                  <c:v>84.067796610169481</c:v>
                </c:pt>
                <c:pt idx="99">
                  <c:v>83.489932885906043</c:v>
                </c:pt>
                <c:pt idx="100">
                  <c:v>83.155080213903759</c:v>
                </c:pt>
                <c:pt idx="101">
                  <c:v>83.044058744993322</c:v>
                </c:pt>
                <c:pt idx="102">
                  <c:v>83.433936955063729</c:v>
                </c:pt>
                <c:pt idx="103">
                  <c:v>82.988659106070713</c:v>
                </c:pt>
                <c:pt idx="104">
                  <c:v>82.602921646746353</c:v>
                </c:pt>
                <c:pt idx="105">
                  <c:v>83.044058744993322</c:v>
                </c:pt>
                <c:pt idx="106">
                  <c:v>83.044058744993322</c:v>
                </c:pt>
                <c:pt idx="107">
                  <c:v>82.548108825481108</c:v>
                </c:pt>
                <c:pt idx="108">
                  <c:v>82.822902796271649</c:v>
                </c:pt>
                <c:pt idx="109">
                  <c:v>82.438701126573889</c:v>
                </c:pt>
                <c:pt idx="110">
                  <c:v>82.112211221122109</c:v>
                </c:pt>
                <c:pt idx="111">
                  <c:v>81.520314547837486</c:v>
                </c:pt>
                <c:pt idx="112">
                  <c:v>81.360366252452593</c:v>
                </c:pt>
                <c:pt idx="113">
                  <c:v>81.24183006535948</c:v>
                </c:pt>
                <c:pt idx="114">
                  <c:v>81.561679790026247</c:v>
                </c:pt>
                <c:pt idx="115">
                  <c:v>81.188765512736765</c:v>
                </c:pt>
                <c:pt idx="116">
                  <c:v>80.819245773732106</c:v>
                </c:pt>
                <c:pt idx="117">
                  <c:v>80.819245773732106</c:v>
                </c:pt>
                <c:pt idx="118">
                  <c:v>80.766731643924615</c:v>
                </c:pt>
                <c:pt idx="119">
                  <c:v>80.505181347150256</c:v>
                </c:pt>
                <c:pt idx="120">
                  <c:v>80.505181347150256</c:v>
                </c:pt>
                <c:pt idx="121">
                  <c:v>80.193548387096769</c:v>
                </c:pt>
                <c:pt idx="122">
                  <c:v>79.987129987129975</c:v>
                </c:pt>
                <c:pt idx="123">
                  <c:v>79.462571976967368</c:v>
                </c:pt>
                <c:pt idx="124">
                  <c:v>79.158699808795404</c:v>
                </c:pt>
                <c:pt idx="125">
                  <c:v>78.857142857142861</c:v>
                </c:pt>
                <c:pt idx="126">
                  <c:v>78.857142857142861</c:v>
                </c:pt>
                <c:pt idx="127">
                  <c:v>78.359621451104104</c:v>
                </c:pt>
                <c:pt idx="128">
                  <c:v>75.831763967357176</c:v>
                </c:pt>
                <c:pt idx="129">
                  <c:v>75.736677115987462</c:v>
                </c:pt>
                <c:pt idx="130">
                  <c:v>75.689223057644099</c:v>
                </c:pt>
                <c:pt idx="131">
                  <c:v>75.5</c:v>
                </c:pt>
                <c:pt idx="132">
                  <c:v>74.7962382445141</c:v>
                </c:pt>
                <c:pt idx="133">
                  <c:v>74.360573923892687</c:v>
                </c:pt>
                <c:pt idx="134">
                  <c:v>74.067164179104466</c:v>
                </c:pt>
                <c:pt idx="135">
                  <c:v>73.185731857318586</c:v>
                </c:pt>
                <c:pt idx="136">
                  <c:v>72.721712538226299</c:v>
                </c:pt>
                <c:pt idx="137">
                  <c:v>72.705018359853113</c:v>
                </c:pt>
                <c:pt idx="138">
                  <c:v>72.883435582822088</c:v>
                </c:pt>
                <c:pt idx="139">
                  <c:v>72.571777642028096</c:v>
                </c:pt>
                <c:pt idx="140">
                  <c:v>72.262773722627742</c:v>
                </c:pt>
                <c:pt idx="141">
                  <c:v>72.218844984802431</c:v>
                </c:pt>
                <c:pt idx="142">
                  <c:v>72.262773722627742</c:v>
                </c:pt>
                <c:pt idx="143">
                  <c:v>72.262773722627742</c:v>
                </c:pt>
                <c:pt idx="144">
                  <c:v>72.705018359853113</c:v>
                </c:pt>
                <c:pt idx="145">
                  <c:v>72.571777642028096</c:v>
                </c:pt>
                <c:pt idx="146">
                  <c:v>72.638634978671547</c:v>
                </c:pt>
                <c:pt idx="147">
                  <c:v>71.368038740920099</c:v>
                </c:pt>
                <c:pt idx="148">
                  <c:v>71.195652173913047</c:v>
                </c:pt>
                <c:pt idx="149">
                  <c:v>71.195652173913047</c:v>
                </c:pt>
                <c:pt idx="150">
                  <c:v>71.411265899454875</c:v>
                </c:pt>
                <c:pt idx="151">
                  <c:v>71.238670694864055</c:v>
                </c:pt>
                <c:pt idx="152">
                  <c:v>70.938628158844779</c:v>
                </c:pt>
                <c:pt idx="153">
                  <c:v>70.810810810810807</c:v>
                </c:pt>
                <c:pt idx="154">
                  <c:v>70.725854829034191</c:v>
                </c:pt>
                <c:pt idx="155">
                  <c:v>70.472205618649127</c:v>
                </c:pt>
                <c:pt idx="156">
                  <c:v>70.708283313325325</c:v>
                </c:pt>
                <c:pt idx="157">
                  <c:v>70.328358208955223</c:v>
                </c:pt>
                <c:pt idx="158">
                  <c:v>69.952494061757719</c:v>
                </c:pt>
                <c:pt idx="159">
                  <c:v>67.372134038800695</c:v>
                </c:pt>
                <c:pt idx="160">
                  <c:v>67.07674282366726</c:v>
                </c:pt>
                <c:pt idx="161">
                  <c:v>66.861484511981303</c:v>
                </c:pt>
                <c:pt idx="162">
                  <c:v>67.096774193548399</c:v>
                </c:pt>
                <c:pt idx="163">
                  <c:v>67.096774193548399</c:v>
                </c:pt>
                <c:pt idx="164">
                  <c:v>66.627839254513702</c:v>
                </c:pt>
                <c:pt idx="165">
                  <c:v>66.666666666666671</c:v>
                </c:pt>
                <c:pt idx="166">
                  <c:v>66.472980825101686</c:v>
                </c:pt>
                <c:pt idx="167">
                  <c:v>66.492450638792107</c:v>
                </c:pt>
                <c:pt idx="168">
                  <c:v>66.919929865575682</c:v>
                </c:pt>
                <c:pt idx="169">
                  <c:v>66.686046511627907</c:v>
                </c:pt>
                <c:pt idx="170">
                  <c:v>66.724738675958193</c:v>
                </c:pt>
                <c:pt idx="171">
                  <c:v>68.977469670710576</c:v>
                </c:pt>
                <c:pt idx="172">
                  <c:v>68.714121699196326</c:v>
                </c:pt>
                <c:pt idx="173">
                  <c:v>68.635321100917437</c:v>
                </c:pt>
                <c:pt idx="174">
                  <c:v>69.070975187536064</c:v>
                </c:pt>
                <c:pt idx="175">
                  <c:v>68.793103448275858</c:v>
                </c:pt>
                <c:pt idx="176">
                  <c:v>68.55670103092784</c:v>
                </c:pt>
                <c:pt idx="177">
                  <c:v>68.674698795180717</c:v>
                </c:pt>
                <c:pt idx="178">
                  <c:v>68.951612903225808</c:v>
                </c:pt>
                <c:pt idx="179">
                  <c:v>69.031141868512108</c:v>
                </c:pt>
                <c:pt idx="180">
                  <c:v>72.186959030582798</c:v>
                </c:pt>
                <c:pt idx="181">
                  <c:v>72.094361334867656</c:v>
                </c:pt>
                <c:pt idx="182">
                  <c:v>71.805157593123198</c:v>
                </c:pt>
                <c:pt idx="183">
                  <c:v>71.599317017643713</c:v>
                </c:pt>
                <c:pt idx="184">
                  <c:v>71.396140749148699</c:v>
                </c:pt>
                <c:pt idx="185">
                  <c:v>71.623155505107832</c:v>
                </c:pt>
                <c:pt idx="186">
                  <c:v>71.745309835133597</c:v>
                </c:pt>
                <c:pt idx="187">
                  <c:v>71.541950113378689</c:v>
                </c:pt>
                <c:pt idx="188">
                  <c:v>71.11486486486487</c:v>
                </c:pt>
                <c:pt idx="189">
                  <c:v>70.994940978077565</c:v>
                </c:pt>
                <c:pt idx="190">
                  <c:v>70.875420875420886</c:v>
                </c:pt>
                <c:pt idx="191">
                  <c:v>70.812324929971993</c:v>
                </c:pt>
                <c:pt idx="192">
                  <c:v>70.852017937219742</c:v>
                </c:pt>
                <c:pt idx="193">
                  <c:v>70.496374790853324</c:v>
                </c:pt>
                <c:pt idx="194">
                  <c:v>70.261256253474158</c:v>
                </c:pt>
                <c:pt idx="195">
                  <c:v>69.922737306843274</c:v>
                </c:pt>
                <c:pt idx="196">
                  <c:v>70.247933884297524</c:v>
                </c:pt>
                <c:pt idx="197">
                  <c:v>70.766685052399339</c:v>
                </c:pt>
                <c:pt idx="198">
                  <c:v>71.097628240485378</c:v>
                </c:pt>
                <c:pt idx="199">
                  <c:v>71.090308370044056</c:v>
                </c:pt>
                <c:pt idx="200">
                  <c:v>70.904109589041099</c:v>
                </c:pt>
                <c:pt idx="201">
                  <c:v>70.974808324205924</c:v>
                </c:pt>
                <c:pt idx="202">
                  <c:v>71.100164203612479</c:v>
                </c:pt>
                <c:pt idx="203">
                  <c:v>71.008174386920984</c:v>
                </c:pt>
                <c:pt idx="204">
                  <c:v>71.600218459857999</c:v>
                </c:pt>
                <c:pt idx="205">
                  <c:v>72.089227421109896</c:v>
                </c:pt>
                <c:pt idx="206">
                  <c:v>72.806067172264363</c:v>
                </c:pt>
                <c:pt idx="207">
                  <c:v>73.182552504038782</c:v>
                </c:pt>
                <c:pt idx="208">
                  <c:v>73.083109919571058</c:v>
                </c:pt>
                <c:pt idx="209">
                  <c:v>73.179871520342601</c:v>
                </c:pt>
                <c:pt idx="210">
                  <c:v>73.286937901498931</c:v>
                </c:pt>
                <c:pt idx="211">
                  <c:v>73.212379935965842</c:v>
                </c:pt>
                <c:pt idx="212">
                  <c:v>73.099415204678365</c:v>
                </c:pt>
                <c:pt idx="213">
                  <c:v>73.913043478260875</c:v>
                </c:pt>
                <c:pt idx="214">
                  <c:v>76.296296296296291</c:v>
                </c:pt>
                <c:pt idx="215">
                  <c:v>78.515007898894154</c:v>
                </c:pt>
                <c:pt idx="216">
                  <c:v>80.518793012175749</c:v>
                </c:pt>
                <c:pt idx="217">
                  <c:v>80.537974683544306</c:v>
                </c:pt>
                <c:pt idx="218">
                  <c:v>80.367454068241457</c:v>
                </c:pt>
                <c:pt idx="219">
                  <c:v>80.219206680584549</c:v>
                </c:pt>
                <c:pt idx="220">
                  <c:v>80.364583333333343</c:v>
                </c:pt>
                <c:pt idx="221">
                  <c:v>80.593132154006256</c:v>
                </c:pt>
                <c:pt idx="222">
                  <c:v>80.697190426638926</c:v>
                </c:pt>
                <c:pt idx="223">
                  <c:v>80.633437175493256</c:v>
                </c:pt>
                <c:pt idx="224">
                  <c:v>81.563956499223195</c:v>
                </c:pt>
                <c:pt idx="225">
                  <c:v>84.480082772891876</c:v>
                </c:pt>
                <c:pt idx="226">
                  <c:v>87.551652892561975</c:v>
                </c:pt>
                <c:pt idx="227">
                  <c:v>89.12931478619268</c:v>
                </c:pt>
                <c:pt idx="228">
                  <c:v>90.124095139607036</c:v>
                </c:pt>
                <c:pt idx="229">
                  <c:v>90.164778578784762</c:v>
                </c:pt>
                <c:pt idx="230">
                  <c:v>92.71794871794873</c:v>
                </c:pt>
                <c:pt idx="231">
                  <c:v>97.964376590330787</c:v>
                </c:pt>
                <c:pt idx="232">
                  <c:v>103.38897319170461</c:v>
                </c:pt>
                <c:pt idx="233">
                  <c:v>105.99496221662467</c:v>
                </c:pt>
                <c:pt idx="234">
                  <c:v>107.10327455919395</c:v>
                </c:pt>
                <c:pt idx="235">
                  <c:v>107.98192771084338</c:v>
                </c:pt>
                <c:pt idx="236">
                  <c:v>110.09495252373813</c:v>
                </c:pt>
                <c:pt idx="237">
                  <c:v>115.31936127744511</c:v>
                </c:pt>
                <c:pt idx="238">
                  <c:v>118.69716558925907</c:v>
                </c:pt>
                <c:pt idx="239">
                  <c:v>120.02960039467195</c:v>
                </c:pt>
                <c:pt idx="240">
                  <c:v>120.98214285714286</c:v>
                </c:pt>
                <c:pt idx="241">
                  <c:v>120.53175775480061</c:v>
                </c:pt>
                <c:pt idx="242">
                  <c:v>118.78669275929551</c:v>
                </c:pt>
                <c:pt idx="243">
                  <c:v>114.80038948393378</c:v>
                </c:pt>
                <c:pt idx="244">
                  <c:v>110.57225994180409</c:v>
                </c:pt>
                <c:pt idx="245">
                  <c:v>106.84997588036663</c:v>
                </c:pt>
                <c:pt idx="246">
                  <c:v>105.04609412906356</c:v>
                </c:pt>
                <c:pt idx="247">
                  <c:v>102.94259527255186</c:v>
                </c:pt>
                <c:pt idx="248">
                  <c:v>101.82692307692309</c:v>
                </c:pt>
                <c:pt idx="249">
                  <c:v>101.00526567735758</c:v>
                </c:pt>
                <c:pt idx="250">
                  <c:v>100.66762041010968</c:v>
                </c:pt>
                <c:pt idx="251">
                  <c:v>100.14224751066855</c:v>
                </c:pt>
                <c:pt idx="252">
                  <c:v>100.90562440419446</c:v>
                </c:pt>
                <c:pt idx="253">
                  <c:v>113.24503311258279</c:v>
                </c:pt>
                <c:pt idx="254">
                  <c:v>112.87128712871288</c:v>
                </c:pt>
                <c:pt idx="255">
                  <c:v>114.20560747663551</c:v>
                </c:pt>
                <c:pt idx="256">
                  <c:v>113.62157136215714</c:v>
                </c:pt>
                <c:pt idx="257">
                  <c:v>112.73062730627305</c:v>
                </c:pt>
                <c:pt idx="258">
                  <c:v>112.88683602771363</c:v>
                </c:pt>
                <c:pt idx="259">
                  <c:v>125.92081031307552</c:v>
                </c:pt>
                <c:pt idx="260">
                  <c:v>146.74908424908423</c:v>
                </c:pt>
                <c:pt idx="261">
                  <c:v>147.22094625631604</c:v>
                </c:pt>
                <c:pt idx="262">
                  <c:v>148.33333333333331</c:v>
                </c:pt>
                <c:pt idx="263">
                  <c:v>150.44621888210429</c:v>
                </c:pt>
                <c:pt idx="264">
                  <c:v>152.45121370775823</c:v>
                </c:pt>
                <c:pt idx="265">
                  <c:v>151.51371807000947</c:v>
                </c:pt>
                <c:pt idx="266">
                  <c:v>144.91244675816372</c:v>
                </c:pt>
                <c:pt idx="267">
                  <c:v>143.30969267139483</c:v>
                </c:pt>
                <c:pt idx="268">
                  <c:v>142.43421052631581</c:v>
                </c:pt>
                <c:pt idx="269">
                  <c:v>142.03373945641988</c:v>
                </c:pt>
                <c:pt idx="270">
                  <c:v>141.47141518275538</c:v>
                </c:pt>
                <c:pt idx="271">
                  <c:v>140.76492537313433</c:v>
                </c:pt>
                <c:pt idx="272">
                  <c:v>140.17649790989316</c:v>
                </c:pt>
                <c:pt idx="273">
                  <c:v>139.49074074074076</c:v>
                </c:pt>
                <c:pt idx="274">
                  <c:v>139.10433979686059</c:v>
                </c:pt>
                <c:pt idx="275">
                  <c:v>138.21100917431193</c:v>
                </c:pt>
                <c:pt idx="276">
                  <c:v>138.2744378155117</c:v>
                </c:pt>
                <c:pt idx="277">
                  <c:v>133.48540145985405</c:v>
                </c:pt>
                <c:pt idx="278">
                  <c:v>132.57816039873134</c:v>
                </c:pt>
                <c:pt idx="279">
                  <c:v>127.10951526032315</c:v>
                </c:pt>
                <c:pt idx="280">
                  <c:v>126.65474060822899</c:v>
                </c:pt>
                <c:pt idx="281">
                  <c:v>126.37215528781793</c:v>
                </c:pt>
                <c:pt idx="282">
                  <c:v>126.65474060822899</c:v>
                </c:pt>
                <c:pt idx="283">
                  <c:v>126.14699331848551</c:v>
                </c:pt>
                <c:pt idx="284">
                  <c:v>125.69906790945404</c:v>
                </c:pt>
                <c:pt idx="285">
                  <c:v>125.42072630646588</c:v>
                </c:pt>
                <c:pt idx="286">
                  <c:v>124.86772486772486</c:v>
                </c:pt>
                <c:pt idx="287">
                  <c:v>129.94746059544659</c:v>
                </c:pt>
                <c:pt idx="288">
                  <c:v>130.21834061135371</c:v>
                </c:pt>
                <c:pt idx="289">
                  <c:v>129.39904885430178</c:v>
                </c:pt>
                <c:pt idx="290">
                  <c:v>129.33333333333331</c:v>
                </c:pt>
                <c:pt idx="291">
                  <c:v>128.28498293515358</c:v>
                </c:pt>
                <c:pt idx="292">
                  <c:v>127.8486394557823</c:v>
                </c:pt>
                <c:pt idx="293">
                  <c:v>127.8486394557823</c:v>
                </c:pt>
                <c:pt idx="294">
                  <c:v>128.12100553898594</c:v>
                </c:pt>
                <c:pt idx="295">
                  <c:v>129.64845404489625</c:v>
                </c:pt>
                <c:pt idx="296">
                  <c:v>145.69146700294243</c:v>
                </c:pt>
                <c:pt idx="297">
                  <c:v>147.73109243697479</c:v>
                </c:pt>
                <c:pt idx="298">
                  <c:v>148.88888888888889</c:v>
                </c:pt>
                <c:pt idx="299">
                  <c:v>148.32915622389308</c:v>
                </c:pt>
                <c:pt idx="300">
                  <c:v>149.20168067226891</c:v>
                </c:pt>
                <c:pt idx="301">
                  <c:v>146.64443518132555</c:v>
                </c:pt>
                <c:pt idx="302">
                  <c:v>145.43189368770763</c:v>
                </c:pt>
                <c:pt idx="303">
                  <c:v>143.50515463917526</c:v>
                </c:pt>
                <c:pt idx="304">
                  <c:v>143.56435643564356</c:v>
                </c:pt>
                <c:pt idx="305">
                  <c:v>143.92059553349876</c:v>
                </c:pt>
                <c:pt idx="306">
                  <c:v>143.74225526641885</c:v>
                </c:pt>
                <c:pt idx="307">
                  <c:v>143.20987654320987</c:v>
                </c:pt>
                <c:pt idx="308">
                  <c:v>142.50614250614251</c:v>
                </c:pt>
                <c:pt idx="309">
                  <c:v>141.69381107491856</c:v>
                </c:pt>
                <c:pt idx="310">
                  <c:v>144.38110749185668</c:v>
                </c:pt>
                <c:pt idx="311">
                  <c:v>151.45867098865477</c:v>
                </c:pt>
                <c:pt idx="312">
                  <c:v>152.07485760781123</c:v>
                </c:pt>
                <c:pt idx="313">
                  <c:v>152.50403877221325</c:v>
                </c:pt>
                <c:pt idx="314">
                  <c:v>151.82951347004425</c:v>
                </c:pt>
                <c:pt idx="315">
                  <c:v>151.34268537074149</c:v>
                </c:pt>
                <c:pt idx="316">
                  <c:v>151.04000000000002</c:v>
                </c:pt>
                <c:pt idx="317">
                  <c:v>151.22146575891071</c:v>
                </c:pt>
                <c:pt idx="318">
                  <c:v>151.22146575891071</c:v>
                </c:pt>
                <c:pt idx="319">
                  <c:v>150.4382470119522</c:v>
                </c:pt>
                <c:pt idx="320">
                  <c:v>149.9007542675665</c:v>
                </c:pt>
                <c:pt idx="321">
                  <c:v>149.9007542675665</c:v>
                </c:pt>
                <c:pt idx="322">
                  <c:v>149.78183260610868</c:v>
                </c:pt>
                <c:pt idx="323">
                  <c:v>159.27387529597473</c:v>
                </c:pt>
                <c:pt idx="324">
                  <c:v>157.95724465558195</c:v>
                </c:pt>
                <c:pt idx="325">
                  <c:v>157.3170731707317</c:v>
                </c:pt>
                <c:pt idx="326">
                  <c:v>156.4756671899529</c:v>
                </c:pt>
                <c:pt idx="327">
                  <c:v>155.18185373484553</c:v>
                </c:pt>
                <c:pt idx="328">
                  <c:v>155.06057053536537</c:v>
                </c:pt>
                <c:pt idx="329">
                  <c:v>154.81857198595398</c:v>
                </c:pt>
                <c:pt idx="330">
                  <c:v>155</c:v>
                </c:pt>
                <c:pt idx="331">
                  <c:v>154.39688715953309</c:v>
                </c:pt>
                <c:pt idx="332">
                  <c:v>154.03726708074532</c:v>
                </c:pt>
                <c:pt idx="333">
                  <c:v>153.97749320915796</c:v>
                </c:pt>
                <c:pt idx="334">
                  <c:v>154.33683391676391</c:v>
                </c:pt>
                <c:pt idx="335">
                  <c:v>154.09708737864079</c:v>
                </c:pt>
                <c:pt idx="336">
                  <c:v>154.62020360219262</c:v>
                </c:pt>
                <c:pt idx="337">
                  <c:v>152.78535255161668</c:v>
                </c:pt>
                <c:pt idx="338">
                  <c:v>148.46363282769349</c:v>
                </c:pt>
                <c:pt idx="339">
                  <c:v>147.94573643410854</c:v>
                </c:pt>
                <c:pt idx="340">
                  <c:v>146.69245647969052</c:v>
                </c:pt>
                <c:pt idx="341">
                  <c:v>146.46581691772886</c:v>
                </c:pt>
                <c:pt idx="342">
                  <c:v>146.63573085846866</c:v>
                </c:pt>
                <c:pt idx="343">
                  <c:v>145.95842956120092</c:v>
                </c:pt>
                <c:pt idx="344">
                  <c:v>142.91217257318951</c:v>
                </c:pt>
                <c:pt idx="345">
                  <c:v>142.96724470134873</c:v>
                </c:pt>
                <c:pt idx="346">
                  <c:v>142.80215550423404</c:v>
                </c:pt>
                <c:pt idx="347">
                  <c:v>142.36377590176514</c:v>
                </c:pt>
                <c:pt idx="348">
                  <c:v>143.35394126738794</c:v>
                </c:pt>
                <c:pt idx="349">
                  <c:v>141.65384615384616</c:v>
                </c:pt>
                <c:pt idx="350">
                  <c:v>137.26541554959783</c:v>
                </c:pt>
                <c:pt idx="351">
                  <c:v>135.23335883703137</c:v>
                </c:pt>
                <c:pt idx="352">
                  <c:v>134.87218618847768</c:v>
                </c:pt>
                <c:pt idx="353">
                  <c:v>134.35955910300265</c:v>
                </c:pt>
                <c:pt idx="354">
                  <c:v>134.20652999240698</c:v>
                </c:pt>
                <c:pt idx="355">
                  <c:v>133.69894099848716</c:v>
                </c:pt>
                <c:pt idx="356">
                  <c:v>133.44658361645904</c:v>
                </c:pt>
                <c:pt idx="357">
                  <c:v>133.49697885196375</c:v>
                </c:pt>
                <c:pt idx="358">
                  <c:v>133.14500941619585</c:v>
                </c:pt>
                <c:pt idx="359">
                  <c:v>132.34743541744663</c:v>
                </c:pt>
                <c:pt idx="360">
                  <c:v>132.35404896421846</c:v>
                </c:pt>
                <c:pt idx="361">
                  <c:v>130.92399403874816</c:v>
                </c:pt>
                <c:pt idx="362">
                  <c:v>130.48644634236911</c:v>
                </c:pt>
                <c:pt idx="363">
                  <c:v>129.08351810790833</c:v>
                </c:pt>
                <c:pt idx="364">
                  <c:v>129.26021347073979</c:v>
                </c:pt>
                <c:pt idx="365">
                  <c:v>128.97539478516342</c:v>
                </c:pt>
                <c:pt idx="366">
                  <c:v>129.31476731403444</c:v>
                </c:pt>
                <c:pt idx="367">
                  <c:v>128.46741900254824</c:v>
                </c:pt>
                <c:pt idx="368">
                  <c:v>128.28062522719011</c:v>
                </c:pt>
                <c:pt idx="369">
                  <c:v>128.26007991282239</c:v>
                </c:pt>
                <c:pt idx="370">
                  <c:v>128.06381435823059</c:v>
                </c:pt>
                <c:pt idx="371">
                  <c:v>127.00467457749009</c:v>
                </c:pt>
                <c:pt idx="372">
                  <c:v>127.97101449275361</c:v>
                </c:pt>
                <c:pt idx="373">
                  <c:v>127.00467457749009</c:v>
                </c:pt>
                <c:pt idx="374">
                  <c:v>126.91340280273084</c:v>
                </c:pt>
                <c:pt idx="375">
                  <c:v>126.74293886306758</c:v>
                </c:pt>
                <c:pt idx="376">
                  <c:v>126.36266476665479</c:v>
                </c:pt>
                <c:pt idx="377">
                  <c:v>129.27175843694494</c:v>
                </c:pt>
                <c:pt idx="378">
                  <c:v>130.56443024494143</c:v>
                </c:pt>
                <c:pt idx="379">
                  <c:v>129.41590429275158</c:v>
                </c:pt>
                <c:pt idx="380">
                  <c:v>131.01020767335442</c:v>
                </c:pt>
                <c:pt idx="381">
                  <c:v>133.4622144112478</c:v>
                </c:pt>
                <c:pt idx="382">
                  <c:v>133.41531974701331</c:v>
                </c:pt>
                <c:pt idx="383">
                  <c:v>132.94817927170868</c:v>
                </c:pt>
                <c:pt idx="384">
                  <c:v>122.50883392226149</c:v>
                </c:pt>
                <c:pt idx="385">
                  <c:v>121.75438596491229</c:v>
                </c:pt>
                <c:pt idx="386">
                  <c:v>121.71168011224131</c:v>
                </c:pt>
                <c:pt idx="387">
                  <c:v>131.67938931297712</c:v>
                </c:pt>
                <c:pt idx="388">
                  <c:v>131.22406639004149</c:v>
                </c:pt>
                <c:pt idx="389">
                  <c:v>131.042817679558</c:v>
                </c:pt>
                <c:pt idx="390">
                  <c:v>131.0880829015544</c:v>
                </c:pt>
                <c:pt idx="391">
                  <c:v>130.09941720946179</c:v>
                </c:pt>
                <c:pt idx="392">
                  <c:v>130.41237113402062</c:v>
                </c:pt>
                <c:pt idx="393">
                  <c:v>119.0426997245179</c:v>
                </c:pt>
                <c:pt idx="394">
                  <c:v>118.79725085910653</c:v>
                </c:pt>
                <c:pt idx="395">
                  <c:v>118.43096951010621</c:v>
                </c:pt>
                <c:pt idx="396">
                  <c:v>118.96077081899517</c:v>
                </c:pt>
              </c:numCache>
            </c:numRef>
          </c:val>
          <c:smooth val="0"/>
          <c:extLst>
            <c:ext xmlns:c16="http://schemas.microsoft.com/office/drawing/2014/chart" uri="{C3380CC4-5D6E-409C-BE32-E72D297353CC}">
              <c16:uniqueId val="{00000002-43B7-4CEB-BF1E-4DF3FD7E2C64}"/>
            </c:ext>
          </c:extLst>
        </c:ser>
        <c:ser>
          <c:idx val="0"/>
          <c:order val="3"/>
          <c:tx>
            <c:v>Electricity</c:v>
          </c:tx>
          <c:spPr>
            <a:ln w="12700">
              <a:solidFill>
                <a:srgbClr val="7030A0"/>
              </a:solidFill>
            </a:ln>
          </c:spPr>
          <c:marker>
            <c:symbol val="none"/>
          </c:marker>
          <c:cat>
            <c:numRef>
              <c:f>'2.1.2 Prices ONS'!$A$576:$A$983</c:f>
              <c:numCache>
                <c:formatCode>General</c:formatCode>
                <c:ptCount val="408"/>
                <c:pt idx="0">
                  <c:v>1987</c:v>
                </c:pt>
                <c:pt idx="1">
                  <c:v>1987</c:v>
                </c:pt>
                <c:pt idx="2">
                  <c:v>1987</c:v>
                </c:pt>
                <c:pt idx="3">
                  <c:v>1987</c:v>
                </c:pt>
                <c:pt idx="4">
                  <c:v>1987</c:v>
                </c:pt>
                <c:pt idx="5">
                  <c:v>1987</c:v>
                </c:pt>
                <c:pt idx="6">
                  <c:v>1987</c:v>
                </c:pt>
                <c:pt idx="7">
                  <c:v>1987</c:v>
                </c:pt>
                <c:pt idx="8">
                  <c:v>1987</c:v>
                </c:pt>
                <c:pt idx="9">
                  <c:v>1987</c:v>
                </c:pt>
                <c:pt idx="10">
                  <c:v>1987</c:v>
                </c:pt>
                <c:pt idx="11">
                  <c:v>1987</c:v>
                </c:pt>
                <c:pt idx="12">
                  <c:v>1988</c:v>
                </c:pt>
                <c:pt idx="13">
                  <c:v>1988</c:v>
                </c:pt>
                <c:pt idx="14">
                  <c:v>1988</c:v>
                </c:pt>
                <c:pt idx="15">
                  <c:v>1988</c:v>
                </c:pt>
                <c:pt idx="16">
                  <c:v>1988</c:v>
                </c:pt>
                <c:pt idx="17">
                  <c:v>1988</c:v>
                </c:pt>
                <c:pt idx="18">
                  <c:v>1988</c:v>
                </c:pt>
                <c:pt idx="19">
                  <c:v>1988</c:v>
                </c:pt>
                <c:pt idx="20">
                  <c:v>1988</c:v>
                </c:pt>
                <c:pt idx="21">
                  <c:v>1988</c:v>
                </c:pt>
                <c:pt idx="22">
                  <c:v>1988</c:v>
                </c:pt>
                <c:pt idx="23">
                  <c:v>1988</c:v>
                </c:pt>
                <c:pt idx="24">
                  <c:v>1989</c:v>
                </c:pt>
                <c:pt idx="25">
                  <c:v>1989</c:v>
                </c:pt>
                <c:pt idx="26">
                  <c:v>1989</c:v>
                </c:pt>
                <c:pt idx="27">
                  <c:v>1989</c:v>
                </c:pt>
                <c:pt idx="28">
                  <c:v>1989</c:v>
                </c:pt>
                <c:pt idx="29">
                  <c:v>1989</c:v>
                </c:pt>
                <c:pt idx="30">
                  <c:v>1989</c:v>
                </c:pt>
                <c:pt idx="31">
                  <c:v>1989</c:v>
                </c:pt>
                <c:pt idx="32">
                  <c:v>1989</c:v>
                </c:pt>
                <c:pt idx="33">
                  <c:v>1989</c:v>
                </c:pt>
                <c:pt idx="34">
                  <c:v>1989</c:v>
                </c:pt>
                <c:pt idx="35">
                  <c:v>1989</c:v>
                </c:pt>
                <c:pt idx="36">
                  <c:v>1990</c:v>
                </c:pt>
                <c:pt idx="37">
                  <c:v>1990</c:v>
                </c:pt>
                <c:pt idx="38">
                  <c:v>1990</c:v>
                </c:pt>
                <c:pt idx="39">
                  <c:v>1990</c:v>
                </c:pt>
                <c:pt idx="40">
                  <c:v>1990</c:v>
                </c:pt>
                <c:pt idx="41">
                  <c:v>1990</c:v>
                </c:pt>
                <c:pt idx="42">
                  <c:v>1990</c:v>
                </c:pt>
                <c:pt idx="43">
                  <c:v>1990</c:v>
                </c:pt>
                <c:pt idx="44">
                  <c:v>1990</c:v>
                </c:pt>
                <c:pt idx="45">
                  <c:v>1990</c:v>
                </c:pt>
                <c:pt idx="46">
                  <c:v>1990</c:v>
                </c:pt>
                <c:pt idx="47">
                  <c:v>1990</c:v>
                </c:pt>
                <c:pt idx="48">
                  <c:v>1991</c:v>
                </c:pt>
                <c:pt idx="49">
                  <c:v>1991</c:v>
                </c:pt>
                <c:pt idx="50">
                  <c:v>1991</c:v>
                </c:pt>
                <c:pt idx="51">
                  <c:v>1991</c:v>
                </c:pt>
                <c:pt idx="52">
                  <c:v>1991</c:v>
                </c:pt>
                <c:pt idx="53">
                  <c:v>1991</c:v>
                </c:pt>
                <c:pt idx="54">
                  <c:v>1991</c:v>
                </c:pt>
                <c:pt idx="55">
                  <c:v>1991</c:v>
                </c:pt>
                <c:pt idx="56">
                  <c:v>1991</c:v>
                </c:pt>
                <c:pt idx="57">
                  <c:v>1991</c:v>
                </c:pt>
                <c:pt idx="58">
                  <c:v>1991</c:v>
                </c:pt>
                <c:pt idx="59">
                  <c:v>1991</c:v>
                </c:pt>
                <c:pt idx="60">
                  <c:v>1992</c:v>
                </c:pt>
                <c:pt idx="61">
                  <c:v>1992</c:v>
                </c:pt>
                <c:pt idx="62">
                  <c:v>1992</c:v>
                </c:pt>
                <c:pt idx="63">
                  <c:v>1992</c:v>
                </c:pt>
                <c:pt idx="64">
                  <c:v>1992</c:v>
                </c:pt>
                <c:pt idx="65">
                  <c:v>1992</c:v>
                </c:pt>
                <c:pt idx="66">
                  <c:v>1992</c:v>
                </c:pt>
                <c:pt idx="67">
                  <c:v>1992</c:v>
                </c:pt>
                <c:pt idx="68">
                  <c:v>1992</c:v>
                </c:pt>
                <c:pt idx="69">
                  <c:v>1992</c:v>
                </c:pt>
                <c:pt idx="70">
                  <c:v>1992</c:v>
                </c:pt>
                <c:pt idx="71">
                  <c:v>1992</c:v>
                </c:pt>
                <c:pt idx="72">
                  <c:v>1993</c:v>
                </c:pt>
                <c:pt idx="73">
                  <c:v>1993</c:v>
                </c:pt>
                <c:pt idx="74">
                  <c:v>1993</c:v>
                </c:pt>
                <c:pt idx="75">
                  <c:v>1993</c:v>
                </c:pt>
                <c:pt idx="76">
                  <c:v>1993</c:v>
                </c:pt>
                <c:pt idx="77">
                  <c:v>1993</c:v>
                </c:pt>
                <c:pt idx="78">
                  <c:v>1993</c:v>
                </c:pt>
                <c:pt idx="79">
                  <c:v>1993</c:v>
                </c:pt>
                <c:pt idx="80">
                  <c:v>1993</c:v>
                </c:pt>
                <c:pt idx="81">
                  <c:v>1993</c:v>
                </c:pt>
                <c:pt idx="82">
                  <c:v>1993</c:v>
                </c:pt>
                <c:pt idx="83">
                  <c:v>1993</c:v>
                </c:pt>
                <c:pt idx="84">
                  <c:v>1994</c:v>
                </c:pt>
                <c:pt idx="85">
                  <c:v>1994</c:v>
                </c:pt>
                <c:pt idx="86">
                  <c:v>1994</c:v>
                </c:pt>
                <c:pt idx="87">
                  <c:v>1994</c:v>
                </c:pt>
                <c:pt idx="88">
                  <c:v>1994</c:v>
                </c:pt>
                <c:pt idx="89">
                  <c:v>1994</c:v>
                </c:pt>
                <c:pt idx="90">
                  <c:v>1994</c:v>
                </c:pt>
                <c:pt idx="91">
                  <c:v>1994</c:v>
                </c:pt>
                <c:pt idx="92">
                  <c:v>1994</c:v>
                </c:pt>
                <c:pt idx="93">
                  <c:v>1994</c:v>
                </c:pt>
                <c:pt idx="94">
                  <c:v>1994</c:v>
                </c:pt>
                <c:pt idx="95">
                  <c:v>1994</c:v>
                </c:pt>
                <c:pt idx="96">
                  <c:v>1995</c:v>
                </c:pt>
                <c:pt idx="97">
                  <c:v>1995</c:v>
                </c:pt>
                <c:pt idx="98">
                  <c:v>1995</c:v>
                </c:pt>
                <c:pt idx="99">
                  <c:v>1995</c:v>
                </c:pt>
                <c:pt idx="100">
                  <c:v>1995</c:v>
                </c:pt>
                <c:pt idx="101">
                  <c:v>1995</c:v>
                </c:pt>
                <c:pt idx="102">
                  <c:v>1995</c:v>
                </c:pt>
                <c:pt idx="103">
                  <c:v>1995</c:v>
                </c:pt>
                <c:pt idx="104">
                  <c:v>1995</c:v>
                </c:pt>
                <c:pt idx="105">
                  <c:v>1995</c:v>
                </c:pt>
                <c:pt idx="106">
                  <c:v>1995</c:v>
                </c:pt>
                <c:pt idx="107">
                  <c:v>1995</c:v>
                </c:pt>
                <c:pt idx="108">
                  <c:v>1996</c:v>
                </c:pt>
                <c:pt idx="109">
                  <c:v>1996</c:v>
                </c:pt>
                <c:pt idx="110">
                  <c:v>1996</c:v>
                </c:pt>
                <c:pt idx="111">
                  <c:v>1996</c:v>
                </c:pt>
                <c:pt idx="112">
                  <c:v>1996</c:v>
                </c:pt>
                <c:pt idx="113">
                  <c:v>1996</c:v>
                </c:pt>
                <c:pt idx="114">
                  <c:v>1996</c:v>
                </c:pt>
                <c:pt idx="115">
                  <c:v>1996</c:v>
                </c:pt>
                <c:pt idx="116">
                  <c:v>1996</c:v>
                </c:pt>
                <c:pt idx="117">
                  <c:v>1996</c:v>
                </c:pt>
                <c:pt idx="118">
                  <c:v>1996</c:v>
                </c:pt>
                <c:pt idx="119">
                  <c:v>1996</c:v>
                </c:pt>
                <c:pt idx="120">
                  <c:v>1997</c:v>
                </c:pt>
                <c:pt idx="121">
                  <c:v>1997</c:v>
                </c:pt>
                <c:pt idx="122">
                  <c:v>1997</c:v>
                </c:pt>
                <c:pt idx="123">
                  <c:v>1997</c:v>
                </c:pt>
                <c:pt idx="124">
                  <c:v>1997</c:v>
                </c:pt>
                <c:pt idx="125">
                  <c:v>1997</c:v>
                </c:pt>
                <c:pt idx="126">
                  <c:v>1997</c:v>
                </c:pt>
                <c:pt idx="127">
                  <c:v>1997</c:v>
                </c:pt>
                <c:pt idx="128">
                  <c:v>1997</c:v>
                </c:pt>
                <c:pt idx="129">
                  <c:v>1997</c:v>
                </c:pt>
                <c:pt idx="130">
                  <c:v>1997</c:v>
                </c:pt>
                <c:pt idx="131">
                  <c:v>1997</c:v>
                </c:pt>
                <c:pt idx="132">
                  <c:v>1998</c:v>
                </c:pt>
                <c:pt idx="133">
                  <c:v>1998</c:v>
                </c:pt>
                <c:pt idx="134">
                  <c:v>1998</c:v>
                </c:pt>
                <c:pt idx="135">
                  <c:v>1998</c:v>
                </c:pt>
                <c:pt idx="136">
                  <c:v>1998</c:v>
                </c:pt>
                <c:pt idx="137">
                  <c:v>1998</c:v>
                </c:pt>
                <c:pt idx="138">
                  <c:v>1998</c:v>
                </c:pt>
                <c:pt idx="139">
                  <c:v>1998</c:v>
                </c:pt>
                <c:pt idx="140">
                  <c:v>1998</c:v>
                </c:pt>
                <c:pt idx="141">
                  <c:v>1998</c:v>
                </c:pt>
                <c:pt idx="142">
                  <c:v>1998</c:v>
                </c:pt>
                <c:pt idx="143">
                  <c:v>1998</c:v>
                </c:pt>
                <c:pt idx="144">
                  <c:v>1999</c:v>
                </c:pt>
                <c:pt idx="145">
                  <c:v>1999</c:v>
                </c:pt>
                <c:pt idx="146">
                  <c:v>1999</c:v>
                </c:pt>
                <c:pt idx="147">
                  <c:v>1999</c:v>
                </c:pt>
                <c:pt idx="148">
                  <c:v>1999</c:v>
                </c:pt>
                <c:pt idx="149">
                  <c:v>1999</c:v>
                </c:pt>
                <c:pt idx="150">
                  <c:v>1999</c:v>
                </c:pt>
                <c:pt idx="151">
                  <c:v>1999</c:v>
                </c:pt>
                <c:pt idx="152">
                  <c:v>1999</c:v>
                </c:pt>
                <c:pt idx="153">
                  <c:v>1999</c:v>
                </c:pt>
                <c:pt idx="154">
                  <c:v>1999</c:v>
                </c:pt>
                <c:pt idx="155">
                  <c:v>1999</c:v>
                </c:pt>
                <c:pt idx="156">
                  <c:v>2000</c:v>
                </c:pt>
                <c:pt idx="157">
                  <c:v>2000</c:v>
                </c:pt>
                <c:pt idx="158">
                  <c:v>2000</c:v>
                </c:pt>
                <c:pt idx="159">
                  <c:v>2000</c:v>
                </c:pt>
                <c:pt idx="160">
                  <c:v>2000</c:v>
                </c:pt>
                <c:pt idx="161">
                  <c:v>2000</c:v>
                </c:pt>
                <c:pt idx="162">
                  <c:v>2000</c:v>
                </c:pt>
                <c:pt idx="163">
                  <c:v>2000</c:v>
                </c:pt>
                <c:pt idx="164">
                  <c:v>2000</c:v>
                </c:pt>
                <c:pt idx="165">
                  <c:v>2000</c:v>
                </c:pt>
                <c:pt idx="166">
                  <c:v>2000</c:v>
                </c:pt>
                <c:pt idx="167">
                  <c:v>2000</c:v>
                </c:pt>
                <c:pt idx="168">
                  <c:v>2001</c:v>
                </c:pt>
                <c:pt idx="169">
                  <c:v>2001</c:v>
                </c:pt>
                <c:pt idx="170">
                  <c:v>2001</c:v>
                </c:pt>
                <c:pt idx="171">
                  <c:v>2001</c:v>
                </c:pt>
                <c:pt idx="172">
                  <c:v>2001</c:v>
                </c:pt>
                <c:pt idx="173">
                  <c:v>2001</c:v>
                </c:pt>
                <c:pt idx="174">
                  <c:v>2001</c:v>
                </c:pt>
                <c:pt idx="175">
                  <c:v>2001</c:v>
                </c:pt>
                <c:pt idx="176">
                  <c:v>2001</c:v>
                </c:pt>
                <c:pt idx="177">
                  <c:v>2001</c:v>
                </c:pt>
                <c:pt idx="178">
                  <c:v>2001</c:v>
                </c:pt>
                <c:pt idx="179">
                  <c:v>2001</c:v>
                </c:pt>
                <c:pt idx="180">
                  <c:v>2002</c:v>
                </c:pt>
                <c:pt idx="181">
                  <c:v>2002</c:v>
                </c:pt>
                <c:pt idx="182">
                  <c:v>2002</c:v>
                </c:pt>
                <c:pt idx="183">
                  <c:v>2002</c:v>
                </c:pt>
                <c:pt idx="184">
                  <c:v>2002</c:v>
                </c:pt>
                <c:pt idx="185">
                  <c:v>2002</c:v>
                </c:pt>
                <c:pt idx="186">
                  <c:v>2002</c:v>
                </c:pt>
                <c:pt idx="187">
                  <c:v>2002</c:v>
                </c:pt>
                <c:pt idx="188">
                  <c:v>2002</c:v>
                </c:pt>
                <c:pt idx="189">
                  <c:v>2002</c:v>
                </c:pt>
                <c:pt idx="190">
                  <c:v>2002</c:v>
                </c:pt>
                <c:pt idx="191">
                  <c:v>2002</c:v>
                </c:pt>
                <c:pt idx="192">
                  <c:v>2003</c:v>
                </c:pt>
                <c:pt idx="193">
                  <c:v>2003</c:v>
                </c:pt>
                <c:pt idx="194">
                  <c:v>2003</c:v>
                </c:pt>
                <c:pt idx="195">
                  <c:v>2003</c:v>
                </c:pt>
                <c:pt idx="196">
                  <c:v>2003</c:v>
                </c:pt>
                <c:pt idx="197">
                  <c:v>2003</c:v>
                </c:pt>
                <c:pt idx="198">
                  <c:v>2003</c:v>
                </c:pt>
                <c:pt idx="199">
                  <c:v>2003</c:v>
                </c:pt>
                <c:pt idx="200">
                  <c:v>2003</c:v>
                </c:pt>
                <c:pt idx="201">
                  <c:v>2003</c:v>
                </c:pt>
                <c:pt idx="202">
                  <c:v>2003</c:v>
                </c:pt>
                <c:pt idx="203">
                  <c:v>2003</c:v>
                </c:pt>
                <c:pt idx="204">
                  <c:v>2004</c:v>
                </c:pt>
                <c:pt idx="205">
                  <c:v>2004</c:v>
                </c:pt>
                <c:pt idx="206">
                  <c:v>2004</c:v>
                </c:pt>
                <c:pt idx="207">
                  <c:v>2004</c:v>
                </c:pt>
                <c:pt idx="208">
                  <c:v>2004</c:v>
                </c:pt>
                <c:pt idx="209">
                  <c:v>2004</c:v>
                </c:pt>
                <c:pt idx="210">
                  <c:v>2004</c:v>
                </c:pt>
                <c:pt idx="211">
                  <c:v>2004</c:v>
                </c:pt>
                <c:pt idx="212">
                  <c:v>2004</c:v>
                </c:pt>
                <c:pt idx="213">
                  <c:v>2004</c:v>
                </c:pt>
                <c:pt idx="214">
                  <c:v>2004</c:v>
                </c:pt>
                <c:pt idx="215">
                  <c:v>2004</c:v>
                </c:pt>
                <c:pt idx="216">
                  <c:v>2005</c:v>
                </c:pt>
                <c:pt idx="217">
                  <c:v>2005</c:v>
                </c:pt>
                <c:pt idx="218">
                  <c:v>2005</c:v>
                </c:pt>
                <c:pt idx="219">
                  <c:v>2005</c:v>
                </c:pt>
                <c:pt idx="220">
                  <c:v>2005</c:v>
                </c:pt>
                <c:pt idx="221">
                  <c:v>2005</c:v>
                </c:pt>
                <c:pt idx="222">
                  <c:v>2005</c:v>
                </c:pt>
                <c:pt idx="223">
                  <c:v>2005</c:v>
                </c:pt>
                <c:pt idx="224">
                  <c:v>2005</c:v>
                </c:pt>
                <c:pt idx="225">
                  <c:v>2005</c:v>
                </c:pt>
                <c:pt idx="226">
                  <c:v>2005</c:v>
                </c:pt>
                <c:pt idx="227">
                  <c:v>2005</c:v>
                </c:pt>
                <c:pt idx="228">
                  <c:v>2006</c:v>
                </c:pt>
                <c:pt idx="229">
                  <c:v>2006</c:v>
                </c:pt>
                <c:pt idx="230">
                  <c:v>2006</c:v>
                </c:pt>
                <c:pt idx="231">
                  <c:v>2006</c:v>
                </c:pt>
                <c:pt idx="232">
                  <c:v>2006</c:v>
                </c:pt>
                <c:pt idx="233">
                  <c:v>2006</c:v>
                </c:pt>
                <c:pt idx="234">
                  <c:v>2006</c:v>
                </c:pt>
                <c:pt idx="235">
                  <c:v>2006</c:v>
                </c:pt>
                <c:pt idx="236">
                  <c:v>2006</c:v>
                </c:pt>
                <c:pt idx="237">
                  <c:v>2006</c:v>
                </c:pt>
                <c:pt idx="238">
                  <c:v>2006</c:v>
                </c:pt>
                <c:pt idx="239">
                  <c:v>2006</c:v>
                </c:pt>
                <c:pt idx="240">
                  <c:v>2007</c:v>
                </c:pt>
                <c:pt idx="241">
                  <c:v>2007</c:v>
                </c:pt>
                <c:pt idx="242">
                  <c:v>2007</c:v>
                </c:pt>
                <c:pt idx="243">
                  <c:v>2007</c:v>
                </c:pt>
                <c:pt idx="244">
                  <c:v>2007</c:v>
                </c:pt>
                <c:pt idx="245">
                  <c:v>2007</c:v>
                </c:pt>
                <c:pt idx="246">
                  <c:v>2007</c:v>
                </c:pt>
                <c:pt idx="247">
                  <c:v>2007</c:v>
                </c:pt>
                <c:pt idx="248">
                  <c:v>2007</c:v>
                </c:pt>
                <c:pt idx="249">
                  <c:v>2007</c:v>
                </c:pt>
                <c:pt idx="250">
                  <c:v>2007</c:v>
                </c:pt>
                <c:pt idx="251">
                  <c:v>2007</c:v>
                </c:pt>
                <c:pt idx="252">
                  <c:v>2008</c:v>
                </c:pt>
                <c:pt idx="253">
                  <c:v>2008</c:v>
                </c:pt>
                <c:pt idx="254">
                  <c:v>2008</c:v>
                </c:pt>
                <c:pt idx="255">
                  <c:v>2008</c:v>
                </c:pt>
                <c:pt idx="256">
                  <c:v>2008</c:v>
                </c:pt>
                <c:pt idx="257">
                  <c:v>2008</c:v>
                </c:pt>
                <c:pt idx="258">
                  <c:v>2008</c:v>
                </c:pt>
                <c:pt idx="259">
                  <c:v>2008</c:v>
                </c:pt>
                <c:pt idx="260">
                  <c:v>2008</c:v>
                </c:pt>
                <c:pt idx="261">
                  <c:v>2008</c:v>
                </c:pt>
                <c:pt idx="262">
                  <c:v>2008</c:v>
                </c:pt>
                <c:pt idx="263">
                  <c:v>2008</c:v>
                </c:pt>
                <c:pt idx="264">
                  <c:v>2009</c:v>
                </c:pt>
                <c:pt idx="265">
                  <c:v>2009</c:v>
                </c:pt>
                <c:pt idx="266">
                  <c:v>2009</c:v>
                </c:pt>
                <c:pt idx="267">
                  <c:v>2009</c:v>
                </c:pt>
                <c:pt idx="268">
                  <c:v>2009</c:v>
                </c:pt>
                <c:pt idx="269">
                  <c:v>2009</c:v>
                </c:pt>
                <c:pt idx="270">
                  <c:v>2009</c:v>
                </c:pt>
                <c:pt idx="271">
                  <c:v>2009</c:v>
                </c:pt>
                <c:pt idx="272">
                  <c:v>2009</c:v>
                </c:pt>
                <c:pt idx="273">
                  <c:v>2009</c:v>
                </c:pt>
                <c:pt idx="274">
                  <c:v>2009</c:v>
                </c:pt>
                <c:pt idx="275">
                  <c:v>2009</c:v>
                </c:pt>
                <c:pt idx="276">
                  <c:v>2010</c:v>
                </c:pt>
                <c:pt idx="277">
                  <c:v>2010</c:v>
                </c:pt>
                <c:pt idx="278">
                  <c:v>2010</c:v>
                </c:pt>
                <c:pt idx="279">
                  <c:v>2010</c:v>
                </c:pt>
                <c:pt idx="280">
                  <c:v>2010</c:v>
                </c:pt>
                <c:pt idx="281">
                  <c:v>2010</c:v>
                </c:pt>
                <c:pt idx="282">
                  <c:v>2010</c:v>
                </c:pt>
                <c:pt idx="283">
                  <c:v>2010</c:v>
                </c:pt>
                <c:pt idx="284">
                  <c:v>2010</c:v>
                </c:pt>
                <c:pt idx="285">
                  <c:v>2010</c:v>
                </c:pt>
                <c:pt idx="286">
                  <c:v>2010</c:v>
                </c:pt>
                <c:pt idx="287">
                  <c:v>2010</c:v>
                </c:pt>
                <c:pt idx="288">
                  <c:v>2011</c:v>
                </c:pt>
                <c:pt idx="289">
                  <c:v>2011</c:v>
                </c:pt>
                <c:pt idx="290">
                  <c:v>2011</c:v>
                </c:pt>
                <c:pt idx="291">
                  <c:v>2011</c:v>
                </c:pt>
                <c:pt idx="292">
                  <c:v>2011</c:v>
                </c:pt>
                <c:pt idx="293">
                  <c:v>2011</c:v>
                </c:pt>
                <c:pt idx="294">
                  <c:v>2011</c:v>
                </c:pt>
                <c:pt idx="295">
                  <c:v>2011</c:v>
                </c:pt>
                <c:pt idx="296">
                  <c:v>2011</c:v>
                </c:pt>
                <c:pt idx="297">
                  <c:v>2011</c:v>
                </c:pt>
                <c:pt idx="298">
                  <c:v>2011</c:v>
                </c:pt>
                <c:pt idx="299">
                  <c:v>2011</c:v>
                </c:pt>
                <c:pt idx="300">
                  <c:v>2012</c:v>
                </c:pt>
                <c:pt idx="301">
                  <c:v>2012</c:v>
                </c:pt>
                <c:pt idx="302">
                  <c:v>2012</c:v>
                </c:pt>
                <c:pt idx="303">
                  <c:v>2012</c:v>
                </c:pt>
                <c:pt idx="304">
                  <c:v>2012</c:v>
                </c:pt>
                <c:pt idx="305">
                  <c:v>2012</c:v>
                </c:pt>
                <c:pt idx="306">
                  <c:v>2012</c:v>
                </c:pt>
                <c:pt idx="307">
                  <c:v>2012</c:v>
                </c:pt>
                <c:pt idx="308">
                  <c:v>2012</c:v>
                </c:pt>
                <c:pt idx="309">
                  <c:v>2012</c:v>
                </c:pt>
                <c:pt idx="310">
                  <c:v>2012</c:v>
                </c:pt>
                <c:pt idx="311">
                  <c:v>2012</c:v>
                </c:pt>
                <c:pt idx="312">
                  <c:v>2013</c:v>
                </c:pt>
                <c:pt idx="313">
                  <c:v>2013</c:v>
                </c:pt>
                <c:pt idx="314">
                  <c:v>2013</c:v>
                </c:pt>
                <c:pt idx="315">
                  <c:v>2013</c:v>
                </c:pt>
                <c:pt idx="316">
                  <c:v>2013</c:v>
                </c:pt>
                <c:pt idx="317">
                  <c:v>2013</c:v>
                </c:pt>
                <c:pt idx="318">
                  <c:v>2013</c:v>
                </c:pt>
                <c:pt idx="319">
                  <c:v>2013</c:v>
                </c:pt>
                <c:pt idx="320">
                  <c:v>2013</c:v>
                </c:pt>
                <c:pt idx="321">
                  <c:v>2013</c:v>
                </c:pt>
                <c:pt idx="322">
                  <c:v>2013</c:v>
                </c:pt>
                <c:pt idx="323">
                  <c:v>2013</c:v>
                </c:pt>
                <c:pt idx="324">
                  <c:v>2014</c:v>
                </c:pt>
                <c:pt idx="325">
                  <c:v>2014</c:v>
                </c:pt>
                <c:pt idx="326">
                  <c:v>2014</c:v>
                </c:pt>
                <c:pt idx="327">
                  <c:v>2014</c:v>
                </c:pt>
                <c:pt idx="328">
                  <c:v>2014</c:v>
                </c:pt>
                <c:pt idx="329">
                  <c:v>2014</c:v>
                </c:pt>
                <c:pt idx="330">
                  <c:v>2014</c:v>
                </c:pt>
                <c:pt idx="331">
                  <c:v>2014</c:v>
                </c:pt>
                <c:pt idx="332">
                  <c:v>2014</c:v>
                </c:pt>
                <c:pt idx="333">
                  <c:v>2014</c:v>
                </c:pt>
                <c:pt idx="334">
                  <c:v>2014</c:v>
                </c:pt>
                <c:pt idx="335">
                  <c:v>2014</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2016</c:v>
                </c:pt>
                <c:pt idx="349">
                  <c:v>2016</c:v>
                </c:pt>
                <c:pt idx="350">
                  <c:v>2016</c:v>
                </c:pt>
                <c:pt idx="351">
                  <c:v>2016</c:v>
                </c:pt>
                <c:pt idx="352">
                  <c:v>2016</c:v>
                </c:pt>
                <c:pt idx="353">
                  <c:v>2016</c:v>
                </c:pt>
                <c:pt idx="354">
                  <c:v>2016</c:v>
                </c:pt>
                <c:pt idx="355">
                  <c:v>2016</c:v>
                </c:pt>
                <c:pt idx="356">
                  <c:v>2016</c:v>
                </c:pt>
                <c:pt idx="357">
                  <c:v>2016</c:v>
                </c:pt>
                <c:pt idx="358">
                  <c:v>2016</c:v>
                </c:pt>
                <c:pt idx="359">
                  <c:v>2016</c:v>
                </c:pt>
                <c:pt idx="360">
                  <c:v>2017</c:v>
                </c:pt>
                <c:pt idx="361">
                  <c:v>2017</c:v>
                </c:pt>
                <c:pt idx="362">
                  <c:v>2017</c:v>
                </c:pt>
                <c:pt idx="363">
                  <c:v>2017</c:v>
                </c:pt>
                <c:pt idx="364">
                  <c:v>2017</c:v>
                </c:pt>
                <c:pt idx="365">
                  <c:v>2017</c:v>
                </c:pt>
                <c:pt idx="366">
                  <c:v>2017</c:v>
                </c:pt>
                <c:pt idx="367">
                  <c:v>2017</c:v>
                </c:pt>
                <c:pt idx="368">
                  <c:v>2017</c:v>
                </c:pt>
                <c:pt idx="369">
                  <c:v>2017</c:v>
                </c:pt>
                <c:pt idx="370">
                  <c:v>2017</c:v>
                </c:pt>
                <c:pt idx="371">
                  <c:v>2017</c:v>
                </c:pt>
                <c:pt idx="372">
                  <c:v>2018</c:v>
                </c:pt>
                <c:pt idx="373">
                  <c:v>2018</c:v>
                </c:pt>
                <c:pt idx="374">
                  <c:v>2018</c:v>
                </c:pt>
                <c:pt idx="375">
                  <c:v>2018</c:v>
                </c:pt>
                <c:pt idx="376">
                  <c:v>2018</c:v>
                </c:pt>
                <c:pt idx="377">
                  <c:v>2018</c:v>
                </c:pt>
                <c:pt idx="378">
                  <c:v>2018</c:v>
                </c:pt>
                <c:pt idx="379">
                  <c:v>2018</c:v>
                </c:pt>
                <c:pt idx="380">
                  <c:v>2018</c:v>
                </c:pt>
                <c:pt idx="381">
                  <c:v>2018</c:v>
                </c:pt>
                <c:pt idx="382">
                  <c:v>2018</c:v>
                </c:pt>
                <c:pt idx="383">
                  <c:v>2018</c:v>
                </c:pt>
                <c:pt idx="384">
                  <c:v>2019</c:v>
                </c:pt>
                <c:pt idx="385">
                  <c:v>2019</c:v>
                </c:pt>
                <c:pt idx="386">
                  <c:v>2019</c:v>
                </c:pt>
                <c:pt idx="387">
                  <c:v>2019</c:v>
                </c:pt>
                <c:pt idx="388">
                  <c:v>2019</c:v>
                </c:pt>
                <c:pt idx="389">
                  <c:v>2019</c:v>
                </c:pt>
                <c:pt idx="390">
                  <c:v>2019</c:v>
                </c:pt>
                <c:pt idx="391">
                  <c:v>2019</c:v>
                </c:pt>
                <c:pt idx="392">
                  <c:v>2019</c:v>
                </c:pt>
                <c:pt idx="393">
                  <c:v>2019</c:v>
                </c:pt>
                <c:pt idx="394">
                  <c:v>2019</c:v>
                </c:pt>
                <c:pt idx="395">
                  <c:v>2019</c:v>
                </c:pt>
                <c:pt idx="396">
                  <c:v>2020</c:v>
                </c:pt>
                <c:pt idx="397">
                  <c:v>2020</c:v>
                </c:pt>
                <c:pt idx="398">
                  <c:v>2020</c:v>
                </c:pt>
                <c:pt idx="399">
                  <c:v>2020</c:v>
                </c:pt>
                <c:pt idx="400">
                  <c:v>2020</c:v>
                </c:pt>
                <c:pt idx="401">
                  <c:v>2020</c:v>
                </c:pt>
                <c:pt idx="402">
                  <c:v>2020</c:v>
                </c:pt>
                <c:pt idx="403">
                  <c:v>2020</c:v>
                </c:pt>
                <c:pt idx="404">
                  <c:v>2020</c:v>
                </c:pt>
                <c:pt idx="405">
                  <c:v>2020</c:v>
                </c:pt>
                <c:pt idx="406">
                  <c:v>2020</c:v>
                </c:pt>
                <c:pt idx="407">
                  <c:v>2020</c:v>
                </c:pt>
              </c:numCache>
            </c:numRef>
          </c:cat>
          <c:val>
            <c:numRef>
              <c:f>'2.1.2 Prices ONS'!$J$576:$J$983</c:f>
              <c:numCache>
                <c:formatCode>_(* #,##0.0_);_(* \(#,##0.0\);_(* "-"??_);_(@_)</c:formatCode>
                <c:ptCount val="408"/>
                <c:pt idx="0">
                  <c:v>100</c:v>
                </c:pt>
                <c:pt idx="1">
                  <c:v>99.601593625497998</c:v>
                </c:pt>
                <c:pt idx="2">
                  <c:v>99.40357852882704</c:v>
                </c:pt>
                <c:pt idx="3">
                  <c:v>98.231827111984288</c:v>
                </c:pt>
                <c:pt idx="4">
                  <c:v>98.135426889106952</c:v>
                </c:pt>
                <c:pt idx="5">
                  <c:v>98.135426889106952</c:v>
                </c:pt>
                <c:pt idx="6">
                  <c:v>98.231827111984288</c:v>
                </c:pt>
                <c:pt idx="7">
                  <c:v>97.943192948090115</c:v>
                </c:pt>
                <c:pt idx="8">
                  <c:v>97.65625</c:v>
                </c:pt>
                <c:pt idx="9">
                  <c:v>97.181729834791057</c:v>
                </c:pt>
                <c:pt idx="10">
                  <c:v>96.71179883945841</c:v>
                </c:pt>
                <c:pt idx="11">
                  <c:v>96.805421103581807</c:v>
                </c:pt>
                <c:pt idx="12">
                  <c:v>96.805421103581807</c:v>
                </c:pt>
                <c:pt idx="13">
                  <c:v>96.432015429122458</c:v>
                </c:pt>
                <c:pt idx="14">
                  <c:v>96.061479346781937</c:v>
                </c:pt>
                <c:pt idx="15">
                  <c:v>96.124763705103973</c:v>
                </c:pt>
                <c:pt idx="16">
                  <c:v>98.305084745762713</c:v>
                </c:pt>
                <c:pt idx="17">
                  <c:v>100.46904315196998</c:v>
                </c:pt>
                <c:pt idx="18">
                  <c:v>101.78069353327083</c:v>
                </c:pt>
                <c:pt idx="19">
                  <c:v>100.6487488415199</c:v>
                </c:pt>
                <c:pt idx="20">
                  <c:v>100.18450184501843</c:v>
                </c:pt>
                <c:pt idx="21">
                  <c:v>99.178082191780817</c:v>
                </c:pt>
                <c:pt idx="22">
                  <c:v>98.72727272727272</c:v>
                </c:pt>
                <c:pt idx="23">
                  <c:v>98.458748866727106</c:v>
                </c:pt>
                <c:pt idx="24">
                  <c:v>97.837837837837839</c:v>
                </c:pt>
                <c:pt idx="25">
                  <c:v>97.137745974955266</c:v>
                </c:pt>
                <c:pt idx="26">
                  <c:v>96.705253784505786</c:v>
                </c:pt>
                <c:pt idx="27">
                  <c:v>96.237970253718288</c:v>
                </c:pt>
                <c:pt idx="28">
                  <c:v>97.65217391304347</c:v>
                </c:pt>
                <c:pt idx="29">
                  <c:v>99.13344887348353</c:v>
                </c:pt>
                <c:pt idx="30">
                  <c:v>100.17316017316018</c:v>
                </c:pt>
                <c:pt idx="31">
                  <c:v>99.91364421416236</c:v>
                </c:pt>
                <c:pt idx="32">
                  <c:v>99.228130360205839</c:v>
                </c:pt>
                <c:pt idx="33">
                  <c:v>98.468085106382986</c:v>
                </c:pt>
                <c:pt idx="34">
                  <c:v>97.637130801687761</c:v>
                </c:pt>
                <c:pt idx="35">
                  <c:v>97.390572390572387</c:v>
                </c:pt>
                <c:pt idx="36">
                  <c:v>96.820083682008374</c:v>
                </c:pt>
                <c:pt idx="37">
                  <c:v>96.256239600665566</c:v>
                </c:pt>
                <c:pt idx="38">
                  <c:v>95.304777594728179</c:v>
                </c:pt>
                <c:pt idx="39">
                  <c:v>93.44524380495605</c:v>
                </c:pt>
                <c:pt idx="40">
                  <c:v>95.958795562599036</c:v>
                </c:pt>
                <c:pt idx="41">
                  <c:v>98.10576164167324</c:v>
                </c:pt>
                <c:pt idx="42">
                  <c:v>99.526813880126184</c:v>
                </c:pt>
                <c:pt idx="43">
                  <c:v>98.516783762685407</c:v>
                </c:pt>
                <c:pt idx="44">
                  <c:v>97.602474864655832</c:v>
                </c:pt>
                <c:pt idx="45">
                  <c:v>96.853415195702226</c:v>
                </c:pt>
                <c:pt idx="46">
                  <c:v>97.07692307692308</c:v>
                </c:pt>
                <c:pt idx="47">
                  <c:v>97.151655119322555</c:v>
                </c:pt>
                <c:pt idx="48">
                  <c:v>96.927803379416289</c:v>
                </c:pt>
                <c:pt idx="49">
                  <c:v>96.409472880061102</c:v>
                </c:pt>
                <c:pt idx="50">
                  <c:v>96.042617960426185</c:v>
                </c:pt>
                <c:pt idx="51">
                  <c:v>96.619083395942894</c:v>
                </c:pt>
                <c:pt idx="52">
                  <c:v>99.400749063670403</c:v>
                </c:pt>
                <c:pt idx="53">
                  <c:v>102.01342281879195</c:v>
                </c:pt>
                <c:pt idx="54">
                  <c:v>104.33482810164423</c:v>
                </c:pt>
                <c:pt idx="55">
                  <c:v>104.1014168530947</c:v>
                </c:pt>
                <c:pt idx="56">
                  <c:v>103.71471025260031</c:v>
                </c:pt>
                <c:pt idx="57">
                  <c:v>103.33086602516654</c:v>
                </c:pt>
                <c:pt idx="58">
                  <c:v>102.94985250737463</c:v>
                </c:pt>
                <c:pt idx="59">
                  <c:v>102.87398673544584</c:v>
                </c:pt>
                <c:pt idx="60">
                  <c:v>102.94985250737463</c:v>
                </c:pt>
                <c:pt idx="61">
                  <c:v>102.42112986060161</c:v>
                </c:pt>
                <c:pt idx="62">
                  <c:v>102.12143379663496</c:v>
                </c:pt>
                <c:pt idx="63">
                  <c:v>100.86455331412103</c:v>
                </c:pt>
                <c:pt idx="64">
                  <c:v>101.22038765254844</c:v>
                </c:pt>
                <c:pt idx="65">
                  <c:v>101.93826274228283</c:v>
                </c:pt>
                <c:pt idx="66">
                  <c:v>102.80979827089337</c:v>
                </c:pt>
                <c:pt idx="67">
                  <c:v>102.73578113750898</c:v>
                </c:pt>
                <c:pt idx="68">
                  <c:v>102.36728837876612</c:v>
                </c:pt>
                <c:pt idx="69">
                  <c:v>102.00142959256611</c:v>
                </c:pt>
                <c:pt idx="70">
                  <c:v>102.14745884037222</c:v>
                </c:pt>
                <c:pt idx="71">
                  <c:v>102.51436781609196</c:v>
                </c:pt>
                <c:pt idx="72">
                  <c:v>103.48078317621463</c:v>
                </c:pt>
                <c:pt idx="73">
                  <c:v>102.80979827089337</c:v>
                </c:pt>
                <c:pt idx="74">
                  <c:v>102.44077530509689</c:v>
                </c:pt>
                <c:pt idx="75">
                  <c:v>101.2091038406828</c:v>
                </c:pt>
                <c:pt idx="76">
                  <c:v>100.1417434443657</c:v>
                </c:pt>
                <c:pt idx="77">
                  <c:v>99.574468085106389</c:v>
                </c:pt>
                <c:pt idx="78">
                  <c:v>99.502487562189074</c:v>
                </c:pt>
                <c:pt idx="79">
                  <c:v>99.150743099787675</c:v>
                </c:pt>
                <c:pt idx="80">
                  <c:v>98.80197322057785</c:v>
                </c:pt>
                <c:pt idx="81">
                  <c:v>98.871650211565566</c:v>
                </c:pt>
                <c:pt idx="82">
                  <c:v>98.870056497175142</c:v>
                </c:pt>
                <c:pt idx="83">
                  <c:v>98.379140239605348</c:v>
                </c:pt>
                <c:pt idx="84">
                  <c:v>98.513800424628442</c:v>
                </c:pt>
                <c:pt idx="85">
                  <c:v>97.396199859254054</c:v>
                </c:pt>
                <c:pt idx="86">
                  <c:v>96.631578947368411</c:v>
                </c:pt>
                <c:pt idx="87">
                  <c:v>102.91262135922332</c:v>
                </c:pt>
                <c:pt idx="88">
                  <c:v>102.07325501036628</c:v>
                </c:pt>
                <c:pt idx="89">
                  <c:v>102.00414651002075</c:v>
                </c:pt>
                <c:pt idx="90">
                  <c:v>102.98611111111111</c:v>
                </c:pt>
                <c:pt idx="91">
                  <c:v>102.90255701451281</c:v>
                </c:pt>
                <c:pt idx="92">
                  <c:v>102.48275862068965</c:v>
                </c:pt>
                <c:pt idx="93">
                  <c:v>101.92837465564739</c:v>
                </c:pt>
                <c:pt idx="94">
                  <c:v>101.65175498967652</c:v>
                </c:pt>
                <c:pt idx="95">
                  <c:v>101.23287671232876</c:v>
                </c:pt>
                <c:pt idx="96">
                  <c:v>101.36986301369863</c:v>
                </c:pt>
                <c:pt idx="97">
                  <c:v>100.68073519400953</c:v>
                </c:pt>
                <c:pt idx="98">
                  <c:v>100.13559322033898</c:v>
                </c:pt>
                <c:pt idx="99">
                  <c:v>99.194630872483231</c:v>
                </c:pt>
                <c:pt idx="100">
                  <c:v>98.596256684491976</c:v>
                </c:pt>
                <c:pt idx="101">
                  <c:v>98.397863818424554</c:v>
                </c:pt>
                <c:pt idx="102">
                  <c:v>99.061032863849761</c:v>
                </c:pt>
                <c:pt idx="103">
                  <c:v>98.532354903268839</c:v>
                </c:pt>
                <c:pt idx="104">
                  <c:v>98.074369189907031</c:v>
                </c:pt>
                <c:pt idx="105">
                  <c:v>98.531375166889177</c:v>
                </c:pt>
                <c:pt idx="106">
                  <c:v>98.464619492656865</c:v>
                </c:pt>
                <c:pt idx="107">
                  <c:v>97.876575978765771</c:v>
                </c:pt>
                <c:pt idx="108">
                  <c:v>98.135818908122516</c:v>
                </c:pt>
                <c:pt idx="109">
                  <c:v>97.6805831676607</c:v>
                </c:pt>
                <c:pt idx="110">
                  <c:v>97.293729372937293</c:v>
                </c:pt>
                <c:pt idx="111">
                  <c:v>96.592398427260818</c:v>
                </c:pt>
                <c:pt idx="112">
                  <c:v>96.664486592544151</c:v>
                </c:pt>
                <c:pt idx="113">
                  <c:v>97.058823529411768</c:v>
                </c:pt>
                <c:pt idx="114">
                  <c:v>97.506561679790011</c:v>
                </c:pt>
                <c:pt idx="115">
                  <c:v>96.668843892880474</c:v>
                </c:pt>
                <c:pt idx="116">
                  <c:v>95.708712613784115</c:v>
                </c:pt>
                <c:pt idx="117">
                  <c:v>94.798439531859557</c:v>
                </c:pt>
                <c:pt idx="118">
                  <c:v>94.152046783625735</c:v>
                </c:pt>
                <c:pt idx="119">
                  <c:v>93.393782383419676</c:v>
                </c:pt>
                <c:pt idx="120">
                  <c:v>92.292746113989637</c:v>
                </c:pt>
                <c:pt idx="121">
                  <c:v>92.387096774193537</c:v>
                </c:pt>
                <c:pt idx="122">
                  <c:v>92.535392535392532</c:v>
                </c:pt>
                <c:pt idx="123">
                  <c:v>91.81062060140755</c:v>
                </c:pt>
                <c:pt idx="124">
                  <c:v>90.885914595283609</c:v>
                </c:pt>
                <c:pt idx="125">
                  <c:v>89.968253968253961</c:v>
                </c:pt>
                <c:pt idx="126">
                  <c:v>89.333333333333329</c:v>
                </c:pt>
                <c:pt idx="127">
                  <c:v>88.643533123028391</c:v>
                </c:pt>
                <c:pt idx="128">
                  <c:v>85.687382297551778</c:v>
                </c:pt>
                <c:pt idx="129">
                  <c:v>85.2037617554859</c:v>
                </c:pt>
                <c:pt idx="130">
                  <c:v>84.523809523809533</c:v>
                </c:pt>
                <c:pt idx="131">
                  <c:v>83.75</c:v>
                </c:pt>
                <c:pt idx="132">
                  <c:v>83.824451410658298</c:v>
                </c:pt>
                <c:pt idx="133">
                  <c:v>84.154709918902057</c:v>
                </c:pt>
                <c:pt idx="134">
                  <c:v>84.577114427860693</c:v>
                </c:pt>
                <c:pt idx="135">
                  <c:v>83.640836408364081</c:v>
                </c:pt>
                <c:pt idx="136">
                  <c:v>82.262996941896034</c:v>
                </c:pt>
                <c:pt idx="137">
                  <c:v>81.456548347613207</c:v>
                </c:pt>
                <c:pt idx="138">
                  <c:v>81.288343558282207</c:v>
                </c:pt>
                <c:pt idx="139">
                  <c:v>80.940745265730001</c:v>
                </c:pt>
                <c:pt idx="140">
                  <c:v>80.59610705596107</c:v>
                </c:pt>
                <c:pt idx="141">
                  <c:v>80.547112462006083</c:v>
                </c:pt>
                <c:pt idx="142">
                  <c:v>80.59610705596107</c:v>
                </c:pt>
                <c:pt idx="143">
                  <c:v>80.59610705596107</c:v>
                </c:pt>
                <c:pt idx="144">
                  <c:v>81.089351285189721</c:v>
                </c:pt>
                <c:pt idx="145">
                  <c:v>80.879657910812469</c:v>
                </c:pt>
                <c:pt idx="146">
                  <c:v>80.682510664229142</c:v>
                </c:pt>
                <c:pt idx="147">
                  <c:v>80.084745762711876</c:v>
                </c:pt>
                <c:pt idx="148">
                  <c:v>79.770531400966178</c:v>
                </c:pt>
                <c:pt idx="149">
                  <c:v>79.710144927536234</c:v>
                </c:pt>
                <c:pt idx="150">
                  <c:v>79.769836462749851</c:v>
                </c:pt>
                <c:pt idx="151">
                  <c:v>79.516616314199396</c:v>
                </c:pt>
                <c:pt idx="152">
                  <c:v>79.181708784596879</c:v>
                </c:pt>
                <c:pt idx="153">
                  <c:v>79.039039039039039</c:v>
                </c:pt>
                <c:pt idx="154">
                  <c:v>78.94421115776845</c:v>
                </c:pt>
                <c:pt idx="155">
                  <c:v>78.661087866108787</c:v>
                </c:pt>
                <c:pt idx="156">
                  <c:v>78.991596638655466</c:v>
                </c:pt>
                <c:pt idx="157">
                  <c:v>78.567164179104481</c:v>
                </c:pt>
                <c:pt idx="158">
                  <c:v>78.147268408551056</c:v>
                </c:pt>
                <c:pt idx="159">
                  <c:v>77.072310405643734</c:v>
                </c:pt>
                <c:pt idx="160">
                  <c:v>76.039835969537208</c:v>
                </c:pt>
                <c:pt idx="161">
                  <c:v>75.160724722384558</c:v>
                </c:pt>
                <c:pt idx="162">
                  <c:v>74.956011730205276</c:v>
                </c:pt>
                <c:pt idx="163">
                  <c:v>74.897360703812325</c:v>
                </c:pt>
                <c:pt idx="164">
                  <c:v>74.373907979033206</c:v>
                </c:pt>
                <c:pt idx="165">
                  <c:v>74.417249417249423</c:v>
                </c:pt>
                <c:pt idx="166">
                  <c:v>74.201045903544454</c:v>
                </c:pt>
                <c:pt idx="167">
                  <c:v>74.157955865272939</c:v>
                </c:pt>
                <c:pt idx="168">
                  <c:v>74.634716540035072</c:v>
                </c:pt>
                <c:pt idx="169">
                  <c:v>74.244186046511629</c:v>
                </c:pt>
                <c:pt idx="170">
                  <c:v>74.157955865272939</c:v>
                </c:pt>
                <c:pt idx="171">
                  <c:v>73.772385904101682</c:v>
                </c:pt>
                <c:pt idx="172">
                  <c:v>73.421354764638352</c:v>
                </c:pt>
                <c:pt idx="173">
                  <c:v>73.394495412844023</c:v>
                </c:pt>
                <c:pt idx="174">
                  <c:v>73.918061165608762</c:v>
                </c:pt>
                <c:pt idx="175">
                  <c:v>73.678160919540232</c:v>
                </c:pt>
                <c:pt idx="176">
                  <c:v>73.48224513172967</c:v>
                </c:pt>
                <c:pt idx="177">
                  <c:v>73.666092943201377</c:v>
                </c:pt>
                <c:pt idx="178">
                  <c:v>73.963133640552996</c:v>
                </c:pt>
                <c:pt idx="179">
                  <c:v>74.048442906574394</c:v>
                </c:pt>
                <c:pt idx="180">
                  <c:v>74.091171379111358</c:v>
                </c:pt>
                <c:pt idx="181">
                  <c:v>73.878020713463755</c:v>
                </c:pt>
                <c:pt idx="182">
                  <c:v>73.581661891117477</c:v>
                </c:pt>
                <c:pt idx="183">
                  <c:v>73.136027319294257</c:v>
                </c:pt>
                <c:pt idx="184">
                  <c:v>72.985244040862668</c:v>
                </c:pt>
                <c:pt idx="185">
                  <c:v>73.04199772985244</c:v>
                </c:pt>
                <c:pt idx="186">
                  <c:v>73.223422399090396</c:v>
                </c:pt>
                <c:pt idx="187">
                  <c:v>73.015873015873026</c:v>
                </c:pt>
                <c:pt idx="188">
                  <c:v>72.522522522522536</c:v>
                </c:pt>
                <c:pt idx="189">
                  <c:v>72.400224845418776</c:v>
                </c:pt>
                <c:pt idx="190">
                  <c:v>72.278338945005629</c:v>
                </c:pt>
                <c:pt idx="191">
                  <c:v>72.156862745098053</c:v>
                </c:pt>
                <c:pt idx="192">
                  <c:v>72.253363228699556</c:v>
                </c:pt>
                <c:pt idx="193">
                  <c:v>71.890686001115441</c:v>
                </c:pt>
                <c:pt idx="194">
                  <c:v>71.650917176209006</c:v>
                </c:pt>
                <c:pt idx="195">
                  <c:v>71.192052980132459</c:v>
                </c:pt>
                <c:pt idx="196">
                  <c:v>71.294765840220393</c:v>
                </c:pt>
                <c:pt idx="197">
                  <c:v>71.538885824600101</c:v>
                </c:pt>
                <c:pt idx="198">
                  <c:v>71.704357418643127</c:v>
                </c:pt>
                <c:pt idx="199">
                  <c:v>71.806167400881066</c:v>
                </c:pt>
                <c:pt idx="200">
                  <c:v>71.671232876712338</c:v>
                </c:pt>
                <c:pt idx="201">
                  <c:v>71.686746987951807</c:v>
                </c:pt>
                <c:pt idx="202">
                  <c:v>71.756978653530382</c:v>
                </c:pt>
                <c:pt idx="203">
                  <c:v>71.662125340599459</c:v>
                </c:pt>
                <c:pt idx="204">
                  <c:v>72.146368104860741</c:v>
                </c:pt>
                <c:pt idx="205">
                  <c:v>72.415669205658318</c:v>
                </c:pt>
                <c:pt idx="206">
                  <c:v>72.806067172264363</c:v>
                </c:pt>
                <c:pt idx="207">
                  <c:v>73.182552504038782</c:v>
                </c:pt>
                <c:pt idx="208">
                  <c:v>73.29758713136728</c:v>
                </c:pt>
                <c:pt idx="209">
                  <c:v>73.608137044967876</c:v>
                </c:pt>
                <c:pt idx="210">
                  <c:v>73.82226980728052</c:v>
                </c:pt>
                <c:pt idx="211">
                  <c:v>73.745997865528281</c:v>
                </c:pt>
                <c:pt idx="212">
                  <c:v>73.73737373737373</c:v>
                </c:pt>
                <c:pt idx="213">
                  <c:v>74.284199363732768</c:v>
                </c:pt>
                <c:pt idx="214">
                  <c:v>75.502645502645493</c:v>
                </c:pt>
                <c:pt idx="215">
                  <c:v>76.566614007372308</c:v>
                </c:pt>
                <c:pt idx="216">
                  <c:v>78.083642138697712</c:v>
                </c:pt>
                <c:pt idx="217">
                  <c:v>78.375527426160346</c:v>
                </c:pt>
                <c:pt idx="218">
                  <c:v>78.425196850393704</c:v>
                </c:pt>
                <c:pt idx="219">
                  <c:v>78.340292275574114</c:v>
                </c:pt>
                <c:pt idx="220">
                  <c:v>78.385416666666657</c:v>
                </c:pt>
                <c:pt idx="221">
                  <c:v>78.407908428720091</c:v>
                </c:pt>
                <c:pt idx="222">
                  <c:v>78.459937565036427</c:v>
                </c:pt>
                <c:pt idx="223">
                  <c:v>78.504672897196258</c:v>
                </c:pt>
                <c:pt idx="224">
                  <c:v>79.129984464008302</c:v>
                </c:pt>
                <c:pt idx="225">
                  <c:v>80.807035695809617</c:v>
                </c:pt>
                <c:pt idx="226">
                  <c:v>82.334710743801651</c:v>
                </c:pt>
                <c:pt idx="227">
                  <c:v>82.998454404945903</c:v>
                </c:pt>
                <c:pt idx="228">
                  <c:v>84.074457083764216</c:v>
                </c:pt>
                <c:pt idx="229">
                  <c:v>84.706488156539649</c:v>
                </c:pt>
                <c:pt idx="230">
                  <c:v>86.564102564102569</c:v>
                </c:pt>
                <c:pt idx="231">
                  <c:v>89.618320610687022</c:v>
                </c:pt>
                <c:pt idx="232">
                  <c:v>92.817400101163386</c:v>
                </c:pt>
                <c:pt idx="233">
                  <c:v>94.659949622166252</c:v>
                </c:pt>
                <c:pt idx="234">
                  <c:v>95.667506297229224</c:v>
                </c:pt>
                <c:pt idx="235">
                  <c:v>96.03413654618474</c:v>
                </c:pt>
                <c:pt idx="236">
                  <c:v>96.801599200399806</c:v>
                </c:pt>
                <c:pt idx="237">
                  <c:v>99.201596806387229</c:v>
                </c:pt>
                <c:pt idx="238">
                  <c:v>100.74589756340129</c:v>
                </c:pt>
                <c:pt idx="239">
                  <c:v>101.13468179575729</c:v>
                </c:pt>
                <c:pt idx="240">
                  <c:v>102.18253968253967</c:v>
                </c:pt>
                <c:pt idx="241">
                  <c:v>101.7725258493353</c:v>
                </c:pt>
                <c:pt idx="242">
                  <c:v>101.1252446183953</c:v>
                </c:pt>
                <c:pt idx="243">
                  <c:v>99.756572541382667</c:v>
                </c:pt>
                <c:pt idx="244">
                  <c:v>98.205625606207576</c:v>
                </c:pt>
                <c:pt idx="245">
                  <c:v>96.33381572600095</c:v>
                </c:pt>
                <c:pt idx="246">
                  <c:v>95.681707908782144</c:v>
                </c:pt>
                <c:pt idx="247">
                  <c:v>94.64544138929088</c:v>
                </c:pt>
                <c:pt idx="248">
                  <c:v>94.182692307692307</c:v>
                </c:pt>
                <c:pt idx="249">
                  <c:v>93.729056965055051</c:v>
                </c:pt>
                <c:pt idx="250">
                  <c:v>93.371483071053902</c:v>
                </c:pt>
                <c:pt idx="251">
                  <c:v>92.840208629682323</c:v>
                </c:pt>
                <c:pt idx="252">
                  <c:v>93.708293612964724</c:v>
                </c:pt>
                <c:pt idx="253">
                  <c:v>102.83822138126774</c:v>
                </c:pt>
                <c:pt idx="254">
                  <c:v>102.49882131070251</c:v>
                </c:pt>
                <c:pt idx="255">
                  <c:v>103.73831775700934</c:v>
                </c:pt>
                <c:pt idx="256">
                  <c:v>103.20781032078104</c:v>
                </c:pt>
                <c:pt idx="257">
                  <c:v>102.39852398523985</c:v>
                </c:pt>
                <c:pt idx="258">
                  <c:v>102.54041570438798</c:v>
                </c:pt>
                <c:pt idx="259">
                  <c:v>106.58379373848987</c:v>
                </c:pt>
                <c:pt idx="260">
                  <c:v>116.89560439560441</c:v>
                </c:pt>
                <c:pt idx="261">
                  <c:v>118.14423518603583</c:v>
                </c:pt>
                <c:pt idx="262">
                  <c:v>119.07407407407406</c:v>
                </c:pt>
                <c:pt idx="263">
                  <c:v>120.80789102865195</c:v>
                </c:pt>
                <c:pt idx="264">
                  <c:v>122.13231794383628</c:v>
                </c:pt>
                <c:pt idx="265">
                  <c:v>121.38126773888365</c:v>
                </c:pt>
                <c:pt idx="266">
                  <c:v>120.87079981069569</c:v>
                </c:pt>
                <c:pt idx="267">
                  <c:v>114.56264775413712</c:v>
                </c:pt>
                <c:pt idx="268">
                  <c:v>111.37218045112782</c:v>
                </c:pt>
                <c:pt idx="269">
                  <c:v>111.05904404873476</c:v>
                </c:pt>
                <c:pt idx="270">
                  <c:v>111.05904404873476</c:v>
                </c:pt>
                <c:pt idx="271">
                  <c:v>110.54104477611939</c:v>
                </c:pt>
                <c:pt idx="272">
                  <c:v>110.07895959126799</c:v>
                </c:pt>
                <c:pt idx="273">
                  <c:v>109.35185185185186</c:v>
                </c:pt>
                <c:pt idx="274">
                  <c:v>109.04893813481071</c:v>
                </c:pt>
                <c:pt idx="275">
                  <c:v>108.348623853211</c:v>
                </c:pt>
                <c:pt idx="276">
                  <c:v>108.39834786599356</c:v>
                </c:pt>
                <c:pt idx="277">
                  <c:v>107.75547445255475</c:v>
                </c:pt>
                <c:pt idx="278">
                  <c:v>107.02310829179882</c:v>
                </c:pt>
                <c:pt idx="279">
                  <c:v>105.83482944344705</c:v>
                </c:pt>
                <c:pt idx="280">
                  <c:v>105.45617173524151</c:v>
                </c:pt>
                <c:pt idx="281">
                  <c:v>105.22088353413655</c:v>
                </c:pt>
                <c:pt idx="282">
                  <c:v>105.45617173524151</c:v>
                </c:pt>
                <c:pt idx="283">
                  <c:v>105.03340757238308</c:v>
                </c:pt>
                <c:pt idx="284">
                  <c:v>104.66045272969373</c:v>
                </c:pt>
                <c:pt idx="285">
                  <c:v>104.162976085031</c:v>
                </c:pt>
                <c:pt idx="286">
                  <c:v>103.7037037037037</c:v>
                </c:pt>
                <c:pt idx="287">
                  <c:v>104.24693520140104</c:v>
                </c:pt>
                <c:pt idx="288">
                  <c:v>104.80349344978166</c:v>
                </c:pt>
                <c:pt idx="289">
                  <c:v>105.31776913099871</c:v>
                </c:pt>
                <c:pt idx="290">
                  <c:v>105.50537634408603</c:v>
                </c:pt>
                <c:pt idx="291">
                  <c:v>104.65017064846415</c:v>
                </c:pt>
                <c:pt idx="292">
                  <c:v>104.29421768707483</c:v>
                </c:pt>
                <c:pt idx="293">
                  <c:v>104.29421768707483</c:v>
                </c:pt>
                <c:pt idx="294">
                  <c:v>104.51640391989775</c:v>
                </c:pt>
                <c:pt idx="295">
                  <c:v>104.91317238458279</c:v>
                </c:pt>
                <c:pt idx="296">
                  <c:v>111.89575451870533</c:v>
                </c:pt>
                <c:pt idx="297">
                  <c:v>113.52941176470588</c:v>
                </c:pt>
                <c:pt idx="298">
                  <c:v>113.87840670859539</c:v>
                </c:pt>
                <c:pt idx="299">
                  <c:v>113.45029239766082</c:v>
                </c:pt>
                <c:pt idx="300">
                  <c:v>114.11764705882355</c:v>
                </c:pt>
                <c:pt idx="301">
                  <c:v>111.7965819091288</c:v>
                </c:pt>
                <c:pt idx="302">
                  <c:v>110.13289036544849</c:v>
                </c:pt>
                <c:pt idx="303">
                  <c:v>109.36082474226802</c:v>
                </c:pt>
                <c:pt idx="304">
                  <c:v>109.32343234323432</c:v>
                </c:pt>
                <c:pt idx="305">
                  <c:v>109.59470636889992</c:v>
                </c:pt>
                <c:pt idx="306">
                  <c:v>109.45890128046263</c:v>
                </c:pt>
                <c:pt idx="307">
                  <c:v>109.05349794238684</c:v>
                </c:pt>
                <c:pt idx="308">
                  <c:v>108.51760851760852</c:v>
                </c:pt>
                <c:pt idx="309">
                  <c:v>107.41042345276874</c:v>
                </c:pt>
                <c:pt idx="310">
                  <c:v>109.36482084690556</c:v>
                </c:pt>
                <c:pt idx="311">
                  <c:v>114.30307941653162</c:v>
                </c:pt>
                <c:pt idx="312">
                  <c:v>114.76810414971521</c:v>
                </c:pt>
                <c:pt idx="313">
                  <c:v>115.26655896607431</c:v>
                </c:pt>
                <c:pt idx="314">
                  <c:v>114.75673502211498</c:v>
                </c:pt>
                <c:pt idx="315">
                  <c:v>114.38877755511021</c:v>
                </c:pt>
                <c:pt idx="316">
                  <c:v>114.16</c:v>
                </c:pt>
                <c:pt idx="317">
                  <c:v>114.29715658790549</c:v>
                </c:pt>
                <c:pt idx="318">
                  <c:v>114.73768522226673</c:v>
                </c:pt>
                <c:pt idx="319">
                  <c:v>114.14342629482073</c:v>
                </c:pt>
                <c:pt idx="320">
                  <c:v>113.73560936879714</c:v>
                </c:pt>
                <c:pt idx="321">
                  <c:v>113.73560936879714</c:v>
                </c:pt>
                <c:pt idx="322">
                  <c:v>113.6453788179294</c:v>
                </c:pt>
                <c:pt idx="323">
                  <c:v>120.40252565114444</c:v>
                </c:pt>
                <c:pt idx="324">
                  <c:v>120.5859065716548</c:v>
                </c:pt>
                <c:pt idx="325">
                  <c:v>120.10228166797799</c:v>
                </c:pt>
                <c:pt idx="326">
                  <c:v>119.46624803767661</c:v>
                </c:pt>
                <c:pt idx="327">
                  <c:v>118.34180680484945</c:v>
                </c:pt>
                <c:pt idx="328">
                  <c:v>118.24931613911684</c:v>
                </c:pt>
                <c:pt idx="329">
                  <c:v>118.06476785017558</c:v>
                </c:pt>
                <c:pt idx="330">
                  <c:v>118.20312500000001</c:v>
                </c:pt>
                <c:pt idx="331">
                  <c:v>117.74319066147861</c:v>
                </c:pt>
                <c:pt idx="332">
                  <c:v>117.46894409937889</c:v>
                </c:pt>
                <c:pt idx="333">
                  <c:v>117.4233604967016</c:v>
                </c:pt>
                <c:pt idx="334">
                  <c:v>117.69739401011279</c:v>
                </c:pt>
                <c:pt idx="335">
                  <c:v>117.51456310679613</c:v>
                </c:pt>
                <c:pt idx="336">
                  <c:v>118.48081440877056</c:v>
                </c:pt>
                <c:pt idx="337">
                  <c:v>117.88079470198679</c:v>
                </c:pt>
                <c:pt idx="338">
                  <c:v>117.69739401011279</c:v>
                </c:pt>
                <c:pt idx="339">
                  <c:v>117.05426356589147</c:v>
                </c:pt>
                <c:pt idx="340">
                  <c:v>116.82785299806578</c:v>
                </c:pt>
                <c:pt idx="341">
                  <c:v>116.60872923908845</c:v>
                </c:pt>
                <c:pt idx="342">
                  <c:v>116.74400618716163</c:v>
                </c:pt>
                <c:pt idx="343">
                  <c:v>116.20477290223248</c:v>
                </c:pt>
                <c:pt idx="344">
                  <c:v>116.29429892141754</c:v>
                </c:pt>
                <c:pt idx="345">
                  <c:v>116.33911368015413</c:v>
                </c:pt>
                <c:pt idx="346">
                  <c:v>116.20477290223248</c:v>
                </c:pt>
                <c:pt idx="347">
                  <c:v>115.84804297774365</c:v>
                </c:pt>
                <c:pt idx="348">
                  <c:v>116.65378670788252</c:v>
                </c:pt>
                <c:pt idx="349">
                  <c:v>116.1153846153846</c:v>
                </c:pt>
                <c:pt idx="350">
                  <c:v>115.6261968594408</c:v>
                </c:pt>
                <c:pt idx="351">
                  <c:v>115.26396327467485</c:v>
                </c:pt>
                <c:pt idx="352">
                  <c:v>114.9561236169401</c:v>
                </c:pt>
                <c:pt idx="353">
                  <c:v>114.519194222729</c:v>
                </c:pt>
                <c:pt idx="354">
                  <c:v>114.38876233864845</c:v>
                </c:pt>
                <c:pt idx="355">
                  <c:v>113.95612708018155</c:v>
                </c:pt>
                <c:pt idx="356">
                  <c:v>113.74103435258588</c:v>
                </c:pt>
                <c:pt idx="357">
                  <c:v>113.78398791540785</c:v>
                </c:pt>
                <c:pt idx="358">
                  <c:v>113.48399246704332</c:v>
                </c:pt>
                <c:pt idx="359">
                  <c:v>112.80419318607262</c:v>
                </c:pt>
                <c:pt idx="360">
                  <c:v>113.48399246704332</c:v>
                </c:pt>
                <c:pt idx="361">
                  <c:v>112.25782414307007</c:v>
                </c:pt>
                <c:pt idx="362">
                  <c:v>112.95952469365021</c:v>
                </c:pt>
                <c:pt idx="363">
                  <c:v>115.26237989652621</c:v>
                </c:pt>
                <c:pt idx="364">
                  <c:v>119.43319838056681</c:v>
                </c:pt>
                <c:pt idx="365">
                  <c:v>119.1700330517811</c:v>
                </c:pt>
                <c:pt idx="366">
                  <c:v>120.3371198241114</c:v>
                </c:pt>
                <c:pt idx="367">
                  <c:v>119.54859847105934</c:v>
                </c:pt>
                <c:pt idx="368">
                  <c:v>119.37477280988729</c:v>
                </c:pt>
                <c:pt idx="369">
                  <c:v>121.93970214311661</c:v>
                </c:pt>
                <c:pt idx="370">
                  <c:v>121.71863669325597</c:v>
                </c:pt>
                <c:pt idx="371">
                  <c:v>120.71197411003234</c:v>
                </c:pt>
                <c:pt idx="372">
                  <c:v>121.63043478260869</c:v>
                </c:pt>
                <c:pt idx="373">
                  <c:v>120.71197411003234</c:v>
                </c:pt>
                <c:pt idx="374">
                  <c:v>120.62522457779374</c:v>
                </c:pt>
                <c:pt idx="375">
                  <c:v>121.05827672506257</c:v>
                </c:pt>
                <c:pt idx="376">
                  <c:v>120.73387958674742</c:v>
                </c:pt>
                <c:pt idx="377">
                  <c:v>123.09058614564832</c:v>
                </c:pt>
                <c:pt idx="378">
                  <c:v>125.20411785587504</c:v>
                </c:pt>
                <c:pt idx="379">
                  <c:v>124.10274454609429</c:v>
                </c:pt>
                <c:pt idx="380">
                  <c:v>126.36395635339667</c:v>
                </c:pt>
                <c:pt idx="381">
                  <c:v>128.64674868189806</c:v>
                </c:pt>
                <c:pt idx="382">
                  <c:v>128.60154602951511</c:v>
                </c:pt>
                <c:pt idx="383">
                  <c:v>128.15126050420167</c:v>
                </c:pt>
                <c:pt idx="384">
                  <c:v>123.03886925795054</c:v>
                </c:pt>
                <c:pt idx="385">
                  <c:v>122.31578947368422</c:v>
                </c:pt>
                <c:pt idx="386">
                  <c:v>122.2728867064188</c:v>
                </c:pt>
                <c:pt idx="387">
                  <c:v>134.0735600277585</c:v>
                </c:pt>
                <c:pt idx="388">
                  <c:v>133.60995850622405</c:v>
                </c:pt>
                <c:pt idx="389">
                  <c:v>133.42541436464086</c:v>
                </c:pt>
                <c:pt idx="390">
                  <c:v>133.47150259067357</c:v>
                </c:pt>
                <c:pt idx="391">
                  <c:v>132.46486115872472</c:v>
                </c:pt>
                <c:pt idx="392">
                  <c:v>132.78350515463916</c:v>
                </c:pt>
                <c:pt idx="393">
                  <c:v>130.19972451790636</c:v>
                </c:pt>
                <c:pt idx="394">
                  <c:v>129.93127147766324</c:v>
                </c:pt>
                <c:pt idx="395">
                  <c:v>129.53066118533746</c:v>
                </c:pt>
                <c:pt idx="396">
                  <c:v>130.11011699931177</c:v>
                </c:pt>
              </c:numCache>
            </c:numRef>
          </c:val>
          <c:smooth val="0"/>
          <c:extLst>
            <c:ext xmlns:c16="http://schemas.microsoft.com/office/drawing/2014/chart" uri="{C3380CC4-5D6E-409C-BE32-E72D297353CC}">
              <c16:uniqueId val="{00000003-43B7-4CEB-BF1E-4DF3FD7E2C64}"/>
            </c:ext>
          </c:extLst>
        </c:ser>
        <c:dLbls>
          <c:showLegendKey val="0"/>
          <c:showVal val="0"/>
          <c:showCatName val="0"/>
          <c:showSerName val="0"/>
          <c:showPercent val="0"/>
          <c:showBubbleSize val="0"/>
        </c:dLbls>
        <c:smooth val="0"/>
        <c:axId val="206686464"/>
        <c:axId val="209608704"/>
      </c:lineChart>
      <c:catAx>
        <c:axId val="206686464"/>
        <c:scaling>
          <c:orientation val="minMax"/>
        </c:scaling>
        <c:delete val="0"/>
        <c:axPos val="b"/>
        <c:numFmt formatCode="General"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09608704"/>
        <c:crosses val="autoZero"/>
        <c:auto val="1"/>
        <c:lblAlgn val="ctr"/>
        <c:lblOffset val="100"/>
        <c:tickLblSkip val="48"/>
        <c:tickMarkSkip val="48"/>
        <c:noMultiLvlLbl val="0"/>
      </c:catAx>
      <c:valAx>
        <c:axId val="209608704"/>
        <c:scaling>
          <c:orientation val="minMax"/>
        </c:scaling>
        <c:delete val="0"/>
        <c:axPos val="l"/>
        <c:majorGridlines>
          <c:spPr>
            <a:ln>
              <a:noFill/>
            </a:ln>
          </c:spPr>
        </c:majorGridlines>
        <c:title>
          <c:tx>
            <c:rich>
              <a:bodyPr rot="-5400000" vert="horz"/>
              <a:lstStyle/>
              <a:p>
                <a:pPr>
                  <a:defRPr/>
                </a:pPr>
                <a:r>
                  <a:rPr lang="en-GB" sz="1400">
                    <a:latin typeface="Times New Roman" panose="02020603050405020304" pitchFamily="18" charset="0"/>
                    <a:cs typeface="Times New Roman" panose="02020603050405020304" pitchFamily="18" charset="0"/>
                  </a:rPr>
                  <a:t>Index Jan</a:t>
                </a:r>
                <a:r>
                  <a:rPr lang="en-GB" sz="1400" baseline="0">
                    <a:latin typeface="Times New Roman" panose="02020603050405020304" pitchFamily="18" charset="0"/>
                    <a:cs typeface="Times New Roman" panose="02020603050405020304" pitchFamily="18" charset="0"/>
                  </a:rPr>
                  <a:t> 1987 = 100</a:t>
                </a:r>
                <a:endParaRPr lang="en-GB" sz="1400">
                  <a:latin typeface="Times New Roman" panose="02020603050405020304" pitchFamily="18" charset="0"/>
                  <a:cs typeface="Times New Roman" panose="02020603050405020304" pitchFamily="18" charset="0"/>
                </a:endParaRPr>
              </a:p>
            </c:rich>
          </c:tx>
          <c:layout>
            <c:manualLayout>
              <c:xMode val="edge"/>
              <c:yMode val="edge"/>
              <c:x val="0"/>
              <c:y val="0.17379764842389753"/>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06686464"/>
        <c:crosses val="autoZero"/>
        <c:crossBetween val="between"/>
      </c:valAx>
    </c:plotArea>
    <c:legend>
      <c:legendPos val="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64139331771943"/>
          <c:y val="3.8452899331230771E-2"/>
          <c:w val="0.79629359913825803"/>
          <c:h val="0.82460165510096906"/>
        </c:manualLayout>
      </c:layout>
      <c:lineChart>
        <c:grouping val="standard"/>
        <c:varyColors val="0"/>
        <c:ser>
          <c:idx val="1"/>
          <c:order val="0"/>
          <c:tx>
            <c:v>Motor Spirit Price</c:v>
          </c:tx>
          <c:spPr>
            <a:ln w="12700">
              <a:solidFill>
                <a:schemeClr val="tx1"/>
              </a:solidFill>
              <a:prstDash val="solid"/>
            </a:ln>
          </c:spPr>
          <c:marker>
            <c:symbol val="none"/>
          </c:marker>
          <c:cat>
            <c:numRef>
              <c:f>'2.2.1 Prices RoadLR'!$A$10:$A$130</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'2.2.1 Prices RoadLR'!$C$10:$C$130</c:f>
              <c:numCache>
                <c:formatCode>General</c:formatCode>
                <c:ptCount val="121"/>
                <c:pt idx="2" formatCode="0.00">
                  <c:v>73.180093969761032</c:v>
                </c:pt>
                <c:pt idx="3" formatCode="0.00">
                  <c:v>90.78397213026463</c:v>
                </c:pt>
                <c:pt idx="4" formatCode="0.00">
                  <c:v>80.423890749395653</c:v>
                </c:pt>
                <c:pt idx="5" formatCode="0.00">
                  <c:v>80.744304656763745</c:v>
                </c:pt>
                <c:pt idx="6" formatCode="0.00">
                  <c:v>120.63583612409347</c:v>
                </c:pt>
                <c:pt idx="7" formatCode="0.00">
                  <c:v>112.70525782080152</c:v>
                </c:pt>
                <c:pt idx="8" formatCode="0.00">
                  <c:v>106.98028399978259</c:v>
                </c:pt>
                <c:pt idx="9" formatCode="0.00">
                  <c:v>109.55038091269027</c:v>
                </c:pt>
                <c:pt idx="10" formatCode="0.00">
                  <c:v>93.719401012012483</c:v>
                </c:pt>
                <c:pt idx="11" formatCode="0.00">
                  <c:v>102.29008444182566</c:v>
                </c:pt>
                <c:pt idx="12" formatCode="0.00">
                  <c:v>135.36634555862528</c:v>
                </c:pt>
                <c:pt idx="13" formatCode="0.00">
                  <c:v>155.75598530495947</c:v>
                </c:pt>
                <c:pt idx="14" formatCode="0.00">
                  <c:v>169.50431664854443</c:v>
                </c:pt>
                <c:pt idx="15" formatCode="0.00">
                  <c:v>179.67039422737327</c:v>
                </c:pt>
                <c:pt idx="16" formatCode="0.00">
                  <c:v>217.20154324375787</c:v>
                </c:pt>
                <c:pt idx="17" formatCode="0.00">
                  <c:v>223.35542469260434</c:v>
                </c:pt>
                <c:pt idx="18" formatCode="0.00">
                  <c:v>190.10014126772757</c:v>
                </c:pt>
                <c:pt idx="19" formatCode="0.00">
                  <c:v>133.68629532147384</c:v>
                </c:pt>
                <c:pt idx="20" formatCode="0.00">
                  <c:v>151.97929525692211</c:v>
                </c:pt>
                <c:pt idx="21" formatCode="0.00">
                  <c:v>98.947575612238722</c:v>
                </c:pt>
                <c:pt idx="22" formatCode="0.00">
                  <c:v>73.188332193846264</c:v>
                </c:pt>
                <c:pt idx="23" formatCode="0.00">
                  <c:v>70.918926544424664</c:v>
                </c:pt>
                <c:pt idx="24" formatCode="0.00">
                  <c:v>82.518697774430279</c:v>
                </c:pt>
                <c:pt idx="25" formatCode="0.00">
                  <c:v>72.178633645308039</c:v>
                </c:pt>
                <c:pt idx="26" formatCode="0.00">
                  <c:v>72.909623638147664</c:v>
                </c:pt>
                <c:pt idx="27" formatCode="0.00">
                  <c:v>55.361831941408738</c:v>
                </c:pt>
                <c:pt idx="28" formatCode="0.00">
                  <c:v>65.443563702643942</c:v>
                </c:pt>
                <c:pt idx="29" formatCode="0.00">
                  <c:v>74.223612109055324</c:v>
                </c:pt>
                <c:pt idx="30" formatCode="0.00">
                  <c:v>65.329263804162366</c:v>
                </c:pt>
                <c:pt idx="31" formatCode="0.00">
                  <c:v>62.458871326255725</c:v>
                </c:pt>
                <c:pt idx="32" formatCode="0.00">
                  <c:v>83.00040826373089</c:v>
                </c:pt>
                <c:pt idx="33" formatCode="0.00">
                  <c:v>75.01923560578706</c:v>
                </c:pt>
                <c:pt idx="34" formatCode="0.00">
                  <c:v>75.884467326380985</c:v>
                </c:pt>
                <c:pt idx="35" formatCode="0.00">
                  <c:v>80.348259522050455</c:v>
                </c:pt>
                <c:pt idx="36" formatCode="0.00">
                  <c:v>84.222494257914533</c:v>
                </c:pt>
                <c:pt idx="37" formatCode="0.00">
                  <c:v>84.003864113758198</c:v>
                </c:pt>
                <c:pt idx="38" formatCode="0.00">
                  <c:v>80.35473052362147</c:v>
                </c:pt>
                <c:pt idx="39" formatCode="0.00">
                  <c:v>78.740121556537503</c:v>
                </c:pt>
                <c:pt idx="40" formatCode="0.00">
                  <c:v>96.805778096289202</c:v>
                </c:pt>
                <c:pt idx="41" formatCode="0.00">
                  <c:v>87.243851925278676</c:v>
                </c:pt>
                <c:pt idx="42" formatCode="0.00">
                  <c:v>80.31473733193522</c:v>
                </c:pt>
                <c:pt idx="43" formatCode="0.00">
                  <c:v>74.990417676876973</c:v>
                </c:pt>
                <c:pt idx="44" formatCode="0.00">
                  <c:v>72.524581892530932</c:v>
                </c:pt>
                <c:pt idx="45" formatCode="0.00">
                  <c:v>65.079239913491676</c:v>
                </c:pt>
                <c:pt idx="46" formatCode="0.00">
                  <c:v>64.653603689204417</c:v>
                </c:pt>
                <c:pt idx="47" formatCode="0.00">
                  <c:v>64.669281090680954</c:v>
                </c:pt>
                <c:pt idx="48" formatCode="0.00">
                  <c:v>61.049071170283163</c:v>
                </c:pt>
                <c:pt idx="49" formatCode="0.00">
                  <c:v>57.44016600360905</c:v>
                </c:pt>
                <c:pt idx="50" formatCode="0.00">
                  <c:v>75.588355867884147</c:v>
                </c:pt>
                <c:pt idx="51" formatCode="0.00">
                  <c:v>87.639481044192976</c:v>
                </c:pt>
                <c:pt idx="52" formatCode="0.00">
                  <c:v>96.829056617672649</c:v>
                </c:pt>
                <c:pt idx="53" formatCode="0.00">
                  <c:v>94.105435288941848</c:v>
                </c:pt>
                <c:pt idx="54" formatCode="0.00">
                  <c:v>90.747179450791222</c:v>
                </c:pt>
                <c:pt idx="55" formatCode="0.00">
                  <c:v>88.713928967813558</c:v>
                </c:pt>
                <c:pt idx="56" formatCode="0.00">
                  <c:v>86.844919786096284</c:v>
                </c:pt>
                <c:pt idx="57" formatCode="0.00">
                  <c:v>108.7977901939858</c:v>
                </c:pt>
                <c:pt idx="58" formatCode="0.00">
                  <c:v>80.946133849223145</c:v>
                </c:pt>
                <c:pt idx="59" formatCode="0.00">
                  <c:v>78.681906328965141</c:v>
                </c:pt>
                <c:pt idx="60" formatCode="0.00">
                  <c:v>78.975407442023496</c:v>
                </c:pt>
                <c:pt idx="61" formatCode="0.00">
                  <c:v>76.991596638655452</c:v>
                </c:pt>
                <c:pt idx="62" formatCode="0.00">
                  <c:v>78.522676246070958</c:v>
                </c:pt>
                <c:pt idx="63" formatCode="0.00">
                  <c:v>75.358758888170655</c:v>
                </c:pt>
                <c:pt idx="64" formatCode="0.00">
                  <c:v>71.876549723028205</c:v>
                </c:pt>
                <c:pt idx="65" formatCode="0.00">
                  <c:v>77.631726887105842</c:v>
                </c:pt>
                <c:pt idx="66" formatCode="0.00">
                  <c:v>72.670588235294105</c:v>
                </c:pt>
                <c:pt idx="67" formatCode="0.00">
                  <c:v>74.427319004524847</c:v>
                </c:pt>
                <c:pt idx="68" formatCode="0.00">
                  <c:v>73.877005347593567</c:v>
                </c:pt>
                <c:pt idx="69" formatCode="0.00">
                  <c:v>80.29345272396823</c:v>
                </c:pt>
                <c:pt idx="70" formatCode="0.00">
                  <c:v>78.634333389516257</c:v>
                </c:pt>
                <c:pt idx="71" formatCode="0.00">
                  <c:v>76.609834249772533</c:v>
                </c:pt>
                <c:pt idx="72" formatCode="0.00">
                  <c:v>72.659893705484663</c:v>
                </c:pt>
                <c:pt idx="73" formatCode="0.00">
                  <c:v>67.785348084187817</c:v>
                </c:pt>
                <c:pt idx="74" formatCode="0.00">
                  <c:v>74.389709738116537</c:v>
                </c:pt>
                <c:pt idx="75" formatCode="0.00">
                  <c:v>110.95578240358222</c:v>
                </c:pt>
                <c:pt idx="76" formatCode="0.00">
                  <c:v>95.417282127031072</c:v>
                </c:pt>
                <c:pt idx="77" formatCode="0.00">
                  <c:v>85.735294117647086</c:v>
                </c:pt>
                <c:pt idx="78" formatCode="0.00">
                  <c:v>71.476470588235301</c:v>
                </c:pt>
                <c:pt idx="79" formatCode="0.00">
                  <c:v>69.443388624511542</c:v>
                </c:pt>
                <c:pt idx="80" formatCode="0.00">
                  <c:v>94.027411846613816</c:v>
                </c:pt>
                <c:pt idx="81" formatCode="0.00">
                  <c:v>89.883704388647871</c:v>
                </c:pt>
                <c:pt idx="82" formatCode="0.00">
                  <c:v>96.91059841384282</c:v>
                </c:pt>
                <c:pt idx="83" formatCode="0.00">
                  <c:v>93.940136908381248</c:v>
                </c:pt>
                <c:pt idx="84" formatCode="0.00">
                  <c:v>98.425671507878647</c:v>
                </c:pt>
                <c:pt idx="85" formatCode="0.00">
                  <c:v>97.190060419169171</c:v>
                </c:pt>
                <c:pt idx="86" formatCode="0.00">
                  <c:v>92.831218762014615</c:v>
                </c:pt>
                <c:pt idx="87" formatCode="0.00">
                  <c:v>82.915378127635606</c:v>
                </c:pt>
                <c:pt idx="88" formatCode="0.00">
                  <c:v>76.931994808274695</c:v>
                </c:pt>
                <c:pt idx="89" formatCode="0.00">
                  <c:v>72.592930057294609</c:v>
                </c:pt>
                <c:pt idx="90" formatCode="0.00">
                  <c:v>73.480398271320496</c:v>
                </c:pt>
                <c:pt idx="91" formatCode="0.00">
                  <c:v>75.439941834942928</c:v>
                </c:pt>
                <c:pt idx="92" formatCode="0.00">
                  <c:v>72.302996670366255</c:v>
                </c:pt>
                <c:pt idx="93" formatCode="0.00">
                  <c:v>75.255758465632709</c:v>
                </c:pt>
                <c:pt idx="94" formatCode="0.00">
                  <c:v>79.179180194805156</c:v>
                </c:pt>
                <c:pt idx="95" formatCode="0.00">
                  <c:v>81.629805638303452</c:v>
                </c:pt>
                <c:pt idx="96" formatCode="0.00">
                  <c:v>83.222523744911811</c:v>
                </c:pt>
                <c:pt idx="97" formatCode="0.00">
                  <c:v>88.769734882335399</c:v>
                </c:pt>
                <c:pt idx="98" formatCode="0.00">
                  <c:v>90.090261508639657</c:v>
                </c:pt>
                <c:pt idx="99" formatCode="0.00">
                  <c:v>88.343368626651937</c:v>
                </c:pt>
                <c:pt idx="100" formatCode="0.00">
                  <c:v>104.53316815607401</c:v>
                </c:pt>
                <c:pt idx="101" formatCode="0.00">
                  <c:v>105.72959958726244</c:v>
                </c:pt>
                <c:pt idx="102" formatCode="0.00">
                  <c:v>94.996058818732848</c:v>
                </c:pt>
                <c:pt idx="103" formatCode="0.00">
                  <c:v>100.59277485739852</c:v>
                </c:pt>
                <c:pt idx="104" formatCode="0.00">
                  <c:v>100.89663832350921</c:v>
                </c:pt>
                <c:pt idx="105" formatCode="0.00">
                  <c:v>103.20431161195491</c:v>
                </c:pt>
                <c:pt idx="106" formatCode="0.00">
                  <c:v>113.73436803215904</c:v>
                </c:pt>
                <c:pt idx="107" formatCode="0.00">
                  <c:v>108.73150744914872</c:v>
                </c:pt>
                <c:pt idx="108" formatCode="0.00">
                  <c:v>126.80421824850987</c:v>
                </c:pt>
                <c:pt idx="109" formatCode="0.00">
                  <c:v>101.8842428361105</c:v>
                </c:pt>
                <c:pt idx="110" formatCode="0.00">
                  <c:v>128.7873386868537</c:v>
                </c:pt>
                <c:pt idx="111" formatCode="0.00">
                  <c:v>142.60899381254336</c:v>
                </c:pt>
                <c:pt idx="112" formatCode="0.00">
                  <c:v>142.25494598078595</c:v>
                </c:pt>
                <c:pt idx="113" formatCode="0.00">
                  <c:v>137.11618337391985</c:v>
                </c:pt>
                <c:pt idx="114" formatCode="0.00">
                  <c:v>132.11838642855508</c:v>
                </c:pt>
                <c:pt idx="115" formatCode="0.00">
                  <c:v>108.48848572990453</c:v>
                </c:pt>
                <c:pt idx="116" formatCode="0.00">
                  <c:v>101.74230168103755</c:v>
                </c:pt>
                <c:pt idx="117" formatCode="0.00">
                  <c:v>117.91702441187407</c:v>
                </c:pt>
                <c:pt idx="118" formatCode="0.00">
                  <c:v>116.21146402129361</c:v>
                </c:pt>
                <c:pt idx="119" formatCode="0.00">
                  <c:v>113.53876261425664</c:v>
                </c:pt>
              </c:numCache>
            </c:numRef>
          </c:val>
          <c:smooth val="1"/>
          <c:extLst>
            <c:ext xmlns:c16="http://schemas.microsoft.com/office/drawing/2014/chart" uri="{C3380CC4-5D6E-409C-BE32-E72D297353CC}">
              <c16:uniqueId val="{00000000-E049-4C1E-B70A-C07F6A6FF986}"/>
            </c:ext>
          </c:extLst>
        </c:ser>
        <c:dLbls>
          <c:showLegendKey val="0"/>
          <c:showVal val="0"/>
          <c:showCatName val="0"/>
          <c:showSerName val="0"/>
          <c:showPercent val="0"/>
          <c:showBubbleSize val="0"/>
        </c:dLbls>
        <c:smooth val="0"/>
        <c:axId val="209616256"/>
        <c:axId val="209572992"/>
      </c:lineChart>
      <c:catAx>
        <c:axId val="209616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209572992"/>
        <c:crossesAt val="0"/>
        <c:auto val="1"/>
        <c:lblAlgn val="ctr"/>
        <c:lblOffset val="100"/>
        <c:tickLblSkip val="20"/>
        <c:tickMarkSkip val="20"/>
        <c:noMultiLvlLbl val="0"/>
      </c:catAx>
      <c:valAx>
        <c:axId val="209572992"/>
        <c:scaling>
          <c:orientation val="minMax"/>
        </c:scaling>
        <c:delete val="0"/>
        <c:axPos val="l"/>
        <c:title>
          <c:tx>
            <c:rich>
              <a:bodyPr/>
              <a:lstStyle/>
              <a:p>
                <a:pPr>
                  <a:defRPr sz="1400" b="1" i="0" u="none" strike="noStrike" baseline="0">
                    <a:solidFill>
                      <a:srgbClr val="000000"/>
                    </a:solidFill>
                    <a:latin typeface="Times New Roman"/>
                    <a:ea typeface="Times New Roman"/>
                    <a:cs typeface="Times New Roman"/>
                  </a:defRPr>
                </a:pPr>
                <a:r>
                  <a:rPr lang="en-GB"/>
                  <a:t>Pence</a:t>
                </a:r>
                <a:r>
                  <a:rPr lang="en-GB" baseline="0"/>
                  <a:t> </a:t>
                </a:r>
                <a:r>
                  <a:rPr lang="en-GB"/>
                  <a:t>(2015) per litre</a:t>
                </a:r>
              </a:p>
            </c:rich>
          </c:tx>
          <c:layout>
            <c:manualLayout>
              <c:xMode val="edge"/>
              <c:yMode val="edge"/>
              <c:x val="2.5517391721383662E-2"/>
              <c:y val="0.14953480362466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209616256"/>
        <c:crosses val="autoZero"/>
        <c:crossBetween val="between"/>
      </c:valAx>
      <c:spPr>
        <a:noFill/>
        <a:ln w="25400">
          <a:noFill/>
        </a:ln>
      </c:spPr>
    </c:plotArea>
    <c:legend>
      <c:legendPos val="t"/>
      <c:layout>
        <c:manualLayout>
          <c:xMode val="edge"/>
          <c:yMode val="edge"/>
          <c:x val="0.63102135922599856"/>
          <c:y val="0.25065630393056226"/>
          <c:w val="0.34003635989172953"/>
          <c:h val="0.11947079368844503"/>
        </c:manualLayout>
      </c:layout>
      <c:overlay val="0"/>
      <c:txPr>
        <a:bodyPr/>
        <a:lstStyle/>
        <a:p>
          <a:pPr>
            <a:defRPr sz="1200">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68295872431094"/>
          <c:y val="7.7381177284392699E-2"/>
          <c:w val="0.82742984556020838"/>
          <c:h val="0.82400296506036974"/>
        </c:manualLayout>
      </c:layout>
      <c:lineChart>
        <c:grouping val="standard"/>
        <c:varyColors val="0"/>
        <c:ser>
          <c:idx val="3"/>
          <c:order val="0"/>
          <c:tx>
            <c:v>Coal</c:v>
          </c:tx>
          <c:spPr>
            <a:ln w="12700">
              <a:solidFill>
                <a:srgbClr val="002060"/>
              </a:solidFill>
            </a:ln>
          </c:spPr>
          <c:marker>
            <c:symbol val="none"/>
          </c:marker>
          <c:val>
            <c:numRef>
              <c:f>'2.3.1 Prices IndLR'!$M$10:$M$130</c:f>
              <c:numCache>
                <c:formatCode>0.00</c:formatCode>
                <c:ptCount val="121"/>
                <c:pt idx="0">
                  <c:v>88.29704002987377</c:v>
                </c:pt>
                <c:pt idx="1">
                  <c:v>77.186180984273676</c:v>
                </c:pt>
                <c:pt idx="2">
                  <c:v>68.981812990415378</c:v>
                </c:pt>
                <c:pt idx="3">
                  <c:v>55.836713311516554</c:v>
                </c:pt>
                <c:pt idx="4">
                  <c:v>61.392820562228337</c:v>
                </c:pt>
                <c:pt idx="5">
                  <c:v>58.310739989381936</c:v>
                </c:pt>
                <c:pt idx="6">
                  <c:v>58.171448071642878</c:v>
                </c:pt>
                <c:pt idx="7">
                  <c:v>74.600051378149587</c:v>
                </c:pt>
                <c:pt idx="8">
                  <c:v>73.884295602528738</c:v>
                </c:pt>
                <c:pt idx="9">
                  <c:v>65.505356891630001</c:v>
                </c:pt>
                <c:pt idx="10">
                  <c:v>66.913020105270903</c:v>
                </c:pt>
                <c:pt idx="11">
                  <c:v>66.537520183716509</c:v>
                </c:pt>
                <c:pt idx="12">
                  <c:v>72.158257193980504</c:v>
                </c:pt>
                <c:pt idx="13">
                  <c:v>80.213484465572762</c:v>
                </c:pt>
                <c:pt idx="14">
                  <c:v>79.590664383794149</c:v>
                </c:pt>
                <c:pt idx="15">
                  <c:v>87.611581761956089</c:v>
                </c:pt>
                <c:pt idx="16">
                  <c:v>95.285932645426783</c:v>
                </c:pt>
                <c:pt idx="17">
                  <c:v>82.32729509924981</c:v>
                </c:pt>
                <c:pt idx="18">
                  <c:v>88.281228586549858</c:v>
                </c:pt>
                <c:pt idx="19">
                  <c:v>98.968095241579064</c:v>
                </c:pt>
                <c:pt idx="20">
                  <c:v>107.76156061352042</c:v>
                </c:pt>
                <c:pt idx="21">
                  <c:v>89.604673041479884</c:v>
                </c:pt>
                <c:pt idx="22">
                  <c:v>70.09927165129065</c:v>
                </c:pt>
                <c:pt idx="23">
                  <c:v>80.719706851394619</c:v>
                </c:pt>
                <c:pt idx="24">
                  <c:v>82.372205086794878</c:v>
                </c:pt>
                <c:pt idx="25">
                  <c:v>71.543806610421797</c:v>
                </c:pt>
                <c:pt idx="26">
                  <c:v>86.229710505310095</c:v>
                </c:pt>
                <c:pt idx="27">
                  <c:v>65.408404261182824</c:v>
                </c:pt>
                <c:pt idx="28">
                  <c:v>58.079632582386957</c:v>
                </c:pt>
                <c:pt idx="29">
                  <c:v>61.066647395356043</c:v>
                </c:pt>
                <c:pt idx="30">
                  <c:v>62.508565199560309</c:v>
                </c:pt>
                <c:pt idx="31">
                  <c:v>63.256737972491671</c:v>
                </c:pt>
                <c:pt idx="32">
                  <c:v>63.498618451640176</c:v>
                </c:pt>
                <c:pt idx="33">
                  <c:v>63.153455867984142</c:v>
                </c:pt>
                <c:pt idx="34">
                  <c:v>63.189509082529099</c:v>
                </c:pt>
                <c:pt idx="35">
                  <c:v>63.199249038950377</c:v>
                </c:pt>
                <c:pt idx="36">
                  <c:v>67.483337127887808</c:v>
                </c:pt>
                <c:pt idx="37">
                  <c:v>70.714607214925749</c:v>
                </c:pt>
                <c:pt idx="38">
                  <c:v>78.987364940698583</c:v>
                </c:pt>
                <c:pt idx="39">
                  <c:v>79.398711682416817</c:v>
                </c:pt>
                <c:pt idx="40">
                  <c:v>81.717182105416725</c:v>
                </c:pt>
                <c:pt idx="41">
                  <c:v>87.096850472977849</c:v>
                </c:pt>
                <c:pt idx="42">
                  <c:v>88.402574827331705</c:v>
                </c:pt>
                <c:pt idx="43">
                  <c:v>92.731360388365488</c:v>
                </c:pt>
                <c:pt idx="44">
                  <c:v>101.118186592532</c:v>
                </c:pt>
                <c:pt idx="45">
                  <c:v>113.79218298833023</c:v>
                </c:pt>
                <c:pt idx="46">
                  <c:v>113.90230225905027</c:v>
                </c:pt>
                <c:pt idx="47">
                  <c:v>104.57552072107143</c:v>
                </c:pt>
                <c:pt idx="48">
                  <c:v>115.14837174466754</c:v>
                </c:pt>
                <c:pt idx="49">
                  <c:v>113.61818271227024</c:v>
                </c:pt>
                <c:pt idx="50">
                  <c:v>111.66300020956845</c:v>
                </c:pt>
                <c:pt idx="51">
                  <c:v>110.62967424273361</c:v>
                </c:pt>
                <c:pt idx="52">
                  <c:v>115.78753419335828</c:v>
                </c:pt>
                <c:pt idx="53">
                  <c:v>121.5914256258969</c:v>
                </c:pt>
                <c:pt idx="54">
                  <c:v>124.59529698599971</c:v>
                </c:pt>
                <c:pt idx="55">
                  <c:v>127.75463301180936</c:v>
                </c:pt>
                <c:pt idx="56">
                  <c:v>137.05759179345949</c:v>
                </c:pt>
                <c:pt idx="57">
                  <c:v>140.13617250163651</c:v>
                </c:pt>
                <c:pt idx="58">
                  <c:v>143.183928917316</c:v>
                </c:pt>
                <c:pt idx="59">
                  <c:v>142.79700956665314</c:v>
                </c:pt>
                <c:pt idx="60">
                  <c:v>143.98855675042478</c:v>
                </c:pt>
                <c:pt idx="61">
                  <c:v>144.24251766434637</c:v>
                </c:pt>
                <c:pt idx="62">
                  <c:v>144.29797892530345</c:v>
                </c:pt>
                <c:pt idx="63">
                  <c:v>139.90355923396177</c:v>
                </c:pt>
                <c:pt idx="64">
                  <c:v>135.11313614573459</c:v>
                </c:pt>
                <c:pt idx="65">
                  <c:v>127.59899153747321</c:v>
                </c:pt>
                <c:pt idx="66">
                  <c:v>123.44149034623622</c:v>
                </c:pt>
                <c:pt idx="67">
                  <c:v>115.2367423667622</c:v>
                </c:pt>
                <c:pt idx="68">
                  <c:v>107.23150858570202</c:v>
                </c:pt>
                <c:pt idx="69">
                  <c:v>102.1653402948134</c:v>
                </c:pt>
                <c:pt idx="70">
                  <c:v>111.90099724854022</c:v>
                </c:pt>
                <c:pt idx="71">
                  <c:v>123.36319666275237</c:v>
                </c:pt>
                <c:pt idx="72">
                  <c:v>123.46149132983724</c:v>
                </c:pt>
                <c:pt idx="73">
                  <c:v>118.70951896424685</c:v>
                </c:pt>
                <c:pt idx="74">
                  <c:v>111.19114015108273</c:v>
                </c:pt>
                <c:pt idx="75">
                  <c:v>132.1907385078909</c:v>
                </c:pt>
                <c:pt idx="76">
                  <c:v>141.68882121497157</c:v>
                </c:pt>
                <c:pt idx="77">
                  <c:v>148.52237061526472</c:v>
                </c:pt>
                <c:pt idx="78">
                  <c:v>144.13818654294516</c:v>
                </c:pt>
                <c:pt idx="79">
                  <c:v>146.63178830915888</c:v>
                </c:pt>
                <c:pt idx="80">
                  <c:v>158.28537372246899</c:v>
                </c:pt>
                <c:pt idx="81">
                  <c:v>162.70126131183636</c:v>
                </c:pt>
                <c:pt idx="82">
                  <c:v>178.88319175929431</c:v>
                </c:pt>
                <c:pt idx="83">
                  <c:v>175.39021532388711</c:v>
                </c:pt>
                <c:pt idx="84">
                  <c:v>166.8698922173912</c:v>
                </c:pt>
                <c:pt idx="85">
                  <c:v>164.54944970670192</c:v>
                </c:pt>
                <c:pt idx="86">
                  <c:v>149.64432550549691</c:v>
                </c:pt>
                <c:pt idx="87">
                  <c:v>136.1870820910539</c:v>
                </c:pt>
                <c:pt idx="88">
                  <c:v>114.20858527381104</c:v>
                </c:pt>
                <c:pt idx="89">
                  <c:v>103.48316139648368</c:v>
                </c:pt>
                <c:pt idx="90">
                  <c:v>98.450722990212824</c:v>
                </c:pt>
                <c:pt idx="91">
                  <c:v>90.950829657379984</c:v>
                </c:pt>
                <c:pt idx="92">
                  <c:v>89.280182571002698</c:v>
                </c:pt>
                <c:pt idx="93">
                  <c:v>81.59866497417751</c:v>
                </c:pt>
                <c:pt idx="94">
                  <c:v>79.547228957548285</c:v>
                </c:pt>
                <c:pt idx="95">
                  <c:v>72.849628534880495</c:v>
                </c:pt>
                <c:pt idx="96">
                  <c:v>66.551999664075623</c:v>
                </c:pt>
                <c:pt idx="97">
                  <c:v>64.308662496112404</c:v>
                </c:pt>
                <c:pt idx="98">
                  <c:v>65.178522200080323</c:v>
                </c:pt>
                <c:pt idx="99">
                  <c:v>63.617821596016007</c:v>
                </c:pt>
                <c:pt idx="100">
                  <c:v>62.553051549557857</c:v>
                </c:pt>
                <c:pt idx="101">
                  <c:v>63.542798374575227</c:v>
                </c:pt>
                <c:pt idx="102">
                  <c:v>63.76022514557463</c:v>
                </c:pt>
                <c:pt idx="103">
                  <c:v>57.179662860714416</c:v>
                </c:pt>
                <c:pt idx="104">
                  <c:v>62.088791843782474</c:v>
                </c:pt>
                <c:pt idx="105">
                  <c:v>71.158838755151507</c:v>
                </c:pt>
                <c:pt idx="106">
                  <c:v>66.251972478022608</c:v>
                </c:pt>
                <c:pt idx="107">
                  <c:v>75.034716362625105</c:v>
                </c:pt>
                <c:pt idx="108">
                  <c:v>94.60568727964592</c:v>
                </c:pt>
                <c:pt idx="109">
                  <c:v>87.582628920160261</c:v>
                </c:pt>
                <c:pt idx="110">
                  <c:v>100</c:v>
                </c:pt>
                <c:pt idx="111">
                  <c:v>108.85613908531492</c:v>
                </c:pt>
                <c:pt idx="112">
                  <c:v>104.54244747039643</c:v>
                </c:pt>
                <c:pt idx="113">
                  <c:v>108.08098917473956</c:v>
                </c:pt>
                <c:pt idx="114">
                  <c:v>106.03532485985461</c:v>
                </c:pt>
                <c:pt idx="115">
                  <c:v>93.118878512162794</c:v>
                </c:pt>
                <c:pt idx="116">
                  <c:v>85.248234936560976</c:v>
                </c:pt>
                <c:pt idx="117">
                  <c:v>96.787600608231429</c:v>
                </c:pt>
                <c:pt idx="118">
                  <c:v>109.62350126167875</c:v>
                </c:pt>
                <c:pt idx="120" formatCode="0.0%">
                  <c:v>0.13261926706297211</c:v>
                </c:pt>
              </c:numCache>
            </c:numRef>
          </c:val>
          <c:smooth val="0"/>
          <c:extLst>
            <c:ext xmlns:c16="http://schemas.microsoft.com/office/drawing/2014/chart" uri="{C3380CC4-5D6E-409C-BE32-E72D297353CC}">
              <c16:uniqueId val="{00000000-D6AC-4DE9-9A9E-B6A107FA53CB}"/>
            </c:ext>
          </c:extLst>
        </c:ser>
        <c:ser>
          <c:idx val="0"/>
          <c:order val="1"/>
          <c:tx>
            <c:v>Heavy Fuel Oil</c:v>
          </c:tx>
          <c:spPr>
            <a:ln w="12700">
              <a:solidFill>
                <a:srgbClr val="FF0000"/>
              </a:solidFill>
              <a:prstDash val="solid"/>
            </a:ln>
          </c:spPr>
          <c:marker>
            <c:symbol val="none"/>
          </c:marker>
          <c:cat>
            <c:numRef>
              <c:f>'2.3.1 Prices IndLR'!$A$10:$A$130</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formatCode="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'2.3.1 Prices IndLR'!$N$10:$N$130</c:f>
              <c:numCache>
                <c:formatCode>General</c:formatCode>
                <c:ptCount val="121"/>
                <c:pt idx="21" formatCode="0.00">
                  <c:v>169.37156698523265</c:v>
                </c:pt>
                <c:pt idx="22" formatCode="0.00">
                  <c:v>46.464531030981632</c:v>
                </c:pt>
                <c:pt idx="23" formatCode="0.00">
                  <c:v>42.68343409608535</c:v>
                </c:pt>
                <c:pt idx="24" formatCode="0.00">
                  <c:v>56.887940811269765</c:v>
                </c:pt>
                <c:pt idx="25" formatCode="0.00">
                  <c:v>50.97350705429222</c:v>
                </c:pt>
                <c:pt idx="26" formatCode="0.00">
                  <c:v>51.655154212752954</c:v>
                </c:pt>
                <c:pt idx="27" formatCode="0.00">
                  <c:v>57.527311849261451</c:v>
                </c:pt>
                <c:pt idx="28" formatCode="0.00">
                  <c:v>38.799033794853898</c:v>
                </c:pt>
                <c:pt idx="29" formatCode="0.00">
                  <c:v>35.725339518156076</c:v>
                </c:pt>
                <c:pt idx="30" formatCode="0.00">
                  <c:v>40.270070248736033</c:v>
                </c:pt>
                <c:pt idx="31" formatCode="0.00">
                  <c:v>33.07584227538154</c:v>
                </c:pt>
                <c:pt idx="32" formatCode="0.00">
                  <c:v>40.118548619779119</c:v>
                </c:pt>
                <c:pt idx="33" formatCode="0.00">
                  <c:v>36.359762338300541</c:v>
                </c:pt>
                <c:pt idx="34" formatCode="0.00">
                  <c:v>38.74761233774278</c:v>
                </c:pt>
                <c:pt idx="35" formatCode="0.00">
                  <c:v>39.317710851306543</c:v>
                </c:pt>
                <c:pt idx="36" formatCode="0.00">
                  <c:v>39.326125705117072</c:v>
                </c:pt>
                <c:pt idx="37" formatCode="0.00">
                  <c:v>40.868782242863745</c:v>
                </c:pt>
                <c:pt idx="38" formatCode="0.00">
                  <c:v>43.814026429863532</c:v>
                </c:pt>
                <c:pt idx="39" formatCode="0.00">
                  <c:v>36.715519038210267</c:v>
                </c:pt>
                <c:pt idx="40" formatCode="0.00">
                  <c:v>57.689139409994425</c:v>
                </c:pt>
                <c:pt idx="41" formatCode="0.00">
                  <c:v>67.815019675051971</c:v>
                </c:pt>
                <c:pt idx="42" formatCode="0.00">
                  <c:v>98.135486334924536</c:v>
                </c:pt>
                <c:pt idx="43" formatCode="0.00">
                  <c:v>91.054955656520775</c:v>
                </c:pt>
                <c:pt idx="44" formatCode="0.00">
                  <c:v>101.72650590049153</c:v>
                </c:pt>
                <c:pt idx="45" formatCode="0.00">
                  <c:v>63.57162998273126</c:v>
                </c:pt>
                <c:pt idx="46" formatCode="0.00">
                  <c:v>63.681413215063309</c:v>
                </c:pt>
                <c:pt idx="47" formatCode="0.00">
                  <c:v>50.584029446673917</c:v>
                </c:pt>
                <c:pt idx="48" formatCode="0.00">
                  <c:v>61.003937465187889</c:v>
                </c:pt>
                <c:pt idx="49" formatCode="0.00">
                  <c:v>45.084221461009413</c:v>
                </c:pt>
                <c:pt idx="50" formatCode="0.00">
                  <c:v>48.626393437740973</c:v>
                </c:pt>
                <c:pt idx="51" formatCode="0.00">
                  <c:v>48.118755229872363</c:v>
                </c:pt>
                <c:pt idx="52" formatCode="0.00">
                  <c:v>49.592342781624772</c:v>
                </c:pt>
                <c:pt idx="53" formatCode="0.00">
                  <c:v>46.713119121057169</c:v>
                </c:pt>
                <c:pt idx="54" formatCode="0.00">
                  <c:v>44.479665812755456</c:v>
                </c:pt>
                <c:pt idx="55" formatCode="0.00">
                  <c:v>44.640659654324708</c:v>
                </c:pt>
                <c:pt idx="56" formatCode="0.00">
                  <c:v>50.741972043491195</c:v>
                </c:pt>
                <c:pt idx="57" formatCode="0.00">
                  <c:v>50.394459235871793</c:v>
                </c:pt>
                <c:pt idx="58" formatCode="0.00">
                  <c:v>40.897782515228734</c:v>
                </c:pt>
                <c:pt idx="59" formatCode="0.00">
                  <c:v>37.173910559886863</c:v>
                </c:pt>
                <c:pt idx="60" formatCode="0.00">
                  <c:v>35.099742579256713</c:v>
                </c:pt>
                <c:pt idx="61" formatCode="0.00">
                  <c:v>31.085503182255071</c:v>
                </c:pt>
                <c:pt idx="62" formatCode="0.00">
                  <c:v>33.621804942548415</c:v>
                </c:pt>
                <c:pt idx="63" formatCode="0.00">
                  <c:v>30.474218738445153</c:v>
                </c:pt>
                <c:pt idx="64" formatCode="0.00">
                  <c:v>27.65122023735589</c:v>
                </c:pt>
                <c:pt idx="65" formatCode="0.00">
                  <c:v>24.303591032490328</c:v>
                </c:pt>
                <c:pt idx="66" formatCode="0.00">
                  <c:v>24.583067332246959</c:v>
                </c:pt>
                <c:pt idx="67" formatCode="0.00">
                  <c:v>27.690562552804856</c:v>
                </c:pt>
                <c:pt idx="68" formatCode="0.00">
                  <c:v>29.1203934334442</c:v>
                </c:pt>
                <c:pt idx="69" formatCode="0.00">
                  <c:v>26.935296051431116</c:v>
                </c:pt>
                <c:pt idx="70" formatCode="0.00">
                  <c:v>24.585037683704762</c:v>
                </c:pt>
                <c:pt idx="71" formatCode="0.00">
                  <c:v>34.044299915788976</c:v>
                </c:pt>
                <c:pt idx="72" formatCode="0.00">
                  <c:v>30.231365386719027</c:v>
                </c:pt>
                <c:pt idx="73" formatCode="0.00">
                  <c:v>27.168573059316699</c:v>
                </c:pt>
                <c:pt idx="74" formatCode="0.00">
                  <c:v>55.415017857822143</c:v>
                </c:pt>
                <c:pt idx="75" formatCode="0.00">
                  <c:v>55.317408495798759</c:v>
                </c:pt>
                <c:pt idx="76" formatCode="0.00">
                  <c:v>54.856903706989122</c:v>
                </c:pt>
                <c:pt idx="77" formatCode="0.00">
                  <c:v>61.089111483476856</c:v>
                </c:pt>
                <c:pt idx="78" formatCode="0.00">
                  <c:v>51.215425138343285</c:v>
                </c:pt>
                <c:pt idx="79" formatCode="0.00">
                  <c:v>55.596231023863886</c:v>
                </c:pt>
                <c:pt idx="80" formatCode="0.00">
                  <c:v>65.588982275895589</c:v>
                </c:pt>
                <c:pt idx="81" formatCode="0.00">
                  <c:v>69.89606597144882</c:v>
                </c:pt>
                <c:pt idx="82" formatCode="0.00">
                  <c:v>68.369874102335629</c:v>
                </c:pt>
                <c:pt idx="83" formatCode="0.00">
                  <c:v>71.338103854226816</c:v>
                </c:pt>
                <c:pt idx="84" formatCode="0.00">
                  <c:v>80.61698770123725</c:v>
                </c:pt>
                <c:pt idx="85" formatCode="0.00">
                  <c:v>77.568488457206442</c:v>
                </c:pt>
                <c:pt idx="86" formatCode="0.00">
                  <c:v>35.715100640442323</c:v>
                </c:pt>
                <c:pt idx="87" formatCode="0.00">
                  <c:v>36.260004418217768</c:v>
                </c:pt>
                <c:pt idx="88" formatCode="0.00">
                  <c:v>25.266500987476253</c:v>
                </c:pt>
                <c:pt idx="89" formatCode="0.00">
                  <c:v>25.513340099386191</c:v>
                </c:pt>
                <c:pt idx="90" formatCode="0.00">
                  <c:v>25.674327215381503</c:v>
                </c:pt>
                <c:pt idx="91" formatCode="0.00">
                  <c:v>21.151270394265662</c:v>
                </c:pt>
                <c:pt idx="92" formatCode="0.00">
                  <c:v>19.718510471055883</c:v>
                </c:pt>
                <c:pt idx="93" formatCode="0.00">
                  <c:v>20.462708250043736</c:v>
                </c:pt>
                <c:pt idx="94" formatCode="0.00">
                  <c:v>21.846292408130044</c:v>
                </c:pt>
                <c:pt idx="95" formatCode="0.00">
                  <c:v>24.9056238494341</c:v>
                </c:pt>
                <c:pt idx="96" formatCode="0.00">
                  <c:v>26.416494859202533</c:v>
                </c:pt>
                <c:pt idx="97" formatCode="0.00">
                  <c:v>25.005473651587607</c:v>
                </c:pt>
                <c:pt idx="98" formatCode="0.00">
                  <c:v>20.645268670400327</c:v>
                </c:pt>
                <c:pt idx="99" formatCode="0.00">
                  <c:v>23.419988255097081</c:v>
                </c:pt>
                <c:pt idx="100" formatCode="0.00">
                  <c:v>33.286438139169974</c:v>
                </c:pt>
                <c:pt idx="101" formatCode="0.00">
                  <c:v>32.909562741128454</c:v>
                </c:pt>
                <c:pt idx="102" formatCode="0.00">
                  <c:v>33.749039884362624</c:v>
                </c:pt>
                <c:pt idx="103" formatCode="0.00">
                  <c:v>38.100150819160106</c:v>
                </c:pt>
                <c:pt idx="104" formatCode="0.00">
                  <c:v>37.410430396279537</c:v>
                </c:pt>
                <c:pt idx="105" formatCode="0.00">
                  <c:v>48.504207301546479</c:v>
                </c:pt>
                <c:pt idx="106" formatCode="0.00">
                  <c:v>60.17501418617654</c:v>
                </c:pt>
                <c:pt idx="107" formatCode="0.00">
                  <c:v>60.740366557594655</c:v>
                </c:pt>
                <c:pt idx="108" formatCode="0.00">
                  <c:v>86.011836568473697</c:v>
                </c:pt>
                <c:pt idx="109" formatCode="0.00">
                  <c:v>82.529873081149773</c:v>
                </c:pt>
                <c:pt idx="110" formatCode="0.00">
                  <c:v>100</c:v>
                </c:pt>
                <c:pt idx="111" formatCode="0.00">
                  <c:v>118.70076295188055</c:v>
                </c:pt>
                <c:pt idx="112" formatCode="0.00">
                  <c:v>123.98694951437051</c:v>
                </c:pt>
                <c:pt idx="113" formatCode="0.00">
                  <c:v>117.3471838782893</c:v>
                </c:pt>
                <c:pt idx="114" formatCode="0.00">
                  <c:v>102.92169007308834</c:v>
                </c:pt>
                <c:pt idx="115" formatCode="0.00">
                  <c:v>70.589178586387902</c:v>
                </c:pt>
                <c:pt idx="116" formatCode="0.00">
                  <c:v>69.595031182847194</c:v>
                </c:pt>
                <c:pt idx="117" formatCode="0.00">
                  <c:v>84.472385977525803</c:v>
                </c:pt>
                <c:pt idx="118" formatCode="0.00">
                  <c:v>90.195538081582839</c:v>
                </c:pt>
                <c:pt idx="120" formatCode="0.0%">
                  <c:v>6.7751751508234911E-2</c:v>
                </c:pt>
              </c:numCache>
            </c:numRef>
          </c:val>
          <c:smooth val="0"/>
          <c:extLst>
            <c:ext xmlns:c16="http://schemas.microsoft.com/office/drawing/2014/chart" uri="{C3380CC4-5D6E-409C-BE32-E72D297353CC}">
              <c16:uniqueId val="{00000001-D6AC-4DE9-9A9E-B6A107FA53CB}"/>
            </c:ext>
          </c:extLst>
        </c:ser>
        <c:ser>
          <c:idx val="1"/>
          <c:order val="2"/>
          <c:tx>
            <c:v>Gas</c:v>
          </c:tx>
          <c:spPr>
            <a:ln w="12700">
              <a:solidFill>
                <a:srgbClr val="00FF00"/>
              </a:solidFill>
              <a:prstDash val="solid"/>
            </a:ln>
          </c:spPr>
          <c:marker>
            <c:symbol val="none"/>
          </c:marker>
          <c:cat>
            <c:numRef>
              <c:f>'2.3.1 Prices IndLR'!$A$10:$A$130</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formatCode="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'2.3.1 Prices IndLR'!$O$10:$O$130</c:f>
              <c:numCache>
                <c:formatCode>General</c:formatCode>
                <c:ptCount val="121"/>
                <c:pt idx="55" formatCode="0.00">
                  <c:v>262.40480154639283</c:v>
                </c:pt>
                <c:pt idx="56" formatCode="0.00">
                  <c:v>267.59210690928165</c:v>
                </c:pt>
                <c:pt idx="57" formatCode="0.00">
                  <c:v>269.80174711457613</c:v>
                </c:pt>
                <c:pt idx="58" formatCode="0.00">
                  <c:v>271.83327793951253</c:v>
                </c:pt>
                <c:pt idx="59" formatCode="0.00">
                  <c:v>268.26851449438414</c:v>
                </c:pt>
                <c:pt idx="60" formatCode="0.00">
                  <c:v>268.21833221792832</c:v>
                </c:pt>
                <c:pt idx="61" formatCode="0.00">
                  <c:v>263.23350295764965</c:v>
                </c:pt>
                <c:pt idx="62" formatCode="0.00">
                  <c:v>260.04804783617408</c:v>
                </c:pt>
                <c:pt idx="63" formatCode="0.00">
                  <c:v>256.88741026491971</c:v>
                </c:pt>
                <c:pt idx="64" formatCode="0.00">
                  <c:v>247.74868779354702</c:v>
                </c:pt>
                <c:pt idx="65" formatCode="0.00">
                  <c:v>231.05796538646038</c:v>
                </c:pt>
                <c:pt idx="66" formatCode="0.00">
                  <c:v>221.84593406404281</c:v>
                </c:pt>
                <c:pt idx="67" formatCode="0.00">
                  <c:v>214.22644620662535</c:v>
                </c:pt>
                <c:pt idx="68" formatCode="0.00">
                  <c:v>206.63607875490337</c:v>
                </c:pt>
                <c:pt idx="69" formatCode="0.00">
                  <c:v>170.45469059302565</c:v>
                </c:pt>
                <c:pt idx="70" formatCode="0.00">
                  <c:v>120.13258586363632</c:v>
                </c:pt>
                <c:pt idx="71" formatCode="0.00">
                  <c:v>84.498177706445659</c:v>
                </c:pt>
                <c:pt idx="72" formatCode="0.00">
                  <c:v>62.716968136102054</c:v>
                </c:pt>
                <c:pt idx="73" formatCode="0.00">
                  <c:v>60.934106766252924</c:v>
                </c:pt>
                <c:pt idx="74" formatCode="0.00">
                  <c:v>60.486031089911954</c:v>
                </c:pt>
                <c:pt idx="75" formatCode="0.00">
                  <c:v>66.287100913739224</c:v>
                </c:pt>
                <c:pt idx="76" formatCode="0.00">
                  <c:v>83.589278184630871</c:v>
                </c:pt>
                <c:pt idx="77" formatCode="0.00">
                  <c:v>100.20867047917338</c:v>
                </c:pt>
                <c:pt idx="78" formatCode="0.00">
                  <c:v>110.63560080972852</c:v>
                </c:pt>
                <c:pt idx="79" formatCode="0.00">
                  <c:v>110.28474395167584</c:v>
                </c:pt>
                <c:pt idx="80" formatCode="0.00">
                  <c:v>124.91175036162186</c:v>
                </c:pt>
                <c:pt idx="81" formatCode="0.00">
                  <c:v>134.687563564697</c:v>
                </c:pt>
                <c:pt idx="82" formatCode="0.00">
                  <c:v>132.56009292812254</c:v>
                </c:pt>
                <c:pt idx="83" formatCode="0.00">
                  <c:v>127.76386251105014</c:v>
                </c:pt>
                <c:pt idx="84" formatCode="0.00">
                  <c:v>125.46218370232228</c:v>
                </c:pt>
                <c:pt idx="85" formatCode="0.00">
                  <c:v>127.08486827020734</c:v>
                </c:pt>
                <c:pt idx="86" formatCode="0.00">
                  <c:v>106.10480290868388</c:v>
                </c:pt>
                <c:pt idx="87" formatCode="0.00">
                  <c:v>94.839984228403239</c:v>
                </c:pt>
                <c:pt idx="88" formatCode="0.00">
                  <c:v>85.228052226552208</c:v>
                </c:pt>
                <c:pt idx="89" formatCode="0.00">
                  <c:v>76.391815383633443</c:v>
                </c:pt>
                <c:pt idx="90" formatCode="0.00">
                  <c:v>71.92988432293069</c:v>
                </c:pt>
                <c:pt idx="91" formatCode="0.00">
                  <c:v>68.106666768313431</c:v>
                </c:pt>
                <c:pt idx="92" formatCode="0.00">
                  <c:v>66.374144476765892</c:v>
                </c:pt>
                <c:pt idx="93" formatCode="0.00">
                  <c:v>62.208562090044111</c:v>
                </c:pt>
                <c:pt idx="94" formatCode="0.00">
                  <c:v>60.133976931226954</c:v>
                </c:pt>
                <c:pt idx="95" formatCode="0.00">
                  <c:v>54.838391203279357</c:v>
                </c:pt>
                <c:pt idx="96" formatCode="0.00">
                  <c:v>40.242699114748646</c:v>
                </c:pt>
                <c:pt idx="97" formatCode="0.00">
                  <c:v>41.23865871359709</c:v>
                </c:pt>
                <c:pt idx="98" formatCode="0.00">
                  <c:v>43.001447246451669</c:v>
                </c:pt>
                <c:pt idx="99" formatCode="0.00">
                  <c:v>42.381013327256227</c:v>
                </c:pt>
                <c:pt idx="100" formatCode="0.00">
                  <c:v>45.278903712722126</c:v>
                </c:pt>
                <c:pt idx="101" formatCode="0.00">
                  <c:v>60.062524241009072</c:v>
                </c:pt>
                <c:pt idx="102" formatCode="0.00">
                  <c:v>55.60082036952808</c:v>
                </c:pt>
                <c:pt idx="103" formatCode="0.00">
                  <c:v>56.690501639562449</c:v>
                </c:pt>
                <c:pt idx="104" formatCode="0.00">
                  <c:v>61.564963712595748</c:v>
                </c:pt>
                <c:pt idx="105" formatCode="0.00">
                  <c:v>91.338454751054797</c:v>
                </c:pt>
                <c:pt idx="106" formatCode="0.00">
                  <c:v>110.82775900814308</c:v>
                </c:pt>
                <c:pt idx="107" formatCode="0.00">
                  <c:v>87.120461101642022</c:v>
                </c:pt>
                <c:pt idx="108" formatCode="0.00">
                  <c:v>127.68934528262018</c:v>
                </c:pt>
                <c:pt idx="109" formatCode="0.00">
                  <c:v>105.46826837771889</c:v>
                </c:pt>
                <c:pt idx="110" formatCode="0.00">
                  <c:v>100.00000000000004</c:v>
                </c:pt>
                <c:pt idx="111" formatCode="0.00">
                  <c:v>119.89027996287498</c:v>
                </c:pt>
                <c:pt idx="112" formatCode="0.00">
                  <c:v>128.65533908781575</c:v>
                </c:pt>
                <c:pt idx="113" formatCode="0.00">
                  <c:v>139.79364647049306</c:v>
                </c:pt>
                <c:pt idx="114" formatCode="0.00">
                  <c:v>123.30744906863016</c:v>
                </c:pt>
                <c:pt idx="115" formatCode="0.00">
                  <c:v>109.88533038690517</c:v>
                </c:pt>
                <c:pt idx="116" formatCode="0.00">
                  <c:v>90.416383229905932</c:v>
                </c:pt>
                <c:pt idx="117" formatCode="0.00">
                  <c:v>94.299632593043441</c:v>
                </c:pt>
                <c:pt idx="118" formatCode="0.00">
                  <c:v>109.27540604346807</c:v>
                </c:pt>
                <c:pt idx="120" formatCode="0.0%">
                  <c:v>0.15881051748158562</c:v>
                </c:pt>
              </c:numCache>
            </c:numRef>
          </c:val>
          <c:smooth val="1"/>
          <c:extLst>
            <c:ext xmlns:c16="http://schemas.microsoft.com/office/drawing/2014/chart" uri="{C3380CC4-5D6E-409C-BE32-E72D297353CC}">
              <c16:uniqueId val="{00000002-D6AC-4DE9-9A9E-B6A107FA53CB}"/>
            </c:ext>
          </c:extLst>
        </c:ser>
        <c:ser>
          <c:idx val="2"/>
          <c:order val="3"/>
          <c:tx>
            <c:v>Electricity</c:v>
          </c:tx>
          <c:spPr>
            <a:ln w="12700">
              <a:solidFill>
                <a:srgbClr val="7030A0"/>
              </a:solidFill>
              <a:prstDash val="solid"/>
            </a:ln>
          </c:spPr>
          <c:marker>
            <c:symbol val="none"/>
          </c:marker>
          <c:cat>
            <c:numRef>
              <c:f>'2.3.1 Prices IndLR'!$A$10:$A$130</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formatCode="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'2.3.1 Prices IndLR'!$P$10:$P$130</c:f>
              <c:numCache>
                <c:formatCode>General</c:formatCode>
                <c:ptCount val="121"/>
                <c:pt idx="24" formatCode="0.00">
                  <c:v>291.31929530197647</c:v>
                </c:pt>
                <c:pt idx="25" formatCode="0.00">
                  <c:v>271.49224068264658</c:v>
                </c:pt>
                <c:pt idx="26" formatCode="0.00">
                  <c:v>311.37627776304754</c:v>
                </c:pt>
                <c:pt idx="27" formatCode="0.00">
                  <c:v>260.86058685083924</c:v>
                </c:pt>
                <c:pt idx="28" formatCode="0.00">
                  <c:v>241.8172206823003</c:v>
                </c:pt>
                <c:pt idx="29" formatCode="0.00">
                  <c:v>231.97311710073575</c:v>
                </c:pt>
                <c:pt idx="30" formatCode="0.00">
                  <c:v>231.98942502315671</c:v>
                </c:pt>
                <c:pt idx="31" formatCode="0.00">
                  <c:v>231.44861156947411</c:v>
                </c:pt>
                <c:pt idx="32" formatCode="0.00">
                  <c:v>230.5474551448811</c:v>
                </c:pt>
                <c:pt idx="33" formatCode="0.00">
                  <c:v>221.68573705327941</c:v>
                </c:pt>
                <c:pt idx="34" formatCode="0.00">
                  <c:v>210.32995495386484</c:v>
                </c:pt>
                <c:pt idx="35" formatCode="0.00">
                  <c:v>199.56258641458365</c:v>
                </c:pt>
                <c:pt idx="36" formatCode="0.00">
                  <c:v>194.83098804714845</c:v>
                </c:pt>
                <c:pt idx="37" formatCode="0.00">
                  <c:v>186.67603811591334</c:v>
                </c:pt>
                <c:pt idx="38" formatCode="0.00">
                  <c:v>185.8368523972685</c:v>
                </c:pt>
                <c:pt idx="39" formatCode="0.00">
                  <c:v>177.09859706367695</c:v>
                </c:pt>
                <c:pt idx="40" formatCode="0.00">
                  <c:v>168.84261399301016</c:v>
                </c:pt>
                <c:pt idx="41" formatCode="0.00">
                  <c:v>160.8007544970956</c:v>
                </c:pt>
                <c:pt idx="42" formatCode="0.00">
                  <c:v>150.04122077993384</c:v>
                </c:pt>
                <c:pt idx="43" formatCode="0.00">
                  <c:v>147.16281185018596</c:v>
                </c:pt>
                <c:pt idx="44" formatCode="0.00">
                  <c:v>152.30731241381599</c:v>
                </c:pt>
                <c:pt idx="45" formatCode="0.00">
                  <c:v>162.04814630721552</c:v>
                </c:pt>
                <c:pt idx="46" formatCode="0.00">
                  <c:v>159.06724798182049</c:v>
                </c:pt>
                <c:pt idx="47" formatCode="0.00">
                  <c:v>149.20632973325777</c:v>
                </c:pt>
                <c:pt idx="48" formatCode="0.00">
                  <c:v>143.55877013996482</c:v>
                </c:pt>
                <c:pt idx="49" formatCode="0.00">
                  <c:v>140.74910005921106</c:v>
                </c:pt>
                <c:pt idx="50" formatCode="0.00">
                  <c:v>137.73214464258984</c:v>
                </c:pt>
                <c:pt idx="51" formatCode="0.00">
                  <c:v>133.53953367033824</c:v>
                </c:pt>
                <c:pt idx="52" formatCode="0.00">
                  <c:v>131.04535393721056</c:v>
                </c:pt>
                <c:pt idx="53" formatCode="0.00">
                  <c:v>134.97658932337444</c:v>
                </c:pt>
                <c:pt idx="54" formatCode="0.00">
                  <c:v>139.41482547495033</c:v>
                </c:pt>
                <c:pt idx="55" formatCode="0.00">
                  <c:v>138.84616099265475</c:v>
                </c:pt>
                <c:pt idx="56" formatCode="0.00">
                  <c:v>138.3300825726989</c:v>
                </c:pt>
                <c:pt idx="57" formatCode="0.00">
                  <c:v>138.09750190445561</c:v>
                </c:pt>
                <c:pt idx="58" formatCode="0.00">
                  <c:v>135.75982128457184</c:v>
                </c:pt>
                <c:pt idx="59" formatCode="0.00">
                  <c:v>128.9304162614728</c:v>
                </c:pt>
                <c:pt idx="60" formatCode="0.00">
                  <c:v>125.49788858155604</c:v>
                </c:pt>
                <c:pt idx="61" formatCode="0.00">
                  <c:v>127.68445278039583</c:v>
                </c:pt>
                <c:pt idx="62" formatCode="0.00">
                  <c:v>125.84967719564708</c:v>
                </c:pt>
                <c:pt idx="63" formatCode="0.00">
                  <c:v>126.31723805681494</c:v>
                </c:pt>
                <c:pt idx="64" formatCode="0.00">
                  <c:v>121.34197646358592</c:v>
                </c:pt>
                <c:pt idx="65" formatCode="0.00">
                  <c:v>119.8459084508597</c:v>
                </c:pt>
                <c:pt idx="66" formatCode="0.00">
                  <c:v>117.97164223728055</c:v>
                </c:pt>
                <c:pt idx="67" formatCode="0.00">
                  <c:v>117.32633373613469</c:v>
                </c:pt>
                <c:pt idx="68" formatCode="0.00">
                  <c:v>115.05695740897175</c:v>
                </c:pt>
                <c:pt idx="69" formatCode="0.00">
                  <c:v>108.1262418089709</c:v>
                </c:pt>
                <c:pt idx="70" formatCode="0.00">
                  <c:v>100.19637152828187</c:v>
                </c:pt>
                <c:pt idx="71" formatCode="0.00">
                  <c:v>102.36687616762978</c:v>
                </c:pt>
                <c:pt idx="72" formatCode="0.00">
                  <c:v>97.258298026333094</c:v>
                </c:pt>
                <c:pt idx="73" formatCode="0.00">
                  <c:v>89.915036476419729</c:v>
                </c:pt>
                <c:pt idx="74" formatCode="0.00">
                  <c:v>105.61636815335066</c:v>
                </c:pt>
                <c:pt idx="75" formatCode="0.00">
                  <c:v>111.19830777506235</c:v>
                </c:pt>
                <c:pt idx="76" formatCode="0.00">
                  <c:v>111.31998975824479</c:v>
                </c:pt>
                <c:pt idx="77" formatCode="0.00">
                  <c:v>112.62942200138529</c:v>
                </c:pt>
                <c:pt idx="78" formatCode="0.00">
                  <c:v>110.79676752873858</c:v>
                </c:pt>
                <c:pt idx="79" formatCode="0.00">
                  <c:v>107.60584892688708</c:v>
                </c:pt>
                <c:pt idx="80" formatCode="0.00">
                  <c:v>110.48975974884483</c:v>
                </c:pt>
                <c:pt idx="81" formatCode="0.00">
                  <c:v>113.81977259899963</c:v>
                </c:pt>
                <c:pt idx="82" formatCode="0.00">
                  <c:v>115.45154696311201</c:v>
                </c:pt>
                <c:pt idx="83" formatCode="0.00">
                  <c:v>109.82373751785973</c:v>
                </c:pt>
                <c:pt idx="84" formatCode="0.00">
                  <c:v>104.19425808033699</c:v>
                </c:pt>
                <c:pt idx="85" formatCode="0.00">
                  <c:v>102.73343437354816</c:v>
                </c:pt>
                <c:pt idx="86" formatCode="0.00">
                  <c:v>99.326184284281268</c:v>
                </c:pt>
                <c:pt idx="87" formatCode="0.00">
                  <c:v>91.518072521877897</c:v>
                </c:pt>
                <c:pt idx="88" formatCode="0.00">
                  <c:v>91.073785592804157</c:v>
                </c:pt>
                <c:pt idx="89" formatCode="0.00">
                  <c:v>90.505521557693243</c:v>
                </c:pt>
                <c:pt idx="90" formatCode="0.00">
                  <c:v>83.569441634248022</c:v>
                </c:pt>
                <c:pt idx="91" formatCode="0.00">
                  <c:v>80.97322826402295</c:v>
                </c:pt>
                <c:pt idx="92" formatCode="0.00">
                  <c:v>82.843021163636621</c:v>
                </c:pt>
                <c:pt idx="93" formatCode="0.00">
                  <c:v>84.497212341013167</c:v>
                </c:pt>
                <c:pt idx="94" formatCode="0.00">
                  <c:v>80.347342880841168</c:v>
                </c:pt>
                <c:pt idx="95" formatCode="0.00">
                  <c:v>77.708482171477456</c:v>
                </c:pt>
                <c:pt idx="96" formatCode="0.00">
                  <c:v>72.056384126668405</c:v>
                </c:pt>
                <c:pt idx="97" formatCode="0.00">
                  <c:v>67.231722393433017</c:v>
                </c:pt>
                <c:pt idx="98" formatCode="0.00">
                  <c:v>65.973947051574257</c:v>
                </c:pt>
                <c:pt idx="99" formatCode="0.00">
                  <c:v>65.765752847902533</c:v>
                </c:pt>
                <c:pt idx="100" formatCode="0.00">
                  <c:v>59.862847054239147</c:v>
                </c:pt>
                <c:pt idx="101" formatCode="0.00">
                  <c:v>54.23757789052047</c:v>
                </c:pt>
                <c:pt idx="102" formatCode="0.00">
                  <c:v>51.208491422692717</c:v>
                </c:pt>
                <c:pt idx="103" formatCode="0.00">
                  <c:v>48.450062633169047</c:v>
                </c:pt>
                <c:pt idx="104" formatCode="0.00">
                  <c:v>51.516515974009849</c:v>
                </c:pt>
                <c:pt idx="105" formatCode="0.00">
                  <c:v>67.34747847263904</c:v>
                </c:pt>
                <c:pt idx="106" formatCode="0.00">
                  <c:v>88.008663231926576</c:v>
                </c:pt>
                <c:pt idx="107" formatCode="0.00">
                  <c:v>88.065350111721841</c:v>
                </c:pt>
                <c:pt idx="108" formatCode="0.00">
                  <c:v>105.38828561647055</c:v>
                </c:pt>
                <c:pt idx="109" formatCode="0.00">
                  <c:v>111.81063985100667</c:v>
                </c:pt>
                <c:pt idx="110" formatCode="0.00">
                  <c:v>100</c:v>
                </c:pt>
                <c:pt idx="111" formatCode="0.00">
                  <c:v>101.09333354357591</c:v>
                </c:pt>
                <c:pt idx="112" formatCode="0.00">
                  <c:v>104.48570812797412</c:v>
                </c:pt>
                <c:pt idx="113" formatCode="0.00">
                  <c:v>108.04326623909348</c:v>
                </c:pt>
                <c:pt idx="114" formatCode="0.00">
                  <c:v>112.00642418465371</c:v>
                </c:pt>
                <c:pt idx="115" formatCode="0.00">
                  <c:v>112.81010710758106</c:v>
                </c:pt>
                <c:pt idx="116" formatCode="0.00">
                  <c:v>106.7042741874257</c:v>
                </c:pt>
                <c:pt idx="117" formatCode="0.00">
                  <c:v>109.96802041209318</c:v>
                </c:pt>
                <c:pt idx="118" formatCode="0.00">
                  <c:v>115.3322460769588</c:v>
                </c:pt>
                <c:pt idx="120" formatCode="0.0%">
                  <c:v>4.8779869318041395E-2</c:v>
                </c:pt>
              </c:numCache>
            </c:numRef>
          </c:val>
          <c:smooth val="0"/>
          <c:extLst>
            <c:ext xmlns:c16="http://schemas.microsoft.com/office/drawing/2014/chart" uri="{C3380CC4-5D6E-409C-BE32-E72D297353CC}">
              <c16:uniqueId val="{00000003-D6AC-4DE9-9A9E-B6A107FA53CB}"/>
            </c:ext>
          </c:extLst>
        </c:ser>
        <c:dLbls>
          <c:showLegendKey val="0"/>
          <c:showVal val="0"/>
          <c:showCatName val="0"/>
          <c:showSerName val="0"/>
          <c:showPercent val="0"/>
          <c:showBubbleSize val="0"/>
        </c:dLbls>
        <c:smooth val="0"/>
        <c:axId val="219022080"/>
        <c:axId val="219023616"/>
      </c:lineChart>
      <c:catAx>
        <c:axId val="219022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219023616"/>
        <c:crossesAt val="0.1"/>
        <c:auto val="1"/>
        <c:lblAlgn val="ctr"/>
        <c:lblOffset val="100"/>
        <c:tickLblSkip val="20"/>
        <c:tickMarkSkip val="20"/>
        <c:noMultiLvlLbl val="0"/>
      </c:catAx>
      <c:valAx>
        <c:axId val="219023616"/>
        <c:scaling>
          <c:orientation val="minMax"/>
        </c:scaling>
        <c:delete val="0"/>
        <c:axPos val="l"/>
        <c:title>
          <c:tx>
            <c:rich>
              <a:bodyPr/>
              <a:lstStyle/>
              <a:p>
                <a:pPr>
                  <a:defRPr sz="1200" b="1" i="0" u="none" strike="noStrike" baseline="0">
                    <a:solidFill>
                      <a:srgbClr val="000000"/>
                    </a:solidFill>
                    <a:latin typeface="Times New Roman"/>
                    <a:ea typeface="Times New Roman"/>
                    <a:cs typeface="Times New Roman"/>
                  </a:defRPr>
                </a:pPr>
                <a:r>
                  <a:rPr lang="es-ES"/>
                  <a:t>Real Prices: Index 2000 = 100</a:t>
                </a:r>
              </a:p>
            </c:rich>
          </c:tx>
          <c:layout>
            <c:manualLayout>
              <c:xMode val="edge"/>
              <c:yMode val="edge"/>
              <c:x val="6.7811595000678015E-3"/>
              <c:y val="0.177978178686298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219022080"/>
        <c:crosses val="autoZero"/>
        <c:crossBetween val="between"/>
      </c:valAx>
      <c:spPr>
        <a:noFill/>
        <a:ln w="25400">
          <a:noFill/>
        </a:ln>
      </c:spPr>
    </c:plotArea>
    <c:legend>
      <c:legendPos val="t"/>
      <c:layout>
        <c:manualLayout>
          <c:xMode val="edge"/>
          <c:yMode val="edge"/>
          <c:x val="0.14233369494146916"/>
          <c:y val="1.3047909457782307E-2"/>
          <c:w val="0.72296994534328562"/>
          <c:h val="6.6604395432919669E-2"/>
        </c:manualLayout>
      </c:layout>
      <c:overlay val="0"/>
      <c:txPr>
        <a:bodyPr/>
        <a:lstStyle/>
        <a:p>
          <a:pPr>
            <a:defRPr sz="1200">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solidFill>
      <a:srgbClr val="FFFFFF"/>
    </a:solidFill>
    <a:ln w="9525">
      <a:noFill/>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2234544304046"/>
          <c:y val="4.5649118013274967E-2"/>
          <c:w val="0.67803552673638068"/>
          <c:h val="0.85134850761876213"/>
        </c:manualLayout>
      </c:layout>
      <c:lineChart>
        <c:grouping val="standard"/>
        <c:varyColors val="0"/>
        <c:ser>
          <c:idx val="0"/>
          <c:order val="0"/>
          <c:tx>
            <c:v>CO2 BEIS (2019)</c:v>
          </c:tx>
          <c:spPr>
            <a:ln w="12700"/>
          </c:spPr>
          <c:marker>
            <c:symbol val="none"/>
          </c:marker>
          <c:cat>
            <c:numRef>
              <c:f>'3.1.1 CO2LR'!$A$10:$A$330</c:f>
              <c:numCache>
                <c:formatCode>General</c:formatCode>
                <c:ptCount val="3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'3.1.1 CO2LR'!$P$10:$P$330</c:f>
              <c:numCache>
                <c:formatCode>General</c:formatCode>
                <c:ptCount val="321"/>
                <c:pt idx="290" formatCode="_(* #,##0.0_);_(* \(#,##0.0\);_(* &quot;-&quot;??_);_(@_)">
                  <c:v>596.34616752595821</c:v>
                </c:pt>
                <c:pt idx="291" formatCode="_(* #,##0.0_);_(* \(#,##0.0\);_(* &quot;-&quot;??_);_(@_)">
                  <c:v>603.62263787650136</c:v>
                </c:pt>
                <c:pt idx="292" formatCode="_(* #,##0.0_);_(* \(#,##0.0\);_(* &quot;-&quot;??_);_(@_)">
                  <c:v>587.25730218336832</c:v>
                </c:pt>
                <c:pt idx="293" formatCode="_(* #,##0.0_);_(* \(#,##0.0\);_(* &quot;-&quot;??_);_(@_)">
                  <c:v>572.79559662736528</c:v>
                </c:pt>
                <c:pt idx="294" formatCode="_(* #,##0.0_);_(* \(#,##0.0\);_(* &quot;-&quot;??_);_(@_)">
                  <c:v>568.76007498190927</c:v>
                </c:pt>
                <c:pt idx="295" formatCode="_(* #,##0.0_);_(* \(#,##0.0\);_(* &quot;-&quot;??_);_(@_)">
                  <c:v>560.14945744999909</c:v>
                </c:pt>
                <c:pt idx="296" formatCode="_(* #,##0.0_);_(* \(#,##0.0\);_(* &quot;-&quot;??_);_(@_)">
                  <c:v>580.91100544679887</c:v>
                </c:pt>
                <c:pt idx="297" formatCode="_(* #,##0.0_);_(* \(#,##0.0\);_(* &quot;-&quot;??_);_(@_)">
                  <c:v>554.11311789073829</c:v>
                </c:pt>
                <c:pt idx="298" formatCode="_(* #,##0.0_);_(* \(#,##0.0\);_(* &quot;-&quot;??_);_(@_)">
                  <c:v>558.3810433201686</c:v>
                </c:pt>
                <c:pt idx="299" formatCode="_(* #,##0.0_);_(* \(#,##0.0\);_(* &quot;-&quot;??_);_(@_)">
                  <c:v>551.98551728750272</c:v>
                </c:pt>
                <c:pt idx="300" formatCode="_(* #,##0.0_);_(* \(#,##0.0\);_(* &quot;-&quot;??_);_(@_)">
                  <c:v>558.32640571297804</c:v>
                </c:pt>
                <c:pt idx="301" formatCode="_(* #,##0.0_);_(* \(#,##0.0\);_(* &quot;-&quot;??_);_(@_)">
                  <c:v>566.67591578663644</c:v>
                </c:pt>
                <c:pt idx="302" formatCode="_(* #,##0.0_);_(* \(#,##0.0\);_(* &quot;-&quot;??_);_(@_)">
                  <c:v>549.82008724244122</c:v>
                </c:pt>
                <c:pt idx="303" formatCode="_(* #,##0.0_);_(* \(#,##0.0\);_(* &quot;-&quot;??_);_(@_)">
                  <c:v>561.03391493171898</c:v>
                </c:pt>
                <c:pt idx="304" formatCode="_(* #,##0.0_);_(* \(#,##0.0\);_(* &quot;-&quot;??_);_(@_)">
                  <c:v>561.76824019851779</c:v>
                </c:pt>
                <c:pt idx="305" formatCode="_(* #,##0.0_);_(* \(#,##0.0\);_(* &quot;-&quot;??_);_(@_)">
                  <c:v>557.87424815551071</c:v>
                </c:pt>
                <c:pt idx="306" formatCode="_(* #,##0.0_);_(* \(#,##0.0\);_(* &quot;-&quot;??_);_(@_)">
                  <c:v>554.84431988453923</c:v>
                </c:pt>
                <c:pt idx="307" formatCode="_(* #,##0.0_);_(* \(#,##0.0\);_(* &quot;-&quot;??_);_(@_)">
                  <c:v>545.85193693040969</c:v>
                </c:pt>
                <c:pt idx="308" formatCode="_(* #,##0.0_);_(* \(#,##0.0\);_(* &quot;-&quot;??_);_(@_)">
                  <c:v>531.11609426091741</c:v>
                </c:pt>
                <c:pt idx="309" formatCode="_(* #,##0.0_);_(* \(#,##0.0\);_(* &quot;-&quot;??_);_(@_)">
                  <c:v>480.82419981148939</c:v>
                </c:pt>
                <c:pt idx="310" formatCode="_(* #,##0.0_);_(* \(#,##0.0\);_(* &quot;-&quot;??_);_(@_)">
                  <c:v>498.34463674973665</c:v>
                </c:pt>
                <c:pt idx="311" formatCode="_(* #,##0.0_);_(* \(#,##0.0\);_(* &quot;-&quot;??_);_(@_)">
                  <c:v>455.64363932896958</c:v>
                </c:pt>
                <c:pt idx="312" formatCode="_(* #,##0.0_);_(* \(#,##0.0\);_(* &quot;-&quot;??_);_(@_)">
                  <c:v>474.16601015358179</c:v>
                </c:pt>
                <c:pt idx="313" formatCode="_(* #,##0.0_);_(* \(#,##0.0\);_(* &quot;-&quot;??_);_(@_)">
                  <c:v>463.95995619390891</c:v>
                </c:pt>
                <c:pt idx="314" formatCode="_(* #,##0.0_);_(* \(#,##0.0\);_(* &quot;-&quot;??_);_(@_)">
                  <c:v>424.86385052376914</c:v>
                </c:pt>
                <c:pt idx="315" formatCode="_(* #,##0.0_);_(* \(#,##0.0\);_(* &quot;-&quot;??_);_(@_)">
                  <c:v>408.33540609602039</c:v>
                </c:pt>
                <c:pt idx="316" formatCode="_(* #,##0.0_);_(* \(#,##0.0\);_(* &quot;-&quot;??_);_(@_)">
                  <c:v>385.80078831693027</c:v>
                </c:pt>
                <c:pt idx="317" formatCode="_(* #,##0.0_);_(* \(#,##0.0\);_(* &quot;-&quot;??_);_(@_)">
                  <c:v>373.23498102934184</c:v>
                </c:pt>
                <c:pt idx="318" formatCode="_(* #,##0.0_);_(* \(#,##0.0\);_(* &quot;-&quot;??_);_(@_)">
                  <c:v>364.1367815767955</c:v>
                </c:pt>
              </c:numCache>
            </c:numRef>
          </c:val>
          <c:smooth val="0"/>
          <c:extLst>
            <c:ext xmlns:c16="http://schemas.microsoft.com/office/drawing/2014/chart" uri="{C3380CC4-5D6E-409C-BE32-E72D297353CC}">
              <c16:uniqueId val="{00000000-63FC-4273-BD26-3AC2BF83832D}"/>
            </c:ext>
          </c:extLst>
        </c:ser>
        <c:dLbls>
          <c:showLegendKey val="0"/>
          <c:showVal val="0"/>
          <c:showCatName val="0"/>
          <c:showSerName val="0"/>
          <c:showPercent val="0"/>
          <c:showBubbleSize val="0"/>
        </c:dLbls>
        <c:marker val="1"/>
        <c:smooth val="0"/>
        <c:axId val="220154496"/>
        <c:axId val="220156288"/>
      </c:lineChart>
      <c:lineChart>
        <c:grouping val="standard"/>
        <c:varyColors val="0"/>
        <c:ser>
          <c:idx val="3"/>
          <c:order val="1"/>
          <c:tx>
            <c:v>Carbon BEIS (2019b)</c:v>
          </c:tx>
          <c:spPr>
            <a:ln w="12700">
              <a:solidFill>
                <a:srgbClr val="FF0000"/>
              </a:solidFill>
            </a:ln>
          </c:spPr>
          <c:marker>
            <c:symbol val="none"/>
          </c:marker>
          <c:val>
            <c:numRef>
              <c:f>'3.1.1 CO2LR'!$AE$10:$AE$330</c:f>
              <c:numCache>
                <c:formatCode>General</c:formatCode>
                <c:ptCount val="321"/>
                <c:pt idx="290" formatCode="_(* #,##0_);_(* \(#,##0\);_(* &quot;-&quot;??_);_(@_)">
                  <c:v>154590.87564401</c:v>
                </c:pt>
                <c:pt idx="291" formatCode="_(* #,##0_);_(* \(#,##0\);_(* &quot;-&quot;??_);_(@_)">
                  <c:v>157482.80188618999</c:v>
                </c:pt>
                <c:pt idx="292" formatCode="_(* #,##0_);_(* \(#,##0\);_(* &quot;-&quot;??_);_(@_)">
                  <c:v>153206.77486028001</c:v>
                </c:pt>
                <c:pt idx="293" formatCode="_(* #,##0_);_(* \(#,##0\);_(* &quot;-&quot;??_);_(@_)">
                  <c:v>149471.91295622001</c:v>
                </c:pt>
                <c:pt idx="294" formatCode="_(* #,##0_);_(* \(#,##0\);_(* &quot;-&quot;??_);_(@_)">
                  <c:v>147731.17439438999</c:v>
                </c:pt>
                <c:pt idx="295" formatCode="_(* #,##0_);_(* \(#,##0\);_(* &quot;-&quot;??_);_(@_)">
                  <c:v>144888.47705389</c:v>
                </c:pt>
                <c:pt idx="296" formatCode="_(* #,##0_);_(* \(#,##0\);_(* &quot;-&quot;??_);_(@_)">
                  <c:v>150444.61157730999</c:v>
                </c:pt>
                <c:pt idx="297" formatCode="_(* #,##0_);_(* \(#,##0\);_(* &quot;-&quot;??_);_(@_)">
                  <c:v>144592.53485308</c:v>
                </c:pt>
                <c:pt idx="298" formatCode="_(* #,##0_);_(* \(#,##0\);_(* &quot;-&quot;??_);_(@_)">
                  <c:v>146163.58357339</c:v>
                </c:pt>
                <c:pt idx="299" formatCode="_(* #,##0_);_(* \(#,##0\);_(* &quot;-&quot;??_);_(@_)">
                  <c:v>144541.2930373</c:v>
                </c:pt>
                <c:pt idx="300" formatCode="_(* #,##0_);_(* \(#,##0\);_(* &quot;-&quot;??_);_(@_)">
                  <c:v>146870.14790646001</c:v>
                </c:pt>
                <c:pt idx="301" formatCode="_(* #,##0_);_(* \(#,##0\);_(* &quot;-&quot;??_);_(@_)">
                  <c:v>149707.12714234</c:v>
                </c:pt>
                <c:pt idx="302" formatCode="_(* #,##0_);_(* \(#,##0\);_(* &quot;-&quot;??_);_(@_)">
                  <c:v>145576.43350000001</c:v>
                </c:pt>
                <c:pt idx="303" formatCode="_(* #,##0_);_(* \(#,##0\);_(* &quot;-&quot;??_);_(@_)">
                  <c:v>148239.19614978001</c:v>
                </c:pt>
                <c:pt idx="304" formatCode="_(* #,##0_);_(* \(#,##0\);_(* &quot;-&quot;??_);_(@_)">
                  <c:v>148282.15359608</c:v>
                </c:pt>
                <c:pt idx="305" formatCode="_(* #,##0_);_(* \(#,##0\);_(* &quot;-&quot;??_);_(@_)">
                  <c:v>147594.10173711</c:v>
                </c:pt>
                <c:pt idx="306" formatCode="_(* #,##0_);_(* \(#,##0\);_(* &quot;-&quot;??_);_(@_)">
                  <c:v>147481.26730812999</c:v>
                </c:pt>
                <c:pt idx="307" formatCode="_(* #,##0_);_(* \(#,##0\);_(* &quot;-&quot;??_);_(@_)">
                  <c:v>144737.89154708001</c:v>
                </c:pt>
                <c:pt idx="308" formatCode="_(* #,##0_);_(* \(#,##0\);_(* &quot;-&quot;??_);_(@_)">
                  <c:v>141503.54466248999</c:v>
                </c:pt>
                <c:pt idx="309" formatCode="_(* #,##0_);_(* \(#,##0\);_(* &quot;-&quot;??_);_(@_)">
                  <c:v>129262.92465397</c:v>
                </c:pt>
                <c:pt idx="310" formatCode="_(* #,##0_);_(* \(#,##0\);_(* &quot;-&quot;??_);_(@_)">
                  <c:v>133736.36102266001</c:v>
                </c:pt>
                <c:pt idx="311" formatCode="_(* #,##0_);_(* \(#,##0\);_(* &quot;-&quot;??_);_(@_)">
                  <c:v>122554.07781856001</c:v>
                </c:pt>
                <c:pt idx="312" formatCode="_(* #,##0_);_(* \(#,##0\);_(* &quot;-&quot;??_);_(@_)">
                  <c:v>127625.83797799</c:v>
                </c:pt>
                <c:pt idx="313" formatCode="_(* #,##0_);_(* \(#,##0\);_(* &quot;-&quot;??_);_(@_)">
                  <c:v>124378.88520966</c:v>
                </c:pt>
                <c:pt idx="314" formatCode="_(* #,##0_);_(* \(#,##0\);_(* &quot;-&quot;??_);_(@_)">
                  <c:v>113736.52376181001</c:v>
                </c:pt>
                <c:pt idx="315" formatCode="_(* #,##0_);_(* \(#,##0\);_(* &quot;-&quot;??_);_(@_)">
                  <c:v>109359.73484601</c:v>
                </c:pt>
                <c:pt idx="316" formatCode="_(* #,##0_);_(* \(#,##0\);_(* &quot;-&quot;??_);_(@_)">
                  <c:v>103800.94615692001</c:v>
                </c:pt>
                <c:pt idx="317" formatCode="_(* #,##0_);_(* \(#,##0\);_(* &quot;-&quot;??_);_(@_)">
                  <c:v>100280.67483803999</c:v>
                </c:pt>
              </c:numCache>
            </c:numRef>
          </c:val>
          <c:smooth val="0"/>
          <c:extLst>
            <c:ext xmlns:c16="http://schemas.microsoft.com/office/drawing/2014/chart" uri="{C3380CC4-5D6E-409C-BE32-E72D297353CC}">
              <c16:uniqueId val="{00000001-63FC-4273-BD26-3AC2BF83832D}"/>
            </c:ext>
          </c:extLst>
        </c:ser>
        <c:ser>
          <c:idx val="1"/>
          <c:order val="2"/>
          <c:tx>
            <c:v>Carbon Marland et al</c:v>
          </c:tx>
          <c:spPr>
            <a:ln w="12700">
              <a:solidFill>
                <a:schemeClr val="tx1"/>
              </a:solidFill>
            </a:ln>
          </c:spPr>
          <c:marker>
            <c:symbol val="none"/>
          </c:marker>
          <c:cat>
            <c:numRef>
              <c:f>'3.1.1 CO2LR'!$A$10:$A$330</c:f>
              <c:numCache>
                <c:formatCode>General</c:formatCode>
                <c:ptCount val="3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'3.1.1 CO2LR'!$S$10:$S$330</c:f>
              <c:numCache>
                <c:formatCode>General</c:formatCode>
                <c:ptCount val="321"/>
                <c:pt idx="51" formatCode="_(* #,##0_);_(* \(#,##0\);_(* &quot;-&quot;??_);_(@_)">
                  <c:v>2552</c:v>
                </c:pt>
                <c:pt idx="52" formatCode="_(* #,##0_);_(* \(#,##0\);_(* &quot;-&quot;??_);_(@_)">
                  <c:v>2553</c:v>
                </c:pt>
                <c:pt idx="53" formatCode="_(* #,##0_);_(* \(#,##0\);_(* &quot;-&quot;??_);_(@_)">
                  <c:v>2553</c:v>
                </c:pt>
                <c:pt idx="54" formatCode="_(* #,##0_);_(* \(#,##0\);_(* &quot;-&quot;??_);_(@_)">
                  <c:v>2554</c:v>
                </c:pt>
                <c:pt idx="55" formatCode="_(* #,##0_);_(* \(#,##0\);_(* &quot;-&quot;??_);_(@_)">
                  <c:v>2555</c:v>
                </c:pt>
                <c:pt idx="56" formatCode="_(* #,##0_);_(* \(#,##0\);_(* &quot;-&quot;??_);_(@_)">
                  <c:v>2731</c:v>
                </c:pt>
                <c:pt idx="57" formatCode="_(* #,##0_);_(* \(#,##0\);_(* &quot;-&quot;??_);_(@_)">
                  <c:v>2732</c:v>
                </c:pt>
                <c:pt idx="58" formatCode="_(* #,##0_);_(* \(#,##0\);_(* &quot;-&quot;??_);_(@_)">
                  <c:v>2733</c:v>
                </c:pt>
                <c:pt idx="59" formatCode="_(* #,##0_);_(* \(#,##0\);_(* &quot;-&quot;??_);_(@_)">
                  <c:v>2734</c:v>
                </c:pt>
                <c:pt idx="60" formatCode="_(* #,##0_);_(* \(#,##0\);_(* &quot;-&quot;??_);_(@_)">
                  <c:v>2734</c:v>
                </c:pt>
                <c:pt idx="61" formatCode="_(* #,##0_);_(* \(#,##0\);_(* &quot;-&quot;??_);_(@_)">
                  <c:v>2995</c:v>
                </c:pt>
                <c:pt idx="62" formatCode="_(* #,##0_);_(* \(#,##0\);_(* &quot;-&quot;??_);_(@_)">
                  <c:v>2996</c:v>
                </c:pt>
                <c:pt idx="63" formatCode="_(* #,##0_);_(* \(#,##0\);_(* &quot;-&quot;??_);_(@_)">
                  <c:v>2997</c:v>
                </c:pt>
                <c:pt idx="64" formatCode="_(* #,##0_);_(* \(#,##0\);_(* &quot;-&quot;??_);_(@_)">
                  <c:v>2998</c:v>
                </c:pt>
                <c:pt idx="65" formatCode="_(* #,##0_);_(* \(#,##0\);_(* &quot;-&quot;??_);_(@_)">
                  <c:v>2999</c:v>
                </c:pt>
                <c:pt idx="66" formatCode="_(* #,##0_);_(* \(#,##0\);_(* &quot;-&quot;??_);_(@_)">
                  <c:v>3346</c:v>
                </c:pt>
                <c:pt idx="67" formatCode="_(* #,##0_);_(* \(#,##0\);_(* &quot;-&quot;??_);_(@_)">
                  <c:v>3347</c:v>
                </c:pt>
                <c:pt idx="68" formatCode="_(* #,##0_);_(* \(#,##0\);_(* &quot;-&quot;??_);_(@_)">
                  <c:v>3348</c:v>
                </c:pt>
                <c:pt idx="69" formatCode="_(* #,##0_);_(* \(#,##0\);_(* &quot;-&quot;??_);_(@_)">
                  <c:v>3349</c:v>
                </c:pt>
                <c:pt idx="70" formatCode="_(* #,##0_);_(* \(#,##0\);_(* &quot;-&quot;??_);_(@_)">
                  <c:v>3350</c:v>
                </c:pt>
                <c:pt idx="71" formatCode="_(* #,##0_);_(* \(#,##0\);_(* &quot;-&quot;??_);_(@_)">
                  <c:v>3715</c:v>
                </c:pt>
                <c:pt idx="72" formatCode="_(* #,##0_);_(* \(#,##0\);_(* &quot;-&quot;??_);_(@_)">
                  <c:v>3716</c:v>
                </c:pt>
                <c:pt idx="73" formatCode="_(* #,##0_);_(* \(#,##0\);_(* &quot;-&quot;??_);_(@_)">
                  <c:v>3717</c:v>
                </c:pt>
                <c:pt idx="74" formatCode="_(* #,##0_);_(* \(#,##0\);_(* &quot;-&quot;??_);_(@_)">
                  <c:v>3718</c:v>
                </c:pt>
                <c:pt idx="75" formatCode="_(* #,##0_);_(* \(#,##0\);_(* &quot;-&quot;??_);_(@_)">
                  <c:v>3719</c:v>
                </c:pt>
                <c:pt idx="76" formatCode="_(* #,##0_);_(* \(#,##0\);_(* &quot;-&quot;??_);_(@_)">
                  <c:v>4104</c:v>
                </c:pt>
                <c:pt idx="77" formatCode="_(* #,##0_);_(* \(#,##0\);_(* &quot;-&quot;??_);_(@_)">
                  <c:v>4105</c:v>
                </c:pt>
                <c:pt idx="78" formatCode="_(* #,##0_);_(* \(#,##0\);_(* &quot;-&quot;??_);_(@_)">
                  <c:v>4106</c:v>
                </c:pt>
                <c:pt idx="79" formatCode="_(* #,##0_);_(* \(#,##0\);_(* &quot;-&quot;??_);_(@_)">
                  <c:v>4107</c:v>
                </c:pt>
                <c:pt idx="80" formatCode="_(* #,##0_);_(* \(#,##0\);_(* &quot;-&quot;??_);_(@_)">
                  <c:v>4109</c:v>
                </c:pt>
                <c:pt idx="81" formatCode="_(* #,##0_);_(* \(#,##0\);_(* &quot;-&quot;??_);_(@_)">
                  <c:v>4597</c:v>
                </c:pt>
                <c:pt idx="82" formatCode="_(* #,##0_);_(* \(#,##0\);_(* &quot;-&quot;??_);_(@_)">
                  <c:v>4598</c:v>
                </c:pt>
                <c:pt idx="83" formatCode="_(* #,##0_);_(* \(#,##0\);_(* &quot;-&quot;??_);_(@_)">
                  <c:v>4600</c:v>
                </c:pt>
                <c:pt idx="84" formatCode="_(* #,##0_);_(* \(#,##0\);_(* &quot;-&quot;??_);_(@_)">
                  <c:v>4601</c:v>
                </c:pt>
                <c:pt idx="85" formatCode="_(* #,##0_);_(* \(#,##0\);_(* &quot;-&quot;??_);_(@_)">
                  <c:v>4603</c:v>
                </c:pt>
                <c:pt idx="86" formatCode="_(* #,##0_);_(* \(#,##0\);_(* &quot;-&quot;??_);_(@_)">
                  <c:v>5226</c:v>
                </c:pt>
                <c:pt idx="87" formatCode="_(* #,##0_);_(* \(#,##0\);_(* &quot;-&quot;??_);_(@_)">
                  <c:v>5228</c:v>
                </c:pt>
                <c:pt idx="88" formatCode="_(* #,##0_);_(* \(#,##0\);_(* &quot;-&quot;??_);_(@_)">
                  <c:v>5229</c:v>
                </c:pt>
                <c:pt idx="89" formatCode="_(* #,##0_);_(* \(#,##0\);_(* &quot;-&quot;??_);_(@_)">
                  <c:v>5231</c:v>
                </c:pt>
                <c:pt idx="90" formatCode="_(* #,##0_);_(* \(#,##0\);_(* &quot;-&quot;??_);_(@_)">
                  <c:v>5233</c:v>
                </c:pt>
                <c:pt idx="91" formatCode="_(* #,##0_);_(* \(#,##0\);_(* &quot;-&quot;??_);_(@_)">
                  <c:v>5845</c:v>
                </c:pt>
                <c:pt idx="92" formatCode="_(* #,##0_);_(* \(#,##0\);_(* &quot;-&quot;??_);_(@_)">
                  <c:v>5847</c:v>
                </c:pt>
                <c:pt idx="93" formatCode="_(* #,##0_);_(* \(#,##0\);_(* &quot;-&quot;??_);_(@_)">
                  <c:v>5849</c:v>
                </c:pt>
                <c:pt idx="94" formatCode="_(* #,##0_);_(* \(#,##0\);_(* &quot;-&quot;??_);_(@_)">
                  <c:v>5850</c:v>
                </c:pt>
                <c:pt idx="95" formatCode="_(* #,##0_);_(* \(#,##0\);_(* &quot;-&quot;??_);_(@_)">
                  <c:v>5852</c:v>
                </c:pt>
                <c:pt idx="96" formatCode="_(* #,##0_);_(* \(#,##0\);_(* &quot;-&quot;??_);_(@_)">
                  <c:v>6117</c:v>
                </c:pt>
                <c:pt idx="97" formatCode="_(* #,##0_);_(* \(#,##0\);_(* &quot;-&quot;??_);_(@_)">
                  <c:v>6425</c:v>
                </c:pt>
                <c:pt idx="98" formatCode="_(* #,##0_);_(* \(#,##0\);_(* &quot;-&quot;??_);_(@_)">
                  <c:v>6691</c:v>
                </c:pt>
                <c:pt idx="99" formatCode="_(* #,##0_);_(* \(#,##0\);_(* &quot;-&quot;??_);_(@_)">
                  <c:v>7041</c:v>
                </c:pt>
                <c:pt idx="100" formatCode="_(* #,##0_);_(* \(#,##0\);_(* &quot;-&quot;??_);_(@_)">
                  <c:v>7269</c:v>
                </c:pt>
                <c:pt idx="101" formatCode="_(* #,##0_);_(* \(#,##0\);_(* &quot;-&quot;??_);_(@_)">
                  <c:v>7290</c:v>
                </c:pt>
                <c:pt idx="102" formatCode="_(* #,##0_);_(* \(#,##0\);_(* &quot;-&quot;??_);_(@_)">
                  <c:v>7328</c:v>
                </c:pt>
                <c:pt idx="103" formatCode="_(* #,##0_);_(* \(#,##0\);_(* &quot;-&quot;??_);_(@_)">
                  <c:v>8240</c:v>
                </c:pt>
                <c:pt idx="104" formatCode="_(* #,##0_);_(* \(#,##0\);_(* &quot;-&quot;??_);_(@_)">
                  <c:v>8278</c:v>
                </c:pt>
                <c:pt idx="105" formatCode="_(* #,##0_);_(* \(#,##0\);_(* &quot;-&quot;??_);_(@_)">
                  <c:v>8587</c:v>
                </c:pt>
                <c:pt idx="106" formatCode="_(* #,##0_);_(* \(#,##0\);_(* &quot;-&quot;??_);_(@_)">
                  <c:v>9075</c:v>
                </c:pt>
                <c:pt idx="107" formatCode="_(* #,##0_);_(* \(#,##0\);_(* &quot;-&quot;??_);_(@_)">
                  <c:v>9077</c:v>
                </c:pt>
                <c:pt idx="108" formatCode="_(* #,##0_);_(* \(#,##0\);_(* &quot;-&quot;??_);_(@_)">
                  <c:v>9080</c:v>
                </c:pt>
                <c:pt idx="109" formatCode="_(* #,##0_);_(* \(#,##0\);_(* &quot;-&quot;??_);_(@_)">
                  <c:v>9083</c:v>
                </c:pt>
                <c:pt idx="110" formatCode="_(* #,##0_);_(* \(#,##0\);_(* &quot;-&quot;??_);_(@_)">
                  <c:v>9086</c:v>
                </c:pt>
                <c:pt idx="111" formatCode="_(* #,##0_);_(* \(#,##0\);_(* &quot;-&quot;??_);_(@_)">
                  <c:v>9706</c:v>
                </c:pt>
                <c:pt idx="112" formatCode="_(* #,##0_);_(* \(#,##0\);_(* &quot;-&quot;??_);_(@_)">
                  <c:v>10081</c:v>
                </c:pt>
                <c:pt idx="113" formatCode="_(* #,##0_);_(* \(#,##0\);_(* &quot;-&quot;??_);_(@_)">
                  <c:v>10201</c:v>
                </c:pt>
                <c:pt idx="114" formatCode="_(* #,##0_);_(* \(#,##0\);_(* &quot;-&quot;??_);_(@_)">
                  <c:v>10395</c:v>
                </c:pt>
                <c:pt idx="115" formatCode="_(* #,##0_);_(* \(#,##0\);_(* &quot;-&quot;??_);_(@_)">
                  <c:v>10623</c:v>
                </c:pt>
                <c:pt idx="116" formatCode="_(* #,##0_);_(* \(#,##0\);_(* &quot;-&quot;??_);_(@_)">
                  <c:v>11309</c:v>
                </c:pt>
                <c:pt idx="117" formatCode="_(* #,##0_);_(* \(#,##0\);_(* &quot;-&quot;??_);_(@_)">
                  <c:v>11442</c:v>
                </c:pt>
                <c:pt idx="118" formatCode="_(* #,##0_);_(* \(#,##0\);_(* &quot;-&quot;??_);_(@_)">
                  <c:v>11469</c:v>
                </c:pt>
                <c:pt idx="119" formatCode="_(* #,##0_);_(* \(#,##0\);_(* &quot;-&quot;??_);_(@_)">
                  <c:v>11555</c:v>
                </c:pt>
                <c:pt idx="120" formatCode="_(* #,##0_);_(* \(#,##0\);_(* &quot;-&quot;??_);_(@_)">
                  <c:v>11607</c:v>
                </c:pt>
                <c:pt idx="121" formatCode="_(* #,##0_);_(* \(#,##0\);_(* &quot;-&quot;??_);_(@_)">
                  <c:v>11701</c:v>
                </c:pt>
                <c:pt idx="122" formatCode="_(* #,##0_);_(* \(#,##0\);_(* &quot;-&quot;??_);_(@_)">
                  <c:v>12151</c:v>
                </c:pt>
                <c:pt idx="123" formatCode="_(* #,##0_);_(* \(#,##0\);_(* &quot;-&quot;??_);_(@_)">
                  <c:v>12793</c:v>
                </c:pt>
                <c:pt idx="124" formatCode="_(* #,##0_);_(* \(#,##0\);_(* &quot;-&quot;??_);_(@_)">
                  <c:v>13396</c:v>
                </c:pt>
                <c:pt idx="125" formatCode="_(* #,##0_);_(* \(#,##0\);_(* &quot;-&quot;??_);_(@_)">
                  <c:v>13535</c:v>
                </c:pt>
                <c:pt idx="126" formatCode="_(* #,##0_);_(* \(#,##0\);_(* &quot;-&quot;??_);_(@_)">
                  <c:v>13686</c:v>
                </c:pt>
                <c:pt idx="127" formatCode="_(* #,##0_);_(* \(#,##0\);_(* &quot;-&quot;??_);_(@_)">
                  <c:v>14255</c:v>
                </c:pt>
                <c:pt idx="128" formatCode="_(* #,##0_);_(* \(#,##0\);_(* &quot;-&quot;??_);_(@_)">
                  <c:v>14353</c:v>
                </c:pt>
                <c:pt idx="129" formatCode="_(* #,##0_);_(* \(#,##0\);_(* &quot;-&quot;??_);_(@_)">
                  <c:v>14557</c:v>
                </c:pt>
                <c:pt idx="130" formatCode="_(* #,##0_);_(* \(#,##0\);_(* &quot;-&quot;??_);_(@_)">
                  <c:v>18522</c:v>
                </c:pt>
                <c:pt idx="131" formatCode="_(* #,##0_);_(* \(#,##0\);_(* &quot;-&quot;??_);_(@_)">
                  <c:v>17949</c:v>
                </c:pt>
                <c:pt idx="132" formatCode="_(* #,##0_);_(* \(#,##0\);_(* &quot;-&quot;??_);_(@_)">
                  <c:v>17901</c:v>
                </c:pt>
                <c:pt idx="133" formatCode="_(* #,##0_);_(* \(#,##0\);_(* &quot;-&quot;??_);_(@_)">
                  <c:v>17875</c:v>
                </c:pt>
                <c:pt idx="134" formatCode="_(* #,##0_);_(* \(#,##0\);_(* &quot;-&quot;??_);_(@_)">
                  <c:v>17887</c:v>
                </c:pt>
                <c:pt idx="135" formatCode="_(* #,##0_);_(* \(#,##0\);_(* &quot;-&quot;??_);_(@_)">
                  <c:v>17812</c:v>
                </c:pt>
                <c:pt idx="136" formatCode="_(* #,##0_);_(* \(#,##0\);_(* &quot;-&quot;??_);_(@_)">
                  <c:v>20864</c:v>
                </c:pt>
                <c:pt idx="137" formatCode="_(* #,##0_);_(* \(#,##0\);_(* &quot;-&quot;??_);_(@_)">
                  <c:v>20134</c:v>
                </c:pt>
                <c:pt idx="138" formatCode="_(* #,##0_);_(* \(#,##0\);_(* &quot;-&quot;??_);_(@_)">
                  <c:v>20691</c:v>
                </c:pt>
                <c:pt idx="139" formatCode="_(* #,##0_);_(* \(#,##0\);_(* &quot;-&quot;??_);_(@_)">
                  <c:v>21228</c:v>
                </c:pt>
                <c:pt idx="140" formatCode="_(* #,##0_);_(* \(#,##0\);_(* &quot;-&quot;??_);_(@_)">
                  <c:v>22096</c:v>
                </c:pt>
                <c:pt idx="141" formatCode="_(* #,##0_);_(* \(#,##0\);_(* &quot;-&quot;??_);_(@_)">
                  <c:v>22336</c:v>
                </c:pt>
                <c:pt idx="142" formatCode="_(* #,##0_);_(* \(#,##0\);_(* &quot;-&quot;??_);_(@_)">
                  <c:v>23300</c:v>
                </c:pt>
                <c:pt idx="143" formatCode="_(* #,##0_);_(* \(#,##0\);_(* &quot;-&quot;??_);_(@_)">
                  <c:v>24316</c:v>
                </c:pt>
                <c:pt idx="144" formatCode="_(* #,##0_);_(* \(#,##0\);_(* &quot;-&quot;??_);_(@_)">
                  <c:v>25511</c:v>
                </c:pt>
                <c:pt idx="145" formatCode="_(* #,##0_);_(* \(#,##0\);_(* &quot;-&quot;??_);_(@_)">
                  <c:v>27289</c:v>
                </c:pt>
                <c:pt idx="146" formatCode="_(* #,##0_);_(* \(#,##0\);_(* &quot;-&quot;??_);_(@_)">
                  <c:v>26117</c:v>
                </c:pt>
                <c:pt idx="147" formatCode="_(* #,##0_);_(* \(#,##0\);_(* &quot;-&quot;??_);_(@_)">
                  <c:v>28261</c:v>
                </c:pt>
                <c:pt idx="148" formatCode="_(* #,##0_);_(* \(#,##0\);_(* &quot;-&quot;??_);_(@_)">
                  <c:v>29827</c:v>
                </c:pt>
                <c:pt idx="149" formatCode="_(* #,##0_);_(* \(#,##0\);_(* &quot;-&quot;??_);_(@_)">
                  <c:v>31661</c:v>
                </c:pt>
                <c:pt idx="150" formatCode="_(* #,##0_);_(* \(#,##0\);_(* &quot;-&quot;??_);_(@_)">
                  <c:v>33462</c:v>
                </c:pt>
                <c:pt idx="151" formatCode="_(* #,##0_);_(* \(#,##0\);_(* &quot;-&quot;??_);_(@_)">
                  <c:v>31838</c:v>
                </c:pt>
                <c:pt idx="152" formatCode="_(* #,##0_);_(* \(#,##0\);_(* &quot;-&quot;??_);_(@_)">
                  <c:v>31725</c:v>
                </c:pt>
                <c:pt idx="153" formatCode="_(* #,##0_);_(* \(#,##0\);_(* &quot;-&quot;??_);_(@_)">
                  <c:v>31550</c:v>
                </c:pt>
                <c:pt idx="154" formatCode="_(* #,##0_);_(* \(#,##0\);_(* &quot;-&quot;??_);_(@_)">
                  <c:v>38019</c:v>
                </c:pt>
                <c:pt idx="155" formatCode="_(* #,##0_);_(* \(#,##0\);_(* &quot;-&quot;??_);_(@_)">
                  <c:v>35601</c:v>
                </c:pt>
                <c:pt idx="156" formatCode="_(* #,##0_);_(* \(#,##0\);_(* &quot;-&quot;??_);_(@_)">
                  <c:v>38312</c:v>
                </c:pt>
                <c:pt idx="157" formatCode="_(* #,##0_);_(* \(#,##0\);_(* &quot;-&quot;??_);_(@_)">
                  <c:v>37626</c:v>
                </c:pt>
                <c:pt idx="158" formatCode="_(* #,##0_);_(* \(#,##0\);_(* &quot;-&quot;??_);_(@_)">
                  <c:v>36876</c:v>
                </c:pt>
                <c:pt idx="159" formatCode="_(* #,##0_);_(* \(#,##0\);_(* &quot;-&quot;??_);_(@_)">
                  <c:v>40942</c:v>
                </c:pt>
                <c:pt idx="160" formatCode="_(* #,##0_);_(* \(#,##0\);_(* &quot;-&quot;??_);_(@_)">
                  <c:v>45838</c:v>
                </c:pt>
                <c:pt idx="161" formatCode="_(* #,##0_);_(* \(#,##0\);_(* &quot;-&quot;??_);_(@_)">
                  <c:v>47775</c:v>
                </c:pt>
                <c:pt idx="162" formatCode="_(* #,##0_);_(* \(#,##0\);_(* &quot;-&quot;??_);_(@_)">
                  <c:v>46253</c:v>
                </c:pt>
                <c:pt idx="163" formatCode="_(* #,##0_);_(* \(#,##0\);_(* &quot;-&quot;??_);_(@_)">
                  <c:v>49188</c:v>
                </c:pt>
                <c:pt idx="164" formatCode="_(* #,##0_);_(* \(#,##0\);_(* &quot;-&quot;??_);_(@_)">
                  <c:v>52923</c:v>
                </c:pt>
                <c:pt idx="165" formatCode="_(* #,##0_);_(* \(#,##0\);_(* &quot;-&quot;??_);_(@_)">
                  <c:v>56083</c:v>
                </c:pt>
                <c:pt idx="166" formatCode="_(* #,##0_);_(* \(#,##0\);_(* &quot;-&quot;??_);_(@_)">
                  <c:v>57787</c:v>
                </c:pt>
                <c:pt idx="167" formatCode="_(* #,##0_);_(* \(#,##0\);_(* &quot;-&quot;??_);_(@_)">
                  <c:v>59327</c:v>
                </c:pt>
                <c:pt idx="168" formatCode="_(* #,##0_);_(* \(#,##0\);_(* &quot;-&quot;??_);_(@_)">
                  <c:v>58193</c:v>
                </c:pt>
                <c:pt idx="169" formatCode="_(* #,##0_);_(* \(#,##0\);_(* &quot;-&quot;??_);_(@_)">
                  <c:v>61055</c:v>
                </c:pt>
                <c:pt idx="170" formatCode="_(* #,##0_);_(* \(#,##0\);_(* &quot;-&quot;??_);_(@_)">
                  <c:v>62362</c:v>
                </c:pt>
                <c:pt idx="171" formatCode="_(* #,##0_);_(* \(#,##0\);_(* &quot;-&quot;??_);_(@_)">
                  <c:v>66058</c:v>
                </c:pt>
                <c:pt idx="172" formatCode="_(* #,##0_);_(* \(#,##0\);_(* &quot;-&quot;??_);_(@_)">
                  <c:v>69593</c:v>
                </c:pt>
                <c:pt idx="173" formatCode="_(* #,##0_);_(* \(#,##0\);_(* &quot;-&quot;??_);_(@_)">
                  <c:v>72232</c:v>
                </c:pt>
                <c:pt idx="174" formatCode="_(* #,##0_);_(* \(#,##0\);_(* &quot;-&quot;??_);_(@_)">
                  <c:v>70193</c:v>
                </c:pt>
                <c:pt idx="175" formatCode="_(* #,##0_);_(* \(#,##0\);_(* &quot;-&quot;??_);_(@_)">
                  <c:v>74096</c:v>
                </c:pt>
                <c:pt idx="176" formatCode="_(* #,##0_);_(* \(#,##0\);_(* &quot;-&quot;??_);_(@_)">
                  <c:v>73968</c:v>
                </c:pt>
                <c:pt idx="177" formatCode="_(* #,##0_);_(* \(#,##0\);_(* &quot;-&quot;??_);_(@_)">
                  <c:v>75300</c:v>
                </c:pt>
                <c:pt idx="178" formatCode="_(* #,##0_);_(* \(#,##0\);_(* &quot;-&quot;??_);_(@_)">
                  <c:v>73956</c:v>
                </c:pt>
                <c:pt idx="179" formatCode="_(* #,##0_);_(* \(#,##0\);_(* &quot;-&quot;??_);_(@_)">
                  <c:v>74412</c:v>
                </c:pt>
                <c:pt idx="180" formatCode="_(* #,##0_);_(* \(#,##0\);_(* &quot;-&quot;??_);_(@_)">
                  <c:v>81093</c:v>
                </c:pt>
                <c:pt idx="181" formatCode="_(* #,##0_);_(* \(#,##0\);_(* &quot;-&quot;??_);_(@_)">
                  <c:v>85238</c:v>
                </c:pt>
                <c:pt idx="182" formatCode="_(* #,##0_);_(* \(#,##0\);_(* &quot;-&quot;??_);_(@_)">
                  <c:v>85962</c:v>
                </c:pt>
                <c:pt idx="183" formatCode="_(* #,##0_);_(* \(#,##0\);_(* &quot;-&quot;??_);_(@_)">
                  <c:v>89446</c:v>
                </c:pt>
                <c:pt idx="184" formatCode="_(* #,##0_);_(* \(#,##0\);_(* &quot;-&quot;??_);_(@_)">
                  <c:v>87090</c:v>
                </c:pt>
                <c:pt idx="185" formatCode="_(* #,##0_);_(* \(#,##0\);_(* &quot;-&quot;??_);_(@_)">
                  <c:v>86051</c:v>
                </c:pt>
                <c:pt idx="186" formatCode="_(* #,##0_);_(* \(#,##0\);_(* &quot;-&quot;??_);_(@_)">
                  <c:v>85270</c:v>
                </c:pt>
                <c:pt idx="187" formatCode="_(* #,##0_);_(* \(#,##0\);_(* &quot;-&quot;??_);_(@_)">
                  <c:v>87457</c:v>
                </c:pt>
                <c:pt idx="188" formatCode="_(* #,##0_);_(* \(#,##0\);_(* &quot;-&quot;??_);_(@_)">
                  <c:v>90930</c:v>
                </c:pt>
                <c:pt idx="189" formatCode="_(* #,##0_);_(* \(#,##0\);_(* &quot;-&quot;??_);_(@_)">
                  <c:v>94166</c:v>
                </c:pt>
                <c:pt idx="190" formatCode="_(* #,##0_);_(* \(#,##0\);_(* &quot;-&quot;??_);_(@_)">
                  <c:v>96349</c:v>
                </c:pt>
                <c:pt idx="191" formatCode="_(* #,##0_);_(* \(#,##0\);_(* &quot;-&quot;??_);_(@_)">
                  <c:v>98382</c:v>
                </c:pt>
                <c:pt idx="192" formatCode="_(* #,##0_);_(* \(#,##0\);_(* &quot;-&quot;??_);_(@_)">
                  <c:v>96345</c:v>
                </c:pt>
                <c:pt idx="193" formatCode="_(* #,##0_);_(* \(#,##0\);_(* &quot;-&quot;??_);_(@_)">
                  <c:v>86302</c:v>
                </c:pt>
                <c:pt idx="194" formatCode="_(* #,##0_);_(* \(#,##0\);_(* &quot;-&quot;??_);_(@_)">
                  <c:v>98827</c:v>
                </c:pt>
                <c:pt idx="195" formatCode="_(* #,##0_);_(* \(#,##0\);_(* &quot;-&quot;??_);_(@_)">
                  <c:v>99768</c:v>
                </c:pt>
                <c:pt idx="196" formatCode="_(* #,##0_);_(* \(#,##0\);_(* &quot;-&quot;??_);_(@_)">
                  <c:v>102615</c:v>
                </c:pt>
                <c:pt idx="197" formatCode="_(* #,##0_);_(* \(#,##0\);_(* &quot;-&quot;??_);_(@_)">
                  <c:v>105341</c:v>
                </c:pt>
                <c:pt idx="198" formatCode="_(* #,##0_);_(* \(#,##0\);_(* &quot;-&quot;??_);_(@_)">
                  <c:v>105589</c:v>
                </c:pt>
                <c:pt idx="199" formatCode="_(* #,##0_);_(* \(#,##0\);_(* &quot;-&quot;??_);_(@_)">
                  <c:v>113142</c:v>
                </c:pt>
                <c:pt idx="200" formatCode="_(* #,##0_);_(* \(#,##0\);_(* &quot;-&quot;??_);_(@_)">
                  <c:v>114558</c:v>
                </c:pt>
                <c:pt idx="201" formatCode="_(* #,##0_);_(* \(#,##0\);_(* &quot;-&quot;??_);_(@_)">
                  <c:v>112091</c:v>
                </c:pt>
                <c:pt idx="202" formatCode="_(* #,##0_);_(* \(#,##0\);_(* &quot;-&quot;??_);_(@_)">
                  <c:v>116441</c:v>
                </c:pt>
                <c:pt idx="203" formatCode="_(* #,##0_);_(* \(#,##0\);_(* &quot;-&quot;??_);_(@_)">
                  <c:v>117354</c:v>
                </c:pt>
                <c:pt idx="204" formatCode="_(* #,##0_);_(* \(#,##0\);_(* &quot;-&quot;??_);_(@_)">
                  <c:v>117902</c:v>
                </c:pt>
                <c:pt idx="205" formatCode="_(* #,##0_);_(* \(#,##0\);_(* &quot;-&quot;??_);_(@_)">
                  <c:v>119452</c:v>
                </c:pt>
                <c:pt idx="206" formatCode="_(* #,##0_);_(* \(#,##0\);_(* &quot;-&quot;??_);_(@_)">
                  <c:v>123731</c:v>
                </c:pt>
                <c:pt idx="207" formatCode="_(* #,##0_);_(* \(#,##0\);_(* &quot;-&quot;??_);_(@_)">
                  <c:v>129249</c:v>
                </c:pt>
                <c:pt idx="208" formatCode="_(* #,##0_);_(* \(#,##0\);_(* &quot;-&quot;??_);_(@_)">
                  <c:v>126082</c:v>
                </c:pt>
                <c:pt idx="209" formatCode="_(* #,##0_);_(* \(#,##0\);_(* &quot;-&quot;??_);_(@_)">
                  <c:v>127207</c:v>
                </c:pt>
                <c:pt idx="210" formatCode="_(* #,##0_);_(* \(#,##0\);_(* &quot;-&quot;??_);_(@_)">
                  <c:v>128202</c:v>
                </c:pt>
                <c:pt idx="211" formatCode="_(* #,##0_);_(* \(#,##0\);_(* &quot;-&quot;??_);_(@_)">
                  <c:v>131373</c:v>
                </c:pt>
                <c:pt idx="212" formatCode="_(* #,##0_);_(* \(#,##0\);_(* &quot;-&quot;??_);_(@_)">
                  <c:v>124423</c:v>
                </c:pt>
                <c:pt idx="213" formatCode="_(* #,##0_);_(* \(#,##0\);_(* &quot;-&quot;??_);_(@_)">
                  <c:v>136005</c:v>
                </c:pt>
                <c:pt idx="214" formatCode="_(* #,##0_);_(* \(#,##0\);_(* &quot;-&quot;??_);_(@_)">
                  <c:v>131873</c:v>
                </c:pt>
                <c:pt idx="215" formatCode="_(* #,##0_);_(* \(#,##0\);_(* &quot;-&quot;??_);_(@_)">
                  <c:v>133592</c:v>
                </c:pt>
                <c:pt idx="216" formatCode="_(* #,##0_);_(* \(#,##0\);_(* &quot;-&quot;??_);_(@_)">
                  <c:v>138393</c:v>
                </c:pt>
                <c:pt idx="217" formatCode="_(* #,##0_);_(* \(#,##0\);_(* &quot;-&quot;??_);_(@_)">
                  <c:v>136782</c:v>
                </c:pt>
                <c:pt idx="218" formatCode="_(* #,##0_);_(* \(#,##0\);_(* &quot;-&quot;??_);_(@_)">
                  <c:v>127415</c:v>
                </c:pt>
                <c:pt idx="219" formatCode="_(* #,##0_);_(* \(#,##0\);_(* &quot;-&quot;??_);_(@_)">
                  <c:v>124490</c:v>
                </c:pt>
                <c:pt idx="220" formatCode="_(* #,##0_);_(* \(#,##0\);_(* &quot;-&quot;??_);_(@_)">
                  <c:v>128279</c:v>
                </c:pt>
                <c:pt idx="221" formatCode="_(* #,##0_);_(* \(#,##0\);_(* &quot;-&quot;??_);_(@_)">
                  <c:v>87283</c:v>
                </c:pt>
                <c:pt idx="222" formatCode="_(* #,##0_);_(* \(#,##0\);_(* &quot;-&quot;??_);_(@_)">
                  <c:v>116873</c:v>
                </c:pt>
                <c:pt idx="223" formatCode="_(* #,##0_);_(* \(#,##0\);_(* &quot;-&quot;??_);_(@_)">
                  <c:v>124152</c:v>
                </c:pt>
                <c:pt idx="224" formatCode="_(* #,##0_);_(* \(#,##0\);_(* &quot;-&quot;??_);_(@_)">
                  <c:v>129908</c:v>
                </c:pt>
                <c:pt idx="225" formatCode="_(* #,##0_);_(* \(#,##0\);_(* &quot;-&quot;??_);_(@_)">
                  <c:v>122723</c:v>
                </c:pt>
                <c:pt idx="226" formatCode="_(* #,##0_);_(* \(#,##0\);_(* &quot;-&quot;??_);_(@_)">
                  <c:v>67241</c:v>
                </c:pt>
                <c:pt idx="227" formatCode="_(* #,##0_);_(* \(#,##0\);_(* &quot;-&quot;??_);_(@_)">
                  <c:v>127384</c:v>
                </c:pt>
                <c:pt idx="228" formatCode="_(* #,##0_);_(* \(#,##0\);_(* &quot;-&quot;??_);_(@_)">
                  <c:v>119448</c:v>
                </c:pt>
                <c:pt idx="229" formatCode="_(* #,##0_);_(* \(#,##0\);_(* &quot;-&quot;??_);_(@_)">
                  <c:v>125735</c:v>
                </c:pt>
                <c:pt idx="230" formatCode="_(* #,##0_);_(* \(#,##0\);_(* &quot;-&quot;??_);_(@_)">
                  <c:v>120386</c:v>
                </c:pt>
                <c:pt idx="231" formatCode="_(* #,##0_);_(* \(#,##0\);_(* &quot;-&quot;??_);_(@_)">
                  <c:v>112510</c:v>
                </c:pt>
                <c:pt idx="232" formatCode="_(* #,##0_);_(* \(#,##0\);_(* &quot;-&quot;??_);_(@_)">
                  <c:v>108056</c:v>
                </c:pt>
                <c:pt idx="233" formatCode="_(* #,##0_);_(* \(#,##0\);_(* &quot;-&quot;??_);_(@_)">
                  <c:v>107034</c:v>
                </c:pt>
                <c:pt idx="234" formatCode="_(* #,##0_);_(* \(#,##0\);_(* &quot;-&quot;??_);_(@_)">
                  <c:v>115509</c:v>
                </c:pt>
                <c:pt idx="235" formatCode="_(* #,##0_);_(* \(#,##0\);_(* &quot;-&quot;??_);_(@_)">
                  <c:v>117121</c:v>
                </c:pt>
                <c:pt idx="236" formatCode="_(* #,##0_);_(* \(#,##0\);_(* &quot;-&quot;??_);_(@_)">
                  <c:v>123860</c:v>
                </c:pt>
                <c:pt idx="237" formatCode="_(* #,##0_);_(* \(#,##0\);_(* &quot;-&quot;??_);_(@_)">
                  <c:v>127773</c:v>
                </c:pt>
                <c:pt idx="238" formatCode="_(* #,##0_);_(* \(#,##0\);_(* &quot;-&quot;??_);_(@_)">
                  <c:v>122536</c:v>
                </c:pt>
                <c:pt idx="239" formatCode="_(* #,##0_);_(* \(#,##0\);_(* &quot;-&quot;??_);_(@_)">
                  <c:v>123487</c:v>
                </c:pt>
                <c:pt idx="240" formatCode="_(* #,##0_);_(* \(#,##0\);_(* &quot;-&quot;??_);_(@_)">
                  <c:v>129679</c:v>
                </c:pt>
                <c:pt idx="241" formatCode="_(* #,##0_);_(* \(#,##0\);_(* &quot;-&quot;??_);_(@_)">
                  <c:v>128188</c:v>
                </c:pt>
                <c:pt idx="242" formatCode="_(* #,##0_);_(* \(#,##0\);_(* &quot;-&quot;??_);_(@_)">
                  <c:v>127983</c:v>
                </c:pt>
                <c:pt idx="243" formatCode="_(* #,##0_);_(* \(#,##0\);_(* &quot;-&quot;??_);_(@_)">
                  <c:v>124140</c:v>
                </c:pt>
                <c:pt idx="244" formatCode="_(* #,##0_);_(* \(#,##0\);_(* &quot;-&quot;??_);_(@_)">
                  <c:v>120645</c:v>
                </c:pt>
                <c:pt idx="245" formatCode="_(* #,##0_);_(* \(#,##0\);_(* &quot;-&quot;??_);_(@_)">
                  <c:v>113985</c:v>
                </c:pt>
                <c:pt idx="246" formatCode="_(* #,##0_);_(* \(#,##0\);_(* &quot;-&quot;??_);_(@_)">
                  <c:v>119038</c:v>
                </c:pt>
                <c:pt idx="247" formatCode="_(* #,##0_);_(* \(#,##0\);_(* &quot;-&quot;??_);_(@_)">
                  <c:v>125900</c:v>
                </c:pt>
                <c:pt idx="248" formatCode="_(* #,##0_);_(* \(#,##0\);_(* &quot;-&quot;??_);_(@_)">
                  <c:v>129803</c:v>
                </c:pt>
                <c:pt idx="249" formatCode="_(* #,##0_);_(* \(#,##0\);_(* &quot;-&quot;??_);_(@_)">
                  <c:v>132409</c:v>
                </c:pt>
                <c:pt idx="250" formatCode="_(* #,##0_);_(* \(#,##0\);_(* &quot;-&quot;??_);_(@_)">
                  <c:v>136583</c:v>
                </c:pt>
                <c:pt idx="251" formatCode="_(* #,##0_);_(* \(#,##0\);_(* &quot;-&quot;??_);_(@_)">
                  <c:v>148700</c:v>
                </c:pt>
                <c:pt idx="252" formatCode="_(* #,##0_);_(* \(#,##0\);_(* &quot;-&quot;??_);_(@_)">
                  <c:v>144221</c:v>
                </c:pt>
                <c:pt idx="253" formatCode="_(* #,##0_);_(* \(#,##0\);_(* &quot;-&quot;??_);_(@_)">
                  <c:v>147404</c:v>
                </c:pt>
                <c:pt idx="254" formatCode="_(* #,##0_);_(* \(#,##0\);_(* &quot;-&quot;??_);_(@_)">
                  <c:v>150849</c:v>
                </c:pt>
                <c:pt idx="255" formatCode="_(* #,##0_);_(* \(#,##0\);_(* &quot;-&quot;??_);_(@_)">
                  <c:v>157381</c:v>
                </c:pt>
                <c:pt idx="256" formatCode="_(* #,##0_);_(* \(#,##0\);_(* &quot;-&quot;??_);_(@_)">
                  <c:v>156662</c:v>
                </c:pt>
                <c:pt idx="257" formatCode="_(* #,##0_);_(* \(#,##0\);_(* &quot;-&quot;??_);_(@_)">
                  <c:v>155676</c:v>
                </c:pt>
                <c:pt idx="258" formatCode="_(* #,##0_);_(* \(#,##0\);_(* &quot;-&quot;??_);_(@_)">
                  <c:v>151729</c:v>
                </c:pt>
                <c:pt idx="259" formatCode="_(* #,##0_);_(* \(#,##0\);_(* &quot;-&quot;??_);_(@_)">
                  <c:v>149154</c:v>
                </c:pt>
                <c:pt idx="260" formatCode="_(* #,##0_);_(* \(#,##0\);_(* &quot;-&quot;??_);_(@_)">
                  <c:v>159340</c:v>
                </c:pt>
                <c:pt idx="261" formatCode="_(* #,##0_);_(* \(#,##0\);_(* &quot;-&quot;??_);_(@_)">
                  <c:v>160605</c:v>
                </c:pt>
                <c:pt idx="262" formatCode="_(* #,##0_);_(* \(#,##0\);_(* &quot;-&quot;??_);_(@_)">
                  <c:v>161811</c:v>
                </c:pt>
                <c:pt idx="263" formatCode="_(* #,##0_);_(* \(#,##0\);_(* &quot;-&quot;??_);_(@_)">
                  <c:v>164664</c:v>
                </c:pt>
                <c:pt idx="264" formatCode="_(* #,##0_);_(* \(#,##0\);_(* &quot;-&quot;??_);_(@_)">
                  <c:v>165900</c:v>
                </c:pt>
                <c:pt idx="265" formatCode="_(* #,##0_);_(* \(#,##0\);_(* &quot;-&quot;??_);_(@_)">
                  <c:v>169790</c:v>
                </c:pt>
                <c:pt idx="266" formatCode="_(* #,##0_);_(* \(#,##0\);_(* &quot;-&quot;??_);_(@_)">
                  <c:v>168684</c:v>
                </c:pt>
                <c:pt idx="267" formatCode="_(* #,##0_);_(* \(#,##0\);_(* &quot;-&quot;??_);_(@_)">
                  <c:v>161581</c:v>
                </c:pt>
                <c:pt idx="268" formatCode="_(* #,##0_);_(* \(#,##0\);_(* &quot;-&quot;??_);_(@_)">
                  <c:v>165522</c:v>
                </c:pt>
                <c:pt idx="269" formatCode="_(* #,##0_);_(* \(#,##0\);_(* &quot;-&quot;??_);_(@_)">
                  <c:v>171491</c:v>
                </c:pt>
                <c:pt idx="270" formatCode="_(* #,##0_);_(* \(#,##0\);_(* &quot;-&quot;??_);_(@_)">
                  <c:v>178092</c:v>
                </c:pt>
                <c:pt idx="271" formatCode="_(* #,##0_);_(* \(#,##0\);_(* &quot;-&quot;??_);_(@_)">
                  <c:v>180219</c:v>
                </c:pt>
                <c:pt idx="272" formatCode="_(* #,##0_);_(* \(#,##0\);_(* &quot;-&quot;??_);_(@_)">
                  <c:v>176844</c:v>
                </c:pt>
                <c:pt idx="273" formatCode="_(* #,##0_);_(* \(#,##0\);_(* &quot;-&quot;??_);_(@_)">
                  <c:v>179993</c:v>
                </c:pt>
                <c:pt idx="274" formatCode="_(* #,##0_);_(* \(#,##0\);_(* &quot;-&quot;??_);_(@_)">
                  <c:v>168423</c:v>
                </c:pt>
                <c:pt idx="275" formatCode="_(* #,##0_);_(* \(#,##0\);_(* &quot;-&quot;??_);_(@_)">
                  <c:v>164615</c:v>
                </c:pt>
                <c:pt idx="276" formatCode="_(* #,##0_);_(* \(#,##0\);_(* &quot;-&quot;??_);_(@_)">
                  <c:v>163325</c:v>
                </c:pt>
                <c:pt idx="277" formatCode="_(* #,##0_);_(* \(#,##0\);_(* &quot;-&quot;??_);_(@_)">
                  <c:v>164916</c:v>
                </c:pt>
                <c:pt idx="278" formatCode="_(* #,##0_);_(* \(#,##0\);_(* &quot;-&quot;??_);_(@_)">
                  <c:v>165008</c:v>
                </c:pt>
                <c:pt idx="279" formatCode="_(* #,##0_);_(* \(#,##0\);_(* &quot;-&quot;??_);_(@_)">
                  <c:v>175864</c:v>
                </c:pt>
                <c:pt idx="280" formatCode="_(* #,##0_);_(* \(#,##0\);_(* &quot;-&quot;??_);_(@_)">
                  <c:v>157974</c:v>
                </c:pt>
                <c:pt idx="281" formatCode="_(* #,##0_);_(* \(#,##0\);_(* &quot;-&quot;??_);_(@_)">
                  <c:v>152937</c:v>
                </c:pt>
                <c:pt idx="282" formatCode="_(* #,##0_);_(* \(#,##0\);_(* &quot;-&quot;??_);_(@_)">
                  <c:v>149583</c:v>
                </c:pt>
                <c:pt idx="283" formatCode="_(* #,##0_);_(* \(#,##0\);_(* &quot;-&quot;??_);_(@_)">
                  <c:v>148825</c:v>
                </c:pt>
                <c:pt idx="284" formatCode="_(* #,##0_);_(* \(#,##0\);_(* &quot;-&quot;??_);_(@_)">
                  <c:v>144351</c:v>
                </c:pt>
                <c:pt idx="285" formatCode="_(* #,##0_);_(* \(#,##0\);_(* &quot;-&quot;??_);_(@_)">
                  <c:v>152674</c:v>
                </c:pt>
                <c:pt idx="286" formatCode="_(* #,##0_);_(* \(#,##0\);_(* &quot;-&quot;??_);_(@_)">
                  <c:v>155107</c:v>
                </c:pt>
                <c:pt idx="287" formatCode="_(* #,##0_);_(* \(#,##0\);_(* &quot;-&quot;??_);_(@_)">
                  <c:v>155950</c:v>
                </c:pt>
                <c:pt idx="288" formatCode="_(* #,##0_);_(* \(#,##0\);_(* &quot;-&quot;??_);_(@_)">
                  <c:v>155567</c:v>
                </c:pt>
                <c:pt idx="289" formatCode="_(* #,##0_);_(* \(#,##0\);_(* &quot;-&quot;??_);_(@_)">
                  <c:v>158637</c:v>
                </c:pt>
                <c:pt idx="290" formatCode="_(* #,##0_);_(* \(#,##0\);_(* &quot;-&quot;??_);_(@_)">
                  <c:v>151602</c:v>
                </c:pt>
                <c:pt idx="291" formatCode="_(* #,##0_);_(* \(#,##0\);_(* &quot;-&quot;??_);_(@_)">
                  <c:v>154576</c:v>
                </c:pt>
                <c:pt idx="292" formatCode="_(* #,##0_);_(* \(#,##0\);_(* &quot;-&quot;??_);_(@_)">
                  <c:v>151699</c:v>
                </c:pt>
                <c:pt idx="293" formatCode="_(* #,##0_);_(* \(#,##0\);_(* &quot;-&quot;??_);_(@_)">
                  <c:v>148817</c:v>
                </c:pt>
                <c:pt idx="294" formatCode="_(* #,##0_);_(* \(#,##0\);_(* &quot;-&quot;??_);_(@_)">
                  <c:v>149097</c:v>
                </c:pt>
                <c:pt idx="295" formatCode="_(* #,##0_);_(* \(#,##0\);_(* &quot;-&quot;??_);_(@_)">
                  <c:v>146746</c:v>
                </c:pt>
                <c:pt idx="296" formatCode="_(* #,##0_);_(* \(#,##0\);_(* &quot;-&quot;??_);_(@_)">
                  <c:v>150378</c:v>
                </c:pt>
                <c:pt idx="297" formatCode="_(* #,##0_);_(* \(#,##0\);_(* &quot;-&quot;??_);_(@_)">
                  <c:v>143808</c:v>
                </c:pt>
                <c:pt idx="298" formatCode="_(* #,##0_);_(* \(#,##0\);_(* &quot;-&quot;??_);_(@_)">
                  <c:v>145052</c:v>
                </c:pt>
                <c:pt idx="299" formatCode="_(* #,##0_);_(* \(#,##0\);_(* &quot;-&quot;??_);_(@_)">
                  <c:v>144788</c:v>
                </c:pt>
                <c:pt idx="300" formatCode="_(* #,##0_);_(* \(#,##0\);_(* &quot;-&quot;??_);_(@_)">
                  <c:v>147746</c:v>
                </c:pt>
                <c:pt idx="301" formatCode="_(* #,##0_);_(* \(#,##0\);_(* &quot;-&quot;??_);_(@_)">
                  <c:v>148858</c:v>
                </c:pt>
                <c:pt idx="302" formatCode="_(* #,##0_);_(* \(#,##0\);_(* &quot;-&quot;??_);_(@_)">
                  <c:v>144162</c:v>
                </c:pt>
                <c:pt idx="303" formatCode="_(* #,##0_);_(* \(#,##0\);_(* &quot;-&quot;??_);_(@_)">
                  <c:v>147261</c:v>
                </c:pt>
                <c:pt idx="304" formatCode="_(* #,##0_);_(* \(#,##0\);_(* &quot;-&quot;??_);_(@_)">
                  <c:v>147052</c:v>
                </c:pt>
                <c:pt idx="305" formatCode="_(* #,##0_);_(* \(#,##0\);_(* &quot;-&quot;??_);_(@_)">
                  <c:v>147963</c:v>
                </c:pt>
                <c:pt idx="306" formatCode="_(* #,##0_);_(* \(#,##0\);_(* &quot;-&quot;??_);_(@_)">
                  <c:v>147657</c:v>
                </c:pt>
                <c:pt idx="307" formatCode="_(* #,##0_);_(* \(#,##0\);_(* &quot;-&quot;??_);_(@_)">
                  <c:v>144103</c:v>
                </c:pt>
                <c:pt idx="308" formatCode="_(* #,##0_);_(* \(#,##0\);_(* &quot;-&quot;??_);_(@_)">
                  <c:v>141993</c:v>
                </c:pt>
                <c:pt idx="309" formatCode="_(* #,##0_);_(* \(#,##0\);_(* &quot;-&quot;??_);_(@_)">
                  <c:v>128639</c:v>
                </c:pt>
                <c:pt idx="310" formatCode="_(* #,##0_);_(* \(#,##0\);_(* &quot;-&quot;??_);_(@_)">
                  <c:v>134499</c:v>
                </c:pt>
                <c:pt idx="311" formatCode="_(* #,##0_);_(* \(#,##0\);_(* &quot;-&quot;??_);_(@_)">
                  <c:v>122124</c:v>
                </c:pt>
                <c:pt idx="312" formatCode="_(* #,##0_);_(* \(#,##0\);_(* &quot;-&quot;??_);_(@_)">
                  <c:v>127781</c:v>
                </c:pt>
                <c:pt idx="313" formatCode="_(* #,##0_);_(* \(#,##0\);_(* &quot;-&quot;??_);_(@_)">
                  <c:v>124966</c:v>
                </c:pt>
                <c:pt idx="314" formatCode="_(* #,##0_);_(* \(#,##0\);_(* &quot;-&quot;??_);_(@_)">
                  <c:v>114486</c:v>
                </c:pt>
              </c:numCache>
            </c:numRef>
          </c:val>
          <c:smooth val="0"/>
          <c:extLst>
            <c:ext xmlns:c16="http://schemas.microsoft.com/office/drawing/2014/chart" uri="{C3380CC4-5D6E-409C-BE32-E72D297353CC}">
              <c16:uniqueId val="{00000002-63FC-4273-BD26-3AC2BF83832D}"/>
            </c:ext>
          </c:extLst>
        </c:ser>
        <c:ser>
          <c:idx val="2"/>
          <c:order val="3"/>
          <c:tx>
            <c:v>Carbon Primary</c:v>
          </c:tx>
          <c:marker>
            <c:symbol val="none"/>
          </c:marker>
          <c:cat>
            <c:numRef>
              <c:f>'3.1.1 CO2LR'!$A$10:$A$330</c:f>
              <c:numCache>
                <c:formatCode>General</c:formatCode>
                <c:ptCount val="3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'3.1.1 CO2LR'!$AF$10:$AF$330</c:f>
              <c:numCache>
                <c:formatCode>_(* #,##0_);_(* \(#,##0\);_(* "-"??_);_(@_)</c:formatCode>
                <c:ptCount val="321"/>
                <c:pt idx="0">
                  <c:v>1061.6143155990021</c:v>
                </c:pt>
                <c:pt idx="1">
                  <c:v>1075.3938600802933</c:v>
                </c:pt>
                <c:pt idx="2">
                  <c:v>1098.9860068359919</c:v>
                </c:pt>
                <c:pt idx="3">
                  <c:v>1118.5603755146194</c:v>
                </c:pt>
                <c:pt idx="4">
                  <c:v>1133.3886295665507</c:v>
                </c:pt>
                <c:pt idx="5">
                  <c:v>1149.6573932949475</c:v>
                </c:pt>
                <c:pt idx="6">
                  <c:v>1167.0022482625773</c:v>
                </c:pt>
                <c:pt idx="7">
                  <c:v>1179.5995709482036</c:v>
                </c:pt>
                <c:pt idx="8">
                  <c:v>1194.7277799046828</c:v>
                </c:pt>
                <c:pt idx="9">
                  <c:v>1207.6550591149264</c:v>
                </c:pt>
                <c:pt idx="10">
                  <c:v>1225.6597955951345</c:v>
                </c:pt>
                <c:pt idx="11">
                  <c:v>1240.7346265320896</c:v>
                </c:pt>
                <c:pt idx="12">
                  <c:v>1244.8721720985941</c:v>
                </c:pt>
                <c:pt idx="13">
                  <c:v>1267.9154222103339</c:v>
                </c:pt>
                <c:pt idx="14">
                  <c:v>1276.0167931759302</c:v>
                </c:pt>
                <c:pt idx="15">
                  <c:v>1293.9239937445266</c:v>
                </c:pt>
                <c:pt idx="16">
                  <c:v>1309.2622182268522</c:v>
                </c:pt>
                <c:pt idx="17">
                  <c:v>1330.0376188885793</c:v>
                </c:pt>
                <c:pt idx="18">
                  <c:v>1343.1474577388037</c:v>
                </c:pt>
                <c:pt idx="19">
                  <c:v>1356.2338995286402</c:v>
                </c:pt>
                <c:pt idx="20">
                  <c:v>1376.2111952374578</c:v>
                </c:pt>
                <c:pt idx="21">
                  <c:v>1387.7928655389619</c:v>
                </c:pt>
                <c:pt idx="22">
                  <c:v>1403.3523064338497</c:v>
                </c:pt>
                <c:pt idx="23">
                  <c:v>1418.521372684937</c:v>
                </c:pt>
                <c:pt idx="24">
                  <c:v>1413.2822151762255</c:v>
                </c:pt>
                <c:pt idx="25">
                  <c:v>1452.78033089884</c:v>
                </c:pt>
                <c:pt idx="26">
                  <c:v>1460.5861845023185</c:v>
                </c:pt>
                <c:pt idx="27">
                  <c:v>1472.7295375230481</c:v>
                </c:pt>
                <c:pt idx="28">
                  <c:v>1500.4917936521631</c:v>
                </c:pt>
                <c:pt idx="29">
                  <c:v>1506.0216137638392</c:v>
                </c:pt>
                <c:pt idx="30">
                  <c:v>1535.5391625860234</c:v>
                </c:pt>
                <c:pt idx="31">
                  <c:v>1539.9107142269422</c:v>
                </c:pt>
                <c:pt idx="32">
                  <c:v>1551.5264225785274</c:v>
                </c:pt>
                <c:pt idx="33">
                  <c:v>1569.6573204048391</c:v>
                </c:pt>
                <c:pt idx="34">
                  <c:v>1580.8362961122871</c:v>
                </c:pt>
                <c:pt idx="35">
                  <c:v>1595.6166419095696</c:v>
                </c:pt>
                <c:pt idx="36">
                  <c:v>1608.537989274944</c:v>
                </c:pt>
                <c:pt idx="37">
                  <c:v>1627.6059364202026</c:v>
                </c:pt>
                <c:pt idx="38">
                  <c:v>1642.9926884489869</c:v>
                </c:pt>
                <c:pt idx="39">
                  <c:v>1650.6935482470133</c:v>
                </c:pt>
                <c:pt idx="40">
                  <c:v>1657.6221597264089</c:v>
                </c:pt>
                <c:pt idx="41">
                  <c:v>1686.3418050014363</c:v>
                </c:pt>
                <c:pt idx="42">
                  <c:v>1705.5517110861613</c:v>
                </c:pt>
                <c:pt idx="43">
                  <c:v>1713.430689811315</c:v>
                </c:pt>
                <c:pt idx="44">
                  <c:v>1733.9976761558198</c:v>
                </c:pt>
                <c:pt idx="45">
                  <c:v>1747.9619808542359</c:v>
                </c:pt>
                <c:pt idx="46">
                  <c:v>1760.0533047990746</c:v>
                </c:pt>
                <c:pt idx="47">
                  <c:v>1782.644166138007</c:v>
                </c:pt>
                <c:pt idx="48">
                  <c:v>1788.4369146419472</c:v>
                </c:pt>
                <c:pt idx="49">
                  <c:v>1794.535263421925</c:v>
                </c:pt>
                <c:pt idx="50">
                  <c:v>1813.3115730433474</c:v>
                </c:pt>
                <c:pt idx="51">
                  <c:v>1846.3289511245348</c:v>
                </c:pt>
                <c:pt idx="52">
                  <c:v>1903.6667848869038</c:v>
                </c:pt>
                <c:pt idx="53">
                  <c:v>1954.0237384475474</c:v>
                </c:pt>
                <c:pt idx="54">
                  <c:v>2011.2277226884639</c:v>
                </c:pt>
                <c:pt idx="55">
                  <c:v>2065.8140394305497</c:v>
                </c:pt>
                <c:pt idx="56">
                  <c:v>2117.7805223250052</c:v>
                </c:pt>
                <c:pt idx="57">
                  <c:v>2178.4072650011617</c:v>
                </c:pt>
                <c:pt idx="58">
                  <c:v>2229.1307174271137</c:v>
                </c:pt>
                <c:pt idx="59">
                  <c:v>2283.4145091400155</c:v>
                </c:pt>
                <c:pt idx="60">
                  <c:v>2334.7051645295178</c:v>
                </c:pt>
                <c:pt idx="61">
                  <c:v>2371.7178338931717</c:v>
                </c:pt>
                <c:pt idx="62">
                  <c:v>2422.8377069470525</c:v>
                </c:pt>
                <c:pt idx="63">
                  <c:v>2468.7729628363791</c:v>
                </c:pt>
                <c:pt idx="64">
                  <c:v>2514.6160818982803</c:v>
                </c:pt>
                <c:pt idx="65">
                  <c:v>2530.8845859831495</c:v>
                </c:pt>
                <c:pt idx="66">
                  <c:v>2520.1231595876288</c:v>
                </c:pt>
                <c:pt idx="67">
                  <c:v>2576.9547423376152</c:v>
                </c:pt>
                <c:pt idx="68">
                  <c:v>2663.1618786692065</c:v>
                </c:pt>
                <c:pt idx="69">
                  <c:v>2723.4215529703952</c:v>
                </c:pt>
                <c:pt idx="70">
                  <c:v>2791.9413738439621</c:v>
                </c:pt>
                <c:pt idx="71">
                  <c:v>2811.2144473077183</c:v>
                </c:pt>
                <c:pt idx="72">
                  <c:v>2862.7611576345039</c:v>
                </c:pt>
                <c:pt idx="73">
                  <c:v>2921.1016467399186</c:v>
                </c:pt>
                <c:pt idx="74">
                  <c:v>2953.1130774269113</c:v>
                </c:pt>
                <c:pt idx="75">
                  <c:v>3004.2848393895588</c:v>
                </c:pt>
                <c:pt idx="76">
                  <c:v>3084.7306485405829</c:v>
                </c:pt>
                <c:pt idx="77">
                  <c:v>3169.7708569655779</c:v>
                </c:pt>
                <c:pt idx="78">
                  <c:v>3279.7822084384452</c:v>
                </c:pt>
                <c:pt idx="79">
                  <c:v>3379.0936269233443</c:v>
                </c:pt>
                <c:pt idx="80">
                  <c:v>3463.6972061326405</c:v>
                </c:pt>
                <c:pt idx="81">
                  <c:v>3578.7176148669678</c:v>
                </c:pt>
                <c:pt idx="82">
                  <c:v>3663.3710832629199</c:v>
                </c:pt>
                <c:pt idx="83">
                  <c:v>3699.0914332037801</c:v>
                </c:pt>
                <c:pt idx="84">
                  <c:v>3788.5063625950784</c:v>
                </c:pt>
                <c:pt idx="85">
                  <c:v>3828.6139043003363</c:v>
                </c:pt>
                <c:pt idx="86">
                  <c:v>3930.7761417085071</c:v>
                </c:pt>
                <c:pt idx="87">
                  <c:v>4036.3921943857454</c:v>
                </c:pt>
                <c:pt idx="88">
                  <c:v>4066.8439779139826</c:v>
                </c:pt>
                <c:pt idx="89">
                  <c:v>4163.7005793985509</c:v>
                </c:pt>
                <c:pt idx="90">
                  <c:v>4242.5204172738022</c:v>
                </c:pt>
                <c:pt idx="91">
                  <c:v>4318.9468799261522</c:v>
                </c:pt>
                <c:pt idx="92">
                  <c:v>4392.2455897553518</c:v>
                </c:pt>
                <c:pt idx="93">
                  <c:v>4470.0527273035841</c:v>
                </c:pt>
                <c:pt idx="94">
                  <c:v>4586.208380598694</c:v>
                </c:pt>
                <c:pt idx="95">
                  <c:v>4704.6747864247509</c:v>
                </c:pt>
                <c:pt idx="96">
                  <c:v>4762.1180094222173</c:v>
                </c:pt>
                <c:pt idx="97">
                  <c:v>4874.9932272529586</c:v>
                </c:pt>
                <c:pt idx="98">
                  <c:v>4959.9490126673827</c:v>
                </c:pt>
                <c:pt idx="99">
                  <c:v>5038.8141007343029</c:v>
                </c:pt>
                <c:pt idx="100">
                  <c:v>5103.9373497131892</c:v>
                </c:pt>
                <c:pt idx="101">
                  <c:v>5307.9734573045935</c:v>
                </c:pt>
                <c:pt idx="102">
                  <c:v>5461.1279047267535</c:v>
                </c:pt>
                <c:pt idx="103">
                  <c:v>5641.6400219075713</c:v>
                </c:pt>
                <c:pt idx="104">
                  <c:v>5822.2045092019071</c:v>
                </c:pt>
                <c:pt idx="105">
                  <c:v>6004.2675143674342</c:v>
                </c:pt>
                <c:pt idx="106">
                  <c:v>6169.2578553935627</c:v>
                </c:pt>
                <c:pt idx="107">
                  <c:v>6382.6755763124156</c:v>
                </c:pt>
                <c:pt idx="108">
                  <c:v>6540.4215536933552</c:v>
                </c:pt>
                <c:pt idx="109">
                  <c:v>6707.4644336385436</c:v>
                </c:pt>
                <c:pt idx="110">
                  <c:v>6874.1332602947787</c:v>
                </c:pt>
                <c:pt idx="111">
                  <c:v>7040.4164650036364</c:v>
                </c:pt>
                <c:pt idx="112">
                  <c:v>7206.3021213131424</c:v>
                </c:pt>
                <c:pt idx="113">
                  <c:v>7371.7779339119688</c:v>
                </c:pt>
                <c:pt idx="114">
                  <c:v>7536.8312272214398</c:v>
                </c:pt>
                <c:pt idx="115">
                  <c:v>7701.4489336346669</c:v>
                </c:pt>
                <c:pt idx="116">
                  <c:v>7865.6175813919726</c:v>
                </c:pt>
                <c:pt idx="117">
                  <c:v>8030.7032441176761</c:v>
                </c:pt>
                <c:pt idx="118">
                  <c:v>8193.8558576985943</c:v>
                </c:pt>
                <c:pt idx="119">
                  <c:v>8375.8055851603312</c:v>
                </c:pt>
                <c:pt idx="120">
                  <c:v>8540.1426060535432</c:v>
                </c:pt>
                <c:pt idx="121">
                  <c:v>8704.3206419630351</c:v>
                </c:pt>
                <c:pt idx="122">
                  <c:v>8863.5922213542381</c:v>
                </c:pt>
                <c:pt idx="123">
                  <c:v>9043.0529470814454</c:v>
                </c:pt>
                <c:pt idx="124">
                  <c:v>9199.7399984259137</c:v>
                </c:pt>
                <c:pt idx="125">
                  <c:v>9354.7445246065199</c:v>
                </c:pt>
                <c:pt idx="126">
                  <c:v>9507.6843109194524</c:v>
                </c:pt>
                <c:pt idx="127">
                  <c:v>9665.091552250211</c:v>
                </c:pt>
                <c:pt idx="128">
                  <c:v>9833.4978609992559</c:v>
                </c:pt>
                <c:pt idx="129">
                  <c:v>9992.5022427310014</c:v>
                </c:pt>
                <c:pt idx="130">
                  <c:v>9380.98523275962</c:v>
                </c:pt>
                <c:pt idx="131">
                  <c:v>9643.4166776180609</c:v>
                </c:pt>
                <c:pt idx="132">
                  <c:v>9939.4093429306922</c:v>
                </c:pt>
                <c:pt idx="133">
                  <c:v>10221.419668741877</c:v>
                </c:pt>
                <c:pt idx="134">
                  <c:v>10523.947988780143</c:v>
                </c:pt>
                <c:pt idx="135">
                  <c:v>10875.463829130907</c:v>
                </c:pt>
                <c:pt idx="136">
                  <c:v>11210.905368762216</c:v>
                </c:pt>
                <c:pt idx="137">
                  <c:v>11510.39409779147</c:v>
                </c:pt>
                <c:pt idx="138">
                  <c:v>11844.798270599891</c:v>
                </c:pt>
                <c:pt idx="139">
                  <c:v>12181.672202757656</c:v>
                </c:pt>
                <c:pt idx="140">
                  <c:v>12546.933166799165</c:v>
                </c:pt>
                <c:pt idx="141">
                  <c:v>13087.122624652377</c:v>
                </c:pt>
                <c:pt idx="142">
                  <c:v>13533.642623062891</c:v>
                </c:pt>
                <c:pt idx="143">
                  <c:v>14191.149126516597</c:v>
                </c:pt>
                <c:pt idx="144">
                  <c:v>14811.20127935267</c:v>
                </c:pt>
                <c:pt idx="145">
                  <c:v>15548.193809564196</c:v>
                </c:pt>
                <c:pt idx="146">
                  <c:v>16188.318901299957</c:v>
                </c:pt>
                <c:pt idx="147">
                  <c:v>16732.352382621182</c:v>
                </c:pt>
                <c:pt idx="148">
                  <c:v>17336.887446278321</c:v>
                </c:pt>
                <c:pt idx="149">
                  <c:v>18018.369449364502</c:v>
                </c:pt>
                <c:pt idx="150">
                  <c:v>18693.439366565763</c:v>
                </c:pt>
                <c:pt idx="151">
                  <c:v>19341.685107384179</c:v>
                </c:pt>
                <c:pt idx="152">
                  <c:v>20010.222380067091</c:v>
                </c:pt>
                <c:pt idx="153">
                  <c:v>20634.634787612904</c:v>
                </c:pt>
                <c:pt idx="154">
                  <c:v>21336.09587506545</c:v>
                </c:pt>
                <c:pt idx="155">
                  <c:v>21746.890204321404</c:v>
                </c:pt>
                <c:pt idx="156">
                  <c:v>22370.39713092085</c:v>
                </c:pt>
                <c:pt idx="157">
                  <c:v>22968.924114140595</c:v>
                </c:pt>
                <c:pt idx="158">
                  <c:v>23310.421872932679</c:v>
                </c:pt>
                <c:pt idx="159">
                  <c:v>23950.650626779552</c:v>
                </c:pt>
                <c:pt idx="160">
                  <c:v>24844.881878032527</c:v>
                </c:pt>
                <c:pt idx="161">
                  <c:v>25368.392918989386</c:v>
                </c:pt>
                <c:pt idx="162">
                  <c:v>25944.893808523881</c:v>
                </c:pt>
                <c:pt idx="163">
                  <c:v>26815.667694005275</c:v>
                </c:pt>
                <c:pt idx="164">
                  <c:v>27510.774341291242</c:v>
                </c:pt>
                <c:pt idx="165">
                  <c:v>28202.04005477707</c:v>
                </c:pt>
                <c:pt idx="166">
                  <c:v>28801.59978156025</c:v>
                </c:pt>
                <c:pt idx="167">
                  <c:v>29328.825423124683</c:v>
                </c:pt>
                <c:pt idx="168">
                  <c:v>29889.155042953338</c:v>
                </c:pt>
                <c:pt idx="169">
                  <c:v>30584.942891551978</c:v>
                </c:pt>
                <c:pt idx="170">
                  <c:v>31335.856420751115</c:v>
                </c:pt>
                <c:pt idx="171">
                  <c:v>32178.789973368079</c:v>
                </c:pt>
                <c:pt idx="172">
                  <c:v>32881.847225720478</c:v>
                </c:pt>
                <c:pt idx="173">
                  <c:v>33786.63784495939</c:v>
                </c:pt>
                <c:pt idx="174">
                  <c:v>34078.713771609175</c:v>
                </c:pt>
                <c:pt idx="175">
                  <c:v>34990.273138666875</c:v>
                </c:pt>
                <c:pt idx="176">
                  <c:v>35336.062727710952</c:v>
                </c:pt>
                <c:pt idx="177">
                  <c:v>35871.040815546468</c:v>
                </c:pt>
                <c:pt idx="178">
                  <c:v>36137.764301767238</c:v>
                </c:pt>
                <c:pt idx="179">
                  <c:v>36594.338311776286</c:v>
                </c:pt>
                <c:pt idx="180">
                  <c:v>37943.568228679113</c:v>
                </c:pt>
                <c:pt idx="181">
                  <c:v>38980.382220721171</c:v>
                </c:pt>
                <c:pt idx="182">
                  <c:v>39470.628659427115</c:v>
                </c:pt>
                <c:pt idx="183">
                  <c:v>40347.62438822323</c:v>
                </c:pt>
                <c:pt idx="184">
                  <c:v>40414.66778529092</c:v>
                </c:pt>
                <c:pt idx="185">
                  <c:v>40728.268442296758</c:v>
                </c:pt>
                <c:pt idx="186">
                  <c:v>41027.425250565051</c:v>
                </c:pt>
                <c:pt idx="187">
                  <c:v>41781.47013808979</c:v>
                </c:pt>
                <c:pt idx="188">
                  <c:v>42321.230572667053</c:v>
                </c:pt>
                <c:pt idx="189">
                  <c:v>42838.088583927398</c:v>
                </c:pt>
                <c:pt idx="190">
                  <c:v>43347.518782220097</c:v>
                </c:pt>
                <c:pt idx="191">
                  <c:v>43912.038593356199</c:v>
                </c:pt>
                <c:pt idx="192">
                  <c:v>44405.994181299626</c:v>
                </c:pt>
                <c:pt idx="193">
                  <c:v>44973.608914505588</c:v>
                </c:pt>
                <c:pt idx="194">
                  <c:v>45486.753019282107</c:v>
                </c:pt>
                <c:pt idx="195">
                  <c:v>46059.858976003503</c:v>
                </c:pt>
                <c:pt idx="196">
                  <c:v>46717.711498490309</c:v>
                </c:pt>
                <c:pt idx="197">
                  <c:v>47339.043940552867</c:v>
                </c:pt>
                <c:pt idx="198">
                  <c:v>48056.318966780877</c:v>
                </c:pt>
                <c:pt idx="199">
                  <c:v>48652.273047870636</c:v>
                </c:pt>
                <c:pt idx="200">
                  <c:v>56143.122707340292</c:v>
                </c:pt>
                <c:pt idx="201">
                  <c:v>55304.952514187644</c:v>
                </c:pt>
                <c:pt idx="202">
                  <c:v>57253.868662126137</c:v>
                </c:pt>
                <c:pt idx="203">
                  <c:v>57402.16452192788</c:v>
                </c:pt>
                <c:pt idx="204">
                  <c:v>57985.847381199812</c:v>
                </c:pt>
                <c:pt idx="205">
                  <c:v>59144.984031327491</c:v>
                </c:pt>
                <c:pt idx="206">
                  <c:v>61327.502460743373</c:v>
                </c:pt>
                <c:pt idx="207">
                  <c:v>64625.231500257862</c:v>
                </c:pt>
                <c:pt idx="208">
                  <c:v>63031.083399451272</c:v>
                </c:pt>
                <c:pt idx="209">
                  <c:v>64118.868735528929</c:v>
                </c:pt>
                <c:pt idx="210">
                  <c:v>65172.558897738847</c:v>
                </c:pt>
                <c:pt idx="211">
                  <c:v>67427.447472489992</c:v>
                </c:pt>
                <c:pt idx="212">
                  <c:v>66171.969104477248</c:v>
                </c:pt>
                <c:pt idx="213">
                  <c:v>69695.370842002172</c:v>
                </c:pt>
                <c:pt idx="214">
                  <c:v>69020.551733947636</c:v>
                </c:pt>
                <c:pt idx="215">
                  <c:v>70366.701172778659</c:v>
                </c:pt>
                <c:pt idx="216">
                  <c:v>73272.807239017624</c:v>
                </c:pt>
                <c:pt idx="217">
                  <c:v>74941.011073143309</c:v>
                </c:pt>
                <c:pt idx="218">
                  <c:v>72515.304747091781</c:v>
                </c:pt>
                <c:pt idx="219">
                  <c:v>67842.040808142308</c:v>
                </c:pt>
                <c:pt idx="220">
                  <c:v>68920.403526853217</c:v>
                </c:pt>
                <c:pt idx="221">
                  <c:v>51687.913739543401</c:v>
                </c:pt>
                <c:pt idx="222">
                  <c:v>62057.831866629393</c:v>
                </c:pt>
                <c:pt idx="223">
                  <c:v>66608.418645126163</c:v>
                </c:pt>
                <c:pt idx="224">
                  <c:v>68374.094825254753</c:v>
                </c:pt>
                <c:pt idx="225">
                  <c:v>65347.563578155605</c:v>
                </c:pt>
                <c:pt idx="226">
                  <c:v>48491.878004694277</c:v>
                </c:pt>
                <c:pt idx="227">
                  <c:v>68472.597985869012</c:v>
                </c:pt>
                <c:pt idx="228">
                  <c:v>65013.481272197234</c:v>
                </c:pt>
                <c:pt idx="229">
                  <c:v>68278.97652104302</c:v>
                </c:pt>
                <c:pt idx="230">
                  <c:v>65709.961804921448</c:v>
                </c:pt>
                <c:pt idx="231">
                  <c:v>61859.572495452026</c:v>
                </c:pt>
                <c:pt idx="232">
                  <c:v>59846.010756725635</c:v>
                </c:pt>
                <c:pt idx="233">
                  <c:v>61428.084507294465</c:v>
                </c:pt>
                <c:pt idx="234">
                  <c:v>65628.223425726144</c:v>
                </c:pt>
                <c:pt idx="235">
                  <c:v>67527.551618433441</c:v>
                </c:pt>
                <c:pt idx="236">
                  <c:v>71176.556056781352</c:v>
                </c:pt>
                <c:pt idx="237">
                  <c:v>73828.799246603478</c:v>
                </c:pt>
                <c:pt idx="238">
                  <c:v>70816.132625381768</c:v>
                </c:pt>
                <c:pt idx="239">
                  <c:v>70590.409499041183</c:v>
                </c:pt>
                <c:pt idx="240">
                  <c:v>71319.036151050052</c:v>
                </c:pt>
                <c:pt idx="241">
                  <c:v>71873.62127832722</c:v>
                </c:pt>
                <c:pt idx="242">
                  <c:v>72806.840012295739</c:v>
                </c:pt>
                <c:pt idx="243">
                  <c:v>73899.563371970406</c:v>
                </c:pt>
                <c:pt idx="244">
                  <c:v>75346.297096766401</c:v>
                </c:pt>
                <c:pt idx="245">
                  <c:v>70915.204938379189</c:v>
                </c:pt>
                <c:pt idx="246">
                  <c:v>73153.50714819842</c:v>
                </c:pt>
                <c:pt idx="247">
                  <c:v>73745.454090875995</c:v>
                </c:pt>
                <c:pt idx="248">
                  <c:v>77596.49008177199</c:v>
                </c:pt>
                <c:pt idx="249">
                  <c:v>78916.848620594406</c:v>
                </c:pt>
                <c:pt idx="250">
                  <c:v>82245.340650599988</c:v>
                </c:pt>
                <c:pt idx="251">
                  <c:v>85062.954331440007</c:v>
                </c:pt>
                <c:pt idx="252">
                  <c:v>85155.598861185586</c:v>
                </c:pt>
                <c:pt idx="253">
                  <c:v>86407.928792596809</c:v>
                </c:pt>
                <c:pt idx="254">
                  <c:v>89855.712619504804</c:v>
                </c:pt>
                <c:pt idx="255">
                  <c:v>91684.940581543182</c:v>
                </c:pt>
                <c:pt idx="256">
                  <c:v>93788.403018806377</c:v>
                </c:pt>
                <c:pt idx="257">
                  <c:v>91806.758887936827</c:v>
                </c:pt>
                <c:pt idx="258">
                  <c:v>91909.079598129611</c:v>
                </c:pt>
                <c:pt idx="259">
                  <c:v>90562.837008559203</c:v>
                </c:pt>
                <c:pt idx="260">
                  <c:v>98044.167589883989</c:v>
                </c:pt>
                <c:pt idx="261">
                  <c:v>98314.258959942003</c:v>
                </c:pt>
                <c:pt idx="262">
                  <c:v>101136.88273882199</c:v>
                </c:pt>
                <c:pt idx="263">
                  <c:v>105138.65393779197</c:v>
                </c:pt>
                <c:pt idx="264">
                  <c:v>106024.14336621002</c:v>
                </c:pt>
                <c:pt idx="265">
                  <c:v>108674.10968293199</c:v>
                </c:pt>
                <c:pt idx="266">
                  <c:v>108539.31229472999</c:v>
                </c:pt>
                <c:pt idx="267">
                  <c:v>108060.87599592</c:v>
                </c:pt>
                <c:pt idx="268">
                  <c:v>111368.53594832399</c:v>
                </c:pt>
                <c:pt idx="269">
                  <c:v>114802.65100876801</c:v>
                </c:pt>
                <c:pt idx="270">
                  <c:v>123939.18456000001</c:v>
                </c:pt>
                <c:pt idx="271">
                  <c:v>122303.14323749999</c:v>
                </c:pt>
                <c:pt idx="272">
                  <c:v>124708.3119015</c:v>
                </c:pt>
                <c:pt idx="273">
                  <c:v>130765.56453600001</c:v>
                </c:pt>
                <c:pt idx="274">
                  <c:v>123902.90384249999</c:v>
                </c:pt>
                <c:pt idx="275">
                  <c:v>119507.38077149999</c:v>
                </c:pt>
                <c:pt idx="276">
                  <c:v>120782.11737600001</c:v>
                </c:pt>
                <c:pt idx="277">
                  <c:v>123448.6216905</c:v>
                </c:pt>
                <c:pt idx="278">
                  <c:v>124484.31441299999</c:v>
                </c:pt>
                <c:pt idx="279">
                  <c:v>130691.30418750001</c:v>
                </c:pt>
                <c:pt idx="280">
                  <c:v>120226.14710999999</c:v>
                </c:pt>
                <c:pt idx="281">
                  <c:v>116322.983874</c:v>
                </c:pt>
                <c:pt idx="282">
                  <c:v>113876.00086650001</c:v>
                </c:pt>
                <c:pt idx="283">
                  <c:v>113410.33365300001</c:v>
                </c:pt>
                <c:pt idx="284">
                  <c:v>112639.31116649999</c:v>
                </c:pt>
                <c:pt idx="285">
                  <c:v>117208.9023855</c:v>
                </c:pt>
                <c:pt idx="286">
                  <c:v>120300.46932600001</c:v>
                </c:pt>
                <c:pt idx="287">
                  <c:v>121226.30599199999</c:v>
                </c:pt>
                <c:pt idx="288">
                  <c:v>120972.4405755</c:v>
                </c:pt>
                <c:pt idx="289">
                  <c:v>118752.4005705</c:v>
                </c:pt>
                <c:pt idx="290">
                  <c:v>121138.92381483872</c:v>
                </c:pt>
                <c:pt idx="291">
                  <c:v>123914.61543389253</c:v>
                </c:pt>
                <c:pt idx="292">
                  <c:v>121505.93963747012</c:v>
                </c:pt>
                <c:pt idx="293">
                  <c:v>122054.42486599894</c:v>
                </c:pt>
                <c:pt idx="294">
                  <c:v>120190.84122916166</c:v>
                </c:pt>
                <c:pt idx="295">
                  <c:v>120853.98399765082</c:v>
                </c:pt>
                <c:pt idx="296">
                  <c:v>128026.24204523204</c:v>
                </c:pt>
                <c:pt idx="297">
                  <c:v>125251.6335556312</c:v>
                </c:pt>
                <c:pt idx="298">
                  <c:v>127746.78569970888</c:v>
                </c:pt>
                <c:pt idx="299">
                  <c:v>128754.14049075462</c:v>
                </c:pt>
                <c:pt idx="300">
                  <c:v>132668.1399677569</c:v>
                </c:pt>
                <c:pt idx="301">
                  <c:v>133308.3145554089</c:v>
                </c:pt>
                <c:pt idx="302">
                  <c:v>129178.59869058547</c:v>
                </c:pt>
                <c:pt idx="303">
                  <c:v>130792.08810671954</c:v>
                </c:pt>
                <c:pt idx="304">
                  <c:v>132476.90134301715</c:v>
                </c:pt>
                <c:pt idx="305">
                  <c:v>133352.74183301994</c:v>
                </c:pt>
                <c:pt idx="306">
                  <c:v>131777.15295839313</c:v>
                </c:pt>
                <c:pt idx="307">
                  <c:v>130195.12428209539</c:v>
                </c:pt>
                <c:pt idx="308">
                  <c:v>129210.98729065439</c:v>
                </c:pt>
                <c:pt idx="309">
                  <c:v>118314.58965061605</c:v>
                </c:pt>
                <c:pt idx="310">
                  <c:v>123595.36425738136</c:v>
                </c:pt>
                <c:pt idx="311">
                  <c:v>111542.22984586236</c:v>
                </c:pt>
                <c:pt idx="312">
                  <c:v>113471.84592792473</c:v>
                </c:pt>
                <c:pt idx="313">
                  <c:v>111164.60879356766</c:v>
                </c:pt>
                <c:pt idx="314">
                  <c:v>102493.58519962453</c:v>
                </c:pt>
                <c:pt idx="315">
                  <c:v>100745.02806177695</c:v>
                </c:pt>
                <c:pt idx="316">
                  <c:v>98962.440078316242</c:v>
                </c:pt>
                <c:pt idx="317">
                  <c:v>96927.902395094134</c:v>
                </c:pt>
                <c:pt idx="318">
                  <c:v>95707.676414347516</c:v>
                </c:pt>
              </c:numCache>
            </c:numRef>
          </c:val>
          <c:smooth val="0"/>
          <c:extLst>
            <c:ext xmlns:c16="http://schemas.microsoft.com/office/drawing/2014/chart" uri="{C3380CC4-5D6E-409C-BE32-E72D297353CC}">
              <c16:uniqueId val="{00000003-63FC-4273-BD26-3AC2BF83832D}"/>
            </c:ext>
          </c:extLst>
        </c:ser>
        <c:dLbls>
          <c:showLegendKey val="0"/>
          <c:showVal val="0"/>
          <c:showCatName val="0"/>
          <c:showSerName val="0"/>
          <c:showPercent val="0"/>
          <c:showBubbleSize val="0"/>
        </c:dLbls>
        <c:marker val="1"/>
        <c:smooth val="0"/>
        <c:axId val="220172672"/>
        <c:axId val="220158208"/>
      </c:lineChart>
      <c:catAx>
        <c:axId val="220154496"/>
        <c:scaling>
          <c:orientation val="minMax"/>
        </c:scaling>
        <c:delete val="0"/>
        <c:axPos val="b"/>
        <c:numFmt formatCode="General"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20156288"/>
        <c:crosses val="autoZero"/>
        <c:auto val="1"/>
        <c:lblAlgn val="ctr"/>
        <c:lblOffset val="100"/>
        <c:tickLblSkip val="40"/>
        <c:tickMarkSkip val="40"/>
        <c:noMultiLvlLbl val="0"/>
      </c:catAx>
      <c:valAx>
        <c:axId val="220156288"/>
        <c:scaling>
          <c:orientation val="minMax"/>
        </c:scaling>
        <c:delete val="0"/>
        <c:axPos val="l"/>
        <c:majorGridlines>
          <c:spPr>
            <a:ln>
              <a:noFill/>
            </a:ln>
          </c:spPr>
        </c:majorGridlines>
        <c:title>
          <c:tx>
            <c:rich>
              <a:bodyPr rot="-5400000" vert="horz"/>
              <a:lstStyle/>
              <a:p>
                <a:pPr>
                  <a:defRPr/>
                </a:pPr>
                <a:r>
                  <a:rPr lang="en-GB" sz="1400">
                    <a:latin typeface="Times New Roman" panose="02020603050405020304" pitchFamily="18" charset="0"/>
                    <a:cs typeface="Times New Roman" panose="02020603050405020304" pitchFamily="18" charset="0"/>
                  </a:rPr>
                  <a:t>Carbon Dioxide Emissions (million tonnes)</a:t>
                </a:r>
              </a:p>
            </c:rich>
          </c:tx>
          <c:layout>
            <c:manualLayout>
              <c:xMode val="edge"/>
              <c:yMode val="edge"/>
              <c:x val="0"/>
              <c:y val="0.15360828894078396"/>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20154496"/>
        <c:crosses val="autoZero"/>
        <c:crossBetween val="between"/>
      </c:valAx>
      <c:valAx>
        <c:axId val="220158208"/>
        <c:scaling>
          <c:orientation val="minMax"/>
        </c:scaling>
        <c:delete val="0"/>
        <c:axPos val="r"/>
        <c:title>
          <c:tx>
            <c:rich>
              <a:bodyPr rot="-5400000" vert="horz"/>
              <a:lstStyle/>
              <a:p>
                <a:pPr>
                  <a:defRPr/>
                </a:pPr>
                <a:r>
                  <a:rPr lang="en-GB" sz="1400">
                    <a:latin typeface="Times New Roman" panose="02020603050405020304" pitchFamily="18" charset="0"/>
                    <a:cs typeface="Times New Roman" panose="02020603050405020304" pitchFamily="18" charset="0"/>
                  </a:rPr>
                  <a:t>Carbon dioxide Emissions as carbon (thousand</a:t>
                </a:r>
                <a:r>
                  <a:rPr lang="en-GB" sz="1400" baseline="0">
                    <a:latin typeface="Times New Roman" panose="02020603050405020304" pitchFamily="18" charset="0"/>
                    <a:cs typeface="Times New Roman" panose="02020603050405020304" pitchFamily="18" charset="0"/>
                  </a:rPr>
                  <a:t> tonnes)</a:t>
                </a:r>
                <a:endParaRPr lang="en-GB" sz="1400">
                  <a:latin typeface="Times New Roman" panose="02020603050405020304" pitchFamily="18" charset="0"/>
                  <a:cs typeface="Times New Roman" panose="02020603050405020304" pitchFamily="18" charset="0"/>
                </a:endParaRPr>
              </a:p>
            </c:rich>
          </c:tx>
          <c:overlay val="0"/>
        </c:title>
        <c:numFmt formatCode="#,##0" sourceLinked="0"/>
        <c:majorTickMark val="out"/>
        <c:minorTickMark val="none"/>
        <c:tickLblPos val="nextTo"/>
        <c:txPr>
          <a:bodyPr/>
          <a:lstStyle/>
          <a:p>
            <a:pPr>
              <a:defRPr sz="1200">
                <a:latin typeface="Times New Roman" panose="02020603050405020304" pitchFamily="18" charset="0"/>
                <a:cs typeface="Times New Roman" panose="02020603050405020304" pitchFamily="18" charset="0"/>
              </a:defRPr>
            </a:pPr>
            <a:endParaRPr lang="en-US"/>
          </a:p>
        </c:txPr>
        <c:crossAx val="220172672"/>
        <c:crosses val="max"/>
        <c:crossBetween val="between"/>
      </c:valAx>
      <c:catAx>
        <c:axId val="220172672"/>
        <c:scaling>
          <c:orientation val="minMax"/>
        </c:scaling>
        <c:delete val="1"/>
        <c:axPos val="b"/>
        <c:numFmt formatCode="General" sourceLinked="1"/>
        <c:majorTickMark val="out"/>
        <c:minorTickMark val="none"/>
        <c:tickLblPos val="nextTo"/>
        <c:crossAx val="220158208"/>
        <c:crosses val="autoZero"/>
        <c:auto val="1"/>
        <c:lblAlgn val="ctr"/>
        <c:lblOffset val="100"/>
        <c:noMultiLvlLbl val="0"/>
      </c:catAx>
    </c:plotArea>
    <c:legend>
      <c:legendPos val="t"/>
      <c:layout>
        <c:manualLayout>
          <c:xMode val="edge"/>
          <c:yMode val="edge"/>
          <c:x val="0.15874126672450797"/>
          <c:y val="3.0283905654108517E-2"/>
          <c:w val="0.57688625703717722"/>
          <c:h val="0.12101506988613991"/>
        </c:manualLayout>
      </c:layou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11</xdr:col>
      <xdr:colOff>9525</xdr:colOff>
      <xdr:row>77</xdr:row>
      <xdr:rowOff>257175</xdr:rowOff>
    </xdr:from>
    <xdr:to>
      <xdr:col>17</xdr:col>
      <xdr:colOff>9525</xdr:colOff>
      <xdr:row>78</xdr:row>
      <xdr:rowOff>114300</xdr:rowOff>
    </xdr:to>
    <xdr:sp macro="" textlink="">
      <xdr:nvSpPr>
        <xdr:cNvPr id="3" name="AutoShape 1">
          <a:extLst>
            <a:ext uri="{FF2B5EF4-FFF2-40B4-BE49-F238E27FC236}">
              <a16:creationId xmlns:a16="http://schemas.microsoft.com/office/drawing/2014/main" id="{00000000-0008-0000-0C00-000003000000}"/>
            </a:ext>
          </a:extLst>
        </xdr:cNvPr>
        <xdr:cNvSpPr>
          <a:spLocks/>
        </xdr:cNvSpPr>
      </xdr:nvSpPr>
      <xdr:spPr bwMode="auto">
        <a:xfrm rot="5400000">
          <a:off x="8324850" y="12192000"/>
          <a:ext cx="133350" cy="29337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28575</xdr:colOff>
      <xdr:row>141</xdr:row>
      <xdr:rowOff>142875</xdr:rowOff>
    </xdr:from>
    <xdr:to>
      <xdr:col>16</xdr:col>
      <xdr:colOff>552450</xdr:colOff>
      <xdr:row>142</xdr:row>
      <xdr:rowOff>38100</xdr:rowOff>
    </xdr:to>
    <xdr:sp macro="" textlink="">
      <xdr:nvSpPr>
        <xdr:cNvPr id="4" name="AutoShape 2">
          <a:extLst>
            <a:ext uri="{FF2B5EF4-FFF2-40B4-BE49-F238E27FC236}">
              <a16:creationId xmlns:a16="http://schemas.microsoft.com/office/drawing/2014/main" id="{00000000-0008-0000-0C00-000004000000}"/>
            </a:ext>
          </a:extLst>
        </xdr:cNvPr>
        <xdr:cNvSpPr>
          <a:spLocks/>
        </xdr:cNvSpPr>
      </xdr:nvSpPr>
      <xdr:spPr bwMode="auto">
        <a:xfrm rot="-5400000">
          <a:off x="9277350" y="23460075"/>
          <a:ext cx="38100" cy="1085850"/>
        </a:xfrm>
        <a:prstGeom prst="leftBrace">
          <a:avLst>
            <a:gd name="adj1" fmla="val 23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77</xdr:row>
      <xdr:rowOff>238125</xdr:rowOff>
    </xdr:from>
    <xdr:to>
      <xdr:col>21</xdr:col>
      <xdr:colOff>28575</xdr:colOff>
      <xdr:row>78</xdr:row>
      <xdr:rowOff>104775</xdr:rowOff>
    </xdr:to>
    <xdr:sp macro="" textlink="">
      <xdr:nvSpPr>
        <xdr:cNvPr id="6" name="AutoShape 4">
          <a:extLst>
            <a:ext uri="{FF2B5EF4-FFF2-40B4-BE49-F238E27FC236}">
              <a16:creationId xmlns:a16="http://schemas.microsoft.com/office/drawing/2014/main" id="{00000000-0008-0000-0C00-000006000000}"/>
            </a:ext>
          </a:extLst>
        </xdr:cNvPr>
        <xdr:cNvSpPr>
          <a:spLocks/>
        </xdr:cNvSpPr>
      </xdr:nvSpPr>
      <xdr:spPr bwMode="auto">
        <a:xfrm rot="5400000">
          <a:off x="10758487" y="12796838"/>
          <a:ext cx="142875" cy="1695450"/>
        </a:xfrm>
        <a:prstGeom prst="rightBrace">
          <a:avLst>
            <a:gd name="adj1" fmla="val 9888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85</xdr:row>
      <xdr:rowOff>180975</xdr:rowOff>
    </xdr:from>
    <xdr:to>
      <xdr:col>14</xdr:col>
      <xdr:colOff>533400</xdr:colOff>
      <xdr:row>86</xdr:row>
      <xdr:rowOff>9525</xdr:rowOff>
    </xdr:to>
    <xdr:sp macro="" textlink="">
      <xdr:nvSpPr>
        <xdr:cNvPr id="7" name="AutoShape 5">
          <a:extLst>
            <a:ext uri="{FF2B5EF4-FFF2-40B4-BE49-F238E27FC236}">
              <a16:creationId xmlns:a16="http://schemas.microsoft.com/office/drawing/2014/main" id="{00000000-0008-0000-0C00-000007000000}"/>
            </a:ext>
          </a:extLst>
        </xdr:cNvPr>
        <xdr:cNvSpPr>
          <a:spLocks/>
        </xdr:cNvSpPr>
      </xdr:nvSpPr>
      <xdr:spPr bwMode="auto">
        <a:xfrm rot="-5400000">
          <a:off x="7781925" y="14220825"/>
          <a:ext cx="95250" cy="1733550"/>
        </a:xfrm>
        <a:prstGeom prst="rightBrace">
          <a:avLst>
            <a:gd name="adj1" fmla="val 15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171450</xdr:colOff>
      <xdr:row>85</xdr:row>
      <xdr:rowOff>152400</xdr:rowOff>
    </xdr:from>
    <xdr:to>
      <xdr:col>21</xdr:col>
      <xdr:colOff>38100</xdr:colOff>
      <xdr:row>85</xdr:row>
      <xdr:rowOff>257175</xdr:rowOff>
    </xdr:to>
    <xdr:sp macro="" textlink="">
      <xdr:nvSpPr>
        <xdr:cNvPr id="8" name="AutoShape 6">
          <a:extLst>
            <a:ext uri="{FF2B5EF4-FFF2-40B4-BE49-F238E27FC236}">
              <a16:creationId xmlns:a16="http://schemas.microsoft.com/office/drawing/2014/main" id="{00000000-0008-0000-0C00-000008000000}"/>
            </a:ext>
          </a:extLst>
        </xdr:cNvPr>
        <xdr:cNvSpPr>
          <a:spLocks/>
        </xdr:cNvSpPr>
      </xdr:nvSpPr>
      <xdr:spPr bwMode="auto">
        <a:xfrm rot="-5400000">
          <a:off x="10782300" y="14211300"/>
          <a:ext cx="104775" cy="1704975"/>
        </a:xfrm>
        <a:prstGeom prst="rightBrace">
          <a:avLst>
            <a:gd name="adj1" fmla="val 13560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0</xdr:colOff>
      <xdr:row>141</xdr:row>
      <xdr:rowOff>114300</xdr:rowOff>
    </xdr:from>
    <xdr:to>
      <xdr:col>24</xdr:col>
      <xdr:colOff>514350</xdr:colOff>
      <xdr:row>142</xdr:row>
      <xdr:rowOff>9525</xdr:rowOff>
    </xdr:to>
    <xdr:sp macro="" textlink="">
      <xdr:nvSpPr>
        <xdr:cNvPr id="9" name="AutoShape 7">
          <a:extLst>
            <a:ext uri="{FF2B5EF4-FFF2-40B4-BE49-F238E27FC236}">
              <a16:creationId xmlns:a16="http://schemas.microsoft.com/office/drawing/2014/main" id="{00000000-0008-0000-0C00-000009000000}"/>
            </a:ext>
          </a:extLst>
        </xdr:cNvPr>
        <xdr:cNvSpPr>
          <a:spLocks/>
        </xdr:cNvSpPr>
      </xdr:nvSpPr>
      <xdr:spPr bwMode="auto">
        <a:xfrm rot="-5400000">
          <a:off x="12858750" y="23479125"/>
          <a:ext cx="38100" cy="990600"/>
        </a:xfrm>
        <a:prstGeom prst="leftBrace">
          <a:avLst>
            <a:gd name="adj1" fmla="val 2175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77</xdr:row>
      <xdr:rowOff>38100</xdr:rowOff>
    </xdr:from>
    <xdr:to>
      <xdr:col>24</xdr:col>
      <xdr:colOff>466725</xdr:colOff>
      <xdr:row>77</xdr:row>
      <xdr:rowOff>104775</xdr:rowOff>
    </xdr:to>
    <xdr:sp macro="" textlink="">
      <xdr:nvSpPr>
        <xdr:cNvPr id="11" name="AutoShape 9">
          <a:extLst>
            <a:ext uri="{FF2B5EF4-FFF2-40B4-BE49-F238E27FC236}">
              <a16:creationId xmlns:a16="http://schemas.microsoft.com/office/drawing/2014/main" id="{00000000-0008-0000-0C00-00000B000000}"/>
            </a:ext>
          </a:extLst>
        </xdr:cNvPr>
        <xdr:cNvSpPr>
          <a:spLocks/>
        </xdr:cNvSpPr>
      </xdr:nvSpPr>
      <xdr:spPr bwMode="auto">
        <a:xfrm rot="-5400000">
          <a:off x="12625387" y="12739688"/>
          <a:ext cx="66675" cy="1333500"/>
        </a:xfrm>
        <a:prstGeom prst="rightBrace">
          <a:avLst>
            <a:gd name="adj1" fmla="val 16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85725</xdr:colOff>
      <xdr:row>40</xdr:row>
      <xdr:rowOff>85725</xdr:rowOff>
    </xdr:from>
    <xdr:to>
      <xdr:col>24</xdr:col>
      <xdr:colOff>466725</xdr:colOff>
      <xdr:row>41</xdr:row>
      <xdr:rowOff>57150</xdr:rowOff>
    </xdr:to>
    <xdr:sp macro="" textlink="">
      <xdr:nvSpPr>
        <xdr:cNvPr id="12" name="AutoShape 10">
          <a:extLst>
            <a:ext uri="{FF2B5EF4-FFF2-40B4-BE49-F238E27FC236}">
              <a16:creationId xmlns:a16="http://schemas.microsoft.com/office/drawing/2014/main" id="{00000000-0008-0000-0C00-00000C000000}"/>
            </a:ext>
          </a:extLst>
        </xdr:cNvPr>
        <xdr:cNvSpPr>
          <a:spLocks/>
        </xdr:cNvSpPr>
      </xdr:nvSpPr>
      <xdr:spPr bwMode="auto">
        <a:xfrm rot="5400000">
          <a:off x="12558713" y="7053262"/>
          <a:ext cx="114300" cy="1419225"/>
        </a:xfrm>
        <a:prstGeom prst="rightBrace">
          <a:avLst>
            <a:gd name="adj1" fmla="val 103472"/>
            <a:gd name="adj2" fmla="val 5092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77</xdr:row>
      <xdr:rowOff>47625</xdr:rowOff>
    </xdr:from>
    <xdr:to>
      <xdr:col>21</xdr:col>
      <xdr:colOff>9525</xdr:colOff>
      <xdr:row>77</xdr:row>
      <xdr:rowOff>142875</xdr:rowOff>
    </xdr:to>
    <xdr:sp macro="" textlink="">
      <xdr:nvSpPr>
        <xdr:cNvPr id="13" name="AutoShape 11">
          <a:extLst>
            <a:ext uri="{FF2B5EF4-FFF2-40B4-BE49-F238E27FC236}">
              <a16:creationId xmlns:a16="http://schemas.microsoft.com/office/drawing/2014/main" id="{00000000-0008-0000-0C00-00000D000000}"/>
            </a:ext>
          </a:extLst>
        </xdr:cNvPr>
        <xdr:cNvSpPr>
          <a:spLocks/>
        </xdr:cNvSpPr>
      </xdr:nvSpPr>
      <xdr:spPr bwMode="auto">
        <a:xfrm rot="-5400000">
          <a:off x="10772775" y="12592050"/>
          <a:ext cx="95250" cy="1676400"/>
        </a:xfrm>
        <a:prstGeom prst="rightBrace">
          <a:avLst>
            <a:gd name="adj1" fmla="val 14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66675</xdr:colOff>
      <xdr:row>36</xdr:row>
      <xdr:rowOff>57150</xdr:rowOff>
    </xdr:from>
    <xdr:to>
      <xdr:col>20</xdr:col>
      <xdr:colOff>590550</xdr:colOff>
      <xdr:row>37</xdr:row>
      <xdr:rowOff>47625</xdr:rowOff>
    </xdr:to>
    <xdr:sp macro="" textlink="">
      <xdr:nvSpPr>
        <xdr:cNvPr id="14" name="AutoShape 12">
          <a:extLst>
            <a:ext uri="{FF2B5EF4-FFF2-40B4-BE49-F238E27FC236}">
              <a16:creationId xmlns:a16="http://schemas.microsoft.com/office/drawing/2014/main" id="{00000000-0008-0000-0C00-00000E000000}"/>
            </a:ext>
          </a:extLst>
        </xdr:cNvPr>
        <xdr:cNvSpPr>
          <a:spLocks/>
        </xdr:cNvSpPr>
      </xdr:nvSpPr>
      <xdr:spPr bwMode="auto">
        <a:xfrm rot="5400000">
          <a:off x="10777538" y="6234112"/>
          <a:ext cx="133350" cy="1590675"/>
        </a:xfrm>
        <a:prstGeom prst="rightBrace">
          <a:avLst>
            <a:gd name="adj1" fmla="val 99405"/>
            <a:gd name="adj2" fmla="val 4873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85725</xdr:colOff>
      <xdr:row>77</xdr:row>
      <xdr:rowOff>85725</xdr:rowOff>
    </xdr:from>
    <xdr:to>
      <xdr:col>17</xdr:col>
      <xdr:colOff>9525</xdr:colOff>
      <xdr:row>77</xdr:row>
      <xdr:rowOff>180975</xdr:rowOff>
    </xdr:to>
    <xdr:sp macro="" textlink="">
      <xdr:nvSpPr>
        <xdr:cNvPr id="15" name="AutoShape 13">
          <a:extLst>
            <a:ext uri="{FF2B5EF4-FFF2-40B4-BE49-F238E27FC236}">
              <a16:creationId xmlns:a16="http://schemas.microsoft.com/office/drawing/2014/main" id="{00000000-0008-0000-0C00-00000F000000}"/>
            </a:ext>
          </a:extLst>
        </xdr:cNvPr>
        <xdr:cNvSpPr>
          <a:spLocks/>
        </xdr:cNvSpPr>
      </xdr:nvSpPr>
      <xdr:spPr bwMode="auto">
        <a:xfrm rot="-5400000">
          <a:off x="9005888" y="12663487"/>
          <a:ext cx="95250" cy="1609725"/>
        </a:xfrm>
        <a:prstGeom prst="rightBrace">
          <a:avLst>
            <a:gd name="adj1" fmla="val 14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47625</xdr:colOff>
      <xdr:row>40</xdr:row>
      <xdr:rowOff>85725</xdr:rowOff>
    </xdr:from>
    <xdr:to>
      <xdr:col>16</xdr:col>
      <xdr:colOff>514350</xdr:colOff>
      <xdr:row>41</xdr:row>
      <xdr:rowOff>76200</xdr:rowOff>
    </xdr:to>
    <xdr:sp macro="" textlink="">
      <xdr:nvSpPr>
        <xdr:cNvPr id="16" name="AutoShape 14">
          <a:extLst>
            <a:ext uri="{FF2B5EF4-FFF2-40B4-BE49-F238E27FC236}">
              <a16:creationId xmlns:a16="http://schemas.microsoft.com/office/drawing/2014/main" id="{00000000-0008-0000-0C00-000010000000}"/>
            </a:ext>
          </a:extLst>
        </xdr:cNvPr>
        <xdr:cNvSpPr>
          <a:spLocks/>
        </xdr:cNvSpPr>
      </xdr:nvSpPr>
      <xdr:spPr bwMode="auto">
        <a:xfrm rot="5400000">
          <a:off x="8939213" y="6977062"/>
          <a:ext cx="133350" cy="1590675"/>
        </a:xfrm>
        <a:prstGeom prst="rightBrace">
          <a:avLst>
            <a:gd name="adj1" fmla="val 99405"/>
            <a:gd name="adj2" fmla="val 4873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9525</xdr:colOff>
      <xdr:row>70</xdr:row>
      <xdr:rowOff>66675</xdr:rowOff>
    </xdr:from>
    <xdr:to>
      <xdr:col>13</xdr:col>
      <xdr:colOff>9525</xdr:colOff>
      <xdr:row>71</xdr:row>
      <xdr:rowOff>57150</xdr:rowOff>
    </xdr:to>
    <xdr:sp macro="" textlink="">
      <xdr:nvSpPr>
        <xdr:cNvPr id="17" name="AutoShape 15">
          <a:extLst>
            <a:ext uri="{FF2B5EF4-FFF2-40B4-BE49-F238E27FC236}">
              <a16:creationId xmlns:a16="http://schemas.microsoft.com/office/drawing/2014/main" id="{00000000-0008-0000-0C00-000011000000}"/>
            </a:ext>
          </a:extLst>
        </xdr:cNvPr>
        <xdr:cNvSpPr>
          <a:spLocks/>
        </xdr:cNvSpPr>
      </xdr:nvSpPr>
      <xdr:spPr bwMode="auto">
        <a:xfrm rot="5400000">
          <a:off x="7419975" y="11906250"/>
          <a:ext cx="133350" cy="1123950"/>
        </a:xfrm>
        <a:prstGeom prst="rightBrace">
          <a:avLst>
            <a:gd name="adj1" fmla="val 7023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304800</xdr:colOff>
      <xdr:row>77</xdr:row>
      <xdr:rowOff>257175</xdr:rowOff>
    </xdr:from>
    <xdr:to>
      <xdr:col>26</xdr:col>
      <xdr:colOff>133350</xdr:colOff>
      <xdr:row>78</xdr:row>
      <xdr:rowOff>85725</xdr:rowOff>
    </xdr:to>
    <xdr:sp macro="" textlink="">
      <xdr:nvSpPr>
        <xdr:cNvPr id="18" name="AutoShape 17">
          <a:extLst>
            <a:ext uri="{FF2B5EF4-FFF2-40B4-BE49-F238E27FC236}">
              <a16:creationId xmlns:a16="http://schemas.microsoft.com/office/drawing/2014/main" id="{00000000-0008-0000-0C00-000012000000}"/>
            </a:ext>
          </a:extLst>
        </xdr:cNvPr>
        <xdr:cNvSpPr>
          <a:spLocks/>
        </xdr:cNvSpPr>
      </xdr:nvSpPr>
      <xdr:spPr bwMode="auto">
        <a:xfrm rot="5400000">
          <a:off x="13325475" y="12954000"/>
          <a:ext cx="104775" cy="1381125"/>
        </a:xfrm>
        <a:prstGeom prst="rightBrace">
          <a:avLst>
            <a:gd name="adj1" fmla="val 1098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95249</xdr:colOff>
      <xdr:row>33</xdr:row>
      <xdr:rowOff>11911</xdr:rowOff>
    </xdr:from>
    <xdr:to>
      <xdr:col>14</xdr:col>
      <xdr:colOff>1038224</xdr:colOff>
      <xdr:row>33</xdr:row>
      <xdr:rowOff>121449</xdr:rowOff>
    </xdr:to>
    <xdr:sp macro="" textlink="">
      <xdr:nvSpPr>
        <xdr:cNvPr id="2" name="AutoShape 14">
          <a:extLst>
            <a:ext uri="{FF2B5EF4-FFF2-40B4-BE49-F238E27FC236}">
              <a16:creationId xmlns:a16="http://schemas.microsoft.com/office/drawing/2014/main" id="{00000000-0008-0000-1000-000002000000}"/>
            </a:ext>
          </a:extLst>
        </xdr:cNvPr>
        <xdr:cNvSpPr>
          <a:spLocks/>
        </xdr:cNvSpPr>
      </xdr:nvSpPr>
      <xdr:spPr bwMode="auto">
        <a:xfrm rot="5400000">
          <a:off x="9527380" y="5657855"/>
          <a:ext cx="109538" cy="1981200"/>
        </a:xfrm>
        <a:prstGeom prst="rightBrace">
          <a:avLst>
            <a:gd name="adj1" fmla="val 99405"/>
            <a:gd name="adj2" fmla="val 4873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95249</xdr:colOff>
      <xdr:row>33</xdr:row>
      <xdr:rowOff>11911</xdr:rowOff>
    </xdr:from>
    <xdr:to>
      <xdr:col>14</xdr:col>
      <xdr:colOff>1038224</xdr:colOff>
      <xdr:row>33</xdr:row>
      <xdr:rowOff>121449</xdr:rowOff>
    </xdr:to>
    <xdr:sp macro="" textlink="">
      <xdr:nvSpPr>
        <xdr:cNvPr id="2" name="AutoShape 14">
          <a:extLst>
            <a:ext uri="{FF2B5EF4-FFF2-40B4-BE49-F238E27FC236}">
              <a16:creationId xmlns:a16="http://schemas.microsoft.com/office/drawing/2014/main" id="{00000000-0008-0000-1200-000002000000}"/>
            </a:ext>
          </a:extLst>
        </xdr:cNvPr>
        <xdr:cNvSpPr>
          <a:spLocks/>
        </xdr:cNvSpPr>
      </xdr:nvSpPr>
      <xdr:spPr bwMode="auto">
        <a:xfrm rot="5400000">
          <a:off x="9548812" y="5262567"/>
          <a:ext cx="109538" cy="1990725"/>
        </a:xfrm>
        <a:prstGeom prst="rightBrace">
          <a:avLst>
            <a:gd name="adj1" fmla="val 99405"/>
            <a:gd name="adj2" fmla="val 4873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202405</xdr:colOff>
      <xdr:row>10</xdr:row>
      <xdr:rowOff>95249</xdr:rowOff>
    </xdr:from>
    <xdr:to>
      <xdr:col>11</xdr:col>
      <xdr:colOff>559593</xdr:colOff>
      <xdr:row>30</xdr:row>
      <xdr:rowOff>59531</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11905</xdr:colOff>
      <xdr:row>10</xdr:row>
      <xdr:rowOff>11906</xdr:rowOff>
    </xdr:from>
    <xdr:to>
      <xdr:col>25</xdr:col>
      <xdr:colOff>505506</xdr:colOff>
      <xdr:row>30</xdr:row>
      <xdr:rowOff>95250</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107157</xdr:colOff>
      <xdr:row>10</xdr:row>
      <xdr:rowOff>35719</xdr:rowOff>
    </xdr:from>
    <xdr:to>
      <xdr:col>35</xdr:col>
      <xdr:colOff>400730</xdr:colOff>
      <xdr:row>31</xdr:row>
      <xdr:rowOff>166689</xdr:rowOff>
    </xdr:to>
    <xdr:graphicFrame macro="">
      <xdr:nvGraphicFramePr>
        <xdr:cNvPr id="4" name="Chart 1">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142875</xdr:colOff>
      <xdr:row>9</xdr:row>
      <xdr:rowOff>105456</xdr:rowOff>
    </xdr:from>
    <xdr:to>
      <xdr:col>14</xdr:col>
      <xdr:colOff>440532</xdr:colOff>
      <xdr:row>27</xdr:row>
      <xdr:rowOff>59532</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297657</xdr:colOff>
      <xdr:row>9</xdr:row>
      <xdr:rowOff>95251</xdr:rowOff>
    </xdr:from>
    <xdr:to>
      <xdr:col>24</xdr:col>
      <xdr:colOff>166688</xdr:colOff>
      <xdr:row>27</xdr:row>
      <xdr:rowOff>49327</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109</xdr:row>
      <xdr:rowOff>0</xdr:rowOff>
    </xdr:from>
    <xdr:to>
      <xdr:col>9</xdr:col>
      <xdr:colOff>460410</xdr:colOff>
      <xdr:row>109</xdr:row>
      <xdr:rowOff>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0" y="9105900"/>
          <a:ext cx="68612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twoCellAnchor>
    <xdr:from>
      <xdr:col>3</xdr:col>
      <xdr:colOff>321469</xdr:colOff>
      <xdr:row>12</xdr:row>
      <xdr:rowOff>95250</xdr:rowOff>
    </xdr:from>
    <xdr:to>
      <xdr:col>10</xdr:col>
      <xdr:colOff>162605</xdr:colOff>
      <xdr:row>37</xdr:row>
      <xdr:rowOff>59532</xdr:rowOff>
    </xdr:to>
    <xdr:graphicFrame macro="">
      <xdr:nvGraphicFramePr>
        <xdr:cNvPr id="4" name="Chart 1">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51</xdr:row>
      <xdr:rowOff>0</xdr:rowOff>
    </xdr:from>
    <xdr:to>
      <xdr:col>9</xdr:col>
      <xdr:colOff>460410</xdr:colOff>
      <xdr:row>51</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0" y="9105900"/>
          <a:ext cx="68612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10</xdr:row>
      <xdr:rowOff>0</xdr:rowOff>
    </xdr:from>
    <xdr:to>
      <xdr:col>21</xdr:col>
      <xdr:colOff>447675</xdr:colOff>
      <xdr:row>31</xdr:row>
      <xdr:rowOff>152400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11905</xdr:colOff>
      <xdr:row>9</xdr:row>
      <xdr:rowOff>166687</xdr:rowOff>
    </xdr:from>
    <xdr:to>
      <xdr:col>15</xdr:col>
      <xdr:colOff>47625</xdr:colOff>
      <xdr:row>29</xdr:row>
      <xdr:rowOff>130969</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cuments/Roger/DATA/ENUK/HIST/HisData/Data/LRPEN70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OneDrive%20-%20London%20School%20of%20Economics/DATA/ENUK/HIST/HisData/UKEDB/ENA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OneDrive%20-%20London%20School%20of%20Economics/DATA/ENUK/HIST/HisData/Data/StonePrestFuelLightData1900_193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OneDrive%20-%20London%20School%20of%20Economics/DATA/ENUK/HIST/HisData/Data/EnConsIndGroups1955_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EISLRManufactured_Solid_Fuels_since_1920%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istorical-enerrgy-data-for-the-uk-Prices%20Prelim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PIMonthlySubGroups1947_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En"/>
      <sheetName val="ES"/>
      <sheetName val="W"/>
      <sheetName val="X"/>
      <sheetName val="Y"/>
      <sheetName val="Z"/>
      <sheetName val="AA"/>
      <sheetName val="Updates"/>
      <sheetName val="LightS"/>
      <sheetName val="Eff"/>
      <sheetName val="AB"/>
      <sheetName val="Analysis"/>
      <sheetName val="S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70">
          <cell r="BH570">
            <v>1.666698544770072E-3</v>
          </cell>
        </row>
        <row r="590">
          <cell r="BJ590">
            <v>1.0135447562072684E-2</v>
          </cell>
        </row>
        <row r="591">
          <cell r="BJ591">
            <v>1.0483816143854709E-2</v>
          </cell>
        </row>
        <row r="592">
          <cell r="BJ592">
            <v>1.0824480038587278E-2</v>
          </cell>
        </row>
        <row r="593">
          <cell r="BJ593">
            <v>1.1157520921398118E-2</v>
          </cell>
        </row>
        <row r="594">
          <cell r="BJ594">
            <v>1.1483019317061059E-2</v>
          </cell>
        </row>
        <row r="595">
          <cell r="BJ595">
            <v>1.1801054620177645E-2</v>
          </cell>
        </row>
        <row r="596">
          <cell r="BJ596">
            <v>1.3525288265890277E-2</v>
          </cell>
        </row>
        <row r="597">
          <cell r="BJ597">
            <v>1.5215184789354699E-2</v>
          </cell>
        </row>
        <row r="598">
          <cell r="BJ598">
            <v>1.6871101868927665E-2</v>
          </cell>
        </row>
        <row r="599">
          <cell r="BJ599">
            <v>1.849339223240044E-2</v>
          </cell>
        </row>
        <row r="600">
          <cell r="BJ600">
            <v>2.0854803886290029E-2</v>
          </cell>
        </row>
        <row r="601">
          <cell r="BJ601">
            <v>2.247072869051019E-2</v>
          </cell>
        </row>
        <row r="602">
          <cell r="BJ602">
            <v>2.4052802357579093E-2</v>
          </cell>
        </row>
        <row r="603">
          <cell r="BJ603">
            <v>2.3945023963858624E-2</v>
          </cell>
        </row>
        <row r="604">
          <cell r="BJ604">
            <v>2.3836378784763263E-2</v>
          </cell>
        </row>
        <row r="605">
          <cell r="BJ605">
            <v>2.3726875635059548E-2</v>
          </cell>
        </row>
        <row r="606">
          <cell r="BJ606">
            <v>2.4375188722853821E-2</v>
          </cell>
        </row>
        <row r="607">
          <cell r="BJ607">
            <v>2.5007732631096853E-2</v>
          </cell>
        </row>
        <row r="608">
          <cell r="BJ608">
            <v>2.5624666109918339E-2</v>
          </cell>
        </row>
        <row r="609">
          <cell r="BJ609">
            <v>2.6226145785700435E-2</v>
          </cell>
        </row>
        <row r="610">
          <cell r="BJ610">
            <v>2.7805375314861453E-2</v>
          </cell>
        </row>
        <row r="611">
          <cell r="BJ611">
            <v>3.1024945088161202E-2</v>
          </cell>
        </row>
        <row r="612">
          <cell r="BJ612">
            <v>3.4244514861460955E-2</v>
          </cell>
        </row>
        <row r="613">
          <cell r="BJ613">
            <v>3.7464084634760704E-2</v>
          </cell>
        </row>
        <row r="614">
          <cell r="BJ614">
            <v>4.0683654408060453E-2</v>
          </cell>
        </row>
        <row r="615">
          <cell r="BJ615">
            <v>4.3903224181360181E-2</v>
          </cell>
        </row>
        <row r="616">
          <cell r="BJ616">
            <v>4.6098385390428195E-2</v>
          </cell>
        </row>
        <row r="617">
          <cell r="BJ617">
            <v>4.8293546599496202E-2</v>
          </cell>
        </row>
        <row r="618">
          <cell r="BJ618">
            <v>5.0488707808564223E-2</v>
          </cell>
        </row>
        <row r="619">
          <cell r="BJ619">
            <v>5.268386901763223E-2</v>
          </cell>
        </row>
        <row r="620">
          <cell r="BJ620">
            <v>5.6838995591939535E-2</v>
          </cell>
        </row>
        <row r="621">
          <cell r="BJ621">
            <v>5.9870408690176319E-2</v>
          </cell>
        </row>
        <row r="622">
          <cell r="BJ622">
            <v>6.2901821788413095E-2</v>
          </cell>
        </row>
        <row r="623">
          <cell r="BJ623">
            <v>6.5933234886649858E-2</v>
          </cell>
        </row>
        <row r="624">
          <cell r="BJ624">
            <v>6.8964647984886648E-2</v>
          </cell>
        </row>
        <row r="625">
          <cell r="BJ625">
            <v>7.1996061083123411E-2</v>
          </cell>
        </row>
        <row r="626">
          <cell r="BJ626">
            <v>7.4269620906801004E-2</v>
          </cell>
        </row>
        <row r="627">
          <cell r="BJ627">
            <v>7.6543180730478583E-2</v>
          </cell>
        </row>
        <row r="628">
          <cell r="BJ628">
            <v>7.8816740554156176E-2</v>
          </cell>
        </row>
        <row r="629">
          <cell r="BJ629">
            <v>8.1090300377833768E-2</v>
          </cell>
        </row>
        <row r="630">
          <cell r="BJ630">
            <v>8.6238476070528966E-2</v>
          </cell>
        </row>
        <row r="631">
          <cell r="BJ631">
            <v>9.4078337531486131E-2</v>
          </cell>
        </row>
        <row r="632">
          <cell r="BJ632">
            <v>9.2510365239294692E-2</v>
          </cell>
        </row>
        <row r="633">
          <cell r="BJ633">
            <v>9.1726379093198959E-2</v>
          </cell>
        </row>
        <row r="634">
          <cell r="BJ634">
            <v>9.7998268261964727E-2</v>
          </cell>
        </row>
        <row r="635">
          <cell r="BJ635">
            <v>0.10348617128463472</v>
          </cell>
        </row>
        <row r="636">
          <cell r="BJ636">
            <v>0.11367799118387907</v>
          </cell>
        </row>
        <row r="637">
          <cell r="BJ637">
            <v>0.12308582493702766</v>
          </cell>
        </row>
        <row r="638">
          <cell r="BJ638">
            <v>0.13170967254408061</v>
          </cell>
        </row>
        <row r="639">
          <cell r="BJ639">
            <v>0.14033352015113346</v>
          </cell>
        </row>
        <row r="640">
          <cell r="BJ640">
            <v>0.14738939546599494</v>
          </cell>
        </row>
        <row r="641">
          <cell r="BJ641">
            <v>0.21463798488664984</v>
          </cell>
        </row>
        <row r="642">
          <cell r="BJ642">
            <v>0.22578801007556668</v>
          </cell>
        </row>
        <row r="643">
          <cell r="BJ643">
            <v>0.23798335012594451</v>
          </cell>
        </row>
        <row r="644">
          <cell r="BJ644">
            <v>0.24948181360201505</v>
          </cell>
        </row>
        <row r="645">
          <cell r="BJ645">
            <v>0.26237403022670014</v>
          </cell>
        </row>
        <row r="646">
          <cell r="BJ646">
            <v>0.27352405541561708</v>
          </cell>
        </row>
        <row r="647">
          <cell r="BJ647">
            <v>0.283628765743073</v>
          </cell>
        </row>
        <row r="648">
          <cell r="BJ648">
            <v>0.29512722921914358</v>
          </cell>
        </row>
        <row r="649">
          <cell r="BJ649">
            <v>0.30627725440806047</v>
          </cell>
        </row>
        <row r="650">
          <cell r="BJ650">
            <v>0.32126010075566741</v>
          </cell>
        </row>
        <row r="651">
          <cell r="BJ651">
            <v>0.3390304534005037</v>
          </cell>
        </row>
        <row r="652">
          <cell r="BJ652">
            <v>0.34913516372795961</v>
          </cell>
        </row>
        <row r="653">
          <cell r="BJ653">
            <v>0.34565078085642315</v>
          </cell>
        </row>
        <row r="654">
          <cell r="BJ654">
            <v>0.35680080604534004</v>
          </cell>
        </row>
        <row r="655">
          <cell r="BJ655">
            <v>0.37840397984886648</v>
          </cell>
        </row>
        <row r="656">
          <cell r="BJ656">
            <v>0.39687120906801004</v>
          </cell>
        </row>
        <row r="657">
          <cell r="BJ657">
            <v>0.41498999999999991</v>
          </cell>
        </row>
        <row r="658">
          <cell r="BJ658">
            <v>0.43241191435768245</v>
          </cell>
        </row>
        <row r="659">
          <cell r="BJ659">
            <v>0.46098385390428209</v>
          </cell>
        </row>
        <row r="660">
          <cell r="BJ660">
            <v>0.47666357682619631</v>
          </cell>
        </row>
        <row r="661">
          <cell r="BJ661">
            <v>0.48703084611507119</v>
          </cell>
        </row>
        <row r="662">
          <cell r="BJ662">
            <v>0.49694526586777843</v>
          </cell>
        </row>
        <row r="663">
          <cell r="BJ663">
            <v>0.50778695077561642</v>
          </cell>
        </row>
        <row r="664">
          <cell r="BJ664">
            <v>0.53083671057035509</v>
          </cell>
        </row>
        <row r="665">
          <cell r="BJ665">
            <v>0.53594568437558932</v>
          </cell>
        </row>
        <row r="666">
          <cell r="BJ666">
            <v>0.55557616999498738</v>
          </cell>
        </row>
        <row r="667">
          <cell r="BJ667">
            <v>0.56927177309257959</v>
          </cell>
        </row>
        <row r="668">
          <cell r="BJ668">
            <v>0.57038876103741065</v>
          </cell>
        </row>
        <row r="669">
          <cell r="BJ669">
            <v>0.57984156624357597</v>
          </cell>
        </row>
        <row r="670">
          <cell r="BJ670">
            <v>0.59385220704303032</v>
          </cell>
        </row>
        <row r="671">
          <cell r="BJ671">
            <v>0.61136242055738288</v>
          </cell>
        </row>
        <row r="672">
          <cell r="BJ672">
            <v>0.64057302793850246</v>
          </cell>
        </row>
        <row r="673">
          <cell r="BJ673">
            <v>0.6622674109334088</v>
          </cell>
        </row>
        <row r="674">
          <cell r="BJ674">
            <v>0.6855176353294129</v>
          </cell>
        </row>
        <row r="675">
          <cell r="BJ675">
            <v>0.68234992871703748</v>
          </cell>
        </row>
        <row r="676">
          <cell r="BJ676">
            <v>0.67918797594251301</v>
          </cell>
        </row>
        <row r="677">
          <cell r="BJ677">
            <v>0.6760317613431156</v>
          </cell>
        </row>
        <row r="678">
          <cell r="BJ678">
            <v>0.6728812693129177</v>
          </cell>
        </row>
        <row r="679">
          <cell r="BJ679">
            <v>0.71208593141443277</v>
          </cell>
        </row>
        <row r="680">
          <cell r="BJ680">
            <v>0.79250879941492058</v>
          </cell>
        </row>
        <row r="681">
          <cell r="BJ681">
            <v>0.74621416977229726</v>
          </cell>
        </row>
        <row r="682">
          <cell r="BJ682">
            <v>0.7694109832011844</v>
          </cell>
        </row>
        <row r="683">
          <cell r="BJ683">
            <v>0.79089711717366429</v>
          </cell>
        </row>
        <row r="684">
          <cell r="BJ684">
            <v>0.8355958554623214</v>
          </cell>
        </row>
        <row r="685">
          <cell r="BJ685">
            <v>0.85828209686883483</v>
          </cell>
        </row>
        <row r="686">
          <cell r="BJ686">
            <v>0.88484236929047433</v>
          </cell>
        </row>
        <row r="687">
          <cell r="BJ687">
            <v>0.89878572276747004</v>
          </cell>
        </row>
        <row r="688">
          <cell r="BJ688">
            <v>0.89320627592503343</v>
          </cell>
        </row>
        <row r="689">
          <cell r="BJ689">
            <v>0.92359847032902631</v>
          </cell>
        </row>
        <row r="690">
          <cell r="BJ690">
            <v>0.89869624107282808</v>
          </cell>
        </row>
        <row r="691">
          <cell r="BJ691">
            <v>0.88822703728767904</v>
          </cell>
        </row>
        <row r="692">
          <cell r="BJ692">
            <v>0.86970241746550903</v>
          </cell>
        </row>
        <row r="693">
          <cell r="BJ693">
            <v>0.85394486649320389</v>
          </cell>
        </row>
        <row r="694">
          <cell r="BJ694">
            <v>0.86952495481743319</v>
          </cell>
        </row>
        <row r="695">
          <cell r="BJ695">
            <v>0.88780484347376409</v>
          </cell>
        </row>
        <row r="696">
          <cell r="BJ696">
            <v>0.93647561338552898</v>
          </cell>
        </row>
        <row r="697">
          <cell r="BJ697">
            <v>0.9595927330422237</v>
          </cell>
        </row>
        <row r="698">
          <cell r="BJ698">
            <v>0.95483021909136367</v>
          </cell>
        </row>
        <row r="699">
          <cell r="BJ699">
            <v>0.98353015122335652</v>
          </cell>
        </row>
        <row r="700">
          <cell r="BJ700">
            <v>0.99547342495738644</v>
          </cell>
        </row>
        <row r="701">
          <cell r="BJ701">
            <v>1.0686519057449237</v>
          </cell>
        </row>
        <row r="702">
          <cell r="BJ702">
            <v>1.1380705001281861</v>
          </cell>
        </row>
      </sheetData>
      <sheetData sheetId="18">
        <row r="655">
          <cell r="AY655">
            <v>2.0248183041722743E-2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s>
    <sheetDataSet>
      <sheetData sheetId="0"/>
      <sheetData sheetId="1"/>
      <sheetData sheetId="2"/>
      <sheetData sheetId="3">
        <row r="8">
          <cell r="G8" t="str">
            <v>Petroleum</v>
          </cell>
        </row>
        <row r="11">
          <cell r="I11">
            <v>145</v>
          </cell>
        </row>
        <row r="12">
          <cell r="I12">
            <v>158</v>
          </cell>
        </row>
        <row r="13">
          <cell r="I13">
            <v>145</v>
          </cell>
        </row>
        <row r="14">
          <cell r="I14">
            <v>151</v>
          </cell>
        </row>
        <row r="15">
          <cell r="I15">
            <v>156</v>
          </cell>
        </row>
        <row r="16">
          <cell r="I16">
            <v>151</v>
          </cell>
        </row>
        <row r="17">
          <cell r="I17">
            <v>174</v>
          </cell>
        </row>
        <row r="18">
          <cell r="I18">
            <v>171</v>
          </cell>
        </row>
        <row r="19">
          <cell r="I19">
            <v>188</v>
          </cell>
        </row>
      </sheetData>
      <sheetData sheetId="4">
        <row r="8">
          <cell r="G8" t="str">
            <v>Petroleum</v>
          </cell>
        </row>
        <row r="11">
          <cell r="I11">
            <v>765</v>
          </cell>
        </row>
        <row r="12">
          <cell r="I12">
            <v>759</v>
          </cell>
        </row>
        <row r="13">
          <cell r="I13">
            <v>803</v>
          </cell>
        </row>
        <row r="14">
          <cell r="I14">
            <v>908</v>
          </cell>
        </row>
        <row r="15">
          <cell r="I15">
            <v>926</v>
          </cell>
        </row>
        <row r="16">
          <cell r="I16">
            <v>1010</v>
          </cell>
        </row>
        <row r="17">
          <cell r="I17">
            <v>1060</v>
          </cell>
        </row>
        <row r="18">
          <cell r="I18">
            <v>1100</v>
          </cell>
        </row>
        <row r="19">
          <cell r="I19">
            <v>1189</v>
          </cell>
        </row>
      </sheetData>
      <sheetData sheetId="5">
        <row r="10">
          <cell r="W10">
            <v>14.1</v>
          </cell>
          <cell r="AC10">
            <v>11.2</v>
          </cell>
          <cell r="AE10">
            <v>1.3</v>
          </cell>
          <cell r="AF10">
            <v>0.9</v>
          </cell>
          <cell r="AG10">
            <v>1.1000000000000001</v>
          </cell>
        </row>
        <row r="11">
          <cell r="AC11">
            <v>11.3</v>
          </cell>
          <cell r="AE11">
            <v>1.2</v>
          </cell>
          <cell r="AF11">
            <v>0.9</v>
          </cell>
          <cell r="AG11">
            <v>1.6</v>
          </cell>
        </row>
        <row r="12">
          <cell r="AC12">
            <v>11.9</v>
          </cell>
          <cell r="AE12">
            <v>1.2</v>
          </cell>
          <cell r="AF12">
            <v>1</v>
          </cell>
          <cell r="AG12">
            <v>2</v>
          </cell>
        </row>
        <row r="13">
          <cell r="AC13">
            <v>12.5</v>
          </cell>
          <cell r="AE13">
            <v>1.1000000000000001</v>
          </cell>
          <cell r="AF13">
            <v>1.1000000000000001</v>
          </cell>
          <cell r="AG13">
            <v>2.5</v>
          </cell>
        </row>
        <row r="14">
          <cell r="AC14">
            <v>13.3</v>
          </cell>
          <cell r="AE14">
            <v>1</v>
          </cell>
          <cell r="AF14">
            <v>1.2</v>
          </cell>
          <cell r="AG14">
            <v>2.9</v>
          </cell>
        </row>
        <row r="15">
          <cell r="AC15">
            <v>13.8</v>
          </cell>
          <cell r="AE15">
            <v>1</v>
          </cell>
          <cell r="AF15">
            <v>1.3</v>
          </cell>
          <cell r="AG15">
            <v>3</v>
          </cell>
        </row>
        <row r="16">
          <cell r="AC16">
            <v>12.8</v>
          </cell>
          <cell r="AE16">
            <v>1</v>
          </cell>
          <cell r="AF16">
            <v>1.5</v>
          </cell>
          <cell r="AG16">
            <v>2.7</v>
          </cell>
        </row>
        <row r="17">
          <cell r="AC17">
            <v>14.7</v>
          </cell>
          <cell r="AE17">
            <v>0.9</v>
          </cell>
          <cell r="AF17">
            <v>1.6</v>
          </cell>
          <cell r="AG17">
            <v>2.7</v>
          </cell>
        </row>
        <row r="18">
          <cell r="AC18">
            <v>16</v>
          </cell>
          <cell r="AE18">
            <v>0.8</v>
          </cell>
          <cell r="AF18">
            <v>1.7</v>
          </cell>
          <cell r="AG18">
            <v>2.8</v>
          </cell>
        </row>
        <row r="19">
          <cell r="AC19">
            <v>17.3</v>
          </cell>
          <cell r="AE19">
            <v>0.6</v>
          </cell>
          <cell r="AF19">
            <v>1.8</v>
          </cell>
          <cell r="AG19">
            <v>3</v>
          </cell>
        </row>
      </sheetData>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D10">
            <v>2</v>
          </cell>
          <cell r="K10">
            <v>3.61</v>
          </cell>
          <cell r="L10">
            <v>11.29</v>
          </cell>
          <cell r="M10">
            <v>34.4</v>
          </cell>
          <cell r="P10">
            <v>4.8</v>
          </cell>
        </row>
        <row r="11">
          <cell r="K11">
            <v>3.4</v>
          </cell>
          <cell r="L11">
            <v>10.09</v>
          </cell>
          <cell r="M11">
            <v>33.9</v>
          </cell>
          <cell r="P11">
            <v>5.69</v>
          </cell>
        </row>
        <row r="12">
          <cell r="K12">
            <v>3.57</v>
          </cell>
          <cell r="L12">
            <v>10.7</v>
          </cell>
          <cell r="M12">
            <v>34.5</v>
          </cell>
          <cell r="P12">
            <v>5.0200000000000005</v>
          </cell>
        </row>
        <row r="13">
          <cell r="K13">
            <v>3.55</v>
          </cell>
          <cell r="L13">
            <v>10.32</v>
          </cell>
          <cell r="M13">
            <v>34.4</v>
          </cell>
          <cell r="P13">
            <v>5.05</v>
          </cell>
        </row>
        <row r="14">
          <cell r="K14">
            <v>3.55</v>
          </cell>
          <cell r="L14">
            <v>10</v>
          </cell>
          <cell r="M14">
            <v>34.4</v>
          </cell>
          <cell r="P14">
            <v>5.32</v>
          </cell>
        </row>
        <row r="15">
          <cell r="K15">
            <v>3.59</v>
          </cell>
          <cell r="L15">
            <v>10.7</v>
          </cell>
          <cell r="M15">
            <v>36.5</v>
          </cell>
          <cell r="P15">
            <v>5.56</v>
          </cell>
        </row>
        <row r="16">
          <cell r="K16">
            <v>3.61</v>
          </cell>
          <cell r="L16">
            <v>11.54</v>
          </cell>
          <cell r="M16">
            <v>37.979999999999997</v>
          </cell>
          <cell r="P16">
            <v>5.74</v>
          </cell>
        </row>
        <row r="17">
          <cell r="K17">
            <v>3.6</v>
          </cell>
          <cell r="L17">
            <v>11.97</v>
          </cell>
          <cell r="M17">
            <v>38.700000000000003</v>
          </cell>
          <cell r="P17">
            <v>5.7799999999999994</v>
          </cell>
        </row>
        <row r="18">
          <cell r="K18">
            <v>3.27</v>
          </cell>
          <cell r="L18">
            <v>11.82</v>
          </cell>
          <cell r="M18">
            <v>35.6</v>
          </cell>
          <cell r="P18">
            <v>5.7700000000000005</v>
          </cell>
        </row>
        <row r="19">
          <cell r="K19">
            <v>3.45</v>
          </cell>
          <cell r="L19">
            <v>11.99</v>
          </cell>
          <cell r="M19">
            <v>37.299999999999997</v>
          </cell>
          <cell r="P19">
            <v>6.01</v>
          </cell>
        </row>
        <row r="20">
          <cell r="K20">
            <v>3.49</v>
          </cell>
          <cell r="L20">
            <v>12.2</v>
          </cell>
          <cell r="M20">
            <v>36.82</v>
          </cell>
          <cell r="P20">
            <v>6.04</v>
          </cell>
        </row>
        <row r="21">
          <cell r="K21">
            <v>3.38</v>
          </cell>
          <cell r="L21">
            <v>12.61</v>
          </cell>
          <cell r="M21">
            <v>39.71</v>
          </cell>
          <cell r="P21">
            <v>6.3</v>
          </cell>
        </row>
        <row r="22">
          <cell r="K22">
            <v>3.01</v>
          </cell>
          <cell r="L22">
            <v>13.12</v>
          </cell>
          <cell r="M22">
            <v>41.6</v>
          </cell>
          <cell r="P22">
            <v>6.52</v>
          </cell>
        </row>
        <row r="23">
          <cell r="K23">
            <v>3.24</v>
          </cell>
          <cell r="L23">
            <v>13.29</v>
          </cell>
          <cell r="M23">
            <v>42.4</v>
          </cell>
          <cell r="P23">
            <v>6.76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UseTOT1"/>
      <sheetName val="EndUIndTOT2"/>
      <sheetName val="EndUInd"/>
      <sheetName val="EndUISM"/>
      <sheetName val="EndUChm"/>
      <sheetName val="EndUMME"/>
      <sheetName val="EndUFBT"/>
      <sheetName val="EndUPPP"/>
      <sheetName val="EndUOTH"/>
      <sheetName val="FuelUInd"/>
      <sheetName val="Table 1.8"/>
      <sheetName val="Sheet2"/>
      <sheetName val="Sheet3"/>
      <sheetName val="MainIndTOT"/>
      <sheetName val="FuelUseInd01"/>
      <sheetName val="Prices1"/>
      <sheetName val="Price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0">
          <cell r="BW20">
            <v>15341.645783309999</v>
          </cell>
        </row>
        <row r="21">
          <cell r="BW21">
            <v>15854.883481304998</v>
          </cell>
        </row>
        <row r="22">
          <cell r="BW22">
            <v>17089.42821432</v>
          </cell>
        </row>
        <row r="23">
          <cell r="BW23">
            <v>17542.556992729998</v>
          </cell>
        </row>
        <row r="24">
          <cell r="BW24">
            <v>17718.259988440001</v>
          </cell>
        </row>
        <row r="25">
          <cell r="BW25">
            <v>18074.289742904999</v>
          </cell>
        </row>
        <row r="26">
          <cell r="BW26">
            <v>18864.953223600001</v>
          </cell>
        </row>
        <row r="27">
          <cell r="BW27">
            <v>19059.151271489998</v>
          </cell>
        </row>
        <row r="28">
          <cell r="BW28">
            <v>16455.972677155001</v>
          </cell>
        </row>
        <row r="29">
          <cell r="BW29">
            <v>15152.071498464999</v>
          </cell>
        </row>
      </sheetData>
      <sheetData sheetId="10" refreshError="1"/>
      <sheetData sheetId="11" refreshError="1"/>
      <sheetData sheetId="12" refreshError="1"/>
      <sheetData sheetId="13" refreshError="1"/>
      <sheetData sheetId="14">
        <row r="11">
          <cell r="GM11">
            <v>11.36</v>
          </cell>
        </row>
      </sheetData>
      <sheetData sheetId="15" refreshError="1"/>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ke oven coke"/>
      <sheetName val="Coke breeze"/>
      <sheetName val="Gas Coke"/>
      <sheetName val="Other Manufact'd fuels"/>
      <sheetName val="Supply and Consumption"/>
      <sheetName val="Coke Distribution"/>
      <sheetName val="old no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S"/>
      <sheetName val="Phelps-Brown-Hoplkins"/>
      <sheetName val="Fouquet"/>
      <sheetName val="ConsExp"/>
    </sheetNames>
    <sheetDataSet>
      <sheetData sheetId="0">
        <row r="17">
          <cell r="F17">
            <v>62.420966108780931</v>
          </cell>
        </row>
        <row r="18">
          <cell r="F18">
            <v>63.027930073703132</v>
          </cell>
        </row>
        <row r="19">
          <cell r="F19">
            <v>62.489648383274798</v>
          </cell>
        </row>
        <row r="20">
          <cell r="F20">
            <v>62.528287778428528</v>
          </cell>
        </row>
        <row r="21">
          <cell r="F21">
            <v>62.905553937166715</v>
          </cell>
        </row>
        <row r="22">
          <cell r="F22">
            <v>63.920389248017116</v>
          </cell>
        </row>
        <row r="23">
          <cell r="F23">
            <v>65.204159217123589</v>
          </cell>
        </row>
        <row r="24">
          <cell r="F24">
            <v>66.89823336030976</v>
          </cell>
        </row>
        <row r="25">
          <cell r="F25">
            <v>67.628631760231499</v>
          </cell>
        </row>
        <row r="26">
          <cell r="F26">
            <v>70.801780004934258</v>
          </cell>
        </row>
        <row r="27">
          <cell r="F27">
            <v>72.696340668809839</v>
          </cell>
        </row>
        <row r="28">
          <cell r="F28">
            <v>74.117985584184339</v>
          </cell>
        </row>
        <row r="29">
          <cell r="F29">
            <v>74.492228413802181</v>
          </cell>
        </row>
        <row r="30">
          <cell r="F30">
            <v>75.550510502877927</v>
          </cell>
        </row>
        <row r="31">
          <cell r="F31">
            <v>77.666989002153912</v>
          </cell>
        </row>
        <row r="32">
          <cell r="F32">
            <v>79.102473154571754</v>
          </cell>
        </row>
        <row r="33">
          <cell r="F33">
            <v>81.063221359811322</v>
          </cell>
        </row>
        <row r="34">
          <cell r="F34">
            <v>81.000122221475934</v>
          </cell>
        </row>
        <row r="35">
          <cell r="F35">
            <v>80.962610152888331</v>
          </cell>
        </row>
        <row r="36">
          <cell r="F36">
            <v>82.242859965794253</v>
          </cell>
        </row>
        <row r="37">
          <cell r="F37">
            <v>82.508410148256146</v>
          </cell>
        </row>
        <row r="38">
          <cell r="F38">
            <v>84.852312958994631</v>
          </cell>
        </row>
        <row r="39">
          <cell r="F39">
            <v>82.885098446366001</v>
          </cell>
        </row>
        <row r="40">
          <cell r="F40">
            <v>82.353120505283741</v>
          </cell>
        </row>
        <row r="41">
          <cell r="F41">
            <v>83.10321817656056</v>
          </cell>
        </row>
        <row r="42">
          <cell r="F42">
            <v>83.650328030134034</v>
          </cell>
        </row>
        <row r="43">
          <cell r="F43">
            <v>78.785535120122745</v>
          </cell>
        </row>
        <row r="44">
          <cell r="F44">
            <v>79.516979225806011</v>
          </cell>
        </row>
        <row r="45">
          <cell r="F45">
            <v>85.214884528177663</v>
          </cell>
        </row>
        <row r="46">
          <cell r="F46">
            <v>90.486508463741345</v>
          </cell>
        </row>
        <row r="47">
          <cell r="F47">
            <v>90.488523080132722</v>
          </cell>
        </row>
        <row r="48">
          <cell r="F48">
            <v>89.999494433796329</v>
          </cell>
        </row>
        <row r="49">
          <cell r="F49">
            <v>87.35591094540797</v>
          </cell>
        </row>
        <row r="50">
          <cell r="F50">
            <v>92.572161879041943</v>
          </cell>
        </row>
        <row r="51">
          <cell r="F51">
            <v>100.40890960786875</v>
          </cell>
        </row>
        <row r="52">
          <cell r="F52">
            <v>105.41488009225746</v>
          </cell>
        </row>
        <row r="53">
          <cell r="F53">
            <v>108.24982409747292</v>
          </cell>
        </row>
        <row r="54">
          <cell r="F54">
            <v>106.0919963762933</v>
          </cell>
        </row>
        <row r="55">
          <cell r="F55">
            <v>104.30629874422567</v>
          </cell>
        </row>
        <row r="56">
          <cell r="F56">
            <v>102.20562644696057</v>
          </cell>
        </row>
        <row r="57">
          <cell r="F57">
            <v>97.252208047105</v>
          </cell>
          <cell r="G57">
            <v>96.957801766437683</v>
          </cell>
          <cell r="H57">
            <v>95.8783120706575</v>
          </cell>
          <cell r="I57">
            <v>96.56526005888125</v>
          </cell>
          <cell r="J57">
            <v>98.135426889106952</v>
          </cell>
        </row>
        <row r="58">
          <cell r="F58">
            <v>95.042095416276879</v>
          </cell>
          <cell r="G58">
            <v>93.451824134705333</v>
          </cell>
          <cell r="H58">
            <v>83.161833489242284</v>
          </cell>
          <cell r="I58">
            <v>92.703461178671645</v>
          </cell>
          <cell r="J58">
            <v>98.596819457436851</v>
          </cell>
        </row>
        <row r="59">
          <cell r="F59">
            <v>93.1423611111111</v>
          </cell>
          <cell r="G59">
            <v>88.020833333333343</v>
          </cell>
          <cell r="H59">
            <v>83.072916666666657</v>
          </cell>
          <cell r="I59">
            <v>89.670138888888886</v>
          </cell>
          <cell r="J59">
            <v>98.177083333333329</v>
          </cell>
        </row>
        <row r="60">
          <cell r="F60">
            <v>91.911181601903252</v>
          </cell>
          <cell r="G60">
            <v>83.346550356859638</v>
          </cell>
          <cell r="H60">
            <v>98.969072164948457</v>
          </cell>
          <cell r="I60">
            <v>87.549563838223648</v>
          </cell>
          <cell r="J60">
            <v>96.907216494845372</v>
          </cell>
        </row>
        <row r="61">
          <cell r="F61">
            <v>93.707865168539314</v>
          </cell>
          <cell r="G61">
            <v>83.820224719101134</v>
          </cell>
          <cell r="H61">
            <v>89.887640449438194</v>
          </cell>
          <cell r="I61">
            <v>88.464419475655433</v>
          </cell>
          <cell r="J61">
            <v>100.74906367041199</v>
          </cell>
        </row>
        <row r="62">
          <cell r="F62">
            <v>92.274368231046935</v>
          </cell>
          <cell r="G62">
            <v>83.898916967509024</v>
          </cell>
          <cell r="H62">
            <v>76.317689530685911</v>
          </cell>
          <cell r="I62">
            <v>85.054151624548737</v>
          </cell>
          <cell r="J62">
            <v>102.16606498194946</v>
          </cell>
        </row>
        <row r="63">
          <cell r="F63">
            <v>89.694385216773284</v>
          </cell>
          <cell r="G63">
            <v>83.013503909026298</v>
          </cell>
          <cell r="H63">
            <v>79.744136460554387</v>
          </cell>
          <cell r="I63">
            <v>80.52594171997157</v>
          </cell>
          <cell r="J63">
            <v>100.21321961620471</v>
          </cell>
        </row>
        <row r="64">
          <cell r="F64">
            <v>91.394864677307424</v>
          </cell>
          <cell r="G64">
            <v>86.25954198473282</v>
          </cell>
          <cell r="H64">
            <v>77.931991672449684</v>
          </cell>
          <cell r="I64">
            <v>83.344899375433727</v>
          </cell>
          <cell r="J64">
            <v>101.11034004163774</v>
          </cell>
        </row>
        <row r="65">
          <cell r="F65">
            <v>90.207914151576134</v>
          </cell>
          <cell r="G65">
            <v>84.775318578135483</v>
          </cell>
          <cell r="H65">
            <v>75.318578135479541</v>
          </cell>
          <cell r="I65">
            <v>83.299798792756548</v>
          </cell>
          <cell r="J65">
            <v>99.061032863849761</v>
          </cell>
        </row>
        <row r="66">
          <cell r="F66">
            <v>88.277668631303214</v>
          </cell>
          <cell r="G66">
            <v>83.562540929927962</v>
          </cell>
          <cell r="H66">
            <v>80.943025540275045</v>
          </cell>
          <cell r="I66">
            <v>81.401440733464312</v>
          </cell>
          <cell r="J66">
            <v>96.267190569744614</v>
          </cell>
        </row>
        <row r="67">
          <cell r="F67">
            <v>82.92063492063491</v>
          </cell>
          <cell r="G67">
            <v>81.714285714285708</v>
          </cell>
          <cell r="H67">
            <v>76.444444444444443</v>
          </cell>
          <cell r="I67">
            <v>78.158730158730151</v>
          </cell>
          <cell r="J67">
            <v>88.888888888888886</v>
          </cell>
        </row>
        <row r="68">
          <cell r="F68">
            <v>76.734192756292202</v>
          </cell>
          <cell r="G68">
            <v>79.742173112338861</v>
          </cell>
          <cell r="H68">
            <v>61.939840392879063</v>
          </cell>
          <cell r="I68">
            <v>72.989564149785153</v>
          </cell>
          <cell r="J68">
            <v>82.013505217925101</v>
          </cell>
        </row>
        <row r="69">
          <cell r="F69">
            <v>75.211608222490938</v>
          </cell>
          <cell r="G69">
            <v>80.108827085852468</v>
          </cell>
          <cell r="H69">
            <v>68.258766626360341</v>
          </cell>
          <cell r="I69">
            <v>71.463119709794427</v>
          </cell>
          <cell r="J69">
            <v>79.746070133010889</v>
          </cell>
        </row>
        <row r="70">
          <cell r="F70">
            <v>72.753963593658241</v>
          </cell>
          <cell r="G70">
            <v>79.095713446858468</v>
          </cell>
          <cell r="H70">
            <v>92.953611274221956</v>
          </cell>
          <cell r="I70">
            <v>67.704051673517313</v>
          </cell>
          <cell r="J70">
            <v>75.866118614210208</v>
          </cell>
        </row>
        <row r="71">
          <cell r="F71">
            <v>72.071552221581072</v>
          </cell>
          <cell r="G71">
            <v>81.41950375072129</v>
          </cell>
          <cell r="H71">
            <v>88.920946335833804</v>
          </cell>
          <cell r="I71">
            <v>68.320830929024808</v>
          </cell>
          <cell r="J71">
            <v>73.860357761107892</v>
          </cell>
        </row>
        <row r="72">
          <cell r="F72">
            <v>73.098751418842227</v>
          </cell>
          <cell r="G72">
            <v>84.222474460839962</v>
          </cell>
          <cell r="H72">
            <v>82.519863791146435</v>
          </cell>
          <cell r="I72">
            <v>71.452894438138486</v>
          </cell>
          <cell r="J72">
            <v>73.04199772985244</v>
          </cell>
        </row>
        <row r="73">
          <cell r="F73">
            <v>72.476558190843903</v>
          </cell>
          <cell r="G73">
            <v>83.618312189740749</v>
          </cell>
          <cell r="H73">
            <v>88.913403199117468</v>
          </cell>
          <cell r="I73">
            <v>70.711527854384983</v>
          </cell>
          <cell r="J73">
            <v>71.704357418643127</v>
          </cell>
        </row>
        <row r="74">
          <cell r="F74">
            <v>75.361542581681846</v>
          </cell>
          <cell r="G74">
            <v>85.377611140867714</v>
          </cell>
          <cell r="H74">
            <v>98.232458489555441</v>
          </cell>
          <cell r="I74">
            <v>73.701124799143017</v>
          </cell>
          <cell r="J74">
            <v>73.754686663095868</v>
          </cell>
        </row>
        <row r="75">
          <cell r="F75">
            <v>83.229166666666686</v>
          </cell>
          <cell r="G75">
            <v>91.458333333333329</v>
          </cell>
          <cell r="H75">
            <v>122.55208333333334</v>
          </cell>
          <cell r="I75">
            <v>82.239583333333329</v>
          </cell>
          <cell r="J75">
            <v>79.375</v>
          </cell>
        </row>
        <row r="76">
          <cell r="F76">
            <v>100.5047955577991</v>
          </cell>
          <cell r="G76">
            <v>95.305401312468462</v>
          </cell>
          <cell r="H76">
            <v>134.47753659767793</v>
          </cell>
          <cell r="I76">
            <v>105.09843513377082</v>
          </cell>
          <cell r="J76">
            <v>93.589096415951545</v>
          </cell>
        </row>
        <row r="77">
          <cell r="F77">
            <v>103.19457889641821</v>
          </cell>
          <cell r="G77">
            <v>97.918683446273008</v>
          </cell>
          <cell r="H77">
            <v>130.05808325266216</v>
          </cell>
          <cell r="I77">
            <v>108.567279767667</v>
          </cell>
          <cell r="J77">
            <v>96.950629235237187</v>
          </cell>
        </row>
        <row r="78">
          <cell r="F78">
            <v>118.0633147113594</v>
          </cell>
          <cell r="G78">
            <v>112.15083798882681</v>
          </cell>
          <cell r="H78">
            <v>180.58659217877093</v>
          </cell>
          <cell r="I78">
            <v>125.04655493482308</v>
          </cell>
          <cell r="J78">
            <v>107.77467411545622</v>
          </cell>
        </row>
        <row r="79">
          <cell r="F79">
            <v>126.06457650912495</v>
          </cell>
          <cell r="G79">
            <v>132.47543284978946</v>
          </cell>
          <cell r="H79">
            <v>139.16705662143193</v>
          </cell>
          <cell r="I79">
            <v>142.95741693963501</v>
          </cell>
          <cell r="J79">
            <v>113.24286382779599</v>
          </cell>
        </row>
        <row r="80">
          <cell r="F80">
            <v>117.21824686940967</v>
          </cell>
          <cell r="G80">
            <v>126.65474060822899</v>
          </cell>
          <cell r="H80">
            <v>169.58855098389984</v>
          </cell>
          <cell r="I80">
            <v>128.53309481216456</v>
          </cell>
          <cell r="J80">
            <v>105.54561717352415</v>
          </cell>
        </row>
        <row r="81">
          <cell r="F81">
            <v>123.25680272108841</v>
          </cell>
          <cell r="G81">
            <v>126.27551020408163</v>
          </cell>
          <cell r="H81">
            <v>201.48809523809524</v>
          </cell>
          <cell r="I81">
            <v>135.20408163265307</v>
          </cell>
          <cell r="J81">
            <v>107.61054421768708</v>
          </cell>
        </row>
        <row r="82">
          <cell r="F82">
            <v>128.5125669550886</v>
          </cell>
          <cell r="G82">
            <v>126.69962917181708</v>
          </cell>
          <cell r="H82">
            <v>200.45323444581791</v>
          </cell>
          <cell r="I82">
            <v>144.95261639884635</v>
          </cell>
          <cell r="J82">
            <v>110.21837659662135</v>
          </cell>
        </row>
        <row r="83">
          <cell r="F83">
            <v>133.42662934826069</v>
          </cell>
          <cell r="G83">
            <v>124.750099960016</v>
          </cell>
          <cell r="H83">
            <v>195.1219512195122</v>
          </cell>
          <cell r="I83">
            <v>151.73930427828867</v>
          </cell>
          <cell r="J83">
            <v>114.83406637345061</v>
          </cell>
        </row>
        <row r="84">
          <cell r="F84">
            <v>135.5859375</v>
          </cell>
          <cell r="G84">
            <v>125.35156249999999</v>
          </cell>
          <cell r="H84">
            <v>173.7890625</v>
          </cell>
          <cell r="I84">
            <v>155.234375</v>
          </cell>
          <cell r="J84">
            <v>118.39843750000001</v>
          </cell>
        </row>
        <row r="85">
          <cell r="F85">
            <v>128.70406189555126</v>
          </cell>
          <cell r="G85">
            <v>124.37137330754354</v>
          </cell>
          <cell r="H85">
            <v>128.39458413926499</v>
          </cell>
          <cell r="I85">
            <v>146.7311411992263</v>
          </cell>
          <cell r="J85">
            <v>116.86653771760156</v>
          </cell>
        </row>
        <row r="86">
          <cell r="F86">
            <v>122.80501710376284</v>
          </cell>
          <cell r="G86">
            <v>121.9688331432915</v>
          </cell>
          <cell r="H86">
            <v>116.49562903838844</v>
          </cell>
          <cell r="I86">
            <v>135.5378183200304</v>
          </cell>
          <cell r="J86">
            <v>114.55720258456859</v>
          </cell>
        </row>
        <row r="87">
          <cell r="F87">
            <v>123.63302752293576</v>
          </cell>
          <cell r="G87">
            <v>120.44036697247707</v>
          </cell>
          <cell r="H87">
            <v>137.87155963302752</v>
          </cell>
          <cell r="I87">
            <v>129.17431192660553</v>
          </cell>
          <cell r="J87">
            <v>118.05504587155964</v>
          </cell>
        </row>
        <row r="88">
          <cell r="F88">
            <v>128.05397727272728</v>
          </cell>
          <cell r="G88">
            <v>118.60795454545455</v>
          </cell>
          <cell r="H88">
            <v>162.89062499999997</v>
          </cell>
          <cell r="I88">
            <v>129.61647727272728</v>
          </cell>
          <cell r="J88">
            <v>124.11221590909089</v>
          </cell>
          <cell r="P88">
            <v>360.6</v>
          </cell>
          <cell r="Z88">
            <v>281.60000000000002</v>
          </cell>
        </row>
        <row r="89">
          <cell r="F89">
            <v>129.22437673130193</v>
          </cell>
          <cell r="G89">
            <v>119.8753462603878</v>
          </cell>
          <cell r="H89">
            <v>157.20221606648198</v>
          </cell>
          <cell r="I89">
            <v>125.6578947368421</v>
          </cell>
          <cell r="J89">
            <v>129.77839335180056</v>
          </cell>
          <cell r="P89">
            <v>373.2</v>
          </cell>
          <cell r="Z89">
            <v>288.8</v>
          </cell>
        </row>
        <row r="792">
          <cell r="P792">
            <v>152.80000000000001</v>
          </cell>
          <cell r="Z792">
            <v>188.9</v>
          </cell>
        </row>
        <row r="793">
          <cell r="P793">
            <v>153.69999999999999</v>
          </cell>
          <cell r="Z793">
            <v>189.6</v>
          </cell>
        </row>
        <row r="794">
          <cell r="P794">
            <v>155.4</v>
          </cell>
          <cell r="Z794">
            <v>190.5</v>
          </cell>
        </row>
        <row r="795">
          <cell r="P795">
            <v>156.30000000000001</v>
          </cell>
          <cell r="Z795">
            <v>191.6</v>
          </cell>
        </row>
        <row r="796">
          <cell r="P796">
            <v>156.19999999999999</v>
          </cell>
          <cell r="Z796">
            <v>192</v>
          </cell>
        </row>
        <row r="797">
          <cell r="P797">
            <v>157.4</v>
          </cell>
          <cell r="Z797">
            <v>192.2</v>
          </cell>
        </row>
        <row r="798">
          <cell r="P798">
            <v>158.19999999999999</v>
          </cell>
          <cell r="Z798">
            <v>192.2</v>
          </cell>
        </row>
        <row r="799">
          <cell r="P799">
            <v>159.1</v>
          </cell>
          <cell r="Z799">
            <v>192.6</v>
          </cell>
        </row>
        <row r="800">
          <cell r="P800">
            <v>161.19999999999999</v>
          </cell>
          <cell r="Z800">
            <v>193.1</v>
          </cell>
        </row>
        <row r="801">
          <cell r="P801">
            <v>166</v>
          </cell>
          <cell r="Z801">
            <v>193.3</v>
          </cell>
        </row>
        <row r="802">
          <cell r="P802">
            <v>169.1</v>
          </cell>
          <cell r="Z802">
            <v>193.6</v>
          </cell>
        </row>
        <row r="803">
          <cell r="P803">
            <v>171.7</v>
          </cell>
          <cell r="Z803">
            <v>194.1</v>
          </cell>
        </row>
        <row r="804">
          <cell r="P804">
            <v>173.3</v>
          </cell>
          <cell r="Z804">
            <v>193.4</v>
          </cell>
        </row>
        <row r="805">
          <cell r="P805">
            <v>174.9</v>
          </cell>
          <cell r="Z805">
            <v>194.2</v>
          </cell>
        </row>
        <row r="806">
          <cell r="P806">
            <v>179.5</v>
          </cell>
          <cell r="Z806">
            <v>195</v>
          </cell>
        </row>
        <row r="807">
          <cell r="P807">
            <v>188.4</v>
          </cell>
          <cell r="Z807">
            <v>196.5</v>
          </cell>
        </row>
        <row r="808">
          <cell r="P808">
            <v>197.2</v>
          </cell>
          <cell r="Z808">
            <v>197.7</v>
          </cell>
        </row>
        <row r="809">
          <cell r="P809">
            <v>201.8</v>
          </cell>
          <cell r="Z809">
            <v>198.5</v>
          </cell>
        </row>
        <row r="810">
          <cell r="P810">
            <v>204.1</v>
          </cell>
          <cell r="Z810">
            <v>198.5</v>
          </cell>
        </row>
        <row r="811">
          <cell r="P811">
            <v>205.6</v>
          </cell>
          <cell r="Z811">
            <v>199.2</v>
          </cell>
        </row>
        <row r="812">
          <cell r="P812">
            <v>208.2</v>
          </cell>
          <cell r="Z812">
            <v>200.1</v>
          </cell>
        </row>
        <row r="813">
          <cell r="P813">
            <v>214.5</v>
          </cell>
          <cell r="Z813">
            <v>200.4</v>
          </cell>
        </row>
        <row r="814">
          <cell r="P814">
            <v>219</v>
          </cell>
          <cell r="Z814">
            <v>201.1</v>
          </cell>
        </row>
        <row r="815">
          <cell r="P815">
            <v>222.7</v>
          </cell>
          <cell r="Z815">
            <v>202.7</v>
          </cell>
        </row>
        <row r="816">
          <cell r="P816">
            <v>222.6</v>
          </cell>
          <cell r="Z816">
            <v>201.6</v>
          </cell>
        </row>
        <row r="817">
          <cell r="P817">
            <v>223.6</v>
          </cell>
          <cell r="Z817">
            <v>203.1</v>
          </cell>
        </row>
        <row r="818">
          <cell r="P818">
            <v>223.1</v>
          </cell>
          <cell r="Z818">
            <v>204.4</v>
          </cell>
        </row>
        <row r="819">
          <cell r="P819">
            <v>219.7</v>
          </cell>
          <cell r="Z819">
            <v>205.4</v>
          </cell>
        </row>
        <row r="820">
          <cell r="P820">
            <v>215.1</v>
          </cell>
          <cell r="Z820">
            <v>206.2</v>
          </cell>
        </row>
        <row r="821">
          <cell r="P821">
            <v>211.2</v>
          </cell>
          <cell r="Z821">
            <v>207.3</v>
          </cell>
        </row>
        <row r="822">
          <cell r="P822">
            <v>208.2</v>
          </cell>
          <cell r="Z822">
            <v>206.1</v>
          </cell>
        </row>
        <row r="823">
          <cell r="P823">
            <v>206.2</v>
          </cell>
          <cell r="Z823">
            <v>207.3</v>
          </cell>
        </row>
        <row r="824">
          <cell r="P824">
            <v>206.1</v>
          </cell>
          <cell r="Z824">
            <v>208</v>
          </cell>
        </row>
        <row r="825">
          <cell r="P825">
            <v>206.3</v>
          </cell>
          <cell r="Z825">
            <v>208.9</v>
          </cell>
        </row>
        <row r="826">
          <cell r="P826">
            <v>208.1</v>
          </cell>
          <cell r="Z826">
            <v>209.7</v>
          </cell>
        </row>
        <row r="827">
          <cell r="P827">
            <v>208.3</v>
          </cell>
          <cell r="Z827">
            <v>210.9</v>
          </cell>
        </row>
        <row r="828">
          <cell r="P828">
            <v>209.7</v>
          </cell>
          <cell r="Z828">
            <v>209.8</v>
          </cell>
        </row>
        <row r="829">
          <cell r="P829">
            <v>231.4</v>
          </cell>
          <cell r="Z829">
            <v>211.4</v>
          </cell>
        </row>
        <row r="830">
          <cell r="P830">
            <v>233.6</v>
          </cell>
          <cell r="Z830">
            <v>212.1</v>
          </cell>
        </row>
        <row r="831">
          <cell r="P831">
            <v>239.8</v>
          </cell>
          <cell r="Z831">
            <v>214</v>
          </cell>
        </row>
        <row r="832">
          <cell r="P832">
            <v>241.6</v>
          </cell>
          <cell r="Z832">
            <v>215.1</v>
          </cell>
        </row>
        <row r="833">
          <cell r="P833">
            <v>242.6</v>
          </cell>
          <cell r="Z833">
            <v>216.8</v>
          </cell>
        </row>
        <row r="834">
          <cell r="P834">
            <v>244.1</v>
          </cell>
          <cell r="Z834">
            <v>216.5</v>
          </cell>
        </row>
        <row r="835">
          <cell r="P835">
            <v>256.89999999999998</v>
          </cell>
          <cell r="Z835">
            <v>217.2</v>
          </cell>
        </row>
        <row r="836">
          <cell r="P836">
            <v>287.7</v>
          </cell>
          <cell r="Z836">
            <v>218.4</v>
          </cell>
        </row>
        <row r="837">
          <cell r="P837">
            <v>286.8</v>
          </cell>
          <cell r="Z837">
            <v>217.7</v>
          </cell>
        </row>
        <row r="838">
          <cell r="P838">
            <v>285.5</v>
          </cell>
          <cell r="Z838">
            <v>216</v>
          </cell>
        </row>
        <row r="839">
          <cell r="P839">
            <v>283.89999999999998</v>
          </cell>
          <cell r="Z839">
            <v>212.9</v>
          </cell>
        </row>
        <row r="840">
          <cell r="P840">
            <v>283.39999999999998</v>
          </cell>
          <cell r="Z840">
            <v>210.1</v>
          </cell>
        </row>
        <row r="841">
          <cell r="P841">
            <v>282.89999999999998</v>
          </cell>
          <cell r="Z841">
            <v>211.4</v>
          </cell>
        </row>
        <row r="842">
          <cell r="P842">
            <v>275.5</v>
          </cell>
          <cell r="Z842">
            <v>211.3</v>
          </cell>
        </row>
        <row r="843">
          <cell r="P843">
            <v>267.89999999999998</v>
          </cell>
          <cell r="Z843">
            <v>211.5</v>
          </cell>
        </row>
        <row r="844">
          <cell r="P844">
            <v>265.10000000000002</v>
          </cell>
          <cell r="Z844">
            <v>212.8</v>
          </cell>
        </row>
        <row r="845">
          <cell r="P845">
            <v>266</v>
          </cell>
          <cell r="Z845">
            <v>213.4</v>
          </cell>
        </row>
        <row r="846">
          <cell r="P846">
            <v>264.39999999999998</v>
          </cell>
          <cell r="Z846">
            <v>213.4</v>
          </cell>
        </row>
        <row r="847">
          <cell r="P847">
            <v>265.39999999999998</v>
          </cell>
          <cell r="Z847">
            <v>214.4</v>
          </cell>
        </row>
        <row r="848">
          <cell r="P848">
            <v>265.10000000000002</v>
          </cell>
          <cell r="Z848">
            <v>215.3</v>
          </cell>
        </row>
        <row r="849">
          <cell r="P849">
            <v>265.2</v>
          </cell>
          <cell r="Z849">
            <v>216</v>
          </cell>
        </row>
        <row r="850">
          <cell r="P850">
            <v>265.60000000000002</v>
          </cell>
          <cell r="Z850">
            <v>216.6</v>
          </cell>
        </row>
        <row r="851">
          <cell r="P851">
            <v>265.8</v>
          </cell>
          <cell r="Z851">
            <v>218</v>
          </cell>
        </row>
        <row r="852">
          <cell r="P852">
            <v>268.10000000000002</v>
          </cell>
          <cell r="Z852">
            <v>217.9</v>
          </cell>
        </row>
        <row r="853">
          <cell r="P853">
            <v>261.89999999999998</v>
          </cell>
          <cell r="Z853">
            <v>219.2</v>
          </cell>
        </row>
        <row r="854">
          <cell r="P854">
            <v>263.3</v>
          </cell>
          <cell r="Z854">
            <v>220.7</v>
          </cell>
        </row>
        <row r="855">
          <cell r="P855">
            <v>260.5</v>
          </cell>
          <cell r="Z855">
            <v>222.8</v>
          </cell>
        </row>
        <row r="856">
          <cell r="P856">
            <v>260.39999999999998</v>
          </cell>
          <cell r="Z856">
            <v>223.6</v>
          </cell>
        </row>
        <row r="857">
          <cell r="P857">
            <v>259.5</v>
          </cell>
          <cell r="Z857">
            <v>224.1</v>
          </cell>
        </row>
        <row r="858">
          <cell r="P858">
            <v>259.10000000000002</v>
          </cell>
          <cell r="Z858">
            <v>223.6</v>
          </cell>
        </row>
        <row r="859">
          <cell r="P859">
            <v>259.10000000000002</v>
          </cell>
          <cell r="Z859">
            <v>224.5</v>
          </cell>
        </row>
        <row r="860">
          <cell r="P860">
            <v>259.10000000000002</v>
          </cell>
          <cell r="Z860">
            <v>225.3</v>
          </cell>
        </row>
        <row r="861">
          <cell r="P861">
            <v>259.8</v>
          </cell>
          <cell r="Z861">
            <v>225.8</v>
          </cell>
        </row>
        <row r="862">
          <cell r="P862">
            <v>260.60000000000002</v>
          </cell>
          <cell r="Z862">
            <v>226.8</v>
          </cell>
        </row>
        <row r="863">
          <cell r="P863">
            <v>273.2</v>
          </cell>
          <cell r="Z863">
            <v>228.4</v>
          </cell>
        </row>
        <row r="864">
          <cell r="P864">
            <v>274.60000000000002</v>
          </cell>
          <cell r="Z864">
            <v>229</v>
          </cell>
        </row>
        <row r="865">
          <cell r="P865">
            <v>276.39999999999998</v>
          </cell>
          <cell r="Z865">
            <v>231.3</v>
          </cell>
        </row>
        <row r="866">
          <cell r="P866">
            <v>279.3</v>
          </cell>
          <cell r="Z866">
            <v>232.5</v>
          </cell>
        </row>
        <row r="867">
          <cell r="P867">
            <v>280</v>
          </cell>
          <cell r="Z867">
            <v>234.4</v>
          </cell>
        </row>
        <row r="868">
          <cell r="P868">
            <v>278.5</v>
          </cell>
          <cell r="Z868">
            <v>235.2</v>
          </cell>
        </row>
        <row r="869">
          <cell r="P869">
            <v>279</v>
          </cell>
          <cell r="Z869">
            <v>235.2</v>
          </cell>
        </row>
        <row r="870">
          <cell r="P870">
            <v>278.39999999999998</v>
          </cell>
          <cell r="Z870">
            <v>234.7</v>
          </cell>
        </row>
        <row r="871">
          <cell r="P871">
            <v>281.3</v>
          </cell>
          <cell r="Z871">
            <v>236.1</v>
          </cell>
        </row>
        <row r="872">
          <cell r="P872">
            <v>307.89999999999998</v>
          </cell>
          <cell r="Z872">
            <v>237.9</v>
          </cell>
        </row>
        <row r="873">
          <cell r="P873">
            <v>312.3</v>
          </cell>
          <cell r="Z873">
            <v>238</v>
          </cell>
        </row>
        <row r="874">
          <cell r="P874">
            <v>315.5</v>
          </cell>
          <cell r="Z874">
            <v>238.5</v>
          </cell>
        </row>
        <row r="875">
          <cell r="P875">
            <v>315.60000000000002</v>
          </cell>
          <cell r="Z875">
            <v>239.4</v>
          </cell>
        </row>
        <row r="876">
          <cell r="P876">
            <v>315.60000000000002</v>
          </cell>
          <cell r="Z876">
            <v>238</v>
          </cell>
        </row>
        <row r="877">
          <cell r="P877">
            <v>312.8</v>
          </cell>
          <cell r="Z877">
            <v>239.9</v>
          </cell>
        </row>
        <row r="878">
          <cell r="P878">
            <v>310.89999999999998</v>
          </cell>
          <cell r="Z878">
            <v>240.8</v>
          </cell>
        </row>
        <row r="879">
          <cell r="P879">
            <v>309.8</v>
          </cell>
          <cell r="Z879">
            <v>242.5</v>
          </cell>
        </row>
        <row r="880">
          <cell r="P880">
            <v>308.60000000000002</v>
          </cell>
          <cell r="Z880">
            <v>242.4</v>
          </cell>
        </row>
        <row r="881">
          <cell r="P881">
            <v>307.2</v>
          </cell>
          <cell r="Z881">
            <v>241.8</v>
          </cell>
        </row>
        <row r="882">
          <cell r="P882">
            <v>307.60000000000002</v>
          </cell>
          <cell r="Z882">
            <v>242.1</v>
          </cell>
        </row>
        <row r="883">
          <cell r="P883">
            <v>308.7</v>
          </cell>
          <cell r="Z883">
            <v>243</v>
          </cell>
        </row>
        <row r="884">
          <cell r="P884">
            <v>309.2</v>
          </cell>
          <cell r="Z884">
            <v>244.2</v>
          </cell>
        </row>
        <row r="885">
          <cell r="P885">
            <v>308.8</v>
          </cell>
          <cell r="Z885">
            <v>245.6</v>
          </cell>
        </row>
        <row r="886">
          <cell r="P886">
            <v>313.7</v>
          </cell>
          <cell r="Z886">
            <v>245.6</v>
          </cell>
        </row>
        <row r="887">
          <cell r="P887">
            <v>329.6</v>
          </cell>
          <cell r="Z887">
            <v>246.8</v>
          </cell>
        </row>
        <row r="888">
          <cell r="P888">
            <v>329.2</v>
          </cell>
          <cell r="Z888">
            <v>245.8</v>
          </cell>
        </row>
        <row r="889">
          <cell r="P889">
            <v>333.7</v>
          </cell>
          <cell r="Z889">
            <v>247.6</v>
          </cell>
        </row>
        <row r="890">
          <cell r="P890">
            <v>333.4</v>
          </cell>
          <cell r="Z890">
            <v>248.7</v>
          </cell>
        </row>
        <row r="891">
          <cell r="P891">
            <v>332.3</v>
          </cell>
          <cell r="Z891">
            <v>249.5</v>
          </cell>
        </row>
        <row r="892">
          <cell r="P892">
            <v>331.1</v>
          </cell>
          <cell r="Z892">
            <v>250</v>
          </cell>
        </row>
        <row r="893">
          <cell r="P893">
            <v>331</v>
          </cell>
          <cell r="Z893">
            <v>249.7</v>
          </cell>
        </row>
        <row r="894">
          <cell r="P894">
            <v>332.1</v>
          </cell>
          <cell r="Z894">
            <v>249.7</v>
          </cell>
        </row>
        <row r="895">
          <cell r="P895">
            <v>332.1</v>
          </cell>
          <cell r="Z895">
            <v>251</v>
          </cell>
        </row>
        <row r="896">
          <cell r="P896">
            <v>332.6</v>
          </cell>
          <cell r="Z896">
            <v>251.9</v>
          </cell>
        </row>
        <row r="897">
          <cell r="P897">
            <v>332.1</v>
          </cell>
          <cell r="Z897">
            <v>251.9</v>
          </cell>
        </row>
        <row r="898">
          <cell r="P898">
            <v>331.9</v>
          </cell>
          <cell r="Z898">
            <v>252.1</v>
          </cell>
        </row>
        <row r="899">
          <cell r="P899">
            <v>352.6</v>
          </cell>
          <cell r="Z899">
            <v>253.4</v>
          </cell>
        </row>
        <row r="900">
          <cell r="P900">
            <v>350.3</v>
          </cell>
          <cell r="Z900">
            <v>252.6</v>
          </cell>
        </row>
        <row r="901">
          <cell r="P901">
            <v>351.1</v>
          </cell>
          <cell r="Z901">
            <v>254.2</v>
          </cell>
        </row>
        <row r="902">
          <cell r="P902">
            <v>349.4</v>
          </cell>
          <cell r="Z902">
            <v>254.8</v>
          </cell>
        </row>
        <row r="903">
          <cell r="P903">
            <v>347.3</v>
          </cell>
          <cell r="Z903">
            <v>255.7</v>
          </cell>
        </row>
        <row r="904">
          <cell r="P904">
            <v>347</v>
          </cell>
          <cell r="Z904">
            <v>255.9</v>
          </cell>
        </row>
        <row r="905">
          <cell r="P905">
            <v>346.8</v>
          </cell>
          <cell r="Z905">
            <v>256.3</v>
          </cell>
        </row>
        <row r="906">
          <cell r="P906">
            <v>346.6</v>
          </cell>
          <cell r="Z906">
            <v>256</v>
          </cell>
        </row>
        <row r="907">
          <cell r="P907">
            <v>346.6</v>
          </cell>
          <cell r="Z907">
            <v>257</v>
          </cell>
        </row>
        <row r="908">
          <cell r="P908">
            <v>346.3</v>
          </cell>
          <cell r="Z908">
            <v>257.60000000000002</v>
          </cell>
        </row>
        <row r="909">
          <cell r="P909">
            <v>345.3</v>
          </cell>
          <cell r="Z909">
            <v>257.7</v>
          </cell>
        </row>
        <row r="910">
          <cell r="P910">
            <v>345.1</v>
          </cell>
          <cell r="Z910">
            <v>257.10000000000002</v>
          </cell>
        </row>
        <row r="911">
          <cell r="P911">
            <v>343.3</v>
          </cell>
          <cell r="Z911">
            <v>257.5</v>
          </cell>
        </row>
        <row r="912">
          <cell r="P912">
            <v>340</v>
          </cell>
          <cell r="Z912">
            <v>255.4</v>
          </cell>
        </row>
        <row r="913">
          <cell r="P913">
            <v>339.6</v>
          </cell>
          <cell r="Z913">
            <v>256.7</v>
          </cell>
        </row>
        <row r="914">
          <cell r="P914">
            <v>335</v>
          </cell>
          <cell r="Z914">
            <v>257.10000000000002</v>
          </cell>
        </row>
        <row r="915">
          <cell r="P915">
            <v>334.6</v>
          </cell>
          <cell r="Z915">
            <v>258</v>
          </cell>
        </row>
        <row r="916">
          <cell r="P916">
            <v>333.6</v>
          </cell>
          <cell r="Z916">
            <v>258.5</v>
          </cell>
        </row>
        <row r="917">
          <cell r="P917">
            <v>333.3</v>
          </cell>
          <cell r="Z917">
            <v>258.89999999999998</v>
          </cell>
        </row>
        <row r="918">
          <cell r="P918">
            <v>332.7</v>
          </cell>
          <cell r="Z918">
            <v>258.60000000000002</v>
          </cell>
        </row>
        <row r="919">
          <cell r="P919">
            <v>331.4</v>
          </cell>
          <cell r="Z919">
            <v>259.8</v>
          </cell>
        </row>
        <row r="920">
          <cell r="P920">
            <v>328.3</v>
          </cell>
          <cell r="Z920">
            <v>259.60000000000002</v>
          </cell>
        </row>
        <row r="921">
          <cell r="P921">
            <v>328.4</v>
          </cell>
          <cell r="Z921">
            <v>259.5</v>
          </cell>
        </row>
        <row r="922">
          <cell r="P922">
            <v>328</v>
          </cell>
          <cell r="Z922">
            <v>259.8</v>
          </cell>
        </row>
        <row r="923">
          <cell r="P923">
            <v>327.2</v>
          </cell>
          <cell r="Z923">
            <v>260.60000000000002</v>
          </cell>
        </row>
        <row r="924">
          <cell r="P924">
            <v>326.3</v>
          </cell>
          <cell r="Z924">
            <v>258.8</v>
          </cell>
        </row>
        <row r="925">
          <cell r="P925">
            <v>324.7</v>
          </cell>
          <cell r="Z925">
            <v>260</v>
          </cell>
        </row>
        <row r="926">
          <cell r="P926">
            <v>321.89999999999998</v>
          </cell>
          <cell r="Z926">
            <v>261.10000000000002</v>
          </cell>
        </row>
        <row r="927">
          <cell r="P927">
            <v>320</v>
          </cell>
          <cell r="Z927">
            <v>261.39999999999998</v>
          </cell>
        </row>
        <row r="928">
          <cell r="P928">
            <v>320.8</v>
          </cell>
          <cell r="Z928">
            <v>262.10000000000002</v>
          </cell>
        </row>
        <row r="929">
          <cell r="P929">
            <v>322</v>
          </cell>
          <cell r="Z929">
            <v>263.10000000000002</v>
          </cell>
        </row>
        <row r="930">
          <cell r="P930">
            <v>322</v>
          </cell>
          <cell r="Z930">
            <v>263.39999999999998</v>
          </cell>
        </row>
        <row r="931">
          <cell r="P931">
            <v>321.7</v>
          </cell>
          <cell r="Z931">
            <v>264.39999999999998</v>
          </cell>
        </row>
        <row r="932">
          <cell r="P932">
            <v>322.39999999999998</v>
          </cell>
          <cell r="Z932">
            <v>264.89999999999998</v>
          </cell>
        </row>
        <row r="933">
          <cell r="P933">
            <v>324.89999999999998</v>
          </cell>
          <cell r="Z933">
            <v>264.8</v>
          </cell>
        </row>
        <row r="934">
          <cell r="P934">
            <v>324.2</v>
          </cell>
          <cell r="Z934">
            <v>265.5</v>
          </cell>
        </row>
        <row r="935">
          <cell r="P935">
            <v>325.8</v>
          </cell>
          <cell r="Z935">
            <v>267.10000000000002</v>
          </cell>
        </row>
        <row r="936">
          <cell r="P936">
            <v>326.39999999999998</v>
          </cell>
          <cell r="Z936">
            <v>265.5</v>
          </cell>
        </row>
        <row r="937">
          <cell r="P937">
            <v>326.2</v>
          </cell>
          <cell r="Z937">
            <v>268.39999999999998</v>
          </cell>
        </row>
        <row r="938">
          <cell r="P938">
            <v>327.10000000000002</v>
          </cell>
          <cell r="Z938">
            <v>269.3</v>
          </cell>
        </row>
        <row r="939">
          <cell r="P939">
            <v>330.5</v>
          </cell>
          <cell r="Z939">
            <v>270.60000000000002</v>
          </cell>
        </row>
        <row r="940">
          <cell r="P940">
            <v>337</v>
          </cell>
          <cell r="Z940">
            <v>271.7</v>
          </cell>
        </row>
        <row r="941">
          <cell r="P941">
            <v>336.8</v>
          </cell>
          <cell r="Z941">
            <v>272.3</v>
          </cell>
        </row>
        <row r="942">
          <cell r="P942">
            <v>339.6</v>
          </cell>
          <cell r="Z942">
            <v>272.89999999999998</v>
          </cell>
        </row>
        <row r="943">
          <cell r="P943">
            <v>340.1</v>
          </cell>
          <cell r="Z943">
            <v>274.7</v>
          </cell>
        </row>
        <row r="944">
          <cell r="P944">
            <v>340.6</v>
          </cell>
          <cell r="Z944">
            <v>275.10000000000002</v>
          </cell>
        </row>
        <row r="945">
          <cell r="P945">
            <v>344.9</v>
          </cell>
          <cell r="Z945">
            <v>275.3</v>
          </cell>
        </row>
        <row r="946">
          <cell r="P946">
            <v>346.2</v>
          </cell>
          <cell r="Z946">
            <v>275.8</v>
          </cell>
        </row>
        <row r="947">
          <cell r="P947">
            <v>347.3</v>
          </cell>
          <cell r="Z947">
            <v>278.10000000000002</v>
          </cell>
        </row>
        <row r="948">
          <cell r="P948">
            <v>347.7</v>
          </cell>
          <cell r="Z948">
            <v>276</v>
          </cell>
        </row>
        <row r="949">
          <cell r="P949">
            <v>347.6</v>
          </cell>
          <cell r="Z949">
            <v>278.10000000000002</v>
          </cell>
        </row>
        <row r="950">
          <cell r="P950">
            <v>348.1</v>
          </cell>
          <cell r="Z950">
            <v>278.3</v>
          </cell>
        </row>
        <row r="951">
          <cell r="P951">
            <v>350.2</v>
          </cell>
          <cell r="Z951">
            <v>279.7</v>
          </cell>
        </row>
        <row r="952">
          <cell r="P952">
            <v>350.5</v>
          </cell>
          <cell r="Z952">
            <v>280.7</v>
          </cell>
        </row>
        <row r="953">
          <cell r="P953">
            <v>358.3</v>
          </cell>
          <cell r="Z953">
            <v>281.5</v>
          </cell>
        </row>
        <row r="954">
          <cell r="P954">
            <v>363.2</v>
          </cell>
          <cell r="Z954">
            <v>281.7</v>
          </cell>
        </row>
        <row r="955">
          <cell r="P955">
            <v>363.3</v>
          </cell>
          <cell r="Z955">
            <v>284.2</v>
          </cell>
        </row>
        <row r="956">
          <cell r="P956">
            <v>369</v>
          </cell>
          <cell r="Z956">
            <v>284.10000000000002</v>
          </cell>
        </row>
        <row r="957">
          <cell r="P957">
            <v>377</v>
          </cell>
          <cell r="Z957">
            <v>284.5</v>
          </cell>
        </row>
        <row r="958">
          <cell r="P958">
            <v>376.4</v>
          </cell>
          <cell r="Z958">
            <v>284.60000000000002</v>
          </cell>
        </row>
        <row r="959">
          <cell r="P959">
            <v>376</v>
          </cell>
          <cell r="Z959">
            <v>285.60000000000002</v>
          </cell>
        </row>
        <row r="960">
          <cell r="P960">
            <v>352.6</v>
          </cell>
          <cell r="Z960">
            <v>283</v>
          </cell>
        </row>
        <row r="961">
          <cell r="P961">
            <v>353.4</v>
          </cell>
          <cell r="Z961">
            <v>285</v>
          </cell>
        </row>
        <row r="962">
          <cell r="P962">
            <v>353.6</v>
          </cell>
          <cell r="Z962">
            <v>285.10000000000002</v>
          </cell>
        </row>
        <row r="963">
          <cell r="P963">
            <v>386</v>
          </cell>
          <cell r="Z963">
            <v>288.2</v>
          </cell>
        </row>
        <row r="964">
          <cell r="P964">
            <v>386.4</v>
          </cell>
          <cell r="Z964">
            <v>289.2</v>
          </cell>
        </row>
        <row r="965">
          <cell r="P965">
            <v>385.5</v>
          </cell>
          <cell r="Z965">
            <v>289.60000000000002</v>
          </cell>
        </row>
        <row r="966">
          <cell r="P966">
            <v>385.1</v>
          </cell>
          <cell r="Z966">
            <v>289.5</v>
          </cell>
        </row>
        <row r="967">
          <cell r="P967">
            <v>385.4</v>
          </cell>
          <cell r="Z967">
            <v>291.7</v>
          </cell>
        </row>
        <row r="968">
          <cell r="P968">
            <v>385.4</v>
          </cell>
          <cell r="Z968">
            <v>291</v>
          </cell>
        </row>
        <row r="969">
          <cell r="P969">
            <v>368.6</v>
          </cell>
          <cell r="Z969">
            <v>290.39999999999998</v>
          </cell>
        </row>
        <row r="970">
          <cell r="P970">
            <v>368.1</v>
          </cell>
          <cell r="Z970">
            <v>291</v>
          </cell>
        </row>
        <row r="971">
          <cell r="P971">
            <v>368.1</v>
          </cell>
          <cell r="Z971">
            <v>291.89999999999998</v>
          </cell>
        </row>
        <row r="972">
          <cell r="P972">
            <v>368.9</v>
          </cell>
          <cell r="Z972">
            <v>290.60000000000002</v>
          </cell>
        </row>
      </sheetData>
      <sheetData sheetId="1">
        <row r="10">
          <cell r="A10">
            <v>1700</v>
          </cell>
        </row>
      </sheetData>
      <sheetData sheetId="2">
        <row r="10">
          <cell r="A10">
            <v>1300</v>
          </cell>
        </row>
      </sheetData>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RAll"/>
      <sheetName val="LR"/>
      <sheetName val="1947 to 1951"/>
      <sheetName val="1952 to 1955"/>
      <sheetName val="1956 to 1961"/>
      <sheetName val="1962 to 1973"/>
      <sheetName val="1974 to 1986"/>
      <sheetName val="1987-2004"/>
      <sheetName val="2003-2018"/>
      <sheetName val="1914 to 2018"/>
      <sheetName val="FuelPrices"/>
    </sheetNames>
    <sheetDataSet>
      <sheetData sheetId="0">
        <row r="7">
          <cell r="C7">
            <v>7.4332722644017943</v>
          </cell>
        </row>
        <row r="92">
          <cell r="C92">
            <v>7.330643258778891</v>
          </cell>
          <cell r="I92">
            <v>4.4873504457791658</v>
          </cell>
        </row>
        <row r="93">
          <cell r="C93">
            <v>7.3819577615903418</v>
          </cell>
          <cell r="I93">
            <v>4.4918377962249441</v>
          </cell>
        </row>
        <row r="94">
          <cell r="C94">
            <v>7.3379739020376684</v>
          </cell>
          <cell r="I94">
            <v>4.4873504457791658</v>
          </cell>
        </row>
        <row r="95">
          <cell r="C95">
            <v>7.3746271183315644</v>
          </cell>
          <cell r="I95">
            <v>4.6488950618272158</v>
          </cell>
        </row>
        <row r="96">
          <cell r="C96">
            <v>7.4259416211430151</v>
          </cell>
          <cell r="I96">
            <v>4.7610788229716947</v>
          </cell>
        </row>
        <row r="97">
          <cell r="C97">
            <v>7.5798851295773728</v>
          </cell>
          <cell r="I97">
            <v>4.7969776265379283</v>
          </cell>
        </row>
        <row r="98">
          <cell r="C98">
            <v>7.6018770593537095</v>
          </cell>
          <cell r="I98">
            <v>4.8059523274294866</v>
          </cell>
        </row>
        <row r="99">
          <cell r="C99">
            <v>7.6385302756476037</v>
          </cell>
          <cell r="I99">
            <v>4.9001866867908488</v>
          </cell>
        </row>
        <row r="100">
          <cell r="C100">
            <v>7.7778124975644012</v>
          </cell>
          <cell r="I100">
            <v>4.9405728408028615</v>
          </cell>
        </row>
        <row r="101">
          <cell r="C101">
            <v>7.7998044273407396</v>
          </cell>
          <cell r="I101">
            <v>4.9405728408028615</v>
          </cell>
        </row>
        <row r="102">
          <cell r="C102">
            <v>7.9097640762224231</v>
          </cell>
          <cell r="I102">
            <v>4.9226234390197448</v>
          </cell>
        </row>
        <row r="103">
          <cell r="C103">
            <v>7.902433432963643</v>
          </cell>
          <cell r="I103">
            <v>4.9450601912486407</v>
          </cell>
        </row>
        <row r="104">
          <cell r="C104">
            <v>8.0417156548804414</v>
          </cell>
          <cell r="I104">
            <v>4.9540348921401991</v>
          </cell>
        </row>
        <row r="105">
          <cell r="C105">
            <v>7.9170947194812014</v>
          </cell>
          <cell r="I105">
            <v>4.9719842939233168</v>
          </cell>
        </row>
        <row r="106">
          <cell r="C106">
            <v>7.9170947194812014</v>
          </cell>
          <cell r="I106">
            <v>4.9854463452606534</v>
          </cell>
        </row>
        <row r="107">
          <cell r="C107">
            <v>7.931756005998758</v>
          </cell>
          <cell r="I107">
            <v>4.9899336957064326</v>
          </cell>
        </row>
        <row r="108">
          <cell r="C108">
            <v>7.9464172925163163</v>
          </cell>
          <cell r="I108">
            <v>5.0258324992726662</v>
          </cell>
        </row>
        <row r="109">
          <cell r="C109">
            <v>7.968409222292653</v>
          </cell>
          <cell r="I109">
            <v>5.0258324992726662</v>
          </cell>
        </row>
        <row r="110">
          <cell r="C110">
            <v>7.9757398655514313</v>
          </cell>
          <cell r="I110">
            <v>5.1021174568509116</v>
          </cell>
        </row>
        <row r="111">
          <cell r="C111">
            <v>7.9904011520689897</v>
          </cell>
          <cell r="I111">
            <v>5.1066048072966908</v>
          </cell>
        </row>
        <row r="112">
          <cell r="C112">
            <v>8.0050624385865472</v>
          </cell>
          <cell r="I112">
            <v>5.1066048072966908</v>
          </cell>
        </row>
        <row r="113">
          <cell r="C113">
            <v>7.9830705088102123</v>
          </cell>
          <cell r="I113">
            <v>5.0168577983811069</v>
          </cell>
        </row>
        <row r="114">
          <cell r="C114">
            <v>7.9610785790338738</v>
          </cell>
          <cell r="I114">
            <v>5.0033957470437711</v>
          </cell>
        </row>
        <row r="115">
          <cell r="C115">
            <v>8.1076914442094541</v>
          </cell>
          <cell r="I115">
            <v>5.0033957470437711</v>
          </cell>
        </row>
        <row r="116">
          <cell r="C116">
            <v>8.1443446605033465</v>
          </cell>
          <cell r="I116">
            <v>5.0482692515015612</v>
          </cell>
        </row>
        <row r="117">
          <cell r="C117">
            <v>8.1516753037621257</v>
          </cell>
          <cell r="I117">
            <v>5.066218653284678</v>
          </cell>
        </row>
        <row r="118">
          <cell r="C118">
            <v>8.1590059470209031</v>
          </cell>
          <cell r="I118">
            <v>5.066218653284678</v>
          </cell>
        </row>
        <row r="119">
          <cell r="C119">
            <v>8.1883285200560199</v>
          </cell>
          <cell r="I119">
            <v>5.0796807046220156</v>
          </cell>
        </row>
        <row r="120">
          <cell r="C120">
            <v>8.2323123796086932</v>
          </cell>
          <cell r="I120">
            <v>5.1066048072966908</v>
          </cell>
        </row>
        <row r="121">
          <cell r="C121">
            <v>8.2323123796086932</v>
          </cell>
          <cell r="I121">
            <v>5.1200668586340283</v>
          </cell>
        </row>
        <row r="122">
          <cell r="C122">
            <v>8.254304309385029</v>
          </cell>
          <cell r="I122">
            <v>5.1469909613087026</v>
          </cell>
        </row>
        <row r="123">
          <cell r="C123">
            <v>8.2762962391613666</v>
          </cell>
          <cell r="I123">
            <v>5.1649403630918194</v>
          </cell>
        </row>
        <row r="124">
          <cell r="C124">
            <v>8.2982881689377042</v>
          </cell>
          <cell r="I124">
            <v>5.1694277135375986</v>
          </cell>
        </row>
        <row r="125">
          <cell r="C125">
            <v>8.32028009871404</v>
          </cell>
          <cell r="I125">
            <v>5.1784024144291578</v>
          </cell>
        </row>
        <row r="126">
          <cell r="C126">
            <v>8.3496026717491549</v>
          </cell>
          <cell r="I126">
            <v>5.1694277135375986</v>
          </cell>
        </row>
        <row r="127">
          <cell r="C127">
            <v>8.3715946015254925</v>
          </cell>
          <cell r="I127">
            <v>5.2232759188869498</v>
          </cell>
        </row>
        <row r="128">
          <cell r="C128">
            <v>8.3276107419728174</v>
          </cell>
          <cell r="I128">
            <v>5.1155795081882491</v>
          </cell>
        </row>
        <row r="129">
          <cell r="C129">
            <v>8.3276107419728174</v>
          </cell>
          <cell r="I129">
            <v>5.155965662200261</v>
          </cell>
        </row>
        <row r="130">
          <cell r="C130">
            <v>8.2982881689377042</v>
          </cell>
          <cell r="I130">
            <v>5.1918644657664954</v>
          </cell>
        </row>
        <row r="131">
          <cell r="C131">
            <v>8.3496026717491549</v>
          </cell>
          <cell r="I131">
            <v>5.2412253206700665</v>
          </cell>
        </row>
        <row r="132">
          <cell r="C132">
            <v>8.4375703908545017</v>
          </cell>
          <cell r="I132">
            <v>5.2860988251278576</v>
          </cell>
        </row>
        <row r="133">
          <cell r="C133">
            <v>8.4742236071483976</v>
          </cell>
          <cell r="I133">
            <v>5.3803331844892206</v>
          </cell>
        </row>
        <row r="134">
          <cell r="C134">
            <v>8.518207466701071</v>
          </cell>
          <cell r="I134">
            <v>5.4700801934048027</v>
          </cell>
        </row>
        <row r="135">
          <cell r="C135">
            <v>8.5988445425476367</v>
          </cell>
          <cell r="I135">
            <v>5.4880295951879203</v>
          </cell>
        </row>
        <row r="136">
          <cell r="C136">
            <v>8.6794816183942061</v>
          </cell>
          <cell r="I136">
            <v>5.6361121598986328</v>
          </cell>
        </row>
        <row r="137">
          <cell r="C137">
            <v>8.7381267644644378</v>
          </cell>
          <cell r="I137">
            <v>5.6675236130190871</v>
          </cell>
        </row>
        <row r="138">
          <cell r="C138">
            <v>8.8774089863812353</v>
          </cell>
          <cell r="I138">
            <v>5.757270621934671</v>
          </cell>
        </row>
        <row r="139">
          <cell r="C139">
            <v>9.0973282841446022</v>
          </cell>
          <cell r="I139">
            <v>5.6944477156937623</v>
          </cell>
        </row>
        <row r="140">
          <cell r="C140">
            <v>9.1266508571797171</v>
          </cell>
          <cell r="I140">
            <v>5.6361121598986328</v>
          </cell>
        </row>
        <row r="141">
          <cell r="C141">
            <v>9.2659330790965182</v>
          </cell>
          <cell r="I141">
            <v>5.7213718183684366</v>
          </cell>
        </row>
        <row r="142">
          <cell r="C142">
            <v>9.3099169386491916</v>
          </cell>
          <cell r="I142">
            <v>5.7348338697057732</v>
          </cell>
        </row>
        <row r="143">
          <cell r="C143">
            <v>9.3758927279781989</v>
          </cell>
          <cell r="I143">
            <v>5.7797073741635661</v>
          </cell>
        </row>
        <row r="144">
          <cell r="C144">
            <v>9.4418685173072117</v>
          </cell>
          <cell r="I144">
            <v>5.824580878621358</v>
          </cell>
        </row>
        <row r="145">
          <cell r="C145">
            <v>9.4785217336011058</v>
          </cell>
          <cell r="I145">
            <v>5.9412519902116161</v>
          </cell>
        </row>
        <row r="146">
          <cell r="C146">
            <v>9.5444975229301132</v>
          </cell>
          <cell r="I146">
            <v>6.0220242982356398</v>
          </cell>
        </row>
        <row r="147">
          <cell r="C147">
            <v>9.7131023178820293</v>
          </cell>
          <cell r="I147">
            <v>6.2867779745366104</v>
          </cell>
        </row>
        <row r="148">
          <cell r="C148">
            <v>9.7228154201999111</v>
          </cell>
          <cell r="I148">
            <v>6.305638308460221</v>
          </cell>
        </row>
        <row r="149">
          <cell r="C149">
            <v>9.7713809317893201</v>
          </cell>
          <cell r="I149">
            <v>6.3182118644092942</v>
          </cell>
        </row>
        <row r="150">
          <cell r="C150">
            <v>9.9267905688754325</v>
          </cell>
          <cell r="I150">
            <v>6.38107964415466</v>
          </cell>
        </row>
        <row r="151">
          <cell r="C151">
            <v>9.9267905688754325</v>
          </cell>
          <cell r="I151">
            <v>6.261630862638464</v>
          </cell>
        </row>
        <row r="152">
          <cell r="C152">
            <v>10.091913308279429</v>
          </cell>
          <cell r="I152">
            <v>6.3307854203583691</v>
          </cell>
        </row>
        <row r="153">
          <cell r="C153">
            <v>10.082200205961545</v>
          </cell>
          <cell r="I153">
            <v>6.3433589763074396</v>
          </cell>
        </row>
        <row r="154">
          <cell r="C154">
            <v>10.023921592054254</v>
          </cell>
          <cell r="I154">
            <v>6.3559325322565137</v>
          </cell>
        </row>
        <row r="155">
          <cell r="C155">
            <v>10.004495387418489</v>
          </cell>
          <cell r="I155">
            <v>6.3936532001037341</v>
          </cell>
        </row>
        <row r="156">
          <cell r="C156">
            <v>10.091913308279429</v>
          </cell>
          <cell r="I156">
            <v>6.3999399780782715</v>
          </cell>
        </row>
        <row r="157">
          <cell r="C157">
            <v>10.082200205961545</v>
          </cell>
          <cell r="I157">
            <v>6.4942416476963203</v>
          </cell>
        </row>
        <row r="158">
          <cell r="C158">
            <v>10.150191922186721</v>
          </cell>
          <cell r="I158">
            <v>6.5696829833907593</v>
          </cell>
        </row>
        <row r="159">
          <cell r="C159">
            <v>10.140478819868838</v>
          </cell>
          <cell r="I159">
            <v>6.5696829833907593</v>
          </cell>
        </row>
        <row r="160">
          <cell r="C160">
            <v>10.169618126822485</v>
          </cell>
          <cell r="I160">
            <v>6.5633962054162236</v>
          </cell>
        </row>
        <row r="161">
          <cell r="C161">
            <v>10.237609843047659</v>
          </cell>
          <cell r="I161">
            <v>6.7394259887032497</v>
          </cell>
        </row>
        <row r="162">
          <cell r="C162">
            <v>10.334740866226479</v>
          </cell>
          <cell r="I162">
            <v>6.7708598785759309</v>
          </cell>
        </row>
        <row r="163">
          <cell r="C163">
            <v>10.29588845695495</v>
          </cell>
          <cell r="I163">
            <v>6.5822565393398316</v>
          </cell>
        </row>
        <row r="164">
          <cell r="C164">
            <v>10.354167070862241</v>
          </cell>
          <cell r="I164">
            <v>6.6262639851615877</v>
          </cell>
        </row>
        <row r="165">
          <cell r="C165">
            <v>10.354167070862241</v>
          </cell>
          <cell r="I165">
            <v>6.6388375411106617</v>
          </cell>
        </row>
        <row r="166">
          <cell r="C166">
            <v>10.28617535463707</v>
          </cell>
          <cell r="I166">
            <v>6.6514110970597349</v>
          </cell>
        </row>
        <row r="167">
          <cell r="C167">
            <v>10.266749150001305</v>
          </cell>
          <cell r="I167">
            <v>6.6954185428814919</v>
          </cell>
        </row>
        <row r="168">
          <cell r="C168">
            <v>10.266749150001305</v>
          </cell>
          <cell r="I168">
            <v>6.6954185428814919</v>
          </cell>
        </row>
        <row r="169">
          <cell r="C169">
            <v>10.29588845695495</v>
          </cell>
          <cell r="I169">
            <v>6.8903086600921251</v>
          </cell>
        </row>
        <row r="170">
          <cell r="C170">
            <v>10.257036047683423</v>
          </cell>
          <cell r="I170">
            <v>6.9468896618629552</v>
          </cell>
        </row>
        <row r="171">
          <cell r="C171">
            <v>10.276462252319186</v>
          </cell>
          <cell r="I171">
            <v>6.9594632178120284</v>
          </cell>
        </row>
        <row r="172">
          <cell r="C172">
            <v>10.257036047683423</v>
          </cell>
          <cell r="I172">
            <v>6.9846103297101747</v>
          </cell>
        </row>
        <row r="173">
          <cell r="C173">
            <v>10.354167070862241</v>
          </cell>
          <cell r="I173">
            <v>7.041191331481004</v>
          </cell>
        </row>
        <row r="174">
          <cell r="C174">
            <v>10.393019480133772</v>
          </cell>
          <cell r="I174">
            <v>7.0474781094555405</v>
          </cell>
        </row>
        <row r="175">
          <cell r="C175">
            <v>10.363880173180126</v>
          </cell>
          <cell r="I175">
            <v>6.8903086600921251</v>
          </cell>
        </row>
        <row r="176">
          <cell r="C176">
            <v>10.422158787087415</v>
          </cell>
          <cell r="I176">
            <v>6.9154557719902723</v>
          </cell>
        </row>
        <row r="177">
          <cell r="C177">
            <v>10.596994628809295</v>
          </cell>
          <cell r="I177">
            <v>6.9280293279393454</v>
          </cell>
        </row>
        <row r="178">
          <cell r="C178">
            <v>10.529002912584119</v>
          </cell>
          <cell r="I178">
            <v>6.9280293279393454</v>
          </cell>
        </row>
        <row r="179">
          <cell r="C179">
            <v>10.509576707948355</v>
          </cell>
          <cell r="I179">
            <v>6.9594632178120284</v>
          </cell>
        </row>
        <row r="180">
          <cell r="C180">
            <v>10.558142219537764</v>
          </cell>
          <cell r="I180">
            <v>6.9783235517356381</v>
          </cell>
        </row>
        <row r="181">
          <cell r="C181">
            <v>10.606707731127177</v>
          </cell>
          <cell r="I181">
            <v>7.1480665570481277</v>
          </cell>
        </row>
        <row r="182">
          <cell r="C182">
            <v>10.664986345034468</v>
          </cell>
          <cell r="I182">
            <v>7.1983607808444203</v>
          </cell>
        </row>
        <row r="183">
          <cell r="C183">
            <v>10.703838754305997</v>
          </cell>
          <cell r="I183">
            <v>7.2235078927425675</v>
          </cell>
        </row>
        <row r="184">
          <cell r="C184">
            <v>10.703838754305997</v>
          </cell>
          <cell r="I184">
            <v>7.2172211147680283</v>
          </cell>
        </row>
        <row r="185">
          <cell r="C185">
            <v>10.703838754305997</v>
          </cell>
          <cell r="I185">
            <v>7.2172211147680283</v>
          </cell>
        </row>
        <row r="186">
          <cell r="C186">
            <v>10.762117368213287</v>
          </cell>
          <cell r="I186">
            <v>7.2172211147680283</v>
          </cell>
        </row>
        <row r="187">
          <cell r="C187">
            <v>10.742691163577522</v>
          </cell>
          <cell r="I187">
            <v>7.0034706636337853</v>
          </cell>
        </row>
        <row r="188">
          <cell r="C188">
            <v>10.966092516888811</v>
          </cell>
          <cell r="I188">
            <v>7.0851987773027618</v>
          </cell>
        </row>
        <row r="189">
          <cell r="C189">
            <v>11.00494492616034</v>
          </cell>
          <cell r="I189">
            <v>7.1040591112263716</v>
          </cell>
        </row>
        <row r="190">
          <cell r="C190">
            <v>10.927240107617283</v>
          </cell>
          <cell r="I190">
            <v>7.4938393456476424</v>
          </cell>
        </row>
        <row r="191">
          <cell r="C191">
            <v>10.995231823842456</v>
          </cell>
          <cell r="I191">
            <v>7.6007145712147643</v>
          </cell>
        </row>
        <row r="192">
          <cell r="C192">
            <v>11.111789051657041</v>
          </cell>
          <cell r="I192">
            <v>7.6447220170365187</v>
          </cell>
        </row>
        <row r="193">
          <cell r="C193">
            <v>11.286624893378917</v>
          </cell>
          <cell r="I193">
            <v>7.9024799139925213</v>
          </cell>
        </row>
        <row r="194">
          <cell r="C194">
            <v>11.286624893378917</v>
          </cell>
          <cell r="I194">
            <v>8.0156419175341806</v>
          </cell>
        </row>
        <row r="195">
          <cell r="C195">
            <v>11.24777248410739</v>
          </cell>
          <cell r="I195">
            <v>8.0219286955087163</v>
          </cell>
        </row>
        <row r="196">
          <cell r="C196">
            <v>11.24777248410739</v>
          </cell>
          <cell r="I196">
            <v>8.0219286955087163</v>
          </cell>
        </row>
        <row r="197">
          <cell r="C197">
            <v>11.393993526400784</v>
          </cell>
          <cell r="I197">
            <v>8.0219286955087163</v>
          </cell>
        </row>
        <row r="198">
          <cell r="C198">
            <v>11.551462341178288</v>
          </cell>
          <cell r="I198">
            <v>8.0299506242042238</v>
          </cell>
        </row>
        <row r="199">
          <cell r="C199">
            <v>11.528966796210073</v>
          </cell>
          <cell r="I199">
            <v>7.8614901215985409</v>
          </cell>
        </row>
        <row r="200">
          <cell r="C200">
            <v>11.517719023725967</v>
          </cell>
          <cell r="I200">
            <v>8.0861041250727865</v>
          </cell>
        </row>
        <row r="201">
          <cell r="C201">
            <v>11.472727933789539</v>
          </cell>
          <cell r="I201">
            <v>8.0941260537682957</v>
          </cell>
        </row>
        <row r="202">
          <cell r="C202">
            <v>11.506471251241859</v>
          </cell>
          <cell r="I202">
            <v>8.1101699111593124</v>
          </cell>
        </row>
        <row r="203">
          <cell r="C203">
            <v>11.483975706273643</v>
          </cell>
          <cell r="I203">
            <v>8.1743453407233826</v>
          </cell>
        </row>
        <row r="204">
          <cell r="C204">
            <v>11.551462341178288</v>
          </cell>
          <cell r="I204">
            <v>8.2144549842009269</v>
          </cell>
        </row>
        <row r="205">
          <cell r="C205">
            <v>11.596453431114718</v>
          </cell>
          <cell r="I205">
            <v>8.382915486806608</v>
          </cell>
        </row>
        <row r="206">
          <cell r="C206">
            <v>11.630196748567041</v>
          </cell>
          <cell r="I206">
            <v>8.4952224885437317</v>
          </cell>
        </row>
        <row r="207">
          <cell r="C207">
            <v>11.742674473408115</v>
          </cell>
          <cell r="I207">
            <v>8.5192882746302576</v>
          </cell>
        </row>
        <row r="208">
          <cell r="C208">
            <v>11.731426700924004</v>
          </cell>
          <cell r="I208">
            <v>8.5273102033257651</v>
          </cell>
        </row>
        <row r="209">
          <cell r="C209">
            <v>11.708931155955792</v>
          </cell>
          <cell r="I209">
            <v>8.5273102033257651</v>
          </cell>
        </row>
        <row r="210">
          <cell r="C210">
            <v>11.753922245892221</v>
          </cell>
          <cell r="I210">
            <v>8.5273102033257651</v>
          </cell>
        </row>
        <row r="211">
          <cell r="C211">
            <v>11.765170018376326</v>
          </cell>
          <cell r="I211">
            <v>8.1663234120278734</v>
          </cell>
        </row>
        <row r="212">
          <cell r="C212">
            <v>11.888895515701511</v>
          </cell>
          <cell r="I212">
            <v>8.2545646276784694</v>
          </cell>
        </row>
        <row r="213">
          <cell r="C213">
            <v>11.990125468058475</v>
          </cell>
          <cell r="I213">
            <v>8.5273102033257651</v>
          </cell>
        </row>
        <row r="214">
          <cell r="C214">
            <v>11.967629923090263</v>
          </cell>
          <cell r="I214">
            <v>8.6717049198449221</v>
          </cell>
        </row>
        <row r="215">
          <cell r="C215">
            <v>11.933886605637939</v>
          </cell>
          <cell r="I215">
            <v>8.7599461354955181</v>
          </cell>
        </row>
        <row r="216">
          <cell r="C216">
            <v>12.046364330479014</v>
          </cell>
          <cell r="I216">
            <v>8.8160996363640791</v>
          </cell>
        </row>
        <row r="217">
          <cell r="C217">
            <v>12.113850965383659</v>
          </cell>
          <cell r="I217">
            <v>9.2492837859215484</v>
          </cell>
        </row>
        <row r="218">
          <cell r="C218">
            <v>12.170089827804194</v>
          </cell>
          <cell r="I218">
            <v>9.2733495720080761</v>
          </cell>
        </row>
        <row r="219">
          <cell r="C219">
            <v>12.158842055320086</v>
          </cell>
          <cell r="I219">
            <v>9.2733495720080761</v>
          </cell>
        </row>
        <row r="220">
          <cell r="C220">
            <v>12.102603192899549</v>
          </cell>
          <cell r="I220">
            <v>9.2653276433125669</v>
          </cell>
        </row>
        <row r="221">
          <cell r="C221">
            <v>12.19258537277241</v>
          </cell>
          <cell r="I221">
            <v>9.2733495720080761</v>
          </cell>
        </row>
        <row r="222">
          <cell r="C222">
            <v>12.327558642581698</v>
          </cell>
          <cell r="I222">
            <v>9.2813715007035853</v>
          </cell>
        </row>
        <row r="223">
          <cell r="C223">
            <v>12.282567552645268</v>
          </cell>
          <cell r="I223">
            <v>8.8160996363640791</v>
          </cell>
        </row>
        <row r="224">
          <cell r="C224">
            <v>12.395045277486343</v>
          </cell>
          <cell r="I224">
            <v>8.8642312085371309</v>
          </cell>
        </row>
        <row r="225">
          <cell r="C225">
            <v>12.203833145256516</v>
          </cell>
          <cell r="I225">
            <v>8.8802750659281493</v>
          </cell>
        </row>
        <row r="226">
          <cell r="C226">
            <v>12.181337600288302</v>
          </cell>
          <cell r="I226">
            <v>8.8802750659281493</v>
          </cell>
        </row>
        <row r="227">
          <cell r="C227">
            <v>12.19258537277241</v>
          </cell>
          <cell r="I227">
            <v>8.8882969946236585</v>
          </cell>
        </row>
        <row r="228">
          <cell r="C228">
            <v>12.305063097613484</v>
          </cell>
          <cell r="I228">
            <v>8.8963189233191677</v>
          </cell>
        </row>
        <row r="229">
          <cell r="C229">
            <v>12.350054187549912</v>
          </cell>
          <cell r="I229">
            <v>9.3455469302676537</v>
          </cell>
        </row>
        <row r="230">
          <cell r="C230">
            <v>12.395045277486343</v>
          </cell>
          <cell r="I230">
            <v>9.3535688589631629</v>
          </cell>
        </row>
        <row r="231">
          <cell r="C231">
            <v>12.417540822454558</v>
          </cell>
          <cell r="I231">
            <v>9.3535688589631629</v>
          </cell>
        </row>
        <row r="232">
          <cell r="C232">
            <v>12.406293049970447</v>
          </cell>
          <cell r="I232">
            <v>9.3776346450496906</v>
          </cell>
        </row>
        <row r="233">
          <cell r="C233">
            <v>12.406293049970447</v>
          </cell>
          <cell r="I233">
            <v>9.385656573745198</v>
          </cell>
        </row>
        <row r="234">
          <cell r="C234">
            <v>12.31631087009759</v>
          </cell>
          <cell r="I234">
            <v>9.385656573745198</v>
          </cell>
        </row>
        <row r="235">
          <cell r="C235">
            <v>12.271319780161161</v>
          </cell>
          <cell r="I235">
            <v>8.9123627807101844</v>
          </cell>
        </row>
        <row r="236">
          <cell r="C236">
            <v>12.293815325129376</v>
          </cell>
          <cell r="I236">
            <v>8.9123627807101844</v>
          </cell>
        </row>
        <row r="237">
          <cell r="C237">
            <v>12.260072007677055</v>
          </cell>
          <cell r="I237">
            <v>8.9123627807101844</v>
          </cell>
        </row>
        <row r="238">
          <cell r="C238">
            <v>12.293815325129376</v>
          </cell>
          <cell r="I238">
            <v>8.9364285667967103</v>
          </cell>
        </row>
        <row r="239">
          <cell r="C239">
            <v>12.226328690224731</v>
          </cell>
          <cell r="I239">
            <v>8.9604943528832361</v>
          </cell>
        </row>
        <row r="240">
          <cell r="C240">
            <v>12.282567552645268</v>
          </cell>
          <cell r="I240">
            <v>9.0006039963607805</v>
          </cell>
        </row>
        <row r="241">
          <cell r="C241">
            <v>12.372549732518127</v>
          </cell>
          <cell r="I241">
            <v>9.5220293615688458</v>
          </cell>
        </row>
        <row r="242">
          <cell r="C242">
            <v>12.395045277486343</v>
          </cell>
          <cell r="I242">
            <v>9.5460951476553735</v>
          </cell>
        </row>
        <row r="243">
          <cell r="C243">
            <v>12.361301960034021</v>
          </cell>
          <cell r="I243">
            <v>9.5460951476553735</v>
          </cell>
        </row>
        <row r="244">
          <cell r="C244">
            <v>12.361301960034021</v>
          </cell>
          <cell r="I244">
            <v>9.5460951476553735</v>
          </cell>
        </row>
        <row r="245">
          <cell r="C245">
            <v>12.338806415065806</v>
          </cell>
          <cell r="I245">
            <v>9.5541170763508809</v>
          </cell>
        </row>
        <row r="246">
          <cell r="C246">
            <v>12.406293049970447</v>
          </cell>
          <cell r="I246">
            <v>9.5460951476553735</v>
          </cell>
        </row>
        <row r="247">
          <cell r="C247">
            <v>12.406293049970447</v>
          </cell>
          <cell r="I247">
            <v>9.0086259250562897</v>
          </cell>
        </row>
        <row r="248">
          <cell r="C248">
            <v>12.473779684875094</v>
          </cell>
          <cell r="I248">
            <v>9.0166478537517971</v>
          </cell>
        </row>
        <row r="249">
          <cell r="C249">
            <v>12.496275229843308</v>
          </cell>
          <cell r="I249">
            <v>9.0166478537517971</v>
          </cell>
        </row>
        <row r="250">
          <cell r="C250">
            <v>12.417540822454558</v>
          </cell>
          <cell r="I250">
            <v>9.0567574972293414</v>
          </cell>
        </row>
        <row r="251">
          <cell r="C251">
            <v>12.428788594938665</v>
          </cell>
          <cell r="I251">
            <v>9.1048890694023932</v>
          </cell>
        </row>
        <row r="252">
          <cell r="C252">
            <v>12.530018547295633</v>
          </cell>
          <cell r="I252">
            <v>9.4337881459182498</v>
          </cell>
        </row>
        <row r="253">
          <cell r="C253">
            <v>12.586257409716168</v>
          </cell>
          <cell r="I253">
            <v>10.00334508329937</v>
          </cell>
        </row>
        <row r="254">
          <cell r="C254">
            <v>12.62000072716849</v>
          </cell>
          <cell r="I254">
            <v>10.05949858416793</v>
          </cell>
        </row>
        <row r="255">
          <cell r="C255">
            <v>12.631248499652596</v>
          </cell>
          <cell r="I255">
            <v>10.091586298949965</v>
          </cell>
        </row>
        <row r="256">
          <cell r="C256">
            <v>12.631248499652596</v>
          </cell>
          <cell r="I256">
            <v>10.115652085036492</v>
          </cell>
        </row>
        <row r="257">
          <cell r="C257">
            <v>12.676239589589029</v>
          </cell>
          <cell r="I257">
            <v>10.115652085036492</v>
          </cell>
        </row>
        <row r="258">
          <cell r="C258">
            <v>12.74372622449367</v>
          </cell>
          <cell r="I258">
            <v>10.123674013732002</v>
          </cell>
        </row>
        <row r="259">
          <cell r="C259">
            <v>12.777469541945992</v>
          </cell>
          <cell r="I259">
            <v>9.698511792870038</v>
          </cell>
        </row>
        <row r="260">
          <cell r="C260">
            <v>12.889947266787066</v>
          </cell>
          <cell r="I260">
            <v>9.7626872224341081</v>
          </cell>
        </row>
        <row r="261">
          <cell r="C261">
            <v>12.889947266787066</v>
          </cell>
          <cell r="I261">
            <v>9.7707091511296156</v>
          </cell>
        </row>
        <row r="262">
          <cell r="C262">
            <v>13.013672764112249</v>
          </cell>
          <cell r="I262">
            <v>9.8027968659116507</v>
          </cell>
        </row>
        <row r="263">
          <cell r="C263">
            <v>12.991177219144033</v>
          </cell>
          <cell r="I263">
            <v>9.8188407233026691</v>
          </cell>
        </row>
        <row r="264">
          <cell r="C264">
            <v>13.013672764112249</v>
          </cell>
          <cell r="I264">
            <v>9.8509284380847042</v>
          </cell>
        </row>
        <row r="265">
          <cell r="C265">
            <v>13.148646033921539</v>
          </cell>
          <cell r="I265">
            <v>10.444551161552347</v>
          </cell>
        </row>
        <row r="266">
          <cell r="C266">
            <v>13.171141578889753</v>
          </cell>
          <cell r="I266">
            <v>10.460595018943366</v>
          </cell>
        </row>
        <row r="267">
          <cell r="C267">
            <v>13.216132668826182</v>
          </cell>
          <cell r="I267">
            <v>10.476638876334384</v>
          </cell>
        </row>
        <row r="268">
          <cell r="C268">
            <v>13.229348801495007</v>
          </cell>
          <cell r="I268">
            <v>10.518545431839721</v>
          </cell>
        </row>
        <row r="269">
          <cell r="C269">
            <v>13.282213332170313</v>
          </cell>
          <cell r="I269">
            <v>10.529022070716056</v>
          </cell>
        </row>
        <row r="270">
          <cell r="C270">
            <v>13.467239189533881</v>
          </cell>
          <cell r="I270">
            <v>10.56045198734506</v>
          </cell>
        </row>
        <row r="271">
          <cell r="C271">
            <v>13.50688758754036</v>
          </cell>
          <cell r="I271">
            <v>10.455685598581715</v>
          </cell>
        </row>
        <row r="272">
          <cell r="C272">
            <v>13.599400516222142</v>
          </cell>
          <cell r="I272">
            <v>10.487115515210718</v>
          </cell>
        </row>
        <row r="273">
          <cell r="C273">
            <v>13.546535985546836</v>
          </cell>
          <cell r="I273">
            <v>10.497592154087053</v>
          </cell>
        </row>
        <row r="274">
          <cell r="C274">
            <v>13.4275907915274</v>
          </cell>
          <cell r="I274">
            <v>10.549975348468724</v>
          </cell>
        </row>
        <row r="275">
          <cell r="C275">
            <v>13.414374658858575</v>
          </cell>
          <cell r="I275">
            <v>10.570928626221393</v>
          </cell>
        </row>
        <row r="276">
          <cell r="C276">
            <v>13.40115852618975</v>
          </cell>
          <cell r="I276">
            <v>10.591881903974061</v>
          </cell>
        </row>
        <row r="277">
          <cell r="C277">
            <v>13.454023056865054</v>
          </cell>
          <cell r="I277">
            <v>11.052854014532775</v>
          </cell>
        </row>
        <row r="278">
          <cell r="C278">
            <v>13.520103720209184</v>
          </cell>
          <cell r="I278">
            <v>11.115713847790781</v>
          </cell>
        </row>
        <row r="279">
          <cell r="C279">
            <v>13.57296825088449</v>
          </cell>
          <cell r="I279">
            <v>11.15762040329612</v>
          </cell>
        </row>
        <row r="280">
          <cell r="C280">
            <v>13.691913444903923</v>
          </cell>
          <cell r="I280">
            <v>11.168097042172452</v>
          </cell>
        </row>
        <row r="281">
          <cell r="C281">
            <v>13.705129577572752</v>
          </cell>
          <cell r="I281">
            <v>11.189050319925121</v>
          </cell>
        </row>
        <row r="282">
          <cell r="C282">
            <v>13.744777975579229</v>
          </cell>
          <cell r="I282">
            <v>11.189050319925121</v>
          </cell>
        </row>
        <row r="283">
          <cell r="C283">
            <v>13.731561842910404</v>
          </cell>
          <cell r="I283">
            <v>10.811891320377084</v>
          </cell>
        </row>
        <row r="284">
          <cell r="C284">
            <v>13.731561842910404</v>
          </cell>
          <cell r="I284">
            <v>10.885227792511426</v>
          </cell>
        </row>
        <row r="285">
          <cell r="C285">
            <v>13.652265046897446</v>
          </cell>
          <cell r="I285">
            <v>10.916657709140429</v>
          </cell>
        </row>
        <row r="286">
          <cell r="C286">
            <v>13.612616648890967</v>
          </cell>
          <cell r="I286">
            <v>10.94808762576943</v>
          </cell>
        </row>
        <row r="287">
          <cell r="C287">
            <v>13.652265046897446</v>
          </cell>
          <cell r="I287">
            <v>10.979517542398433</v>
          </cell>
        </row>
        <row r="288">
          <cell r="C288">
            <v>13.705129577572752</v>
          </cell>
          <cell r="I288">
            <v>10.989994181274771</v>
          </cell>
        </row>
        <row r="289">
          <cell r="C289">
            <v>13.744777975579229</v>
          </cell>
          <cell r="I289">
            <v>11.47191956958615</v>
          </cell>
        </row>
        <row r="290">
          <cell r="C290">
            <v>13.771210240916883</v>
          </cell>
          <cell r="I290">
            <v>11.49287284733882</v>
          </cell>
        </row>
        <row r="291">
          <cell r="C291">
            <v>13.837290904261014</v>
          </cell>
          <cell r="I291">
            <v>11.534779402844157</v>
          </cell>
        </row>
        <row r="292">
          <cell r="C292">
            <v>13.850507036929839</v>
          </cell>
          <cell r="I292">
            <v>11.54525604172049</v>
          </cell>
        </row>
        <row r="293">
          <cell r="C293">
            <v>13.903371567605145</v>
          </cell>
          <cell r="I293">
            <v>11.524302763967823</v>
          </cell>
        </row>
        <row r="294">
          <cell r="C294">
            <v>14.022316761624579</v>
          </cell>
          <cell r="I294">
            <v>11.534779402844157</v>
          </cell>
        </row>
        <row r="295">
          <cell r="C295">
            <v>14.141261955644014</v>
          </cell>
          <cell r="I295">
            <v>11.115713847790781</v>
          </cell>
        </row>
        <row r="296">
          <cell r="C296">
            <v>14.19412648631932</v>
          </cell>
          <cell r="I296">
            <v>11.15762040329612</v>
          </cell>
        </row>
        <row r="297">
          <cell r="C297">
            <v>14.19412648631932</v>
          </cell>
          <cell r="I297">
            <v>11.15762040329612</v>
          </cell>
        </row>
        <row r="298">
          <cell r="C298">
            <v>14.246991016994624</v>
          </cell>
          <cell r="I298">
            <v>11.409059736328144</v>
          </cell>
        </row>
        <row r="299">
          <cell r="C299">
            <v>14.246991016994624</v>
          </cell>
          <cell r="I299">
            <v>11.461442930709817</v>
          </cell>
        </row>
        <row r="300">
          <cell r="C300">
            <v>14.260207149663451</v>
          </cell>
          <cell r="I300">
            <v>11.49287284733882</v>
          </cell>
        </row>
        <row r="301">
          <cell r="C301">
            <v>14.379152343682886</v>
          </cell>
          <cell r="I301">
            <v>11.54525604172049</v>
          </cell>
        </row>
        <row r="302">
          <cell r="C302">
            <v>14.432016874358192</v>
          </cell>
          <cell r="I302">
            <v>11.985274874526535</v>
          </cell>
        </row>
        <row r="303">
          <cell r="C303">
            <v>14.471665272364669</v>
          </cell>
          <cell r="I303">
            <v>12.027181430031872</v>
          </cell>
        </row>
        <row r="304">
          <cell r="C304">
            <v>14.471665272364669</v>
          </cell>
          <cell r="I304">
            <v>12.058611346660875</v>
          </cell>
        </row>
        <row r="305">
          <cell r="C305">
            <v>14.524529803039975</v>
          </cell>
          <cell r="I305">
            <v>12.121471179918883</v>
          </cell>
        </row>
        <row r="306">
          <cell r="C306">
            <v>14.802068589085323</v>
          </cell>
          <cell r="I306">
            <v>11.576685958349493</v>
          </cell>
        </row>
        <row r="307">
          <cell r="C307">
            <v>14.854933119760629</v>
          </cell>
          <cell r="I307">
            <v>11.650022430483835</v>
          </cell>
        </row>
        <row r="308">
          <cell r="C308">
            <v>14.894581517767108</v>
          </cell>
          <cell r="I308">
            <v>11.744312180370844</v>
          </cell>
        </row>
        <row r="309">
          <cell r="C309">
            <v>14.894581517767108</v>
          </cell>
          <cell r="I309">
            <v>11.75478881924718</v>
          </cell>
        </row>
        <row r="310">
          <cell r="C310">
            <v>14.92101378310476</v>
          </cell>
          <cell r="I310">
            <v>11.80717201362885</v>
          </cell>
        </row>
        <row r="311">
          <cell r="C311">
            <v>14.934229915773585</v>
          </cell>
          <cell r="I311">
            <v>12.069087985537211</v>
          </cell>
        </row>
        <row r="312">
          <cell r="C312">
            <v>14.947446048442412</v>
          </cell>
          <cell r="I312">
            <v>12.09004126328988</v>
          </cell>
        </row>
        <row r="313">
          <cell r="C313">
            <v>15.013526711786543</v>
          </cell>
          <cell r="I313">
            <v>12.530060096095923</v>
          </cell>
        </row>
        <row r="314">
          <cell r="C314">
            <v>15.079607375130674</v>
          </cell>
          <cell r="I314">
            <v>12.530060096095923</v>
          </cell>
        </row>
        <row r="315">
          <cell r="C315">
            <v>15.106039640468326</v>
          </cell>
          <cell r="I315">
            <v>12.540536734972259</v>
          </cell>
        </row>
        <row r="316">
          <cell r="C316">
            <v>15.119255773137153</v>
          </cell>
          <cell r="I316">
            <v>12.582443290477595</v>
          </cell>
        </row>
        <row r="317">
          <cell r="C317">
            <v>15.145688038474805</v>
          </cell>
          <cell r="I317">
            <v>12.582443290477595</v>
          </cell>
        </row>
        <row r="318">
          <cell r="C318">
            <v>15.33071389583837</v>
          </cell>
          <cell r="I318">
            <v>12.603396568230263</v>
          </cell>
        </row>
        <row r="319">
          <cell r="C319">
            <v>15.43644295718898</v>
          </cell>
          <cell r="I319">
            <v>12.509106818343255</v>
          </cell>
        </row>
        <row r="320">
          <cell r="C320">
            <v>15.476091355195459</v>
          </cell>
          <cell r="I320">
            <v>12.519583457219589</v>
          </cell>
        </row>
        <row r="321">
          <cell r="C321">
            <v>15.410010691851328</v>
          </cell>
          <cell r="I321">
            <v>12.540536734972259</v>
          </cell>
        </row>
        <row r="322">
          <cell r="C322">
            <v>15.502523620533111</v>
          </cell>
          <cell r="I322">
            <v>12.6138732071066</v>
          </cell>
        </row>
        <row r="323">
          <cell r="C323">
            <v>15.476091355195459</v>
          </cell>
          <cell r="I323">
            <v>12.645303123735602</v>
          </cell>
        </row>
        <row r="324">
          <cell r="C324">
            <v>15.515739753201938</v>
          </cell>
          <cell r="I324">
            <v>12.655779762611933</v>
          </cell>
        </row>
        <row r="325">
          <cell r="C325">
            <v>15.608252681883721</v>
          </cell>
          <cell r="I325">
            <v>13.074845317665313</v>
          </cell>
        </row>
        <row r="326">
          <cell r="C326">
            <v>15.634684947221373</v>
          </cell>
          <cell r="I326">
            <v>13.085321956541645</v>
          </cell>
        </row>
        <row r="327">
          <cell r="C327">
            <v>15.661117212559027</v>
          </cell>
          <cell r="I327">
            <v>13.085321956541645</v>
          </cell>
        </row>
        <row r="328">
          <cell r="C328">
            <v>15.674333345227852</v>
          </cell>
          <cell r="I328">
            <v>13.085321956541645</v>
          </cell>
        </row>
        <row r="329">
          <cell r="C329">
            <v>15.674333345227852</v>
          </cell>
          <cell r="I329">
            <v>13.085321956541645</v>
          </cell>
        </row>
        <row r="330">
          <cell r="C330">
            <v>15.793278539247289</v>
          </cell>
          <cell r="I330">
            <v>13.074845317665313</v>
          </cell>
        </row>
        <row r="331">
          <cell r="C331">
            <v>15.780062406578462</v>
          </cell>
          <cell r="I331">
            <v>12.582443290477595</v>
          </cell>
        </row>
        <row r="332">
          <cell r="C332">
            <v>15.846143069922592</v>
          </cell>
          <cell r="I332">
            <v>12.592919929353931</v>
          </cell>
        </row>
        <row r="333">
          <cell r="C333">
            <v>15.75363014124081</v>
          </cell>
          <cell r="I333">
            <v>12.603396568230263</v>
          </cell>
        </row>
        <row r="334">
          <cell r="C334">
            <v>15.713981743234331</v>
          </cell>
          <cell r="I334">
            <v>12.634826484859268</v>
          </cell>
        </row>
        <row r="335">
          <cell r="C335">
            <v>15.700765610565504</v>
          </cell>
          <cell r="I335">
            <v>12.666256401488271</v>
          </cell>
        </row>
        <row r="336">
          <cell r="C336">
            <v>15.81971080458494</v>
          </cell>
          <cell r="I336">
            <v>13.326284650697335</v>
          </cell>
        </row>
        <row r="337">
          <cell r="C337">
            <v>15.912223733266723</v>
          </cell>
          <cell r="I337">
            <v>13.6196305392347</v>
          </cell>
        </row>
        <row r="338">
          <cell r="C338">
            <v>16.017952794617333</v>
          </cell>
          <cell r="I338">
            <v>13.871069872266727</v>
          </cell>
        </row>
        <row r="339">
          <cell r="C339">
            <v>16.070817325292637</v>
          </cell>
          <cell r="I339">
            <v>13.892023150019392</v>
          </cell>
        </row>
        <row r="340">
          <cell r="C340">
            <v>16.150114121305595</v>
          </cell>
          <cell r="I340">
            <v>13.902499788895726</v>
          </cell>
        </row>
        <row r="341">
          <cell r="C341">
            <v>16.202978651980899</v>
          </cell>
          <cell r="I341">
            <v>13.902499788895726</v>
          </cell>
        </row>
        <row r="342">
          <cell r="C342">
            <v>16.493733570695078</v>
          </cell>
          <cell r="I342">
            <v>13.965359622153734</v>
          </cell>
        </row>
        <row r="343">
          <cell r="C343">
            <v>16.506949703363901</v>
          </cell>
          <cell r="I343">
            <v>13.703443650245376</v>
          </cell>
        </row>
        <row r="344">
          <cell r="C344">
            <v>16.573030366708036</v>
          </cell>
          <cell r="I344">
            <v>13.818686677885053</v>
          </cell>
        </row>
        <row r="345">
          <cell r="C345">
            <v>16.586246499376859</v>
          </cell>
          <cell r="I345">
            <v>13.829163316761386</v>
          </cell>
        </row>
        <row r="346">
          <cell r="C346">
            <v>16.612678764714513</v>
          </cell>
          <cell r="I346">
            <v>13.892023150019392</v>
          </cell>
        </row>
        <row r="347">
          <cell r="C347">
            <v>16.62589489738334</v>
          </cell>
          <cell r="I347">
            <v>13.954882983277399</v>
          </cell>
        </row>
        <row r="348">
          <cell r="C348">
            <v>16.705191693396294</v>
          </cell>
          <cell r="I348">
            <v>14.415855093836111</v>
          </cell>
        </row>
        <row r="349">
          <cell r="C349">
            <v>16.744840091402775</v>
          </cell>
          <cell r="I349">
            <v>14.45776164934145</v>
          </cell>
        </row>
        <row r="350">
          <cell r="C350">
            <v>16.969514346772819</v>
          </cell>
          <cell r="I350">
            <v>14.478714927094119</v>
          </cell>
        </row>
        <row r="351">
          <cell r="C351">
            <v>17.0620272754546</v>
          </cell>
          <cell r="I351">
            <v>14.499668204846786</v>
          </cell>
        </row>
        <row r="352">
          <cell r="C352">
            <v>17.154540204136385</v>
          </cell>
          <cell r="I352">
            <v>14.510144843723124</v>
          </cell>
        </row>
        <row r="353">
          <cell r="C353">
            <v>17.22062086748052</v>
          </cell>
          <cell r="I353">
            <v>14.510144843723124</v>
          </cell>
        </row>
        <row r="354">
          <cell r="C354">
            <v>17.405646724844079</v>
          </cell>
          <cell r="I354">
            <v>14.520621482599456</v>
          </cell>
        </row>
        <row r="355">
          <cell r="C355">
            <v>17.379214459506429</v>
          </cell>
          <cell r="I355">
            <v>14.12250920529875</v>
          </cell>
        </row>
        <row r="356">
          <cell r="C356">
            <v>17.458511255519387</v>
          </cell>
          <cell r="I356">
            <v>14.12250920529875</v>
          </cell>
        </row>
        <row r="357">
          <cell r="C357">
            <v>17.458511255519387</v>
          </cell>
          <cell r="I357">
            <v>14.132985844175085</v>
          </cell>
        </row>
        <row r="358">
          <cell r="C358">
            <v>17.418862857512909</v>
          </cell>
          <cell r="I358">
            <v>14.174892399680424</v>
          </cell>
        </row>
        <row r="359">
          <cell r="C359">
            <v>17.471727388188214</v>
          </cell>
          <cell r="I359">
            <v>14.185369038556757</v>
          </cell>
        </row>
        <row r="360">
          <cell r="C360">
            <v>17.603888714876476</v>
          </cell>
          <cell r="I360">
            <v>14.803490732260485</v>
          </cell>
        </row>
        <row r="361">
          <cell r="C361">
            <v>17.643537112882953</v>
          </cell>
          <cell r="I361">
            <v>14.834920648889486</v>
          </cell>
        </row>
        <row r="362">
          <cell r="C362">
            <v>17.762482306902392</v>
          </cell>
          <cell r="I362">
            <v>14.845397287765822</v>
          </cell>
        </row>
        <row r="363">
          <cell r="C363">
            <v>17.907859766259477</v>
          </cell>
          <cell r="I363">
            <v>15.222556287313862</v>
          </cell>
        </row>
        <row r="364">
          <cell r="C364">
            <v>18.000372694941259</v>
          </cell>
          <cell r="I364">
            <v>15.243509565066528</v>
          </cell>
        </row>
        <row r="365">
          <cell r="C365">
            <v>18.106101756291867</v>
          </cell>
          <cell r="I365">
            <v>15.253986203942864</v>
          </cell>
        </row>
        <row r="366">
          <cell r="C366">
            <v>18.383640542337222</v>
          </cell>
          <cell r="I366">
            <v>15.243509565066528</v>
          </cell>
        </row>
        <row r="367">
          <cell r="C367">
            <v>18.436505073012523</v>
          </cell>
          <cell r="I367">
            <v>14.887303843271161</v>
          </cell>
        </row>
        <row r="368">
          <cell r="C368">
            <v>18.489369603687827</v>
          </cell>
          <cell r="I368">
            <v>14.887303843271161</v>
          </cell>
        </row>
        <row r="369">
          <cell r="C369">
            <v>18.621530930376089</v>
          </cell>
          <cell r="I369">
            <v>14.887303843271161</v>
          </cell>
        </row>
        <row r="370">
          <cell r="C370">
            <v>18.608314797707266</v>
          </cell>
          <cell r="I370">
            <v>14.992070232034504</v>
          </cell>
        </row>
        <row r="371">
          <cell r="C371">
            <v>18.700827726389047</v>
          </cell>
          <cell r="I371">
            <v>15.075883343045179</v>
          </cell>
        </row>
        <row r="372">
          <cell r="C372">
            <v>18.899069716421444</v>
          </cell>
          <cell r="I372">
            <v>15.798771425512252</v>
          </cell>
        </row>
        <row r="373">
          <cell r="C373">
            <v>19.031231043109702</v>
          </cell>
          <cell r="I373">
            <v>15.809248064388585</v>
          </cell>
        </row>
        <row r="374">
          <cell r="C374">
            <v>19.163392369797965</v>
          </cell>
          <cell r="I374">
            <v>15.809248064388585</v>
          </cell>
        </row>
        <row r="375">
          <cell r="C375">
            <v>19.427715023174489</v>
          </cell>
          <cell r="I375">
            <v>15.987350925286268</v>
          </cell>
        </row>
        <row r="376">
          <cell r="C376">
            <v>19.533444084525097</v>
          </cell>
          <cell r="I376">
            <v>16.134023869554952</v>
          </cell>
        </row>
        <row r="377">
          <cell r="C377">
            <v>19.692037676551013</v>
          </cell>
          <cell r="I377">
            <v>16.39593984146331</v>
          </cell>
        </row>
        <row r="378">
          <cell r="C378">
            <v>20.11495392195345</v>
          </cell>
          <cell r="I378">
            <v>16.657855813371672</v>
          </cell>
        </row>
        <row r="379">
          <cell r="C379">
            <v>20.247115248641709</v>
          </cell>
          <cell r="I379">
            <v>16.53213614685566</v>
          </cell>
        </row>
        <row r="380">
          <cell r="C380">
            <v>20.392492707998802</v>
          </cell>
          <cell r="I380">
            <v>16.668332452248002</v>
          </cell>
        </row>
        <row r="381">
          <cell r="C381">
            <v>20.511437902018233</v>
          </cell>
          <cell r="I381">
            <v>17.035014812919709</v>
          </cell>
        </row>
        <row r="382">
          <cell r="C382">
            <v>20.524654034687064</v>
          </cell>
          <cell r="I382">
            <v>17.05596809067238</v>
          </cell>
        </row>
        <row r="383">
          <cell r="C383">
            <v>20.551086300024714</v>
          </cell>
          <cell r="I383">
            <v>17.05596809067238</v>
          </cell>
        </row>
        <row r="384">
          <cell r="C384">
            <v>20.670031494044149</v>
          </cell>
          <cell r="I384">
            <v>17.569323395612763</v>
          </cell>
        </row>
        <row r="385">
          <cell r="C385">
            <v>20.788976688063585</v>
          </cell>
          <cell r="I385">
            <v>17.569323395612763</v>
          </cell>
        </row>
        <row r="386">
          <cell r="C386">
            <v>20.894705749414193</v>
          </cell>
          <cell r="I386">
            <v>17.569323395612763</v>
          </cell>
        </row>
        <row r="387">
          <cell r="C387">
            <v>21.013650943433632</v>
          </cell>
          <cell r="I387">
            <v>17.621706589994432</v>
          </cell>
        </row>
        <row r="388">
          <cell r="C388">
            <v>21.119380004784244</v>
          </cell>
          <cell r="I388">
            <v>17.705519701005109</v>
          </cell>
        </row>
        <row r="389">
          <cell r="C389">
            <v>21.185460668128371</v>
          </cell>
          <cell r="I389">
            <v>17.862669284150122</v>
          </cell>
        </row>
        <row r="390">
          <cell r="C390">
            <v>21.383702658160765</v>
          </cell>
          <cell r="I390">
            <v>18.260781561450834</v>
          </cell>
        </row>
        <row r="391">
          <cell r="C391">
            <v>21.489431719511369</v>
          </cell>
          <cell r="I391">
            <v>18.040772145047807</v>
          </cell>
        </row>
        <row r="392">
          <cell r="C392">
            <v>21.634809178868458</v>
          </cell>
          <cell r="I392">
            <v>18.103631978305817</v>
          </cell>
        </row>
        <row r="393">
          <cell r="C393">
            <v>21.70088984221259</v>
          </cell>
          <cell r="I393">
            <v>18.103631978305817</v>
          </cell>
        </row>
        <row r="394">
          <cell r="C394">
            <v>21.872699566907329</v>
          </cell>
          <cell r="I394">
            <v>18.156015172687489</v>
          </cell>
        </row>
        <row r="395">
          <cell r="C395">
            <v>21.991644760926768</v>
          </cell>
          <cell r="I395">
            <v>18.156015172687489</v>
          </cell>
        </row>
        <row r="396">
          <cell r="C396">
            <v>22.295615812309766</v>
          </cell>
          <cell r="I396">
            <v>18.648417199875201</v>
          </cell>
        </row>
        <row r="397">
          <cell r="C397">
            <v>22.374912608322727</v>
          </cell>
          <cell r="I397">
            <v>18.648417199875201</v>
          </cell>
        </row>
        <row r="398">
          <cell r="C398">
            <v>22.493857802342159</v>
          </cell>
          <cell r="I398">
            <v>18.648417199875201</v>
          </cell>
        </row>
        <row r="399">
          <cell r="C399">
            <v>22.639235261699252</v>
          </cell>
          <cell r="I399">
            <v>18.679847116504206</v>
          </cell>
        </row>
        <row r="400">
          <cell r="C400">
            <v>22.784612721056337</v>
          </cell>
          <cell r="I400">
            <v>18.679847116504206</v>
          </cell>
        </row>
        <row r="401">
          <cell r="C401">
            <v>22.9167740477446</v>
          </cell>
          <cell r="I401">
            <v>18.679847116504206</v>
          </cell>
        </row>
        <row r="402">
          <cell r="C402">
            <v>23.352906425815863</v>
          </cell>
          <cell r="I402">
            <v>18.679847116504206</v>
          </cell>
        </row>
        <row r="403">
          <cell r="C403">
            <v>23.524716150510606</v>
          </cell>
          <cell r="I403">
            <v>18.355071311337841</v>
          </cell>
        </row>
        <row r="404">
          <cell r="C404">
            <v>23.643661344530042</v>
          </cell>
          <cell r="I404">
            <v>18.355071311337841</v>
          </cell>
        </row>
        <row r="405">
          <cell r="C405">
            <v>23.74939040588065</v>
          </cell>
          <cell r="I405">
            <v>18.365547950214175</v>
          </cell>
        </row>
        <row r="406">
          <cell r="C406">
            <v>23.815471069224778</v>
          </cell>
          <cell r="I406">
            <v>18.365547950214175</v>
          </cell>
        </row>
        <row r="407">
          <cell r="C407">
            <v>24.026929191926001</v>
          </cell>
          <cell r="I407">
            <v>18.365547950214175</v>
          </cell>
        </row>
        <row r="408">
          <cell r="C408">
            <v>24.502709968003742</v>
          </cell>
          <cell r="I408">
            <v>18.99414628279424</v>
          </cell>
        </row>
        <row r="409">
          <cell r="C409">
            <v>24.687735825367312</v>
          </cell>
          <cell r="I409">
            <v>19.172249143691921</v>
          </cell>
        </row>
        <row r="410">
          <cell r="C410">
            <v>24.872761682730872</v>
          </cell>
          <cell r="I410">
            <v>19.465595032229285</v>
          </cell>
        </row>
        <row r="411">
          <cell r="C411">
            <v>25.34854245880862</v>
          </cell>
          <cell r="I411">
            <v>19.758940920766648</v>
          </cell>
        </row>
        <row r="412">
          <cell r="C412">
            <v>25.779467680608366</v>
          </cell>
          <cell r="I412">
            <v>20.272673384706579</v>
          </cell>
        </row>
        <row r="413">
          <cell r="C413">
            <v>26.007604562737644</v>
          </cell>
          <cell r="I413">
            <v>20.391227030231182</v>
          </cell>
        </row>
        <row r="414">
          <cell r="C414">
            <v>26.894803548795945</v>
          </cell>
          <cell r="I414">
            <v>20.391227030231182</v>
          </cell>
        </row>
        <row r="415">
          <cell r="C415">
            <v>27.275031685678073</v>
          </cell>
          <cell r="I415">
            <v>20.983995257854179</v>
          </cell>
        </row>
        <row r="416">
          <cell r="C416">
            <v>27.553865652724969</v>
          </cell>
          <cell r="I416">
            <v>21.655799249160243</v>
          </cell>
        </row>
        <row r="417">
          <cell r="C417">
            <v>27.807351077313058</v>
          </cell>
          <cell r="I417">
            <v>22.446156885990909</v>
          </cell>
        </row>
        <row r="418">
          <cell r="C418">
            <v>27.832699619771862</v>
          </cell>
          <cell r="I418">
            <v>22.861094645327011</v>
          </cell>
        </row>
        <row r="419">
          <cell r="C419">
            <v>28.136882129277566</v>
          </cell>
          <cell r="I419">
            <v>22.880853586247778</v>
          </cell>
        </row>
        <row r="420">
          <cell r="C420">
            <v>28.694550063371359</v>
          </cell>
          <cell r="I420">
            <v>22.920371468089311</v>
          </cell>
        </row>
        <row r="421">
          <cell r="C421">
            <v>29.201520912547529</v>
          </cell>
          <cell r="I421">
            <v>23.789764868603044</v>
          </cell>
        </row>
        <row r="422">
          <cell r="C422">
            <v>29.632446134347276</v>
          </cell>
          <cell r="I422">
            <v>24.184943687018379</v>
          </cell>
        </row>
        <row r="423">
          <cell r="C423">
            <v>30.392902408111535</v>
          </cell>
          <cell r="I423">
            <v>24.678917210037543</v>
          </cell>
        </row>
        <row r="424">
          <cell r="C424">
            <v>30.899873257287709</v>
          </cell>
          <cell r="I424">
            <v>25.251926496739774</v>
          </cell>
        </row>
        <row r="425">
          <cell r="C425">
            <v>31.508238276299114</v>
          </cell>
          <cell r="I425">
            <v>25.686623196996642</v>
          </cell>
        </row>
        <row r="426">
          <cell r="C426">
            <v>32.724968314321927</v>
          </cell>
          <cell r="I426">
            <v>27.010472238688003</v>
          </cell>
        </row>
        <row r="427">
          <cell r="C427">
            <v>34.093789607097591</v>
          </cell>
          <cell r="I427">
            <v>28.452874925903973</v>
          </cell>
        </row>
        <row r="428">
          <cell r="C428">
            <v>34.752851711026615</v>
          </cell>
          <cell r="I428">
            <v>29.915036554040704</v>
          </cell>
        </row>
        <row r="429">
          <cell r="C429">
            <v>35.107731305449938</v>
          </cell>
          <cell r="I429">
            <v>30.606599486267537</v>
          </cell>
        </row>
        <row r="430">
          <cell r="C430">
            <v>35.310519645120408</v>
          </cell>
          <cell r="I430">
            <v>30.626358427188304</v>
          </cell>
        </row>
        <row r="431">
          <cell r="C431">
            <v>35.614702154626109</v>
          </cell>
          <cell r="I431">
            <v>30.744912072712903</v>
          </cell>
        </row>
        <row r="432">
          <cell r="C432">
            <v>36.121673003802286</v>
          </cell>
          <cell r="I432">
            <v>31.535269709543567</v>
          </cell>
        </row>
        <row r="433">
          <cell r="C433">
            <v>36.552598225602026</v>
          </cell>
          <cell r="I433">
            <v>31.989725350721201</v>
          </cell>
        </row>
        <row r="434">
          <cell r="C434">
            <v>37.008871989860587</v>
          </cell>
          <cell r="I434">
            <v>32.957913455838771</v>
          </cell>
        </row>
        <row r="435">
          <cell r="C435">
            <v>37.49049429657795</v>
          </cell>
          <cell r="I435">
            <v>33.333333333333329</v>
          </cell>
        </row>
        <row r="436">
          <cell r="C436">
            <v>37.972116603295312</v>
          </cell>
          <cell r="I436">
            <v>33.471645919778702</v>
          </cell>
        </row>
        <row r="437">
          <cell r="C437">
            <v>38.174904942965782</v>
          </cell>
          <cell r="I437">
            <v>33.530922742541001</v>
          </cell>
        </row>
        <row r="438">
          <cell r="C438">
            <v>38.910012674271229</v>
          </cell>
          <cell r="I438">
            <v>34.499110847658564</v>
          </cell>
        </row>
        <row r="439">
          <cell r="C439">
            <v>39.340937896070976</v>
          </cell>
          <cell r="I439">
            <v>35.566093657379966</v>
          </cell>
        </row>
        <row r="440">
          <cell r="C440">
            <v>39.543726235741445</v>
          </cell>
          <cell r="I440">
            <v>36.316933412369103</v>
          </cell>
        </row>
        <row r="441">
          <cell r="C441">
            <v>39.619771863117876</v>
          </cell>
          <cell r="I441">
            <v>36.672594348942894</v>
          </cell>
        </row>
        <row r="442">
          <cell r="C442">
            <v>40.177439797211662</v>
          </cell>
          <cell r="I442">
            <v>36.949219521833633</v>
          </cell>
        </row>
        <row r="443">
          <cell r="C443">
            <v>40.70975918884664</v>
          </cell>
          <cell r="I443">
            <v>37.008496344595933</v>
          </cell>
        </row>
        <row r="444">
          <cell r="C444">
            <v>41.444866920152094</v>
          </cell>
          <cell r="I444">
            <v>37.798853981426596</v>
          </cell>
        </row>
        <row r="445">
          <cell r="C445">
            <v>42.027883396704695</v>
          </cell>
          <cell r="I445">
            <v>38.510175854574193</v>
          </cell>
        </row>
        <row r="446">
          <cell r="C446">
            <v>42.585551330798481</v>
          </cell>
          <cell r="I446">
            <v>38.865836791147991</v>
          </cell>
        </row>
        <row r="447">
          <cell r="C447">
            <v>43.700887198986059</v>
          </cell>
          <cell r="I447">
            <v>39.280774550484097</v>
          </cell>
        </row>
        <row r="448">
          <cell r="C448">
            <v>44.131812420785806</v>
          </cell>
          <cell r="I448">
            <v>39.122703023117964</v>
          </cell>
        </row>
        <row r="449">
          <cell r="C449">
            <v>44.562737642585553</v>
          </cell>
          <cell r="I449">
            <v>39.261015609563323</v>
          </cell>
        </row>
        <row r="450">
          <cell r="C450">
            <v>45.703422053231947</v>
          </cell>
          <cell r="I450">
            <v>40.090891128235526</v>
          </cell>
        </row>
        <row r="451">
          <cell r="C451">
            <v>46.058301647655256</v>
          </cell>
          <cell r="I451">
            <v>41.572811697293027</v>
          </cell>
        </row>
        <row r="452">
          <cell r="C452">
            <v>46.539923954372625</v>
          </cell>
          <cell r="I452">
            <v>42.382928275044456</v>
          </cell>
        </row>
        <row r="453">
          <cell r="C453">
            <v>46.590621039290248</v>
          </cell>
          <cell r="I453">
            <v>42.797866034380554</v>
          </cell>
        </row>
        <row r="454">
          <cell r="C454">
            <v>46.818757921419518</v>
          </cell>
          <cell r="I454">
            <v>42.936178620825928</v>
          </cell>
        </row>
        <row r="455">
          <cell r="C455">
            <v>47.072243346007603</v>
          </cell>
          <cell r="I455">
            <v>42.975696502667461</v>
          </cell>
        </row>
        <row r="456">
          <cell r="C456">
            <v>47.275031685678073</v>
          </cell>
          <cell r="I456">
            <v>43.627741553052758</v>
          </cell>
        </row>
        <row r="457">
          <cell r="C457">
            <v>47.503168567807357</v>
          </cell>
          <cell r="I457">
            <v>43.528946848448925</v>
          </cell>
        </row>
        <row r="458">
          <cell r="C458">
            <v>47.756653992395442</v>
          </cell>
          <cell r="I458">
            <v>43.469670025686625</v>
          </cell>
        </row>
        <row r="459">
          <cell r="C459">
            <v>48.035487959442335</v>
          </cell>
          <cell r="I459">
            <v>43.449911084765859</v>
          </cell>
        </row>
        <row r="460">
          <cell r="C460">
            <v>48.314321926489228</v>
          </cell>
          <cell r="I460">
            <v>43.687018375815057</v>
          </cell>
        </row>
        <row r="461">
          <cell r="C461">
            <v>48.618504435994936</v>
          </cell>
          <cell r="I461">
            <v>43.864848844101957</v>
          </cell>
        </row>
        <row r="462">
          <cell r="C462">
            <v>49.328263624841576</v>
          </cell>
          <cell r="I462">
            <v>44.180991898834222</v>
          </cell>
        </row>
        <row r="463">
          <cell r="C463">
            <v>49.607097591888468</v>
          </cell>
          <cell r="I463">
            <v>44.734242244615693</v>
          </cell>
        </row>
        <row r="464">
          <cell r="C464">
            <v>49.987325728770593</v>
          </cell>
          <cell r="I464">
            <v>45.228215767634858</v>
          </cell>
        </row>
        <row r="465">
          <cell r="C465">
            <v>50.215462610899877</v>
          </cell>
          <cell r="I465">
            <v>45.564117763287889</v>
          </cell>
        </row>
        <row r="466">
          <cell r="C466">
            <v>50.544993662864385</v>
          </cell>
          <cell r="I466">
            <v>45.564117763287889</v>
          </cell>
        </row>
        <row r="467">
          <cell r="C467">
            <v>50.747782002534855</v>
          </cell>
          <cell r="I467">
            <v>45.564117763287889</v>
          </cell>
        </row>
        <row r="468">
          <cell r="C468">
            <v>50.975918884664132</v>
          </cell>
          <cell r="I468">
            <v>45.50484094052559</v>
          </cell>
        </row>
        <row r="469">
          <cell r="C469">
            <v>51.330798479087456</v>
          </cell>
          <cell r="I469">
            <v>46.176644931831653</v>
          </cell>
        </row>
        <row r="470">
          <cell r="C470">
            <v>51.761723700887195</v>
          </cell>
          <cell r="I470">
            <v>45.998814463544754</v>
          </cell>
        </row>
        <row r="471">
          <cell r="C471">
            <v>52.522179974651458</v>
          </cell>
          <cell r="I471">
            <v>46.058091286307054</v>
          </cell>
        </row>
        <row r="472">
          <cell r="C472">
            <v>52.953105196451205</v>
          </cell>
          <cell r="I472">
            <v>46.314957518277019</v>
          </cell>
        </row>
        <row r="473">
          <cell r="C473">
            <v>53.384030418250951</v>
          </cell>
          <cell r="I473">
            <v>46.690377395771591</v>
          </cell>
        </row>
        <row r="474">
          <cell r="C474">
            <v>54.29657794676806</v>
          </cell>
          <cell r="I474">
            <v>46.868207864058483</v>
          </cell>
        </row>
        <row r="475">
          <cell r="C475">
            <v>54.727503168567814</v>
          </cell>
          <cell r="I475">
            <v>47.026279391424623</v>
          </cell>
        </row>
        <row r="476">
          <cell r="C476">
            <v>55.665399239543724</v>
          </cell>
          <cell r="I476">
            <v>47.67832444180992</v>
          </cell>
        </row>
        <row r="477">
          <cell r="C477">
            <v>58.073510773130543</v>
          </cell>
          <cell r="I477">
            <v>49.713495356648885</v>
          </cell>
        </row>
        <row r="478">
          <cell r="C478">
            <v>58.529784537389105</v>
          </cell>
          <cell r="I478">
            <v>50.819996048211813</v>
          </cell>
        </row>
        <row r="479">
          <cell r="C479">
            <v>59.112801013941699</v>
          </cell>
          <cell r="I479">
            <v>51.788184153329389</v>
          </cell>
        </row>
        <row r="480">
          <cell r="C480">
            <v>59.721166032953107</v>
          </cell>
          <cell r="I480">
            <v>52.459988144635446</v>
          </cell>
        </row>
        <row r="481">
          <cell r="C481">
            <v>60.253485424588085</v>
          </cell>
          <cell r="I481">
            <v>54.040703418296779</v>
          </cell>
        </row>
        <row r="482">
          <cell r="C482">
            <v>60.684410646387839</v>
          </cell>
          <cell r="I482">
            <v>54.495159059474418</v>
          </cell>
        </row>
        <row r="483">
          <cell r="C483">
            <v>62.179974651457549</v>
          </cell>
          <cell r="I483">
            <v>54.752025291444383</v>
          </cell>
        </row>
        <row r="484">
          <cell r="C484">
            <v>63.06717363751585</v>
          </cell>
          <cell r="I484">
            <v>54.969373641572808</v>
          </cell>
        </row>
        <row r="485">
          <cell r="C485">
            <v>63.929024081115337</v>
          </cell>
          <cell r="I485">
            <v>55.779490219324245</v>
          </cell>
        </row>
        <row r="486">
          <cell r="C486">
            <v>66.108998732572886</v>
          </cell>
          <cell r="I486">
            <v>57.123098201936379</v>
          </cell>
        </row>
        <row r="487">
          <cell r="C487">
            <v>66.717363751584287</v>
          </cell>
          <cell r="I487">
            <v>59.375617466903776</v>
          </cell>
        </row>
        <row r="488">
          <cell r="C488">
            <v>67.351077313054503</v>
          </cell>
          <cell r="I488">
            <v>62.299940723177244</v>
          </cell>
        </row>
        <row r="489">
          <cell r="C489">
            <v>67.908745247148289</v>
          </cell>
          <cell r="I489">
            <v>63.781861292234737</v>
          </cell>
        </row>
        <row r="490">
          <cell r="C490">
            <v>68.06083650190115</v>
          </cell>
          <cell r="I490">
            <v>64.038727524204702</v>
          </cell>
        </row>
        <row r="491">
          <cell r="C491">
            <v>68.49176172370089</v>
          </cell>
          <cell r="I491">
            <v>65.362576565896077</v>
          </cell>
        </row>
        <row r="492">
          <cell r="C492">
            <v>68.922686945500629</v>
          </cell>
          <cell r="I492">
            <v>66.666666666666657</v>
          </cell>
        </row>
        <row r="493">
          <cell r="C493">
            <v>69.480354879594429</v>
          </cell>
          <cell r="I493">
            <v>68.919185931634061</v>
          </cell>
        </row>
        <row r="494">
          <cell r="C494">
            <v>69.860583016476568</v>
          </cell>
          <cell r="I494">
            <v>69.432918395573992</v>
          </cell>
        </row>
        <row r="495">
          <cell r="C495">
            <v>70.291508238276307</v>
          </cell>
          <cell r="I495">
            <v>70.282552855166955</v>
          </cell>
        </row>
        <row r="496">
          <cell r="C496">
            <v>70.925221799746524</v>
          </cell>
          <cell r="I496">
            <v>70.618454850819987</v>
          </cell>
        </row>
        <row r="497">
          <cell r="C497">
            <v>71.98986058301648</v>
          </cell>
          <cell r="I497">
            <v>70.638213791740768</v>
          </cell>
        </row>
        <row r="498">
          <cell r="C498">
            <v>74.06844106463879</v>
          </cell>
          <cell r="I498">
            <v>71.724955542382929</v>
          </cell>
        </row>
        <row r="499">
          <cell r="C499">
            <v>74.55006337135616</v>
          </cell>
          <cell r="I499">
            <v>73.760126457221901</v>
          </cell>
        </row>
        <row r="500">
          <cell r="C500">
            <v>74.980988593155899</v>
          </cell>
          <cell r="I500">
            <v>75.913851017585458</v>
          </cell>
        </row>
        <row r="501">
          <cell r="C501">
            <v>75.310519645120408</v>
          </cell>
          <cell r="I501">
            <v>76.901798063623787</v>
          </cell>
        </row>
        <row r="502">
          <cell r="C502">
            <v>75.868187579214208</v>
          </cell>
          <cell r="I502">
            <v>77.652637818612916</v>
          </cell>
        </row>
        <row r="503">
          <cell r="C503">
            <v>76.299112801013948</v>
          </cell>
          <cell r="I503">
            <v>77.69215570045445</v>
          </cell>
        </row>
        <row r="504">
          <cell r="C504">
            <v>76.98352344740178</v>
          </cell>
          <cell r="I504">
            <v>78.32444180991898</v>
          </cell>
        </row>
        <row r="505">
          <cell r="C505">
            <v>77.794676806083643</v>
          </cell>
          <cell r="I505">
            <v>78.739379569255092</v>
          </cell>
        </row>
        <row r="506">
          <cell r="C506">
            <v>78.276299112801027</v>
          </cell>
          <cell r="I506">
            <v>78.759138510175859</v>
          </cell>
        </row>
        <row r="507">
          <cell r="C507">
            <v>78.732572877059582</v>
          </cell>
          <cell r="I507">
            <v>79.411183560561156</v>
          </cell>
        </row>
        <row r="508">
          <cell r="C508">
            <v>78.757921419518382</v>
          </cell>
          <cell r="I508">
            <v>80.320094842916419</v>
          </cell>
        </row>
        <row r="509">
          <cell r="C509">
            <v>79.442332065906214</v>
          </cell>
          <cell r="I509">
            <v>81.051175656984782</v>
          </cell>
        </row>
        <row r="510">
          <cell r="C510">
            <v>81.039290240811155</v>
          </cell>
          <cell r="I510">
            <v>82.236712112230776</v>
          </cell>
        </row>
        <row r="511">
          <cell r="C511">
            <v>81.622306717363756</v>
          </cell>
          <cell r="I511">
            <v>84.192847263386682</v>
          </cell>
        </row>
        <row r="512">
          <cell r="C512">
            <v>81.850443599493033</v>
          </cell>
          <cell r="I512">
            <v>86.148982414542587</v>
          </cell>
        </row>
        <row r="513">
          <cell r="C513">
            <v>81.875792141951848</v>
          </cell>
          <cell r="I513">
            <v>87.176447342422449</v>
          </cell>
        </row>
        <row r="514">
          <cell r="C514">
            <v>81.901140684410649</v>
          </cell>
          <cell r="I514">
            <v>88.006322861094645</v>
          </cell>
        </row>
        <row r="515">
          <cell r="C515">
            <v>81.850443599493033</v>
          </cell>
          <cell r="I515">
            <v>88.026081802015412</v>
          </cell>
        </row>
        <row r="516">
          <cell r="C516">
            <v>82.256020278833972</v>
          </cell>
          <cell r="I516">
            <v>88.717644734242242</v>
          </cell>
        </row>
        <row r="517">
          <cell r="C517">
            <v>82.661596958174911</v>
          </cell>
          <cell r="I517">
            <v>90.515708358032015</v>
          </cell>
        </row>
        <row r="518">
          <cell r="C518">
            <v>82.50950570342205</v>
          </cell>
          <cell r="I518">
            <v>91.46413752222881</v>
          </cell>
        </row>
        <row r="519">
          <cell r="C519">
            <v>82.610899873257281</v>
          </cell>
          <cell r="I519">
            <v>92.27425409998024</v>
          </cell>
        </row>
        <row r="520">
          <cell r="C520">
            <v>82.965779467680619</v>
          </cell>
          <cell r="I520">
            <v>91.839557399723375</v>
          </cell>
        </row>
        <row r="521">
          <cell r="C521">
            <v>83.117870722433452</v>
          </cell>
          <cell r="I521">
            <v>91.997628927089508</v>
          </cell>
        </row>
        <row r="522">
          <cell r="C522">
            <v>84.283903675538653</v>
          </cell>
          <cell r="I522">
            <v>91.977869986168741</v>
          </cell>
        </row>
        <row r="523">
          <cell r="C523">
            <v>84.638783269961976</v>
          </cell>
          <cell r="I523">
            <v>91.404860699466511</v>
          </cell>
        </row>
        <row r="524">
          <cell r="C524">
            <v>84.841571609632453</v>
          </cell>
          <cell r="I524">
            <v>91.246789172100378</v>
          </cell>
        </row>
        <row r="525">
          <cell r="C525">
            <v>85.297845373891008</v>
          </cell>
          <cell r="I525">
            <v>91.266548113021145</v>
          </cell>
        </row>
        <row r="526">
          <cell r="C526">
            <v>85.678073510773132</v>
          </cell>
          <cell r="I526">
            <v>91.918593163406442</v>
          </cell>
        </row>
        <row r="527">
          <cell r="C527">
            <v>86.05830164765527</v>
          </cell>
          <cell r="I527">
            <v>92.076664690772574</v>
          </cell>
        </row>
        <row r="528">
          <cell r="C528">
            <v>86.362484157160964</v>
          </cell>
          <cell r="I528">
            <v>92.21497727721794</v>
          </cell>
        </row>
        <row r="529">
          <cell r="C529">
            <v>86.666666666666671</v>
          </cell>
          <cell r="I529">
            <v>92.629915036554038</v>
          </cell>
        </row>
        <row r="530">
          <cell r="C530">
            <v>86.894803548795949</v>
          </cell>
          <cell r="I530">
            <v>92.669432918395572</v>
          </cell>
        </row>
        <row r="531">
          <cell r="C531">
            <v>86.844106463878333</v>
          </cell>
          <cell r="I531">
            <v>92.728709741157871</v>
          </cell>
        </row>
        <row r="532">
          <cell r="C532">
            <v>87.198986058301656</v>
          </cell>
          <cell r="I532">
            <v>93.28196008693935</v>
          </cell>
        </row>
        <row r="533">
          <cell r="C533">
            <v>87.477820025348549</v>
          </cell>
          <cell r="I533">
            <v>93.6573799644339</v>
          </cell>
        </row>
        <row r="534">
          <cell r="C534">
            <v>88.643852978453737</v>
          </cell>
          <cell r="I534">
            <v>93.993281960086932</v>
          </cell>
        </row>
        <row r="535">
          <cell r="C535">
            <v>88.973384030418259</v>
          </cell>
          <cell r="I535">
            <v>94.368701837581511</v>
          </cell>
        </row>
        <row r="536">
          <cell r="C536">
            <v>89.201520912547522</v>
          </cell>
          <cell r="I536">
            <v>94.704603833234543</v>
          </cell>
        </row>
        <row r="537">
          <cell r="C537">
            <v>89.100126742712291</v>
          </cell>
          <cell r="I537">
            <v>94.823157478759128</v>
          </cell>
        </row>
        <row r="538">
          <cell r="C538">
            <v>89.936628643852984</v>
          </cell>
          <cell r="I538">
            <v>94.902193242442209</v>
          </cell>
        </row>
        <row r="539">
          <cell r="C539">
            <v>90.114068441064646</v>
          </cell>
          <cell r="I539">
            <v>94.961470065204509</v>
          </cell>
        </row>
        <row r="540">
          <cell r="C540">
            <v>90.671736375158432</v>
          </cell>
          <cell r="I540">
            <v>95.435684647302907</v>
          </cell>
        </row>
        <row r="541">
          <cell r="C541">
            <v>90.950570342205324</v>
          </cell>
          <cell r="I541">
            <v>96.028452874925904</v>
          </cell>
        </row>
        <row r="542">
          <cell r="C542">
            <v>90.874524714828894</v>
          </cell>
          <cell r="I542">
            <v>96.285319106895869</v>
          </cell>
        </row>
        <row r="543">
          <cell r="C543">
            <v>91.204055766793417</v>
          </cell>
          <cell r="I543">
            <v>96.324836988737403</v>
          </cell>
        </row>
        <row r="544">
          <cell r="C544">
            <v>91.939163498098864</v>
          </cell>
          <cell r="I544">
            <v>96.561944279786601</v>
          </cell>
        </row>
        <row r="545">
          <cell r="C545">
            <v>92.801013941698358</v>
          </cell>
          <cell r="I545">
            <v>97.154712507409599</v>
          </cell>
        </row>
        <row r="546">
          <cell r="C546">
            <v>94.778200253485423</v>
          </cell>
          <cell r="I546">
            <v>98.280972139893294</v>
          </cell>
        </row>
        <row r="547">
          <cell r="C547">
            <v>95.209125475285177</v>
          </cell>
          <cell r="I547">
            <v>98.49832049002174</v>
          </cell>
        </row>
        <row r="548">
          <cell r="C548">
            <v>95.411913814955639</v>
          </cell>
          <cell r="I548">
            <v>98.873740367516291</v>
          </cell>
        </row>
        <row r="549">
          <cell r="C549">
            <v>95.234474017743977</v>
          </cell>
          <cell r="I549">
            <v>99.091088717644737</v>
          </cell>
        </row>
        <row r="550">
          <cell r="C550">
            <v>95.48795944233207</v>
          </cell>
          <cell r="I550">
            <v>99.30843706777317</v>
          </cell>
        </row>
        <row r="551">
          <cell r="C551">
            <v>95.437262357414454</v>
          </cell>
          <cell r="I551">
            <v>99.723374827109268</v>
          </cell>
        </row>
        <row r="552">
          <cell r="C552">
            <v>95.589353612167315</v>
          </cell>
          <cell r="I552">
            <v>99.723374827109268</v>
          </cell>
        </row>
        <row r="553">
          <cell r="C553">
            <v>95.918884664131809</v>
          </cell>
          <cell r="I553">
            <v>100.13831258644537</v>
          </cell>
        </row>
        <row r="554">
          <cell r="C554">
            <v>96.045627376425855</v>
          </cell>
          <cell r="I554">
            <v>100.25686623196997</v>
          </cell>
        </row>
        <row r="555">
          <cell r="C555">
            <v>96.248415716096332</v>
          </cell>
          <cell r="I555">
            <v>100.1778304682869</v>
          </cell>
        </row>
        <row r="556">
          <cell r="C556">
            <v>96.603295310519655</v>
          </cell>
          <cell r="I556">
            <v>100.1778304682869</v>
          </cell>
        </row>
        <row r="557">
          <cell r="C557">
            <v>96.730038022813702</v>
          </cell>
          <cell r="I557">
            <v>100.1778304682869</v>
          </cell>
        </row>
        <row r="558">
          <cell r="C558">
            <v>97.667934093789611</v>
          </cell>
          <cell r="I558">
            <v>100.13831258644537</v>
          </cell>
        </row>
        <row r="559">
          <cell r="C559">
            <v>97.845373891001273</v>
          </cell>
          <cell r="I559">
            <v>99.624580122505435</v>
          </cell>
        </row>
        <row r="560">
          <cell r="C560">
            <v>97.794676806083658</v>
          </cell>
          <cell r="I560">
            <v>99.743133768030035</v>
          </cell>
        </row>
        <row r="561">
          <cell r="C561">
            <v>97.51584283903675</v>
          </cell>
          <cell r="I561">
            <v>99.782651649871568</v>
          </cell>
        </row>
        <row r="562">
          <cell r="C562">
            <v>97.820025348542458</v>
          </cell>
          <cell r="I562">
            <v>99.9407231772377</v>
          </cell>
        </row>
        <row r="563">
          <cell r="C563">
            <v>98.301647655259828</v>
          </cell>
          <cell r="I563">
            <v>100.1185536455246</v>
          </cell>
        </row>
        <row r="564">
          <cell r="C564">
            <v>98.453738910012675</v>
          </cell>
          <cell r="I564">
            <v>100.0592768227623</v>
          </cell>
        </row>
        <row r="565">
          <cell r="C565">
            <v>99.290240811153353</v>
          </cell>
          <cell r="I565">
            <v>100</v>
          </cell>
        </row>
        <row r="566">
          <cell r="C566">
            <v>99.619771863117876</v>
          </cell>
          <cell r="I566">
            <v>99.841928472633867</v>
          </cell>
        </row>
        <row r="567">
          <cell r="C567">
            <v>100</v>
          </cell>
          <cell r="I567">
            <v>100</v>
          </cell>
        </row>
        <row r="568">
          <cell r="C568">
            <v>100.4</v>
          </cell>
          <cell r="I568">
            <v>100</v>
          </cell>
        </row>
        <row r="569">
          <cell r="C569">
            <v>100.6</v>
          </cell>
          <cell r="I569">
            <v>99.8</v>
          </cell>
        </row>
        <row r="570">
          <cell r="C570">
            <v>101.8</v>
          </cell>
          <cell r="I570">
            <v>99.9</v>
          </cell>
        </row>
        <row r="571">
          <cell r="C571">
            <v>101.9</v>
          </cell>
          <cell r="I571">
            <v>99.4</v>
          </cell>
        </row>
        <row r="572">
          <cell r="C572">
            <v>101.9</v>
          </cell>
          <cell r="I572">
            <v>99.4</v>
          </cell>
        </row>
        <row r="573">
          <cell r="C573">
            <v>101.8</v>
          </cell>
          <cell r="I573">
            <v>99.1</v>
          </cell>
        </row>
        <row r="574">
          <cell r="C574">
            <v>102.1</v>
          </cell>
          <cell r="I574">
            <v>99</v>
          </cell>
        </row>
        <row r="575">
          <cell r="C575">
            <v>102.4</v>
          </cell>
          <cell r="I575">
            <v>98.5</v>
          </cell>
        </row>
        <row r="576">
          <cell r="C576">
            <v>102.9</v>
          </cell>
          <cell r="I576">
            <v>98</v>
          </cell>
        </row>
        <row r="577">
          <cell r="C577">
            <v>103.4</v>
          </cell>
          <cell r="I577">
            <v>98.3</v>
          </cell>
        </row>
        <row r="578">
          <cell r="C578">
            <v>103.3</v>
          </cell>
          <cell r="I578">
            <v>98.2</v>
          </cell>
        </row>
        <row r="579">
          <cell r="C579">
            <v>103.3</v>
          </cell>
          <cell r="I579">
            <v>98.3</v>
          </cell>
        </row>
        <row r="580">
          <cell r="C580">
            <v>103.7</v>
          </cell>
          <cell r="I580">
            <v>98</v>
          </cell>
        </row>
        <row r="581">
          <cell r="C581">
            <v>104.1</v>
          </cell>
          <cell r="I581">
            <v>97.8</v>
          </cell>
        </row>
        <row r="582">
          <cell r="C582">
            <v>105.8</v>
          </cell>
          <cell r="I582">
            <v>99.1</v>
          </cell>
        </row>
        <row r="583">
          <cell r="C583">
            <v>106.2</v>
          </cell>
          <cell r="I583">
            <v>100.7</v>
          </cell>
        </row>
        <row r="584">
          <cell r="C584">
            <v>106.6</v>
          </cell>
          <cell r="I584">
            <v>102.4</v>
          </cell>
        </row>
        <row r="585">
          <cell r="C585">
            <v>106.7</v>
          </cell>
          <cell r="I585">
            <v>103.6</v>
          </cell>
        </row>
        <row r="586">
          <cell r="C586">
            <v>107.9</v>
          </cell>
          <cell r="I586">
            <v>103.4</v>
          </cell>
        </row>
        <row r="587">
          <cell r="C587">
            <v>108.4</v>
          </cell>
          <cell r="I587">
            <v>103.6</v>
          </cell>
        </row>
        <row r="588">
          <cell r="C588">
            <v>109.5</v>
          </cell>
          <cell r="I588">
            <v>103.7</v>
          </cell>
        </row>
        <row r="589">
          <cell r="C589">
            <v>110</v>
          </cell>
          <cell r="I589">
            <v>103.9</v>
          </cell>
        </row>
        <row r="590">
          <cell r="C590">
            <v>110.3</v>
          </cell>
          <cell r="I590">
            <v>104.1</v>
          </cell>
        </row>
        <row r="591">
          <cell r="C591">
            <v>111</v>
          </cell>
          <cell r="I591">
            <v>104.2</v>
          </cell>
        </row>
        <row r="592">
          <cell r="C592">
            <v>111.8</v>
          </cell>
          <cell r="I592">
            <v>104.2</v>
          </cell>
        </row>
        <row r="593">
          <cell r="C593">
            <v>112.3</v>
          </cell>
          <cell r="I593">
            <v>104.3</v>
          </cell>
        </row>
        <row r="594">
          <cell r="C594">
            <v>114.3</v>
          </cell>
          <cell r="I594">
            <v>105.4</v>
          </cell>
        </row>
        <row r="595">
          <cell r="C595">
            <v>115</v>
          </cell>
          <cell r="I595">
            <v>106.4</v>
          </cell>
        </row>
        <row r="596">
          <cell r="C596">
            <v>115.4</v>
          </cell>
          <cell r="I596">
            <v>107.6</v>
          </cell>
        </row>
        <row r="597">
          <cell r="C597">
            <v>115.5</v>
          </cell>
          <cell r="I597">
            <v>108.4</v>
          </cell>
        </row>
        <row r="598">
          <cell r="C598">
            <v>115.8</v>
          </cell>
          <cell r="I598">
            <v>108.7</v>
          </cell>
        </row>
        <row r="599">
          <cell r="C599">
            <v>116.6</v>
          </cell>
          <cell r="I599">
            <v>109</v>
          </cell>
        </row>
        <row r="600">
          <cell r="C600">
            <v>117.5</v>
          </cell>
          <cell r="I600">
            <v>109.4</v>
          </cell>
        </row>
        <row r="601">
          <cell r="C601">
            <v>118.5</v>
          </cell>
          <cell r="I601">
            <v>109.7</v>
          </cell>
        </row>
        <row r="602">
          <cell r="C602">
            <v>118.8</v>
          </cell>
          <cell r="I602">
            <v>110</v>
          </cell>
        </row>
        <row r="603">
          <cell r="C603">
            <v>119.5</v>
          </cell>
          <cell r="I603">
            <v>110.6</v>
          </cell>
        </row>
        <row r="604">
          <cell r="C604">
            <v>120.2</v>
          </cell>
          <cell r="I604">
            <v>109.9</v>
          </cell>
        </row>
        <row r="605">
          <cell r="C605">
            <v>121.4</v>
          </cell>
          <cell r="I605">
            <v>110.1</v>
          </cell>
        </row>
        <row r="606">
          <cell r="C606">
            <v>125.1</v>
          </cell>
          <cell r="I606">
            <v>111.7</v>
          </cell>
        </row>
        <row r="607">
          <cell r="C607">
            <v>126.2</v>
          </cell>
          <cell r="I607">
            <v>114.3</v>
          </cell>
        </row>
        <row r="608">
          <cell r="C608">
            <v>126.7</v>
          </cell>
          <cell r="I608">
            <v>116</v>
          </cell>
        </row>
        <row r="609">
          <cell r="C609">
            <v>126.8</v>
          </cell>
          <cell r="I609">
            <v>116.7</v>
          </cell>
        </row>
        <row r="610">
          <cell r="C610">
            <v>128.1</v>
          </cell>
          <cell r="I610">
            <v>118.6</v>
          </cell>
        </row>
        <row r="611">
          <cell r="C611">
            <v>129.30000000000001</v>
          </cell>
          <cell r="I611">
            <v>119.5</v>
          </cell>
        </row>
        <row r="612">
          <cell r="C612">
            <v>130.30000000000001</v>
          </cell>
          <cell r="I612">
            <v>121.9</v>
          </cell>
        </row>
        <row r="613">
          <cell r="C613">
            <v>130</v>
          </cell>
          <cell r="I613">
            <v>120.8</v>
          </cell>
        </row>
        <row r="614">
          <cell r="C614">
            <v>129.9</v>
          </cell>
          <cell r="I614">
            <v>120.5</v>
          </cell>
        </row>
        <row r="615">
          <cell r="C615">
            <v>130.19999999999999</v>
          </cell>
          <cell r="I615">
            <v>121.6</v>
          </cell>
        </row>
        <row r="616">
          <cell r="C616">
            <v>130.9</v>
          </cell>
          <cell r="I616">
            <v>121.6</v>
          </cell>
        </row>
        <row r="617">
          <cell r="C617">
            <v>131.4</v>
          </cell>
          <cell r="I617">
            <v>120.2</v>
          </cell>
        </row>
        <row r="618">
          <cell r="C618">
            <v>133.1</v>
          </cell>
          <cell r="I618">
            <v>121.3</v>
          </cell>
        </row>
        <row r="619">
          <cell r="C619">
            <v>133.5</v>
          </cell>
          <cell r="I619">
            <v>123.5</v>
          </cell>
        </row>
        <row r="620">
          <cell r="C620">
            <v>134.1</v>
          </cell>
          <cell r="I620">
            <v>125.7</v>
          </cell>
        </row>
        <row r="621">
          <cell r="C621">
            <v>133.80000000000001</v>
          </cell>
          <cell r="I621">
            <v>127.2</v>
          </cell>
        </row>
        <row r="622">
          <cell r="C622">
            <v>134.1</v>
          </cell>
          <cell r="I622">
            <v>127.6</v>
          </cell>
        </row>
        <row r="623">
          <cell r="C623">
            <v>134.6</v>
          </cell>
          <cell r="I623">
            <v>128</v>
          </cell>
        </row>
        <row r="624">
          <cell r="C624">
            <v>135.1</v>
          </cell>
          <cell r="I624">
            <v>128</v>
          </cell>
        </row>
        <row r="625">
          <cell r="C625">
            <v>135.6</v>
          </cell>
          <cell r="I625">
            <v>128.30000000000001</v>
          </cell>
        </row>
        <row r="626">
          <cell r="C626">
            <v>135.69999999999999</v>
          </cell>
          <cell r="I626">
            <v>128</v>
          </cell>
        </row>
        <row r="627">
          <cell r="C627">
            <v>135.6</v>
          </cell>
          <cell r="I627">
            <v>127.7</v>
          </cell>
        </row>
        <row r="628">
          <cell r="C628">
            <v>136.30000000000001</v>
          </cell>
          <cell r="I628">
            <v>127.8</v>
          </cell>
        </row>
        <row r="629">
          <cell r="C629">
            <v>136.69999999999999</v>
          </cell>
          <cell r="I629">
            <v>127.6</v>
          </cell>
        </row>
        <row r="630">
          <cell r="C630">
            <v>138.80000000000001</v>
          </cell>
          <cell r="I630">
            <v>127.8</v>
          </cell>
        </row>
        <row r="631">
          <cell r="C631">
            <v>139.30000000000001</v>
          </cell>
          <cell r="I631">
            <v>128.19999999999999</v>
          </cell>
        </row>
        <row r="632">
          <cell r="C632">
            <v>139.30000000000001</v>
          </cell>
          <cell r="I632">
            <v>128.30000000000001</v>
          </cell>
        </row>
        <row r="633">
          <cell r="C633">
            <v>138.80000000000001</v>
          </cell>
          <cell r="I633">
            <v>128.4</v>
          </cell>
        </row>
        <row r="634">
          <cell r="C634">
            <v>138.9</v>
          </cell>
          <cell r="I634">
            <v>127.8</v>
          </cell>
        </row>
        <row r="635">
          <cell r="C635">
            <v>139.4</v>
          </cell>
          <cell r="I635">
            <v>127.5</v>
          </cell>
        </row>
        <row r="636">
          <cell r="C636">
            <v>139.9</v>
          </cell>
          <cell r="I636">
            <v>127.7</v>
          </cell>
        </row>
        <row r="637">
          <cell r="C637">
            <v>139.69999999999999</v>
          </cell>
          <cell r="I637">
            <v>127.8</v>
          </cell>
        </row>
        <row r="638">
          <cell r="C638">
            <v>139.19999999999999</v>
          </cell>
          <cell r="I638">
            <v>127.4</v>
          </cell>
        </row>
        <row r="639">
          <cell r="C639">
            <v>137.9</v>
          </cell>
          <cell r="I639">
            <v>127.1</v>
          </cell>
        </row>
        <row r="640">
          <cell r="C640">
            <v>138.80000000000001</v>
          </cell>
          <cell r="I640">
            <v>127.1</v>
          </cell>
        </row>
        <row r="641">
          <cell r="C641">
            <v>139.30000000000001</v>
          </cell>
          <cell r="I641">
            <v>127.3</v>
          </cell>
        </row>
        <row r="642">
          <cell r="C642">
            <v>140.6</v>
          </cell>
          <cell r="I642">
            <v>127</v>
          </cell>
        </row>
        <row r="643">
          <cell r="C643">
            <v>141.1</v>
          </cell>
          <cell r="I643">
            <v>126.2</v>
          </cell>
        </row>
        <row r="644">
          <cell r="C644">
            <v>141</v>
          </cell>
          <cell r="I644">
            <v>125.7</v>
          </cell>
        </row>
        <row r="645">
          <cell r="C645">
            <v>140.69999999999999</v>
          </cell>
          <cell r="I645">
            <v>125.4</v>
          </cell>
        </row>
        <row r="646">
          <cell r="C646">
            <v>141.30000000000001</v>
          </cell>
          <cell r="I646">
            <v>125.4</v>
          </cell>
        </row>
        <row r="647">
          <cell r="C647">
            <v>141.9</v>
          </cell>
          <cell r="I647">
            <v>125.7</v>
          </cell>
        </row>
        <row r="648">
          <cell r="C648">
            <v>141.80000000000001</v>
          </cell>
          <cell r="I648">
            <v>125.9</v>
          </cell>
        </row>
        <row r="649">
          <cell r="C649">
            <v>141.6</v>
          </cell>
          <cell r="I649">
            <v>125.8</v>
          </cell>
        </row>
        <row r="650">
          <cell r="C650">
            <v>141.9</v>
          </cell>
          <cell r="I650">
            <v>125.6</v>
          </cell>
        </row>
        <row r="651">
          <cell r="C651">
            <v>141.30000000000001</v>
          </cell>
          <cell r="I651">
            <v>125.4</v>
          </cell>
        </row>
        <row r="652">
          <cell r="C652">
            <v>142.1</v>
          </cell>
          <cell r="I652">
            <v>124.9</v>
          </cell>
        </row>
        <row r="653">
          <cell r="C653">
            <v>142.5</v>
          </cell>
          <cell r="I653">
            <v>124.5</v>
          </cell>
        </row>
        <row r="654">
          <cell r="C654">
            <v>144.19999999999999</v>
          </cell>
          <cell r="I654">
            <v>134.30000000000001</v>
          </cell>
        </row>
        <row r="655">
          <cell r="C655">
            <v>144.69999999999999</v>
          </cell>
          <cell r="I655">
            <v>133.80000000000001</v>
          </cell>
        </row>
        <row r="656">
          <cell r="C656">
            <v>144.69999999999999</v>
          </cell>
          <cell r="I656">
            <v>133.69999999999999</v>
          </cell>
        </row>
        <row r="657">
          <cell r="C657">
            <v>144</v>
          </cell>
          <cell r="I657">
            <v>133.9</v>
          </cell>
        </row>
        <row r="658">
          <cell r="C658">
            <v>144.69999999999999</v>
          </cell>
          <cell r="I658">
            <v>134.19999999999999</v>
          </cell>
        </row>
        <row r="659">
          <cell r="C659">
            <v>145</v>
          </cell>
          <cell r="I659">
            <v>134.19999999999999</v>
          </cell>
        </row>
        <row r="660">
          <cell r="C660">
            <v>145.19999999999999</v>
          </cell>
          <cell r="I660">
            <v>134</v>
          </cell>
        </row>
        <row r="661">
          <cell r="C661">
            <v>145.30000000000001</v>
          </cell>
          <cell r="I661">
            <v>133.80000000000001</v>
          </cell>
        </row>
        <row r="662">
          <cell r="C662">
            <v>146</v>
          </cell>
          <cell r="I662">
            <v>133.80000000000001</v>
          </cell>
        </row>
        <row r="663">
          <cell r="C663">
            <v>146</v>
          </cell>
          <cell r="I663">
            <v>134.1</v>
          </cell>
        </row>
        <row r="664">
          <cell r="C664">
            <v>146.9</v>
          </cell>
          <cell r="I664">
            <v>134.30000000000001</v>
          </cell>
        </row>
        <row r="665">
          <cell r="C665">
            <v>147.5</v>
          </cell>
          <cell r="I665">
            <v>134.5</v>
          </cell>
        </row>
        <row r="666">
          <cell r="C666">
            <v>149</v>
          </cell>
          <cell r="I666">
            <v>134.69999999999999</v>
          </cell>
        </row>
        <row r="667">
          <cell r="C667">
            <v>149.6</v>
          </cell>
          <cell r="I667">
            <v>134.4</v>
          </cell>
        </row>
        <row r="668">
          <cell r="C668">
            <v>149.80000000000001</v>
          </cell>
          <cell r="I668">
            <v>134.30000000000001</v>
          </cell>
        </row>
        <row r="669">
          <cell r="C669">
            <v>149.1</v>
          </cell>
          <cell r="I669">
            <v>134.4</v>
          </cell>
        </row>
        <row r="670">
          <cell r="C670">
            <v>149.9</v>
          </cell>
          <cell r="I670">
            <v>134.4</v>
          </cell>
        </row>
        <row r="671">
          <cell r="C671">
            <v>150.6</v>
          </cell>
          <cell r="I671">
            <v>134.69999999999999</v>
          </cell>
        </row>
        <row r="672">
          <cell r="C672">
            <v>149.80000000000001</v>
          </cell>
          <cell r="I672">
            <v>134.6</v>
          </cell>
        </row>
        <row r="673">
          <cell r="C673">
            <v>149.80000000000001</v>
          </cell>
          <cell r="I673">
            <v>134.6</v>
          </cell>
        </row>
        <row r="674">
          <cell r="C674">
            <v>150.69999999999999</v>
          </cell>
          <cell r="I674">
            <v>134.80000000000001</v>
          </cell>
        </row>
        <row r="675">
          <cell r="C675">
            <v>150.19999999999999</v>
          </cell>
          <cell r="I675">
            <v>134.9</v>
          </cell>
        </row>
        <row r="676">
          <cell r="C676">
            <v>150.9</v>
          </cell>
          <cell r="I676">
            <v>134.9</v>
          </cell>
        </row>
        <row r="677">
          <cell r="C677">
            <v>151.5</v>
          </cell>
          <cell r="I677">
            <v>135</v>
          </cell>
        </row>
        <row r="678">
          <cell r="C678">
            <v>152.6</v>
          </cell>
          <cell r="I678">
            <v>135.1</v>
          </cell>
        </row>
        <row r="679">
          <cell r="C679">
            <v>152.9</v>
          </cell>
          <cell r="I679">
            <v>134.9</v>
          </cell>
        </row>
        <row r="680">
          <cell r="C680">
            <v>153</v>
          </cell>
          <cell r="I680">
            <v>135.1</v>
          </cell>
        </row>
        <row r="681">
          <cell r="C681">
            <v>152.4</v>
          </cell>
          <cell r="I681">
            <v>135.19999999999999</v>
          </cell>
        </row>
        <row r="682">
          <cell r="C682">
            <v>153.1</v>
          </cell>
          <cell r="I682">
            <v>135</v>
          </cell>
        </row>
        <row r="683">
          <cell r="C683">
            <v>153.80000000000001</v>
          </cell>
          <cell r="I683">
            <v>135</v>
          </cell>
        </row>
        <row r="684">
          <cell r="C684">
            <v>153.80000000000001</v>
          </cell>
          <cell r="I684">
            <v>134.80000000000001</v>
          </cell>
        </row>
        <row r="685">
          <cell r="C685">
            <v>153.9</v>
          </cell>
          <cell r="I685">
            <v>134.1</v>
          </cell>
        </row>
        <row r="686">
          <cell r="C686">
            <v>154.4</v>
          </cell>
          <cell r="I686">
            <v>133.9</v>
          </cell>
        </row>
        <row r="687">
          <cell r="C687">
            <v>154.4</v>
          </cell>
          <cell r="I687">
            <v>133.19999999999999</v>
          </cell>
        </row>
        <row r="688">
          <cell r="C688">
            <v>155</v>
          </cell>
          <cell r="I688">
            <v>133.19999999999999</v>
          </cell>
        </row>
        <row r="689">
          <cell r="C689">
            <v>155.4</v>
          </cell>
          <cell r="I689">
            <v>133.19999999999999</v>
          </cell>
        </row>
        <row r="690">
          <cell r="C690">
            <v>156.30000000000001</v>
          </cell>
          <cell r="I690">
            <v>132.80000000000001</v>
          </cell>
        </row>
        <row r="691">
          <cell r="C691">
            <v>156.9</v>
          </cell>
          <cell r="I691">
            <v>132.30000000000001</v>
          </cell>
        </row>
        <row r="692">
          <cell r="C692">
            <v>157.5</v>
          </cell>
          <cell r="I692">
            <v>131.69999999999999</v>
          </cell>
        </row>
        <row r="693">
          <cell r="C693">
            <v>157.5</v>
          </cell>
          <cell r="I693">
            <v>131.19999999999999</v>
          </cell>
        </row>
        <row r="694">
          <cell r="C694">
            <v>158.5</v>
          </cell>
          <cell r="I694">
            <v>131.19999999999999</v>
          </cell>
        </row>
        <row r="695">
          <cell r="C695">
            <v>159.30000000000001</v>
          </cell>
          <cell r="I695">
            <v>127.6</v>
          </cell>
        </row>
        <row r="696">
          <cell r="C696">
            <v>159.5</v>
          </cell>
          <cell r="I696">
            <v>127.6</v>
          </cell>
        </row>
        <row r="697">
          <cell r="C697">
            <v>159.6</v>
          </cell>
          <cell r="I697">
            <v>127.1</v>
          </cell>
        </row>
        <row r="698">
          <cell r="C698">
            <v>160</v>
          </cell>
          <cell r="I698">
            <v>126.5</v>
          </cell>
        </row>
        <row r="699">
          <cell r="C699">
            <v>159.5</v>
          </cell>
          <cell r="I699">
            <v>125.5</v>
          </cell>
        </row>
        <row r="700">
          <cell r="C700">
            <v>160.30000000000001</v>
          </cell>
          <cell r="I700">
            <v>125.9</v>
          </cell>
        </row>
        <row r="701">
          <cell r="C701">
            <v>160.80000000000001</v>
          </cell>
          <cell r="I701">
            <v>126.2</v>
          </cell>
        </row>
        <row r="702">
          <cell r="C702">
            <v>162.6</v>
          </cell>
          <cell r="I702">
            <v>126.2</v>
          </cell>
        </row>
        <row r="703">
          <cell r="C703">
            <v>163.5</v>
          </cell>
          <cell r="I703">
            <v>125.4</v>
          </cell>
        </row>
        <row r="704">
          <cell r="C704">
            <v>163.4</v>
          </cell>
          <cell r="I704">
            <v>124.6</v>
          </cell>
        </row>
        <row r="705">
          <cell r="C705">
            <v>163</v>
          </cell>
          <cell r="I705">
            <v>124.2</v>
          </cell>
        </row>
        <row r="706">
          <cell r="C706">
            <v>163.69999999999999</v>
          </cell>
          <cell r="I706">
            <v>124.2</v>
          </cell>
        </row>
        <row r="707">
          <cell r="C707">
            <v>164.4</v>
          </cell>
          <cell r="I707">
            <v>124.3</v>
          </cell>
        </row>
        <row r="708">
          <cell r="C708">
            <v>164.5</v>
          </cell>
          <cell r="I708">
            <v>124.5</v>
          </cell>
        </row>
        <row r="709">
          <cell r="C709">
            <v>164.4</v>
          </cell>
          <cell r="I709">
            <v>124.4</v>
          </cell>
        </row>
        <row r="710">
          <cell r="C710">
            <v>164.4</v>
          </cell>
          <cell r="I710">
            <v>124.2</v>
          </cell>
        </row>
        <row r="711">
          <cell r="C711">
            <v>163.4</v>
          </cell>
          <cell r="I711">
            <v>124.3</v>
          </cell>
        </row>
        <row r="712">
          <cell r="C712">
            <v>163.69999999999999</v>
          </cell>
          <cell r="I712">
            <v>124.2</v>
          </cell>
        </row>
        <row r="713">
          <cell r="C713">
            <v>164.1</v>
          </cell>
          <cell r="I713">
            <v>124.5</v>
          </cell>
        </row>
        <row r="714">
          <cell r="C714">
            <v>165.2</v>
          </cell>
          <cell r="I714">
            <v>124.2</v>
          </cell>
        </row>
        <row r="715">
          <cell r="C715">
            <v>165.6</v>
          </cell>
          <cell r="I715">
            <v>124</v>
          </cell>
        </row>
        <row r="716">
          <cell r="C716">
            <v>165.6</v>
          </cell>
          <cell r="I716">
            <v>123.9</v>
          </cell>
        </row>
        <row r="717">
          <cell r="C717">
            <v>165.1</v>
          </cell>
          <cell r="I717">
            <v>124.2</v>
          </cell>
        </row>
        <row r="718">
          <cell r="C718">
            <v>165.5</v>
          </cell>
          <cell r="I718">
            <v>124.2</v>
          </cell>
        </row>
        <row r="719">
          <cell r="C719">
            <v>166.2</v>
          </cell>
          <cell r="I719">
            <v>124.5</v>
          </cell>
        </row>
        <row r="720">
          <cell r="C720">
            <v>166.5</v>
          </cell>
          <cell r="I720">
            <v>124.6</v>
          </cell>
        </row>
        <row r="721">
          <cell r="C721">
            <v>166.7</v>
          </cell>
          <cell r="I721">
            <v>124.9</v>
          </cell>
        </row>
        <row r="722">
          <cell r="C722">
            <v>167.3</v>
          </cell>
          <cell r="I722">
            <v>125.5</v>
          </cell>
        </row>
        <row r="723">
          <cell r="C723">
            <v>166.6</v>
          </cell>
          <cell r="I723">
            <v>125.4</v>
          </cell>
        </row>
        <row r="724">
          <cell r="C724">
            <v>167.5</v>
          </cell>
          <cell r="I724">
            <v>125.4</v>
          </cell>
        </row>
        <row r="725">
          <cell r="C725">
            <v>168.4</v>
          </cell>
          <cell r="I725">
            <v>125.5</v>
          </cell>
        </row>
        <row r="726">
          <cell r="C726">
            <v>170.1</v>
          </cell>
          <cell r="I726">
            <v>123.8</v>
          </cell>
        </row>
        <row r="727">
          <cell r="C727">
            <v>170.7</v>
          </cell>
          <cell r="I727">
            <v>122.9</v>
          </cell>
        </row>
        <row r="728">
          <cell r="C728">
            <v>171.1</v>
          </cell>
          <cell r="I728">
            <v>122.4</v>
          </cell>
        </row>
        <row r="729">
          <cell r="C729">
            <v>170.5</v>
          </cell>
          <cell r="I729">
            <v>122.5</v>
          </cell>
        </row>
        <row r="730">
          <cell r="C730">
            <v>170.5</v>
          </cell>
          <cell r="I730">
            <v>122.5</v>
          </cell>
        </row>
        <row r="731">
          <cell r="C731">
            <v>171.7</v>
          </cell>
          <cell r="I731">
            <v>124.1</v>
          </cell>
        </row>
        <row r="732">
          <cell r="C732">
            <v>171.6</v>
          </cell>
          <cell r="I732">
            <v>124.6</v>
          </cell>
        </row>
        <row r="733">
          <cell r="C733">
            <v>172.1</v>
          </cell>
          <cell r="I733">
            <v>124.2</v>
          </cell>
        </row>
        <row r="734">
          <cell r="C734">
            <v>172.2</v>
          </cell>
          <cell r="I734">
            <v>123.9</v>
          </cell>
        </row>
        <row r="735">
          <cell r="C735">
            <v>171.1</v>
          </cell>
          <cell r="I735">
            <v>123.1</v>
          </cell>
        </row>
        <row r="736">
          <cell r="C736">
            <v>172</v>
          </cell>
          <cell r="I736">
            <v>123.2</v>
          </cell>
        </row>
        <row r="737">
          <cell r="C737">
            <v>172.2</v>
          </cell>
          <cell r="I737">
            <v>123.2</v>
          </cell>
        </row>
        <row r="738">
          <cell r="C738">
            <v>173.1</v>
          </cell>
          <cell r="I738">
            <v>125.1</v>
          </cell>
        </row>
        <row r="739">
          <cell r="C739">
            <v>174.2</v>
          </cell>
          <cell r="I739">
            <v>125.4</v>
          </cell>
        </row>
        <row r="740">
          <cell r="C740">
            <v>174.4</v>
          </cell>
          <cell r="I740">
            <v>125.4</v>
          </cell>
        </row>
        <row r="741">
          <cell r="C741">
            <v>173.3</v>
          </cell>
          <cell r="I741">
            <v>125.4</v>
          </cell>
        </row>
        <row r="742">
          <cell r="C742">
            <v>174</v>
          </cell>
          <cell r="I742">
            <v>125.3</v>
          </cell>
        </row>
        <row r="743">
          <cell r="C743">
            <v>174.6</v>
          </cell>
          <cell r="I743">
            <v>126.1</v>
          </cell>
        </row>
        <row r="744">
          <cell r="C744">
            <v>174.3</v>
          </cell>
          <cell r="I744">
            <v>125.7</v>
          </cell>
        </row>
        <row r="745">
          <cell r="C745">
            <v>173.6</v>
          </cell>
          <cell r="I745">
            <v>125.5</v>
          </cell>
        </row>
        <row r="746">
          <cell r="C746">
            <v>173.4</v>
          </cell>
          <cell r="I746">
            <v>125.3</v>
          </cell>
        </row>
        <row r="747">
          <cell r="C747">
            <v>173.3</v>
          </cell>
          <cell r="I747">
            <v>127.8</v>
          </cell>
        </row>
        <row r="748">
          <cell r="C748">
            <v>173.8</v>
          </cell>
          <cell r="I748">
            <v>127.7</v>
          </cell>
        </row>
        <row r="749">
          <cell r="C749">
            <v>174.5</v>
          </cell>
          <cell r="I749">
            <v>128.1</v>
          </cell>
        </row>
        <row r="750">
          <cell r="C750">
            <v>175.7</v>
          </cell>
          <cell r="I750">
            <v>128.6</v>
          </cell>
        </row>
        <row r="751">
          <cell r="C751">
            <v>176.2</v>
          </cell>
          <cell r="I751">
            <v>128.69999999999999</v>
          </cell>
        </row>
        <row r="752">
          <cell r="C752">
            <v>176.2</v>
          </cell>
          <cell r="I752">
            <v>128.69999999999999</v>
          </cell>
        </row>
        <row r="753">
          <cell r="C753">
            <v>175.9</v>
          </cell>
          <cell r="I753">
            <v>128.6</v>
          </cell>
        </row>
        <row r="754">
          <cell r="C754">
            <v>176.4</v>
          </cell>
          <cell r="I754">
            <v>128.5</v>
          </cell>
        </row>
        <row r="755">
          <cell r="C755">
            <v>177.6</v>
          </cell>
          <cell r="I755">
            <v>129.6</v>
          </cell>
        </row>
        <row r="756">
          <cell r="C756">
            <v>177.9</v>
          </cell>
          <cell r="I756">
            <v>129.80000000000001</v>
          </cell>
        </row>
        <row r="757">
          <cell r="C757">
            <v>178.2</v>
          </cell>
          <cell r="I757">
            <v>129.1</v>
          </cell>
        </row>
        <row r="758">
          <cell r="C758">
            <v>178.5</v>
          </cell>
          <cell r="I758">
            <v>129.9</v>
          </cell>
        </row>
        <row r="759">
          <cell r="C759">
            <v>178.4</v>
          </cell>
          <cell r="I759">
            <v>130.30000000000001</v>
          </cell>
        </row>
        <row r="760">
          <cell r="C760">
            <v>179.3</v>
          </cell>
          <cell r="I760">
            <v>131.5</v>
          </cell>
        </row>
        <row r="761">
          <cell r="C761">
            <v>179.9</v>
          </cell>
          <cell r="I761">
            <v>131.69999999999999</v>
          </cell>
        </row>
        <row r="762">
          <cell r="C762">
            <v>181.2</v>
          </cell>
          <cell r="I762">
            <v>130</v>
          </cell>
        </row>
        <row r="763">
          <cell r="C763">
            <v>181.5</v>
          </cell>
          <cell r="I763">
            <v>130</v>
          </cell>
        </row>
        <row r="764">
          <cell r="C764">
            <v>181.3</v>
          </cell>
          <cell r="I764">
            <v>130.5</v>
          </cell>
        </row>
        <row r="765">
          <cell r="C765">
            <v>181.3</v>
          </cell>
          <cell r="I765">
            <v>131</v>
          </cell>
        </row>
        <row r="766">
          <cell r="C766">
            <v>181.6</v>
          </cell>
          <cell r="I766">
            <v>131.5</v>
          </cell>
        </row>
        <row r="767">
          <cell r="C767">
            <v>182.5</v>
          </cell>
          <cell r="I767">
            <v>131.80000000000001</v>
          </cell>
        </row>
        <row r="768">
          <cell r="C768">
            <v>182.6</v>
          </cell>
          <cell r="I768">
            <v>132.6</v>
          </cell>
        </row>
        <row r="769">
          <cell r="C769">
            <v>182.7</v>
          </cell>
          <cell r="I769">
            <v>132.80000000000001</v>
          </cell>
        </row>
        <row r="770">
          <cell r="C770">
            <v>183.5</v>
          </cell>
          <cell r="I770">
            <v>133.4</v>
          </cell>
        </row>
        <row r="771">
          <cell r="C771">
            <v>183.1</v>
          </cell>
          <cell r="I771">
            <v>134</v>
          </cell>
        </row>
        <row r="772">
          <cell r="C772">
            <v>183.8</v>
          </cell>
          <cell r="I772">
            <v>134.9</v>
          </cell>
        </row>
        <row r="773">
          <cell r="C773">
            <v>184.6</v>
          </cell>
          <cell r="I773">
            <v>136.4</v>
          </cell>
        </row>
        <row r="774">
          <cell r="C774">
            <v>185.7</v>
          </cell>
          <cell r="I774">
            <v>138.30000000000001</v>
          </cell>
        </row>
        <row r="775">
          <cell r="C775">
            <v>186.5</v>
          </cell>
          <cell r="I775">
            <v>139.4</v>
          </cell>
        </row>
        <row r="776">
          <cell r="C776">
            <v>186.8</v>
          </cell>
          <cell r="I776">
            <v>139.5</v>
          </cell>
        </row>
        <row r="777">
          <cell r="C777">
            <v>186.8</v>
          </cell>
          <cell r="I777">
            <v>140</v>
          </cell>
        </row>
        <row r="778">
          <cell r="C778">
            <v>187.4</v>
          </cell>
          <cell r="I778">
            <v>141.1</v>
          </cell>
        </row>
        <row r="779">
          <cell r="C779">
            <v>188.1</v>
          </cell>
          <cell r="I779">
            <v>142</v>
          </cell>
        </row>
        <row r="780">
          <cell r="C780">
            <v>188.6</v>
          </cell>
          <cell r="I780">
            <v>144.9</v>
          </cell>
        </row>
        <row r="781">
          <cell r="C781">
            <v>189</v>
          </cell>
          <cell r="I781">
            <v>147.6</v>
          </cell>
        </row>
        <row r="782">
          <cell r="C782">
            <v>189.9</v>
          </cell>
          <cell r="I782">
            <v>150.4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gov.uk/government/statistical-data-sets/historical-coke-and-breeze-data-coal-carbonized-and-coke-and-breeze-produced-at-coke-oven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https://www.gov.uk/government/statistical-data-sets/crude-oil-and-petroleum-production-imports-and-exports"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hyperlink" Target="https://www.gov.uk/government/statistical-data-sets/historical-gas-data-gas-production-and-consumption-and-fuel-input" TargetMode="External"/><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hyperlink" Target="https://www.gov.uk/government/uploads/system/uploads/attachment_data/file/585672/Sub-national_electricity_consumption_statistics_2005-2015.xlsx" TargetMode="External"/><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ov.uk/government/statistical-data-sets/historical-electricity-data" TargetMode="External"/><Relationship Id="rId1" Type="http://schemas.openxmlformats.org/officeDocument/2006/relationships/hyperlink" Target="https://www.gov.uk/government/uploads/system/uploads/attachment_data/file/585672/Sub-national_electricity_consumption_statistics_2005-2015.xlsx"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gov.uk/government/statistical-data-sets/historical-electricity-data" TargetMode="External"/><Relationship Id="rId1" Type="http://schemas.openxmlformats.org/officeDocument/2006/relationships/hyperlink" Target="https://www.gov.uk/government/uploads/system/uploads/attachment_data/file/585672/Sub-national_electricity_consumption_statistics_2005-2015.xls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al-data-sets/crude-oil-and-petroleum-production-imports-and-exports" TargetMode="External"/><Relationship Id="rId7" Type="http://schemas.openxmlformats.org/officeDocument/2006/relationships/printerSettings" Target="../printerSettings/printerSettings2.bin"/><Relationship Id="rId2" Type="http://schemas.openxmlformats.org/officeDocument/2006/relationships/hyperlink" Target="https://www.gov.uk/government/statistical-data-sets/historical-coke-and-breeze-data-coal-carbonized-and-coke-and-breeze-produced-at-coke-ovens" TargetMode="External"/><Relationship Id="rId1" Type="http://schemas.openxmlformats.org/officeDocument/2006/relationships/hyperlink" Target="https://www.gov.uk/government/statistical-data-sets/historical-coal-data-coal-production-availability-and-consumption" TargetMode="External"/><Relationship Id="rId6" Type="http://schemas.openxmlformats.org/officeDocument/2006/relationships/hyperlink" Target="https://www.gov.uk/government/statistical-data-sets/oil-and-petroleum-products-annual-statistics" TargetMode="External"/><Relationship Id="rId5" Type="http://schemas.openxmlformats.org/officeDocument/2006/relationships/hyperlink" Target="https://www.gov.uk/government/statistical-data-sets/historical-electricity-data" TargetMode="External"/><Relationship Id="rId4" Type="http://schemas.openxmlformats.org/officeDocument/2006/relationships/hyperlink" Target="https://www.gov.uk/government/statistical-data-sets/historical-gas-data-gas-production-and-consumption-and-fuel-input"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hyperlink" Target="https://www.gov.uk/government/statistical-data-sets/oil-and-petroleum-products-annual-statistics"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gov.uk/government/statistical-data-sets/oil-and-petroleum-products-annual-statistics"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gov.uk/government/collections/industrial-energy-prices"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gov.uk/government/collections/industrial-energy-prices"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naei.beis.gov.uk/data/"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naei.beis.gov.uk/data/" TargetMode="External"/><Relationship Id="rId7" Type="http://schemas.openxmlformats.org/officeDocument/2006/relationships/drawing" Target="../drawings/drawing9.xml"/><Relationship Id="rId2" Type="http://schemas.openxmlformats.org/officeDocument/2006/relationships/hyperlink" Target="https://data.gov.uk/dataset/9a1e58e5-d1b6-457d-a414-335ca546d52c/provisional-uk-greenhouse-gas-emissions-national-statistics" TargetMode="External"/><Relationship Id="rId1" Type="http://schemas.openxmlformats.org/officeDocument/2006/relationships/hyperlink" Target="https://cdiac.ess-dive.lbl.gov/trends/emis/tre_coun.html" TargetMode="External"/><Relationship Id="rId6" Type="http://schemas.openxmlformats.org/officeDocument/2006/relationships/printerSettings" Target="../printerSettings/printerSettings17.bin"/><Relationship Id="rId5" Type="http://schemas.openxmlformats.org/officeDocument/2006/relationships/hyperlink" Target="https://naei.beis.gov.uk/data/" TargetMode="External"/><Relationship Id="rId4" Type="http://schemas.openxmlformats.org/officeDocument/2006/relationships/hyperlink" Target="https://data.gov.uk/dataset/9a1e58e5-d1b6-457d-a414-335ca546d52c/provisional-uk-greenhouse-gas-emissions-national-statistics"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naei.beis.gov.uk/dat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gov.uk/government/statistical-data-sets/historical-coal-data-coal-production-availability-and-consumptio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43"/>
  <sheetViews>
    <sheetView workbookViewId="0">
      <selection activeCell="K22" sqref="K22"/>
    </sheetView>
  </sheetViews>
  <sheetFormatPr defaultRowHeight="14.25" x14ac:dyDescent="0.45"/>
  <sheetData>
    <row r="1" spans="1:3" ht="21" x14ac:dyDescent="0.45">
      <c r="A1" s="503" t="s">
        <v>990</v>
      </c>
    </row>
    <row r="2" spans="1:3" ht="18" x14ac:dyDescent="0.45">
      <c r="A2" s="504" t="s">
        <v>991</v>
      </c>
    </row>
    <row r="3" spans="1:3" x14ac:dyDescent="0.45">
      <c r="A3" s="505" t="s">
        <v>1190</v>
      </c>
    </row>
    <row r="6" spans="1:3" x14ac:dyDescent="0.45">
      <c r="B6" s="923" t="s">
        <v>1183</v>
      </c>
    </row>
    <row r="8" spans="1:3" x14ac:dyDescent="0.45">
      <c r="B8" s="922" t="s">
        <v>1189</v>
      </c>
    </row>
    <row r="9" spans="1:3" x14ac:dyDescent="0.45">
      <c r="B9" s="922"/>
    </row>
    <row r="10" spans="1:3" x14ac:dyDescent="0.45">
      <c r="B10" s="922" t="s">
        <v>2482</v>
      </c>
    </row>
    <row r="11" spans="1:3" x14ac:dyDescent="0.45">
      <c r="C11" s="922" t="s">
        <v>2467</v>
      </c>
    </row>
    <row r="12" spans="1:3" x14ac:dyDescent="0.45">
      <c r="C12" s="922" t="s">
        <v>2468</v>
      </c>
    </row>
    <row r="13" spans="1:3" x14ac:dyDescent="0.45">
      <c r="C13" s="922" t="s">
        <v>2485</v>
      </c>
    </row>
    <row r="14" spans="1:3" x14ac:dyDescent="0.45">
      <c r="C14" s="922" t="s">
        <v>1187</v>
      </c>
    </row>
    <row r="15" spans="1:3" x14ac:dyDescent="0.45">
      <c r="C15" s="922" t="s">
        <v>1188</v>
      </c>
    </row>
    <row r="16" spans="1:3" x14ac:dyDescent="0.45">
      <c r="C16" s="922" t="s">
        <v>2490</v>
      </c>
    </row>
    <row r="17" spans="2:3" x14ac:dyDescent="0.45">
      <c r="C17" s="922" t="s">
        <v>2489</v>
      </c>
    </row>
    <row r="18" spans="2:3" x14ac:dyDescent="0.45">
      <c r="C18" s="922" t="s">
        <v>2487</v>
      </c>
    </row>
    <row r="19" spans="2:3" x14ac:dyDescent="0.45">
      <c r="C19" s="922" t="s">
        <v>1184</v>
      </c>
    </row>
    <row r="20" spans="2:3" x14ac:dyDescent="0.45">
      <c r="C20" s="922" t="s">
        <v>2491</v>
      </c>
    </row>
    <row r="21" spans="2:3" x14ac:dyDescent="0.45">
      <c r="C21" s="922" t="s">
        <v>1185</v>
      </c>
    </row>
    <row r="22" spans="2:3" x14ac:dyDescent="0.45">
      <c r="C22" s="922" t="s">
        <v>2492</v>
      </c>
    </row>
    <row r="23" spans="2:3" x14ac:dyDescent="0.45">
      <c r="C23" s="922" t="s">
        <v>2493</v>
      </c>
    </row>
    <row r="24" spans="2:3" x14ac:dyDescent="0.45">
      <c r="C24" s="922" t="s">
        <v>2469</v>
      </c>
    </row>
    <row r="25" spans="2:3" x14ac:dyDescent="0.45">
      <c r="B25" s="922"/>
      <c r="C25" s="922" t="s">
        <v>1186</v>
      </c>
    </row>
    <row r="26" spans="2:3" x14ac:dyDescent="0.45">
      <c r="B26" s="922"/>
      <c r="C26" s="922" t="s">
        <v>2470</v>
      </c>
    </row>
    <row r="27" spans="2:3" x14ac:dyDescent="0.45">
      <c r="B27" s="922"/>
      <c r="C27" s="922" t="s">
        <v>2471</v>
      </c>
    </row>
    <row r="28" spans="2:3" x14ac:dyDescent="0.45">
      <c r="B28" s="922"/>
      <c r="C28" s="922" t="s">
        <v>2472</v>
      </c>
    </row>
    <row r="29" spans="2:3" x14ac:dyDescent="0.45">
      <c r="B29" s="922"/>
      <c r="C29" s="922"/>
    </row>
    <row r="30" spans="2:3" x14ac:dyDescent="0.45">
      <c r="B30" s="922" t="s">
        <v>2483</v>
      </c>
    </row>
    <row r="31" spans="2:3" x14ac:dyDescent="0.45">
      <c r="B31" s="922"/>
      <c r="C31" s="922" t="s">
        <v>2480</v>
      </c>
    </row>
    <row r="32" spans="2:3" x14ac:dyDescent="0.45">
      <c r="B32" s="922"/>
      <c r="C32" s="922" t="s">
        <v>2281</v>
      </c>
    </row>
    <row r="33" spans="2:3" x14ac:dyDescent="0.45">
      <c r="B33" s="922"/>
      <c r="C33" s="922" t="s">
        <v>2473</v>
      </c>
    </row>
    <row r="34" spans="2:3" x14ac:dyDescent="0.45">
      <c r="B34" s="922"/>
      <c r="C34" s="922" t="s">
        <v>2474</v>
      </c>
    </row>
    <row r="35" spans="2:3" x14ac:dyDescent="0.45">
      <c r="B35" s="922"/>
      <c r="C35" s="922" t="s">
        <v>2475</v>
      </c>
    </row>
    <row r="36" spans="2:3" x14ac:dyDescent="0.45">
      <c r="B36" s="922"/>
      <c r="C36" s="922" t="s">
        <v>2476</v>
      </c>
    </row>
    <row r="37" spans="2:3" x14ac:dyDescent="0.45">
      <c r="B37" s="922"/>
      <c r="C37" s="922" t="s">
        <v>2477</v>
      </c>
    </row>
    <row r="38" spans="2:3" x14ac:dyDescent="0.45">
      <c r="B38" s="922"/>
      <c r="C38" s="922"/>
    </row>
    <row r="39" spans="2:3" x14ac:dyDescent="0.45">
      <c r="B39" s="922" t="s">
        <v>2484</v>
      </c>
    </row>
    <row r="40" spans="2:3" x14ac:dyDescent="0.45">
      <c r="C40" s="922" t="s">
        <v>2479</v>
      </c>
    </row>
    <row r="41" spans="2:3" x14ac:dyDescent="0.45">
      <c r="C41" s="922" t="s">
        <v>2478</v>
      </c>
    </row>
    <row r="42" spans="2:3" x14ac:dyDescent="0.45">
      <c r="C42" s="922"/>
    </row>
    <row r="43" spans="2:3" x14ac:dyDescent="0.45">
      <c r="C43" s="92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280"/>
  <sheetViews>
    <sheetView zoomScaleNormal="100" workbookViewId="0">
      <pane xSplit="1" ySplit="9" topLeftCell="B10" activePane="bottomRight" state="frozen"/>
      <selection pane="topRight" activeCell="B1" sqref="B1"/>
      <selection pane="bottomLeft" activeCell="A10" sqref="A10"/>
      <selection pane="bottomRight" activeCell="A2" sqref="A2"/>
    </sheetView>
  </sheetViews>
  <sheetFormatPr defaultRowHeight="14.25" x14ac:dyDescent="0.45"/>
  <cols>
    <col min="2" max="2" width="13.53125" customWidth="1"/>
    <col min="20" max="20" width="13" bestFit="1" customWidth="1"/>
  </cols>
  <sheetData>
    <row r="1" spans="1:25" ht="17.649999999999999" x14ac:dyDescent="0.5">
      <c r="A1" s="1093" t="s">
        <v>2496</v>
      </c>
      <c r="B1" s="257"/>
      <c r="C1" s="264"/>
      <c r="D1" s="257"/>
      <c r="E1" s="257"/>
      <c r="F1" s="257"/>
      <c r="G1" s="257"/>
      <c r="H1" s="257"/>
      <c r="J1" s="257"/>
    </row>
    <row r="2" spans="1:25" ht="15.4" x14ac:dyDescent="0.45">
      <c r="A2" s="260"/>
      <c r="B2" s="257"/>
      <c r="C2" s="264"/>
      <c r="D2" s="257"/>
      <c r="E2" s="257"/>
      <c r="F2" s="257"/>
      <c r="G2" s="257"/>
      <c r="H2" s="257"/>
      <c r="I2" s="257"/>
      <c r="J2" s="257"/>
    </row>
    <row r="3" spans="1:25" ht="15.4" x14ac:dyDescent="0.45">
      <c r="B3" s="1136" t="s">
        <v>992</v>
      </c>
      <c r="C3" s="1136" t="s">
        <v>2343</v>
      </c>
      <c r="P3" s="262"/>
      <c r="Q3" s="257"/>
      <c r="R3" s="264"/>
      <c r="S3" s="263"/>
      <c r="T3" s="257"/>
      <c r="U3" s="257"/>
      <c r="V3" s="257"/>
      <c r="W3" s="257"/>
      <c r="X3" s="257"/>
      <c r="Y3" s="257"/>
    </row>
    <row r="4" spans="1:25" ht="14.65" thickBot="1" x14ac:dyDescent="0.5">
      <c r="G4" t="s">
        <v>1196</v>
      </c>
      <c r="P4" s="262"/>
      <c r="Q4" s="306"/>
      <c r="R4" s="391"/>
      <c r="S4" s="306"/>
      <c r="T4" s="306"/>
      <c r="U4" s="306"/>
      <c r="V4" s="306"/>
      <c r="W4" s="306"/>
      <c r="X4" s="306"/>
      <c r="Y4" s="391" t="s">
        <v>812</v>
      </c>
    </row>
    <row r="5" spans="1:25" ht="16.5" customHeight="1" thickTop="1" thickBot="1" x14ac:dyDescent="0.5">
      <c r="B5" t="s">
        <v>18</v>
      </c>
      <c r="C5" t="s">
        <v>18</v>
      </c>
      <c r="D5" t="s">
        <v>18</v>
      </c>
      <c r="E5" t="s">
        <v>18</v>
      </c>
      <c r="F5" t="s">
        <v>17</v>
      </c>
      <c r="G5" t="s">
        <v>17</v>
      </c>
      <c r="H5" t="s">
        <v>17</v>
      </c>
      <c r="I5" t="s">
        <v>1200</v>
      </c>
      <c r="P5" s="265"/>
      <c r="Q5" s="1375" t="s">
        <v>948</v>
      </c>
      <c r="R5" s="1376"/>
      <c r="S5" s="1376"/>
      <c r="T5" s="1376"/>
      <c r="U5" s="1376"/>
      <c r="V5" s="1376"/>
      <c r="W5" s="1376"/>
      <c r="X5" s="1376"/>
      <c r="Y5" s="1377"/>
    </row>
    <row r="6" spans="1:25" ht="66" thickTop="1" x14ac:dyDescent="0.45">
      <c r="C6" s="832"/>
      <c r="D6" s="832"/>
      <c r="E6" s="832"/>
      <c r="F6" s="832"/>
      <c r="P6" s="276"/>
      <c r="Q6" s="435" t="s">
        <v>925</v>
      </c>
      <c r="R6" s="1378" t="s">
        <v>926</v>
      </c>
      <c r="S6" s="1379"/>
      <c r="T6" s="1379"/>
      <c r="U6" s="1379"/>
      <c r="V6" s="1379"/>
      <c r="W6" s="1379"/>
      <c r="X6" s="1380"/>
      <c r="Y6" s="436" t="s">
        <v>215</v>
      </c>
    </row>
    <row r="7" spans="1:25" ht="34.9" thickBot="1" x14ac:dyDescent="0.5">
      <c r="B7" s="935" t="s">
        <v>1201</v>
      </c>
      <c r="C7" s="934" t="s">
        <v>1197</v>
      </c>
      <c r="D7" s="934" t="s">
        <v>1198</v>
      </c>
      <c r="E7" s="934" t="s">
        <v>1199</v>
      </c>
      <c r="F7" s="937" t="s">
        <v>1201</v>
      </c>
      <c r="G7" s="934" t="s">
        <v>1197</v>
      </c>
      <c r="H7" s="934" t="s">
        <v>1198</v>
      </c>
      <c r="I7" s="934" t="s">
        <v>1197</v>
      </c>
      <c r="P7" s="292"/>
      <c r="Q7" s="438"/>
      <c r="R7" s="439" t="s">
        <v>211</v>
      </c>
      <c r="S7" s="440" t="s">
        <v>927</v>
      </c>
      <c r="T7" s="278" t="s">
        <v>928</v>
      </c>
      <c r="U7" s="278" t="s">
        <v>929</v>
      </c>
      <c r="V7" s="278" t="s">
        <v>16</v>
      </c>
      <c r="W7" s="278" t="s">
        <v>930</v>
      </c>
      <c r="X7" s="279" t="s">
        <v>931</v>
      </c>
      <c r="Y7" s="441"/>
    </row>
    <row r="8" spans="1:25" x14ac:dyDescent="0.45">
      <c r="P8" s="292"/>
      <c r="Q8" s="606"/>
      <c r="R8" s="607"/>
      <c r="S8" s="608"/>
      <c r="T8" s="609"/>
      <c r="U8" s="609"/>
      <c r="V8" s="609"/>
      <c r="W8" s="609"/>
      <c r="X8" s="610"/>
      <c r="Y8" s="611"/>
    </row>
    <row r="9" spans="1:25" x14ac:dyDescent="0.45">
      <c r="P9" s="292"/>
      <c r="Q9" s="606"/>
      <c r="R9" s="607"/>
      <c r="S9" s="608"/>
      <c r="T9" s="609"/>
      <c r="U9" s="609"/>
      <c r="V9" s="609"/>
      <c r="W9" s="609"/>
      <c r="X9" s="610"/>
      <c r="Y9" s="611"/>
    </row>
    <row r="10" spans="1:25" x14ac:dyDescent="0.45">
      <c r="A10" s="309">
        <v>1800</v>
      </c>
      <c r="B10" s="936">
        <f t="shared" ref="B10:B73" si="0">T10+U10</f>
        <v>601.48653930332273</v>
      </c>
      <c r="P10" s="292"/>
      <c r="Q10" s="606"/>
      <c r="R10" s="607"/>
      <c r="S10" s="969">
        <f>'1.3.4 Coal3'!AY110*1000</f>
        <v>0</v>
      </c>
      <c r="T10" s="969">
        <f>'1.3.4 Coal3'!AZ110*1000</f>
        <v>601.48653930332273</v>
      </c>
      <c r="U10" s="969">
        <f>'1.3.4 Coal3'!BA110*1000</f>
        <v>0</v>
      </c>
      <c r="V10" s="483"/>
      <c r="W10" s="483"/>
      <c r="X10" s="483"/>
      <c r="Y10" s="611"/>
    </row>
    <row r="11" spans="1:25" x14ac:dyDescent="0.45">
      <c r="A11" s="309">
        <v>1801</v>
      </c>
      <c r="B11" s="936">
        <f t="shared" si="0"/>
        <v>644.37030182772628</v>
      </c>
      <c r="P11" s="292"/>
      <c r="Q11" s="606"/>
      <c r="R11" s="607"/>
      <c r="S11" s="969">
        <f>'1.3.4 Coal3'!AY111*1000</f>
        <v>0</v>
      </c>
      <c r="T11" s="969">
        <f>'1.3.4 Coal3'!AZ111*1000</f>
        <v>644.37030182772628</v>
      </c>
      <c r="U11" s="969">
        <f>'1.3.4 Coal3'!BA111*1000</f>
        <v>0</v>
      </c>
      <c r="V11" s="483"/>
      <c r="W11" s="483"/>
      <c r="X11" s="483"/>
      <c r="Y11" s="611"/>
    </row>
    <row r="12" spans="1:25" x14ac:dyDescent="0.45">
      <c r="A12" s="309">
        <v>1802</v>
      </c>
      <c r="B12" s="936">
        <f t="shared" si="0"/>
        <v>687.25406435212983</v>
      </c>
      <c r="P12" s="292"/>
      <c r="Q12" s="606"/>
      <c r="R12" s="607"/>
      <c r="S12" s="969">
        <f>'1.3.4 Coal3'!AY112*1000</f>
        <v>0</v>
      </c>
      <c r="T12" s="969">
        <f>'1.3.4 Coal3'!AZ112*1000</f>
        <v>687.25406435212983</v>
      </c>
      <c r="U12" s="969">
        <f>'1.3.4 Coal3'!BA112*1000</f>
        <v>0</v>
      </c>
      <c r="V12" s="483"/>
      <c r="W12" s="483"/>
      <c r="X12" s="483"/>
      <c r="Y12" s="611"/>
    </row>
    <row r="13" spans="1:25" x14ac:dyDescent="0.45">
      <c r="A13" s="309">
        <v>1803</v>
      </c>
      <c r="B13" s="936">
        <f t="shared" si="0"/>
        <v>730.1378268765335</v>
      </c>
      <c r="P13" s="292"/>
      <c r="Q13" s="606"/>
      <c r="R13" s="607"/>
      <c r="S13" s="969">
        <f>'1.3.4 Coal3'!AY113*1000</f>
        <v>0</v>
      </c>
      <c r="T13" s="969">
        <f>'1.3.4 Coal3'!AZ113*1000</f>
        <v>730.1378268765335</v>
      </c>
      <c r="U13" s="969">
        <f>'1.3.4 Coal3'!BA113*1000</f>
        <v>0</v>
      </c>
      <c r="V13" s="483"/>
      <c r="W13" s="483"/>
      <c r="X13" s="483"/>
      <c r="Y13" s="611"/>
    </row>
    <row r="14" spans="1:25" x14ac:dyDescent="0.45">
      <c r="A14" s="309">
        <v>1804</v>
      </c>
      <c r="B14" s="936">
        <f t="shared" si="0"/>
        <v>773.02158940093716</v>
      </c>
      <c r="P14" s="292"/>
      <c r="Q14" s="606"/>
      <c r="R14" s="607"/>
      <c r="S14" s="969">
        <f>'1.3.4 Coal3'!AY114*1000</f>
        <v>0</v>
      </c>
      <c r="T14" s="969">
        <f>'1.3.4 Coal3'!AZ114*1000</f>
        <v>773.02158940093716</v>
      </c>
      <c r="U14" s="969">
        <f>'1.3.4 Coal3'!BA114*1000</f>
        <v>0</v>
      </c>
      <c r="V14" s="483"/>
      <c r="W14" s="483"/>
      <c r="X14" s="483"/>
      <c r="Y14" s="611"/>
    </row>
    <row r="15" spans="1:25" x14ac:dyDescent="0.45">
      <c r="A15" s="309">
        <v>1805</v>
      </c>
      <c r="B15" s="936">
        <f t="shared" si="0"/>
        <v>815.90535192534082</v>
      </c>
      <c r="P15" s="292"/>
      <c r="Q15" s="606"/>
      <c r="R15" s="607"/>
      <c r="S15" s="969">
        <f>'1.3.4 Coal3'!AY115*1000</f>
        <v>0</v>
      </c>
      <c r="T15" s="969">
        <f>'1.3.4 Coal3'!AZ115*1000</f>
        <v>815.90535192534082</v>
      </c>
      <c r="U15" s="969">
        <f>'1.3.4 Coal3'!BA115*1000</f>
        <v>0</v>
      </c>
      <c r="V15" s="483"/>
      <c r="W15" s="483"/>
      <c r="X15" s="483"/>
      <c r="Y15" s="611"/>
    </row>
    <row r="16" spans="1:25" x14ac:dyDescent="0.45">
      <c r="A16" s="309">
        <v>1806</v>
      </c>
      <c r="B16" s="936">
        <f t="shared" si="0"/>
        <v>858.78911444974449</v>
      </c>
      <c r="P16" s="292"/>
      <c r="Q16" s="606"/>
      <c r="R16" s="607"/>
      <c r="S16" s="969">
        <f>'1.3.4 Coal3'!AY116*1000</f>
        <v>0</v>
      </c>
      <c r="T16" s="969">
        <f>'1.3.4 Coal3'!AZ116*1000</f>
        <v>858.78911444974449</v>
      </c>
      <c r="U16" s="969">
        <f>'1.3.4 Coal3'!BA116*1000</f>
        <v>0</v>
      </c>
      <c r="V16" s="483"/>
      <c r="W16" s="483"/>
      <c r="X16" s="483"/>
      <c r="Y16" s="611"/>
    </row>
    <row r="17" spans="1:25" x14ac:dyDescent="0.45">
      <c r="A17" s="309">
        <v>1807</v>
      </c>
      <c r="B17" s="936">
        <f t="shared" si="0"/>
        <v>901.67287697414815</v>
      </c>
      <c r="P17" s="292"/>
      <c r="Q17" s="606"/>
      <c r="R17" s="607"/>
      <c r="S17" s="969">
        <f>'1.3.4 Coal3'!AY117*1000</f>
        <v>0</v>
      </c>
      <c r="T17" s="969">
        <f>'1.3.4 Coal3'!AZ117*1000</f>
        <v>901.67287697414815</v>
      </c>
      <c r="U17" s="969">
        <f>'1.3.4 Coal3'!BA117*1000</f>
        <v>0</v>
      </c>
      <c r="V17" s="483"/>
      <c r="W17" s="483"/>
      <c r="X17" s="483"/>
      <c r="Y17" s="611"/>
    </row>
    <row r="18" spans="1:25" x14ac:dyDescent="0.45">
      <c r="A18" s="309">
        <v>1808</v>
      </c>
      <c r="B18" s="936">
        <f t="shared" si="0"/>
        <v>944.5566394985517</v>
      </c>
      <c r="P18" s="292"/>
      <c r="Q18" s="606"/>
      <c r="R18" s="607"/>
      <c r="S18" s="969">
        <f>'1.3.4 Coal3'!AY118*1000</f>
        <v>0</v>
      </c>
      <c r="T18" s="969">
        <f>'1.3.4 Coal3'!AZ118*1000</f>
        <v>944.5566394985517</v>
      </c>
      <c r="U18" s="969">
        <f>'1.3.4 Coal3'!BA118*1000</f>
        <v>0</v>
      </c>
      <c r="V18" s="483"/>
      <c r="W18" s="483"/>
      <c r="X18" s="483"/>
      <c r="Y18" s="611"/>
    </row>
    <row r="19" spans="1:25" x14ac:dyDescent="0.45">
      <c r="A19" s="309">
        <v>1809</v>
      </c>
      <c r="B19" s="936">
        <f t="shared" si="0"/>
        <v>987.44040202295537</v>
      </c>
      <c r="P19" s="292"/>
      <c r="Q19" s="606"/>
      <c r="R19" s="607"/>
      <c r="S19" s="969">
        <f>'1.3.4 Coal3'!AY119*1000</f>
        <v>0</v>
      </c>
      <c r="T19" s="969">
        <f>'1.3.4 Coal3'!AZ119*1000</f>
        <v>987.44040202295537</v>
      </c>
      <c r="U19" s="969">
        <f>'1.3.4 Coal3'!BA119*1000</f>
        <v>0</v>
      </c>
      <c r="V19" s="483"/>
      <c r="W19" s="483"/>
      <c r="X19" s="483"/>
      <c r="Y19" s="611"/>
    </row>
    <row r="20" spans="1:25" x14ac:dyDescent="0.45">
      <c r="A20" s="309">
        <v>1810</v>
      </c>
      <c r="B20" s="936">
        <f t="shared" si="0"/>
        <v>1030.3241645473588</v>
      </c>
      <c r="P20" s="292"/>
      <c r="Q20" s="606"/>
      <c r="R20" s="607"/>
      <c r="S20" s="969">
        <f>'1.3.4 Coal3'!AY120*1000</f>
        <v>0</v>
      </c>
      <c r="T20" s="969">
        <f>'1.3.4 Coal3'!AZ120*1000</f>
        <v>1030.3241645473588</v>
      </c>
      <c r="U20" s="969">
        <f>'1.3.4 Coal3'!BA120*1000</f>
        <v>0</v>
      </c>
      <c r="V20" s="483"/>
      <c r="W20" s="483"/>
      <c r="X20" s="483"/>
      <c r="Y20" s="611"/>
    </row>
    <row r="21" spans="1:25" x14ac:dyDescent="0.45">
      <c r="A21" s="309">
        <v>1811</v>
      </c>
      <c r="B21" s="936">
        <f t="shared" si="0"/>
        <v>1073.2079270717627</v>
      </c>
      <c r="P21" s="292"/>
      <c r="Q21" s="606"/>
      <c r="R21" s="607"/>
      <c r="S21" s="969">
        <f>'1.3.4 Coal3'!AY121*1000</f>
        <v>0</v>
      </c>
      <c r="T21" s="969">
        <f>'1.3.4 Coal3'!AZ121*1000</f>
        <v>1073.2079270717627</v>
      </c>
      <c r="U21" s="969">
        <f>'1.3.4 Coal3'!BA121*1000</f>
        <v>0</v>
      </c>
      <c r="V21" s="483"/>
      <c r="W21" s="483"/>
      <c r="X21" s="483"/>
      <c r="Y21" s="611"/>
    </row>
    <row r="22" spans="1:25" x14ac:dyDescent="0.45">
      <c r="A22" s="309">
        <v>1812</v>
      </c>
      <c r="B22" s="936">
        <f t="shared" si="0"/>
        <v>1116.0916895961664</v>
      </c>
      <c r="P22" s="292"/>
      <c r="Q22" s="606"/>
      <c r="R22" s="607"/>
      <c r="S22" s="969">
        <f>'1.3.4 Coal3'!AY122*1000</f>
        <v>0</v>
      </c>
      <c r="T22" s="969">
        <f>'1.3.4 Coal3'!AZ122*1000</f>
        <v>1116.0916895961664</v>
      </c>
      <c r="U22" s="969">
        <f>'1.3.4 Coal3'!BA122*1000</f>
        <v>0</v>
      </c>
      <c r="V22" s="483"/>
      <c r="W22" s="483"/>
      <c r="X22" s="483"/>
      <c r="Y22" s="611"/>
    </row>
    <row r="23" spans="1:25" x14ac:dyDescent="0.45">
      <c r="A23" s="309">
        <v>1813</v>
      </c>
      <c r="B23" s="936">
        <f t="shared" si="0"/>
        <v>1158.97545212057</v>
      </c>
      <c r="P23" s="292"/>
      <c r="Q23" s="606"/>
      <c r="R23" s="607"/>
      <c r="S23" s="969">
        <f>'1.3.4 Coal3'!AY123*1000</f>
        <v>0</v>
      </c>
      <c r="T23" s="969">
        <f>'1.3.4 Coal3'!AZ123*1000</f>
        <v>1158.97545212057</v>
      </c>
      <c r="U23" s="969">
        <f>'1.3.4 Coal3'!BA123*1000</f>
        <v>0</v>
      </c>
      <c r="V23" s="483"/>
      <c r="W23" s="483"/>
      <c r="X23" s="483"/>
      <c r="Y23" s="611"/>
    </row>
    <row r="24" spans="1:25" x14ac:dyDescent="0.45">
      <c r="A24" s="309">
        <v>1814</v>
      </c>
      <c r="B24" s="936">
        <f t="shared" si="0"/>
        <v>1201.8592146449737</v>
      </c>
      <c r="P24" s="292"/>
      <c r="Q24" s="606"/>
      <c r="R24" s="607"/>
      <c r="S24" s="969">
        <f>'1.3.4 Coal3'!AY124*1000</f>
        <v>0</v>
      </c>
      <c r="T24" s="969">
        <f>'1.3.4 Coal3'!AZ124*1000</f>
        <v>1201.8592146449737</v>
      </c>
      <c r="U24" s="969">
        <f>'1.3.4 Coal3'!BA124*1000</f>
        <v>0</v>
      </c>
      <c r="V24" s="483"/>
      <c r="W24" s="483"/>
      <c r="X24" s="483"/>
      <c r="Y24" s="611"/>
    </row>
    <row r="25" spans="1:25" x14ac:dyDescent="0.45">
      <c r="A25" s="309">
        <v>1815</v>
      </c>
      <c r="B25" s="936">
        <f t="shared" si="0"/>
        <v>1244.7429771693771</v>
      </c>
      <c r="P25" s="292"/>
      <c r="Q25" s="606"/>
      <c r="R25" s="607"/>
      <c r="S25" s="969">
        <f>'1.3.4 Coal3'!AY125*1000</f>
        <v>0</v>
      </c>
      <c r="T25" s="969">
        <f>'1.3.4 Coal3'!AZ125*1000</f>
        <v>1244.7429771693771</v>
      </c>
      <c r="U25" s="969">
        <f>'1.3.4 Coal3'!BA125*1000</f>
        <v>0</v>
      </c>
      <c r="V25" s="483"/>
      <c r="W25" s="483"/>
      <c r="X25" s="483"/>
      <c r="Y25" s="611"/>
    </row>
    <row r="26" spans="1:25" x14ac:dyDescent="0.45">
      <c r="A26" s="309">
        <v>1816</v>
      </c>
      <c r="B26" s="936">
        <f t="shared" si="0"/>
        <v>1287.6267396937808</v>
      </c>
      <c r="P26" s="292"/>
      <c r="Q26" s="606"/>
      <c r="R26" s="607"/>
      <c r="S26" s="969">
        <f>'1.3.4 Coal3'!AY126*1000</f>
        <v>0</v>
      </c>
      <c r="T26" s="969">
        <f>'1.3.4 Coal3'!AZ126*1000</f>
        <v>1287.6267396937808</v>
      </c>
      <c r="U26" s="969">
        <f>'1.3.4 Coal3'!BA126*1000</f>
        <v>0</v>
      </c>
      <c r="V26" s="483"/>
      <c r="W26" s="483"/>
      <c r="X26" s="483"/>
      <c r="Y26" s="611"/>
    </row>
    <row r="27" spans="1:25" x14ac:dyDescent="0.45">
      <c r="A27" s="309">
        <v>1817</v>
      </c>
      <c r="B27" s="936">
        <f t="shared" si="0"/>
        <v>1330.5105022181845</v>
      </c>
      <c r="P27" s="292"/>
      <c r="Q27" s="606"/>
      <c r="R27" s="607"/>
      <c r="S27" s="969">
        <f>'1.3.4 Coal3'!AY127*1000</f>
        <v>0</v>
      </c>
      <c r="T27" s="969">
        <f>'1.3.4 Coal3'!AZ127*1000</f>
        <v>1330.5105022181845</v>
      </c>
      <c r="U27" s="969">
        <f>'1.3.4 Coal3'!BA127*1000</f>
        <v>0</v>
      </c>
      <c r="V27" s="483"/>
      <c r="W27" s="483"/>
      <c r="X27" s="483"/>
      <c r="Y27" s="611"/>
    </row>
    <row r="28" spans="1:25" x14ac:dyDescent="0.45">
      <c r="A28" s="309">
        <v>1818</v>
      </c>
      <c r="B28" s="936">
        <f t="shared" si="0"/>
        <v>1373.3942647425879</v>
      </c>
      <c r="P28" s="292"/>
      <c r="Q28" s="606"/>
      <c r="R28" s="607"/>
      <c r="S28" s="969">
        <f>'1.3.4 Coal3'!AY128*1000</f>
        <v>0</v>
      </c>
      <c r="T28" s="969">
        <f>'1.3.4 Coal3'!AZ128*1000</f>
        <v>1373.3942647425879</v>
      </c>
      <c r="U28" s="969">
        <f>'1.3.4 Coal3'!BA128*1000</f>
        <v>0</v>
      </c>
      <c r="V28" s="483"/>
      <c r="W28" s="483"/>
      <c r="X28" s="483"/>
      <c r="Y28" s="611"/>
    </row>
    <row r="29" spans="1:25" x14ac:dyDescent="0.45">
      <c r="A29" s="309">
        <v>1819</v>
      </c>
      <c r="B29" s="936">
        <f t="shared" si="0"/>
        <v>1416.2780272669916</v>
      </c>
      <c r="P29" s="292"/>
      <c r="Q29" s="606"/>
      <c r="R29" s="607"/>
      <c r="S29" s="969">
        <f>'1.3.4 Coal3'!AY129*1000</f>
        <v>0</v>
      </c>
      <c r="T29" s="969">
        <f>'1.3.4 Coal3'!AZ129*1000</f>
        <v>1416.2780272669916</v>
      </c>
      <c r="U29" s="969">
        <f>'1.3.4 Coal3'!BA129*1000</f>
        <v>0</v>
      </c>
      <c r="V29" s="483"/>
      <c r="W29" s="483"/>
      <c r="X29" s="483"/>
      <c r="Y29" s="611"/>
    </row>
    <row r="30" spans="1:25" x14ac:dyDescent="0.45">
      <c r="A30" s="309">
        <v>1820</v>
      </c>
      <c r="B30" s="936">
        <f t="shared" si="0"/>
        <v>1459.1617897913948</v>
      </c>
      <c r="P30" s="292"/>
      <c r="Q30" s="606"/>
      <c r="R30" s="607"/>
      <c r="S30" s="969">
        <f>'1.3.4 Coal3'!AY130*1000</f>
        <v>0</v>
      </c>
      <c r="T30" s="969">
        <f>'1.3.4 Coal3'!AZ130*1000</f>
        <v>1459.1617897913948</v>
      </c>
      <c r="U30" s="969">
        <f>'1.3.4 Coal3'!BA130*1000</f>
        <v>0</v>
      </c>
      <c r="V30" s="483"/>
      <c r="W30" s="483"/>
      <c r="X30" s="483"/>
      <c r="Y30" s="611"/>
    </row>
    <row r="31" spans="1:25" x14ac:dyDescent="0.45">
      <c r="A31" s="309">
        <v>1821</v>
      </c>
      <c r="B31" s="936">
        <f t="shared" si="0"/>
        <v>1502.0455523157982</v>
      </c>
      <c r="P31" s="292"/>
      <c r="Q31" s="606"/>
      <c r="R31" s="607"/>
      <c r="S31" s="969">
        <f>'1.3.4 Coal3'!AY131*1000</f>
        <v>0</v>
      </c>
      <c r="T31" s="969">
        <f>'1.3.4 Coal3'!AZ131*1000</f>
        <v>1502.0455523157982</v>
      </c>
      <c r="U31" s="969">
        <f>'1.3.4 Coal3'!BA131*1000</f>
        <v>0</v>
      </c>
      <c r="V31" s="483"/>
      <c r="W31" s="483"/>
      <c r="X31" s="483"/>
      <c r="Y31" s="611"/>
    </row>
    <row r="32" spans="1:25" x14ac:dyDescent="0.45">
      <c r="A32" s="309">
        <v>1822</v>
      </c>
      <c r="B32" s="936">
        <f t="shared" si="0"/>
        <v>1544.9293148402019</v>
      </c>
      <c r="P32" s="292"/>
      <c r="Q32" s="606"/>
      <c r="R32" s="607"/>
      <c r="S32" s="969">
        <f>'1.3.4 Coal3'!AY132*1000</f>
        <v>0</v>
      </c>
      <c r="T32" s="969">
        <f>'1.3.4 Coal3'!AZ132*1000</f>
        <v>1544.9293148402019</v>
      </c>
      <c r="U32" s="969">
        <f>'1.3.4 Coal3'!BA132*1000</f>
        <v>0</v>
      </c>
      <c r="V32" s="483"/>
      <c r="W32" s="483"/>
      <c r="X32" s="483"/>
      <c r="Y32" s="611"/>
    </row>
    <row r="33" spans="1:25" x14ac:dyDescent="0.45">
      <c r="A33" s="309">
        <v>1823</v>
      </c>
      <c r="B33" s="936">
        <f t="shared" si="0"/>
        <v>1587.8130773646053</v>
      </c>
      <c r="P33" s="292"/>
      <c r="Q33" s="606"/>
      <c r="R33" s="607"/>
      <c r="S33" s="969">
        <f>'1.3.4 Coal3'!AY133*1000</f>
        <v>0</v>
      </c>
      <c r="T33" s="969">
        <f>'1.3.4 Coal3'!AZ133*1000</f>
        <v>1587.8130773646053</v>
      </c>
      <c r="U33" s="969">
        <f>'1.3.4 Coal3'!BA133*1000</f>
        <v>0</v>
      </c>
      <c r="V33" s="483"/>
      <c r="W33" s="483"/>
      <c r="X33" s="483"/>
      <c r="Y33" s="611"/>
    </row>
    <row r="34" spans="1:25" x14ac:dyDescent="0.45">
      <c r="A34" s="309">
        <v>1824</v>
      </c>
      <c r="B34" s="936">
        <f t="shared" si="0"/>
        <v>1630.6968398890087</v>
      </c>
      <c r="P34" s="292"/>
      <c r="Q34" s="606"/>
      <c r="R34" s="607"/>
      <c r="S34" s="969">
        <f>'1.3.4 Coal3'!AY134*1000</f>
        <v>0</v>
      </c>
      <c r="T34" s="969">
        <f>'1.3.4 Coal3'!AZ134*1000</f>
        <v>1630.6968398890087</v>
      </c>
      <c r="U34" s="969">
        <f>'1.3.4 Coal3'!BA134*1000</f>
        <v>0</v>
      </c>
      <c r="V34" s="483"/>
      <c r="W34" s="483"/>
      <c r="X34" s="483"/>
      <c r="Y34" s="611"/>
    </row>
    <row r="35" spans="1:25" x14ac:dyDescent="0.45">
      <c r="A35" s="309">
        <v>1825</v>
      </c>
      <c r="B35" s="936">
        <f t="shared" si="0"/>
        <v>1673.5806024134124</v>
      </c>
      <c r="P35" s="292"/>
      <c r="Q35" s="606"/>
      <c r="R35" s="607"/>
      <c r="S35" s="969">
        <f>'1.3.4 Coal3'!AY135*1000</f>
        <v>0</v>
      </c>
      <c r="T35" s="969">
        <f>'1.3.4 Coal3'!AZ135*1000</f>
        <v>1673.5806024134124</v>
      </c>
      <c r="U35" s="969">
        <f>'1.3.4 Coal3'!BA135*1000</f>
        <v>0</v>
      </c>
      <c r="V35" s="483"/>
      <c r="W35" s="483"/>
      <c r="X35" s="483"/>
      <c r="Y35" s="611"/>
    </row>
    <row r="36" spans="1:25" x14ac:dyDescent="0.45">
      <c r="A36" s="309">
        <v>1826</v>
      </c>
      <c r="B36" s="936">
        <f t="shared" si="0"/>
        <v>1716.4643649378158</v>
      </c>
      <c r="P36" s="292"/>
      <c r="Q36" s="606"/>
      <c r="R36" s="607"/>
      <c r="S36" s="969">
        <f>'1.3.4 Coal3'!AY136*1000</f>
        <v>0</v>
      </c>
      <c r="T36" s="969">
        <f>'1.3.4 Coal3'!AZ136*1000</f>
        <v>1716.4643649378158</v>
      </c>
      <c r="U36" s="969">
        <f>'1.3.4 Coal3'!BA136*1000</f>
        <v>0</v>
      </c>
      <c r="V36" s="483"/>
      <c r="W36" s="483"/>
      <c r="X36" s="483"/>
      <c r="Y36" s="611"/>
    </row>
    <row r="37" spans="1:25" x14ac:dyDescent="0.45">
      <c r="A37" s="309">
        <v>1827</v>
      </c>
      <c r="B37" s="936">
        <f t="shared" si="0"/>
        <v>1759.3481274622193</v>
      </c>
      <c r="P37" s="292"/>
      <c r="Q37" s="606"/>
      <c r="R37" s="607"/>
      <c r="S37" s="969">
        <f>'1.3.4 Coal3'!AY137*1000</f>
        <v>0</v>
      </c>
      <c r="T37" s="969">
        <f>'1.3.4 Coal3'!AZ137*1000</f>
        <v>1759.3481274622193</v>
      </c>
      <c r="U37" s="969">
        <f>'1.3.4 Coal3'!BA137*1000</f>
        <v>0</v>
      </c>
      <c r="V37" s="483"/>
      <c r="W37" s="483"/>
      <c r="X37" s="483"/>
      <c r="Y37" s="611"/>
    </row>
    <row r="38" spans="1:25" x14ac:dyDescent="0.45">
      <c r="A38" s="309">
        <v>1828</v>
      </c>
      <c r="B38" s="936">
        <f t="shared" si="0"/>
        <v>1802.2318899866227</v>
      </c>
      <c r="P38" s="292"/>
      <c r="Q38" s="606"/>
      <c r="R38" s="607"/>
      <c r="S38" s="969">
        <f>'1.3.4 Coal3'!AY138*1000</f>
        <v>0</v>
      </c>
      <c r="T38" s="969">
        <f>'1.3.4 Coal3'!AZ138*1000</f>
        <v>1802.2318899866227</v>
      </c>
      <c r="U38" s="969">
        <f>'1.3.4 Coal3'!BA138*1000</f>
        <v>0</v>
      </c>
      <c r="V38" s="483"/>
      <c r="W38" s="483"/>
      <c r="X38" s="483"/>
      <c r="Y38" s="611"/>
    </row>
    <row r="39" spans="1:25" x14ac:dyDescent="0.45">
      <c r="A39" s="309">
        <v>1829</v>
      </c>
      <c r="B39" s="936">
        <f t="shared" si="0"/>
        <v>1845.1156525110262</v>
      </c>
      <c r="P39" s="292"/>
      <c r="Q39" s="606"/>
      <c r="R39" s="607"/>
      <c r="S39" s="969">
        <f>'1.3.4 Coal3'!AY139*1000</f>
        <v>0</v>
      </c>
      <c r="T39" s="969">
        <f>'1.3.4 Coal3'!AZ139*1000</f>
        <v>1845.1156525110262</v>
      </c>
      <c r="U39" s="969">
        <f>'1.3.4 Coal3'!BA139*1000</f>
        <v>0</v>
      </c>
      <c r="V39" s="483"/>
      <c r="W39" s="483"/>
      <c r="X39" s="483"/>
      <c r="Y39" s="611"/>
    </row>
    <row r="40" spans="1:25" x14ac:dyDescent="0.45">
      <c r="A40" s="309">
        <v>1830</v>
      </c>
      <c r="B40" s="936">
        <f t="shared" si="0"/>
        <v>1887.9994150354298</v>
      </c>
      <c r="P40" s="292"/>
      <c r="Q40" s="606"/>
      <c r="R40" s="607"/>
      <c r="S40" s="969">
        <f>'1.3.4 Coal3'!AY140*1000</f>
        <v>0</v>
      </c>
      <c r="T40" s="969">
        <f>'1.3.4 Coal3'!AZ140*1000</f>
        <v>1887.9994150354298</v>
      </c>
      <c r="U40" s="969">
        <f>'1.3.4 Coal3'!BA140*1000</f>
        <v>0</v>
      </c>
      <c r="V40" s="483"/>
      <c r="W40" s="483"/>
      <c r="X40" s="483"/>
      <c r="Y40" s="611"/>
    </row>
    <row r="41" spans="1:25" x14ac:dyDescent="0.45">
      <c r="A41" s="309">
        <v>1831</v>
      </c>
      <c r="B41" s="936">
        <f t="shared" si="0"/>
        <v>2030.749892466428</v>
      </c>
      <c r="P41" s="292"/>
      <c r="Q41" s="606"/>
      <c r="R41" s="607"/>
      <c r="S41" s="969">
        <f>'1.3.4 Coal3'!AY141*1000</f>
        <v>0</v>
      </c>
      <c r="T41" s="969">
        <f>'1.3.4 Coal3'!AZ141*1000</f>
        <v>2019.9922944936591</v>
      </c>
      <c r="U41" s="969">
        <f>'1.3.4 Coal3'!BA141*1000</f>
        <v>10.757597972768876</v>
      </c>
      <c r="V41" s="483"/>
      <c r="W41" s="483"/>
      <c r="X41" s="483"/>
      <c r="Y41" s="611"/>
    </row>
    <row r="42" spans="1:25" x14ac:dyDescent="0.45">
      <c r="A42" s="309">
        <v>1832</v>
      </c>
      <c r="B42" s="936">
        <f t="shared" si="0"/>
        <v>2174.3417462751841</v>
      </c>
      <c r="P42" s="292"/>
      <c r="Q42" s="606"/>
      <c r="R42" s="607"/>
      <c r="S42" s="969">
        <f>'1.3.4 Coal3'!AY142*1000</f>
        <v>0</v>
      </c>
      <c r="T42" s="969">
        <f>'1.3.4 Coal3'!AZ142*1000</f>
        <v>2151.9851739518876</v>
      </c>
      <c r="U42" s="969">
        <f>'1.3.4 Coal3'!BA142*1000</f>
        <v>22.356572323296209</v>
      </c>
      <c r="V42" s="483"/>
      <c r="W42" s="483"/>
      <c r="X42" s="483"/>
      <c r="Y42" s="611"/>
    </row>
    <row r="43" spans="1:25" x14ac:dyDescent="0.45">
      <c r="A43" s="309">
        <v>1833</v>
      </c>
      <c r="B43" s="936">
        <f t="shared" si="0"/>
        <v>2318.7749764616983</v>
      </c>
      <c r="P43" s="292"/>
      <c r="Q43" s="606"/>
      <c r="R43" s="607"/>
      <c r="S43" s="969">
        <f>'1.3.4 Coal3'!AY143*1000</f>
        <v>0</v>
      </c>
      <c r="T43" s="969">
        <f>'1.3.4 Coal3'!AZ143*1000</f>
        <v>2283.9780534101164</v>
      </c>
      <c r="U43" s="969">
        <f>'1.3.4 Coal3'!BA143*1000</f>
        <v>34.796923051582006</v>
      </c>
      <c r="V43" s="483"/>
      <c r="W43" s="483"/>
      <c r="X43" s="483"/>
      <c r="Y43" s="611"/>
    </row>
    <row r="44" spans="1:25" x14ac:dyDescent="0.45">
      <c r="A44" s="309">
        <v>1834</v>
      </c>
      <c r="B44" s="936">
        <f t="shared" si="0"/>
        <v>2464.049583025972</v>
      </c>
      <c r="P44" s="292"/>
      <c r="Q44" s="606"/>
      <c r="R44" s="607"/>
      <c r="S44" s="969">
        <f>'1.3.4 Coal3'!AY144*1000</f>
        <v>0</v>
      </c>
      <c r="T44" s="969">
        <f>'1.3.4 Coal3'!AZ144*1000</f>
        <v>2415.9709328683457</v>
      </c>
      <c r="U44" s="969">
        <f>'1.3.4 Coal3'!BA144*1000</f>
        <v>48.078650157626249</v>
      </c>
      <c r="V44" s="483"/>
      <c r="W44" s="483"/>
      <c r="X44" s="483"/>
      <c r="Y44" s="611"/>
    </row>
    <row r="45" spans="1:25" x14ac:dyDescent="0.45">
      <c r="A45" s="309">
        <v>1835</v>
      </c>
      <c r="B45" s="936">
        <f t="shared" si="0"/>
        <v>2610.1655659680036</v>
      </c>
      <c r="P45" s="292"/>
      <c r="Q45" s="606"/>
      <c r="R45" s="607"/>
      <c r="S45" s="969">
        <f>'1.3.4 Coal3'!AY145*1000</f>
        <v>0</v>
      </c>
      <c r="T45" s="969">
        <f>'1.3.4 Coal3'!AZ145*1000</f>
        <v>2547.9638123265745</v>
      </c>
      <c r="U45" s="969">
        <f>'1.3.4 Coal3'!BA145*1000</f>
        <v>62.201753641428965</v>
      </c>
      <c r="V45" s="483"/>
      <c r="W45" s="483"/>
      <c r="X45" s="483"/>
      <c r="Y45" s="611"/>
    </row>
    <row r="46" spans="1:25" x14ac:dyDescent="0.45">
      <c r="A46" s="309">
        <v>1836</v>
      </c>
      <c r="B46" s="936">
        <f t="shared" si="0"/>
        <v>2757.1229252877938</v>
      </c>
      <c r="P46" s="292"/>
      <c r="Q46" s="606"/>
      <c r="R46" s="607"/>
      <c r="S46" s="969">
        <f>'1.3.4 Coal3'!AY146*1000</f>
        <v>0</v>
      </c>
      <c r="T46" s="969">
        <f>'1.3.4 Coal3'!AZ146*1000</f>
        <v>2679.9566917848038</v>
      </c>
      <c r="U46" s="969">
        <f>'1.3.4 Coal3'!BA146*1000</f>
        <v>77.166233502990139</v>
      </c>
      <c r="V46" s="483"/>
      <c r="W46" s="483"/>
      <c r="X46" s="483"/>
      <c r="Y46" s="611"/>
    </row>
    <row r="47" spans="1:25" x14ac:dyDescent="0.45">
      <c r="A47" s="309">
        <v>1837</v>
      </c>
      <c r="B47" s="936">
        <f t="shared" si="0"/>
        <v>2904.9216609853424</v>
      </c>
      <c r="P47" s="292"/>
      <c r="Q47" s="606"/>
      <c r="R47" s="607"/>
      <c r="S47" s="969">
        <f>'1.3.4 Coal3'!AY147*1000</f>
        <v>0</v>
      </c>
      <c r="T47" s="969">
        <f>'1.3.4 Coal3'!AZ147*1000</f>
        <v>2811.9495712430326</v>
      </c>
      <c r="U47" s="969">
        <f>'1.3.4 Coal3'!BA147*1000</f>
        <v>92.972089742309763</v>
      </c>
      <c r="V47" s="483"/>
      <c r="W47" s="483"/>
      <c r="X47" s="483"/>
      <c r="Y47" s="611"/>
    </row>
    <row r="48" spans="1:25" x14ac:dyDescent="0.45">
      <c r="A48" s="309">
        <v>1838</v>
      </c>
      <c r="B48" s="936">
        <f t="shared" si="0"/>
        <v>3053.5617730606496</v>
      </c>
      <c r="P48" s="292"/>
      <c r="Q48" s="606"/>
      <c r="R48" s="607"/>
      <c r="S48" s="969">
        <f>'1.3.4 Coal3'!AY148*1000</f>
        <v>0</v>
      </c>
      <c r="T48" s="969">
        <f>'1.3.4 Coal3'!AZ148*1000</f>
        <v>2943.9424507012618</v>
      </c>
      <c r="U48" s="969">
        <f>'1.3.4 Coal3'!BA148*1000</f>
        <v>109.61932235938784</v>
      </c>
      <c r="V48" s="483"/>
      <c r="W48" s="483"/>
      <c r="X48" s="483"/>
      <c r="Y48" s="611"/>
    </row>
    <row r="49" spans="1:25" x14ac:dyDescent="0.45">
      <c r="A49" s="309">
        <v>1839</v>
      </c>
      <c r="B49" s="936">
        <f t="shared" si="0"/>
        <v>3203.0432615137156</v>
      </c>
      <c r="P49" s="292"/>
      <c r="Q49" s="606"/>
      <c r="R49" s="607"/>
      <c r="S49" s="969">
        <f>'1.3.4 Coal3'!AY149*1000</f>
        <v>0</v>
      </c>
      <c r="T49" s="969">
        <f>'1.3.4 Coal3'!AZ149*1000</f>
        <v>3075.9353301594911</v>
      </c>
      <c r="U49" s="969">
        <f>'1.3.4 Coal3'!BA149*1000</f>
        <v>127.10793135422441</v>
      </c>
      <c r="V49" s="483"/>
      <c r="W49" s="483"/>
      <c r="X49" s="483"/>
      <c r="Y49" s="611"/>
    </row>
    <row r="50" spans="1:25" x14ac:dyDescent="0.45">
      <c r="A50" s="309">
        <v>1840</v>
      </c>
      <c r="B50" s="936">
        <f t="shared" si="0"/>
        <v>3353.3661263445406</v>
      </c>
      <c r="P50" s="292"/>
      <c r="Q50" s="606"/>
      <c r="R50" s="607"/>
      <c r="S50" s="969">
        <f>'1.3.4 Coal3'!AY150*1000</f>
        <v>0</v>
      </c>
      <c r="T50" s="969">
        <f>'1.3.4 Coal3'!AZ150*1000</f>
        <v>3207.9282096177212</v>
      </c>
      <c r="U50" s="969">
        <f>'1.3.4 Coal3'!BA150*1000</f>
        <v>145.43791672681945</v>
      </c>
      <c r="V50" s="483"/>
      <c r="W50" s="483"/>
      <c r="X50" s="483"/>
      <c r="Y50" s="611"/>
    </row>
    <row r="51" spans="1:25" x14ac:dyDescent="0.45">
      <c r="A51" s="309">
        <v>1841</v>
      </c>
      <c r="B51" s="936">
        <f t="shared" si="0"/>
        <v>3586.9240597348785</v>
      </c>
      <c r="P51" s="292"/>
      <c r="Q51" s="606"/>
      <c r="R51" s="607"/>
      <c r="S51" s="969">
        <f>'1.3.4 Coal3'!AY151*1000</f>
        <v>0</v>
      </c>
      <c r="T51" s="969">
        <f>'1.3.4 Coal3'!AZ151*1000</f>
        <v>3417.3346344122115</v>
      </c>
      <c r="U51" s="969">
        <f>'1.3.4 Coal3'!BA151*1000</f>
        <v>169.58942532266701</v>
      </c>
      <c r="V51" s="483"/>
      <c r="W51" s="483"/>
      <c r="X51" s="483"/>
      <c r="Y51" s="611"/>
    </row>
    <row r="52" spans="1:25" x14ac:dyDescent="0.45">
      <c r="A52" s="309">
        <v>1842</v>
      </c>
      <c r="B52" s="936">
        <f t="shared" si="0"/>
        <v>3822.2288507476101</v>
      </c>
      <c r="P52" s="292"/>
      <c r="Q52" s="606"/>
      <c r="R52" s="607"/>
      <c r="S52" s="969">
        <f>'1.3.4 Coal3'!AY152*1000</f>
        <v>0</v>
      </c>
      <c r="T52" s="969">
        <f>'1.3.4 Coal3'!AZ152*1000</f>
        <v>3626.7410592067017</v>
      </c>
      <c r="U52" s="969">
        <f>'1.3.4 Coal3'!BA152*1000</f>
        <v>195.48779154090838</v>
      </c>
      <c r="V52" s="483"/>
      <c r="W52" s="483"/>
      <c r="X52" s="483"/>
      <c r="Y52" s="611"/>
    </row>
    <row r="53" spans="1:25" x14ac:dyDescent="0.45">
      <c r="A53" s="309">
        <v>1843</v>
      </c>
      <c r="B53" s="936">
        <f t="shared" si="0"/>
        <v>4059.2804993827353</v>
      </c>
      <c r="P53" s="292"/>
      <c r="Q53" s="606"/>
      <c r="R53" s="607"/>
      <c r="S53" s="969">
        <f>'1.3.4 Coal3'!AY153*1000</f>
        <v>0</v>
      </c>
      <c r="T53" s="969">
        <f>'1.3.4 Coal3'!AZ153*1000</f>
        <v>3836.147484001192</v>
      </c>
      <c r="U53" s="969">
        <f>'1.3.4 Coal3'!BA153*1000</f>
        <v>223.13301538154349</v>
      </c>
      <c r="V53" s="483"/>
      <c r="W53" s="483"/>
      <c r="X53" s="483"/>
      <c r="Y53" s="611"/>
    </row>
    <row r="54" spans="1:25" x14ac:dyDescent="0.45">
      <c r="A54" s="309">
        <v>1844</v>
      </c>
      <c r="B54" s="936">
        <f t="shared" si="0"/>
        <v>4298.0790056402548</v>
      </c>
      <c r="P54" s="292"/>
      <c r="Q54" s="606"/>
      <c r="R54" s="607"/>
      <c r="S54" s="969">
        <f>'1.3.4 Coal3'!AY154*1000</f>
        <v>0</v>
      </c>
      <c r="T54" s="969">
        <f>'1.3.4 Coal3'!AZ154*1000</f>
        <v>4045.5539087956822</v>
      </c>
      <c r="U54" s="969">
        <f>'1.3.4 Coal3'!BA154*1000</f>
        <v>252.52509684457237</v>
      </c>
      <c r="V54" s="483"/>
      <c r="W54" s="483"/>
      <c r="X54" s="483"/>
      <c r="Y54" s="611"/>
    </row>
    <row r="55" spans="1:25" x14ac:dyDescent="0.45">
      <c r="A55" s="309">
        <v>1845</v>
      </c>
      <c r="B55" s="936">
        <f t="shared" si="0"/>
        <v>4538.6243695201665</v>
      </c>
      <c r="P55" s="292"/>
      <c r="Q55" s="606"/>
      <c r="R55" s="607"/>
      <c r="S55" s="969">
        <f>'1.3.4 Coal3'!AY155*1000</f>
        <v>0</v>
      </c>
      <c r="T55" s="969">
        <f>'1.3.4 Coal3'!AZ155*1000</f>
        <v>4254.960333590172</v>
      </c>
      <c r="U55" s="969">
        <f>'1.3.4 Coal3'!BA155*1000</f>
        <v>283.66403592999495</v>
      </c>
      <c r="V55" s="483"/>
      <c r="W55" s="483"/>
      <c r="X55" s="483"/>
      <c r="Y55" s="611"/>
    </row>
    <row r="56" spans="1:25" x14ac:dyDescent="0.45">
      <c r="A56" s="309">
        <v>1846</v>
      </c>
      <c r="B56" s="936">
        <f t="shared" si="0"/>
        <v>4780.9165910224738</v>
      </c>
      <c r="P56" s="292"/>
      <c r="Q56" s="606"/>
      <c r="R56" s="607"/>
      <c r="S56" s="969">
        <f>'1.3.4 Coal3'!AY156*1000</f>
        <v>0</v>
      </c>
      <c r="T56" s="969">
        <f>'1.3.4 Coal3'!AZ156*1000</f>
        <v>4464.3667583846627</v>
      </c>
      <c r="U56" s="969">
        <f>'1.3.4 Coal3'!BA156*1000</f>
        <v>316.54983263781133</v>
      </c>
      <c r="V56" s="483"/>
      <c r="W56" s="483"/>
      <c r="X56" s="483"/>
      <c r="Y56" s="611"/>
    </row>
    <row r="57" spans="1:25" x14ac:dyDescent="0.45">
      <c r="A57" s="309">
        <v>1847</v>
      </c>
      <c r="B57" s="936">
        <f t="shared" si="0"/>
        <v>5024.9556701471738</v>
      </c>
      <c r="P57" s="292"/>
      <c r="Q57" s="606"/>
      <c r="R57" s="607"/>
      <c r="S57" s="969">
        <f>'1.3.4 Coal3'!AY157*1000</f>
        <v>0</v>
      </c>
      <c r="T57" s="969">
        <f>'1.3.4 Coal3'!AZ157*1000</f>
        <v>4673.7731831791525</v>
      </c>
      <c r="U57" s="969">
        <f>'1.3.4 Coal3'!BA157*1000</f>
        <v>351.18248696802146</v>
      </c>
      <c r="V57" s="483"/>
      <c r="W57" s="483"/>
      <c r="X57" s="483"/>
      <c r="Y57" s="611"/>
    </row>
    <row r="58" spans="1:25" x14ac:dyDescent="0.45">
      <c r="A58" s="309">
        <v>1848</v>
      </c>
      <c r="B58" s="936">
        <f t="shared" si="0"/>
        <v>5270.7416068942684</v>
      </c>
      <c r="P58" s="292"/>
      <c r="Q58" s="606"/>
      <c r="R58" s="607"/>
      <c r="S58" s="969">
        <f>'1.3.4 Coal3'!AY158*1000</f>
        <v>0</v>
      </c>
      <c r="T58" s="969">
        <f>'1.3.4 Coal3'!AZ158*1000</f>
        <v>4883.1796079736432</v>
      </c>
      <c r="U58" s="969">
        <f>'1.3.4 Coal3'!BA158*1000</f>
        <v>387.5619989206254</v>
      </c>
      <c r="V58" s="483"/>
      <c r="W58" s="483"/>
      <c r="X58" s="483"/>
      <c r="Y58" s="611"/>
    </row>
    <row r="59" spans="1:25" x14ac:dyDescent="0.45">
      <c r="A59" s="309">
        <v>1849</v>
      </c>
      <c r="B59" s="936">
        <f t="shared" si="0"/>
        <v>5518.2744012637559</v>
      </c>
      <c r="P59" s="292"/>
      <c r="Q59" s="606"/>
      <c r="R59" s="607"/>
      <c r="S59" s="969">
        <f>'1.3.4 Coal3'!AY159*1000</f>
        <v>0</v>
      </c>
      <c r="T59" s="969">
        <f>'1.3.4 Coal3'!AZ159*1000</f>
        <v>5092.586032768133</v>
      </c>
      <c r="U59" s="969">
        <f>'1.3.4 Coal3'!BA159*1000</f>
        <v>425.68836849562297</v>
      </c>
      <c r="V59" s="483"/>
      <c r="W59" s="483"/>
      <c r="X59" s="483"/>
      <c r="Y59" s="611"/>
    </row>
    <row r="60" spans="1:25" x14ac:dyDescent="0.45">
      <c r="A60" s="309">
        <v>1850</v>
      </c>
      <c r="B60" s="936">
        <f t="shared" si="0"/>
        <v>5767.554053255637</v>
      </c>
      <c r="P60" s="292"/>
      <c r="Q60" s="606"/>
      <c r="R60" s="607"/>
      <c r="S60" s="969">
        <f>'1.3.4 Coal3'!AY160*1000</f>
        <v>0</v>
      </c>
      <c r="T60" s="969">
        <f>'1.3.4 Coal3'!AZ160*1000</f>
        <v>5301.9924575626228</v>
      </c>
      <c r="U60" s="969">
        <f>'1.3.4 Coal3'!BA160*1000</f>
        <v>465.56159569301434</v>
      </c>
      <c r="V60" s="483"/>
      <c r="W60" s="483"/>
      <c r="X60" s="483"/>
      <c r="Y60" s="611"/>
    </row>
    <row r="61" spans="1:25" x14ac:dyDescent="0.45">
      <c r="A61" s="309">
        <v>1851</v>
      </c>
      <c r="B61" s="936">
        <f t="shared" si="0"/>
        <v>6018.5805628699127</v>
      </c>
      <c r="P61" s="292"/>
      <c r="Q61" s="606"/>
      <c r="R61" s="607"/>
      <c r="S61" s="969">
        <f>'1.3.4 Coal3'!AY161*1000</f>
        <v>0</v>
      </c>
      <c r="T61" s="969">
        <f>'1.3.4 Coal3'!AZ161*1000</f>
        <v>5511.3988823571135</v>
      </c>
      <c r="U61" s="969">
        <f>'1.3.4 Coal3'!BA161*1000</f>
        <v>507.18168051279946</v>
      </c>
      <c r="V61" s="483"/>
      <c r="W61" s="483"/>
      <c r="X61" s="483"/>
      <c r="Y61" s="611"/>
    </row>
    <row r="62" spans="1:25" x14ac:dyDescent="0.45">
      <c r="A62" s="309">
        <v>1852</v>
      </c>
      <c r="B62" s="936">
        <f t="shared" si="0"/>
        <v>6271.3539301065821</v>
      </c>
      <c r="P62" s="292"/>
      <c r="Q62" s="606"/>
      <c r="R62" s="607"/>
      <c r="S62" s="969">
        <f>'1.3.4 Coal3'!AY162*1000</f>
        <v>0</v>
      </c>
      <c r="T62" s="969">
        <f>'1.3.4 Coal3'!AZ162*1000</f>
        <v>5720.8053071516033</v>
      </c>
      <c r="U62" s="969">
        <f>'1.3.4 Coal3'!BA162*1000</f>
        <v>550.54862295497844</v>
      </c>
      <c r="V62" s="483"/>
      <c r="W62" s="483"/>
      <c r="X62" s="483"/>
      <c r="Y62" s="611"/>
    </row>
    <row r="63" spans="1:25" x14ac:dyDescent="0.45">
      <c r="A63" s="309">
        <v>1853</v>
      </c>
      <c r="B63" s="936">
        <f t="shared" si="0"/>
        <v>6525.8741549656434</v>
      </c>
      <c r="P63" s="292"/>
      <c r="Q63" s="606"/>
      <c r="R63" s="607"/>
      <c r="S63" s="969">
        <f>'1.3.4 Coal3'!AY163*1000</f>
        <v>0</v>
      </c>
      <c r="T63" s="969">
        <f>'1.3.4 Coal3'!AZ163*1000</f>
        <v>5930.2117319460922</v>
      </c>
      <c r="U63" s="969">
        <f>'1.3.4 Coal3'!BA163*1000</f>
        <v>595.66242301955094</v>
      </c>
      <c r="V63" s="483"/>
      <c r="W63" s="483"/>
      <c r="X63" s="483"/>
      <c r="Y63" s="611"/>
    </row>
    <row r="64" spans="1:25" x14ac:dyDescent="0.45">
      <c r="A64" s="309">
        <v>1854</v>
      </c>
      <c r="B64" s="936">
        <f t="shared" si="0"/>
        <v>6782.1412374471001</v>
      </c>
      <c r="P64" s="292"/>
      <c r="Q64" s="606"/>
      <c r="R64" s="607"/>
      <c r="S64" s="969">
        <f>'1.3.4 Coal3'!AY164*1000</f>
        <v>0</v>
      </c>
      <c r="T64" s="969">
        <f>'1.3.4 Coal3'!AZ164*1000</f>
        <v>6139.6181567405829</v>
      </c>
      <c r="U64" s="969">
        <f>'1.3.4 Coal3'!BA164*1000</f>
        <v>642.52308070651748</v>
      </c>
      <c r="V64" s="483"/>
      <c r="W64" s="483"/>
      <c r="X64" s="483"/>
      <c r="Y64" s="611"/>
    </row>
    <row r="65" spans="1:25" x14ac:dyDescent="0.45">
      <c r="A65" s="309">
        <v>1855</v>
      </c>
      <c r="B65" s="936">
        <f t="shared" si="0"/>
        <v>7040.1551775509524</v>
      </c>
      <c r="P65" s="292"/>
      <c r="Q65" s="606"/>
      <c r="R65" s="607"/>
      <c r="S65" s="969">
        <f>'1.3.4 Coal3'!AY165*1000</f>
        <v>0</v>
      </c>
      <c r="T65" s="969">
        <f>'1.3.4 Coal3'!AZ165*1000</f>
        <v>6349.0245815350745</v>
      </c>
      <c r="U65" s="969">
        <f>'1.3.4 Coal3'!BA165*1000</f>
        <v>691.13059601587759</v>
      </c>
      <c r="V65" s="483"/>
      <c r="W65" s="483"/>
      <c r="X65" s="483"/>
      <c r="Y65" s="611"/>
    </row>
    <row r="66" spans="1:25" x14ac:dyDescent="0.45">
      <c r="A66" s="309">
        <v>1856</v>
      </c>
      <c r="B66" s="936">
        <f t="shared" si="0"/>
        <v>7281.9636287544672</v>
      </c>
      <c r="P66" s="292"/>
      <c r="Q66" s="606"/>
      <c r="R66" s="607"/>
      <c r="S66" s="969">
        <f>'1.3.4 Coal3'!AY166*1000</f>
        <v>0</v>
      </c>
      <c r="T66" s="969">
        <f>'1.3.4 Coal3'!AZ166*1000</f>
        <v>6539.972689250415</v>
      </c>
      <c r="U66" s="969">
        <f>'1.3.4 Coal3'!BA166*1000</f>
        <v>741.99093950405211</v>
      </c>
      <c r="V66" s="483"/>
      <c r="W66" s="483"/>
      <c r="X66" s="483"/>
      <c r="Y66" s="611"/>
    </row>
    <row r="67" spans="1:25" x14ac:dyDescent="0.45">
      <c r="A67" s="309">
        <v>1857</v>
      </c>
      <c r="B67" s="936">
        <f t="shared" si="0"/>
        <v>7525.5578583924089</v>
      </c>
      <c r="P67" s="292"/>
      <c r="Q67" s="606"/>
      <c r="R67" s="607"/>
      <c r="S67" s="969">
        <f>'1.3.4 Coal3'!AY167*1000</f>
        <v>0</v>
      </c>
      <c r="T67" s="969">
        <f>'1.3.4 Coal3'!AZ167*1000</f>
        <v>6730.9207969657555</v>
      </c>
      <c r="U67" s="969">
        <f>'1.3.4 Coal3'!BA167*1000</f>
        <v>794.63706142665296</v>
      </c>
      <c r="V67" s="483"/>
      <c r="W67" s="483"/>
      <c r="X67" s="483"/>
      <c r="Y67" s="611"/>
    </row>
    <row r="68" spans="1:25" x14ac:dyDescent="0.45">
      <c r="A68" s="309">
        <v>1858</v>
      </c>
      <c r="B68" s="936">
        <f t="shared" si="0"/>
        <v>7770.9378664647757</v>
      </c>
      <c r="P68" s="292"/>
      <c r="Q68" s="606"/>
      <c r="R68" s="607"/>
      <c r="S68" s="969">
        <f>'1.3.4 Coal3'!AY168*1000</f>
        <v>0</v>
      </c>
      <c r="T68" s="969">
        <f>'1.3.4 Coal3'!AZ168*1000</f>
        <v>6921.868904681096</v>
      </c>
      <c r="U68" s="969">
        <f>'1.3.4 Coal3'!BA168*1000</f>
        <v>849.06896178367981</v>
      </c>
      <c r="V68" s="483"/>
      <c r="W68" s="483"/>
      <c r="X68" s="483"/>
      <c r="Y68" s="611"/>
    </row>
    <row r="69" spans="1:25" x14ac:dyDescent="0.45">
      <c r="A69" s="309">
        <v>1859</v>
      </c>
      <c r="B69" s="936">
        <f t="shared" si="0"/>
        <v>8018.1036529715702</v>
      </c>
      <c r="P69" s="292"/>
      <c r="Q69" s="606"/>
      <c r="R69" s="607"/>
      <c r="S69" s="969">
        <f>'1.3.4 Coal3'!AY169*1000</f>
        <v>0</v>
      </c>
      <c r="T69" s="969">
        <f>'1.3.4 Coal3'!AZ169*1000</f>
        <v>7112.8170123964373</v>
      </c>
      <c r="U69" s="969">
        <f>'1.3.4 Coal3'!BA169*1000</f>
        <v>905.28664057513299</v>
      </c>
      <c r="V69" s="483"/>
      <c r="W69" s="483"/>
      <c r="X69" s="483"/>
      <c r="Y69" s="611"/>
    </row>
    <row r="70" spans="1:25" x14ac:dyDescent="0.45">
      <c r="A70" s="309">
        <v>1860</v>
      </c>
      <c r="B70" s="936">
        <f t="shared" si="0"/>
        <v>8267.0552179127917</v>
      </c>
      <c r="P70" s="292"/>
      <c r="Q70" s="606"/>
      <c r="R70" s="607"/>
      <c r="S70" s="969">
        <f>'1.3.4 Coal3'!AY170*1000</f>
        <v>0</v>
      </c>
      <c r="T70" s="969">
        <f>'1.3.4 Coal3'!AZ170*1000</f>
        <v>7303.7651201117787</v>
      </c>
      <c r="U70" s="969">
        <f>'1.3.4 Coal3'!BA170*1000</f>
        <v>963.29009780101205</v>
      </c>
      <c r="V70" s="483"/>
      <c r="W70" s="483"/>
      <c r="X70" s="483"/>
      <c r="Y70" s="611"/>
    </row>
    <row r="71" spans="1:25" x14ac:dyDescent="0.45">
      <c r="A71" s="309">
        <v>1861</v>
      </c>
      <c r="B71" s="936">
        <f t="shared" si="0"/>
        <v>8517.7925612884374</v>
      </c>
      <c r="P71" s="292"/>
      <c r="Q71" s="606"/>
      <c r="R71" s="607"/>
      <c r="S71" s="969">
        <f>'1.3.4 Coal3'!AY171*1000</f>
        <v>0</v>
      </c>
      <c r="T71" s="969">
        <f>'1.3.4 Coal3'!AZ171*1000</f>
        <v>7494.7132278271201</v>
      </c>
      <c r="U71" s="969">
        <f>'1.3.4 Coal3'!BA171*1000</f>
        <v>1023.0793334613173</v>
      </c>
      <c r="V71" s="483"/>
      <c r="W71" s="483"/>
      <c r="X71" s="483"/>
      <c r="Y71" s="611"/>
    </row>
    <row r="72" spans="1:25" x14ac:dyDescent="0.45">
      <c r="A72" s="309">
        <v>1862</v>
      </c>
      <c r="B72" s="936">
        <f t="shared" si="0"/>
        <v>8770.3156830985099</v>
      </c>
      <c r="P72" s="292"/>
      <c r="Q72" s="606"/>
      <c r="R72" s="607"/>
      <c r="S72" s="969">
        <f>'1.3.4 Coal3'!AY172*1000</f>
        <v>0</v>
      </c>
      <c r="T72" s="969">
        <f>'1.3.4 Coal3'!AZ172*1000</f>
        <v>7685.6613355424606</v>
      </c>
      <c r="U72" s="969">
        <f>'1.3.4 Coal3'!BA172*1000</f>
        <v>1084.6543475560488</v>
      </c>
      <c r="V72" s="483"/>
      <c r="W72" s="483"/>
      <c r="X72" s="483"/>
      <c r="Y72" s="611"/>
    </row>
    <row r="73" spans="1:25" x14ac:dyDescent="0.45">
      <c r="A73" s="309">
        <v>1863</v>
      </c>
      <c r="B73" s="936">
        <f t="shared" si="0"/>
        <v>9024.6245833430075</v>
      </c>
      <c r="P73" s="292"/>
      <c r="Q73" s="606"/>
      <c r="R73" s="607"/>
      <c r="S73" s="969">
        <f>'1.3.4 Coal3'!AY173*1000</f>
        <v>0</v>
      </c>
      <c r="T73" s="969">
        <f>'1.3.4 Coal3'!AZ173*1000</f>
        <v>7876.6094432578011</v>
      </c>
      <c r="U73" s="969">
        <f>'1.3.4 Coal3'!BA173*1000</f>
        <v>1148.0151400852064</v>
      </c>
      <c r="V73" s="483"/>
      <c r="W73" s="483"/>
      <c r="X73" s="483"/>
      <c r="Y73" s="611"/>
    </row>
    <row r="74" spans="1:25" x14ac:dyDescent="0.45">
      <c r="A74" s="309">
        <v>1864</v>
      </c>
      <c r="B74" s="936">
        <f t="shared" ref="B74:B108" si="1">T74+U74</f>
        <v>9280.7192620219339</v>
      </c>
      <c r="P74" s="292"/>
      <c r="Q74" s="606"/>
      <c r="R74" s="607"/>
      <c r="S74" s="969">
        <f>'1.3.4 Coal3'!AY174*1000</f>
        <v>0</v>
      </c>
      <c r="T74" s="969">
        <f>'1.3.4 Coal3'!AZ174*1000</f>
        <v>8067.5575509731434</v>
      </c>
      <c r="U74" s="969">
        <f>'1.3.4 Coal3'!BA174*1000</f>
        <v>1213.16171104879</v>
      </c>
      <c r="V74" s="483"/>
      <c r="W74" s="483"/>
      <c r="X74" s="483"/>
      <c r="Y74" s="611"/>
    </row>
    <row r="75" spans="1:25" x14ac:dyDescent="0.45">
      <c r="A75" s="309">
        <v>1865</v>
      </c>
      <c r="B75" s="936">
        <f t="shared" si="1"/>
        <v>9538.5997191352817</v>
      </c>
      <c r="P75" s="292"/>
      <c r="Q75" s="606"/>
      <c r="R75" s="607"/>
      <c r="S75" s="969">
        <f>'1.3.4 Coal3'!AY175*1000</f>
        <v>0</v>
      </c>
      <c r="T75" s="969">
        <f>'1.3.4 Coal3'!AZ175*1000</f>
        <v>8258.5056586884821</v>
      </c>
      <c r="U75" s="969">
        <f>'1.3.4 Coal3'!BA175*1000</f>
        <v>1280.0940604467996</v>
      </c>
      <c r="V75" s="483"/>
      <c r="W75" s="483"/>
      <c r="X75" s="483"/>
      <c r="Y75" s="611"/>
    </row>
    <row r="76" spans="1:25" x14ac:dyDescent="0.45">
      <c r="A76" s="309">
        <v>1866</v>
      </c>
      <c r="B76" s="936">
        <f t="shared" si="1"/>
        <v>9798.2659546830619</v>
      </c>
      <c r="P76" s="292"/>
      <c r="Q76" s="606"/>
      <c r="R76" s="607"/>
      <c r="S76" s="969">
        <f>'1.3.4 Coal3'!AY176*1000</f>
        <v>0</v>
      </c>
      <c r="T76" s="969">
        <f>'1.3.4 Coal3'!AZ176*1000</f>
        <v>8449.4537664038253</v>
      </c>
      <c r="U76" s="969">
        <f>'1.3.4 Coal3'!BA176*1000</f>
        <v>1348.8121882792357</v>
      </c>
      <c r="V76" s="483"/>
      <c r="W76" s="483"/>
      <c r="X76" s="483"/>
      <c r="Y76" s="611"/>
    </row>
    <row r="77" spans="1:25" x14ac:dyDescent="0.45">
      <c r="A77" s="309">
        <v>1867</v>
      </c>
      <c r="B77" s="936">
        <f t="shared" si="1"/>
        <v>10059.717968665262</v>
      </c>
      <c r="P77" s="292"/>
      <c r="Q77" s="606"/>
      <c r="R77" s="607"/>
      <c r="S77" s="969">
        <f>'1.3.4 Coal3'!AY177*1000</f>
        <v>0</v>
      </c>
      <c r="T77" s="969">
        <f>'1.3.4 Coal3'!AZ177*1000</f>
        <v>8640.4018741191649</v>
      </c>
      <c r="U77" s="969">
        <f>'1.3.4 Coal3'!BA177*1000</f>
        <v>1419.3160945460975</v>
      </c>
      <c r="V77" s="483"/>
      <c r="W77" s="483"/>
      <c r="X77" s="483"/>
      <c r="Y77" s="611"/>
    </row>
    <row r="78" spans="1:25" x14ac:dyDescent="0.45">
      <c r="A78" s="309">
        <v>1868</v>
      </c>
      <c r="B78" s="936">
        <f t="shared" si="1"/>
        <v>10322.955761081892</v>
      </c>
      <c r="P78" s="292"/>
      <c r="Q78" s="606"/>
      <c r="R78" s="607"/>
      <c r="S78" s="969">
        <f>'1.3.4 Coal3'!AY178*1000</f>
        <v>0</v>
      </c>
      <c r="T78" s="969">
        <f>'1.3.4 Coal3'!AZ178*1000</f>
        <v>8831.3499818345063</v>
      </c>
      <c r="U78" s="969">
        <f>'1.3.4 Coal3'!BA178*1000</f>
        <v>1491.6057792473855</v>
      </c>
      <c r="V78" s="483"/>
      <c r="W78" s="483"/>
      <c r="X78" s="483"/>
      <c r="Y78" s="611"/>
    </row>
    <row r="79" spans="1:25" x14ac:dyDescent="0.45">
      <c r="A79" s="309">
        <v>1869</v>
      </c>
      <c r="B79" s="936">
        <f t="shared" si="1"/>
        <v>10587.979331932942</v>
      </c>
      <c r="P79" s="292"/>
      <c r="Q79" s="606"/>
      <c r="R79" s="607"/>
      <c r="S79" s="969">
        <f>'1.3.4 Coal3'!AY179*1000</f>
        <v>0</v>
      </c>
      <c r="T79" s="969">
        <f>'1.3.4 Coal3'!AZ179*1000</f>
        <v>9022.2980895498422</v>
      </c>
      <c r="U79" s="969">
        <f>'1.3.4 Coal3'!BA179*1000</f>
        <v>1565.6812423830991</v>
      </c>
      <c r="V79" s="483"/>
      <c r="W79" s="483"/>
      <c r="X79" s="483"/>
      <c r="Y79" s="611"/>
    </row>
    <row r="80" spans="1:25" x14ac:dyDescent="0.45">
      <c r="A80" s="309">
        <v>1870</v>
      </c>
      <c r="B80" s="936">
        <f t="shared" si="1"/>
        <v>10673.759866420944</v>
      </c>
      <c r="P80" s="292"/>
      <c r="Q80" s="606"/>
      <c r="R80" s="607"/>
      <c r="S80" s="969">
        <f>'1.3.4 Coal3'!AY180*1000</f>
        <v>0</v>
      </c>
      <c r="T80" s="969">
        <f>'1.3.4 Coal3'!AZ180*1000</f>
        <v>9027.8674093582049</v>
      </c>
      <c r="U80" s="969">
        <f>'1.3.4 Coal3'!BA180*1000</f>
        <v>1645.8924570627391</v>
      </c>
      <c r="V80" s="483"/>
      <c r="W80" s="483"/>
      <c r="X80" s="483"/>
      <c r="Y80" s="611"/>
    </row>
    <row r="81" spans="1:25" x14ac:dyDescent="0.45">
      <c r="A81" s="309">
        <v>1871</v>
      </c>
      <c r="B81" s="936">
        <f t="shared" si="1"/>
        <v>10761.54367799885</v>
      </c>
      <c r="P81" s="292"/>
      <c r="Q81" s="606"/>
      <c r="R81" s="607"/>
      <c r="S81" s="969">
        <f>'1.3.4 Coal3'!AY181*1000</f>
        <v>0</v>
      </c>
      <c r="T81" s="969">
        <f>'1.3.4 Coal3'!AZ181*1000</f>
        <v>9033.4367291665694</v>
      </c>
      <c r="U81" s="969">
        <f>'1.3.4 Coal3'!BA181*1000</f>
        <v>1728.1069488322803</v>
      </c>
      <c r="V81" s="483"/>
      <c r="W81" s="483"/>
      <c r="X81" s="483"/>
      <c r="Y81" s="611"/>
    </row>
    <row r="82" spans="1:25" x14ac:dyDescent="0.45">
      <c r="A82" s="309">
        <v>1872</v>
      </c>
      <c r="B82" s="936">
        <f t="shared" si="1"/>
        <v>10851.330766666655</v>
      </c>
      <c r="P82" s="292"/>
      <c r="Q82" s="606"/>
      <c r="R82" s="607"/>
      <c r="S82" s="969">
        <f>'1.3.4 Coal3'!AY182*1000</f>
        <v>0</v>
      </c>
      <c r="T82" s="969">
        <f>'1.3.4 Coal3'!AZ182*1000</f>
        <v>9039.0060489749339</v>
      </c>
      <c r="U82" s="969">
        <f>'1.3.4 Coal3'!BA182*1000</f>
        <v>1812.3247176917221</v>
      </c>
      <c r="V82" s="483"/>
      <c r="W82" s="483"/>
      <c r="X82" s="483"/>
      <c r="Y82" s="611"/>
    </row>
    <row r="83" spans="1:25" x14ac:dyDescent="0.45">
      <c r="A83" s="309">
        <v>1873</v>
      </c>
      <c r="B83" s="936">
        <f t="shared" si="1"/>
        <v>10943.121132424361</v>
      </c>
      <c r="P83" s="292"/>
      <c r="Q83" s="606"/>
      <c r="R83" s="607"/>
      <c r="S83" s="969">
        <f>'1.3.4 Coal3'!AY183*1000</f>
        <v>0</v>
      </c>
      <c r="T83" s="969">
        <f>'1.3.4 Coal3'!AZ183*1000</f>
        <v>9044.5753687832967</v>
      </c>
      <c r="U83" s="969">
        <f>'1.3.4 Coal3'!BA183*1000</f>
        <v>1898.5457636410654</v>
      </c>
      <c r="V83" s="483"/>
      <c r="W83" s="483"/>
      <c r="X83" s="483"/>
      <c r="Y83" s="611"/>
    </row>
    <row r="84" spans="1:25" x14ac:dyDescent="0.45">
      <c r="A84" s="309">
        <v>1874</v>
      </c>
      <c r="B84" s="936">
        <f t="shared" si="1"/>
        <v>11036.914775271969</v>
      </c>
      <c r="P84" s="292"/>
      <c r="Q84" s="606"/>
      <c r="R84" s="607"/>
      <c r="S84" s="969">
        <f>'1.3.4 Coal3'!AY184*1000</f>
        <v>0</v>
      </c>
      <c r="T84" s="969">
        <f>'1.3.4 Coal3'!AZ184*1000</f>
        <v>9050.1446885916594</v>
      </c>
      <c r="U84" s="969">
        <f>'1.3.4 Coal3'!BA184*1000</f>
        <v>1986.77008668031</v>
      </c>
      <c r="V84" s="483"/>
      <c r="W84" s="483"/>
      <c r="X84" s="483"/>
      <c r="Y84" s="611"/>
    </row>
    <row r="85" spans="1:25" x14ac:dyDescent="0.45">
      <c r="A85" s="309">
        <v>1875</v>
      </c>
      <c r="B85" s="936">
        <f t="shared" si="1"/>
        <v>11132.71169520948</v>
      </c>
      <c r="P85" s="292"/>
      <c r="Q85" s="606"/>
      <c r="R85" s="607"/>
      <c r="S85" s="969">
        <f>'1.3.4 Coal3'!AY185*1000</f>
        <v>0</v>
      </c>
      <c r="T85" s="969">
        <f>'1.3.4 Coal3'!AZ185*1000</f>
        <v>9055.7140084000239</v>
      </c>
      <c r="U85" s="969">
        <f>'1.3.4 Coal3'!BA185*1000</f>
        <v>2076.9976868094554</v>
      </c>
      <c r="V85" s="483"/>
      <c r="W85" s="483"/>
      <c r="X85" s="483"/>
      <c r="Y85" s="611"/>
    </row>
    <row r="86" spans="1:25" x14ac:dyDescent="0.45">
      <c r="A86" s="309">
        <v>1876</v>
      </c>
      <c r="B86" s="936">
        <f t="shared" si="1"/>
        <v>11230.511892236889</v>
      </c>
      <c r="P86" s="292"/>
      <c r="Q86" s="606"/>
      <c r="R86" s="607"/>
      <c r="S86" s="969">
        <f>'1.3.4 Coal3'!AY186*1000</f>
        <v>0</v>
      </c>
      <c r="T86" s="969">
        <f>'1.3.4 Coal3'!AZ186*1000</f>
        <v>9061.2833282083884</v>
      </c>
      <c r="U86" s="969">
        <f>'1.3.4 Coal3'!BA186*1000</f>
        <v>2169.2285640285018</v>
      </c>
      <c r="V86" s="483"/>
      <c r="W86" s="483"/>
      <c r="X86" s="483"/>
      <c r="Y86" s="611"/>
    </row>
    <row r="87" spans="1:25" x14ac:dyDescent="0.45">
      <c r="A87" s="309">
        <v>1877</v>
      </c>
      <c r="B87" s="936">
        <f t="shared" si="1"/>
        <v>11330.315366354203</v>
      </c>
      <c r="P87" s="292"/>
      <c r="Q87" s="606"/>
      <c r="R87" s="607"/>
      <c r="S87" s="969">
        <f>'1.3.4 Coal3'!AY187*1000</f>
        <v>0</v>
      </c>
      <c r="T87" s="969">
        <f>'1.3.4 Coal3'!AZ187*1000</f>
        <v>9066.8526480167529</v>
      </c>
      <c r="U87" s="969">
        <f>'1.3.4 Coal3'!BA187*1000</f>
        <v>2263.4627183374496</v>
      </c>
      <c r="V87" s="483"/>
      <c r="W87" s="483"/>
      <c r="X87" s="483"/>
      <c r="Y87" s="611"/>
    </row>
    <row r="88" spans="1:25" x14ac:dyDescent="0.45">
      <c r="A88" s="309">
        <v>1878</v>
      </c>
      <c r="B88" s="936">
        <f t="shared" si="1"/>
        <v>11432.122117561412</v>
      </c>
      <c r="P88" s="292"/>
      <c r="Q88" s="606"/>
      <c r="R88" s="607"/>
      <c r="S88" s="969">
        <f>'1.3.4 Coal3'!AY188*1000</f>
        <v>0</v>
      </c>
      <c r="T88" s="969">
        <f>'1.3.4 Coal3'!AZ188*1000</f>
        <v>9072.4219678251138</v>
      </c>
      <c r="U88" s="969">
        <f>'1.3.4 Coal3'!BA188*1000</f>
        <v>2359.700149736298</v>
      </c>
      <c r="V88" s="483"/>
      <c r="W88" s="483"/>
      <c r="X88" s="483"/>
      <c r="Y88" s="611"/>
    </row>
    <row r="89" spans="1:25" x14ac:dyDescent="0.45">
      <c r="A89" s="309">
        <v>1879</v>
      </c>
      <c r="B89" s="936">
        <f t="shared" si="1"/>
        <v>11535.932145858525</v>
      </c>
      <c r="P89" s="292"/>
      <c r="Q89" s="606"/>
      <c r="R89" s="607"/>
      <c r="S89" s="969">
        <f>'1.3.4 Coal3'!AY189*1000</f>
        <v>0</v>
      </c>
      <c r="T89" s="969">
        <f>'1.3.4 Coal3'!AZ189*1000</f>
        <v>9077.9912876334784</v>
      </c>
      <c r="U89" s="969">
        <f>'1.3.4 Coal3'!BA189*1000</f>
        <v>2457.9408582250476</v>
      </c>
      <c r="V89" s="483"/>
      <c r="W89" s="483"/>
      <c r="X89" s="483"/>
      <c r="Y89" s="611"/>
    </row>
    <row r="90" spans="1:25" x14ac:dyDescent="0.45">
      <c r="A90" s="309">
        <v>1880</v>
      </c>
      <c r="B90" s="936">
        <f t="shared" si="1"/>
        <v>11641.745451245541</v>
      </c>
      <c r="P90" s="292"/>
      <c r="Q90" s="606"/>
      <c r="R90" s="607"/>
      <c r="S90" s="969">
        <f>'1.3.4 Coal3'!AY190*1000</f>
        <v>0</v>
      </c>
      <c r="T90" s="969">
        <f>'1.3.4 Coal3'!AZ190*1000</f>
        <v>9083.5606074418429</v>
      </c>
      <c r="U90" s="969">
        <f>'1.3.4 Coal3'!BA190*1000</f>
        <v>2558.1848438036986</v>
      </c>
      <c r="V90" s="483"/>
      <c r="W90" s="483"/>
      <c r="X90" s="483"/>
      <c r="Y90" s="611"/>
    </row>
    <row r="91" spans="1:25" x14ac:dyDescent="0.45">
      <c r="A91" s="309">
        <v>1881</v>
      </c>
      <c r="B91" s="936">
        <f t="shared" si="1"/>
        <v>11749.562033722459</v>
      </c>
      <c r="P91" s="292"/>
      <c r="Q91" s="606"/>
      <c r="R91" s="607"/>
      <c r="S91" s="969">
        <f>'1.3.4 Coal3'!AY191*1000</f>
        <v>0</v>
      </c>
      <c r="T91" s="969">
        <f>'1.3.4 Coal3'!AZ191*1000</f>
        <v>9089.1299272502074</v>
      </c>
      <c r="U91" s="969">
        <f>'1.3.4 Coal3'!BA191*1000</f>
        <v>2660.4321064722512</v>
      </c>
      <c r="V91" s="483"/>
      <c r="W91" s="483"/>
      <c r="X91" s="483"/>
      <c r="Y91" s="611"/>
    </row>
    <row r="92" spans="1:25" x14ac:dyDescent="0.45">
      <c r="A92" s="309">
        <v>1882</v>
      </c>
      <c r="B92" s="936">
        <f t="shared" si="1"/>
        <v>11859.381893289274</v>
      </c>
      <c r="P92" s="292"/>
      <c r="Q92" s="606"/>
      <c r="R92" s="607"/>
      <c r="S92" s="969">
        <f>'1.3.4 Coal3'!AY192*1000</f>
        <v>0</v>
      </c>
      <c r="T92" s="969">
        <f>'1.3.4 Coal3'!AZ192*1000</f>
        <v>9094.6992470585701</v>
      </c>
      <c r="U92" s="969">
        <f>'1.3.4 Coal3'!BA192*1000</f>
        <v>2764.682646230704</v>
      </c>
      <c r="V92" s="483"/>
      <c r="W92" s="483"/>
      <c r="X92" s="483"/>
      <c r="Y92" s="611"/>
    </row>
    <row r="93" spans="1:25" x14ac:dyDescent="0.45">
      <c r="A93" s="309">
        <v>1883</v>
      </c>
      <c r="B93" s="936">
        <f t="shared" si="1"/>
        <v>11971.205029945993</v>
      </c>
      <c r="P93" s="292"/>
      <c r="Q93" s="606"/>
      <c r="R93" s="607"/>
      <c r="S93" s="969">
        <f>'1.3.4 Coal3'!AY193*1000</f>
        <v>0</v>
      </c>
      <c r="T93" s="969">
        <f>'1.3.4 Coal3'!AZ193*1000</f>
        <v>9100.2685668669346</v>
      </c>
      <c r="U93" s="969">
        <f>'1.3.4 Coal3'!BA193*1000</f>
        <v>2870.9364630790583</v>
      </c>
      <c r="V93" s="483"/>
      <c r="W93" s="483"/>
      <c r="X93" s="483"/>
      <c r="Y93" s="611"/>
    </row>
    <row r="94" spans="1:25" x14ac:dyDescent="0.45">
      <c r="A94" s="309">
        <v>1884</v>
      </c>
      <c r="B94" s="936">
        <f t="shared" si="1"/>
        <v>12085.031443692611</v>
      </c>
      <c r="P94" s="292"/>
      <c r="Q94" s="606"/>
      <c r="R94" s="607"/>
      <c r="S94" s="969">
        <f>'1.3.4 Coal3'!AY194*1000</f>
        <v>0</v>
      </c>
      <c r="T94" s="969">
        <f>'1.3.4 Coal3'!AZ194*1000</f>
        <v>9105.8378866752973</v>
      </c>
      <c r="U94" s="969">
        <f>'1.3.4 Coal3'!BA194*1000</f>
        <v>2979.1935570173137</v>
      </c>
      <c r="V94" s="483"/>
      <c r="W94" s="483"/>
      <c r="X94" s="483"/>
      <c r="Y94" s="611"/>
    </row>
    <row r="95" spans="1:25" x14ac:dyDescent="0.45">
      <c r="A95" s="309">
        <v>1885</v>
      </c>
      <c r="B95" s="936">
        <f t="shared" si="1"/>
        <v>12200.861134529132</v>
      </c>
      <c r="P95" s="292"/>
      <c r="Q95" s="606"/>
      <c r="R95" s="607"/>
      <c r="S95" s="969">
        <f>'1.3.4 Coal3'!AY195*1000</f>
        <v>0</v>
      </c>
      <c r="T95" s="969">
        <f>'1.3.4 Coal3'!AZ195*1000</f>
        <v>9111.4072064836619</v>
      </c>
      <c r="U95" s="969">
        <f>'1.3.4 Coal3'!BA195*1000</f>
        <v>3089.4539280454701</v>
      </c>
      <c r="V95" s="483"/>
      <c r="W95" s="483"/>
      <c r="X95" s="483"/>
      <c r="Y95" s="611"/>
    </row>
    <row r="96" spans="1:25" x14ac:dyDescent="0.45">
      <c r="A96" s="309">
        <v>1886</v>
      </c>
      <c r="B96" s="936">
        <f t="shared" si="1"/>
        <v>12318.694102455554</v>
      </c>
      <c r="P96" s="292"/>
      <c r="Q96" s="606"/>
      <c r="R96" s="607"/>
      <c r="S96" s="969">
        <f>'1.3.4 Coal3'!AY196*1000</f>
        <v>0</v>
      </c>
      <c r="T96" s="969">
        <f>'1.3.4 Coal3'!AZ196*1000</f>
        <v>9116.9765262920264</v>
      </c>
      <c r="U96" s="969">
        <f>'1.3.4 Coal3'!BA196*1000</f>
        <v>3201.7175761635276</v>
      </c>
      <c r="V96" s="483"/>
      <c r="W96" s="483"/>
      <c r="X96" s="483"/>
      <c r="Y96" s="611"/>
    </row>
    <row r="97" spans="1:25" x14ac:dyDescent="0.45">
      <c r="A97" s="309">
        <v>1887</v>
      </c>
      <c r="B97" s="936">
        <f t="shared" si="1"/>
        <v>12438.53034747188</v>
      </c>
      <c r="P97" s="292"/>
      <c r="Q97" s="606"/>
      <c r="R97" s="607"/>
      <c r="S97" s="969">
        <f>'1.3.4 Coal3'!AY197*1000</f>
        <v>0</v>
      </c>
      <c r="T97" s="969">
        <f>'1.3.4 Coal3'!AZ197*1000</f>
        <v>9122.5458461003964</v>
      </c>
      <c r="U97" s="969">
        <f>'1.3.4 Coal3'!BA197*1000</f>
        <v>3315.9845013714835</v>
      </c>
      <c r="V97" s="483"/>
      <c r="W97" s="483"/>
      <c r="X97" s="483"/>
      <c r="Y97" s="611"/>
    </row>
    <row r="98" spans="1:25" x14ac:dyDescent="0.45">
      <c r="A98" s="309">
        <v>1888</v>
      </c>
      <c r="B98" s="936">
        <f t="shared" si="1"/>
        <v>12617.310160024816</v>
      </c>
      <c r="P98" s="292"/>
      <c r="Q98" s="606"/>
      <c r="R98" s="607"/>
      <c r="S98" s="969">
        <f>'1.3.4 Coal3'!AY198*1000</f>
        <v>52.110432859075246</v>
      </c>
      <c r="T98" s="969">
        <f>'1.3.4 Coal3'!AZ198*1000</f>
        <v>9185.2006939444909</v>
      </c>
      <c r="U98" s="969">
        <f>'1.3.4 Coal3'!BA198*1000</f>
        <v>3432.1094660803251</v>
      </c>
      <c r="V98" s="483"/>
      <c r="W98" s="483"/>
      <c r="X98" s="483"/>
      <c r="Y98" s="611"/>
    </row>
    <row r="99" spans="1:25" x14ac:dyDescent="0.45">
      <c r="A99" s="309">
        <v>1889</v>
      </c>
      <c r="B99" s="936">
        <f t="shared" si="1"/>
        <v>12798.088241474932</v>
      </c>
      <c r="P99" s="292"/>
      <c r="Q99" s="606"/>
      <c r="R99" s="607"/>
      <c r="S99" s="969">
        <f>'1.3.4 Coal3'!AY199*1000</f>
        <v>107.24524634662461</v>
      </c>
      <c r="T99" s="969">
        <f>'1.3.4 Coal3'!AZ199*1000</f>
        <v>9247.8555417885891</v>
      </c>
      <c r="U99" s="969">
        <f>'1.3.4 Coal3'!BA199*1000</f>
        <v>3550.232699686343</v>
      </c>
      <c r="V99" s="483"/>
      <c r="W99" s="483"/>
      <c r="X99" s="483"/>
      <c r="Y99" s="611"/>
    </row>
    <row r="100" spans="1:25" x14ac:dyDescent="0.45">
      <c r="A100" s="309">
        <v>1890</v>
      </c>
      <c r="B100" s="936">
        <f t="shared" si="1"/>
        <v>12980.864591822221</v>
      </c>
      <c r="P100" s="292"/>
      <c r="Q100" s="606"/>
      <c r="R100" s="607"/>
      <c r="S100" s="969">
        <f>'1.3.4 Coal3'!AY200*1000</f>
        <v>163.52459599962773</v>
      </c>
      <c r="T100" s="969">
        <f>'1.3.4 Coal3'!AZ200*1000</f>
        <v>9310.5103896326837</v>
      </c>
      <c r="U100" s="969">
        <f>'1.3.4 Coal3'!BA200*1000</f>
        <v>3670.3542021895369</v>
      </c>
      <c r="V100" s="483"/>
      <c r="W100" s="483"/>
      <c r="X100" s="483"/>
      <c r="Y100" s="611"/>
    </row>
    <row r="101" spans="1:25" x14ac:dyDescent="0.45">
      <c r="A101" s="309">
        <v>1891</v>
      </c>
      <c r="B101" s="936">
        <f t="shared" si="1"/>
        <v>13165.639211066687</v>
      </c>
      <c r="P101" s="292"/>
      <c r="Q101" s="606"/>
      <c r="R101" s="607"/>
      <c r="S101" s="969">
        <f>'1.3.4 Coal3'!AY201*1000</f>
        <v>220.49155262821196</v>
      </c>
      <c r="T101" s="969">
        <f>'1.3.4 Coal3'!AZ201*1000</f>
        <v>9373.16523747678</v>
      </c>
      <c r="U101" s="969">
        <f>'1.3.4 Coal3'!BA201*1000</f>
        <v>3792.4739735899075</v>
      </c>
      <c r="V101" s="483"/>
      <c r="W101" s="483"/>
      <c r="X101" s="483"/>
      <c r="Y101" s="611"/>
    </row>
    <row r="102" spans="1:25" x14ac:dyDescent="0.45">
      <c r="A102" s="309">
        <v>1892</v>
      </c>
      <c r="B102" s="936">
        <f t="shared" si="1"/>
        <v>13352.412099208328</v>
      </c>
      <c r="P102" s="292"/>
      <c r="Q102" s="606"/>
      <c r="R102" s="607"/>
      <c r="S102" s="969">
        <f>'1.3.4 Coal3'!AY202*1000</f>
        <v>266.76465810523348</v>
      </c>
      <c r="T102" s="969">
        <f>'1.3.4 Coal3'!AZ202*1000</f>
        <v>9435.8200853208746</v>
      </c>
      <c r="U102" s="969">
        <f>'1.3.4 Coal3'!BA202*1000</f>
        <v>3916.592013887454</v>
      </c>
      <c r="V102" s="483"/>
      <c r="W102" s="483"/>
      <c r="X102" s="483"/>
      <c r="Y102" s="611"/>
    </row>
    <row r="103" spans="1:25" x14ac:dyDescent="0.45">
      <c r="A103" s="309">
        <v>1893</v>
      </c>
      <c r="B103" s="936">
        <f t="shared" si="1"/>
        <v>13541.183256247148</v>
      </c>
      <c r="P103" s="292"/>
      <c r="Q103" s="606"/>
      <c r="R103" s="607"/>
      <c r="S103" s="969">
        <f>'1.3.4 Coal3'!AY203*1000</f>
        <v>277.06599505004385</v>
      </c>
      <c r="T103" s="969">
        <f>'1.3.4 Coal3'!AZ203*1000</f>
        <v>9498.4749331649709</v>
      </c>
      <c r="U103" s="969">
        <f>'1.3.4 Coal3'!BA203*1000</f>
        <v>4042.7083230821772</v>
      </c>
      <c r="V103" s="483"/>
      <c r="W103" s="483"/>
      <c r="X103" s="483"/>
      <c r="Y103" s="611"/>
    </row>
    <row r="104" spans="1:25" x14ac:dyDescent="0.45">
      <c r="A104" s="309">
        <v>1894</v>
      </c>
      <c r="B104" s="936">
        <f t="shared" si="1"/>
        <v>13731.952682183146</v>
      </c>
      <c r="P104" s="292"/>
      <c r="Q104" s="606"/>
      <c r="R104" s="607"/>
      <c r="S104" s="969">
        <f>'1.3.4 Coal3'!AY204*1000</f>
        <v>376.55651260863027</v>
      </c>
      <c r="T104" s="969">
        <f>'1.3.4 Coal3'!AZ204*1000</f>
        <v>9561.1297810090691</v>
      </c>
      <c r="U104" s="969">
        <f>'1.3.4 Coal3'!BA204*1000</f>
        <v>4170.8229011740768</v>
      </c>
      <c r="V104" s="483"/>
      <c r="W104" s="483"/>
      <c r="X104" s="483"/>
      <c r="Y104" s="611"/>
    </row>
    <row r="105" spans="1:25" x14ac:dyDescent="0.45">
      <c r="A105" s="309">
        <v>1895</v>
      </c>
      <c r="B105" s="936">
        <f t="shared" si="1"/>
        <v>13924.720377016316</v>
      </c>
      <c r="P105" s="292"/>
      <c r="Q105" s="606"/>
      <c r="R105" s="607"/>
      <c r="S105" s="969">
        <f>'1.3.4 Coal3'!AY205*1000</f>
        <v>430.35665552805017</v>
      </c>
      <c r="T105" s="969">
        <f>'1.3.4 Coal3'!AZ205*1000</f>
        <v>9623.7846288531637</v>
      </c>
      <c r="U105" s="969">
        <f>'1.3.4 Coal3'!BA205*1000</f>
        <v>4300.9357481631523</v>
      </c>
      <c r="V105" s="483"/>
      <c r="W105" s="483"/>
      <c r="X105" s="483"/>
      <c r="Y105" s="611"/>
    </row>
    <row r="106" spans="1:25" x14ac:dyDescent="0.45">
      <c r="A106" s="309">
        <v>1896</v>
      </c>
      <c r="B106" s="936">
        <f t="shared" si="1"/>
        <v>14119.486340746666</v>
      </c>
      <c r="P106" s="292"/>
      <c r="Q106" s="606"/>
      <c r="R106" s="607"/>
      <c r="S106" s="969">
        <f>'1.3.4 Coal3'!AY206*1000</f>
        <v>493.82206105740562</v>
      </c>
      <c r="T106" s="969">
        <f>'1.3.4 Coal3'!AZ206*1000</f>
        <v>9686.43947669726</v>
      </c>
      <c r="U106" s="969">
        <f>'1.3.4 Coal3'!BA206*1000</f>
        <v>4433.0468640494046</v>
      </c>
      <c r="V106" s="483"/>
      <c r="W106" s="483"/>
      <c r="X106" s="483"/>
      <c r="Y106" s="611"/>
    </row>
    <row r="107" spans="1:25" x14ac:dyDescent="0.45">
      <c r="A107" s="309">
        <v>1897</v>
      </c>
      <c r="B107" s="936">
        <f t="shared" si="1"/>
        <v>14316.250573374189</v>
      </c>
      <c r="P107" s="292"/>
      <c r="Q107" s="606"/>
      <c r="R107" s="607"/>
      <c r="S107" s="969">
        <f>'1.3.4 Coal3'!AY207*1000</f>
        <v>555.93419363707892</v>
      </c>
      <c r="T107" s="969">
        <f>'1.3.4 Coal3'!AZ207*1000</f>
        <v>9749.0943245413546</v>
      </c>
      <c r="U107" s="969">
        <f>'1.3.4 Coal3'!BA207*1000</f>
        <v>4567.1562488328336</v>
      </c>
      <c r="V107" s="483"/>
      <c r="W107" s="483"/>
      <c r="X107" s="483"/>
      <c r="Y107" s="611"/>
    </row>
    <row r="108" spans="1:25" x14ac:dyDescent="0.45">
      <c r="A108" s="309">
        <v>1898</v>
      </c>
      <c r="B108" s="936">
        <f t="shared" si="1"/>
        <v>14515.01307489889</v>
      </c>
      <c r="P108" s="292"/>
      <c r="Q108" s="606"/>
      <c r="R108" s="607"/>
      <c r="S108" s="969">
        <f>'1.3.4 Coal3'!AY208*1000</f>
        <v>603.21912323408174</v>
      </c>
      <c r="T108" s="969">
        <f>'1.3.4 Coal3'!AZ208*1000</f>
        <v>9811.7491723854528</v>
      </c>
      <c r="U108" s="969">
        <f>'1.3.4 Coal3'!BA208*1000</f>
        <v>4703.2639025134376</v>
      </c>
      <c r="V108" s="483"/>
      <c r="W108" s="483"/>
      <c r="X108" s="483"/>
      <c r="Y108" s="611"/>
    </row>
    <row r="109" spans="1:25" x14ac:dyDescent="0.45">
      <c r="A109" s="309">
        <v>1899</v>
      </c>
      <c r="B109" s="936">
        <f>T109+U109</f>
        <v>14715.773845320766</v>
      </c>
      <c r="P109" s="292"/>
      <c r="Q109" s="606"/>
      <c r="R109" s="607"/>
      <c r="S109" s="969">
        <f>'1.3.4 Coal3'!AY209*1000</f>
        <v>703.73293890444427</v>
      </c>
      <c r="T109" s="969">
        <f>'1.3.4 Coal3'!AZ209*1000</f>
        <v>9874.4040202295473</v>
      </c>
      <c r="U109" s="969">
        <f>'1.3.4 Coal3'!BA209*1000</f>
        <v>4841.3698250912184</v>
      </c>
      <c r="V109" s="483"/>
      <c r="W109" s="483"/>
      <c r="X109" s="483"/>
      <c r="Y109" s="611"/>
    </row>
    <row r="110" spans="1:25" x14ac:dyDescent="0.45">
      <c r="A110" s="309">
        <v>1900</v>
      </c>
      <c r="B110" s="936">
        <f t="shared" ref="B110:B159" si="2">T110+U110</f>
        <v>13763.752</v>
      </c>
      <c r="F110" s="115">
        <f>'1.4.3 MSF2'!D10*Units!$C$21</f>
        <v>395.56247253272198</v>
      </c>
      <c r="I110" s="115">
        <f>+'1.4.3 MSF2'!I10*Units!$C$21</f>
        <v>525.00613356262545</v>
      </c>
      <c r="P110" s="309">
        <v>1900</v>
      </c>
      <c r="Q110" s="606"/>
      <c r="R110" s="338">
        <f t="shared" ref="R110:R159" si="3">+S110+T110+U110+V110+X110</f>
        <v>15057.12</v>
      </c>
      <c r="S110" s="115">
        <f>+'1.4.3 MSF2'!D10</f>
        <v>555.75200000000007</v>
      </c>
      <c r="T110" s="115">
        <f>+'1.4.3 MSF2'!E10</f>
        <v>9227.3120000000017</v>
      </c>
      <c r="U110" s="115">
        <f>+'1.4.3 MSF2'!F10</f>
        <v>4536.4399999999996</v>
      </c>
      <c r="V110" s="115"/>
      <c r="W110" s="115"/>
      <c r="X110" s="115">
        <f>+'1.4.3 MSF2'!I10</f>
        <v>737.61599999999999</v>
      </c>
      <c r="Y110" s="611"/>
    </row>
    <row r="111" spans="1:25" x14ac:dyDescent="0.45">
      <c r="A111" s="309">
        <v>1901</v>
      </c>
      <c r="B111" s="936">
        <f t="shared" si="2"/>
        <v>12305.792000000001</v>
      </c>
      <c r="F111" s="115">
        <f>'1.4.3 MSF2'!D11*Units!$C$21</f>
        <v>378.93004681379591</v>
      </c>
      <c r="I111" s="115">
        <f>+'1.4.3 MSF2'!I11*Units!$C$21</f>
        <v>501.14221840068797</v>
      </c>
      <c r="P111" s="309">
        <v>1901</v>
      </c>
      <c r="Q111" s="606"/>
      <c r="R111" s="338">
        <f t="shared" si="3"/>
        <v>13542.264000000001</v>
      </c>
      <c r="S111" s="115">
        <f>+'1.4.3 MSF2'!D11</f>
        <v>532.38400000000013</v>
      </c>
      <c r="T111" s="115">
        <f>+'1.4.3 MSF2'!E11</f>
        <v>7845.5520000000006</v>
      </c>
      <c r="U111" s="115">
        <f>+'1.4.3 MSF2'!F11</f>
        <v>4460.24</v>
      </c>
      <c r="V111" s="115"/>
      <c r="W111" s="115"/>
      <c r="X111" s="115">
        <f>+'1.4.3 MSF2'!I11</f>
        <v>704.08799999999997</v>
      </c>
      <c r="Y111" s="611"/>
    </row>
    <row r="112" spans="1:25" x14ac:dyDescent="0.45">
      <c r="A112" s="309">
        <v>1902</v>
      </c>
      <c r="B112" s="936">
        <f t="shared" si="2"/>
        <v>13125.704000000002</v>
      </c>
      <c r="F112" s="115">
        <f>'1.4.3 MSF2'!D12*Units!$C$21</f>
        <v>498.97277156778455</v>
      </c>
      <c r="I112" s="115">
        <f>+'1.4.3 MSF2'!I12*Units!$C$21</f>
        <v>782.44715773383041</v>
      </c>
      <c r="P112" s="309">
        <v>1902</v>
      </c>
      <c r="Q112" s="606"/>
      <c r="R112" s="338">
        <f t="shared" si="3"/>
        <v>14926.056000000002</v>
      </c>
      <c r="S112" s="115">
        <f>+'1.4.3 MSF2'!D12</f>
        <v>701.04</v>
      </c>
      <c r="T112" s="115">
        <f>+'1.4.3 MSF2'!E12</f>
        <v>8584.1840000000011</v>
      </c>
      <c r="U112" s="115">
        <f>+'1.4.3 MSF2'!F12</f>
        <v>4541.5200000000004</v>
      </c>
      <c r="V112" s="115"/>
      <c r="W112" s="115"/>
      <c r="X112" s="115">
        <f>+'1.4.3 MSF2'!I12</f>
        <v>1099.3120000000001</v>
      </c>
      <c r="Y112" s="611"/>
    </row>
    <row r="113" spans="1:25" x14ac:dyDescent="0.45">
      <c r="A113" s="309">
        <v>1903</v>
      </c>
      <c r="B113" s="936">
        <f t="shared" si="2"/>
        <v>13527.024000000001</v>
      </c>
      <c r="F113" s="115">
        <f>'1.4.3 MSF2'!D13*Units!$C$21</f>
        <v>576.34970860800627</v>
      </c>
      <c r="I113" s="115">
        <f>+'1.4.3 MSF2'!I13*Units!$C$21</f>
        <v>843.19166905512577</v>
      </c>
      <c r="P113" s="309">
        <v>1903</v>
      </c>
      <c r="Q113" s="606"/>
      <c r="R113" s="338">
        <f t="shared" si="3"/>
        <v>15521.432000000001</v>
      </c>
      <c r="S113" s="115">
        <f>+'1.4.3 MSF2'!D13</f>
        <v>809.75200000000007</v>
      </c>
      <c r="T113" s="115">
        <f>+'1.4.3 MSF2'!E13</f>
        <v>8990.5840000000007</v>
      </c>
      <c r="U113" s="115">
        <f>+'1.4.3 MSF2'!F13</f>
        <v>4536.4399999999996</v>
      </c>
      <c r="V113" s="115"/>
      <c r="W113" s="115"/>
      <c r="X113" s="115">
        <f>+'1.4.3 MSF2'!I13</f>
        <v>1184.6559999999999</v>
      </c>
      <c r="Y113" s="611"/>
    </row>
    <row r="114" spans="1:25" x14ac:dyDescent="0.45">
      <c r="A114" s="309">
        <v>1904</v>
      </c>
      <c r="B114" s="936">
        <f t="shared" si="2"/>
        <v>13034.263999999999</v>
      </c>
      <c r="F114" s="115">
        <f>'1.4.3 MSF2'!D14*Units!$C$21</f>
        <v>655.89609248113129</v>
      </c>
      <c r="I114" s="115">
        <f>+'1.4.3 MSF2'!I14*Units!$C$21</f>
        <v>959.61864908760879</v>
      </c>
      <c r="P114" s="309">
        <v>1904</v>
      </c>
      <c r="Q114" s="606"/>
      <c r="R114" s="338">
        <f t="shared" si="3"/>
        <v>15304.007999999998</v>
      </c>
      <c r="S114" s="115">
        <f>+'1.4.3 MSF2'!D14</f>
        <v>921.51199999999994</v>
      </c>
      <c r="T114" s="115">
        <f>+'1.4.3 MSF2'!E14</f>
        <v>8523.2239999999983</v>
      </c>
      <c r="U114" s="115">
        <f>+'1.4.3 MSF2'!F14</f>
        <v>4511.04</v>
      </c>
      <c r="V114" s="115"/>
      <c r="W114" s="115"/>
      <c r="X114" s="115">
        <f>+'1.4.3 MSF2'!I14</f>
        <v>1348.232</v>
      </c>
      <c r="Y114" s="611"/>
    </row>
    <row r="115" spans="1:25" x14ac:dyDescent="0.45">
      <c r="A115" s="309">
        <v>1905</v>
      </c>
      <c r="B115" s="936">
        <f t="shared" si="2"/>
        <v>14353.031999999999</v>
      </c>
      <c r="F115" s="115">
        <f>'1.4.3 MSF2'!D15*Units!$C$21</f>
        <v>607.44511321295511</v>
      </c>
      <c r="I115" s="115">
        <f>+'1.4.3 MSF2'!I15*Units!$C$21</f>
        <v>888.02690360179633</v>
      </c>
      <c r="P115" s="309">
        <v>1905</v>
      </c>
      <c r="Q115" s="606"/>
      <c r="R115" s="338">
        <f t="shared" si="3"/>
        <v>16454.12</v>
      </c>
      <c r="S115" s="115">
        <f>+'1.4.3 MSF2'!D15</f>
        <v>853.43999999999994</v>
      </c>
      <c r="T115" s="115">
        <f>+'1.4.3 MSF2'!E15</f>
        <v>9551.4159999999993</v>
      </c>
      <c r="U115" s="115">
        <f>+'1.4.3 MSF2'!F15</f>
        <v>4801.616</v>
      </c>
      <c r="V115" s="115"/>
      <c r="W115" s="115"/>
      <c r="X115" s="115">
        <f>+'1.4.3 MSF2'!I15</f>
        <v>1247.6480000000001</v>
      </c>
      <c r="Y115" s="611"/>
    </row>
    <row r="116" spans="1:25" x14ac:dyDescent="0.45">
      <c r="A116" s="309">
        <v>1906</v>
      </c>
      <c r="B116" s="936">
        <f t="shared" si="2"/>
        <v>15528.544000000002</v>
      </c>
      <c r="F116" s="115">
        <f>'1.4.3 MSF2'!D16*Units!$C$21</f>
        <v>794.0175408426486</v>
      </c>
      <c r="I116" s="115">
        <f>+'1.4.3 MSF2'!I16*Units!$C$21</f>
        <v>1161.3772045476262</v>
      </c>
      <c r="P116" s="309">
        <v>1906</v>
      </c>
      <c r="Q116" s="606"/>
      <c r="R116" s="338">
        <f t="shared" si="3"/>
        <v>18275.808000000001</v>
      </c>
      <c r="S116" s="115">
        <f>+'1.4.3 MSF2'!D16</f>
        <v>1115.5680000000002</v>
      </c>
      <c r="T116" s="115">
        <f>+'1.4.3 MSF2'!E16</f>
        <v>10518.648000000001</v>
      </c>
      <c r="U116" s="115">
        <f>+'1.4.3 MSF2'!F16</f>
        <v>5009.8960000000006</v>
      </c>
      <c r="V116" s="115"/>
      <c r="W116" s="115"/>
      <c r="X116" s="115">
        <f>+'1.4.3 MSF2'!I16</f>
        <v>1631.6960000000001</v>
      </c>
      <c r="Y116" s="611"/>
    </row>
    <row r="117" spans="1:25" x14ac:dyDescent="0.45">
      <c r="A117" s="309">
        <v>1907</v>
      </c>
      <c r="B117" s="936">
        <f t="shared" si="2"/>
        <v>15785.592000000001</v>
      </c>
      <c r="F117" s="115">
        <f>'1.4.3 MSF2'!D17*Units!$C$21</f>
        <v>926.35379764975664</v>
      </c>
      <c r="I117" s="115">
        <f>+'1.4.3 MSF2'!I17*Units!$C$21</f>
        <v>1354.4579726760298</v>
      </c>
      <c r="P117" s="309">
        <v>1907</v>
      </c>
      <c r="Q117" s="606"/>
      <c r="R117" s="338">
        <f t="shared" si="3"/>
        <v>18990.056</v>
      </c>
      <c r="S117" s="115">
        <f>+'1.4.3 MSF2'!D17</f>
        <v>1301.4960000000001</v>
      </c>
      <c r="T117" s="115">
        <f>+'1.4.3 MSF2'!E17</f>
        <v>10682.224</v>
      </c>
      <c r="U117" s="115">
        <f>+'1.4.3 MSF2'!F17</f>
        <v>5103.3679999999995</v>
      </c>
      <c r="V117" s="115"/>
      <c r="W117" s="115"/>
      <c r="X117" s="115">
        <f>+'1.4.3 MSF2'!I17</f>
        <v>1902.9680000000001</v>
      </c>
      <c r="Y117" s="611"/>
    </row>
    <row r="118" spans="1:25" x14ac:dyDescent="0.45">
      <c r="A118" s="309">
        <v>1908</v>
      </c>
      <c r="B118" s="936">
        <f t="shared" si="2"/>
        <v>14095.983999999999</v>
      </c>
      <c r="F118" s="115">
        <f>'1.4.3 MSF2'!D18*Units!$C$21</f>
        <v>1019.6400114646032</v>
      </c>
      <c r="I118" s="115">
        <f>+'1.4.3 MSF2'!I18*Units!$C$21</f>
        <v>1491.8562720932459</v>
      </c>
      <c r="P118" s="309">
        <v>1908</v>
      </c>
      <c r="Q118" s="606"/>
      <c r="R118" s="338">
        <f t="shared" si="3"/>
        <v>17624.552</v>
      </c>
      <c r="S118" s="115">
        <f>+'1.4.3 MSF2'!D18</f>
        <v>1432.56</v>
      </c>
      <c r="T118" s="115">
        <f>+'1.4.3 MSF2'!E18</f>
        <v>9434.5759999999991</v>
      </c>
      <c r="U118" s="115">
        <f>+'1.4.3 MSF2'!F18</f>
        <v>4661.4079999999994</v>
      </c>
      <c r="V118" s="115"/>
      <c r="W118" s="115"/>
      <c r="X118" s="115">
        <f>+'1.4.3 MSF2'!I18</f>
        <v>2096.0080000000003</v>
      </c>
      <c r="Y118" s="611"/>
    </row>
    <row r="119" spans="1:25" x14ac:dyDescent="0.45">
      <c r="A119" s="309">
        <v>1909</v>
      </c>
      <c r="B119" s="936">
        <f t="shared" si="2"/>
        <v>14516.608</v>
      </c>
      <c r="F119" s="115">
        <f>'1.4.3 MSF2'!D19*Units!$C$21</f>
        <v>1004.4538836342794</v>
      </c>
      <c r="I119" s="115">
        <f>+'1.4.3 MSF2'!I19*Units!$C$21</f>
        <v>1469.4386548199107</v>
      </c>
      <c r="P119" s="309">
        <v>1909</v>
      </c>
      <c r="Q119" s="606"/>
      <c r="R119" s="338">
        <f t="shared" si="3"/>
        <v>17992.343999999997</v>
      </c>
      <c r="S119" s="115">
        <f>+'1.4.3 MSF2'!D19</f>
        <v>1411.2239999999999</v>
      </c>
      <c r="T119" s="115">
        <f>+'1.4.3 MSF2'!E19</f>
        <v>9760.7119999999995</v>
      </c>
      <c r="U119" s="115">
        <f>+'1.4.3 MSF2'!F19</f>
        <v>4755.8959999999997</v>
      </c>
      <c r="V119" s="115"/>
      <c r="W119" s="115"/>
      <c r="X119" s="115">
        <f>+'1.4.3 MSF2'!I19</f>
        <v>2064.5120000000002</v>
      </c>
      <c r="Y119" s="611"/>
    </row>
    <row r="120" spans="1:25" x14ac:dyDescent="0.45">
      <c r="A120" s="309">
        <v>1910</v>
      </c>
      <c r="B120" s="936">
        <f t="shared" si="2"/>
        <v>15129.255999999998</v>
      </c>
      <c r="F120" s="115">
        <f>'1.4.3 MSF2'!D20*Units!$C$21</f>
        <v>1026.1483519633136</v>
      </c>
      <c r="I120" s="115">
        <f>+'1.4.3 MSF2'!I20*Units!$C$21</f>
        <v>1501.2572083691605</v>
      </c>
      <c r="P120" s="309">
        <v>1910</v>
      </c>
      <c r="Q120" s="606"/>
      <c r="R120" s="338">
        <f t="shared" si="3"/>
        <v>18680.175999999999</v>
      </c>
      <c r="S120" s="115">
        <f>+'1.4.3 MSF2'!D20</f>
        <v>1441.7040000000002</v>
      </c>
      <c r="T120" s="115">
        <f>+'1.4.3 MSF2'!E20</f>
        <v>10363.199999999999</v>
      </c>
      <c r="U120" s="115">
        <f>+'1.4.3 MSF2'!F20</f>
        <v>4766.0559999999996</v>
      </c>
      <c r="V120" s="115"/>
      <c r="W120" s="115"/>
      <c r="X120" s="115">
        <f>+'1.4.3 MSF2'!I20</f>
        <v>2109.2159999999999</v>
      </c>
      <c r="Y120" s="611"/>
    </row>
    <row r="121" spans="1:25" x14ac:dyDescent="0.45">
      <c r="A121" s="309">
        <v>1911</v>
      </c>
      <c r="B121" s="936">
        <f t="shared" si="2"/>
        <v>14552.168000000001</v>
      </c>
      <c r="F121" s="115">
        <f>'1.4.3 MSF2'!D21*Units!$C$21</f>
        <v>1089.7854590618135</v>
      </c>
      <c r="I121" s="115">
        <f>+'1.4.3 MSF2'!I21*Units!$C$21</f>
        <v>1593.0971242954049</v>
      </c>
      <c r="P121" s="309">
        <v>1911</v>
      </c>
      <c r="Q121" s="606"/>
      <c r="R121" s="338">
        <f t="shared" si="3"/>
        <v>18321.527999999998</v>
      </c>
      <c r="S121" s="115">
        <f>+'1.4.3 MSF2'!D21</f>
        <v>1531.1119999999999</v>
      </c>
      <c r="T121" s="115">
        <f>+'1.4.3 MSF2'!E21</f>
        <v>9655.0480000000007</v>
      </c>
      <c r="U121" s="115">
        <f>+'1.4.3 MSF2'!F21</f>
        <v>4897.12</v>
      </c>
      <c r="V121" s="115"/>
      <c r="W121" s="115"/>
      <c r="X121" s="115">
        <f>+'1.4.3 MSF2'!I21</f>
        <v>2238.248</v>
      </c>
      <c r="Y121" s="611"/>
    </row>
    <row r="122" spans="1:25" x14ac:dyDescent="0.45">
      <c r="A122" s="309">
        <v>1912</v>
      </c>
      <c r="B122" s="936">
        <f t="shared" si="2"/>
        <v>13942.568000000001</v>
      </c>
      <c r="F122" s="115">
        <f>'1.4.3 MSF2'!D22*Units!$C$21</f>
        <v>1070.983586509984</v>
      </c>
      <c r="I122" s="115">
        <f>+'1.4.3 MSF2'!I22*Units!$C$21</f>
        <v>1565.6174644119617</v>
      </c>
      <c r="P122" s="309">
        <v>1912</v>
      </c>
      <c r="Q122" s="606"/>
      <c r="R122" s="338">
        <f t="shared" si="3"/>
        <v>17646.904000000002</v>
      </c>
      <c r="S122" s="115">
        <f>+'1.4.3 MSF2'!D22</f>
        <v>1504.6960000000001</v>
      </c>
      <c r="T122" s="115">
        <f>+'1.4.3 MSF2'!E22</f>
        <v>9135.8720000000012</v>
      </c>
      <c r="U122" s="115">
        <f>+'1.4.3 MSF2'!F22</f>
        <v>4806.6959999999999</v>
      </c>
      <c r="V122" s="115"/>
      <c r="W122" s="115"/>
      <c r="X122" s="115">
        <f>+'1.4.3 MSF2'!I22</f>
        <v>2199.64</v>
      </c>
      <c r="Y122" s="611"/>
    </row>
    <row r="123" spans="1:25" x14ac:dyDescent="0.45">
      <c r="A123" s="309">
        <v>1913</v>
      </c>
      <c r="B123" s="936">
        <f t="shared" si="2"/>
        <v>16176.752</v>
      </c>
      <c r="F123" s="115">
        <f>'1.4.3 MSF2'!D23*Units!$C$21</f>
        <v>1024.7020540747112</v>
      </c>
      <c r="I123" s="115">
        <f>+'1.4.3 MSF2'!I23*Units!$C$21</f>
        <v>1498.3646125919561</v>
      </c>
      <c r="P123" s="309">
        <v>1913</v>
      </c>
      <c r="Q123" s="606"/>
      <c r="R123" s="338">
        <f t="shared" si="3"/>
        <v>19721.576000000001</v>
      </c>
      <c r="S123" s="115">
        <f>+'1.4.3 MSF2'!D23</f>
        <v>1439.672</v>
      </c>
      <c r="T123" s="115">
        <f>+'1.4.3 MSF2'!E23</f>
        <v>10965.688</v>
      </c>
      <c r="U123" s="115">
        <f>+'1.4.3 MSF2'!F23</f>
        <v>5211.0639999999994</v>
      </c>
      <c r="V123" s="115"/>
      <c r="W123" s="115"/>
      <c r="X123" s="115">
        <f>+'1.4.3 MSF2'!I23</f>
        <v>2105.152</v>
      </c>
      <c r="Y123" s="611"/>
    </row>
    <row r="124" spans="1:25" x14ac:dyDescent="0.45">
      <c r="A124" s="309">
        <v>1914</v>
      </c>
      <c r="B124" s="936">
        <f t="shared" si="2"/>
        <v>14740.128000000002</v>
      </c>
      <c r="F124" s="115">
        <f>'1.4.3 MSF2'!D24*Units!$C$21</f>
        <v>1001.5612878570747</v>
      </c>
      <c r="I124" s="115">
        <f>+'1.4.3 MSF2'!I24*Units!$C$21</f>
        <v>1411.5867392758196</v>
      </c>
      <c r="P124" s="309">
        <v>1914</v>
      </c>
      <c r="Q124" s="606"/>
      <c r="R124" s="338">
        <f t="shared" si="3"/>
        <v>18130.520000000004</v>
      </c>
      <c r="S124" s="115">
        <f>+'1.4.3 MSF2'!D24</f>
        <v>1407.1599999999999</v>
      </c>
      <c r="T124" s="115">
        <f>+'1.4.3 MSF2'!E24</f>
        <v>9530.0800000000017</v>
      </c>
      <c r="U124" s="115">
        <f>+'1.4.3 MSF2'!F24</f>
        <v>5210.0480000000007</v>
      </c>
      <c r="V124" s="115"/>
      <c r="W124" s="115"/>
      <c r="X124" s="115">
        <f>+'1.4.3 MSF2'!I24</f>
        <v>1983.232</v>
      </c>
      <c r="Y124" s="611"/>
    </row>
    <row r="125" spans="1:25" x14ac:dyDescent="0.45">
      <c r="A125" s="309">
        <v>1915</v>
      </c>
      <c r="B125" s="936">
        <f t="shared" si="2"/>
        <v>14953.488000000001</v>
      </c>
      <c r="F125" s="115">
        <f>'1.4.3 MSF2'!D25*Units!$C$21</f>
        <v>1173.6707366007454</v>
      </c>
      <c r="I125" s="115">
        <f>+'1.4.3 MSF2'!I25*Units!$C$21</f>
        <v>1821.6121906945643</v>
      </c>
      <c r="P125" s="309">
        <v>1915</v>
      </c>
      <c r="Q125" s="606"/>
      <c r="R125" s="338">
        <f t="shared" si="3"/>
        <v>19161.760000000002</v>
      </c>
      <c r="S125" s="115">
        <f>+'1.4.3 MSF2'!D25</f>
        <v>1648.9680000000001</v>
      </c>
      <c r="T125" s="115">
        <f>+'1.4.3 MSF2'!E25</f>
        <v>9902.9520000000011</v>
      </c>
      <c r="U125" s="115">
        <f>+'1.4.3 MSF2'!F25</f>
        <v>5050.5360000000001</v>
      </c>
      <c r="V125" s="115"/>
      <c r="W125" s="115"/>
      <c r="X125" s="115">
        <f>+'1.4.3 MSF2'!I25</f>
        <v>2559.3040000000001</v>
      </c>
      <c r="Y125" s="611"/>
    </row>
    <row r="126" spans="1:25" x14ac:dyDescent="0.45">
      <c r="A126" s="309">
        <v>1916</v>
      </c>
      <c r="B126" s="936">
        <f t="shared" si="2"/>
        <v>16322.04</v>
      </c>
      <c r="F126" s="115">
        <f>'1.4.3 MSF2'!D26*Units!$C$21</f>
        <v>1164.9929492691317</v>
      </c>
      <c r="I126" s="115">
        <f>+'1.4.3 MSF2'!I26*Units!$C$21</f>
        <v>1756.5287857074618</v>
      </c>
      <c r="P126" s="309">
        <v>1916</v>
      </c>
      <c r="Q126" s="606"/>
      <c r="R126" s="338">
        <f t="shared" si="3"/>
        <v>20426.68</v>
      </c>
      <c r="S126" s="115">
        <f>+'1.4.3 MSF2'!D26</f>
        <v>1636.7760000000001</v>
      </c>
      <c r="T126" s="115">
        <f>+'1.4.3 MSF2'!E26</f>
        <v>10465.816000000001</v>
      </c>
      <c r="U126" s="115">
        <f>+'1.4.3 MSF2'!F26</f>
        <v>5856.2240000000002</v>
      </c>
      <c r="V126" s="115"/>
      <c r="W126" s="115"/>
      <c r="X126" s="115">
        <f>+'1.4.3 MSF2'!I26</f>
        <v>2467.864</v>
      </c>
      <c r="Y126" s="611"/>
    </row>
    <row r="127" spans="1:25" x14ac:dyDescent="0.45">
      <c r="A127" s="309">
        <v>1917</v>
      </c>
      <c r="B127" s="936">
        <f t="shared" si="2"/>
        <v>17274.031999999999</v>
      </c>
      <c r="F127" s="115">
        <f>'1.4.3 MSF2'!D27*Units!$C$21</f>
        <v>1097.0169485048248</v>
      </c>
      <c r="I127" s="115">
        <f>+'1.4.3 MSF2'!I27*Units!$C$21</f>
        <v>1603.9443584599219</v>
      </c>
      <c r="P127" s="309">
        <v>1917</v>
      </c>
      <c r="Q127" s="606"/>
      <c r="R127" s="338">
        <f t="shared" si="3"/>
        <v>21068.792000000001</v>
      </c>
      <c r="S127" s="115">
        <f>+'1.4.3 MSF2'!D27</f>
        <v>1541.2719999999999</v>
      </c>
      <c r="T127" s="115">
        <f>+'1.4.3 MSF2'!E27</f>
        <v>11137.392</v>
      </c>
      <c r="U127" s="115">
        <f>+'1.4.3 MSF2'!F27</f>
        <v>6136.6399999999994</v>
      </c>
      <c r="V127" s="115"/>
      <c r="W127" s="115"/>
      <c r="X127" s="115">
        <f>+'1.4.3 MSF2'!I27</f>
        <v>2253.4879999999998</v>
      </c>
      <c r="Y127" s="611"/>
    </row>
    <row r="128" spans="1:25" x14ac:dyDescent="0.45">
      <c r="A128" s="309">
        <v>1918</v>
      </c>
      <c r="B128" s="936">
        <f t="shared" si="2"/>
        <v>17781.016000000003</v>
      </c>
      <c r="F128" s="115">
        <f>'1.4.3 MSF2'!D28*Units!$C$21</f>
        <v>886.58060571319402</v>
      </c>
      <c r="I128" s="115">
        <f>+'1.4.3 MSF2'!I28*Units!$C$21</f>
        <v>1137.5132893856887</v>
      </c>
      <c r="P128" s="309">
        <v>1918</v>
      </c>
      <c r="Q128" s="606"/>
      <c r="R128" s="338">
        <f t="shared" si="3"/>
        <v>20624.800000000003</v>
      </c>
      <c r="S128" s="115">
        <f>+'1.4.3 MSF2'!D28</f>
        <v>1245.616</v>
      </c>
      <c r="T128" s="115">
        <f>+'1.4.3 MSF2'!E28</f>
        <v>11467.592000000002</v>
      </c>
      <c r="U128" s="115">
        <f>+'1.4.3 MSF2'!F28</f>
        <v>6313.424</v>
      </c>
      <c r="V128" s="115"/>
      <c r="W128" s="115"/>
      <c r="X128" s="115">
        <f>+'1.4.3 MSF2'!I28</f>
        <v>1598.1680000000001</v>
      </c>
      <c r="Y128" s="611"/>
    </row>
    <row r="129" spans="1:25" x14ac:dyDescent="0.45">
      <c r="A129" s="309">
        <v>1919</v>
      </c>
      <c r="B129" s="936">
        <f t="shared" si="2"/>
        <v>15210.536000000002</v>
      </c>
      <c r="F129" s="115">
        <f>'1.4.3 MSF2'!D29*Units!$C$21</f>
        <v>865.60928632846105</v>
      </c>
      <c r="I129" s="115">
        <f>+'1.4.3 MSF2'!I29*Units!$C$21</f>
        <v>1265.5106525269898</v>
      </c>
      <c r="P129" s="309">
        <v>1919</v>
      </c>
      <c r="Q129" s="606"/>
      <c r="R129" s="338">
        <f t="shared" si="3"/>
        <v>18204.688000000002</v>
      </c>
      <c r="S129" s="115">
        <f>+'1.4.3 MSF2'!D29</f>
        <v>1216.152</v>
      </c>
      <c r="T129" s="115">
        <f>+'1.4.3 MSF2'!E29</f>
        <v>9534.1440000000021</v>
      </c>
      <c r="U129" s="115">
        <f>+'1.4.3 MSF2'!F29</f>
        <v>5676.3919999999998</v>
      </c>
      <c r="V129" s="115"/>
      <c r="W129" s="115"/>
      <c r="X129" s="115">
        <f>+'1.4.3 MSF2'!I29</f>
        <v>1778</v>
      </c>
      <c r="Y129" s="611"/>
    </row>
    <row r="130" spans="1:25" x14ac:dyDescent="0.45">
      <c r="A130" s="309">
        <v>1920</v>
      </c>
      <c r="B130" s="936">
        <f t="shared" si="2"/>
        <v>16438.879999999997</v>
      </c>
      <c r="F130" s="115">
        <f>'1.4.3 MSF2'!D30*Units!$C$21</f>
        <v>860.547243718353</v>
      </c>
      <c r="I130" s="115">
        <f>+'1.4.3 MSF2'!I30*Units!$C$21</f>
        <v>1475.2238463743197</v>
      </c>
      <c r="P130" s="309">
        <v>1920</v>
      </c>
      <c r="Q130" s="445"/>
      <c r="R130" s="338">
        <f t="shared" si="3"/>
        <v>19720.559999999998</v>
      </c>
      <c r="S130" s="115">
        <f>+'1.4.3 MSF2'!D30</f>
        <v>1209.04</v>
      </c>
      <c r="T130" s="115">
        <f>+'1.4.3 MSF2'!E30</f>
        <v>10861.039999999999</v>
      </c>
      <c r="U130" s="115">
        <f>+'1.4.3 MSF2'!F30</f>
        <v>5577.84</v>
      </c>
      <c r="V130" s="115"/>
      <c r="W130" s="115"/>
      <c r="X130" s="115">
        <f>+'1.4.3 MSF2'!I30</f>
        <v>2072.6400000000003</v>
      </c>
      <c r="Y130" s="450"/>
    </row>
    <row r="131" spans="1:25" x14ac:dyDescent="0.45">
      <c r="A131" s="309">
        <v>1921</v>
      </c>
      <c r="B131" s="936">
        <f t="shared" si="2"/>
        <v>7945.119999999999</v>
      </c>
      <c r="F131" s="115">
        <f>'1.4.3 MSF2'!D31*Units!$C$21</f>
        <v>809.92681761727351</v>
      </c>
      <c r="I131" s="115">
        <f>+'1.4.3 MSF2'!I31*Units!$C$21</f>
        <v>1381.2144836151717</v>
      </c>
      <c r="P131" s="309">
        <v>1921</v>
      </c>
      <c r="Q131" s="404" t="s">
        <v>54</v>
      </c>
      <c r="R131" s="338">
        <f t="shared" si="3"/>
        <v>11023.599999999999</v>
      </c>
      <c r="S131" s="115">
        <f>+'1.4.3 MSF2'!D31</f>
        <v>1137.92</v>
      </c>
      <c r="T131" s="115">
        <f>+'1.4.3 MSF2'!E31</f>
        <v>3332.48</v>
      </c>
      <c r="U131" s="115">
        <f>+'1.4.3 MSF2'!F31</f>
        <v>4612.6399999999994</v>
      </c>
      <c r="V131" s="115"/>
      <c r="W131" s="115"/>
      <c r="X131" s="115">
        <f>+'1.4.3 MSF2'!I31</f>
        <v>1940.56</v>
      </c>
      <c r="Y131" s="451" t="s">
        <v>54</v>
      </c>
    </row>
    <row r="132" spans="1:25" x14ac:dyDescent="0.45">
      <c r="A132" s="309">
        <v>1922</v>
      </c>
      <c r="B132" s="936">
        <f t="shared" si="2"/>
        <v>10607.04</v>
      </c>
      <c r="F132" s="115">
        <f>'1.4.3 MSF2'!D32*Units!$C$21</f>
        <v>853.31575427534165</v>
      </c>
      <c r="I132" s="115">
        <f>+'1.4.3 MSF2'!I32*Units!$C$21</f>
        <v>1453.5293780452855</v>
      </c>
      <c r="P132" s="309">
        <v>1922</v>
      </c>
      <c r="Q132" s="404" t="s">
        <v>54</v>
      </c>
      <c r="R132" s="338">
        <f t="shared" si="3"/>
        <v>13848.08</v>
      </c>
      <c r="S132" s="115">
        <f>+'1.4.3 MSF2'!D32</f>
        <v>1198.8799999999999</v>
      </c>
      <c r="T132" s="115">
        <f>+'1.4.3 MSF2'!E32</f>
        <v>6299.2</v>
      </c>
      <c r="U132" s="115">
        <f>+'1.4.3 MSF2'!F32</f>
        <v>4307.84</v>
      </c>
      <c r="V132" s="115"/>
      <c r="W132" s="115"/>
      <c r="X132" s="115">
        <f>+'1.4.3 MSF2'!I32</f>
        <v>2042.16</v>
      </c>
      <c r="Y132" s="451" t="s">
        <v>54</v>
      </c>
    </row>
    <row r="133" spans="1:25" x14ac:dyDescent="0.45">
      <c r="A133" s="309">
        <v>1923</v>
      </c>
      <c r="B133" s="936">
        <f t="shared" si="2"/>
        <v>13197.840000000002</v>
      </c>
      <c r="F133" s="115">
        <f>'1.4.3 MSF2'!D33*Units!$C$21</f>
        <v>860.547243718353</v>
      </c>
      <c r="I133" s="115">
        <f>+'1.4.3 MSF2'!I33*Units!$C$21</f>
        <v>1467.9923569313082</v>
      </c>
      <c r="P133" s="309">
        <v>1923</v>
      </c>
      <c r="Q133" s="404" t="s">
        <v>54</v>
      </c>
      <c r="R133" s="338">
        <f t="shared" si="3"/>
        <v>16469.36</v>
      </c>
      <c r="S133" s="115">
        <f>+'1.4.3 MSF2'!D33</f>
        <v>1209.04</v>
      </c>
      <c r="T133" s="115">
        <f>+'1.4.3 MSF2'!E33</f>
        <v>9357.3600000000024</v>
      </c>
      <c r="U133" s="115">
        <f>+'1.4.3 MSF2'!F33</f>
        <v>3840.48</v>
      </c>
      <c r="V133" s="115"/>
      <c r="W133" s="115"/>
      <c r="X133" s="115">
        <f>+'1.4.3 MSF2'!I33</f>
        <v>2062.48</v>
      </c>
      <c r="Y133" s="451" t="s">
        <v>54</v>
      </c>
    </row>
    <row r="134" spans="1:25" x14ac:dyDescent="0.45">
      <c r="A134" s="309">
        <v>1924</v>
      </c>
      <c r="B134" s="936">
        <f t="shared" si="2"/>
        <v>13106.4</v>
      </c>
      <c r="F134" s="115">
        <f>'1.4.3 MSF2'!D34*Units!$C$21</f>
        <v>961.78809592051221</v>
      </c>
      <c r="I134" s="115">
        <f>+'1.4.3 MSF2'!I34*Units!$C$21</f>
        <v>1648.7795930065924</v>
      </c>
      <c r="P134" s="309">
        <v>1924</v>
      </c>
      <c r="Q134" s="404" t="s">
        <v>54</v>
      </c>
      <c r="R134" s="338">
        <f t="shared" si="3"/>
        <v>16774.16</v>
      </c>
      <c r="S134" s="115">
        <f>+'1.4.3 MSF2'!D34</f>
        <v>1351.28</v>
      </c>
      <c r="T134" s="115">
        <f>+'1.4.3 MSF2'!E34</f>
        <v>9326.8799999999992</v>
      </c>
      <c r="U134" s="115">
        <f>+'1.4.3 MSF2'!F34</f>
        <v>3779.5200000000004</v>
      </c>
      <c r="V134" s="115"/>
      <c r="W134" s="115"/>
      <c r="X134" s="115">
        <f>+'1.4.3 MSF2'!I34</f>
        <v>2316.48</v>
      </c>
      <c r="Y134" s="451" t="s">
        <v>54</v>
      </c>
    </row>
    <row r="135" spans="1:25" x14ac:dyDescent="0.45">
      <c r="A135" s="309">
        <v>1925</v>
      </c>
      <c r="B135" s="936">
        <f t="shared" si="2"/>
        <v>11816.08</v>
      </c>
      <c r="F135" s="115">
        <f>'1.4.3 MSF2'!D35*Units!$C$21</f>
        <v>1063.0289481226714</v>
      </c>
      <c r="I135" s="115">
        <f>+'1.4.3 MSF2'!I35*Units!$C$21</f>
        <v>1822.3353396388652</v>
      </c>
      <c r="P135" s="309">
        <v>1925</v>
      </c>
      <c r="Q135" s="404" t="s">
        <v>54</v>
      </c>
      <c r="R135" s="338">
        <f t="shared" si="3"/>
        <v>15869.92</v>
      </c>
      <c r="S135" s="115">
        <f>+'1.4.3 MSF2'!D35</f>
        <v>1493.52</v>
      </c>
      <c r="T135" s="115">
        <f>+'1.4.3 MSF2'!E35</f>
        <v>8077.2</v>
      </c>
      <c r="U135" s="115">
        <f>+'1.4.3 MSF2'!F35</f>
        <v>3738.8800000000006</v>
      </c>
      <c r="V135" s="115"/>
      <c r="W135" s="115"/>
      <c r="X135" s="115">
        <f>+'1.4.3 MSF2'!I35</f>
        <v>2560.3199999999997</v>
      </c>
      <c r="Y135" s="451" t="s">
        <v>54</v>
      </c>
    </row>
    <row r="136" spans="1:25" x14ac:dyDescent="0.45">
      <c r="A136" s="309">
        <v>1926</v>
      </c>
      <c r="B136" s="936">
        <f t="shared" si="2"/>
        <v>6685.2800000000007</v>
      </c>
      <c r="F136" s="115">
        <f>'1.4.3 MSF2'!D36*Units!$C$21</f>
        <v>1120.8808636667625</v>
      </c>
      <c r="I136" s="115">
        <f>+'1.4.3 MSF2'!I36*Units!$C$21</f>
        <v>1916.3447023980132</v>
      </c>
      <c r="P136" s="309">
        <v>1926</v>
      </c>
      <c r="Q136" s="404" t="s">
        <v>54</v>
      </c>
      <c r="R136" s="338">
        <f t="shared" si="3"/>
        <v>10952.48</v>
      </c>
      <c r="S136" s="115">
        <f>+'1.4.3 MSF2'!D36</f>
        <v>1574.8</v>
      </c>
      <c r="T136" s="115">
        <f>+'1.4.3 MSF2'!E36</f>
        <v>3200.4</v>
      </c>
      <c r="U136" s="115">
        <f>+'1.4.3 MSF2'!F36</f>
        <v>3484.8800000000006</v>
      </c>
      <c r="V136" s="115"/>
      <c r="W136" s="115"/>
      <c r="X136" s="115">
        <f>+'1.4.3 MSF2'!I36</f>
        <v>2692.4</v>
      </c>
      <c r="Y136" s="451" t="s">
        <v>54</v>
      </c>
    </row>
    <row r="137" spans="1:25" x14ac:dyDescent="0.45">
      <c r="A137" s="309">
        <v>1927</v>
      </c>
      <c r="B137" s="936">
        <f t="shared" si="2"/>
        <v>12496.8</v>
      </c>
      <c r="F137" s="115">
        <f>'1.4.3 MSF2'!D37*Units!$C$21</f>
        <v>1236.5846947549444</v>
      </c>
      <c r="I137" s="115">
        <f>+'1.4.3 MSF2'!I37*Units!$C$21</f>
        <v>2111.5949173593199</v>
      </c>
      <c r="P137" s="309">
        <v>1927</v>
      </c>
      <c r="Q137" s="404" t="s">
        <v>54</v>
      </c>
      <c r="R137" s="338">
        <f t="shared" si="3"/>
        <v>17200.88</v>
      </c>
      <c r="S137" s="115">
        <f>+'1.4.3 MSF2'!D37</f>
        <v>1737.3600000000001</v>
      </c>
      <c r="T137" s="115">
        <f>+'1.4.3 MSF2'!E37</f>
        <v>9093.1999999999989</v>
      </c>
      <c r="U137" s="115">
        <f>+'1.4.3 MSF2'!F37</f>
        <v>3403.6</v>
      </c>
      <c r="V137" s="115"/>
      <c r="W137" s="115"/>
      <c r="X137" s="115">
        <f>+'1.4.3 MSF2'!I37</f>
        <v>2966.72</v>
      </c>
      <c r="Y137" s="451" t="s">
        <v>54</v>
      </c>
    </row>
    <row r="138" spans="1:25" x14ac:dyDescent="0.45">
      <c r="A138" s="309">
        <v>1928</v>
      </c>
      <c r="B138" s="936">
        <f t="shared" si="2"/>
        <v>11511.279999999999</v>
      </c>
      <c r="F138" s="115">
        <f>'1.4.3 MSF2'!D38*Units!$C$21</f>
        <v>1301.6680997420467</v>
      </c>
      <c r="I138" s="115">
        <f>+'1.4.3 MSF2'!I38*Units!$C$21</f>
        <v>2234.5302378905135</v>
      </c>
      <c r="P138" s="309">
        <v>1928</v>
      </c>
      <c r="Q138" s="404" t="s">
        <v>54</v>
      </c>
      <c r="R138" s="338">
        <f t="shared" si="3"/>
        <v>16479.519999999997</v>
      </c>
      <c r="S138" s="115">
        <f>+'1.4.3 MSF2'!D38</f>
        <v>1828.8</v>
      </c>
      <c r="T138" s="115">
        <f>+'1.4.3 MSF2'!E38</f>
        <v>8331.1999999999989</v>
      </c>
      <c r="U138" s="115">
        <f>+'1.4.3 MSF2'!F38</f>
        <v>3180.08</v>
      </c>
      <c r="V138" s="115"/>
      <c r="W138" s="115"/>
      <c r="X138" s="115">
        <f>+'1.4.3 MSF2'!I38</f>
        <v>3139.44</v>
      </c>
      <c r="Y138" s="451" t="s">
        <v>54</v>
      </c>
    </row>
    <row r="139" spans="1:25" x14ac:dyDescent="0.45">
      <c r="A139" s="309">
        <v>1929</v>
      </c>
      <c r="B139" s="936">
        <f t="shared" si="2"/>
        <v>12740.64</v>
      </c>
      <c r="F139" s="115">
        <f>'1.4.3 MSF2'!D39*Units!$C$21</f>
        <v>1395.6774625011944</v>
      </c>
      <c r="I139" s="115">
        <f>+'1.4.3 MSF2'!I39*Units!$C$21</f>
        <v>2386.3915161937521</v>
      </c>
      <c r="P139" s="309">
        <v>1929</v>
      </c>
      <c r="Q139" s="404" t="s">
        <v>54</v>
      </c>
      <c r="R139" s="338">
        <f t="shared" si="3"/>
        <v>18054.32</v>
      </c>
      <c r="S139" s="115">
        <f>+'1.4.3 MSF2'!D39</f>
        <v>1960.8799999999999</v>
      </c>
      <c r="T139" s="115">
        <f>+'1.4.3 MSF2'!E39</f>
        <v>9753.6</v>
      </c>
      <c r="U139" s="115">
        <f>+'1.4.3 MSF2'!F39</f>
        <v>2987.04</v>
      </c>
      <c r="V139" s="115"/>
      <c r="W139" s="115"/>
      <c r="X139" s="115">
        <f>+'1.4.3 MSF2'!I39</f>
        <v>3352.7999999999997</v>
      </c>
      <c r="Y139" s="451" t="s">
        <v>54</v>
      </c>
    </row>
    <row r="140" spans="1:25" x14ac:dyDescent="0.45">
      <c r="A140" s="309">
        <v>1930</v>
      </c>
      <c r="B140" s="936">
        <f t="shared" si="2"/>
        <v>10861.04</v>
      </c>
      <c r="F140" s="115">
        <f>'1.4.3 MSF2'!D40*Units!$C$21</f>
        <v>1518.6127830323878</v>
      </c>
      <c r="I140" s="115">
        <f>+'1.4.3 MSF2'!I40*Units!$C$21</f>
        <v>2588.8732205980709</v>
      </c>
      <c r="P140" s="309">
        <v>1930</v>
      </c>
      <c r="Q140" s="404" t="s">
        <v>54</v>
      </c>
      <c r="R140" s="338">
        <f t="shared" si="3"/>
        <v>16631.920000000002</v>
      </c>
      <c r="S140" s="115">
        <f>+'1.4.3 MSF2'!D40</f>
        <v>2133.6</v>
      </c>
      <c r="T140" s="115">
        <f>+'1.4.3 MSF2'!E40</f>
        <v>7985.7600000000011</v>
      </c>
      <c r="U140" s="115">
        <f>+'1.4.3 MSF2'!F40</f>
        <v>2875.28</v>
      </c>
      <c r="V140" s="115"/>
      <c r="W140" s="115"/>
      <c r="X140" s="115">
        <f>+'1.4.3 MSF2'!I40</f>
        <v>3637.28</v>
      </c>
      <c r="Y140" s="451" t="s">
        <v>54</v>
      </c>
    </row>
    <row r="141" spans="1:25" x14ac:dyDescent="0.45">
      <c r="A141" s="309">
        <v>1931</v>
      </c>
      <c r="B141" s="936">
        <f t="shared" si="2"/>
        <v>7670.7999999999993</v>
      </c>
      <c r="F141" s="115">
        <f>'1.4.3 MSF2'!D41*Units!$C$21</f>
        <v>1446.297888602274</v>
      </c>
      <c r="I141" s="115">
        <f>+'1.4.3 MSF2'!I41*Units!$C$21</f>
        <v>2465.9379000668773</v>
      </c>
      <c r="P141" s="309">
        <v>1931</v>
      </c>
      <c r="Q141" s="404" t="s">
        <v>54</v>
      </c>
      <c r="R141" s="338">
        <f t="shared" si="3"/>
        <v>13167.359999999999</v>
      </c>
      <c r="S141" s="115">
        <f>+'1.4.3 MSF2'!D41</f>
        <v>2032</v>
      </c>
      <c r="T141" s="115">
        <f>+'1.4.3 MSF2'!E41</f>
        <v>4958.08</v>
      </c>
      <c r="U141" s="115">
        <f>+'1.4.3 MSF2'!F41</f>
        <v>2712.72</v>
      </c>
      <c r="V141" s="115"/>
      <c r="W141" s="115"/>
      <c r="X141" s="115">
        <f>+'1.4.3 MSF2'!I41</f>
        <v>3464.56</v>
      </c>
      <c r="Y141" s="451" t="s">
        <v>54</v>
      </c>
    </row>
    <row r="142" spans="1:25" x14ac:dyDescent="0.45">
      <c r="A142" s="309">
        <v>1932</v>
      </c>
      <c r="B142" s="936">
        <f t="shared" si="2"/>
        <v>7396.48</v>
      </c>
      <c r="F142" s="115">
        <f>'1.4.3 MSF2'!D42*Units!$C$21</f>
        <v>1511.3812935893764</v>
      </c>
      <c r="I142" s="115">
        <f>+'1.4.3 MSF2'!I42*Units!$C$21</f>
        <v>2574.410241712048</v>
      </c>
      <c r="P142" s="309">
        <v>1932</v>
      </c>
      <c r="Q142" s="404" t="s">
        <v>54</v>
      </c>
      <c r="R142" s="338">
        <f t="shared" si="3"/>
        <v>13136.880000000001</v>
      </c>
      <c r="S142" s="115">
        <f>+'1.4.3 MSF2'!D42</f>
        <v>2123.44</v>
      </c>
      <c r="T142" s="115">
        <f>+'1.4.3 MSF2'!E42</f>
        <v>4572</v>
      </c>
      <c r="U142" s="115">
        <f>+'1.4.3 MSF2'!F42</f>
        <v>2824.48</v>
      </c>
      <c r="V142" s="115"/>
      <c r="W142" s="115"/>
      <c r="X142" s="115">
        <f>+'1.4.3 MSF2'!I42</f>
        <v>3616.96</v>
      </c>
      <c r="Y142" s="451" t="s">
        <v>54</v>
      </c>
    </row>
    <row r="143" spans="1:25" x14ac:dyDescent="0.45">
      <c r="A143" s="309">
        <v>1933</v>
      </c>
      <c r="B143" s="936">
        <f t="shared" si="2"/>
        <v>7782.56</v>
      </c>
      <c r="F143" s="115">
        <f>'1.4.3 MSF2'!D43*Units!$C$21</f>
        <v>1453.5293780452855</v>
      </c>
      <c r="I143" s="115">
        <f>+'1.4.3 MSF2'!I43*Units!$C$21</f>
        <v>2487.6323683959113</v>
      </c>
      <c r="P143" s="309">
        <v>1933</v>
      </c>
      <c r="Q143" s="404" t="s">
        <v>54</v>
      </c>
      <c r="R143" s="338">
        <f t="shared" si="3"/>
        <v>13319.760000000002</v>
      </c>
      <c r="S143" s="115">
        <f>+'1.4.3 MSF2'!D43</f>
        <v>2042.16</v>
      </c>
      <c r="T143" s="115">
        <f>+'1.4.3 MSF2'!E43</f>
        <v>5049.5200000000004</v>
      </c>
      <c r="U143" s="115">
        <f>+'1.4.3 MSF2'!F43</f>
        <v>2733.04</v>
      </c>
      <c r="V143" s="115"/>
      <c r="W143" s="115"/>
      <c r="X143" s="115">
        <f>+'1.4.3 MSF2'!I43</f>
        <v>3495.04</v>
      </c>
      <c r="Y143" s="451" t="s">
        <v>54</v>
      </c>
    </row>
    <row r="144" spans="1:25" x14ac:dyDescent="0.45">
      <c r="A144" s="309">
        <v>1934</v>
      </c>
      <c r="B144" s="936">
        <f t="shared" si="2"/>
        <v>10251.439999999999</v>
      </c>
      <c r="F144" s="115">
        <f>'1.4.3 MSF2'!D44*Units!$C$21</f>
        <v>1656.0110824496041</v>
      </c>
      <c r="I144" s="115">
        <f>+'1.4.3 MSF2'!I44*Units!$C$21</f>
        <v>2827.5123722174458</v>
      </c>
      <c r="P144" s="309">
        <v>1934</v>
      </c>
      <c r="Q144" s="404" t="s">
        <v>54</v>
      </c>
      <c r="R144" s="338">
        <f t="shared" si="3"/>
        <v>16550.64</v>
      </c>
      <c r="S144" s="115">
        <f>+'1.4.3 MSF2'!D44</f>
        <v>2326.6400000000003</v>
      </c>
      <c r="T144" s="115">
        <f>+'1.4.3 MSF2'!E44</f>
        <v>7142.48</v>
      </c>
      <c r="U144" s="115">
        <f>+'1.4.3 MSF2'!F44</f>
        <v>3108.96</v>
      </c>
      <c r="V144" s="115"/>
      <c r="W144" s="115"/>
      <c r="X144" s="115">
        <f>+'1.4.3 MSF2'!I44</f>
        <v>3972.56</v>
      </c>
      <c r="Y144" s="451" t="s">
        <v>54</v>
      </c>
    </row>
    <row r="145" spans="1:25" x14ac:dyDescent="0.45">
      <c r="A145" s="309">
        <v>1935</v>
      </c>
      <c r="B145" s="936">
        <f t="shared" si="2"/>
        <v>10698.48</v>
      </c>
      <c r="F145" s="115">
        <f>'1.4.3 MSF2'!D45*Units!$C$21</f>
        <v>1699.4000191076721</v>
      </c>
      <c r="I145" s="115">
        <f>+'1.4.3 MSF2'!I45*Units!$C$21</f>
        <v>2899.8272666475596</v>
      </c>
      <c r="P145" s="309">
        <v>1935</v>
      </c>
      <c r="Q145" s="404" t="s">
        <v>54</v>
      </c>
      <c r="R145" s="338">
        <f t="shared" si="3"/>
        <v>17160.239999999998</v>
      </c>
      <c r="S145" s="115">
        <f>+'1.4.3 MSF2'!D45</f>
        <v>2387.6</v>
      </c>
      <c r="T145" s="115">
        <f>+'1.4.3 MSF2'!E45</f>
        <v>7426.9599999999991</v>
      </c>
      <c r="U145" s="115">
        <f>+'1.4.3 MSF2'!F45</f>
        <v>3271.52</v>
      </c>
      <c r="V145" s="115"/>
      <c r="W145" s="115"/>
      <c r="X145" s="115">
        <f>+'1.4.3 MSF2'!I45</f>
        <v>4074.16</v>
      </c>
      <c r="Y145" s="451" t="s">
        <v>54</v>
      </c>
    </row>
    <row r="146" spans="1:25" x14ac:dyDescent="0.45">
      <c r="A146" s="309">
        <v>1936</v>
      </c>
      <c r="B146" s="936">
        <f t="shared" si="2"/>
        <v>12517.12</v>
      </c>
      <c r="F146" s="115">
        <f>'1.4.3 MSF2'!D46*Units!$C$21</f>
        <v>1865.7242762969338</v>
      </c>
      <c r="I146" s="115">
        <f>+'1.4.3 MSF2'!I46*Units!$C$21</f>
        <v>3196.3183338110252</v>
      </c>
      <c r="P146" s="309">
        <v>1936</v>
      </c>
      <c r="Q146" s="404" t="s">
        <v>54</v>
      </c>
      <c r="R146" s="338">
        <f t="shared" si="3"/>
        <v>19629.120000000003</v>
      </c>
      <c r="S146" s="115">
        <f>+'1.4.3 MSF2'!D46</f>
        <v>2621.2800000000002</v>
      </c>
      <c r="T146" s="115">
        <f>+'1.4.3 MSF2'!E46</f>
        <v>9011.92</v>
      </c>
      <c r="U146" s="115">
        <f>+'1.4.3 MSF2'!F46</f>
        <v>3505.2000000000003</v>
      </c>
      <c r="V146" s="115"/>
      <c r="W146" s="115"/>
      <c r="X146" s="115">
        <f>+'1.4.3 MSF2'!I46</f>
        <v>4490.7199999999993</v>
      </c>
      <c r="Y146" s="451" t="s">
        <v>54</v>
      </c>
    </row>
    <row r="147" spans="1:25" x14ac:dyDescent="0.45">
      <c r="A147" s="309">
        <v>1937</v>
      </c>
      <c r="B147" s="936">
        <f t="shared" si="2"/>
        <v>13573.76</v>
      </c>
      <c r="F147" s="115">
        <f>'1.4.3 MSF2'!D47*Units!$C$21</f>
        <v>1858.4927868539221</v>
      </c>
      <c r="I147" s="115">
        <f>+'1.4.3 MSF2'!I47*Units!$C$21</f>
        <v>3167.3923760389803</v>
      </c>
      <c r="P147" s="309">
        <v>1937</v>
      </c>
      <c r="Q147" s="404" t="s">
        <v>54</v>
      </c>
      <c r="R147" s="338">
        <f t="shared" si="3"/>
        <v>20634.96</v>
      </c>
      <c r="S147" s="115">
        <f>+'1.4.3 MSF2'!D47</f>
        <v>2611.12</v>
      </c>
      <c r="T147" s="115">
        <f>+'1.4.3 MSF2'!E47</f>
        <v>10088.879999999999</v>
      </c>
      <c r="U147" s="115">
        <f>+'1.4.3 MSF2'!F47</f>
        <v>3484.8800000000006</v>
      </c>
      <c r="V147" s="115"/>
      <c r="W147" s="115"/>
      <c r="X147" s="115">
        <f>+'1.4.3 MSF2'!I47</f>
        <v>4450.08</v>
      </c>
      <c r="Y147" s="451" t="s">
        <v>54</v>
      </c>
    </row>
    <row r="148" spans="1:25" x14ac:dyDescent="0.45">
      <c r="A148" s="309">
        <v>1938</v>
      </c>
      <c r="B148" s="936">
        <f t="shared" si="2"/>
        <v>12049.759999999998</v>
      </c>
      <c r="F148" s="115">
        <f>'1.4.3 MSF2'!D48*Units!$C$21</f>
        <v>1692.1685296646608</v>
      </c>
      <c r="I148" s="115">
        <f>+'1.4.3 MSF2'!I48*Units!$C$21</f>
        <v>2892.5957772045481</v>
      </c>
      <c r="P148" s="309">
        <v>1938</v>
      </c>
      <c r="Q148" s="404" t="s">
        <v>54</v>
      </c>
      <c r="R148" s="338">
        <f t="shared" si="3"/>
        <v>18591.199999999997</v>
      </c>
      <c r="S148" s="115">
        <f>+'1.4.3 MSF2'!D48</f>
        <v>2377.44</v>
      </c>
      <c r="T148" s="115">
        <f>+'1.4.3 MSF2'!E48</f>
        <v>7945.12</v>
      </c>
      <c r="U148" s="115">
        <f>'1.4.3 MSF2'!F48</f>
        <v>4104.6399999999994</v>
      </c>
      <c r="V148" s="115">
        <f>'1.4.3 MSF2'!G48</f>
        <v>100</v>
      </c>
      <c r="W148" s="115"/>
      <c r="X148" s="115">
        <f>+'1.4.3 MSF2'!I48</f>
        <v>4064</v>
      </c>
      <c r="Y148" s="451" t="s">
        <v>54</v>
      </c>
    </row>
    <row r="149" spans="1:25" x14ac:dyDescent="0.45">
      <c r="A149" s="309">
        <v>1939</v>
      </c>
      <c r="B149" s="936">
        <f t="shared" si="2"/>
        <v>12619.84</v>
      </c>
      <c r="F149" s="939">
        <f t="shared" ref="F149:F157" si="4">+F148+(F$158-F$148)/10</f>
        <v>1689.2759338874562</v>
      </c>
      <c r="P149" s="309">
        <v>1939</v>
      </c>
      <c r="Q149" s="404" t="s">
        <v>54</v>
      </c>
      <c r="R149" s="338">
        <f t="shared" si="3"/>
        <v>19500.8</v>
      </c>
      <c r="S149" s="115">
        <f>'1.4.3 MSF2'!D49</f>
        <v>2438.2933333333335</v>
      </c>
      <c r="T149" s="115">
        <f>'1.4.3 MSF2'!E49</f>
        <v>9083.4133333333339</v>
      </c>
      <c r="U149" s="115">
        <f>'1.4.3 MSF2'!F49</f>
        <v>3536.4266666666663</v>
      </c>
      <c r="V149" s="115">
        <f>'1.4.3 MSF2'!G49</f>
        <v>100</v>
      </c>
      <c r="W149" s="115"/>
      <c r="X149" s="115">
        <f>'1.4.3 MSF2'!I49</f>
        <v>4342.666666666667</v>
      </c>
      <c r="Y149" s="451" t="s">
        <v>54</v>
      </c>
    </row>
    <row r="150" spans="1:25" x14ac:dyDescent="0.45">
      <c r="A150" s="309">
        <v>1940</v>
      </c>
      <c r="B150" s="936">
        <f t="shared" si="2"/>
        <v>13189.92</v>
      </c>
      <c r="F150" s="939">
        <f t="shared" si="4"/>
        <v>1686.3833381102515</v>
      </c>
      <c r="P150" s="309">
        <v>1940</v>
      </c>
      <c r="Q150" s="404" t="s">
        <v>54</v>
      </c>
      <c r="R150" s="338">
        <f t="shared" si="3"/>
        <v>20410.400000000001</v>
      </c>
      <c r="S150" s="115">
        <f>'1.4.3 MSF2'!D50</f>
        <v>2499.146666666667</v>
      </c>
      <c r="T150" s="115">
        <f>'1.4.3 MSF2'!E50</f>
        <v>10221.706666666667</v>
      </c>
      <c r="U150" s="115">
        <f>'1.4.3 MSF2'!F50</f>
        <v>2968.2133333333331</v>
      </c>
      <c r="V150" s="115">
        <f>'1.4.3 MSF2'!G50</f>
        <v>100</v>
      </c>
      <c r="W150" s="115"/>
      <c r="X150" s="115">
        <f>'1.4.3 MSF2'!I50</f>
        <v>4621.3333333333339</v>
      </c>
      <c r="Y150" s="451" t="s">
        <v>54</v>
      </c>
    </row>
    <row r="151" spans="1:25" x14ac:dyDescent="0.45">
      <c r="A151" s="309">
        <v>1941</v>
      </c>
      <c r="B151" s="936">
        <f t="shared" si="2"/>
        <v>13760</v>
      </c>
      <c r="F151" s="939">
        <f t="shared" si="4"/>
        <v>1683.4907423330469</v>
      </c>
      <c r="P151" s="309">
        <v>1941</v>
      </c>
      <c r="Q151" s="404" t="s">
        <v>54</v>
      </c>
      <c r="R151" s="338">
        <f t="shared" si="3"/>
        <v>21320</v>
      </c>
      <c r="S151" s="115">
        <f>'1.4.3 MSF2'!D51</f>
        <v>2560</v>
      </c>
      <c r="T151" s="115">
        <f>'1.4.3 MSF2'!E51</f>
        <v>11360</v>
      </c>
      <c r="U151" s="115">
        <f>'1.4.3 MSF2'!F51</f>
        <v>2400</v>
      </c>
      <c r="V151" s="115">
        <f>'1.4.3 MSF2'!G51</f>
        <v>100</v>
      </c>
      <c r="W151" s="115"/>
      <c r="X151" s="115">
        <f>'1.4.3 MSF2'!I51</f>
        <v>4900</v>
      </c>
      <c r="Y151" s="451" t="s">
        <v>54</v>
      </c>
    </row>
    <row r="152" spans="1:25" x14ac:dyDescent="0.45">
      <c r="A152" s="309">
        <v>1942</v>
      </c>
      <c r="B152" s="936">
        <f t="shared" si="2"/>
        <v>14350</v>
      </c>
      <c r="F152" s="939">
        <f t="shared" si="4"/>
        <v>1680.5981465558423</v>
      </c>
      <c r="P152" s="309">
        <v>1942</v>
      </c>
      <c r="Q152" s="404" t="s">
        <v>54</v>
      </c>
      <c r="R152" s="338">
        <f t="shared" si="3"/>
        <v>22060</v>
      </c>
      <c r="S152" s="115">
        <f>'1.4.3 MSF2'!D52</f>
        <v>2900</v>
      </c>
      <c r="T152" s="115">
        <f>'1.4.3 MSF2'!E52</f>
        <v>11910</v>
      </c>
      <c r="U152" s="115">
        <f>'1.4.3 MSF2'!F52</f>
        <v>2440</v>
      </c>
      <c r="V152" s="115">
        <f>'1.4.3 MSF2'!G52</f>
        <v>130</v>
      </c>
      <c r="W152" s="115"/>
      <c r="X152" s="115">
        <f>'1.4.3 MSF2'!I52</f>
        <v>4680</v>
      </c>
      <c r="Y152" s="451" t="s">
        <v>54</v>
      </c>
    </row>
    <row r="153" spans="1:25" x14ac:dyDescent="0.45">
      <c r="A153" s="309">
        <v>1943</v>
      </c>
      <c r="B153" s="936">
        <f t="shared" si="2"/>
        <v>12840.000000000002</v>
      </c>
      <c r="F153" s="939">
        <f t="shared" si="4"/>
        <v>1677.7055507786376</v>
      </c>
      <c r="P153" s="309">
        <v>1943</v>
      </c>
      <c r="Q153" s="404" t="s">
        <v>54</v>
      </c>
      <c r="R153" s="338">
        <f t="shared" si="3"/>
        <v>20280</v>
      </c>
      <c r="S153" s="115">
        <f>'1.4.3 MSF2'!D53</f>
        <v>3190</v>
      </c>
      <c r="T153" s="115">
        <f>'1.4.3 MSF2'!E53</f>
        <v>10200.000000000002</v>
      </c>
      <c r="U153" s="115">
        <f>'1.4.3 MSF2'!F53</f>
        <v>2640</v>
      </c>
      <c r="V153" s="115">
        <f>'1.4.3 MSF2'!G53</f>
        <v>170</v>
      </c>
      <c r="W153" s="115"/>
      <c r="X153" s="115">
        <f>'1.4.3 MSF2'!I53</f>
        <v>4080</v>
      </c>
      <c r="Y153" s="451" t="s">
        <v>54</v>
      </c>
    </row>
    <row r="154" spans="1:25" x14ac:dyDescent="0.45">
      <c r="A154" s="309">
        <v>1944</v>
      </c>
      <c r="B154" s="936">
        <f t="shared" si="2"/>
        <v>12470</v>
      </c>
      <c r="F154" s="939">
        <f t="shared" si="4"/>
        <v>1674.812955001433</v>
      </c>
      <c r="P154" s="309">
        <v>1944</v>
      </c>
      <c r="Q154" s="404" t="s">
        <v>54</v>
      </c>
      <c r="R154" s="338">
        <f t="shared" si="3"/>
        <v>21180</v>
      </c>
      <c r="S154" s="115">
        <f>'1.4.3 MSF2'!D54</f>
        <v>3260</v>
      </c>
      <c r="T154" s="115">
        <f>'1.4.3 MSF2'!E54</f>
        <v>9500</v>
      </c>
      <c r="U154" s="115">
        <f>'1.4.3 MSF2'!F54</f>
        <v>2970</v>
      </c>
      <c r="V154" s="115">
        <f>'1.4.3 MSF2'!G54</f>
        <v>220</v>
      </c>
      <c r="W154" s="115"/>
      <c r="X154" s="115">
        <f>'1.4.3 MSF2'!I54</f>
        <v>5230</v>
      </c>
      <c r="Y154" s="451" t="s">
        <v>54</v>
      </c>
    </row>
    <row r="155" spans="1:25" x14ac:dyDescent="0.45">
      <c r="A155" s="309">
        <v>1945</v>
      </c>
      <c r="B155" s="936">
        <f t="shared" si="2"/>
        <v>11660.000000000002</v>
      </c>
      <c r="F155" s="939">
        <f t="shared" si="4"/>
        <v>1671.9203592242284</v>
      </c>
      <c r="P155" s="309">
        <v>1945</v>
      </c>
      <c r="Q155" s="404" t="s">
        <v>54</v>
      </c>
      <c r="R155" s="338">
        <f t="shared" si="3"/>
        <v>20270</v>
      </c>
      <c r="S155" s="115">
        <f>'1.4.3 MSF2'!D55</f>
        <v>3300</v>
      </c>
      <c r="T155" s="115">
        <f>'1.4.3 MSF2'!E55</f>
        <v>9120.0000000000018</v>
      </c>
      <c r="U155" s="115">
        <f>'1.4.3 MSF2'!F55</f>
        <v>2540</v>
      </c>
      <c r="V155" s="115">
        <f>'1.4.3 MSF2'!G55</f>
        <v>190</v>
      </c>
      <c r="W155" s="115"/>
      <c r="X155" s="115">
        <f>'1.4.3 MSF2'!I55</f>
        <v>5120</v>
      </c>
      <c r="Y155" s="451" t="s">
        <v>54</v>
      </c>
    </row>
    <row r="156" spans="1:25" x14ac:dyDescent="0.45">
      <c r="A156" s="309">
        <v>1946</v>
      </c>
      <c r="B156" s="936">
        <f t="shared" si="2"/>
        <v>12140</v>
      </c>
      <c r="F156" s="939">
        <f t="shared" si="4"/>
        <v>1669.0277634470237</v>
      </c>
      <c r="P156" s="309">
        <v>1946</v>
      </c>
      <c r="Q156" s="404" t="s">
        <v>54</v>
      </c>
      <c r="R156" s="338">
        <f t="shared" si="3"/>
        <v>20910</v>
      </c>
      <c r="S156" s="115">
        <f>'1.4.3 MSF2'!D56</f>
        <v>3760</v>
      </c>
      <c r="T156" s="115">
        <f>'1.4.3 MSF2'!E56</f>
        <v>9630</v>
      </c>
      <c r="U156" s="115">
        <f>'1.4.3 MSF2'!F56</f>
        <v>2510</v>
      </c>
      <c r="V156" s="115">
        <f>'1.4.3 MSF2'!G56</f>
        <v>180</v>
      </c>
      <c r="W156" s="115"/>
      <c r="X156" s="115">
        <f>'1.4.3 MSF2'!I56</f>
        <v>4830</v>
      </c>
      <c r="Y156" s="451" t="s">
        <v>54</v>
      </c>
    </row>
    <row r="157" spans="1:25" x14ac:dyDescent="0.45">
      <c r="A157" s="309">
        <v>1947</v>
      </c>
      <c r="B157" s="936">
        <f t="shared" si="2"/>
        <v>11970.000000000002</v>
      </c>
      <c r="F157" s="939">
        <f t="shared" si="4"/>
        <v>1666.1351676698191</v>
      </c>
      <c r="P157" s="309">
        <v>1947</v>
      </c>
      <c r="Q157" s="404" t="s">
        <v>54</v>
      </c>
      <c r="R157" s="338">
        <f t="shared" si="3"/>
        <v>20370</v>
      </c>
      <c r="S157" s="115">
        <f>'1.4.3 MSF2'!D57</f>
        <v>3380</v>
      </c>
      <c r="T157" s="115">
        <f>'1.4.3 MSF2'!E57</f>
        <v>9530.0000000000018</v>
      </c>
      <c r="U157" s="115">
        <f>'1.4.3 MSF2'!F57</f>
        <v>2440</v>
      </c>
      <c r="V157" s="115">
        <f>'1.4.3 MSF2'!G57</f>
        <v>150</v>
      </c>
      <c r="W157" s="115"/>
      <c r="X157" s="115">
        <f>'1.4.3 MSF2'!I57</f>
        <v>4870</v>
      </c>
      <c r="Y157" s="451" t="s">
        <v>54</v>
      </c>
    </row>
    <row r="158" spans="1:25" x14ac:dyDescent="0.45">
      <c r="A158" s="309">
        <v>1948</v>
      </c>
      <c r="B158" s="936">
        <f t="shared" si="2"/>
        <v>12657</v>
      </c>
      <c r="F158" s="115">
        <f>('1.4.2 MSF1'!T38+'1.4.2 MSF1'!BH38+'1.4.2 MSF1'!CO38)*Units!$C$21</f>
        <v>1663.2425718926154</v>
      </c>
      <c r="P158" s="309">
        <v>1948</v>
      </c>
      <c r="Q158" s="404">
        <v>8589.2639999999992</v>
      </c>
      <c r="R158" s="338">
        <f t="shared" si="3"/>
        <v>20343.8</v>
      </c>
      <c r="S158" s="115">
        <f>'1.4.3 MSF2'!D58</f>
        <v>3296.8</v>
      </c>
      <c r="T158" s="115">
        <f>'1.4.3 MSF2'!E58</f>
        <v>9987</v>
      </c>
      <c r="U158" s="115">
        <f>'1.4.3 MSF2'!F58</f>
        <v>2670</v>
      </c>
      <c r="V158" s="115">
        <f>'1.4.3 MSF2'!G58</f>
        <v>150</v>
      </c>
      <c r="W158" s="115"/>
      <c r="X158" s="115">
        <f>'1.4.3 MSF2'!I58</f>
        <v>4240</v>
      </c>
      <c r="Y158" s="450">
        <v>642.11199999999997</v>
      </c>
    </row>
    <row r="159" spans="1:25" x14ac:dyDescent="0.45">
      <c r="A159" s="309">
        <v>1949</v>
      </c>
      <c r="B159" s="936">
        <f t="shared" si="2"/>
        <v>12594</v>
      </c>
      <c r="F159" s="115">
        <f>('1.4.2 MSF1'!T39+'1.4.2 MSF1'!BH39+'1.4.2 MSF1'!CO39)*Units!$C$21</f>
        <v>1735.5574663227289</v>
      </c>
      <c r="P159" s="309">
        <v>1949</v>
      </c>
      <c r="Q159" s="404">
        <v>9324.848</v>
      </c>
      <c r="R159" s="338">
        <f t="shared" si="3"/>
        <v>20742.400000000001</v>
      </c>
      <c r="S159" s="115">
        <f>'1.4.3 MSF2'!D59</f>
        <v>3338.4</v>
      </c>
      <c r="T159" s="115">
        <f>'1.4.3 MSF2'!E59</f>
        <v>9914</v>
      </c>
      <c r="U159" s="115">
        <f>'1.4.3 MSF2'!F59</f>
        <v>2679.9999999999995</v>
      </c>
      <c r="V159" s="115">
        <f>'1.4.3 MSF2'!G59</f>
        <v>140</v>
      </c>
      <c r="W159" s="115"/>
      <c r="X159" s="115">
        <f>'1.4.3 MSF2'!I59</f>
        <v>4670</v>
      </c>
      <c r="Y159" s="450">
        <v>797.56</v>
      </c>
    </row>
    <row r="160" spans="1:25" x14ac:dyDescent="0.45">
      <c r="A160" s="309">
        <v>1950</v>
      </c>
      <c r="B160" s="933">
        <f>[4]FuelUInd!$BW20</f>
        <v>15341.645783309999</v>
      </c>
      <c r="E160" s="115">
        <v>1294.6536525999998</v>
      </c>
      <c r="F160" s="115">
        <f>('1.4.2 MSF1'!T40+'1.4.2 MSF1'!BH40+'1.4.2 MSF1'!CO40)*Units!$C$21</f>
        <v>2024.8170440431838</v>
      </c>
      <c r="P160" s="309">
        <v>1950</v>
      </c>
      <c r="Q160" s="404">
        <v>10481.056</v>
      </c>
      <c r="R160" s="338">
        <f>+S160+T160+U160+V160+X160</f>
        <v>21742</v>
      </c>
      <c r="S160" s="115">
        <f>'1.4.3 MSF2'!D60</f>
        <v>3460</v>
      </c>
      <c r="T160" s="115">
        <f>'1.4.3 MSF2'!E60</f>
        <v>9802</v>
      </c>
      <c r="U160" s="115">
        <f>'1.4.3 MSF2'!F60</f>
        <v>2780.0000000000005</v>
      </c>
      <c r="V160" s="115">
        <f>'1.4.3 MSF2'!G60</f>
        <v>140</v>
      </c>
      <c r="W160" s="115"/>
      <c r="X160" s="115">
        <f>'1.4.3 MSF2'!I60</f>
        <v>5560</v>
      </c>
      <c r="Y160" s="450">
        <v>860.55200000000002</v>
      </c>
    </row>
    <row r="161" spans="1:25" x14ac:dyDescent="0.45">
      <c r="A161" s="309">
        <v>1951</v>
      </c>
      <c r="B161" s="933">
        <f>[4]FuelUInd!$BW21</f>
        <v>15854.883481304998</v>
      </c>
      <c r="E161" s="115">
        <v>1387.1289135</v>
      </c>
      <c r="F161" s="115">
        <f>('1.4.2 MSF1'!T41+'1.4.2 MSF1'!BH41+'1.4.2 MSF1'!CO41)*Units!$C$21</f>
        <v>1952.5021496130703</v>
      </c>
      <c r="P161" s="309">
        <v>1951</v>
      </c>
      <c r="Q161" s="404">
        <v>10570.464000000002</v>
      </c>
      <c r="R161" s="338">
        <f t="shared" ref="R161:R173" si="5">+S161+T161+U161+X161</f>
        <v>10594.848</v>
      </c>
      <c r="S161" s="115">
        <f>+'1.4.2 MSF1'!T41+'1.4.2 MSF1'!BH41+'1.4.2 MSF1'!CO41</f>
        <v>2743.2000000000003</v>
      </c>
      <c r="T161" s="115"/>
      <c r="U161" s="115"/>
      <c r="V161" s="115"/>
      <c r="W161" s="115"/>
      <c r="X161" s="449">
        <v>7851.6480000000001</v>
      </c>
      <c r="Y161" s="450">
        <v>149.352</v>
      </c>
    </row>
    <row r="162" spans="1:25" x14ac:dyDescent="0.45">
      <c r="A162" s="309">
        <v>1952</v>
      </c>
      <c r="B162" s="933">
        <f>[4]FuelUInd!$BW22</f>
        <v>17089.42821432</v>
      </c>
      <c r="E162" s="115">
        <v>1572.0794352999999</v>
      </c>
      <c r="F162" s="115">
        <f>('1.4.2 MSF1'!T42+'1.4.2 MSF1'!BH42+'1.4.2 MSF1'!CO42)*Units!$C$21</f>
        <v>1883.8029999044618</v>
      </c>
      <c r="P162" s="309">
        <v>1952</v>
      </c>
      <c r="Q162" s="404">
        <v>10123.424000000001</v>
      </c>
      <c r="R162" s="338">
        <f t="shared" si="5"/>
        <v>9760.7119999999995</v>
      </c>
      <c r="S162" s="115">
        <f>+'1.4.2 MSF1'!T42+'1.4.2 MSF1'!BH42+'1.4.2 MSF1'!CO42</f>
        <v>2646.68</v>
      </c>
      <c r="T162" s="115"/>
      <c r="U162" s="115"/>
      <c r="V162" s="115"/>
      <c r="W162" s="115"/>
      <c r="X162" s="449">
        <v>7114.0320000000002</v>
      </c>
      <c r="Y162" s="450">
        <v>521.20799999999997</v>
      </c>
    </row>
    <row r="163" spans="1:25" x14ac:dyDescent="0.45">
      <c r="A163" s="309">
        <v>1953</v>
      </c>
      <c r="B163" s="933">
        <f>[4]FuelUInd!$BW23</f>
        <v>17542.556992729998</v>
      </c>
      <c r="E163" s="115">
        <v>1664.5546961999999</v>
      </c>
      <c r="F163" s="115">
        <f>('1.4.2 MSF1'!T43+'1.4.2 MSF1'!BH43+'1.4.2 MSF1'!CO43)*Units!$C$21</f>
        <v>2206.3274290627692</v>
      </c>
      <c r="P163" s="309">
        <v>1953</v>
      </c>
      <c r="Q163" s="404">
        <v>10507.472000000002</v>
      </c>
      <c r="R163" s="338">
        <f t="shared" si="5"/>
        <v>10115.295999999998</v>
      </c>
      <c r="S163" s="115">
        <f>+'1.4.2 MSF1'!T43+'1.4.2 MSF1'!BH43+'1.4.2 MSF1'!CO43</f>
        <v>3099.8159999999998</v>
      </c>
      <c r="T163" s="115"/>
      <c r="U163" s="115"/>
      <c r="V163" s="115"/>
      <c r="W163" s="115"/>
      <c r="X163" s="449">
        <v>7015.48</v>
      </c>
      <c r="Y163" s="450">
        <v>559.81600000000003</v>
      </c>
    </row>
    <row r="164" spans="1:25" x14ac:dyDescent="0.45">
      <c r="A164" s="309">
        <v>1954</v>
      </c>
      <c r="B164" s="933">
        <f>[4]FuelUInd!$BW24</f>
        <v>17718.259988440001</v>
      </c>
      <c r="E164" s="115">
        <v>1849.505218</v>
      </c>
      <c r="F164" s="115">
        <f>('1.4.2 MSF1'!T44+'1.4.2 MSF1'!BH44+'1.4.2 MSF1'!CO44)*Units!$C$21</f>
        <v>2365.4201968090192</v>
      </c>
      <c r="P164" s="309">
        <v>1954</v>
      </c>
      <c r="Q164" s="404">
        <v>11075.415999999999</v>
      </c>
      <c r="R164" s="338">
        <f t="shared" si="5"/>
        <v>10642.6</v>
      </c>
      <c r="S164" s="115">
        <f>+'1.4.2 MSF1'!T44+'1.4.2 MSF1'!BH44+'1.4.2 MSF1'!CO44</f>
        <v>3323.3359999999998</v>
      </c>
      <c r="T164" s="115"/>
      <c r="U164" s="115"/>
      <c r="V164" s="115"/>
      <c r="W164" s="115"/>
      <c r="X164" s="449">
        <v>7319.2640000000001</v>
      </c>
      <c r="Y164" s="450">
        <v>669.54399999999998</v>
      </c>
    </row>
    <row r="165" spans="1:25" x14ac:dyDescent="0.45">
      <c r="A165" s="309">
        <v>1955</v>
      </c>
      <c r="B165" s="933">
        <f>[4]FuelUInd!$BW25</f>
        <v>18074.289742904999</v>
      </c>
      <c r="E165" s="115">
        <v>1849.505218</v>
      </c>
      <c r="F165" s="115">
        <f>('1.4.2 MSF1'!T45+'1.4.2 MSF1'!BH45+'1.4.2 MSF1'!CO45)*Units!$C$21</f>
        <v>2546.9305818286048</v>
      </c>
      <c r="P165" s="309">
        <v>1955</v>
      </c>
      <c r="Q165" s="404">
        <v>11017.504000000001</v>
      </c>
      <c r="R165" s="338">
        <f t="shared" si="5"/>
        <v>10793.984</v>
      </c>
      <c r="S165" s="115">
        <f>+'1.4.2 MSF1'!T45+'1.4.2 MSF1'!BH45+'1.4.2 MSF1'!CO45</f>
        <v>3578.3519999999999</v>
      </c>
      <c r="T165" s="115"/>
      <c r="U165" s="115"/>
      <c r="V165" s="115"/>
      <c r="W165" s="115"/>
      <c r="X165" s="449">
        <v>7215.6320000000005</v>
      </c>
      <c r="Y165" s="450">
        <v>605.53600000000006</v>
      </c>
    </row>
    <row r="166" spans="1:25" x14ac:dyDescent="0.45">
      <c r="A166" s="309">
        <v>1956</v>
      </c>
      <c r="B166" s="933">
        <f>[4]FuelUInd!$BW26</f>
        <v>18864.953223600001</v>
      </c>
      <c r="E166" s="115">
        <v>2034.4557397999997</v>
      </c>
      <c r="F166" s="115">
        <f>('1.4.2 MSF1'!T46+'1.4.2 MSF1'!BH46+'1.4.2 MSF1'!CO46)*Units!$C$21</f>
        <v>2397.238750358269</v>
      </c>
      <c r="P166" s="309">
        <v>1956</v>
      </c>
      <c r="Q166" s="404">
        <v>10751.312</v>
      </c>
      <c r="R166" s="338">
        <f t="shared" si="5"/>
        <v>10274.808000000001</v>
      </c>
      <c r="S166" s="115">
        <f>+'1.4.2 MSF1'!T46+'1.4.2 MSF1'!BH46+'1.4.2 MSF1'!CO46</f>
        <v>3368.04</v>
      </c>
      <c r="T166" s="115"/>
      <c r="U166" s="115"/>
      <c r="V166" s="115"/>
      <c r="W166" s="115"/>
      <c r="X166" s="449">
        <v>6906.768</v>
      </c>
      <c r="Y166" s="450">
        <v>810.76800000000003</v>
      </c>
    </row>
    <row r="167" spans="1:25" x14ac:dyDescent="0.45">
      <c r="A167" s="309">
        <v>1957</v>
      </c>
      <c r="B167" s="933">
        <f>[4]FuelUInd!$BW27</f>
        <v>19059.151271489998</v>
      </c>
      <c r="E167" s="115">
        <v>2182.4161572399998</v>
      </c>
      <c r="F167" s="115">
        <f>('1.4.2 MSF1'!T47+'1.4.2 MSF1'!BH47+'1.4.2 MSF1'!CO47)*Units!$C$21</f>
        <v>2140.5208751313658</v>
      </c>
      <c r="P167" s="309">
        <v>1957</v>
      </c>
      <c r="Q167" s="404">
        <v>9764.7759999999998</v>
      </c>
      <c r="R167" s="338">
        <f t="shared" si="5"/>
        <v>9152.1280000000006</v>
      </c>
      <c r="S167" s="115">
        <f>+'1.4.2 MSF1'!T47+'1.4.2 MSF1'!BH47+'1.4.2 MSF1'!CO47</f>
        <v>3007.36</v>
      </c>
      <c r="T167" s="115"/>
      <c r="U167" s="115"/>
      <c r="V167" s="115"/>
      <c r="W167" s="115"/>
      <c r="X167" s="449">
        <v>6144.768</v>
      </c>
      <c r="Y167" s="450">
        <v>890.01599999999996</v>
      </c>
    </row>
    <row r="168" spans="1:25" x14ac:dyDescent="0.45">
      <c r="A168" s="309">
        <v>1958</v>
      </c>
      <c r="B168" s="933">
        <f>[4]FuelUInd!$BW28</f>
        <v>16455.972677155001</v>
      </c>
      <c r="E168" s="115">
        <v>2071.44584416</v>
      </c>
      <c r="F168" s="115">
        <f>('1.4.2 MSF1'!T48+'1.4.2 MSF1'!BH48+'1.4.2 MSF1'!CO48)*Units!$C$21</f>
        <v>2184.6329607337352</v>
      </c>
      <c r="P168" s="309">
        <v>1958</v>
      </c>
      <c r="Q168" s="404">
        <v>9481.3119999999999</v>
      </c>
      <c r="R168" s="338">
        <f t="shared" si="5"/>
        <v>9180.5760000000009</v>
      </c>
      <c r="S168" s="115">
        <f>+'1.4.2 MSF1'!T48+'1.4.2 MSF1'!BH48+'1.4.2 MSF1'!CO48</f>
        <v>3069.3360000000002</v>
      </c>
      <c r="T168" s="115"/>
      <c r="U168" s="115"/>
      <c r="V168" s="115"/>
      <c r="W168" s="115"/>
      <c r="X168" s="449">
        <v>6111.24</v>
      </c>
      <c r="Y168" s="450">
        <v>676.65600000000006</v>
      </c>
    </row>
    <row r="169" spans="1:25" x14ac:dyDescent="0.45">
      <c r="A169" s="309">
        <v>1959</v>
      </c>
      <c r="B169" s="933">
        <f>[4]FuelUInd!$BW29</f>
        <v>15152.071498464999</v>
      </c>
      <c r="E169" s="115">
        <v>1960.4755310799999</v>
      </c>
      <c r="F169" s="115">
        <f>('1.4.2 MSF1'!T49+'1.4.2 MSF1'!BH49+'1.4.2 MSF1'!CO49)*Units!$C$21</f>
        <v>2139.7977261870647</v>
      </c>
      <c r="P169" s="309">
        <v>1959</v>
      </c>
      <c r="Q169" s="404">
        <v>8547.6080000000002</v>
      </c>
      <c r="R169" s="338">
        <f t="shared" si="5"/>
        <v>8402.32</v>
      </c>
      <c r="S169" s="115">
        <f>+'1.4.2 MSF1'!T49+'1.4.2 MSF1'!BH49+'1.4.2 MSF1'!CO49</f>
        <v>3006.3440000000001</v>
      </c>
      <c r="T169" s="115"/>
      <c r="U169" s="115"/>
      <c r="V169" s="115"/>
      <c r="W169" s="115"/>
      <c r="X169" s="449">
        <v>5395.9759999999997</v>
      </c>
      <c r="Y169" s="450">
        <v>608.58400000000006</v>
      </c>
    </row>
    <row r="170" spans="1:25" x14ac:dyDescent="0.45">
      <c r="A170" s="309">
        <v>1960</v>
      </c>
      <c r="B170" s="936">
        <f t="shared" ref="B170:B179" si="6">+C170+D170</f>
        <v>12297</v>
      </c>
      <c r="C170" s="945">
        <f>12116</f>
        <v>12116</v>
      </c>
      <c r="D170" s="945">
        <f>181</f>
        <v>181</v>
      </c>
      <c r="E170" s="115">
        <v>1388</v>
      </c>
      <c r="F170" s="115">
        <f>('1.4.2 MSF1'!T50+'1.4.2 MSF1'!BH50+'1.4.2 MSF1'!CO50)*Units!$C$21</f>
        <v>2495.5870067832243</v>
      </c>
      <c r="P170" s="309">
        <v>1960</v>
      </c>
      <c r="Q170" s="404">
        <v>8876.7919999999995</v>
      </c>
      <c r="R170" s="338">
        <f t="shared" si="5"/>
        <v>8661.4000000000015</v>
      </c>
      <c r="S170" s="115">
        <f>+'1.4.2 MSF1'!T50+'1.4.2 MSF1'!BH50+'1.4.2 MSF1'!CO50</f>
        <v>3506.2160000000003</v>
      </c>
      <c r="T170" s="115"/>
      <c r="U170" s="115"/>
      <c r="V170" s="115"/>
      <c r="W170" s="115"/>
      <c r="X170" s="449">
        <v>5155.1840000000002</v>
      </c>
      <c r="Y170" s="450">
        <v>670.56</v>
      </c>
    </row>
    <row r="171" spans="1:25" x14ac:dyDescent="0.45">
      <c r="A171" s="347">
        <v>1961</v>
      </c>
      <c r="B171" s="936">
        <f t="shared" si="6"/>
        <v>11665</v>
      </c>
      <c r="C171" s="945">
        <f>11489</f>
        <v>11489</v>
      </c>
      <c r="D171" s="945">
        <f>176</f>
        <v>176</v>
      </c>
      <c r="E171" s="115">
        <v>1302</v>
      </c>
      <c r="F171" s="115">
        <f>('1.4.2 MSF1'!T51+'1.4.2 MSF1'!BH51+'1.4.2 MSF1'!CO51)*Units!$C$21</f>
        <v>2549.8231776058092</v>
      </c>
      <c r="P171" s="347">
        <v>1961</v>
      </c>
      <c r="Q171" s="404">
        <v>8309.8639999999996</v>
      </c>
      <c r="R171" s="338">
        <f t="shared" si="5"/>
        <v>8208.2639999999992</v>
      </c>
      <c r="S171" s="115">
        <f>+'1.4.2 MSF1'!T51+'1.4.2 MSF1'!BH51+'1.4.2 MSF1'!CO51</f>
        <v>3582.4160000000002</v>
      </c>
      <c r="T171" s="115"/>
      <c r="U171" s="115"/>
      <c r="V171" s="115"/>
      <c r="W171" s="115"/>
      <c r="X171" s="449">
        <v>4625.848</v>
      </c>
      <c r="Y171" s="450">
        <v>628.904</v>
      </c>
    </row>
    <row r="172" spans="1:25" x14ac:dyDescent="0.45">
      <c r="A172" s="347">
        <v>1962</v>
      </c>
      <c r="B172" s="936">
        <f t="shared" si="6"/>
        <v>10462</v>
      </c>
      <c r="C172" s="945">
        <f>10293</f>
        <v>10293</v>
      </c>
      <c r="D172" s="945">
        <f>169</f>
        <v>169</v>
      </c>
      <c r="E172" s="115">
        <v>1108</v>
      </c>
      <c r="F172" s="115">
        <f>('1.4.2 MSF1'!T52+'1.4.2 MSF1'!BH52+'1.4.2 MSF1'!CO52)*Units!$C$21</f>
        <v>2934.5384159740142</v>
      </c>
      <c r="P172" s="347">
        <v>1962</v>
      </c>
      <c r="Q172" s="404">
        <v>8936.7360000000008</v>
      </c>
      <c r="R172" s="338">
        <f t="shared" si="5"/>
        <v>8916.4160000000011</v>
      </c>
      <c r="S172" s="115">
        <f>+'1.4.2 MSF1'!T52+'1.4.2 MSF1'!BH52+'1.4.2 MSF1'!CO52</f>
        <v>4122.9279999999999</v>
      </c>
      <c r="T172" s="115"/>
      <c r="U172" s="115"/>
      <c r="V172" s="115"/>
      <c r="W172" s="115"/>
      <c r="X172" s="449">
        <v>4793.4880000000003</v>
      </c>
      <c r="Y172" s="450">
        <v>704.08799999999997</v>
      </c>
    </row>
    <row r="173" spans="1:25" x14ac:dyDescent="0.45">
      <c r="A173" s="309">
        <v>1963</v>
      </c>
      <c r="B173" s="936">
        <f t="shared" si="6"/>
        <v>10300</v>
      </c>
      <c r="C173" s="945">
        <f>10134</f>
        <v>10134</v>
      </c>
      <c r="D173" s="945">
        <f>166</f>
        <v>166</v>
      </c>
      <c r="E173" s="115">
        <v>1126</v>
      </c>
      <c r="F173" s="115">
        <f>('1.4.2 MSF1'!T53+'1.4.2 MSF1'!BH53+'1.4.2 MSF1'!CO53)*Units!$C$21</f>
        <v>4243.4380051590715</v>
      </c>
      <c r="P173" s="309">
        <v>1963</v>
      </c>
      <c r="Q173" s="404">
        <v>8409.4320000000007</v>
      </c>
      <c r="R173" s="338">
        <f t="shared" si="5"/>
        <v>10330.687999999998</v>
      </c>
      <c r="S173" s="115">
        <f>+'1.4.2 MSF1'!T53+'1.4.2 MSF1'!BH53+'1.4.2 MSF1'!CO53</f>
        <v>5961.887999999999</v>
      </c>
      <c r="T173" s="115"/>
      <c r="U173" s="115"/>
      <c r="V173" s="115"/>
      <c r="W173" s="115"/>
      <c r="X173" s="449">
        <v>4368.8</v>
      </c>
      <c r="Y173" s="450">
        <v>462.28</v>
      </c>
    </row>
    <row r="174" spans="1:25" x14ac:dyDescent="0.45">
      <c r="A174" s="309">
        <v>1964</v>
      </c>
      <c r="B174" s="936">
        <f t="shared" si="6"/>
        <v>11246</v>
      </c>
      <c r="C174" s="945">
        <f>11074</f>
        <v>11074</v>
      </c>
      <c r="D174" s="945">
        <f>172</f>
        <v>172</v>
      </c>
      <c r="E174" s="115">
        <v>1317</v>
      </c>
      <c r="F174" s="115">
        <f>('1.4.2 MSF1'!T54+'1.4.2 MSF1'!BH54+'1.4.2 MSF1'!CO54)*Units!$C$21</f>
        <v>4333.1084742524135</v>
      </c>
      <c r="P174" s="309">
        <v>1964</v>
      </c>
      <c r="Q174" s="404">
        <v>7393.4319999999998</v>
      </c>
      <c r="R174" s="338">
        <f t="shared" ref="R174:R228" si="7">+S174+T174+U174+X174</f>
        <v>9708.8960000000006</v>
      </c>
      <c r="S174" s="115">
        <f>+'1.4.2 MSF1'!T54+'1.4.2 MSF1'!BH54+'1.4.2 MSF1'!CO54</f>
        <v>6087.8720000000003</v>
      </c>
      <c r="T174" s="115"/>
      <c r="U174" s="115"/>
      <c r="V174" s="115"/>
      <c r="W174" s="115"/>
      <c r="X174" s="449">
        <v>3621.0239999999999</v>
      </c>
      <c r="Y174" s="450">
        <v>439.928</v>
      </c>
    </row>
    <row r="175" spans="1:25" x14ac:dyDescent="0.45">
      <c r="A175" s="309">
        <v>1965</v>
      </c>
      <c r="B175" s="936">
        <f t="shared" si="6"/>
        <v>11122</v>
      </c>
      <c r="C175" s="945">
        <f>10973</f>
        <v>10973</v>
      </c>
      <c r="D175" s="945">
        <f>149</f>
        <v>149</v>
      </c>
      <c r="E175" s="115">
        <v>1335</v>
      </c>
      <c r="F175" s="115">
        <f>('1.4.2 MSF1'!T55+'1.4.2 MSF1'!BH55+'1.4.2 MSF1'!CO55)*Units!$C$21</f>
        <v>4526.1892423808167</v>
      </c>
      <c r="P175" s="309">
        <v>1965</v>
      </c>
      <c r="Q175" s="404">
        <v>7213.6</v>
      </c>
      <c r="R175" s="338">
        <f t="shared" si="7"/>
        <v>8208.2639999999992</v>
      </c>
      <c r="S175" s="115">
        <f>+'1.4.2 MSF1'!T55+'1.4.2 MSF1'!BH55+'1.4.2 MSF1'!CO55</f>
        <v>6359.1440000000002</v>
      </c>
      <c r="T175" s="115"/>
      <c r="U175" s="115"/>
      <c r="V175" s="448">
        <v>60.96</v>
      </c>
      <c r="W175" s="448">
        <v>1270</v>
      </c>
      <c r="X175" s="449">
        <v>1849.12</v>
      </c>
      <c r="Y175" s="450">
        <v>355.6</v>
      </c>
    </row>
    <row r="176" spans="1:25" x14ac:dyDescent="0.45">
      <c r="A176" s="309">
        <v>1966</v>
      </c>
      <c r="B176" s="936">
        <f t="shared" si="6"/>
        <v>9933</v>
      </c>
      <c r="C176" s="945">
        <f>9749</f>
        <v>9749</v>
      </c>
      <c r="D176" s="945">
        <f>184</f>
        <v>184</v>
      </c>
      <c r="E176" s="115">
        <v>1217</v>
      </c>
      <c r="F176" s="115">
        <f>('1.4.2 MSF1'!T56+'1.4.2 MSF1'!BH56+'1.4.2 MSF1'!CO56)*Units!$C$21</f>
        <v>4637.5541798031918</v>
      </c>
      <c r="P176" s="309">
        <v>1966</v>
      </c>
      <c r="Q176" s="404">
        <v>6482.08</v>
      </c>
      <c r="R176" s="338">
        <f t="shared" si="7"/>
        <v>7866.8879999999999</v>
      </c>
      <c r="S176" s="115">
        <f>+'1.4.2 MSF1'!T56+'1.4.2 MSF1'!BH56+'1.4.2 MSF1'!CO56</f>
        <v>6515.6080000000002</v>
      </c>
      <c r="T176" s="115"/>
      <c r="U176" s="115"/>
      <c r="V176" s="448">
        <v>50.8</v>
      </c>
      <c r="W176" s="448">
        <v>1249.68</v>
      </c>
      <c r="X176" s="449">
        <v>1351.28</v>
      </c>
      <c r="Y176" s="450">
        <v>406.4</v>
      </c>
    </row>
    <row r="177" spans="1:25" x14ac:dyDescent="0.45">
      <c r="A177" s="309">
        <v>1967</v>
      </c>
      <c r="B177" s="936">
        <f t="shared" si="6"/>
        <v>9332</v>
      </c>
      <c r="C177" s="945">
        <f>9146</f>
        <v>9146</v>
      </c>
      <c r="D177" s="945">
        <f>186</f>
        <v>186</v>
      </c>
      <c r="E177" s="115">
        <v>1161</v>
      </c>
      <c r="F177" s="115">
        <f>('1.4.2 MSF1'!T57+'1.4.2 MSF1'!BH57+'1.4.2 MSF1'!CO57)*Units!$C$21</f>
        <v>4593.0207318238281</v>
      </c>
      <c r="P177" s="309">
        <v>1967</v>
      </c>
      <c r="Q177" s="404">
        <v>5577.84</v>
      </c>
      <c r="R177" s="338">
        <f t="shared" si="7"/>
        <v>7479.2</v>
      </c>
      <c r="S177" s="115">
        <f>+'1.4.2 MSF1'!T57+'1.4.2 MSF1'!BH57+'1.4.2 MSF1'!CO57</f>
        <v>6453.04</v>
      </c>
      <c r="T177" s="115"/>
      <c r="U177" s="115"/>
      <c r="V177" s="448">
        <v>40.64</v>
      </c>
      <c r="W177" s="448">
        <v>1198.8800000000001</v>
      </c>
      <c r="X177" s="449">
        <v>1026.1600000000001</v>
      </c>
      <c r="Y177" s="450">
        <v>335.28</v>
      </c>
    </row>
    <row r="178" spans="1:25" x14ac:dyDescent="0.45">
      <c r="A178" s="309">
        <v>1968</v>
      </c>
      <c r="B178" s="936">
        <f t="shared" si="6"/>
        <v>9814</v>
      </c>
      <c r="C178" s="945">
        <f>9625</f>
        <v>9625</v>
      </c>
      <c r="D178" s="945">
        <f>189</f>
        <v>189</v>
      </c>
      <c r="E178" s="115">
        <v>1217</v>
      </c>
      <c r="F178" s="115">
        <f>('1.4.2 MSF1'!T58+'1.4.2 MSF1'!BH58+'1.4.2 MSF1'!CO58)*Units!$C$21</f>
        <v>4588.209229005447</v>
      </c>
      <c r="P178" s="309">
        <v>1968</v>
      </c>
      <c r="Q178" s="404">
        <v>4785.3599999999997</v>
      </c>
      <c r="R178" s="338">
        <f t="shared" si="7"/>
        <v>7391.1600000000008</v>
      </c>
      <c r="S178" s="115">
        <f>+'1.4.2 MSF1'!T58+'1.4.2 MSF1'!BH58+'1.4.2 MSF1'!CO58</f>
        <v>6446.2800000000007</v>
      </c>
      <c r="T178" s="115"/>
      <c r="U178" s="115"/>
      <c r="V178" s="448">
        <v>40.64</v>
      </c>
      <c r="W178" s="448">
        <v>985.52</v>
      </c>
      <c r="X178" s="449">
        <v>944.88</v>
      </c>
      <c r="Y178" s="450">
        <v>314.95999999999998</v>
      </c>
    </row>
    <row r="179" spans="1:25" x14ac:dyDescent="0.45">
      <c r="A179" s="309">
        <v>1969</v>
      </c>
      <c r="B179" s="936">
        <f t="shared" si="6"/>
        <v>9910</v>
      </c>
      <c r="C179" s="916">
        <f>9711</f>
        <v>9711</v>
      </c>
      <c r="D179" s="916">
        <f>199</f>
        <v>199</v>
      </c>
      <c r="E179" s="115">
        <v>1139</v>
      </c>
      <c r="F179" s="115">
        <f>('1.4.2 MSF1'!T59+'1.4.2 MSF1'!BH59+'1.4.2 MSF1'!CO59)*Units!$C$21</f>
        <v>4509.4315467660281</v>
      </c>
      <c r="P179" s="309">
        <v>1969</v>
      </c>
      <c r="Q179" s="404">
        <v>3586.48</v>
      </c>
      <c r="R179" s="338">
        <f t="shared" si="7"/>
        <v>6955.3600000000006</v>
      </c>
      <c r="S179" s="115">
        <f>+'1.4.2 MSF1'!T59+'1.4.2 MSF1'!BH59+'1.4.2 MSF1'!CO59</f>
        <v>6335.6</v>
      </c>
      <c r="T179" s="115"/>
      <c r="U179" s="115"/>
      <c r="V179" s="448">
        <v>40.64</v>
      </c>
      <c r="W179" s="448">
        <v>741.68</v>
      </c>
      <c r="X179" s="449">
        <v>619.76</v>
      </c>
      <c r="Y179" s="450">
        <v>233.68</v>
      </c>
    </row>
    <row r="180" spans="1:25" x14ac:dyDescent="0.45">
      <c r="A180" s="309">
        <v>1970</v>
      </c>
      <c r="B180" s="936">
        <f>+C180+D180</f>
        <v>9864</v>
      </c>
      <c r="C180" s="933">
        <v>9655</v>
      </c>
      <c r="D180" s="933">
        <v>209</v>
      </c>
      <c r="E180" s="933">
        <v>1164</v>
      </c>
      <c r="F180" s="933">
        <f>+G180+H180</f>
        <v>3736</v>
      </c>
      <c r="G180" s="933">
        <v>1761</v>
      </c>
      <c r="H180" s="933">
        <v>1975</v>
      </c>
      <c r="I180" s="933">
        <v>1499</v>
      </c>
      <c r="P180" s="309">
        <v>1970</v>
      </c>
      <c r="Q180" s="404">
        <v>2143.7600000000002</v>
      </c>
      <c r="R180" s="338">
        <f t="shared" si="7"/>
        <v>5880.56</v>
      </c>
      <c r="S180" s="115">
        <f>+'1.4.2 MSF1'!T60+'1.4.2 MSF1'!BH60+'1.4.2 MSF1'!CO60</f>
        <v>5555.4400000000005</v>
      </c>
      <c r="T180" s="115"/>
      <c r="U180" s="115"/>
      <c r="V180" s="448">
        <v>30.48</v>
      </c>
      <c r="W180" s="448">
        <v>467.36</v>
      </c>
      <c r="X180" s="449">
        <v>325.12</v>
      </c>
      <c r="Y180" s="450">
        <v>142.24</v>
      </c>
    </row>
    <row r="181" spans="1:25" x14ac:dyDescent="0.45">
      <c r="A181" s="309">
        <v>1971</v>
      </c>
      <c r="B181" s="936">
        <f t="shared" ref="B181:B228" si="8">+C181+D181</f>
        <v>8474</v>
      </c>
      <c r="C181" s="933">
        <v>8298</v>
      </c>
      <c r="D181" s="933">
        <v>176</v>
      </c>
      <c r="E181" s="933">
        <v>1118</v>
      </c>
      <c r="F181" s="933">
        <f t="shared" ref="F181:F228" si="9">+G181+H181</f>
        <v>3292</v>
      </c>
      <c r="G181" s="933">
        <v>1136</v>
      </c>
      <c r="H181" s="933">
        <v>2156</v>
      </c>
      <c r="I181" s="933">
        <v>688</v>
      </c>
      <c r="P181" s="309">
        <v>1971</v>
      </c>
      <c r="Q181" s="404">
        <v>751.84</v>
      </c>
      <c r="R181" s="338">
        <f t="shared" si="7"/>
        <v>4943.2</v>
      </c>
      <c r="S181" s="115">
        <f>+'1.4.2 MSF1'!T61+'1.4.2 MSF1'!BH61+'1.4.2 MSF1'!CO61</f>
        <v>4902.5599999999995</v>
      </c>
      <c r="T181" s="115"/>
      <c r="U181" s="115"/>
      <c r="V181" s="448">
        <v>10.16</v>
      </c>
      <c r="W181" s="448">
        <v>152.4</v>
      </c>
      <c r="X181" s="449">
        <v>40.64</v>
      </c>
      <c r="Y181" s="450">
        <v>40.64</v>
      </c>
    </row>
    <row r="182" spans="1:25" x14ac:dyDescent="0.45">
      <c r="A182" s="309">
        <v>1972</v>
      </c>
      <c r="B182" s="936">
        <f t="shared" si="8"/>
        <v>8084</v>
      </c>
      <c r="C182" s="933">
        <v>7832</v>
      </c>
      <c r="D182" s="933">
        <v>252</v>
      </c>
      <c r="E182" s="933">
        <v>1111</v>
      </c>
      <c r="F182" s="933">
        <f t="shared" si="9"/>
        <v>2993</v>
      </c>
      <c r="G182" s="933">
        <v>849</v>
      </c>
      <c r="H182" s="933">
        <v>2144</v>
      </c>
      <c r="I182" s="933">
        <v>537</v>
      </c>
      <c r="P182" s="309">
        <v>1972</v>
      </c>
      <c r="Q182" s="404">
        <v>355.6</v>
      </c>
      <c r="R182" s="338">
        <f t="shared" si="7"/>
        <v>4473.8</v>
      </c>
      <c r="S182" s="115">
        <f>+'1.4.2 MSF1'!T62+'1.4.2 MSF1'!BH62+'1.4.2 MSF1'!CO62</f>
        <v>4423</v>
      </c>
      <c r="T182" s="115"/>
      <c r="U182" s="115"/>
      <c r="V182" s="341"/>
      <c r="W182" s="448">
        <v>81.28</v>
      </c>
      <c r="X182" s="449">
        <v>50.8</v>
      </c>
      <c r="Y182" s="454">
        <v>10.16</v>
      </c>
    </row>
    <row r="183" spans="1:25" x14ac:dyDescent="0.45">
      <c r="A183" s="309">
        <v>1973</v>
      </c>
      <c r="B183" s="936">
        <f t="shared" si="8"/>
        <v>8566</v>
      </c>
      <c r="C183" s="933">
        <v>8340</v>
      </c>
      <c r="D183" s="933">
        <v>226</v>
      </c>
      <c r="E183" s="933">
        <v>1290</v>
      </c>
      <c r="F183" s="933">
        <f t="shared" si="9"/>
        <v>2831</v>
      </c>
      <c r="G183" s="933">
        <v>778</v>
      </c>
      <c r="H183" s="933">
        <v>2053</v>
      </c>
      <c r="I183" s="933">
        <v>602</v>
      </c>
      <c r="P183" s="309">
        <v>1973</v>
      </c>
      <c r="Q183" s="404"/>
      <c r="R183" s="338">
        <f t="shared" si="7"/>
        <v>4614</v>
      </c>
      <c r="S183" s="115">
        <f>+'1.4.2 MSF1'!T63+'1.4.2 MSF1'!CO63</f>
        <v>4614</v>
      </c>
      <c r="T183" s="115"/>
      <c r="U183" s="115"/>
      <c r="V183" s="115"/>
      <c r="W183" s="115"/>
      <c r="X183" s="449"/>
      <c r="Y183" s="454"/>
    </row>
    <row r="184" spans="1:25" x14ac:dyDescent="0.45">
      <c r="A184" s="309">
        <v>1974</v>
      </c>
      <c r="B184" s="936">
        <f t="shared" si="8"/>
        <v>7368</v>
      </c>
      <c r="C184" s="933">
        <v>7167</v>
      </c>
      <c r="D184" s="933">
        <v>201</v>
      </c>
      <c r="E184" s="933">
        <v>975</v>
      </c>
      <c r="F184" s="933">
        <f t="shared" si="9"/>
        <v>2776</v>
      </c>
      <c r="G184" s="933">
        <v>821</v>
      </c>
      <c r="H184" s="933">
        <v>1955</v>
      </c>
      <c r="I184" s="933">
        <v>567</v>
      </c>
      <c r="P184" s="309">
        <v>1974</v>
      </c>
      <c r="Q184" s="404"/>
      <c r="R184" s="338">
        <f t="shared" si="7"/>
        <v>4533</v>
      </c>
      <c r="S184" s="115">
        <f>+'1.4.2 MSF1'!T64+'1.4.2 MSF1'!BH64+'1.4.2 MSF1'!CO64</f>
        <v>4533</v>
      </c>
      <c r="T184" s="115"/>
      <c r="U184" s="115"/>
      <c r="V184" s="115"/>
      <c r="W184" s="115"/>
      <c r="X184" s="449"/>
      <c r="Y184" s="454"/>
    </row>
    <row r="185" spans="1:25" x14ac:dyDescent="0.45">
      <c r="A185" s="309">
        <v>1975</v>
      </c>
      <c r="B185" s="936">
        <f t="shared" si="8"/>
        <v>6537</v>
      </c>
      <c r="C185" s="933">
        <v>6338</v>
      </c>
      <c r="D185" s="933">
        <v>199</v>
      </c>
      <c r="E185" s="933">
        <v>1038</v>
      </c>
      <c r="F185" s="933">
        <f t="shared" si="9"/>
        <v>2423</v>
      </c>
      <c r="G185" s="933">
        <v>645</v>
      </c>
      <c r="H185" s="933">
        <v>1778</v>
      </c>
      <c r="I185" s="933">
        <v>408</v>
      </c>
      <c r="P185" s="309">
        <v>1975</v>
      </c>
      <c r="Q185" s="404"/>
      <c r="R185" s="338">
        <f t="shared" si="7"/>
        <v>4054</v>
      </c>
      <c r="S185" s="115">
        <f>+'1.4.2 MSF1'!T65+'1.4.2 MSF1'!BH65+'1.4.2 MSF1'!CO65</f>
        <v>4054</v>
      </c>
      <c r="T185" s="115"/>
      <c r="U185" s="115"/>
      <c r="V185" s="115"/>
      <c r="W185" s="115"/>
      <c r="X185" s="449"/>
      <c r="Y185" s="454"/>
    </row>
    <row r="186" spans="1:25" x14ac:dyDescent="0.45">
      <c r="A186" s="309">
        <v>1976</v>
      </c>
      <c r="B186" s="936">
        <f t="shared" si="8"/>
        <v>7260</v>
      </c>
      <c r="C186" s="933">
        <v>7129</v>
      </c>
      <c r="D186" s="933">
        <v>131</v>
      </c>
      <c r="E186" s="933">
        <v>1091</v>
      </c>
      <c r="F186" s="933">
        <f t="shared" si="9"/>
        <v>2189</v>
      </c>
      <c r="G186" s="933">
        <v>549</v>
      </c>
      <c r="H186" s="933">
        <v>1640</v>
      </c>
      <c r="I186" s="933">
        <v>335</v>
      </c>
      <c r="P186" s="309">
        <v>1976</v>
      </c>
      <c r="Q186" s="404"/>
      <c r="R186" s="338">
        <f t="shared" si="7"/>
        <v>3759</v>
      </c>
      <c r="S186" s="115">
        <f>+'1.4.2 MSF1'!T66+'1.4.2 MSF1'!BH66+'1.4.2 MSF1'!CO66</f>
        <v>3759</v>
      </c>
      <c r="T186" s="115"/>
      <c r="U186" s="115"/>
      <c r="V186" s="115"/>
      <c r="W186" s="115"/>
      <c r="X186" s="449"/>
      <c r="Y186" s="454"/>
    </row>
    <row r="187" spans="1:25" x14ac:dyDescent="0.45">
      <c r="A187" s="309">
        <v>1977</v>
      </c>
      <c r="B187" s="936">
        <f t="shared" si="8"/>
        <v>6526</v>
      </c>
      <c r="C187" s="933">
        <v>6368</v>
      </c>
      <c r="D187" s="933">
        <v>158</v>
      </c>
      <c r="E187" s="933">
        <v>1010</v>
      </c>
      <c r="F187" s="933">
        <f t="shared" si="9"/>
        <v>2123</v>
      </c>
      <c r="G187" s="933">
        <v>534</v>
      </c>
      <c r="H187" s="933">
        <v>1589</v>
      </c>
      <c r="I187" s="933">
        <v>315</v>
      </c>
      <c r="P187" s="309">
        <v>1977</v>
      </c>
      <c r="Q187" s="404"/>
      <c r="R187" s="338">
        <f t="shared" si="7"/>
        <v>3653</v>
      </c>
      <c r="S187" s="115">
        <f>+'1.4.2 MSF1'!T67+'1.4.2 MSF1'!BH67+'1.4.2 MSF1'!CO67</f>
        <v>3653</v>
      </c>
      <c r="T187" s="115"/>
      <c r="U187" s="115"/>
      <c r="V187" s="115"/>
      <c r="W187" s="115"/>
      <c r="X187" s="449"/>
      <c r="Y187" s="454"/>
    </row>
    <row r="188" spans="1:25" x14ac:dyDescent="0.45">
      <c r="A188" s="309">
        <v>1978</v>
      </c>
      <c r="B188" s="936">
        <f t="shared" si="8"/>
        <v>6111</v>
      </c>
      <c r="C188" s="933">
        <v>5932</v>
      </c>
      <c r="D188" s="933">
        <v>179</v>
      </c>
      <c r="E188" s="933">
        <v>899</v>
      </c>
      <c r="F188" s="933">
        <f t="shared" si="9"/>
        <v>1935</v>
      </c>
      <c r="G188" s="933">
        <v>471</v>
      </c>
      <c r="H188" s="933">
        <v>1464</v>
      </c>
      <c r="I188" s="933">
        <v>275</v>
      </c>
      <c r="P188" s="309">
        <v>1978</v>
      </c>
      <c r="Q188" s="404"/>
      <c r="R188" s="338">
        <f t="shared" si="7"/>
        <v>3317</v>
      </c>
      <c r="S188" s="115">
        <f>+'1.4.2 MSF1'!T68+'1.4.2 MSF1'!BH68+'1.4.2 MSF1'!CO68</f>
        <v>3317</v>
      </c>
      <c r="T188" s="115"/>
      <c r="U188" s="115"/>
      <c r="V188" s="115"/>
      <c r="W188" s="115"/>
      <c r="X188" s="449"/>
      <c r="Y188" s="454"/>
    </row>
    <row r="189" spans="1:25" x14ac:dyDescent="0.45">
      <c r="A189" s="309">
        <v>1979</v>
      </c>
      <c r="B189" s="936">
        <f t="shared" si="8"/>
        <v>6660</v>
      </c>
      <c r="C189" s="933">
        <v>6512</v>
      </c>
      <c r="D189" s="933">
        <v>148</v>
      </c>
      <c r="E189" s="933">
        <v>977</v>
      </c>
      <c r="F189" s="933">
        <f t="shared" si="9"/>
        <v>1910</v>
      </c>
      <c r="G189" s="933">
        <v>479</v>
      </c>
      <c r="H189" s="933">
        <v>1431</v>
      </c>
      <c r="I189" s="933">
        <v>285</v>
      </c>
      <c r="P189" s="309">
        <v>1979</v>
      </c>
      <c r="Q189" s="404"/>
      <c r="R189" s="338">
        <f t="shared" si="7"/>
        <v>3292</v>
      </c>
      <c r="S189" s="115">
        <f>+'1.4.2 MSF1'!T69+'1.4.2 MSF1'!BH69+'1.4.2 MSF1'!CO69</f>
        <v>3292</v>
      </c>
      <c r="T189" s="115"/>
      <c r="U189" s="115"/>
      <c r="V189" s="115"/>
      <c r="W189" s="115"/>
      <c r="X189" s="449"/>
      <c r="Y189" s="454"/>
    </row>
    <row r="190" spans="1:25" x14ac:dyDescent="0.45">
      <c r="A190" s="309">
        <v>1980</v>
      </c>
      <c r="B190" s="936">
        <f t="shared" si="8"/>
        <v>3468</v>
      </c>
      <c r="C190" s="933">
        <v>3335</v>
      </c>
      <c r="D190" s="933">
        <v>133</v>
      </c>
      <c r="E190" s="933">
        <v>642</v>
      </c>
      <c r="F190" s="933">
        <f t="shared" si="9"/>
        <v>1771</v>
      </c>
      <c r="G190" s="933">
        <v>401</v>
      </c>
      <c r="H190" s="933">
        <v>1370</v>
      </c>
      <c r="I190" s="933">
        <v>237</v>
      </c>
      <c r="P190" s="309">
        <v>1980</v>
      </c>
      <c r="Q190" s="404"/>
      <c r="R190" s="338">
        <f t="shared" si="7"/>
        <v>3010</v>
      </c>
      <c r="S190" s="115">
        <f>+'1.4.2 MSF1'!T70+'1.4.2 MSF1'!BH70+'1.4.2 MSF1'!CO70</f>
        <v>3010</v>
      </c>
      <c r="T190" s="115"/>
      <c r="U190" s="115"/>
      <c r="V190" s="115"/>
      <c r="W190" s="115"/>
      <c r="X190" s="449"/>
      <c r="Y190" s="454"/>
    </row>
    <row r="191" spans="1:25" x14ac:dyDescent="0.45">
      <c r="A191" s="309">
        <v>1981</v>
      </c>
      <c r="B191" s="936">
        <f t="shared" si="8"/>
        <v>4680</v>
      </c>
      <c r="C191" s="933">
        <v>4564</v>
      </c>
      <c r="D191" s="933">
        <v>116</v>
      </c>
      <c r="E191" s="933">
        <v>665</v>
      </c>
      <c r="F191" s="933">
        <f t="shared" si="9"/>
        <v>1570</v>
      </c>
      <c r="G191" s="933">
        <v>368</v>
      </c>
      <c r="H191" s="933">
        <v>1202</v>
      </c>
      <c r="I191" s="933">
        <v>204</v>
      </c>
      <c r="P191" s="309">
        <v>1981</v>
      </c>
      <c r="Q191" s="404"/>
      <c r="R191" s="338">
        <f t="shared" si="7"/>
        <v>2679</v>
      </c>
      <c r="S191" s="115">
        <f>+'1.4.2 MSF1'!T71+'1.4.2 MSF1'!BH71+'1.4.2 MSF1'!CO71</f>
        <v>2679</v>
      </c>
      <c r="T191" s="115"/>
      <c r="U191" s="115"/>
      <c r="V191" s="115"/>
      <c r="W191" s="115"/>
      <c r="X191" s="449"/>
      <c r="Y191" s="454"/>
    </row>
    <row r="192" spans="1:25" x14ac:dyDescent="0.45">
      <c r="A192" s="309">
        <v>1982</v>
      </c>
      <c r="B192" s="936">
        <f t="shared" si="8"/>
        <v>4227</v>
      </c>
      <c r="C192" s="933">
        <v>4083</v>
      </c>
      <c r="D192" s="933">
        <v>144</v>
      </c>
      <c r="E192" s="933">
        <v>605</v>
      </c>
      <c r="F192" s="933">
        <f t="shared" si="9"/>
        <v>1511</v>
      </c>
      <c r="G192" s="933">
        <v>365</v>
      </c>
      <c r="H192" s="933">
        <v>1146</v>
      </c>
      <c r="I192" s="933">
        <v>212</v>
      </c>
      <c r="P192" s="309">
        <v>1982</v>
      </c>
      <c r="Q192" s="404"/>
      <c r="R192" s="338">
        <f t="shared" si="7"/>
        <v>2578</v>
      </c>
      <c r="S192" s="115">
        <f>+'1.4.2 MSF1'!T72+'1.4.2 MSF1'!BH72+'1.4.2 MSF1'!CO72</f>
        <v>2578</v>
      </c>
      <c r="T192" s="115"/>
      <c r="U192" s="115"/>
      <c r="V192" s="115"/>
      <c r="W192" s="115"/>
      <c r="X192" s="449"/>
      <c r="Y192" s="454"/>
    </row>
    <row r="193" spans="1:25" x14ac:dyDescent="0.45">
      <c r="A193" s="309">
        <v>1983</v>
      </c>
      <c r="B193" s="936">
        <f t="shared" si="8"/>
        <v>4433</v>
      </c>
      <c r="C193" s="933">
        <v>4307</v>
      </c>
      <c r="D193" s="933">
        <v>126</v>
      </c>
      <c r="E193" s="933">
        <v>635</v>
      </c>
      <c r="F193" s="933">
        <f t="shared" si="9"/>
        <v>1476</v>
      </c>
      <c r="G193" s="933">
        <v>335</v>
      </c>
      <c r="H193" s="933">
        <v>1141</v>
      </c>
      <c r="I193" s="933">
        <v>257</v>
      </c>
      <c r="P193" s="309">
        <v>1983</v>
      </c>
      <c r="Q193" s="404"/>
      <c r="R193" s="338">
        <f t="shared" si="7"/>
        <v>2498</v>
      </c>
      <c r="S193" s="115">
        <f>+'1.4.2 MSF1'!T73+'1.4.2 MSF1'!BH73+'1.4.2 MSF1'!CO73</f>
        <v>2498</v>
      </c>
      <c r="T193" s="115"/>
      <c r="U193" s="115"/>
      <c r="V193" s="115"/>
      <c r="W193" s="115"/>
      <c r="X193" s="449"/>
      <c r="Y193" s="454"/>
    </row>
    <row r="194" spans="1:25" x14ac:dyDescent="0.45">
      <c r="A194" s="309">
        <v>1984</v>
      </c>
      <c r="B194" s="936">
        <f t="shared" si="8"/>
        <v>4476</v>
      </c>
      <c r="C194" s="933">
        <v>4408</v>
      </c>
      <c r="D194" s="933">
        <v>68</v>
      </c>
      <c r="E194" s="933">
        <v>537</v>
      </c>
      <c r="F194" s="933">
        <f t="shared" si="9"/>
        <v>1063</v>
      </c>
      <c r="G194" s="933">
        <v>335</v>
      </c>
      <c r="H194" s="933">
        <v>728</v>
      </c>
      <c r="I194" s="933">
        <v>252</v>
      </c>
      <c r="P194" s="309">
        <v>1984</v>
      </c>
      <c r="Q194" s="404"/>
      <c r="R194" s="338">
        <f t="shared" si="7"/>
        <v>1886</v>
      </c>
      <c r="S194" s="115">
        <f>+'1.4.2 MSF1'!T74+'1.4.2 MSF1'!BH74+'1.4.2 MSF1'!CO74</f>
        <v>1886</v>
      </c>
      <c r="T194" s="115"/>
      <c r="U194" s="115"/>
      <c r="V194" s="115"/>
      <c r="W194" s="115"/>
      <c r="X194" s="449"/>
      <c r="Y194" s="454"/>
    </row>
    <row r="195" spans="1:25" x14ac:dyDescent="0.45">
      <c r="A195" s="309">
        <v>1985</v>
      </c>
      <c r="B195" s="936">
        <f t="shared" si="8"/>
        <v>4806</v>
      </c>
      <c r="C195" s="933">
        <v>4655</v>
      </c>
      <c r="D195" s="933">
        <v>151</v>
      </c>
      <c r="E195" s="933">
        <v>768</v>
      </c>
      <c r="F195" s="933">
        <f t="shared" si="9"/>
        <v>1342</v>
      </c>
      <c r="G195" s="933">
        <v>385</v>
      </c>
      <c r="H195" s="933">
        <v>957</v>
      </c>
      <c r="I195" s="933">
        <v>297</v>
      </c>
      <c r="P195" s="309">
        <v>1985</v>
      </c>
      <c r="Q195" s="404"/>
      <c r="R195" s="338">
        <f t="shared" si="7"/>
        <v>2359</v>
      </c>
      <c r="S195" s="115">
        <f>+'1.4.2 MSF1'!T75+'1.4.2 MSF1'!BH75+'1.4.2 MSF1'!CO75</f>
        <v>2359</v>
      </c>
      <c r="T195" s="115"/>
      <c r="U195" s="115"/>
      <c r="V195" s="115"/>
      <c r="W195" s="115"/>
      <c r="X195" s="449"/>
      <c r="Y195" s="454"/>
    </row>
    <row r="196" spans="1:25" x14ac:dyDescent="0.45">
      <c r="A196" s="309">
        <v>1986</v>
      </c>
      <c r="B196" s="936">
        <f t="shared" si="8"/>
        <v>4242</v>
      </c>
      <c r="C196" s="933">
        <v>4144</v>
      </c>
      <c r="D196" s="933">
        <v>98</v>
      </c>
      <c r="E196" s="933">
        <v>778</v>
      </c>
      <c r="F196" s="933">
        <f t="shared" si="9"/>
        <v>1300</v>
      </c>
      <c r="G196" s="933">
        <v>335</v>
      </c>
      <c r="H196" s="933">
        <v>965</v>
      </c>
      <c r="I196" s="933">
        <v>390</v>
      </c>
      <c r="P196" s="309">
        <v>1986</v>
      </c>
      <c r="Q196" s="404"/>
      <c r="R196" s="338">
        <f t="shared" si="7"/>
        <v>2251</v>
      </c>
      <c r="S196" s="115">
        <f>+'1.4.2 MSF1'!T76+'1.4.2 MSF1'!BH76+'1.4.2 MSF1'!CO76</f>
        <v>2251</v>
      </c>
      <c r="T196" s="115"/>
      <c r="U196" s="115"/>
      <c r="V196" s="115"/>
      <c r="W196" s="115"/>
      <c r="X196" s="449"/>
      <c r="Y196" s="454"/>
    </row>
    <row r="197" spans="1:25" x14ac:dyDescent="0.45">
      <c r="A197" s="309">
        <v>1987</v>
      </c>
      <c r="B197" s="936">
        <f t="shared" si="8"/>
        <v>4740</v>
      </c>
      <c r="C197" s="933">
        <v>4660</v>
      </c>
      <c r="D197" s="933">
        <v>80</v>
      </c>
      <c r="E197" s="933">
        <v>821</v>
      </c>
      <c r="F197" s="933">
        <f t="shared" si="9"/>
        <v>1333</v>
      </c>
      <c r="G197" s="933">
        <v>315</v>
      </c>
      <c r="H197" s="933">
        <v>1018</v>
      </c>
      <c r="I197" s="933">
        <v>368</v>
      </c>
      <c r="P197" s="309">
        <v>1987</v>
      </c>
      <c r="Q197" s="404"/>
      <c r="R197" s="338">
        <f t="shared" si="7"/>
        <v>2274</v>
      </c>
      <c r="S197" s="115">
        <f>+'1.4.2 MSF1'!T77+'1.4.2 MSF1'!BH77+'1.4.2 MSF1'!CO77</f>
        <v>2274</v>
      </c>
      <c r="T197" s="115"/>
      <c r="U197" s="115"/>
      <c r="V197" s="115"/>
      <c r="W197" s="115"/>
      <c r="X197" s="449"/>
      <c r="Y197" s="454"/>
    </row>
    <row r="198" spans="1:25" x14ac:dyDescent="0.45">
      <c r="A198" s="309">
        <v>1988</v>
      </c>
      <c r="B198" s="936">
        <f t="shared" si="8"/>
        <v>5096</v>
      </c>
      <c r="C198" s="933">
        <v>5041</v>
      </c>
      <c r="D198" s="933">
        <v>55</v>
      </c>
      <c r="E198" s="933">
        <v>771</v>
      </c>
      <c r="F198" s="933">
        <f t="shared" si="9"/>
        <v>1207</v>
      </c>
      <c r="G198" s="933">
        <v>300</v>
      </c>
      <c r="H198" s="933">
        <v>907</v>
      </c>
      <c r="I198" s="933">
        <v>264</v>
      </c>
      <c r="P198" s="309">
        <v>1988</v>
      </c>
      <c r="Q198" s="404"/>
      <c r="R198" s="338">
        <f t="shared" si="7"/>
        <v>2021</v>
      </c>
      <c r="S198" s="115">
        <f>+'1.4.2 MSF1'!T78+'1.4.2 MSF1'!BH78+'1.4.2 MSF1'!CO78</f>
        <v>2021</v>
      </c>
      <c r="T198" s="115"/>
      <c r="U198" s="115"/>
      <c r="V198" s="115"/>
      <c r="W198" s="115"/>
      <c r="X198" s="449"/>
      <c r="Y198" s="454"/>
    </row>
    <row r="199" spans="1:25" x14ac:dyDescent="0.45">
      <c r="A199" s="309">
        <v>1989</v>
      </c>
      <c r="B199" s="936">
        <f t="shared" si="8"/>
        <v>4316</v>
      </c>
      <c r="C199" s="933">
        <v>4286</v>
      </c>
      <c r="D199" s="933">
        <v>30</v>
      </c>
      <c r="E199" s="933">
        <v>613</v>
      </c>
      <c r="F199" s="933">
        <f t="shared" si="9"/>
        <v>1054</v>
      </c>
      <c r="G199" s="933">
        <v>239</v>
      </c>
      <c r="H199" s="933">
        <v>815</v>
      </c>
      <c r="I199" s="933">
        <v>119</v>
      </c>
      <c r="P199" s="309">
        <v>1989</v>
      </c>
      <c r="Q199" s="404"/>
      <c r="R199" s="338">
        <f t="shared" si="7"/>
        <v>1740</v>
      </c>
      <c r="S199" s="115">
        <f>+'1.4.2 MSF1'!T79+'1.4.2 MSF1'!BH79+'1.4.2 MSF1'!CO79</f>
        <v>1740</v>
      </c>
      <c r="T199" s="115"/>
      <c r="U199" s="115"/>
      <c r="V199" s="115"/>
      <c r="W199" s="115"/>
      <c r="X199" s="449"/>
      <c r="Y199" s="454"/>
    </row>
    <row r="200" spans="1:25" x14ac:dyDescent="0.45">
      <c r="A200" s="309">
        <v>1990</v>
      </c>
      <c r="B200" s="936">
        <f t="shared" si="8"/>
        <v>3993</v>
      </c>
      <c r="C200" s="933">
        <v>3951</v>
      </c>
      <c r="D200" s="933">
        <v>42</v>
      </c>
      <c r="E200" s="933">
        <v>602</v>
      </c>
      <c r="F200" s="933">
        <f t="shared" si="9"/>
        <v>1016</v>
      </c>
      <c r="G200" s="933">
        <v>254</v>
      </c>
      <c r="H200" s="933">
        <v>762</v>
      </c>
      <c r="I200" s="933">
        <v>127</v>
      </c>
      <c r="P200" s="309">
        <v>1990</v>
      </c>
      <c r="Q200" s="404"/>
      <c r="R200" s="338">
        <f t="shared" si="7"/>
        <v>1718</v>
      </c>
      <c r="S200" s="115">
        <f>+'1.4.2 MSF1'!T80+'1.4.2 MSF1'!BH80+'1.4.2 MSF1'!CO80</f>
        <v>1718</v>
      </c>
      <c r="T200" s="115"/>
      <c r="U200" s="115"/>
      <c r="V200" s="115"/>
      <c r="W200" s="115"/>
      <c r="X200" s="449"/>
      <c r="Y200" s="454"/>
    </row>
    <row r="201" spans="1:25" x14ac:dyDescent="0.45">
      <c r="A201" s="309">
        <v>1991</v>
      </c>
      <c r="B201" s="936">
        <f t="shared" si="8"/>
        <v>3705</v>
      </c>
      <c r="C201" s="933">
        <v>3691</v>
      </c>
      <c r="D201" s="933">
        <v>14</v>
      </c>
      <c r="E201" s="933">
        <v>570</v>
      </c>
      <c r="F201" s="933">
        <f t="shared" si="9"/>
        <v>995</v>
      </c>
      <c r="G201" s="933">
        <v>210</v>
      </c>
      <c r="H201" s="933">
        <v>785</v>
      </c>
      <c r="I201" s="933">
        <v>105</v>
      </c>
      <c r="P201" s="309">
        <v>1991</v>
      </c>
      <c r="Q201" s="404"/>
      <c r="R201" s="338">
        <f t="shared" si="7"/>
        <v>1648</v>
      </c>
      <c r="S201" s="115">
        <f>+'1.4.2 MSF1'!T81+'1.4.2 MSF1'!BH81+'1.4.2 MSF1'!CO81</f>
        <v>1648</v>
      </c>
      <c r="T201" s="115"/>
      <c r="U201" s="115"/>
      <c r="V201" s="115"/>
      <c r="W201" s="115"/>
      <c r="X201" s="449"/>
      <c r="Y201" s="454"/>
    </row>
    <row r="202" spans="1:25" x14ac:dyDescent="0.45">
      <c r="A202" s="309">
        <v>1992</v>
      </c>
      <c r="B202" s="936">
        <f t="shared" si="8"/>
        <v>3615</v>
      </c>
      <c r="C202" s="933">
        <v>3601</v>
      </c>
      <c r="D202" s="933">
        <v>14</v>
      </c>
      <c r="E202" s="933">
        <v>534</v>
      </c>
      <c r="F202" s="933">
        <f t="shared" si="9"/>
        <v>885</v>
      </c>
      <c r="G202" s="933">
        <v>176</v>
      </c>
      <c r="H202" s="933">
        <v>709</v>
      </c>
      <c r="I202" s="933">
        <v>88</v>
      </c>
      <c r="P202" s="309">
        <v>1992</v>
      </c>
      <c r="Q202" s="404"/>
      <c r="R202" s="338">
        <f t="shared" si="7"/>
        <v>1463</v>
      </c>
      <c r="S202" s="115">
        <f>+'1.4.2 MSF1'!T82+'1.4.2 MSF1'!BH82+'1.4.2 MSF1'!CO82</f>
        <v>1463</v>
      </c>
      <c r="T202" s="115"/>
      <c r="U202" s="115"/>
      <c r="V202" s="115"/>
      <c r="W202" s="115"/>
      <c r="X202" s="449"/>
      <c r="Y202" s="454"/>
    </row>
    <row r="203" spans="1:25" x14ac:dyDescent="0.45">
      <c r="A203" s="309">
        <v>1993</v>
      </c>
      <c r="B203" s="936">
        <f t="shared" si="8"/>
        <v>3620</v>
      </c>
      <c r="C203" s="933">
        <v>3613</v>
      </c>
      <c r="D203" s="933">
        <v>7</v>
      </c>
      <c r="E203" s="933">
        <v>560</v>
      </c>
      <c r="F203" s="933">
        <f t="shared" si="9"/>
        <v>898</v>
      </c>
      <c r="G203" s="933">
        <v>147</v>
      </c>
      <c r="H203" s="933">
        <v>751</v>
      </c>
      <c r="I203" s="933">
        <v>74</v>
      </c>
      <c r="P203" s="309">
        <v>1993</v>
      </c>
      <c r="Q203" s="404"/>
      <c r="R203" s="338">
        <f t="shared" si="7"/>
        <v>1456</v>
      </c>
      <c r="S203" s="115">
        <f>+'1.4.2 MSF1'!T83+'1.4.2 MSF1'!BH83+'1.4.2 MSF1'!CO83</f>
        <v>1456</v>
      </c>
      <c r="T203" s="115"/>
      <c r="U203" s="115"/>
      <c r="V203" s="115"/>
      <c r="W203" s="115"/>
      <c r="X203" s="449"/>
      <c r="Y203" s="454"/>
    </row>
    <row r="204" spans="1:25" x14ac:dyDescent="0.45">
      <c r="A204" s="309">
        <v>1994</v>
      </c>
      <c r="B204" s="936">
        <f t="shared" si="8"/>
        <v>4012</v>
      </c>
      <c r="C204" s="933">
        <v>3818</v>
      </c>
      <c r="D204" s="933">
        <v>194</v>
      </c>
      <c r="E204" s="933">
        <v>590</v>
      </c>
      <c r="F204" s="933">
        <f t="shared" si="9"/>
        <v>668</v>
      </c>
      <c r="G204" s="933">
        <v>67</v>
      </c>
      <c r="H204" s="933">
        <v>601</v>
      </c>
      <c r="I204" s="933">
        <v>34</v>
      </c>
      <c r="P204" s="309">
        <v>1994</v>
      </c>
      <c r="Q204" s="404"/>
      <c r="R204" s="338">
        <f t="shared" si="7"/>
        <v>1089</v>
      </c>
      <c r="S204" s="115">
        <f>+'1.4.2 MSF1'!T84+'1.4.2 MSF1'!BH84+'1.4.2 MSF1'!CO84</f>
        <v>1089</v>
      </c>
      <c r="T204" s="115"/>
      <c r="U204" s="115"/>
      <c r="V204" s="115"/>
      <c r="W204" s="115"/>
      <c r="X204" s="449"/>
      <c r="Y204" s="454"/>
    </row>
    <row r="205" spans="1:25" x14ac:dyDescent="0.45">
      <c r="A205" s="309">
        <v>1995</v>
      </c>
      <c r="B205" s="936">
        <f t="shared" si="8"/>
        <v>3934</v>
      </c>
      <c r="C205" s="933">
        <v>3750</v>
      </c>
      <c r="D205" s="933">
        <v>184</v>
      </c>
      <c r="E205" s="933">
        <v>576.49</v>
      </c>
      <c r="F205" s="933">
        <f t="shared" si="9"/>
        <v>548</v>
      </c>
      <c r="G205" s="933">
        <v>78</v>
      </c>
      <c r="H205" s="933">
        <v>470</v>
      </c>
      <c r="I205" s="933">
        <v>39</v>
      </c>
      <c r="P205" s="309">
        <v>1995</v>
      </c>
      <c r="Q205" s="404"/>
      <c r="R205" s="338">
        <f t="shared" si="7"/>
        <v>882</v>
      </c>
      <c r="S205" s="115">
        <f>+'1.4.2 MSF1'!T85+'1.4.2 MSF1'!BH85+'1.4.2 MSF1'!CO85</f>
        <v>882</v>
      </c>
      <c r="T205" s="115"/>
      <c r="U205" s="115"/>
      <c r="V205" s="115"/>
      <c r="W205" s="115"/>
      <c r="X205" s="449"/>
      <c r="Y205" s="454"/>
    </row>
    <row r="206" spans="1:25" x14ac:dyDescent="0.45">
      <c r="A206" s="309">
        <v>1996</v>
      </c>
      <c r="B206" s="936">
        <f t="shared" si="8"/>
        <v>1088.1000955383586</v>
      </c>
      <c r="C206" s="933">
        <v>855.29747778733156</v>
      </c>
      <c r="D206" s="933">
        <v>232.80261775102701</v>
      </c>
      <c r="E206" s="933">
        <v>439.09986000000004</v>
      </c>
      <c r="F206" s="933">
        <f t="shared" si="9"/>
        <v>716.67072704690929</v>
      </c>
      <c r="G206" s="933">
        <v>128.82869972293875</v>
      </c>
      <c r="H206" s="933">
        <v>587.84202732397057</v>
      </c>
      <c r="I206" s="933"/>
      <c r="P206" s="309">
        <v>1996</v>
      </c>
      <c r="Q206" s="404"/>
      <c r="R206" s="338">
        <f t="shared" si="7"/>
        <v>996</v>
      </c>
      <c r="S206" s="115">
        <f>+'1.4.2 MSF1'!T86+'1.4.2 MSF1'!BH86+'1.4.2 MSF1'!CO86</f>
        <v>996</v>
      </c>
      <c r="T206" s="115"/>
      <c r="U206" s="115"/>
      <c r="V206" s="115"/>
      <c r="W206" s="115"/>
      <c r="X206" s="449"/>
      <c r="Y206" s="454"/>
    </row>
    <row r="207" spans="1:25" x14ac:dyDescent="0.45">
      <c r="A207" s="309">
        <v>1997</v>
      </c>
      <c r="B207" s="936">
        <f t="shared" si="8"/>
        <v>1036.1558194411555</v>
      </c>
      <c r="C207" s="933">
        <v>787.26870163370586</v>
      </c>
      <c r="D207" s="933">
        <v>248.88711780744961</v>
      </c>
      <c r="E207" s="933">
        <v>457.17970765262254</v>
      </c>
      <c r="F207" s="933">
        <f t="shared" si="9"/>
        <v>477.65043945352056</v>
      </c>
      <c r="G207" s="933">
        <v>59.076144071844844</v>
      </c>
      <c r="H207" s="933">
        <v>418.57429538167571</v>
      </c>
      <c r="I207" s="933"/>
      <c r="P207" s="309">
        <v>1997</v>
      </c>
      <c r="Q207" s="404"/>
      <c r="R207" s="338">
        <f t="shared" si="7"/>
        <v>661</v>
      </c>
      <c r="S207" s="115">
        <f>+'1.4.2 MSF1'!T87+'1.4.2 MSF1'!BH87+'1.4.2 MSF1'!CO87</f>
        <v>661</v>
      </c>
      <c r="T207" s="115"/>
      <c r="U207" s="115"/>
      <c r="V207" s="115"/>
      <c r="W207" s="115"/>
      <c r="X207" s="449"/>
      <c r="Y207" s="454"/>
    </row>
    <row r="208" spans="1:25" x14ac:dyDescent="0.45">
      <c r="A208" s="309">
        <v>1998</v>
      </c>
      <c r="B208" s="936">
        <f t="shared" si="8"/>
        <v>1046.0114646030381</v>
      </c>
      <c r="C208" s="933">
        <v>803.21486576860605</v>
      </c>
      <c r="D208" s="933">
        <v>242.79659883443207</v>
      </c>
      <c r="E208" s="933">
        <v>384.86672398968182</v>
      </c>
      <c r="F208" s="933">
        <f t="shared" si="9"/>
        <v>524.83610394573418</v>
      </c>
      <c r="G208" s="933">
        <v>85.411292633992545</v>
      </c>
      <c r="H208" s="933">
        <v>439.42481131174162</v>
      </c>
      <c r="I208" s="933"/>
      <c r="P208" s="309">
        <v>1998</v>
      </c>
      <c r="Q208" s="404"/>
      <c r="R208" s="338">
        <f t="shared" si="7"/>
        <v>718</v>
      </c>
      <c r="S208" s="115">
        <f>+'1.4.2 MSF1'!T88+'1.4.2 MSF1'!BH88+'1.4.2 MSF1'!CO88</f>
        <v>718</v>
      </c>
      <c r="T208" s="115"/>
      <c r="U208" s="115"/>
      <c r="V208" s="115"/>
      <c r="W208" s="115"/>
      <c r="X208" s="449"/>
      <c r="Y208" s="454"/>
    </row>
    <row r="209" spans="1:25" x14ac:dyDescent="0.45">
      <c r="A209" s="309">
        <v>1999</v>
      </c>
      <c r="B209" s="936">
        <f t="shared" si="8"/>
        <v>1034.9531384350817</v>
      </c>
      <c r="C209" s="933">
        <v>819.69045571797074</v>
      </c>
      <c r="D209" s="933">
        <v>215.26268271711092</v>
      </c>
      <c r="E209" s="933">
        <v>205.07308684436799</v>
      </c>
      <c r="F209" s="933">
        <f t="shared" si="9"/>
        <v>495.81131174166421</v>
      </c>
      <c r="G209" s="933">
        <v>86.123053405942485</v>
      </c>
      <c r="H209" s="933">
        <v>409.68825833572174</v>
      </c>
      <c r="I209" s="933"/>
      <c r="P209" s="309">
        <v>1999</v>
      </c>
      <c r="Q209" s="404"/>
      <c r="R209" s="338">
        <f t="shared" si="7"/>
        <v>675</v>
      </c>
      <c r="S209" s="115">
        <f>+'1.4.2 MSF1'!T89+'1.4.2 MSF1'!BH89+'1.4.2 MSF1'!CO89</f>
        <v>675</v>
      </c>
      <c r="T209" s="115"/>
      <c r="U209" s="115"/>
      <c r="V209" s="115"/>
      <c r="W209" s="115"/>
      <c r="X209" s="449"/>
      <c r="Y209" s="454"/>
    </row>
    <row r="210" spans="1:25" x14ac:dyDescent="0.45">
      <c r="A210" s="309">
        <v>2000</v>
      </c>
      <c r="B210" s="936">
        <f t="shared" si="8"/>
        <v>978.39280596159358</v>
      </c>
      <c r="C210" s="933">
        <v>753.44893474730111</v>
      </c>
      <c r="D210" s="933">
        <v>224.94387121429247</v>
      </c>
      <c r="E210" s="933">
        <v>216.2510748065348</v>
      </c>
      <c r="F210" s="933">
        <f t="shared" si="9"/>
        <v>459.91774147320143</v>
      </c>
      <c r="G210" s="933">
        <v>94.664182669341741</v>
      </c>
      <c r="H210" s="933">
        <v>365.25355880385968</v>
      </c>
      <c r="I210" s="933"/>
      <c r="P210" s="309">
        <v>2000</v>
      </c>
      <c r="Q210" s="404"/>
      <c r="R210" s="338">
        <f t="shared" si="7"/>
        <v>641</v>
      </c>
      <c r="S210" s="115">
        <f>+'1.4.2 MSF1'!T90+'1.4.2 MSF1'!BH90+'1.4.2 MSF1'!CO90</f>
        <v>641</v>
      </c>
      <c r="T210" s="115"/>
      <c r="U210" s="115"/>
      <c r="V210" s="115"/>
      <c r="W210" s="115"/>
      <c r="X210" s="449"/>
      <c r="Y210" s="454"/>
    </row>
    <row r="211" spans="1:25" x14ac:dyDescent="0.45">
      <c r="A211" s="309">
        <v>2001</v>
      </c>
      <c r="B211" s="936">
        <f t="shared" si="8"/>
        <v>928.88480462405641</v>
      </c>
      <c r="C211" s="933">
        <v>718.59176459348419</v>
      </c>
      <c r="D211" s="933">
        <v>210.29304003057223</v>
      </c>
      <c r="E211" s="933">
        <v>154.25623387790196</v>
      </c>
      <c r="F211" s="933">
        <f t="shared" si="9"/>
        <v>375.95848858316612</v>
      </c>
      <c r="G211" s="933">
        <v>47.687971720645841</v>
      </c>
      <c r="H211" s="933">
        <v>328.27051686252025</v>
      </c>
      <c r="I211" s="933"/>
      <c r="P211" s="309">
        <v>2001</v>
      </c>
      <c r="Q211" s="404"/>
      <c r="R211" s="338">
        <f t="shared" si="7"/>
        <v>513</v>
      </c>
      <c r="S211" s="115">
        <f>+'1.4.2 MSF1'!T91+'1.4.2 MSF1'!BH91+'1.4.2 MSF1'!CO91</f>
        <v>513</v>
      </c>
      <c r="T211" s="115"/>
      <c r="U211" s="115"/>
      <c r="V211" s="115"/>
      <c r="W211" s="115"/>
      <c r="X211" s="449"/>
      <c r="Y211" s="454"/>
    </row>
    <row r="212" spans="1:25" x14ac:dyDescent="0.45">
      <c r="A212" s="309">
        <v>2002</v>
      </c>
      <c r="B212" s="936">
        <f t="shared" si="8"/>
        <v>780.39250710778492</v>
      </c>
      <c r="C212" s="933">
        <v>610.41470062061512</v>
      </c>
      <c r="D212" s="933">
        <v>169.9778064871698</v>
      </c>
      <c r="E212" s="933">
        <v>78.182356285427431</v>
      </c>
      <c r="F212" s="933">
        <f t="shared" si="9"/>
        <v>415.99404369808968</v>
      </c>
      <c r="G212" s="933">
        <v>126.73296761109776</v>
      </c>
      <c r="H212" s="933">
        <v>289.26107608699192</v>
      </c>
      <c r="I212" s="933"/>
      <c r="P212" s="309">
        <v>2002</v>
      </c>
      <c r="Q212" s="404"/>
      <c r="R212" s="338">
        <f t="shared" si="7"/>
        <v>569.63082015620114</v>
      </c>
      <c r="S212" s="115">
        <f>+'1.4.2 MSF1'!T92+'1.4.2 MSF1'!BH92+'1.4.2 MSF1'!CO92</f>
        <v>569.63082015620114</v>
      </c>
      <c r="T212" s="115"/>
      <c r="U212" s="115"/>
      <c r="V212" s="115"/>
      <c r="W212" s="115"/>
      <c r="X212" s="449"/>
      <c r="Y212" s="454"/>
    </row>
    <row r="213" spans="1:25" x14ac:dyDescent="0.45">
      <c r="A213" s="309">
        <v>2003</v>
      </c>
      <c r="B213" s="936">
        <f t="shared" si="8"/>
        <v>754.17171955303093</v>
      </c>
      <c r="C213" s="933">
        <v>588.60115832873737</v>
      </c>
      <c r="D213" s="933">
        <v>165.57056122429356</v>
      </c>
      <c r="E213" s="933">
        <v>53.189439497637615</v>
      </c>
      <c r="F213" s="933">
        <f t="shared" si="9"/>
        <v>346.21414116260803</v>
      </c>
      <c r="G213" s="933">
        <v>91.536998041717396</v>
      </c>
      <c r="H213" s="933">
        <v>254.67714312089063</v>
      </c>
      <c r="I213" s="933"/>
      <c r="P213" s="309">
        <v>2003</v>
      </c>
      <c r="Q213" s="404"/>
      <c r="R213" s="338">
        <f t="shared" si="7"/>
        <v>470</v>
      </c>
      <c r="S213" s="115">
        <f>+'1.4.2 MSF1'!T93+'1.4.2 MSF1'!BH93+'1.4.2 MSF1'!CO93</f>
        <v>470</v>
      </c>
      <c r="T213" s="115"/>
      <c r="U213" s="115"/>
      <c r="V213" s="115"/>
      <c r="W213" s="115"/>
      <c r="X213" s="449"/>
      <c r="Y213" s="454"/>
    </row>
    <row r="214" spans="1:25" x14ac:dyDescent="0.45">
      <c r="A214" s="309">
        <v>2004</v>
      </c>
      <c r="B214" s="936">
        <f t="shared" si="8"/>
        <v>739.3708966462749</v>
      </c>
      <c r="C214" s="933">
        <v>559.20629439932907</v>
      </c>
      <c r="D214" s="933">
        <v>180.16460224694583</v>
      </c>
      <c r="E214" s="933">
        <v>67.499392691315592</v>
      </c>
      <c r="F214" s="933">
        <f t="shared" si="9"/>
        <v>266.50563777087189</v>
      </c>
      <c r="G214" s="933">
        <v>36.144880764629967</v>
      </c>
      <c r="H214" s="933">
        <v>230.36075700624193</v>
      </c>
      <c r="I214" s="933"/>
      <c r="P214" s="309">
        <v>2004</v>
      </c>
      <c r="Q214" s="404"/>
      <c r="R214" s="338">
        <f t="shared" si="7"/>
        <v>354</v>
      </c>
      <c r="S214" s="115">
        <f>+'1.4.2 MSF1'!T94+'1.4.2 MSF1'!BH94+'1.4.2 MSF1'!CO94</f>
        <v>354</v>
      </c>
      <c r="T214" s="115"/>
      <c r="U214" s="115"/>
      <c r="V214" s="115"/>
      <c r="W214" s="115"/>
      <c r="X214" s="449"/>
      <c r="Y214" s="454"/>
    </row>
    <row r="215" spans="1:25" x14ac:dyDescent="0.45">
      <c r="A215" s="309">
        <v>2005</v>
      </c>
      <c r="B215" s="936">
        <f t="shared" si="8"/>
        <v>705.43169095235021</v>
      </c>
      <c r="C215" s="933">
        <v>534.73643589228084</v>
      </c>
      <c r="D215" s="933">
        <v>170.69525506006937</v>
      </c>
      <c r="E215" s="933">
        <v>78.515824180567449</v>
      </c>
      <c r="F215" s="933">
        <f t="shared" si="9"/>
        <v>223.46497686388119</v>
      </c>
      <c r="G215" s="933">
        <v>24.483345324877696</v>
      </c>
      <c r="H215" s="933">
        <v>198.9816315390035</v>
      </c>
      <c r="I215" s="933"/>
      <c r="P215" s="309">
        <v>2005</v>
      </c>
      <c r="Q215" s="404"/>
      <c r="R215" s="338">
        <f t="shared" si="7"/>
        <v>290.40923559268384</v>
      </c>
      <c r="S215" s="115">
        <f>+'1.4.2 MSF1'!T95+'1.4.2 MSF1'!BH95+'1.4.2 MSF1'!CO95</f>
        <v>290.40923559268384</v>
      </c>
      <c r="T215" s="115"/>
      <c r="U215" s="115"/>
      <c r="V215" s="115"/>
      <c r="W215" s="115"/>
      <c r="X215" s="449"/>
      <c r="Y215" s="454"/>
    </row>
    <row r="216" spans="1:25" x14ac:dyDescent="0.45">
      <c r="A216" s="309">
        <v>2006</v>
      </c>
      <c r="B216" s="936">
        <f t="shared" si="8"/>
        <v>665.40904418069977</v>
      </c>
      <c r="C216" s="933">
        <v>487.61874462715599</v>
      </c>
      <c r="D216" s="933">
        <v>177.79029955354378</v>
      </c>
      <c r="E216" s="933">
        <v>106.23725760963013</v>
      </c>
      <c r="F216" s="933">
        <f t="shared" si="9"/>
        <v>215.75994705205565</v>
      </c>
      <c r="G216" s="933">
        <v>15.896465078352609</v>
      </c>
      <c r="H216" s="933">
        <v>199.86348197370305</v>
      </c>
      <c r="I216" s="933"/>
      <c r="P216" s="309">
        <v>2006</v>
      </c>
      <c r="Q216" s="404"/>
      <c r="R216" s="338">
        <f t="shared" si="7"/>
        <v>279.35047699665995</v>
      </c>
      <c r="S216" s="115">
        <f>+'1.4.2 MSF1'!T96+'1.4.2 MSF1'!BH96+'1.4.2 MSF1'!CO96</f>
        <v>279.35047699665995</v>
      </c>
      <c r="T216" s="115"/>
      <c r="U216" s="115"/>
      <c r="V216" s="115"/>
      <c r="W216" s="115"/>
      <c r="X216" s="449"/>
      <c r="Y216" s="454"/>
    </row>
    <row r="217" spans="1:25" x14ac:dyDescent="0.45">
      <c r="A217" s="359">
        <v>2007</v>
      </c>
      <c r="B217" s="936">
        <f t="shared" si="8"/>
        <v>690.07982412553224</v>
      </c>
      <c r="C217" s="933">
        <v>513.05061144173726</v>
      </c>
      <c r="D217" s="933">
        <v>177.02921268379498</v>
      </c>
      <c r="E217" s="933">
        <v>101.27890689595874</v>
      </c>
      <c r="F217" s="933">
        <f t="shared" si="9"/>
        <v>193.02716558069034</v>
      </c>
      <c r="G217" s="933">
        <v>10.585306204197554</v>
      </c>
      <c r="H217" s="933">
        <v>182.44185937649277</v>
      </c>
      <c r="I217" s="933"/>
      <c r="P217" s="359">
        <v>2007</v>
      </c>
      <c r="Q217" s="404"/>
      <c r="R217" s="338">
        <f t="shared" si="7"/>
        <v>249.47478500527995</v>
      </c>
      <c r="S217" s="115">
        <f>+'1.4.2 MSF1'!T97+'1.4.2 MSF1'!BH97+'1.4.2 MSF1'!CO97</f>
        <v>249.47478500527995</v>
      </c>
      <c r="T217" s="115"/>
      <c r="U217" s="115"/>
      <c r="V217" s="115"/>
      <c r="W217" s="115"/>
      <c r="X217" s="449"/>
      <c r="Y217" s="454"/>
    </row>
    <row r="218" spans="1:25" x14ac:dyDescent="0.45">
      <c r="A218" s="361">
        <v>2008</v>
      </c>
      <c r="B218" s="936">
        <f t="shared" si="8"/>
        <v>616.68896817758764</v>
      </c>
      <c r="C218" s="933">
        <v>442.77044205891667</v>
      </c>
      <c r="D218" s="933">
        <v>173.91852611867097</v>
      </c>
      <c r="E218" s="933">
        <v>92.10906796128927</v>
      </c>
      <c r="F218" s="933">
        <f t="shared" si="9"/>
        <v>237.95887073090898</v>
      </c>
      <c r="G218" s="933">
        <v>8.7949602365321216</v>
      </c>
      <c r="H218" s="933">
        <v>229.16391049437686</v>
      </c>
      <c r="I218" s="933"/>
      <c r="P218" s="361">
        <v>2008</v>
      </c>
      <c r="Q218" s="404"/>
      <c r="R218" s="338">
        <f t="shared" si="7"/>
        <v>306.66469885657665</v>
      </c>
      <c r="S218" s="115">
        <f>+'1.4.2 MSF1'!T98+'1.4.2 MSF1'!BH98+'1.4.2 MSF1'!CO98</f>
        <v>306.66469885657665</v>
      </c>
      <c r="T218" s="115"/>
      <c r="U218" s="115"/>
      <c r="V218" s="115"/>
      <c r="W218" s="115"/>
      <c r="X218" s="449"/>
      <c r="Y218" s="454"/>
    </row>
    <row r="219" spans="1:25" x14ac:dyDescent="0.45">
      <c r="A219" s="361">
        <v>2009</v>
      </c>
      <c r="B219" s="936">
        <f t="shared" si="8"/>
        <v>407.01188236227983</v>
      </c>
      <c r="C219" s="933">
        <v>387.27133398845348</v>
      </c>
      <c r="D219" s="933">
        <v>19.740548373826357</v>
      </c>
      <c r="E219" s="933">
        <v>48.512382649096985</v>
      </c>
      <c r="F219" s="933">
        <f t="shared" si="9"/>
        <v>199.11039195703503</v>
      </c>
      <c r="G219" s="933">
        <v>7.3311359510843559</v>
      </c>
      <c r="H219" s="933">
        <v>191.77925600595069</v>
      </c>
      <c r="I219" s="933"/>
      <c r="P219" s="361">
        <v>2009</v>
      </c>
      <c r="Q219" s="404"/>
      <c r="R219" s="338">
        <f t="shared" si="7"/>
        <v>279.74341914285714</v>
      </c>
      <c r="S219" s="115">
        <f>+'1.4.2 MSF1'!T99+'1.4.2 MSF1'!BH99+'1.4.2 MSF1'!CO99</f>
        <v>279.74341914285714</v>
      </c>
      <c r="T219" s="115"/>
      <c r="U219" s="115"/>
      <c r="V219" s="115"/>
      <c r="W219" s="115"/>
      <c r="X219" s="449"/>
      <c r="Y219" s="454"/>
    </row>
    <row r="220" spans="1:25" x14ac:dyDescent="0.45">
      <c r="A220" s="361">
        <v>2010</v>
      </c>
      <c r="B220" s="936">
        <f t="shared" si="8"/>
        <v>355.8144633415709</v>
      </c>
      <c r="C220" s="933">
        <v>338.78946430277466</v>
      </c>
      <c r="D220" s="933">
        <v>17.024999038796238</v>
      </c>
      <c r="E220" s="933">
        <v>96.584462930622237</v>
      </c>
      <c r="F220" s="933">
        <f t="shared" si="9"/>
        <v>228.59290242189738</v>
      </c>
      <c r="G220" s="933">
        <v>7.3311359510843621</v>
      </c>
      <c r="H220" s="933">
        <v>221.26176647081303</v>
      </c>
      <c r="I220" s="933"/>
      <c r="P220" s="361">
        <v>2010</v>
      </c>
      <c r="Q220" s="404"/>
      <c r="R220" s="338">
        <f t="shared" si="7"/>
        <v>321.16535700000003</v>
      </c>
      <c r="S220" s="115">
        <f>+'1.4.2 MSF1'!T100+'1.4.2 MSF1'!BH100+'1.4.2 MSF1'!CO100</f>
        <v>321.16535700000003</v>
      </c>
      <c r="T220" s="115"/>
      <c r="U220" s="115"/>
      <c r="V220" s="115"/>
      <c r="W220" s="115"/>
      <c r="X220" s="449"/>
      <c r="Y220" s="454"/>
    </row>
    <row r="221" spans="1:25" x14ac:dyDescent="0.45">
      <c r="A221" s="361">
        <v>2011</v>
      </c>
      <c r="B221" s="936">
        <f t="shared" si="8"/>
        <v>323.45071502241939</v>
      </c>
      <c r="C221" s="933">
        <v>306.27659828849852</v>
      </c>
      <c r="D221" s="933">
        <v>17.174116733920869</v>
      </c>
      <c r="E221" s="933">
        <v>59.455101929533114</v>
      </c>
      <c r="F221" s="933">
        <f t="shared" si="9"/>
        <v>198.03650286137386</v>
      </c>
      <c r="G221" s="933">
        <v>6.1923187159644595</v>
      </c>
      <c r="H221" s="933">
        <v>191.8441841454094</v>
      </c>
      <c r="I221" s="933"/>
      <c r="P221" s="361">
        <v>2011</v>
      </c>
      <c r="Q221" s="404"/>
      <c r="R221" s="338">
        <f t="shared" si="7"/>
        <v>278.23464100000001</v>
      </c>
      <c r="S221" s="115">
        <f>+'1.4.2 MSF1'!T101+'1.4.2 MSF1'!BH101+'1.4.2 MSF1'!CO101</f>
        <v>278.23464100000001</v>
      </c>
      <c r="T221" s="115"/>
      <c r="U221" s="115"/>
      <c r="V221" s="115"/>
      <c r="W221" s="115"/>
      <c r="X221" s="449"/>
      <c r="Y221" s="454"/>
    </row>
    <row r="222" spans="1:25" x14ac:dyDescent="0.45">
      <c r="A222" s="361">
        <v>2012</v>
      </c>
      <c r="B222" s="936">
        <f t="shared" si="8"/>
        <v>392.18509923598333</v>
      </c>
      <c r="C222" s="933">
        <v>375.18478196781723</v>
      </c>
      <c r="D222" s="933">
        <v>17.0003172681661</v>
      </c>
      <c r="E222" s="933">
        <v>43.304894249300148</v>
      </c>
      <c r="F222" s="933">
        <f t="shared" si="9"/>
        <v>184.79143989681856</v>
      </c>
      <c r="G222" s="933">
        <v>4.9823254036495657</v>
      </c>
      <c r="H222" s="933">
        <v>179.80911449316901</v>
      </c>
      <c r="I222" s="933"/>
      <c r="P222" s="361">
        <v>2012</v>
      </c>
      <c r="Q222" s="404"/>
      <c r="R222" s="338">
        <f t="shared" si="7"/>
        <v>259.62577199999998</v>
      </c>
      <c r="S222" s="115">
        <f>+'1.4.2 MSF1'!T102+'1.4.2 MSF1'!BH102+'1.4.2 MSF1'!CO102</f>
        <v>259.62577199999998</v>
      </c>
      <c r="T222" s="115"/>
      <c r="U222" s="115"/>
      <c r="V222" s="115"/>
      <c r="W222" s="115"/>
      <c r="X222" s="449"/>
      <c r="Y222" s="454"/>
    </row>
    <row r="223" spans="1:25" x14ac:dyDescent="0.45">
      <c r="A223" s="361">
        <v>2013</v>
      </c>
      <c r="B223" s="936">
        <f t="shared" si="8"/>
        <v>519.39734955061215</v>
      </c>
      <c r="C223" s="933">
        <v>504.45991838237569</v>
      </c>
      <c r="D223" s="933">
        <v>14.937431168236458</v>
      </c>
      <c r="E223" s="933">
        <v>61.573721069315447</v>
      </c>
      <c r="F223" s="933">
        <f t="shared" si="9"/>
        <v>220.53437148409938</v>
      </c>
      <c r="G223" s="933">
        <v>4.0570364001146713</v>
      </c>
      <c r="H223" s="933">
        <v>216.47733508398471</v>
      </c>
      <c r="I223" s="933"/>
      <c r="P223" s="361">
        <v>2013</v>
      </c>
      <c r="Q223" s="404"/>
      <c r="R223" s="338">
        <f t="shared" si="7"/>
        <v>309.84339145289505</v>
      </c>
      <c r="S223" s="115">
        <f>+'1.4.2 MSF1'!T103+'1.4.2 MSF1'!BH103+'1.4.2 MSF1'!CO103</f>
        <v>309.84339145289505</v>
      </c>
      <c r="T223" s="115"/>
      <c r="U223" s="115"/>
      <c r="V223" s="115"/>
      <c r="W223" s="115"/>
      <c r="X223" s="449"/>
      <c r="Y223" s="454"/>
    </row>
    <row r="224" spans="1:25" x14ac:dyDescent="0.45">
      <c r="A224" s="361">
        <v>2014</v>
      </c>
      <c r="B224" s="936">
        <f t="shared" si="8"/>
        <v>496.85577225642703</v>
      </c>
      <c r="C224" s="933">
        <v>482.70751272707417</v>
      </c>
      <c r="D224" s="933">
        <v>14.148259529352856</v>
      </c>
      <c r="E224" s="933">
        <v>54.981080839993382</v>
      </c>
      <c r="F224" s="933">
        <f t="shared" si="9"/>
        <v>181.94710221171306</v>
      </c>
      <c r="G224" s="933">
        <v>4.1282124773096465</v>
      </c>
      <c r="H224" s="933">
        <v>177.8188897344034</v>
      </c>
      <c r="I224" s="933"/>
      <c r="P224" s="361">
        <v>2014</v>
      </c>
      <c r="Q224" s="404"/>
      <c r="R224" s="338">
        <f t="shared" si="7"/>
        <v>255.62957300000005</v>
      </c>
      <c r="S224" s="115">
        <f>+'1.4.2 MSF1'!T104+'1.4.2 MSF1'!BH104+'1.4.2 MSF1'!CO104</f>
        <v>255.62957300000005</v>
      </c>
      <c r="T224" s="115"/>
      <c r="U224" s="115"/>
      <c r="V224" s="115"/>
      <c r="W224" s="115"/>
      <c r="X224" s="449"/>
      <c r="Y224" s="454"/>
    </row>
    <row r="225" spans="1:25" x14ac:dyDescent="0.45">
      <c r="A225" s="361">
        <v>2015</v>
      </c>
      <c r="B225" s="936">
        <f t="shared" si="8"/>
        <v>395.45200726091537</v>
      </c>
      <c r="C225" s="933">
        <v>395.45200726091537</v>
      </c>
      <c r="D225" s="933"/>
      <c r="E225" s="933">
        <v>88.253494523885905</v>
      </c>
      <c r="F225" s="933">
        <f t="shared" si="9"/>
        <v>166.96478707843696</v>
      </c>
      <c r="G225" s="933">
        <v>1.8505780070698052</v>
      </c>
      <c r="H225" s="933">
        <v>165.11420907136716</v>
      </c>
      <c r="I225" s="933"/>
      <c r="P225" s="361">
        <v>2015</v>
      </c>
      <c r="Q225" s="404"/>
      <c r="R225" s="338">
        <f t="shared" si="7"/>
        <v>234.57992299999995</v>
      </c>
      <c r="S225" s="115">
        <f>+'1.4.2 MSF1'!T105+'1.4.2 MSF1'!BH105+'1.4.2 MSF1'!CO105</f>
        <v>234.57992299999995</v>
      </c>
      <c r="T225" s="115"/>
      <c r="U225" s="115"/>
      <c r="V225" s="115"/>
      <c r="W225" s="115"/>
      <c r="X225" s="449"/>
      <c r="Y225" s="454"/>
    </row>
    <row r="226" spans="1:25" x14ac:dyDescent="0.45">
      <c r="A226" s="361">
        <v>2016</v>
      </c>
      <c r="B226" s="936">
        <f t="shared" si="8"/>
        <v>224.84028620562586</v>
      </c>
      <c r="C226" s="933">
        <v>224.84028620562586</v>
      </c>
      <c r="D226" s="933"/>
      <c r="E226" s="933">
        <v>66.604270696701406</v>
      </c>
      <c r="F226" s="933">
        <f t="shared" si="9"/>
        <v>167.62247253749882</v>
      </c>
      <c r="G226" s="933"/>
      <c r="H226" s="933">
        <v>167.62247253749882</v>
      </c>
      <c r="I226" s="933"/>
      <c r="P226" s="361">
        <v>2016</v>
      </c>
      <c r="Q226" s="404"/>
      <c r="R226" s="338">
        <f t="shared" si="7"/>
        <v>235.50394899999998</v>
      </c>
      <c r="S226" s="115">
        <f>+'1.4.2 MSF1'!T106+'1.4.2 MSF1'!BH106+'1.4.2 MSF1'!CO106</f>
        <v>235.50394899999998</v>
      </c>
      <c r="T226" s="115"/>
      <c r="U226" s="115"/>
      <c r="V226" s="115"/>
      <c r="W226" s="115"/>
      <c r="X226" s="449"/>
      <c r="Y226" s="454"/>
    </row>
    <row r="227" spans="1:25" x14ac:dyDescent="0.45">
      <c r="A227" s="361">
        <v>2017</v>
      </c>
      <c r="B227" s="936">
        <f t="shared" si="8"/>
        <v>210.33379840041491</v>
      </c>
      <c r="C227" s="933">
        <v>210.33379840041491</v>
      </c>
      <c r="D227" s="933"/>
      <c r="E227" s="933">
        <v>65.006328279325174</v>
      </c>
      <c r="F227" s="933">
        <f t="shared" si="9"/>
        <v>172.40530705550782</v>
      </c>
      <c r="G227" s="933"/>
      <c r="H227" s="933">
        <v>172.40530705550782</v>
      </c>
      <c r="I227" s="933"/>
      <c r="P227" s="361">
        <v>2017</v>
      </c>
      <c r="Q227" s="404"/>
      <c r="R227" s="338">
        <f t="shared" si="7"/>
        <v>242.22367100000002</v>
      </c>
      <c r="S227" s="928">
        <f>'1.4.2 MSF1'!CO107</f>
        <v>242.22367100000002</v>
      </c>
      <c r="T227" s="115"/>
      <c r="U227" s="115"/>
      <c r="V227" s="115"/>
      <c r="W227" s="115"/>
      <c r="X227" s="449"/>
      <c r="Y227" s="454"/>
    </row>
    <row r="228" spans="1:25" ht="14.65" thickBot="1" x14ac:dyDescent="0.5">
      <c r="A228" s="367">
        <v>2018</v>
      </c>
      <c r="B228" s="936">
        <f t="shared" si="8"/>
        <v>192.92275723703065</v>
      </c>
      <c r="C228" s="933">
        <v>192.92275723703065</v>
      </c>
      <c r="D228" s="933"/>
      <c r="E228" s="933">
        <v>63.486588647338984</v>
      </c>
      <c r="F228" s="933">
        <f t="shared" si="9"/>
        <v>170.86665251265882</v>
      </c>
      <c r="G228" s="933"/>
      <c r="H228" s="933">
        <v>170.86665251265882</v>
      </c>
      <c r="I228" s="933"/>
      <c r="P228" s="367">
        <v>2018</v>
      </c>
      <c r="Q228" s="404"/>
      <c r="R228" s="338">
        <f t="shared" si="7"/>
        <v>240.06191299999995</v>
      </c>
      <c r="S228" s="928">
        <f>'1.4.2 MSF1'!CO108</f>
        <v>240.06191299999995</v>
      </c>
      <c r="T228" s="115"/>
      <c r="U228" s="115"/>
      <c r="V228" s="115"/>
      <c r="W228" s="115"/>
      <c r="X228" s="449"/>
      <c r="Y228" s="454"/>
    </row>
    <row r="229" spans="1:25" x14ac:dyDescent="0.45">
      <c r="P229" s="359"/>
      <c r="Q229" s="257"/>
      <c r="R229" s="115"/>
      <c r="S229" s="115"/>
      <c r="T229" s="115"/>
      <c r="U229" s="115"/>
      <c r="V229" s="115"/>
      <c r="W229" s="115"/>
      <c r="X229" s="115"/>
      <c r="Y229" s="257"/>
    </row>
    <row r="230" spans="1:25" x14ac:dyDescent="0.45">
      <c r="P230" s="381"/>
      <c r="Q230" s="257"/>
      <c r="R230" s="115"/>
      <c r="S230" s="115"/>
      <c r="T230" s="115"/>
      <c r="U230" s="115"/>
      <c r="V230" s="115"/>
      <c r="W230" s="115"/>
      <c r="X230" s="115"/>
      <c r="Y230" s="257"/>
    </row>
    <row r="231" spans="1:25" x14ac:dyDescent="0.45">
      <c r="P231" s="383"/>
      <c r="Q231" s="257"/>
      <c r="R231" s="115"/>
      <c r="S231" s="115"/>
      <c r="T231" s="115"/>
      <c r="U231" s="115"/>
      <c r="V231" s="115"/>
      <c r="W231" s="115"/>
      <c r="X231" s="115"/>
      <c r="Y231" s="257"/>
    </row>
    <row r="232" spans="1:25" x14ac:dyDescent="0.45">
      <c r="A232" s="383"/>
    </row>
    <row r="233" spans="1:25" x14ac:dyDescent="0.45">
      <c r="A233" s="383"/>
    </row>
    <row r="234" spans="1:25" x14ac:dyDescent="0.45">
      <c r="A234" s="383"/>
    </row>
    <row r="235" spans="1:25" x14ac:dyDescent="0.45">
      <c r="A235" s="383"/>
    </row>
    <row r="236" spans="1:25" x14ac:dyDescent="0.45">
      <c r="A236" s="383"/>
    </row>
    <row r="237" spans="1:25" x14ac:dyDescent="0.45">
      <c r="A237" s="383"/>
    </row>
    <row r="238" spans="1:25" x14ac:dyDescent="0.45">
      <c r="A238" s="383"/>
    </row>
    <row r="239" spans="1:25" x14ac:dyDescent="0.45">
      <c r="A239" s="381"/>
    </row>
    <row r="240" spans="1:25" x14ac:dyDescent="0.45">
      <c r="A240" s="381"/>
    </row>
    <row r="241" spans="1:1" x14ac:dyDescent="0.45">
      <c r="A241" s="381"/>
    </row>
    <row r="242" spans="1:1" x14ac:dyDescent="0.45">
      <c r="A242" s="381"/>
    </row>
    <row r="243" spans="1:1" x14ac:dyDescent="0.45">
      <c r="A243" s="381"/>
    </row>
    <row r="244" spans="1:1" x14ac:dyDescent="0.45">
      <c r="A244" s="381"/>
    </row>
    <row r="245" spans="1:1" x14ac:dyDescent="0.45">
      <c r="A245" s="381"/>
    </row>
    <row r="246" spans="1:1" x14ac:dyDescent="0.45">
      <c r="A246" s="383"/>
    </row>
    <row r="247" spans="1:1" x14ac:dyDescent="0.45">
      <c r="A247" s="383"/>
    </row>
    <row r="248" spans="1:1" x14ac:dyDescent="0.45">
      <c r="A248" s="383"/>
    </row>
    <row r="249" spans="1:1" x14ac:dyDescent="0.45">
      <c r="A249" s="383"/>
    </row>
    <row r="250" spans="1:1" x14ac:dyDescent="0.45">
      <c r="A250" s="381"/>
    </row>
    <row r="251" spans="1:1" x14ac:dyDescent="0.45">
      <c r="A251" s="381"/>
    </row>
    <row r="252" spans="1:1" x14ac:dyDescent="0.45">
      <c r="A252" s="381"/>
    </row>
    <row r="253" spans="1:1" x14ac:dyDescent="0.45">
      <c r="A253" s="381"/>
    </row>
    <row r="254" spans="1:1" x14ac:dyDescent="0.45">
      <c r="A254" s="381"/>
    </row>
    <row r="255" spans="1:1" x14ac:dyDescent="0.45">
      <c r="A255" s="381"/>
    </row>
    <row r="256" spans="1:1" x14ac:dyDescent="0.45">
      <c r="A256" s="381"/>
    </row>
    <row r="257" spans="1:1" x14ac:dyDescent="0.45">
      <c r="A257" s="381"/>
    </row>
    <row r="258" spans="1:1" x14ac:dyDescent="0.45">
      <c r="A258" s="381"/>
    </row>
    <row r="259" spans="1:1" x14ac:dyDescent="0.45">
      <c r="A259" s="381"/>
    </row>
    <row r="260" spans="1:1" x14ac:dyDescent="0.45">
      <c r="A260" s="381"/>
    </row>
    <row r="261" spans="1:1" x14ac:dyDescent="0.45">
      <c r="A261" s="381"/>
    </row>
    <row r="262" spans="1:1" ht="15.4" x14ac:dyDescent="0.45">
      <c r="A262" s="387"/>
    </row>
    <row r="263" spans="1:1" ht="15.4" x14ac:dyDescent="0.45">
      <c r="A263" s="387"/>
    </row>
    <row r="264" spans="1:1" ht="15.4" x14ac:dyDescent="0.45">
      <c r="A264" s="387"/>
    </row>
    <row r="265" spans="1:1" x14ac:dyDescent="0.45">
      <c r="A265" s="257"/>
    </row>
    <row r="266" spans="1:1" x14ac:dyDescent="0.45">
      <c r="A266" s="257"/>
    </row>
    <row r="267" spans="1:1" x14ac:dyDescent="0.45">
      <c r="A267" s="257"/>
    </row>
    <row r="268" spans="1:1" x14ac:dyDescent="0.45">
      <c r="A268" s="257"/>
    </row>
    <row r="269" spans="1:1" x14ac:dyDescent="0.45">
      <c r="A269" s="257"/>
    </row>
    <row r="270" spans="1:1" x14ac:dyDescent="0.45">
      <c r="A270" s="257"/>
    </row>
    <row r="271" spans="1:1" x14ac:dyDescent="0.45">
      <c r="A271" s="257"/>
    </row>
    <row r="272" spans="1:1" x14ac:dyDescent="0.45">
      <c r="A272" s="257"/>
    </row>
    <row r="273" spans="1:1" x14ac:dyDescent="0.45">
      <c r="A273" s="257"/>
    </row>
    <row r="274" spans="1:1" x14ac:dyDescent="0.45">
      <c r="A274" s="257"/>
    </row>
    <row r="275" spans="1:1" x14ac:dyDescent="0.45">
      <c r="A275" s="257"/>
    </row>
    <row r="276" spans="1:1" x14ac:dyDescent="0.45">
      <c r="A276" s="257"/>
    </row>
    <row r="277" spans="1:1" x14ac:dyDescent="0.45">
      <c r="A277" s="257"/>
    </row>
    <row r="278" spans="1:1" x14ac:dyDescent="0.45">
      <c r="A278" s="257"/>
    </row>
    <row r="279" spans="1:1" x14ac:dyDescent="0.45">
      <c r="A279" s="257"/>
    </row>
    <row r="280" spans="1:1" x14ac:dyDescent="0.45">
      <c r="A280" s="257"/>
    </row>
  </sheetData>
  <mergeCells count="2">
    <mergeCell ref="Q5:Y5"/>
    <mergeCell ref="R6:X6"/>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R466"/>
  <sheetViews>
    <sheetView zoomScaleNormal="100" workbookViewId="0">
      <pane xSplit="1" ySplit="7" topLeftCell="B99" activePane="bottomRight" state="frozen"/>
      <selection pane="topRight" activeCell="B1" sqref="B1"/>
      <selection pane="bottomLeft" activeCell="A8" sqref="A8"/>
      <selection pane="bottomRight" activeCell="A99" sqref="A99"/>
    </sheetView>
  </sheetViews>
  <sheetFormatPr defaultColWidth="9.19921875" defaultRowHeight="14.25" x14ac:dyDescent="0.45"/>
  <cols>
    <col min="1" max="1" width="18.73046875" style="257" customWidth="1"/>
    <col min="2" max="2" width="12.53125" style="257" bestFit="1" customWidth="1"/>
    <col min="3" max="3" width="9.19921875" style="257" bestFit="1" customWidth="1"/>
    <col min="4" max="4" width="9" style="257" bestFit="1" customWidth="1"/>
    <col min="5" max="5" width="9" style="257" customWidth="1"/>
    <col min="6" max="6" width="15.46484375" style="257" bestFit="1" customWidth="1"/>
    <col min="7" max="7" width="9.19921875" style="257"/>
    <col min="8" max="8" width="19.265625" style="257" customWidth="1"/>
    <col min="9" max="9" width="15.19921875" style="258" hidden="1" customWidth="1"/>
    <col min="10" max="10" width="15.46484375" style="257" customWidth="1"/>
    <col min="11" max="11" width="6.796875" style="257" customWidth="1"/>
    <col min="12" max="12" width="19.46484375" style="257" bestFit="1" customWidth="1"/>
    <col min="13" max="13" width="16.73046875" style="257" customWidth="1"/>
    <col min="14" max="14" width="16.19921875" style="257" customWidth="1"/>
    <col min="15" max="15" width="21.265625" style="257" bestFit="1" customWidth="1"/>
    <col min="16" max="16" width="14.265625" style="257" bestFit="1" customWidth="1"/>
    <col min="17" max="17" width="15.53125" style="257" bestFit="1" customWidth="1"/>
    <col min="18" max="18" width="12.796875" style="257" customWidth="1"/>
    <col min="19" max="19" width="13.53125" style="257" customWidth="1"/>
    <col min="20" max="21" width="9.19921875" style="258"/>
    <col min="22" max="22" width="16.19921875" style="258" bestFit="1" customWidth="1"/>
    <col min="23" max="23" width="9.19921875" style="258"/>
    <col min="24" max="24" width="3.73046875" style="257" customWidth="1"/>
    <col min="25" max="25" width="16.19921875" style="257" bestFit="1" customWidth="1"/>
    <col min="26" max="16384" width="9.19921875" style="259"/>
  </cols>
  <sheetData>
    <row r="1" spans="1:96" ht="20.25" customHeight="1" x14ac:dyDescent="0.5">
      <c r="A1" s="1093" t="s">
        <v>2488</v>
      </c>
      <c r="B1" s="258"/>
      <c r="AA1" s="257"/>
      <c r="AB1" s="258"/>
      <c r="AC1" s="258" t="s">
        <v>1194</v>
      </c>
      <c r="AD1" s="257"/>
      <c r="AE1" s="257"/>
      <c r="AF1" s="257"/>
      <c r="AG1" s="257"/>
      <c r="AH1" s="257"/>
      <c r="AI1" s="257"/>
      <c r="AJ1" s="258"/>
      <c r="AK1" s="257"/>
      <c r="AL1" s="257"/>
      <c r="AM1" s="257"/>
      <c r="AN1" s="257"/>
      <c r="AO1" s="257"/>
      <c r="AP1" s="257"/>
      <c r="AQ1" s="257"/>
      <c r="AR1" s="257"/>
      <c r="AS1" s="257"/>
      <c r="AT1" s="257"/>
      <c r="AU1" s="257"/>
      <c r="AV1" s="258"/>
      <c r="AW1" s="258"/>
      <c r="AX1" s="258"/>
      <c r="AY1" s="258"/>
      <c r="AZ1" s="257"/>
      <c r="BA1" s="257"/>
      <c r="BB1" s="258"/>
      <c r="BC1" s="257"/>
      <c r="BD1" s="258" t="s">
        <v>1195</v>
      </c>
      <c r="BE1" s="258"/>
      <c r="BF1" s="257"/>
      <c r="BG1" s="264"/>
      <c r="BH1" s="257"/>
      <c r="BI1" s="257"/>
      <c r="BJ1" s="257"/>
      <c r="BK1" s="257"/>
      <c r="BL1" s="257"/>
      <c r="BM1"/>
      <c r="BN1" s="257"/>
      <c r="BO1" s="257"/>
      <c r="BP1" s="257"/>
      <c r="CA1" s="257"/>
      <c r="CB1" s="258"/>
      <c r="CC1" s="258" t="s">
        <v>953</v>
      </c>
      <c r="CD1" s="257"/>
      <c r="CE1" s="257"/>
      <c r="CF1" s="257"/>
      <c r="CG1" s="257"/>
      <c r="CH1" s="258"/>
      <c r="CI1" s="257"/>
      <c r="CJ1" s="257"/>
      <c r="CK1" s="257"/>
      <c r="CL1" s="257"/>
      <c r="CM1" s="257"/>
      <c r="CN1" s="257"/>
      <c r="CO1" s="258"/>
      <c r="CP1" s="258"/>
      <c r="CQ1" s="258"/>
      <c r="CR1" s="257"/>
    </row>
    <row r="2" spans="1:96" ht="20.25" customHeight="1" x14ac:dyDescent="0.7">
      <c r="A2" s="260"/>
      <c r="B2" s="1136" t="s">
        <v>992</v>
      </c>
      <c r="C2" s="1136" t="s">
        <v>2356</v>
      </c>
      <c r="D2" s="1182"/>
      <c r="E2" s="1182"/>
      <c r="F2" s="1182"/>
      <c r="G2" s="1182"/>
      <c r="H2" s="1182"/>
      <c r="I2" s="1183">
        <f>15440*1.016</f>
        <v>15687.04</v>
      </c>
      <c r="J2" s="1182"/>
      <c r="K2" s="1184"/>
      <c r="L2" s="1184"/>
      <c r="M2" s="1182"/>
      <c r="AA2" s="260" t="s">
        <v>811</v>
      </c>
      <c r="AB2" s="261"/>
      <c r="AC2" s="257"/>
      <c r="AD2" s="257"/>
      <c r="AE2" s="257"/>
      <c r="AF2" s="257"/>
      <c r="AG2" s="257"/>
      <c r="AH2" s="257"/>
      <c r="AI2" s="257"/>
      <c r="AJ2" s="258"/>
      <c r="AK2" s="257"/>
      <c r="AL2" s="257"/>
      <c r="AM2" s="257"/>
      <c r="AN2" s="257"/>
      <c r="AO2" s="257"/>
      <c r="AP2" s="257"/>
      <c r="AQ2" s="257"/>
      <c r="AR2" s="257"/>
      <c r="AS2" s="257"/>
      <c r="AT2" s="257"/>
      <c r="AU2" s="257"/>
      <c r="AV2" s="258"/>
      <c r="AW2" s="258"/>
      <c r="AX2" s="258"/>
      <c r="AY2" s="258"/>
      <c r="AZ2" s="257"/>
      <c r="BA2" s="260" t="s">
        <v>811</v>
      </c>
      <c r="BB2" s="257"/>
      <c r="BC2" s="257"/>
      <c r="BD2" s="257"/>
      <c r="BE2" s="257"/>
      <c r="BF2" s="257"/>
      <c r="BG2" s="264"/>
      <c r="BH2" s="257"/>
      <c r="BI2" s="257"/>
      <c r="BJ2" s="257"/>
      <c r="BK2" s="257"/>
      <c r="BL2" s="257"/>
      <c r="BM2" s="257"/>
      <c r="BN2" s="257"/>
      <c r="BO2" s="257"/>
      <c r="BP2" s="257"/>
      <c r="CA2" s="260" t="s">
        <v>811</v>
      </c>
      <c r="CB2" s="474"/>
      <c r="CC2" s="261"/>
      <c r="CD2" s="257"/>
      <c r="CE2" s="257"/>
      <c r="CF2" s="257"/>
      <c r="CG2" s="306"/>
      <c r="CH2" s="475"/>
      <c r="CI2" s="476"/>
      <c r="CJ2" s="257"/>
      <c r="CK2" s="257"/>
      <c r="CL2" s="257"/>
      <c r="CM2" s="257"/>
      <c r="CN2" s="257"/>
      <c r="CO2" s="258"/>
      <c r="CP2" s="258"/>
      <c r="CQ2" s="258"/>
      <c r="CR2" s="257"/>
    </row>
    <row r="3" spans="1:96" ht="18" customHeight="1" x14ac:dyDescent="0.75">
      <c r="A3" s="262"/>
      <c r="B3" s="1182"/>
      <c r="C3" s="1178" t="s">
        <v>2345</v>
      </c>
      <c r="D3" s="1182"/>
      <c r="E3" s="1182"/>
      <c r="F3" s="1182"/>
      <c r="G3" s="1185"/>
      <c r="H3" s="1182"/>
      <c r="I3" s="1182"/>
      <c r="J3" s="1182"/>
      <c r="K3" s="1184"/>
      <c r="L3" s="1182"/>
      <c r="M3" s="1182"/>
      <c r="T3" s="257"/>
      <c r="U3" s="257"/>
      <c r="V3" s="257"/>
      <c r="W3" s="257"/>
      <c r="AA3" s="262"/>
      <c r="AB3" s="257"/>
      <c r="AC3" s="257"/>
      <c r="AD3" s="257"/>
      <c r="AE3" s="257"/>
      <c r="AF3" s="257"/>
      <c r="AG3" s="263"/>
      <c r="AH3" s="257"/>
      <c r="AI3" s="257"/>
      <c r="AJ3" s="257"/>
      <c r="AK3" s="257"/>
      <c r="AL3" s="257"/>
      <c r="AM3" s="257"/>
      <c r="AN3" s="257"/>
      <c r="AO3" s="257"/>
      <c r="AP3" s="257"/>
      <c r="AQ3" s="257"/>
      <c r="AR3" s="257"/>
      <c r="AS3" s="257"/>
      <c r="AT3" s="257"/>
      <c r="AU3" s="257"/>
      <c r="AV3" s="257"/>
      <c r="AW3" s="257"/>
      <c r="AX3" s="258"/>
      <c r="AY3" s="258"/>
      <c r="AZ3" s="257"/>
      <c r="BA3" s="262"/>
      <c r="BB3" s="257"/>
      <c r="BC3" s="257"/>
      <c r="BD3" s="257"/>
      <c r="BE3" s="257"/>
      <c r="BF3" s="257"/>
      <c r="BG3" s="264"/>
      <c r="BH3" s="263"/>
      <c r="BI3" s="257"/>
      <c r="BJ3" s="257"/>
      <c r="BK3" s="257"/>
      <c r="BL3" s="257"/>
      <c r="BM3" s="257"/>
      <c r="BN3" s="257"/>
      <c r="BO3" s="257"/>
      <c r="BP3" s="257"/>
      <c r="CA3" s="262"/>
      <c r="CB3" s="477"/>
      <c r="CC3" s="257"/>
      <c r="CD3" s="257"/>
      <c r="CE3" s="257"/>
      <c r="CF3" s="257"/>
      <c r="CG3" s="263"/>
      <c r="CH3" s="257"/>
      <c r="CI3" s="257"/>
      <c r="CJ3" s="257"/>
      <c r="CK3" s="257"/>
      <c r="CL3" s="257"/>
      <c r="CM3" s="257"/>
      <c r="CN3" s="257"/>
      <c r="CO3" s="257"/>
      <c r="CP3" s="258"/>
      <c r="CQ3" s="258"/>
      <c r="CR3" s="257"/>
    </row>
    <row r="4" spans="1:96" ht="14.65" thickBot="1" x14ac:dyDescent="0.5">
      <c r="A4" s="262"/>
      <c r="B4" s="257" t="s">
        <v>812</v>
      </c>
      <c r="I4" s="257"/>
      <c r="T4" s="257"/>
      <c r="U4" s="257"/>
      <c r="V4" s="257"/>
      <c r="W4" s="264"/>
      <c r="Y4" s="264" t="s">
        <v>812</v>
      </c>
      <c r="AA4" s="262"/>
      <c r="AB4" s="306" t="s">
        <v>812</v>
      </c>
      <c r="AC4" s="306"/>
      <c r="AD4" s="306"/>
      <c r="AE4" s="306"/>
      <c r="AF4" s="306"/>
      <c r="AG4" s="306"/>
      <c r="AH4" s="306"/>
      <c r="AI4" s="306"/>
      <c r="AJ4" s="306"/>
      <c r="AK4" s="306"/>
      <c r="AL4" s="306"/>
      <c r="AM4" s="306"/>
      <c r="AN4" s="306"/>
      <c r="AO4" s="306"/>
      <c r="AP4" s="306"/>
      <c r="AQ4" s="306"/>
      <c r="AR4" s="306"/>
      <c r="AS4" s="306"/>
      <c r="AT4" s="306"/>
      <c r="AU4" s="306"/>
      <c r="AV4" s="306"/>
      <c r="AW4" s="391"/>
      <c r="AX4" s="297"/>
      <c r="AY4" s="391" t="s">
        <v>812</v>
      </c>
      <c r="AZ4" s="306"/>
      <c r="BA4" s="262"/>
      <c r="BB4" s="306"/>
      <c r="BC4" s="306" t="s">
        <v>812</v>
      </c>
      <c r="BD4" s="306"/>
      <c r="BE4" s="306"/>
      <c r="BF4" s="306"/>
      <c r="BG4" s="391"/>
      <c r="BH4" s="306"/>
      <c r="BI4" s="306"/>
      <c r="BJ4" s="306"/>
      <c r="BK4" s="306"/>
      <c r="BL4" s="306"/>
      <c r="BM4" s="306"/>
      <c r="BN4" s="391" t="s">
        <v>812</v>
      </c>
      <c r="BO4" s="306"/>
      <c r="BP4" s="306"/>
      <c r="CA4" s="262"/>
      <c r="CB4" s="306"/>
      <c r="CC4" s="306" t="s">
        <v>812</v>
      </c>
      <c r="CD4" s="306"/>
      <c r="CE4" s="306"/>
      <c r="CF4" s="306"/>
      <c r="CG4" s="306"/>
      <c r="CH4" s="306"/>
      <c r="CI4" s="306"/>
      <c r="CJ4" s="306"/>
      <c r="CK4" s="306"/>
      <c r="CL4" s="306"/>
      <c r="CM4" s="306"/>
      <c r="CN4" s="306"/>
      <c r="CO4" s="306"/>
      <c r="CP4" s="297"/>
      <c r="CQ4" s="391" t="s">
        <v>812</v>
      </c>
      <c r="CR4" s="306"/>
    </row>
    <row r="5" spans="1:96" s="275" customFormat="1" ht="52.5" customHeight="1" thickTop="1" thickBot="1" x14ac:dyDescent="0.4">
      <c r="A5" s="265"/>
      <c r="B5" s="1381" t="s">
        <v>813</v>
      </c>
      <c r="C5" s="1382"/>
      <c r="D5" s="1382"/>
      <c r="E5" s="1382"/>
      <c r="F5" s="1382"/>
      <c r="G5" s="1382"/>
      <c r="H5" s="266" t="s">
        <v>814</v>
      </c>
      <c r="I5" s="267"/>
      <c r="J5" s="268" t="s">
        <v>815</v>
      </c>
      <c r="K5" s="267"/>
      <c r="L5" s="269" t="s">
        <v>816</v>
      </c>
      <c r="M5" s="270" t="s">
        <v>817</v>
      </c>
      <c r="N5" s="271" t="s">
        <v>818</v>
      </c>
      <c r="O5" s="272" t="s">
        <v>819</v>
      </c>
      <c r="P5" s="1383" t="s">
        <v>18</v>
      </c>
      <c r="Q5" s="1382"/>
      <c r="R5" s="1382"/>
      <c r="S5" s="273"/>
      <c r="T5" s="1383" t="s">
        <v>22</v>
      </c>
      <c r="U5" s="1382"/>
      <c r="V5" s="1382"/>
      <c r="W5" s="1384"/>
      <c r="X5" s="274"/>
      <c r="Y5" s="268" t="s">
        <v>820</v>
      </c>
      <c r="AA5" s="392"/>
      <c r="AB5" s="1381" t="s">
        <v>813</v>
      </c>
      <c r="AC5" s="1382"/>
      <c r="AD5" s="1382"/>
      <c r="AE5" s="1382"/>
      <c r="AF5" s="1382"/>
      <c r="AG5" s="1382"/>
      <c r="AH5" s="1382"/>
      <c r="AI5" s="266" t="s">
        <v>814</v>
      </c>
      <c r="AJ5" s="267"/>
      <c r="AK5" s="268" t="s">
        <v>815</v>
      </c>
      <c r="AL5" s="267"/>
      <c r="AM5" s="269" t="s">
        <v>816</v>
      </c>
      <c r="AN5" s="1385" t="s">
        <v>817</v>
      </c>
      <c r="AO5" s="1386"/>
      <c r="AP5" s="272" t="s">
        <v>819</v>
      </c>
      <c r="AQ5" s="1385" t="s">
        <v>18</v>
      </c>
      <c r="AR5" s="1387"/>
      <c r="AS5" s="1387"/>
      <c r="AT5" s="1387"/>
      <c r="AU5" s="1386"/>
      <c r="AV5" s="272" t="s">
        <v>875</v>
      </c>
      <c r="AW5" s="393" t="s">
        <v>876</v>
      </c>
      <c r="AX5" s="394"/>
      <c r="AY5" s="268" t="s">
        <v>877</v>
      </c>
      <c r="AZ5" s="274"/>
      <c r="BA5" s="430"/>
      <c r="BB5" s="431"/>
      <c r="BC5" s="432" t="s">
        <v>923</v>
      </c>
      <c r="BD5" s="306"/>
      <c r="BE5" s="306"/>
      <c r="BF5" s="1375" t="s">
        <v>924</v>
      </c>
      <c r="BG5" s="1376"/>
      <c r="BH5" s="1376"/>
      <c r="BI5" s="1376"/>
      <c r="BJ5" s="1376"/>
      <c r="BK5" s="1376"/>
      <c r="BL5" s="1376"/>
      <c r="BM5" s="1376"/>
      <c r="BN5" s="1377"/>
      <c r="BO5" s="306"/>
      <c r="BP5" s="306"/>
      <c r="CA5" s="478"/>
      <c r="CB5" s="479"/>
      <c r="CC5" s="1381" t="s">
        <v>813</v>
      </c>
      <c r="CD5" s="1382"/>
      <c r="CE5" s="1382"/>
      <c r="CF5" s="1382"/>
      <c r="CG5" s="266" t="s">
        <v>814</v>
      </c>
      <c r="CH5" s="267"/>
      <c r="CI5" s="268" t="s">
        <v>815</v>
      </c>
      <c r="CJ5" s="267"/>
      <c r="CK5" s="269" t="s">
        <v>816</v>
      </c>
      <c r="CL5" s="271" t="s">
        <v>954</v>
      </c>
      <c r="CM5" s="272" t="s">
        <v>819</v>
      </c>
      <c r="CN5" s="480" t="s">
        <v>18</v>
      </c>
      <c r="CO5" s="393" t="s">
        <v>22</v>
      </c>
      <c r="CP5" s="394"/>
      <c r="CQ5" s="268" t="s">
        <v>955</v>
      </c>
      <c r="CR5" s="306"/>
    </row>
    <row r="6" spans="1:96" s="275" customFormat="1" ht="48" customHeight="1" thickTop="1" thickBot="1" x14ac:dyDescent="0.45">
      <c r="A6" s="276"/>
      <c r="B6" s="277" t="s">
        <v>212</v>
      </c>
      <c r="C6" s="278" t="s">
        <v>214</v>
      </c>
      <c r="D6" s="278" t="s">
        <v>215</v>
      </c>
      <c r="E6" s="278" t="s">
        <v>821</v>
      </c>
      <c r="F6" s="278" t="s">
        <v>822</v>
      </c>
      <c r="G6" s="279" t="s">
        <v>823</v>
      </c>
      <c r="H6" s="280"/>
      <c r="I6" s="281"/>
      <c r="J6" s="282"/>
      <c r="K6" s="283"/>
      <c r="L6" s="284"/>
      <c r="M6" s="285" t="s">
        <v>824</v>
      </c>
      <c r="N6" s="286"/>
      <c r="O6" s="287"/>
      <c r="P6" s="288" t="s">
        <v>825</v>
      </c>
      <c r="Q6" s="278" t="s">
        <v>826</v>
      </c>
      <c r="R6" s="278" t="s">
        <v>827</v>
      </c>
      <c r="S6" s="279" t="s">
        <v>828</v>
      </c>
      <c r="T6" s="288" t="s">
        <v>17</v>
      </c>
      <c r="U6" s="278" t="s">
        <v>829</v>
      </c>
      <c r="V6" s="278" t="s">
        <v>830</v>
      </c>
      <c r="W6" s="289" t="s">
        <v>831</v>
      </c>
      <c r="X6" s="290"/>
      <c r="Y6" s="291"/>
      <c r="AA6" s="276"/>
      <c r="AB6" s="277" t="s">
        <v>212</v>
      </c>
      <c r="AC6" s="278" t="s">
        <v>214</v>
      </c>
      <c r="AD6" s="278" t="s">
        <v>215</v>
      </c>
      <c r="AE6" s="278" t="s">
        <v>822</v>
      </c>
      <c r="AF6" s="278" t="s">
        <v>878</v>
      </c>
      <c r="AG6" s="278" t="s">
        <v>875</v>
      </c>
      <c r="AH6" s="278" t="s">
        <v>876</v>
      </c>
      <c r="AI6" s="280"/>
      <c r="AJ6" s="281"/>
      <c r="AK6" s="282"/>
      <c r="AL6" s="283"/>
      <c r="AM6" s="284"/>
      <c r="AN6" s="395" t="s">
        <v>879</v>
      </c>
      <c r="AO6" s="395" t="s">
        <v>824</v>
      </c>
      <c r="AP6" s="287"/>
      <c r="AQ6" s="288" t="s">
        <v>825</v>
      </c>
      <c r="AR6" s="278" t="s">
        <v>880</v>
      </c>
      <c r="AS6" s="278" t="s">
        <v>881</v>
      </c>
      <c r="AT6" s="396" t="s">
        <v>882</v>
      </c>
      <c r="AU6" s="279" t="s">
        <v>883</v>
      </c>
      <c r="AV6" s="287"/>
      <c r="AW6" s="397"/>
      <c r="AX6" s="297"/>
      <c r="AY6" s="282"/>
      <c r="AZ6" s="290"/>
      <c r="BA6" s="433"/>
      <c r="BB6" s="297"/>
      <c r="BC6" s="434"/>
      <c r="BD6" s="306"/>
      <c r="BE6" s="306"/>
      <c r="BF6" s="435" t="s">
        <v>925</v>
      </c>
      <c r="BG6" s="1378" t="s">
        <v>926</v>
      </c>
      <c r="BH6" s="1379"/>
      <c r="BI6" s="1379"/>
      <c r="BJ6" s="1379"/>
      <c r="BK6" s="1379"/>
      <c r="BL6" s="1379"/>
      <c r="BM6" s="1380"/>
      <c r="BN6" s="436" t="s">
        <v>215</v>
      </c>
      <c r="BO6" s="306"/>
      <c r="BP6" s="306"/>
      <c r="CA6" s="481"/>
      <c r="CB6" s="281"/>
      <c r="CC6" s="277" t="s">
        <v>212</v>
      </c>
      <c r="CD6" s="278" t="s">
        <v>214</v>
      </c>
      <c r="CE6" s="278" t="s">
        <v>215</v>
      </c>
      <c r="CF6" s="278" t="s">
        <v>956</v>
      </c>
      <c r="CG6" s="280"/>
      <c r="CH6" s="281"/>
      <c r="CI6" s="282"/>
      <c r="CJ6" s="283"/>
      <c r="CK6" s="284"/>
      <c r="CL6" s="285" t="s">
        <v>957</v>
      </c>
      <c r="CM6" s="287"/>
      <c r="CN6" s="288" t="s">
        <v>825</v>
      </c>
      <c r="CO6" s="482" t="s">
        <v>17</v>
      </c>
      <c r="CP6" s="483"/>
      <c r="CQ6" s="282"/>
      <c r="CR6" s="306"/>
    </row>
    <row r="7" spans="1:96" s="275" customFormat="1" ht="38.65" thickBot="1" x14ac:dyDescent="0.4">
      <c r="A7" s="292"/>
      <c r="B7" s="293"/>
      <c r="C7" s="294"/>
      <c r="D7" s="294"/>
      <c r="E7" s="294"/>
      <c r="F7" s="294"/>
      <c r="G7" s="295"/>
      <c r="H7" s="296"/>
      <c r="I7" s="297"/>
      <c r="J7" s="298"/>
      <c r="K7" s="297"/>
      <c r="L7" s="299"/>
      <c r="M7" s="300"/>
      <c r="N7" s="300"/>
      <c r="O7" s="301"/>
      <c r="P7" s="302"/>
      <c r="Q7" s="303"/>
      <c r="R7" s="303"/>
      <c r="S7" s="304"/>
      <c r="T7" s="302"/>
      <c r="U7" s="303"/>
      <c r="V7" s="303"/>
      <c r="W7" s="305"/>
      <c r="X7" s="306"/>
      <c r="Y7" s="307"/>
      <c r="Z7" s="308"/>
      <c r="AA7" s="292"/>
      <c r="AB7" s="330"/>
      <c r="AC7" s="294"/>
      <c r="AD7" s="294"/>
      <c r="AE7" s="294"/>
      <c r="AF7" s="294"/>
      <c r="AG7" s="306"/>
      <c r="AH7" s="398"/>
      <c r="AI7" s="296"/>
      <c r="AJ7" s="297"/>
      <c r="AK7" s="298"/>
      <c r="AL7" s="297"/>
      <c r="AM7" s="399"/>
      <c r="AN7" s="400"/>
      <c r="AO7" s="301"/>
      <c r="AP7" s="301"/>
      <c r="AQ7" s="302"/>
      <c r="AR7" s="303"/>
      <c r="AS7" s="303"/>
      <c r="AT7" s="401"/>
      <c r="AU7" s="304"/>
      <c r="AV7" s="324"/>
      <c r="AW7" s="402"/>
      <c r="AX7" s="297"/>
      <c r="AY7" s="307"/>
      <c r="AZ7" s="306"/>
      <c r="BA7" s="437"/>
      <c r="BB7" s="315"/>
      <c r="BC7" s="434"/>
      <c r="BD7" s="274"/>
      <c r="BE7" s="274"/>
      <c r="BF7" s="438"/>
      <c r="BG7" s="439" t="s">
        <v>211</v>
      </c>
      <c r="BH7" s="440" t="s">
        <v>927</v>
      </c>
      <c r="BI7" s="278" t="s">
        <v>928</v>
      </c>
      <c r="BJ7" s="278" t="s">
        <v>929</v>
      </c>
      <c r="BK7" s="278" t="s">
        <v>16</v>
      </c>
      <c r="BL7" s="278" t="s">
        <v>930</v>
      </c>
      <c r="BM7" s="279" t="s">
        <v>931</v>
      </c>
      <c r="BN7" s="441"/>
      <c r="BO7" s="274"/>
      <c r="BP7" s="274"/>
      <c r="CA7" s="433"/>
      <c r="CB7" s="297"/>
      <c r="CC7" s="293"/>
      <c r="CD7" s="294"/>
      <c r="CE7" s="294"/>
      <c r="CF7" s="294"/>
      <c r="CG7" s="296"/>
      <c r="CH7" s="297"/>
      <c r="CI7" s="298"/>
      <c r="CJ7" s="297"/>
      <c r="CK7" s="299"/>
      <c r="CL7" s="300"/>
      <c r="CM7" s="301"/>
      <c r="CN7" s="302"/>
      <c r="CO7" s="323"/>
      <c r="CP7" s="297"/>
      <c r="CQ7" s="307"/>
      <c r="CR7" s="306"/>
    </row>
    <row r="8" spans="1:96" s="275" customFormat="1" ht="13.15" x14ac:dyDescent="0.35">
      <c r="A8" s="292"/>
      <c r="B8" s="326"/>
      <c r="C8" s="303"/>
      <c r="D8" s="303"/>
      <c r="E8" s="303"/>
      <c r="F8" s="303"/>
      <c r="G8" s="304"/>
      <c r="H8" s="323"/>
      <c r="I8" s="297"/>
      <c r="J8" s="307"/>
      <c r="K8" s="297"/>
      <c r="L8" s="299"/>
      <c r="M8" s="324"/>
      <c r="N8" s="324"/>
      <c r="O8" s="325"/>
      <c r="P8" s="302"/>
      <c r="Q8" s="303"/>
      <c r="R8" s="303"/>
      <c r="S8" s="304"/>
      <c r="T8" s="302"/>
      <c r="U8" s="303"/>
      <c r="V8" s="303"/>
      <c r="W8" s="305"/>
      <c r="X8" s="306"/>
      <c r="Y8" s="307"/>
      <c r="Z8" s="308"/>
      <c r="AA8" s="292"/>
      <c r="AB8" s="345"/>
      <c r="AC8" s="303"/>
      <c r="AD8" s="303"/>
      <c r="AE8" s="303"/>
      <c r="AF8" s="303"/>
      <c r="AG8" s="306"/>
      <c r="AH8" s="401"/>
      <c r="AI8" s="323"/>
      <c r="AJ8" s="297"/>
      <c r="AK8" s="307"/>
      <c r="AL8" s="297"/>
      <c r="AM8" s="399"/>
      <c r="AN8" s="302"/>
      <c r="AO8" s="325"/>
      <c r="AP8" s="325"/>
      <c r="AQ8" s="302"/>
      <c r="AR8" s="605"/>
      <c r="AS8" s="303"/>
      <c r="AT8" s="401"/>
      <c r="AU8" s="304"/>
      <c r="AV8" s="324"/>
      <c r="AW8" s="402"/>
      <c r="AX8" s="297"/>
      <c r="AY8" s="307"/>
      <c r="AZ8" s="306"/>
      <c r="BA8" s="437"/>
      <c r="BB8" s="315"/>
      <c r="BC8" s="434"/>
      <c r="BD8" s="274"/>
      <c r="BE8" s="274"/>
      <c r="BF8" s="606"/>
      <c r="BG8" s="607"/>
      <c r="BH8" s="608"/>
      <c r="BI8" s="609"/>
      <c r="BJ8" s="609"/>
      <c r="BK8" s="609"/>
      <c r="BL8" s="609"/>
      <c r="BM8" s="610"/>
      <c r="BN8" s="611"/>
      <c r="BO8" s="274"/>
      <c r="BP8" s="274"/>
      <c r="CA8" s="433"/>
      <c r="CB8" s="297"/>
      <c r="CC8" s="326"/>
      <c r="CD8" s="303"/>
      <c r="CE8" s="303"/>
      <c r="CF8" s="303"/>
      <c r="CG8" s="323"/>
      <c r="CH8" s="297"/>
      <c r="CI8" s="307"/>
      <c r="CJ8" s="297"/>
      <c r="CK8" s="299"/>
      <c r="CL8" s="324"/>
      <c r="CM8" s="325"/>
      <c r="CN8" s="302"/>
      <c r="CO8" s="323"/>
      <c r="CP8" s="297"/>
      <c r="CQ8" s="307"/>
      <c r="CR8" s="306"/>
    </row>
    <row r="9" spans="1:96" s="275" customFormat="1" ht="13.5" thickBot="1" x14ac:dyDescent="0.4">
      <c r="A9" s="292"/>
      <c r="B9" s="326"/>
      <c r="C9" s="303"/>
      <c r="D9" s="303"/>
      <c r="E9" s="303"/>
      <c r="F9" s="303"/>
      <c r="G9" s="304"/>
      <c r="H9" s="323"/>
      <c r="I9" s="297"/>
      <c r="J9" s="307"/>
      <c r="K9" s="297"/>
      <c r="L9" s="299"/>
      <c r="M9" s="324"/>
      <c r="N9" s="324"/>
      <c r="O9" s="325"/>
      <c r="P9" s="302"/>
      <c r="Q9" s="303"/>
      <c r="R9" s="303"/>
      <c r="S9" s="304"/>
      <c r="T9" s="302"/>
      <c r="U9" s="303"/>
      <c r="V9" s="303"/>
      <c r="W9" s="305"/>
      <c r="X9" s="306"/>
      <c r="Y9" s="307"/>
      <c r="Z9" s="308"/>
      <c r="AA9" s="292"/>
      <c r="AB9" s="345"/>
      <c r="AC9" s="303"/>
      <c r="AD9" s="303"/>
      <c r="AE9" s="303"/>
      <c r="AF9" s="303"/>
      <c r="AG9" s="306"/>
      <c r="AH9" s="401"/>
      <c r="AI9" s="323"/>
      <c r="AJ9" s="297"/>
      <c r="AK9" s="307"/>
      <c r="AL9" s="297"/>
      <c r="AM9" s="399"/>
      <c r="AN9" s="302"/>
      <c r="AO9" s="325"/>
      <c r="AP9" s="325"/>
      <c r="AQ9" s="302"/>
      <c r="AR9" s="605"/>
      <c r="AS9" s="303"/>
      <c r="AT9" s="401"/>
      <c r="AU9" s="304"/>
      <c r="AV9" s="324"/>
      <c r="AW9" s="402"/>
      <c r="AX9" s="297"/>
      <c r="AY9" s="307"/>
      <c r="AZ9" s="306"/>
      <c r="BA9" s="437"/>
      <c r="BB9" s="315"/>
      <c r="BC9" s="434"/>
      <c r="BD9" s="274"/>
      <c r="BE9" s="274"/>
      <c r="BF9" s="606"/>
      <c r="BG9" s="607"/>
      <c r="BH9" s="608"/>
      <c r="BI9" s="609"/>
      <c r="BJ9" s="609"/>
      <c r="BK9" s="609"/>
      <c r="BL9" s="609"/>
      <c r="BM9" s="610"/>
      <c r="BN9" s="611"/>
      <c r="BO9" s="274"/>
      <c r="BP9" s="274"/>
      <c r="CA9" s="433"/>
      <c r="CB9" s="297"/>
      <c r="CC9" s="326"/>
      <c r="CD9" s="303"/>
      <c r="CE9" s="303"/>
      <c r="CF9" s="303"/>
      <c r="CG9" s="323"/>
      <c r="CH9" s="297"/>
      <c r="CI9" s="307"/>
      <c r="CJ9" s="297"/>
      <c r="CK9" s="299"/>
      <c r="CL9" s="324"/>
      <c r="CM9" s="325"/>
      <c r="CN9" s="302"/>
      <c r="CO9" s="323"/>
      <c r="CP9" s="297"/>
      <c r="CQ9" s="307"/>
      <c r="CR9" s="306"/>
    </row>
    <row r="10" spans="1:96" s="275" customFormat="1" ht="12.75" x14ac:dyDescent="0.35">
      <c r="A10" s="309">
        <v>1920</v>
      </c>
      <c r="B10" s="310"/>
      <c r="C10" s="311"/>
      <c r="D10" s="312"/>
      <c r="E10" s="312"/>
      <c r="F10" s="312"/>
      <c r="G10" s="313"/>
      <c r="H10" s="314"/>
      <c r="I10" s="315"/>
      <c r="J10" s="316"/>
      <c r="K10" s="315"/>
      <c r="L10" s="317"/>
      <c r="M10" s="318"/>
      <c r="N10" s="318"/>
      <c r="O10" s="319"/>
      <c r="P10" s="320"/>
      <c r="Q10" s="312"/>
      <c r="R10" s="312"/>
      <c r="S10" s="313"/>
      <c r="T10" s="320"/>
      <c r="U10" s="312"/>
      <c r="V10" s="312"/>
      <c r="W10" s="321"/>
      <c r="X10" s="274"/>
      <c r="Y10" s="316"/>
      <c r="Z10" s="308"/>
      <c r="AA10" s="347">
        <v>1920</v>
      </c>
      <c r="AB10" s="345"/>
      <c r="AC10" s="331"/>
      <c r="AD10" s="331"/>
      <c r="AE10" s="331"/>
      <c r="AF10" s="331"/>
      <c r="AG10" s="331" t="s">
        <v>54</v>
      </c>
      <c r="AH10" s="331"/>
      <c r="AI10" s="403"/>
      <c r="AJ10" s="315"/>
      <c r="AK10" s="350"/>
      <c r="AL10" s="315"/>
      <c r="AM10" s="404"/>
      <c r="AN10" s="340"/>
      <c r="AO10" s="358"/>
      <c r="AP10" s="358"/>
      <c r="AQ10" s="340"/>
      <c r="AR10" s="405"/>
      <c r="AS10" s="341"/>
      <c r="AT10" s="406"/>
      <c r="AU10" s="342"/>
      <c r="AV10" s="338"/>
      <c r="AW10" s="407"/>
      <c r="AX10" s="315"/>
      <c r="AY10" s="408"/>
      <c r="AZ10" s="274"/>
      <c r="BA10" s="442"/>
      <c r="BB10" s="443"/>
      <c r="BC10" s="444"/>
      <c r="BD10" s="414"/>
      <c r="BE10" s="414"/>
      <c r="BF10" s="445"/>
      <c r="BG10" s="446"/>
      <c r="BH10" s="447"/>
      <c r="BI10" s="448"/>
      <c r="BJ10" s="448"/>
      <c r="BK10" s="448"/>
      <c r="BL10" s="448"/>
      <c r="BM10" s="449"/>
      <c r="BN10" s="450"/>
      <c r="BO10" s="414"/>
      <c r="BP10" s="306"/>
      <c r="CA10" s="442">
        <v>1920</v>
      </c>
      <c r="CB10" s="443" t="s">
        <v>958</v>
      </c>
      <c r="CC10" s="310"/>
      <c r="CD10" s="311"/>
      <c r="CE10" s="312"/>
      <c r="CF10" s="312"/>
      <c r="CG10" s="314"/>
      <c r="CH10" s="315"/>
      <c r="CI10" s="316"/>
      <c r="CJ10" s="315"/>
      <c r="CK10" s="317"/>
      <c r="CL10" s="318"/>
      <c r="CM10" s="319"/>
      <c r="CN10" s="320"/>
      <c r="CO10" s="314"/>
      <c r="CP10" s="315"/>
      <c r="CQ10" s="316"/>
      <c r="CR10" s="306"/>
    </row>
    <row r="11" spans="1:96" s="275" customFormat="1" ht="12.75" x14ac:dyDescent="0.35">
      <c r="A11" s="309">
        <v>1921</v>
      </c>
      <c r="B11" s="322"/>
      <c r="C11" s="311"/>
      <c r="D11" s="303"/>
      <c r="E11" s="303"/>
      <c r="F11" s="303"/>
      <c r="G11" s="304"/>
      <c r="H11" s="323"/>
      <c r="I11" s="297"/>
      <c r="J11" s="307"/>
      <c r="K11" s="297"/>
      <c r="L11" s="299"/>
      <c r="M11" s="324"/>
      <c r="N11" s="324"/>
      <c r="O11" s="325"/>
      <c r="P11" s="302"/>
      <c r="Q11" s="303"/>
      <c r="R11" s="303"/>
      <c r="S11" s="304"/>
      <c r="T11" s="302"/>
      <c r="U11" s="303"/>
      <c r="V11" s="303"/>
      <c r="W11" s="305"/>
      <c r="X11" s="306"/>
      <c r="Y11" s="307"/>
      <c r="Z11" s="308"/>
      <c r="AA11" s="347">
        <v>1921</v>
      </c>
      <c r="AB11" s="345"/>
      <c r="AC11" s="331"/>
      <c r="AD11" s="331"/>
      <c r="AE11" s="331"/>
      <c r="AF11" s="331"/>
      <c r="AG11" s="409">
        <v>1485.3920000000001</v>
      </c>
      <c r="AH11" s="409"/>
      <c r="AI11" s="403"/>
      <c r="AJ11" s="297"/>
      <c r="AK11" s="350"/>
      <c r="AL11" s="297"/>
      <c r="AM11" s="404"/>
      <c r="AN11" s="340"/>
      <c r="AO11" s="358"/>
      <c r="AP11" s="358"/>
      <c r="AQ11" s="340"/>
      <c r="AR11" s="405"/>
      <c r="AS11" s="341"/>
      <c r="AT11" s="406"/>
      <c r="AU11" s="342"/>
      <c r="AV11" s="338"/>
      <c r="AW11" s="407"/>
      <c r="AX11" s="297"/>
      <c r="AY11" s="408"/>
      <c r="AZ11" s="306"/>
      <c r="BA11" s="442">
        <v>1921</v>
      </c>
      <c r="BB11" s="443"/>
      <c r="BC11" s="444">
        <v>9086.0879999999997</v>
      </c>
      <c r="BD11" s="414"/>
      <c r="BE11" s="414"/>
      <c r="BF11" s="404"/>
      <c r="BG11" s="338"/>
      <c r="BH11" s="341"/>
      <c r="BI11" s="341"/>
      <c r="BJ11" s="341"/>
      <c r="BK11" s="341"/>
      <c r="BL11" s="341"/>
      <c r="BM11" s="342"/>
      <c r="BN11" s="451"/>
      <c r="BO11" s="414"/>
      <c r="BP11" s="306"/>
      <c r="CA11" s="442">
        <v>1921</v>
      </c>
      <c r="CB11" s="443" t="s">
        <v>958</v>
      </c>
      <c r="CC11" s="322"/>
      <c r="CD11" s="311"/>
      <c r="CE11" s="303"/>
      <c r="CF11" s="303"/>
      <c r="CG11" s="323"/>
      <c r="CH11" s="297"/>
      <c r="CI11" s="307"/>
      <c r="CJ11" s="297"/>
      <c r="CK11" s="299"/>
      <c r="CL11" s="324"/>
      <c r="CM11" s="325"/>
      <c r="CN11" s="302"/>
      <c r="CO11" s="323"/>
      <c r="CP11" s="297"/>
      <c r="CQ11" s="307"/>
      <c r="CR11" s="306"/>
    </row>
    <row r="12" spans="1:96" s="275" customFormat="1" ht="12.75" x14ac:dyDescent="0.35">
      <c r="A12" s="309">
        <v>1922</v>
      </c>
      <c r="B12" s="322"/>
      <c r="C12" s="311"/>
      <c r="D12" s="303"/>
      <c r="E12" s="303"/>
      <c r="F12" s="303"/>
      <c r="G12" s="304"/>
      <c r="H12" s="323"/>
      <c r="I12" s="297"/>
      <c r="J12" s="307"/>
      <c r="K12" s="297"/>
      <c r="L12" s="299"/>
      <c r="M12" s="324"/>
      <c r="N12" s="324"/>
      <c r="O12" s="325"/>
      <c r="P12" s="302"/>
      <c r="Q12" s="303"/>
      <c r="R12" s="303"/>
      <c r="S12" s="304"/>
      <c r="T12" s="302"/>
      <c r="U12" s="303"/>
      <c r="V12" s="303"/>
      <c r="W12" s="305"/>
      <c r="X12" s="306"/>
      <c r="Y12" s="307"/>
      <c r="Z12" s="308"/>
      <c r="AA12" s="347">
        <v>1922</v>
      </c>
      <c r="AB12" s="345"/>
      <c r="AC12" s="331"/>
      <c r="AD12" s="331"/>
      <c r="AE12" s="331"/>
      <c r="AF12" s="331"/>
      <c r="AG12" s="409">
        <v>1495.5520000000001</v>
      </c>
      <c r="AH12" s="409"/>
      <c r="AI12" s="403"/>
      <c r="AJ12" s="297"/>
      <c r="AK12" s="350"/>
      <c r="AL12" s="297"/>
      <c r="AM12" s="404"/>
      <c r="AN12" s="340"/>
      <c r="AO12" s="358"/>
      <c r="AP12" s="358"/>
      <c r="AQ12" s="340"/>
      <c r="AR12" s="405"/>
      <c r="AS12" s="341"/>
      <c r="AT12" s="406"/>
      <c r="AU12" s="342"/>
      <c r="AV12" s="338"/>
      <c r="AW12" s="407"/>
      <c r="AX12" s="297"/>
      <c r="AY12" s="408"/>
      <c r="AZ12" s="306"/>
      <c r="BA12" s="442">
        <v>1922</v>
      </c>
      <c r="BB12" s="443"/>
      <c r="BC12" s="444">
        <v>9147.0480000000007</v>
      </c>
      <c r="BD12" s="414"/>
      <c r="BE12" s="414"/>
      <c r="BF12" s="404"/>
      <c r="BG12" s="338"/>
      <c r="BH12" s="341"/>
      <c r="BI12" s="341"/>
      <c r="BJ12" s="341"/>
      <c r="BK12" s="341"/>
      <c r="BL12" s="341"/>
      <c r="BM12" s="342"/>
      <c r="BN12" s="451"/>
      <c r="BO12" s="414"/>
      <c r="BP12" s="306"/>
      <c r="CA12" s="442">
        <v>1922</v>
      </c>
      <c r="CB12" s="443" t="s">
        <v>958</v>
      </c>
      <c r="CC12" s="322"/>
      <c r="CD12" s="311"/>
      <c r="CE12" s="303"/>
      <c r="CF12" s="303"/>
      <c r="CG12" s="323"/>
      <c r="CH12" s="297"/>
      <c r="CI12" s="307"/>
      <c r="CJ12" s="297"/>
      <c r="CK12" s="299"/>
      <c r="CL12" s="324"/>
      <c r="CM12" s="325"/>
      <c r="CN12" s="302"/>
      <c r="CO12" s="323"/>
      <c r="CP12" s="297"/>
      <c r="CQ12" s="307"/>
      <c r="CR12" s="306"/>
    </row>
    <row r="13" spans="1:96" s="275" customFormat="1" ht="12.75" x14ac:dyDescent="0.35">
      <c r="A13" s="309">
        <v>1923</v>
      </c>
      <c r="B13" s="322"/>
      <c r="C13" s="311"/>
      <c r="D13" s="303"/>
      <c r="E13" s="303"/>
      <c r="F13" s="303"/>
      <c r="G13" s="304"/>
      <c r="H13" s="323"/>
      <c r="I13" s="297"/>
      <c r="J13" s="307"/>
      <c r="K13" s="297"/>
      <c r="L13" s="299"/>
      <c r="M13" s="324"/>
      <c r="N13" s="324"/>
      <c r="O13" s="325"/>
      <c r="P13" s="302"/>
      <c r="Q13" s="303"/>
      <c r="R13" s="303"/>
      <c r="S13" s="304"/>
      <c r="T13" s="302"/>
      <c r="U13" s="303"/>
      <c r="V13" s="303"/>
      <c r="W13" s="305"/>
      <c r="X13" s="306"/>
      <c r="Y13" s="307"/>
      <c r="Z13" s="308"/>
      <c r="AA13" s="347">
        <v>1923</v>
      </c>
      <c r="AB13" s="345"/>
      <c r="AC13" s="331"/>
      <c r="AD13" s="331"/>
      <c r="AE13" s="331"/>
      <c r="AF13" s="331"/>
      <c r="AG13" s="409">
        <v>1583.944</v>
      </c>
      <c r="AH13" s="409"/>
      <c r="AI13" s="403"/>
      <c r="AJ13" s="297"/>
      <c r="AK13" s="350"/>
      <c r="AL13" s="297"/>
      <c r="AM13" s="404"/>
      <c r="AN13" s="340"/>
      <c r="AO13" s="358"/>
      <c r="AP13" s="358"/>
      <c r="AQ13" s="340"/>
      <c r="AR13" s="405"/>
      <c r="AS13" s="341"/>
      <c r="AT13" s="406"/>
      <c r="AU13" s="342"/>
      <c r="AV13" s="338"/>
      <c r="AW13" s="407"/>
      <c r="AX13" s="297"/>
      <c r="AY13" s="408"/>
      <c r="AZ13" s="306"/>
      <c r="BA13" s="442">
        <v>1923</v>
      </c>
      <c r="BB13" s="443"/>
      <c r="BC13" s="444">
        <v>9691.6239999999998</v>
      </c>
      <c r="BD13" s="414"/>
      <c r="BE13" s="414"/>
      <c r="BF13" s="404"/>
      <c r="BG13" s="338"/>
      <c r="BH13" s="341"/>
      <c r="BI13" s="341"/>
      <c r="BJ13" s="341"/>
      <c r="BK13" s="341"/>
      <c r="BL13" s="341"/>
      <c r="BM13" s="342"/>
      <c r="BN13" s="451"/>
      <c r="BO13" s="414"/>
      <c r="BP13" s="306"/>
      <c r="CA13" s="442">
        <v>1923</v>
      </c>
      <c r="CB13" s="443" t="s">
        <v>958</v>
      </c>
      <c r="CC13" s="322"/>
      <c r="CD13" s="311"/>
      <c r="CE13" s="303"/>
      <c r="CF13" s="303"/>
      <c r="CG13" s="323"/>
      <c r="CH13" s="297"/>
      <c r="CI13" s="307"/>
      <c r="CJ13" s="297"/>
      <c r="CK13" s="299"/>
      <c r="CL13" s="324"/>
      <c r="CM13" s="325"/>
      <c r="CN13" s="302"/>
      <c r="CO13" s="323"/>
      <c r="CP13" s="297"/>
      <c r="CQ13" s="307"/>
      <c r="CR13" s="306"/>
    </row>
    <row r="14" spans="1:96" s="275" customFormat="1" ht="12.75" x14ac:dyDescent="0.35">
      <c r="A14" s="309">
        <v>1924</v>
      </c>
      <c r="B14" s="322"/>
      <c r="C14" s="311"/>
      <c r="D14" s="303"/>
      <c r="E14" s="303"/>
      <c r="F14" s="303"/>
      <c r="G14" s="304"/>
      <c r="H14" s="323"/>
      <c r="I14" s="297"/>
      <c r="J14" s="307"/>
      <c r="K14" s="297"/>
      <c r="L14" s="299"/>
      <c r="M14" s="324"/>
      <c r="N14" s="324"/>
      <c r="O14" s="325"/>
      <c r="P14" s="302"/>
      <c r="Q14" s="303"/>
      <c r="R14" s="303"/>
      <c r="S14" s="304"/>
      <c r="T14" s="302"/>
      <c r="U14" s="303"/>
      <c r="V14" s="303"/>
      <c r="W14" s="305"/>
      <c r="X14" s="306"/>
      <c r="Y14" s="307"/>
      <c r="Z14" s="308"/>
      <c r="AA14" s="347">
        <v>1924</v>
      </c>
      <c r="AB14" s="345"/>
      <c r="AC14" s="331"/>
      <c r="AD14" s="331"/>
      <c r="AE14" s="331"/>
      <c r="AF14" s="331"/>
      <c r="AG14" s="409">
        <v>1664.2080000000001</v>
      </c>
      <c r="AH14" s="409"/>
      <c r="AI14" s="403"/>
      <c r="AJ14" s="297"/>
      <c r="AK14" s="350"/>
      <c r="AL14" s="297"/>
      <c r="AM14" s="404"/>
      <c r="AN14" s="340"/>
      <c r="AO14" s="358"/>
      <c r="AP14" s="358"/>
      <c r="AQ14" s="340"/>
      <c r="AR14" s="405"/>
      <c r="AS14" s="341"/>
      <c r="AT14" s="406"/>
      <c r="AU14" s="342"/>
      <c r="AV14" s="338"/>
      <c r="AW14" s="407"/>
      <c r="AX14" s="297"/>
      <c r="AY14" s="408"/>
      <c r="AZ14" s="306"/>
      <c r="BA14" s="442">
        <v>1924</v>
      </c>
      <c r="BB14" s="443"/>
      <c r="BC14" s="444">
        <v>10179.304</v>
      </c>
      <c r="BD14" s="414"/>
      <c r="BE14" s="414"/>
      <c r="BF14" s="404"/>
      <c r="BG14" s="338"/>
      <c r="BH14" s="341"/>
      <c r="BI14" s="341"/>
      <c r="BJ14" s="341"/>
      <c r="BK14" s="341"/>
      <c r="BL14" s="341"/>
      <c r="BM14" s="342"/>
      <c r="BN14" s="451"/>
      <c r="BO14" s="414"/>
      <c r="BP14" s="306"/>
      <c r="CA14" s="442">
        <v>1924</v>
      </c>
      <c r="CB14" s="443" t="s">
        <v>958</v>
      </c>
      <c r="CC14" s="322"/>
      <c r="CD14" s="311"/>
      <c r="CE14" s="303"/>
      <c r="CF14" s="303"/>
      <c r="CG14" s="323"/>
      <c r="CH14" s="297"/>
      <c r="CI14" s="307"/>
      <c r="CJ14" s="297"/>
      <c r="CK14" s="299"/>
      <c r="CL14" s="324"/>
      <c r="CM14" s="325"/>
      <c r="CN14" s="302"/>
      <c r="CO14" s="323"/>
      <c r="CP14" s="297"/>
      <c r="CQ14" s="307"/>
      <c r="CR14" s="306"/>
    </row>
    <row r="15" spans="1:96" s="275" customFormat="1" ht="12.75" x14ac:dyDescent="0.35">
      <c r="A15" s="309">
        <v>1925</v>
      </c>
      <c r="B15" s="322"/>
      <c r="C15" s="311"/>
      <c r="D15" s="303"/>
      <c r="E15" s="303"/>
      <c r="F15" s="303"/>
      <c r="G15" s="304"/>
      <c r="H15" s="323"/>
      <c r="I15" s="297"/>
      <c r="J15" s="307"/>
      <c r="K15" s="297"/>
      <c r="L15" s="299"/>
      <c r="M15" s="324"/>
      <c r="N15" s="324"/>
      <c r="O15" s="325"/>
      <c r="P15" s="302"/>
      <c r="Q15" s="303"/>
      <c r="R15" s="303"/>
      <c r="S15" s="304"/>
      <c r="T15" s="302"/>
      <c r="U15" s="303"/>
      <c r="V15" s="303"/>
      <c r="W15" s="305"/>
      <c r="X15" s="306"/>
      <c r="Y15" s="307"/>
      <c r="Z15" s="308"/>
      <c r="AA15" s="347">
        <v>1925</v>
      </c>
      <c r="AB15" s="345"/>
      <c r="AC15" s="331"/>
      <c r="AD15" s="331"/>
      <c r="AE15" s="331"/>
      <c r="AF15" s="331"/>
      <c r="AG15" s="409">
        <v>1626.616</v>
      </c>
      <c r="AH15" s="409"/>
      <c r="AI15" s="403"/>
      <c r="AJ15" s="297"/>
      <c r="AK15" s="350"/>
      <c r="AL15" s="297"/>
      <c r="AM15" s="404"/>
      <c r="AN15" s="340"/>
      <c r="AO15" s="358"/>
      <c r="AP15" s="358"/>
      <c r="AQ15" s="340"/>
      <c r="AR15" s="405"/>
      <c r="AS15" s="341"/>
      <c r="AT15" s="406"/>
      <c r="AU15" s="342"/>
      <c r="AV15" s="338"/>
      <c r="AW15" s="407"/>
      <c r="AX15" s="297"/>
      <c r="AY15" s="408"/>
      <c r="AZ15" s="306"/>
      <c r="BA15" s="442">
        <v>1925</v>
      </c>
      <c r="BB15" s="443"/>
      <c r="BC15" s="444">
        <v>9953.7520000000004</v>
      </c>
      <c r="BD15" s="414"/>
      <c r="BE15" s="414"/>
      <c r="BF15" s="404"/>
      <c r="BG15" s="338"/>
      <c r="BH15" s="341"/>
      <c r="BI15" s="341"/>
      <c r="BJ15" s="341"/>
      <c r="BK15" s="341"/>
      <c r="BL15" s="341"/>
      <c r="BM15" s="342"/>
      <c r="BN15" s="451"/>
      <c r="BO15" s="414"/>
      <c r="BP15" s="306"/>
      <c r="CA15" s="442">
        <v>1925</v>
      </c>
      <c r="CB15" s="443" t="s">
        <v>958</v>
      </c>
      <c r="CC15" s="322"/>
      <c r="CD15" s="311"/>
      <c r="CE15" s="303"/>
      <c r="CF15" s="303"/>
      <c r="CG15" s="323"/>
      <c r="CH15" s="297"/>
      <c r="CI15" s="307"/>
      <c r="CJ15" s="297"/>
      <c r="CK15" s="299"/>
      <c r="CL15" s="324"/>
      <c r="CM15" s="325"/>
      <c r="CN15" s="302"/>
      <c r="CO15" s="323"/>
      <c r="CP15" s="297"/>
      <c r="CQ15" s="307"/>
      <c r="CR15" s="306"/>
    </row>
    <row r="16" spans="1:96" s="275" customFormat="1" ht="12.75" x14ac:dyDescent="0.35">
      <c r="A16" s="309">
        <v>1926</v>
      </c>
      <c r="B16" s="322"/>
      <c r="C16" s="311"/>
      <c r="D16" s="303"/>
      <c r="E16" s="303"/>
      <c r="F16" s="303"/>
      <c r="G16" s="304"/>
      <c r="H16" s="323"/>
      <c r="I16" s="297"/>
      <c r="J16" s="307"/>
      <c r="K16" s="297"/>
      <c r="L16" s="299"/>
      <c r="M16" s="324"/>
      <c r="N16" s="324"/>
      <c r="O16" s="325"/>
      <c r="P16" s="302"/>
      <c r="Q16" s="303"/>
      <c r="R16" s="303"/>
      <c r="S16" s="304"/>
      <c r="T16" s="302"/>
      <c r="U16" s="303"/>
      <c r="V16" s="303"/>
      <c r="W16" s="305"/>
      <c r="X16" s="306"/>
      <c r="Y16" s="307"/>
      <c r="Z16" s="308"/>
      <c r="AA16" s="347">
        <v>1926</v>
      </c>
      <c r="AB16" s="345"/>
      <c r="AC16" s="331"/>
      <c r="AD16" s="331"/>
      <c r="AE16" s="331"/>
      <c r="AF16" s="331"/>
      <c r="AG16" s="409">
        <v>1595.12</v>
      </c>
      <c r="AH16" s="409"/>
      <c r="AI16" s="403"/>
      <c r="AJ16" s="297"/>
      <c r="AK16" s="350"/>
      <c r="AL16" s="297"/>
      <c r="AM16" s="404"/>
      <c r="AN16" s="340"/>
      <c r="AO16" s="358"/>
      <c r="AP16" s="358"/>
      <c r="AQ16" s="340"/>
      <c r="AR16" s="405"/>
      <c r="AS16" s="341"/>
      <c r="AT16" s="406"/>
      <c r="AU16" s="342"/>
      <c r="AV16" s="338"/>
      <c r="AW16" s="407"/>
      <c r="AX16" s="297"/>
      <c r="AY16" s="408"/>
      <c r="AZ16" s="306"/>
      <c r="BA16" s="442">
        <v>1926</v>
      </c>
      <c r="BB16" s="443"/>
      <c r="BC16" s="444">
        <v>9760.7119999999995</v>
      </c>
      <c r="BD16" s="414"/>
      <c r="BE16" s="414"/>
      <c r="BF16" s="404"/>
      <c r="BG16" s="338"/>
      <c r="BH16" s="341"/>
      <c r="BI16" s="341"/>
      <c r="BJ16" s="341"/>
      <c r="BK16" s="341"/>
      <c r="BL16" s="341"/>
      <c r="BM16" s="342"/>
      <c r="BN16" s="451"/>
      <c r="BO16" s="414"/>
      <c r="BP16" s="306"/>
      <c r="CA16" s="442">
        <v>1926</v>
      </c>
      <c r="CB16" s="443" t="s">
        <v>958</v>
      </c>
      <c r="CC16" s="322"/>
      <c r="CD16" s="311"/>
      <c r="CE16" s="303"/>
      <c r="CF16" s="303"/>
      <c r="CG16" s="323"/>
      <c r="CH16" s="297"/>
      <c r="CI16" s="307"/>
      <c r="CJ16" s="297"/>
      <c r="CK16" s="299"/>
      <c r="CL16" s="324"/>
      <c r="CM16" s="325"/>
      <c r="CN16" s="302"/>
      <c r="CO16" s="323"/>
      <c r="CP16" s="297"/>
      <c r="CQ16" s="307"/>
      <c r="CR16" s="306"/>
    </row>
    <row r="17" spans="1:96" s="275" customFormat="1" ht="12.75" x14ac:dyDescent="0.35">
      <c r="A17" s="309">
        <v>1927</v>
      </c>
      <c r="B17" s="322"/>
      <c r="C17" s="311"/>
      <c r="D17" s="303"/>
      <c r="E17" s="303"/>
      <c r="F17" s="303"/>
      <c r="G17" s="304"/>
      <c r="H17" s="323"/>
      <c r="I17" s="297"/>
      <c r="J17" s="307"/>
      <c r="K17" s="297"/>
      <c r="L17" s="299"/>
      <c r="M17" s="324"/>
      <c r="N17" s="324"/>
      <c r="O17" s="325"/>
      <c r="P17" s="302"/>
      <c r="Q17" s="303"/>
      <c r="R17" s="303"/>
      <c r="S17" s="304"/>
      <c r="T17" s="302"/>
      <c r="U17" s="303"/>
      <c r="V17" s="303"/>
      <c r="W17" s="305"/>
      <c r="X17" s="306"/>
      <c r="Y17" s="307"/>
      <c r="Z17" s="308"/>
      <c r="AA17" s="347">
        <v>1927</v>
      </c>
      <c r="AB17" s="345"/>
      <c r="AC17" s="331"/>
      <c r="AD17" s="331"/>
      <c r="AE17" s="331"/>
      <c r="AF17" s="331"/>
      <c r="AG17" s="409">
        <v>1703.8320000000001</v>
      </c>
      <c r="AH17" s="409"/>
      <c r="AI17" s="403"/>
      <c r="AJ17" s="297"/>
      <c r="AK17" s="350"/>
      <c r="AL17" s="297"/>
      <c r="AM17" s="404"/>
      <c r="AN17" s="340"/>
      <c r="AO17" s="358"/>
      <c r="AP17" s="358"/>
      <c r="AQ17" s="340"/>
      <c r="AR17" s="405"/>
      <c r="AS17" s="341"/>
      <c r="AT17" s="406"/>
      <c r="AU17" s="342"/>
      <c r="AV17" s="338"/>
      <c r="AW17" s="407"/>
      <c r="AX17" s="297"/>
      <c r="AY17" s="408"/>
      <c r="AZ17" s="306"/>
      <c r="BA17" s="442">
        <v>1927</v>
      </c>
      <c r="BB17" s="443"/>
      <c r="BC17" s="444">
        <v>10426.192000000001</v>
      </c>
      <c r="BD17" s="414"/>
      <c r="BE17" s="414"/>
      <c r="BF17" s="404"/>
      <c r="BG17" s="338"/>
      <c r="BH17" s="341"/>
      <c r="BI17" s="341"/>
      <c r="BJ17" s="341"/>
      <c r="BK17" s="341"/>
      <c r="BL17" s="341"/>
      <c r="BM17" s="342"/>
      <c r="BN17" s="451"/>
      <c r="BO17" s="414"/>
      <c r="BP17" s="306"/>
      <c r="CA17" s="442">
        <v>1927</v>
      </c>
      <c r="CB17" s="443" t="s">
        <v>958</v>
      </c>
      <c r="CC17" s="322"/>
      <c r="CD17" s="311"/>
      <c r="CE17" s="303"/>
      <c r="CF17" s="303"/>
      <c r="CG17" s="323"/>
      <c r="CH17" s="297"/>
      <c r="CI17" s="307"/>
      <c r="CJ17" s="297"/>
      <c r="CK17" s="299"/>
      <c r="CL17" s="324"/>
      <c r="CM17" s="325"/>
      <c r="CN17" s="302"/>
      <c r="CO17" s="323"/>
      <c r="CP17" s="297"/>
      <c r="CQ17" s="307"/>
      <c r="CR17" s="306"/>
    </row>
    <row r="18" spans="1:96" s="275" customFormat="1" ht="12.75" x14ac:dyDescent="0.35">
      <c r="A18" s="309">
        <v>1928</v>
      </c>
      <c r="B18" s="322"/>
      <c r="C18" s="311"/>
      <c r="D18" s="303"/>
      <c r="E18" s="303"/>
      <c r="F18" s="303"/>
      <c r="G18" s="304"/>
      <c r="H18" s="323"/>
      <c r="I18" s="297"/>
      <c r="J18" s="307"/>
      <c r="K18" s="297"/>
      <c r="L18" s="299"/>
      <c r="M18" s="324"/>
      <c r="N18" s="324"/>
      <c r="O18" s="325"/>
      <c r="P18" s="302"/>
      <c r="Q18" s="303"/>
      <c r="R18" s="303"/>
      <c r="S18" s="304"/>
      <c r="T18" s="302"/>
      <c r="U18" s="303"/>
      <c r="V18" s="303"/>
      <c r="W18" s="305"/>
      <c r="X18" s="306"/>
      <c r="Y18" s="307"/>
      <c r="Z18" s="308"/>
      <c r="AA18" s="347">
        <v>1928</v>
      </c>
      <c r="AB18" s="345"/>
      <c r="AC18" s="331"/>
      <c r="AD18" s="331"/>
      <c r="AE18" s="331"/>
      <c r="AF18" s="331"/>
      <c r="AG18" s="409">
        <v>1684.528</v>
      </c>
      <c r="AH18" s="409"/>
      <c r="AI18" s="403"/>
      <c r="AJ18" s="297"/>
      <c r="AK18" s="350"/>
      <c r="AL18" s="297"/>
      <c r="AM18" s="404"/>
      <c r="AN18" s="340"/>
      <c r="AO18" s="358"/>
      <c r="AP18" s="358"/>
      <c r="AQ18" s="340"/>
      <c r="AR18" s="405"/>
      <c r="AS18" s="341"/>
      <c r="AT18" s="406"/>
      <c r="AU18" s="342"/>
      <c r="AV18" s="338"/>
      <c r="AW18" s="407"/>
      <c r="AX18" s="297"/>
      <c r="AY18" s="408"/>
      <c r="AZ18" s="306"/>
      <c r="BA18" s="442">
        <v>1928</v>
      </c>
      <c r="BB18" s="443"/>
      <c r="BC18" s="444">
        <v>10304.272000000001</v>
      </c>
      <c r="BD18" s="414"/>
      <c r="BE18" s="414"/>
      <c r="BF18" s="404"/>
      <c r="BG18" s="338"/>
      <c r="BH18" s="341"/>
      <c r="BI18" s="341"/>
      <c r="BJ18" s="341"/>
      <c r="BK18" s="341"/>
      <c r="BL18" s="341"/>
      <c r="BM18" s="342"/>
      <c r="BN18" s="451"/>
      <c r="BO18" s="414"/>
      <c r="BP18" s="306"/>
      <c r="CA18" s="442">
        <v>1928</v>
      </c>
      <c r="CB18" s="443" t="s">
        <v>958</v>
      </c>
      <c r="CC18" s="322"/>
      <c r="CD18" s="311"/>
      <c r="CE18" s="303"/>
      <c r="CF18" s="303"/>
      <c r="CG18" s="323"/>
      <c r="CH18" s="297"/>
      <c r="CI18" s="307"/>
      <c r="CJ18" s="297"/>
      <c r="CK18" s="299"/>
      <c r="CL18" s="324"/>
      <c r="CM18" s="325"/>
      <c r="CN18" s="302"/>
      <c r="CO18" s="323"/>
      <c r="CP18" s="297"/>
      <c r="CQ18" s="307"/>
      <c r="CR18" s="306"/>
    </row>
    <row r="19" spans="1:96" s="275" customFormat="1" ht="12.75" x14ac:dyDescent="0.35">
      <c r="A19" s="309">
        <v>1929</v>
      </c>
      <c r="B19" s="322"/>
      <c r="C19" s="311"/>
      <c r="D19" s="303"/>
      <c r="E19" s="303"/>
      <c r="F19" s="303"/>
      <c r="G19" s="304"/>
      <c r="H19" s="323"/>
      <c r="I19" s="297"/>
      <c r="J19" s="307"/>
      <c r="K19" s="297"/>
      <c r="L19" s="299"/>
      <c r="M19" s="324"/>
      <c r="N19" s="324"/>
      <c r="O19" s="325"/>
      <c r="P19" s="302"/>
      <c r="Q19" s="303"/>
      <c r="R19" s="303"/>
      <c r="S19" s="304"/>
      <c r="T19" s="302"/>
      <c r="U19" s="303"/>
      <c r="V19" s="303"/>
      <c r="W19" s="305"/>
      <c r="X19" s="306"/>
      <c r="Y19" s="307"/>
      <c r="Z19" s="308"/>
      <c r="AA19" s="347">
        <v>1929</v>
      </c>
      <c r="AB19" s="345"/>
      <c r="AC19" s="331"/>
      <c r="AD19" s="331"/>
      <c r="AE19" s="331"/>
      <c r="AF19" s="331"/>
      <c r="AG19" s="409">
        <v>1718.056</v>
      </c>
      <c r="AH19" s="409"/>
      <c r="AI19" s="403"/>
      <c r="AJ19" s="297"/>
      <c r="AK19" s="350"/>
      <c r="AL19" s="297"/>
      <c r="AM19" s="404"/>
      <c r="AN19" s="340"/>
      <c r="AO19" s="358"/>
      <c r="AP19" s="358"/>
      <c r="AQ19" s="340"/>
      <c r="AR19" s="405"/>
      <c r="AS19" s="341"/>
      <c r="AT19" s="406"/>
      <c r="AU19" s="342"/>
      <c r="AV19" s="338"/>
      <c r="AW19" s="407"/>
      <c r="AX19" s="297"/>
      <c r="AY19" s="408"/>
      <c r="AZ19" s="306"/>
      <c r="BA19" s="442">
        <v>1929</v>
      </c>
      <c r="BB19" s="443"/>
      <c r="BC19" s="444">
        <v>10507.472</v>
      </c>
      <c r="BD19" s="414"/>
      <c r="BE19" s="414"/>
      <c r="BF19" s="404"/>
      <c r="BG19" s="338"/>
      <c r="BH19" s="341"/>
      <c r="BI19" s="341"/>
      <c r="BJ19" s="341"/>
      <c r="BK19" s="341"/>
      <c r="BL19" s="341"/>
      <c r="BM19" s="342"/>
      <c r="BN19" s="451"/>
      <c r="BO19" s="414"/>
      <c r="BP19" s="306"/>
      <c r="CA19" s="442">
        <v>1929</v>
      </c>
      <c r="CB19" s="443" t="s">
        <v>958</v>
      </c>
      <c r="CC19" s="322"/>
      <c r="CD19" s="311"/>
      <c r="CE19" s="303"/>
      <c r="CF19" s="303"/>
      <c r="CG19" s="323"/>
      <c r="CH19" s="297"/>
      <c r="CI19" s="307"/>
      <c r="CJ19" s="297"/>
      <c r="CK19" s="299"/>
      <c r="CL19" s="324"/>
      <c r="CM19" s="325"/>
      <c r="CN19" s="302"/>
      <c r="CO19" s="323"/>
      <c r="CP19" s="297"/>
      <c r="CQ19" s="307"/>
      <c r="CR19" s="306"/>
    </row>
    <row r="20" spans="1:96" s="275" customFormat="1" ht="12.75" x14ac:dyDescent="0.35">
      <c r="A20" s="309">
        <v>1930</v>
      </c>
      <c r="B20" s="322"/>
      <c r="C20" s="311"/>
      <c r="D20" s="303"/>
      <c r="E20" s="303"/>
      <c r="F20" s="303"/>
      <c r="G20" s="304"/>
      <c r="H20" s="323"/>
      <c r="I20" s="297"/>
      <c r="J20" s="307"/>
      <c r="K20" s="297"/>
      <c r="L20" s="299"/>
      <c r="M20" s="324"/>
      <c r="N20" s="324"/>
      <c r="O20" s="325"/>
      <c r="P20" s="302"/>
      <c r="Q20" s="303"/>
      <c r="R20" s="303"/>
      <c r="S20" s="304"/>
      <c r="T20" s="302"/>
      <c r="U20" s="303"/>
      <c r="V20" s="303"/>
      <c r="W20" s="305"/>
      <c r="X20" s="306"/>
      <c r="Y20" s="307"/>
      <c r="Z20" s="308"/>
      <c r="AA20" s="347">
        <v>1930</v>
      </c>
      <c r="AB20" s="345"/>
      <c r="AC20" s="331"/>
      <c r="AD20" s="331"/>
      <c r="AE20" s="331"/>
      <c r="AF20" s="331"/>
      <c r="AG20" s="409">
        <v>1700.7840000000001</v>
      </c>
      <c r="AH20" s="409"/>
      <c r="AI20" s="403"/>
      <c r="AJ20" s="297"/>
      <c r="AK20" s="350"/>
      <c r="AL20" s="297"/>
      <c r="AM20" s="404"/>
      <c r="AN20" s="340"/>
      <c r="AO20" s="358"/>
      <c r="AP20" s="358"/>
      <c r="AQ20" s="340"/>
      <c r="AR20" s="405"/>
      <c r="AS20" s="341"/>
      <c r="AT20" s="406"/>
      <c r="AU20" s="342"/>
      <c r="AV20" s="338"/>
      <c r="AW20" s="407"/>
      <c r="AX20" s="297"/>
      <c r="AY20" s="408"/>
      <c r="AZ20" s="306"/>
      <c r="BA20" s="442">
        <v>1930</v>
      </c>
      <c r="BB20" s="443"/>
      <c r="BC20" s="444">
        <v>10402.824000000001</v>
      </c>
      <c r="BD20" s="414"/>
      <c r="BE20" s="414"/>
      <c r="BF20" s="404"/>
      <c r="BG20" s="338"/>
      <c r="BH20" s="341"/>
      <c r="BI20" s="341"/>
      <c r="BJ20" s="341"/>
      <c r="BK20" s="341"/>
      <c r="BL20" s="341"/>
      <c r="BM20" s="342"/>
      <c r="BN20" s="451"/>
      <c r="BO20" s="414"/>
      <c r="BP20" s="306"/>
      <c r="CA20" s="442">
        <v>1930</v>
      </c>
      <c r="CB20" s="443" t="s">
        <v>958</v>
      </c>
      <c r="CC20" s="322"/>
      <c r="CD20" s="311"/>
      <c r="CE20" s="303"/>
      <c r="CF20" s="303"/>
      <c r="CG20" s="323"/>
      <c r="CH20" s="297"/>
      <c r="CI20" s="307"/>
      <c r="CJ20" s="297"/>
      <c r="CK20" s="299"/>
      <c r="CL20" s="324"/>
      <c r="CM20" s="325"/>
      <c r="CN20" s="302"/>
      <c r="CO20" s="323"/>
      <c r="CP20" s="297"/>
      <c r="CQ20" s="307"/>
      <c r="CR20" s="306"/>
    </row>
    <row r="21" spans="1:96" s="275" customFormat="1" ht="12.75" x14ac:dyDescent="0.35">
      <c r="A21" s="309">
        <v>1931</v>
      </c>
      <c r="B21" s="322"/>
      <c r="C21" s="311"/>
      <c r="D21" s="303"/>
      <c r="E21" s="303"/>
      <c r="F21" s="303"/>
      <c r="G21" s="304"/>
      <c r="H21" s="323"/>
      <c r="I21" s="297"/>
      <c r="J21" s="307"/>
      <c r="K21" s="297"/>
      <c r="L21" s="299"/>
      <c r="M21" s="324"/>
      <c r="N21" s="324"/>
      <c r="O21" s="325"/>
      <c r="P21" s="302"/>
      <c r="Q21" s="303"/>
      <c r="R21" s="303"/>
      <c r="S21" s="304"/>
      <c r="T21" s="302"/>
      <c r="U21" s="303"/>
      <c r="V21" s="303"/>
      <c r="W21" s="305"/>
      <c r="X21" s="306"/>
      <c r="Y21" s="307"/>
      <c r="Z21" s="308"/>
      <c r="AA21" s="347">
        <v>1931</v>
      </c>
      <c r="AB21" s="345"/>
      <c r="AC21" s="331"/>
      <c r="AD21" s="331"/>
      <c r="AE21" s="331"/>
      <c r="AF21" s="331"/>
      <c r="AG21" s="409">
        <v>1674.3679999999999</v>
      </c>
      <c r="AH21" s="409"/>
      <c r="AI21" s="403"/>
      <c r="AJ21" s="297"/>
      <c r="AK21" s="350"/>
      <c r="AL21" s="297"/>
      <c r="AM21" s="404"/>
      <c r="AN21" s="340"/>
      <c r="AO21" s="358"/>
      <c r="AP21" s="358"/>
      <c r="AQ21" s="340"/>
      <c r="AR21" s="405"/>
      <c r="AS21" s="341"/>
      <c r="AT21" s="406"/>
      <c r="AU21" s="342"/>
      <c r="AV21" s="338"/>
      <c r="AW21" s="407"/>
      <c r="AX21" s="297"/>
      <c r="AY21" s="408"/>
      <c r="AZ21" s="306"/>
      <c r="BA21" s="442">
        <v>1931</v>
      </c>
      <c r="BB21" s="443"/>
      <c r="BC21" s="444">
        <v>10245.344000000001</v>
      </c>
      <c r="BD21" s="414"/>
      <c r="BE21" s="414"/>
      <c r="BF21" s="404"/>
      <c r="BG21" s="338"/>
      <c r="BH21" s="341"/>
      <c r="BI21" s="341"/>
      <c r="BJ21" s="341"/>
      <c r="BK21" s="341"/>
      <c r="BL21" s="341"/>
      <c r="BM21" s="342"/>
      <c r="BN21" s="451"/>
      <c r="BO21" s="414"/>
      <c r="BP21" s="306"/>
      <c r="CA21" s="442">
        <v>1931</v>
      </c>
      <c r="CB21" s="443" t="s">
        <v>958</v>
      </c>
      <c r="CC21" s="322"/>
      <c r="CD21" s="311"/>
      <c r="CE21" s="303"/>
      <c r="CF21" s="303"/>
      <c r="CG21" s="323"/>
      <c r="CH21" s="297"/>
      <c r="CI21" s="307"/>
      <c r="CJ21" s="297"/>
      <c r="CK21" s="299"/>
      <c r="CL21" s="324"/>
      <c r="CM21" s="325"/>
      <c r="CN21" s="302"/>
      <c r="CO21" s="323"/>
      <c r="CP21" s="297"/>
      <c r="CQ21" s="307"/>
      <c r="CR21" s="306"/>
    </row>
    <row r="22" spans="1:96" s="275" customFormat="1" ht="12.75" x14ac:dyDescent="0.35">
      <c r="A22" s="309">
        <v>1932</v>
      </c>
      <c r="B22" s="322"/>
      <c r="C22" s="311"/>
      <c r="D22" s="303"/>
      <c r="E22" s="303"/>
      <c r="F22" s="303"/>
      <c r="G22" s="304"/>
      <c r="H22" s="323"/>
      <c r="I22" s="297"/>
      <c r="J22" s="307"/>
      <c r="K22" s="297"/>
      <c r="L22" s="299"/>
      <c r="M22" s="324"/>
      <c r="N22" s="324"/>
      <c r="O22" s="325"/>
      <c r="P22" s="302"/>
      <c r="Q22" s="303"/>
      <c r="R22" s="303"/>
      <c r="S22" s="304"/>
      <c r="T22" s="302"/>
      <c r="U22" s="303"/>
      <c r="V22" s="303"/>
      <c r="W22" s="305"/>
      <c r="X22" s="306"/>
      <c r="Y22" s="307"/>
      <c r="Z22" s="308"/>
      <c r="AA22" s="347">
        <v>1932</v>
      </c>
      <c r="AB22" s="345"/>
      <c r="AC22" s="331"/>
      <c r="AD22" s="331"/>
      <c r="AE22" s="331"/>
      <c r="AF22" s="331"/>
      <c r="AG22" s="409">
        <v>1629.664</v>
      </c>
      <c r="AH22" s="409"/>
      <c r="AI22" s="403"/>
      <c r="AJ22" s="297"/>
      <c r="AK22" s="350"/>
      <c r="AL22" s="297"/>
      <c r="AM22" s="404"/>
      <c r="AN22" s="340"/>
      <c r="AO22" s="358"/>
      <c r="AP22" s="358"/>
      <c r="AQ22" s="340"/>
      <c r="AR22" s="405"/>
      <c r="AS22" s="341"/>
      <c r="AT22" s="406"/>
      <c r="AU22" s="342"/>
      <c r="AV22" s="338"/>
      <c r="AW22" s="407"/>
      <c r="AX22" s="297"/>
      <c r="AY22" s="408"/>
      <c r="AZ22" s="306"/>
      <c r="BA22" s="442">
        <v>1932</v>
      </c>
      <c r="BB22" s="443"/>
      <c r="BC22" s="444">
        <v>9968.9920000000002</v>
      </c>
      <c r="BD22" s="414"/>
      <c r="BE22" s="414"/>
      <c r="BF22" s="404"/>
      <c r="BG22" s="338"/>
      <c r="BH22" s="341"/>
      <c r="BI22" s="341"/>
      <c r="BJ22" s="341"/>
      <c r="BK22" s="341"/>
      <c r="BL22" s="341"/>
      <c r="BM22" s="342"/>
      <c r="BN22" s="451"/>
      <c r="BO22" s="414"/>
      <c r="BP22" s="306"/>
      <c r="CA22" s="442">
        <v>1932</v>
      </c>
      <c r="CB22" s="443" t="s">
        <v>958</v>
      </c>
      <c r="CC22" s="322"/>
      <c r="CD22" s="311"/>
      <c r="CE22" s="303"/>
      <c r="CF22" s="303"/>
      <c r="CG22" s="323"/>
      <c r="CH22" s="297"/>
      <c r="CI22" s="307"/>
      <c r="CJ22" s="297"/>
      <c r="CK22" s="299"/>
      <c r="CL22" s="324"/>
      <c r="CM22" s="325"/>
      <c r="CN22" s="302"/>
      <c r="CO22" s="323"/>
      <c r="CP22" s="297"/>
      <c r="CQ22" s="307"/>
      <c r="CR22" s="306"/>
    </row>
    <row r="23" spans="1:96" s="275" customFormat="1" ht="12.75" x14ac:dyDescent="0.35">
      <c r="A23" s="309">
        <v>1933</v>
      </c>
      <c r="B23" s="322"/>
      <c r="C23" s="311"/>
      <c r="D23" s="303"/>
      <c r="E23" s="303"/>
      <c r="F23" s="303"/>
      <c r="G23" s="304"/>
      <c r="H23" s="323"/>
      <c r="I23" s="297"/>
      <c r="J23" s="307"/>
      <c r="K23" s="297"/>
      <c r="L23" s="299"/>
      <c r="M23" s="324"/>
      <c r="N23" s="324"/>
      <c r="O23" s="325"/>
      <c r="P23" s="302"/>
      <c r="Q23" s="303"/>
      <c r="R23" s="303"/>
      <c r="S23" s="304"/>
      <c r="T23" s="302"/>
      <c r="U23" s="303"/>
      <c r="V23" s="303"/>
      <c r="W23" s="305"/>
      <c r="X23" s="306"/>
      <c r="Y23" s="307"/>
      <c r="Z23" s="308"/>
      <c r="AA23" s="347">
        <v>1933</v>
      </c>
      <c r="AB23" s="345"/>
      <c r="AC23" s="331"/>
      <c r="AD23" s="331"/>
      <c r="AE23" s="331"/>
      <c r="AF23" s="331"/>
      <c r="AG23" s="409">
        <v>1582.9280000000001</v>
      </c>
      <c r="AH23" s="409"/>
      <c r="AI23" s="403"/>
      <c r="AJ23" s="297"/>
      <c r="AK23" s="350"/>
      <c r="AL23" s="297"/>
      <c r="AM23" s="404"/>
      <c r="AN23" s="340"/>
      <c r="AO23" s="358"/>
      <c r="AP23" s="358"/>
      <c r="AQ23" s="340"/>
      <c r="AR23" s="405"/>
      <c r="AS23" s="341"/>
      <c r="AT23" s="406"/>
      <c r="AU23" s="342"/>
      <c r="AV23" s="338"/>
      <c r="AW23" s="407"/>
      <c r="AX23" s="297"/>
      <c r="AY23" s="408"/>
      <c r="AZ23" s="306"/>
      <c r="BA23" s="442">
        <v>1933</v>
      </c>
      <c r="BB23" s="443"/>
      <c r="BC23" s="444">
        <v>9684.5120000000006</v>
      </c>
      <c r="BD23" s="414"/>
      <c r="BE23" s="414"/>
      <c r="BF23" s="404"/>
      <c r="BG23" s="338"/>
      <c r="BH23" s="341"/>
      <c r="BI23" s="341"/>
      <c r="BJ23" s="341"/>
      <c r="BK23" s="341"/>
      <c r="BL23" s="341"/>
      <c r="BM23" s="342"/>
      <c r="BN23" s="451"/>
      <c r="BO23" s="414"/>
      <c r="BP23" s="306"/>
      <c r="CA23" s="442">
        <v>1933</v>
      </c>
      <c r="CB23" s="443" t="s">
        <v>958</v>
      </c>
      <c r="CC23" s="322"/>
      <c r="CD23" s="311"/>
      <c r="CE23" s="303"/>
      <c r="CF23" s="303"/>
      <c r="CG23" s="323"/>
      <c r="CH23" s="297"/>
      <c r="CI23" s="307"/>
      <c r="CJ23" s="297"/>
      <c r="CK23" s="299"/>
      <c r="CL23" s="324"/>
      <c r="CM23" s="325"/>
      <c r="CN23" s="302"/>
      <c r="CO23" s="323"/>
      <c r="CP23" s="297"/>
      <c r="CQ23" s="307"/>
      <c r="CR23" s="306"/>
    </row>
    <row r="24" spans="1:96" s="275" customFormat="1" ht="12.75" x14ac:dyDescent="0.35">
      <c r="A24" s="309">
        <v>1934</v>
      </c>
      <c r="B24" s="322"/>
      <c r="C24" s="311"/>
      <c r="D24" s="303"/>
      <c r="E24" s="303"/>
      <c r="F24" s="303"/>
      <c r="G24" s="304"/>
      <c r="H24" s="323"/>
      <c r="I24" s="297"/>
      <c r="J24" s="307"/>
      <c r="K24" s="297"/>
      <c r="L24" s="299"/>
      <c r="M24" s="324"/>
      <c r="N24" s="324"/>
      <c r="O24" s="325"/>
      <c r="P24" s="302"/>
      <c r="Q24" s="303"/>
      <c r="R24" s="303"/>
      <c r="S24" s="304"/>
      <c r="T24" s="302"/>
      <c r="U24" s="303"/>
      <c r="V24" s="303"/>
      <c r="W24" s="305"/>
      <c r="X24" s="306"/>
      <c r="Y24" s="307"/>
      <c r="Z24" s="308"/>
      <c r="AA24" s="347">
        <v>1934</v>
      </c>
      <c r="AB24" s="345"/>
      <c r="AC24" s="331"/>
      <c r="AD24" s="331"/>
      <c r="AE24" s="331"/>
      <c r="AF24" s="331"/>
      <c r="AG24" s="409">
        <v>1626.616</v>
      </c>
      <c r="AH24" s="409"/>
      <c r="AI24" s="403"/>
      <c r="AJ24" s="297"/>
      <c r="AK24" s="350"/>
      <c r="AL24" s="297"/>
      <c r="AM24" s="404"/>
      <c r="AN24" s="340"/>
      <c r="AO24" s="358"/>
      <c r="AP24" s="358"/>
      <c r="AQ24" s="340"/>
      <c r="AR24" s="405"/>
      <c r="AS24" s="341"/>
      <c r="AT24" s="406"/>
      <c r="AU24" s="342"/>
      <c r="AV24" s="338"/>
      <c r="AW24" s="407"/>
      <c r="AX24" s="297"/>
      <c r="AY24" s="408"/>
      <c r="AZ24" s="306"/>
      <c r="BA24" s="442">
        <v>1934</v>
      </c>
      <c r="BB24" s="443"/>
      <c r="BC24" s="444">
        <v>9951.7199999999993</v>
      </c>
      <c r="BD24" s="414"/>
      <c r="BE24" s="414"/>
      <c r="BF24" s="404"/>
      <c r="BG24" s="338"/>
      <c r="BH24" s="341"/>
      <c r="BI24" s="341"/>
      <c r="BJ24" s="341"/>
      <c r="BK24" s="341"/>
      <c r="BL24" s="341"/>
      <c r="BM24" s="342"/>
      <c r="BN24" s="451"/>
      <c r="BO24" s="414"/>
      <c r="BP24" s="306"/>
      <c r="CA24" s="442">
        <v>1934</v>
      </c>
      <c r="CB24" s="443" t="s">
        <v>958</v>
      </c>
      <c r="CC24" s="322"/>
      <c r="CD24" s="311"/>
      <c r="CE24" s="303"/>
      <c r="CF24" s="303"/>
      <c r="CG24" s="323"/>
      <c r="CH24" s="297"/>
      <c r="CI24" s="307"/>
      <c r="CJ24" s="297"/>
      <c r="CK24" s="299"/>
      <c r="CL24" s="324"/>
      <c r="CM24" s="325"/>
      <c r="CN24" s="302"/>
      <c r="CO24" s="323"/>
      <c r="CP24" s="297"/>
      <c r="CQ24" s="307"/>
      <c r="CR24" s="306"/>
    </row>
    <row r="25" spans="1:96" s="275" customFormat="1" ht="12.75" x14ac:dyDescent="0.35">
      <c r="A25" s="309">
        <v>1935</v>
      </c>
      <c r="B25" s="322"/>
      <c r="C25" s="311"/>
      <c r="D25" s="303"/>
      <c r="E25" s="303"/>
      <c r="F25" s="303"/>
      <c r="G25" s="304"/>
      <c r="H25" s="323"/>
      <c r="I25" s="297"/>
      <c r="J25" s="307"/>
      <c r="K25" s="297"/>
      <c r="L25" s="299"/>
      <c r="M25" s="324"/>
      <c r="N25" s="324"/>
      <c r="O25" s="325"/>
      <c r="P25" s="302"/>
      <c r="Q25" s="303"/>
      <c r="R25" s="303"/>
      <c r="S25" s="304"/>
      <c r="T25" s="302"/>
      <c r="U25" s="303"/>
      <c r="V25" s="303"/>
      <c r="W25" s="305"/>
      <c r="X25" s="306"/>
      <c r="Y25" s="307"/>
      <c r="Z25" s="308"/>
      <c r="AA25" s="347">
        <v>1935</v>
      </c>
      <c r="AB25" s="345"/>
      <c r="AC25" s="331"/>
      <c r="AD25" s="331"/>
      <c r="AE25" s="331"/>
      <c r="AF25" s="331"/>
      <c r="AG25" s="409">
        <v>1647.952</v>
      </c>
      <c r="AH25" s="409"/>
      <c r="AI25" s="403"/>
      <c r="AJ25" s="297"/>
      <c r="AK25" s="350"/>
      <c r="AL25" s="297"/>
      <c r="AM25" s="404"/>
      <c r="AN25" s="340"/>
      <c r="AO25" s="358"/>
      <c r="AP25" s="358"/>
      <c r="AQ25" s="340"/>
      <c r="AR25" s="405"/>
      <c r="AS25" s="341"/>
      <c r="AT25" s="406"/>
      <c r="AU25" s="342"/>
      <c r="AV25" s="338"/>
      <c r="AW25" s="407"/>
      <c r="AX25" s="297"/>
      <c r="AY25" s="408"/>
      <c r="AZ25" s="306"/>
      <c r="BA25" s="442">
        <v>1935</v>
      </c>
      <c r="BB25" s="443"/>
      <c r="BC25" s="444">
        <v>10077.704</v>
      </c>
      <c r="BD25" s="414"/>
      <c r="BE25" s="414"/>
      <c r="BF25" s="404"/>
      <c r="BG25" s="338"/>
      <c r="BH25" s="341"/>
      <c r="BI25" s="341"/>
      <c r="BJ25" s="341"/>
      <c r="BK25" s="341"/>
      <c r="BL25" s="341"/>
      <c r="BM25" s="342"/>
      <c r="BN25" s="451"/>
      <c r="BO25" s="414"/>
      <c r="BP25" s="306"/>
      <c r="CA25" s="442">
        <v>1935</v>
      </c>
      <c r="CB25" s="443" t="s">
        <v>958</v>
      </c>
      <c r="CC25" s="322"/>
      <c r="CD25" s="311"/>
      <c r="CE25" s="303"/>
      <c r="CF25" s="303"/>
      <c r="CG25" s="323"/>
      <c r="CH25" s="297"/>
      <c r="CI25" s="307"/>
      <c r="CJ25" s="297"/>
      <c r="CK25" s="299"/>
      <c r="CL25" s="324"/>
      <c r="CM25" s="325"/>
      <c r="CN25" s="302"/>
      <c r="CO25" s="323"/>
      <c r="CP25" s="297"/>
      <c r="CQ25" s="307"/>
      <c r="CR25" s="306"/>
    </row>
    <row r="26" spans="1:96" s="275" customFormat="1" ht="12.75" x14ac:dyDescent="0.35">
      <c r="A26" s="309">
        <v>1936</v>
      </c>
      <c r="B26" s="322"/>
      <c r="C26" s="311"/>
      <c r="D26" s="303"/>
      <c r="E26" s="303"/>
      <c r="F26" s="303"/>
      <c r="G26" s="304"/>
      <c r="H26" s="323"/>
      <c r="I26" s="297"/>
      <c r="J26" s="307"/>
      <c r="K26" s="297"/>
      <c r="L26" s="299"/>
      <c r="M26" s="324"/>
      <c r="N26" s="324"/>
      <c r="O26" s="325"/>
      <c r="P26" s="302"/>
      <c r="Q26" s="303"/>
      <c r="R26" s="303"/>
      <c r="S26" s="304"/>
      <c r="T26" s="302"/>
      <c r="U26" s="303"/>
      <c r="V26" s="303"/>
      <c r="W26" s="305"/>
      <c r="X26" s="306"/>
      <c r="Y26" s="307"/>
      <c r="Z26" s="308"/>
      <c r="AA26" s="347">
        <v>1936</v>
      </c>
      <c r="AB26" s="345"/>
      <c r="AC26" s="331"/>
      <c r="AD26" s="331"/>
      <c r="AE26" s="331"/>
      <c r="AF26" s="331"/>
      <c r="AG26" s="409">
        <v>1753.616</v>
      </c>
      <c r="AH26" s="409"/>
      <c r="AI26" s="403"/>
      <c r="AJ26" s="297"/>
      <c r="AK26" s="350"/>
      <c r="AL26" s="297"/>
      <c r="AM26" s="404"/>
      <c r="AN26" s="340"/>
      <c r="AO26" s="358"/>
      <c r="AP26" s="358"/>
      <c r="AQ26" s="340"/>
      <c r="AR26" s="405"/>
      <c r="AS26" s="341"/>
      <c r="AT26" s="406"/>
      <c r="AU26" s="342"/>
      <c r="AV26" s="338"/>
      <c r="AW26" s="407"/>
      <c r="AX26" s="297"/>
      <c r="AY26" s="408"/>
      <c r="AZ26" s="306"/>
      <c r="BA26" s="442">
        <v>1936</v>
      </c>
      <c r="BB26" s="443"/>
      <c r="BC26" s="444">
        <v>10728.96</v>
      </c>
      <c r="BD26" s="414"/>
      <c r="BE26" s="414"/>
      <c r="BF26" s="404"/>
      <c r="BG26" s="338"/>
      <c r="BH26" s="341"/>
      <c r="BI26" s="341"/>
      <c r="BJ26" s="341"/>
      <c r="BK26" s="341"/>
      <c r="BL26" s="341"/>
      <c r="BM26" s="342"/>
      <c r="BN26" s="451"/>
      <c r="BO26" s="414"/>
      <c r="BP26" s="306"/>
      <c r="CA26" s="442">
        <v>1936</v>
      </c>
      <c r="CB26" s="443" t="s">
        <v>958</v>
      </c>
      <c r="CC26" s="322"/>
      <c r="CD26" s="311"/>
      <c r="CE26" s="303"/>
      <c r="CF26" s="303"/>
      <c r="CG26" s="323"/>
      <c r="CH26" s="297"/>
      <c r="CI26" s="307"/>
      <c r="CJ26" s="297"/>
      <c r="CK26" s="299"/>
      <c r="CL26" s="324"/>
      <c r="CM26" s="325"/>
      <c r="CN26" s="302"/>
      <c r="CO26" s="323"/>
      <c r="CP26" s="297"/>
      <c r="CQ26" s="307"/>
      <c r="CR26" s="306"/>
    </row>
    <row r="27" spans="1:96" s="275" customFormat="1" ht="12.75" x14ac:dyDescent="0.35">
      <c r="A27" s="309">
        <v>1937</v>
      </c>
      <c r="B27" s="322"/>
      <c r="C27" s="311"/>
      <c r="D27" s="303"/>
      <c r="E27" s="303"/>
      <c r="F27" s="303"/>
      <c r="G27" s="304"/>
      <c r="H27" s="323"/>
      <c r="I27" s="297"/>
      <c r="J27" s="307"/>
      <c r="K27" s="297"/>
      <c r="L27" s="299"/>
      <c r="M27" s="324"/>
      <c r="N27" s="324"/>
      <c r="O27" s="325"/>
      <c r="P27" s="302"/>
      <c r="Q27" s="303"/>
      <c r="R27" s="303"/>
      <c r="S27" s="304"/>
      <c r="T27" s="302"/>
      <c r="U27" s="303"/>
      <c r="V27" s="303"/>
      <c r="W27" s="305"/>
      <c r="X27" s="306"/>
      <c r="Y27" s="307"/>
      <c r="Z27" s="308"/>
      <c r="AA27" s="347">
        <v>1937</v>
      </c>
      <c r="AB27" s="345"/>
      <c r="AC27" s="331"/>
      <c r="AD27" s="331"/>
      <c r="AE27" s="331"/>
      <c r="AF27" s="331"/>
      <c r="AG27" s="409">
        <v>1786.1279999999999</v>
      </c>
      <c r="AH27" s="409"/>
      <c r="AI27" s="403"/>
      <c r="AJ27" s="297"/>
      <c r="AK27" s="350"/>
      <c r="AL27" s="297"/>
      <c r="AM27" s="404"/>
      <c r="AN27" s="340"/>
      <c r="AO27" s="358"/>
      <c r="AP27" s="358"/>
      <c r="AQ27" s="340"/>
      <c r="AR27" s="405"/>
      <c r="AS27" s="341"/>
      <c r="AT27" s="406"/>
      <c r="AU27" s="342"/>
      <c r="AV27" s="338"/>
      <c r="AW27" s="407"/>
      <c r="AX27" s="297"/>
      <c r="AY27" s="408"/>
      <c r="AZ27" s="306"/>
      <c r="BA27" s="442">
        <v>1937</v>
      </c>
      <c r="BB27" s="443"/>
      <c r="BC27" s="444">
        <v>10928.096</v>
      </c>
      <c r="BD27" s="414"/>
      <c r="BE27" s="414"/>
      <c r="BF27" s="404"/>
      <c r="BG27" s="338"/>
      <c r="BH27" s="341"/>
      <c r="BI27" s="341"/>
      <c r="BJ27" s="341"/>
      <c r="BK27" s="341"/>
      <c r="BL27" s="341"/>
      <c r="BM27" s="342"/>
      <c r="BN27" s="451"/>
      <c r="BO27" s="414"/>
      <c r="BP27" s="306"/>
      <c r="CA27" s="442">
        <v>1937</v>
      </c>
      <c r="CB27" s="443" t="s">
        <v>958</v>
      </c>
      <c r="CC27" s="322"/>
      <c r="CD27" s="311"/>
      <c r="CE27" s="303"/>
      <c r="CF27" s="303"/>
      <c r="CG27" s="323"/>
      <c r="CH27" s="297"/>
      <c r="CI27" s="307"/>
      <c r="CJ27" s="297"/>
      <c r="CK27" s="299"/>
      <c r="CL27" s="324"/>
      <c r="CM27" s="325"/>
      <c r="CN27" s="302"/>
      <c r="CO27" s="323"/>
      <c r="CP27" s="297"/>
      <c r="CQ27" s="307"/>
      <c r="CR27" s="306"/>
    </row>
    <row r="28" spans="1:96" s="275" customFormat="1" ht="12.75" x14ac:dyDescent="0.35">
      <c r="A28" s="309">
        <v>1938</v>
      </c>
      <c r="B28" s="322"/>
      <c r="C28" s="311"/>
      <c r="D28" s="303"/>
      <c r="E28" s="303"/>
      <c r="F28" s="303"/>
      <c r="G28" s="304"/>
      <c r="H28" s="323"/>
      <c r="I28" s="297"/>
      <c r="J28" s="307"/>
      <c r="K28" s="297"/>
      <c r="L28" s="299"/>
      <c r="M28" s="324"/>
      <c r="N28" s="324"/>
      <c r="O28" s="325"/>
      <c r="P28" s="302"/>
      <c r="Q28" s="303"/>
      <c r="R28" s="303"/>
      <c r="S28" s="304"/>
      <c r="T28" s="302"/>
      <c r="U28" s="303"/>
      <c r="V28" s="303"/>
      <c r="W28" s="305"/>
      <c r="X28" s="306"/>
      <c r="Y28" s="307"/>
      <c r="Z28" s="308"/>
      <c r="AA28" s="347">
        <v>1938</v>
      </c>
      <c r="AB28" s="345"/>
      <c r="AC28" s="331"/>
      <c r="AD28" s="331"/>
      <c r="AE28" s="331"/>
      <c r="AF28" s="331"/>
      <c r="AG28" s="409">
        <v>1775.9680000000001</v>
      </c>
      <c r="AH28" s="409"/>
      <c r="AI28" s="403"/>
      <c r="AJ28" s="297"/>
      <c r="AK28" s="350"/>
      <c r="AL28" s="297"/>
      <c r="AM28" s="404"/>
      <c r="AN28" s="340"/>
      <c r="AO28" s="358"/>
      <c r="AP28" s="358"/>
      <c r="AQ28" s="340"/>
      <c r="AR28" s="405"/>
      <c r="AS28" s="341"/>
      <c r="AT28" s="406"/>
      <c r="AU28" s="342"/>
      <c r="AV28" s="338"/>
      <c r="AW28" s="407"/>
      <c r="AX28" s="297"/>
      <c r="AY28" s="408"/>
      <c r="AZ28" s="306"/>
      <c r="BA28" s="442">
        <v>1938</v>
      </c>
      <c r="BB28" s="443"/>
      <c r="BC28" s="444">
        <v>8747.76</v>
      </c>
      <c r="BD28" s="414"/>
      <c r="BE28" s="414"/>
      <c r="BF28" s="404"/>
      <c r="BG28" s="338"/>
      <c r="BH28" s="341"/>
      <c r="BI28" s="341"/>
      <c r="BJ28" s="341"/>
      <c r="BK28" s="341"/>
      <c r="BL28" s="341"/>
      <c r="BM28" s="342"/>
      <c r="BN28" s="451"/>
      <c r="BO28" s="414"/>
      <c r="BP28" s="306"/>
      <c r="CA28" s="442">
        <v>1938</v>
      </c>
      <c r="CB28" s="443" t="s">
        <v>958</v>
      </c>
      <c r="CC28" s="322"/>
      <c r="CD28" s="311"/>
      <c r="CE28" s="303"/>
      <c r="CF28" s="303"/>
      <c r="CG28" s="323"/>
      <c r="CH28" s="297"/>
      <c r="CI28" s="307"/>
      <c r="CJ28" s="297"/>
      <c r="CK28" s="299"/>
      <c r="CL28" s="324"/>
      <c r="CM28" s="325"/>
      <c r="CN28" s="302"/>
      <c r="CO28" s="323"/>
      <c r="CP28" s="297"/>
      <c r="CQ28" s="307"/>
      <c r="CR28" s="306"/>
    </row>
    <row r="29" spans="1:96" s="275" customFormat="1" ht="12.75" x14ac:dyDescent="0.35">
      <c r="A29" s="309">
        <v>1939</v>
      </c>
      <c r="B29" s="322"/>
      <c r="C29" s="311"/>
      <c r="D29" s="303"/>
      <c r="E29" s="303"/>
      <c r="F29" s="303"/>
      <c r="G29" s="304"/>
      <c r="H29" s="323"/>
      <c r="I29" s="297"/>
      <c r="J29" s="307"/>
      <c r="K29" s="297"/>
      <c r="L29" s="299"/>
      <c r="M29" s="324"/>
      <c r="N29" s="324"/>
      <c r="O29" s="325"/>
      <c r="P29" s="302"/>
      <c r="Q29" s="303"/>
      <c r="R29" s="303"/>
      <c r="S29" s="304"/>
      <c r="T29" s="302"/>
      <c r="U29" s="303"/>
      <c r="V29" s="303"/>
      <c r="W29" s="305"/>
      <c r="X29" s="306"/>
      <c r="Y29" s="307"/>
      <c r="Z29" s="308"/>
      <c r="AA29" s="347">
        <v>1939</v>
      </c>
      <c r="AB29" s="345"/>
      <c r="AC29" s="331"/>
      <c r="AD29" s="331"/>
      <c r="AE29" s="331"/>
      <c r="AF29" s="331"/>
      <c r="AG29" s="409">
        <v>1735.328</v>
      </c>
      <c r="AH29" s="409"/>
      <c r="AI29" s="403"/>
      <c r="AJ29" s="297"/>
      <c r="AK29" s="350"/>
      <c r="AL29" s="297"/>
      <c r="AM29" s="404"/>
      <c r="AN29" s="340"/>
      <c r="AO29" s="358"/>
      <c r="AP29" s="358"/>
      <c r="AQ29" s="340"/>
      <c r="AR29" s="405"/>
      <c r="AS29" s="341"/>
      <c r="AT29" s="406"/>
      <c r="AU29" s="342"/>
      <c r="AV29" s="338"/>
      <c r="AW29" s="407"/>
      <c r="AX29" s="297"/>
      <c r="AY29" s="408"/>
      <c r="AZ29" s="306"/>
      <c r="BA29" s="442">
        <v>1939</v>
      </c>
      <c r="BB29" s="443"/>
      <c r="BC29" s="444">
        <v>8625.84</v>
      </c>
      <c r="BD29" s="414"/>
      <c r="BE29" s="414"/>
      <c r="BF29" s="404"/>
      <c r="BG29" s="338"/>
      <c r="BH29" s="341"/>
      <c r="BI29" s="341"/>
      <c r="BJ29" s="341"/>
      <c r="BK29" s="341"/>
      <c r="BL29" s="341"/>
      <c r="BM29" s="342"/>
      <c r="BN29" s="451"/>
      <c r="BO29" s="414"/>
      <c r="BP29" s="306"/>
      <c r="CA29" s="442">
        <v>1939</v>
      </c>
      <c r="CB29" s="443" t="s">
        <v>958</v>
      </c>
      <c r="CC29" s="322"/>
      <c r="CD29" s="311"/>
      <c r="CE29" s="303"/>
      <c r="CF29" s="303"/>
      <c r="CG29" s="323"/>
      <c r="CH29" s="297"/>
      <c r="CI29" s="307"/>
      <c r="CJ29" s="297"/>
      <c r="CK29" s="299"/>
      <c r="CL29" s="324"/>
      <c r="CM29" s="325"/>
      <c r="CN29" s="302"/>
      <c r="CO29" s="323"/>
      <c r="CP29" s="297"/>
      <c r="CQ29" s="307"/>
      <c r="CR29" s="306"/>
    </row>
    <row r="30" spans="1:96" s="275" customFormat="1" ht="12.75" x14ac:dyDescent="0.35">
      <c r="A30" s="309">
        <v>1940</v>
      </c>
      <c r="B30" s="326"/>
      <c r="C30" s="303"/>
      <c r="D30" s="303"/>
      <c r="E30" s="303"/>
      <c r="F30" s="303"/>
      <c r="G30" s="304"/>
      <c r="H30" s="323"/>
      <c r="I30" s="297"/>
      <c r="J30" s="307"/>
      <c r="K30" s="297"/>
      <c r="L30" s="299"/>
      <c r="M30" s="324"/>
      <c r="N30" s="324"/>
      <c r="O30" s="325"/>
      <c r="P30" s="302"/>
      <c r="Q30" s="303"/>
      <c r="R30" s="303"/>
      <c r="S30" s="304"/>
      <c r="T30" s="302"/>
      <c r="U30" s="303"/>
      <c r="V30" s="303"/>
      <c r="W30" s="305"/>
      <c r="X30" s="306"/>
      <c r="Y30" s="307"/>
      <c r="Z30" s="308"/>
      <c r="AA30" s="347">
        <v>1940</v>
      </c>
      <c r="AB30" s="345"/>
      <c r="AC30" s="331"/>
      <c r="AD30" s="331"/>
      <c r="AE30" s="331"/>
      <c r="AF30" s="331"/>
      <c r="AG30" s="409">
        <v>1670.3040000000001</v>
      </c>
      <c r="AH30" s="409"/>
      <c r="AI30" s="403"/>
      <c r="AJ30" s="297"/>
      <c r="AK30" s="350"/>
      <c r="AL30" s="297"/>
      <c r="AM30" s="404"/>
      <c r="AN30" s="340"/>
      <c r="AO30" s="358"/>
      <c r="AP30" s="358"/>
      <c r="AQ30" s="340"/>
      <c r="AR30" s="405"/>
      <c r="AS30" s="341"/>
      <c r="AT30" s="406"/>
      <c r="AU30" s="342"/>
      <c r="AV30" s="338"/>
      <c r="AW30" s="407"/>
      <c r="AX30" s="297"/>
      <c r="AY30" s="408"/>
      <c r="AZ30" s="306"/>
      <c r="BA30" s="442">
        <v>1940</v>
      </c>
      <c r="BB30" s="443"/>
      <c r="BC30" s="444">
        <v>8219.44</v>
      </c>
      <c r="BD30" s="414"/>
      <c r="BE30" s="414"/>
      <c r="BF30" s="404"/>
      <c r="BG30" s="338"/>
      <c r="BH30" s="341"/>
      <c r="BI30" s="341"/>
      <c r="BJ30" s="341"/>
      <c r="BK30" s="341"/>
      <c r="BL30" s="341"/>
      <c r="BM30" s="342"/>
      <c r="BN30" s="451"/>
      <c r="BO30" s="414"/>
      <c r="BP30" s="306"/>
      <c r="CA30" s="442">
        <v>1940</v>
      </c>
      <c r="CB30" s="443" t="s">
        <v>958</v>
      </c>
      <c r="CC30" s="326"/>
      <c r="CD30" s="303"/>
      <c r="CE30" s="303"/>
      <c r="CF30" s="303"/>
      <c r="CG30" s="323"/>
      <c r="CH30" s="297"/>
      <c r="CI30" s="307"/>
      <c r="CJ30" s="297"/>
      <c r="CK30" s="299"/>
      <c r="CL30" s="324"/>
      <c r="CM30" s="325"/>
      <c r="CN30" s="302"/>
      <c r="CO30" s="323"/>
      <c r="CP30" s="297"/>
      <c r="CQ30" s="307"/>
      <c r="CR30" s="306"/>
    </row>
    <row r="31" spans="1:96" s="275" customFormat="1" ht="12.75" x14ac:dyDescent="0.35">
      <c r="A31" s="309">
        <v>1941</v>
      </c>
      <c r="B31" s="326"/>
      <c r="C31" s="303"/>
      <c r="D31" s="303"/>
      <c r="E31" s="303"/>
      <c r="F31" s="303"/>
      <c r="G31" s="304"/>
      <c r="H31" s="323"/>
      <c r="I31" s="297"/>
      <c r="J31" s="307"/>
      <c r="K31" s="297"/>
      <c r="L31" s="299"/>
      <c r="M31" s="324"/>
      <c r="N31" s="324"/>
      <c r="O31" s="325"/>
      <c r="P31" s="302"/>
      <c r="Q31" s="303"/>
      <c r="R31" s="303"/>
      <c r="S31" s="304"/>
      <c r="T31" s="302"/>
      <c r="U31" s="303"/>
      <c r="V31" s="303"/>
      <c r="W31" s="305"/>
      <c r="X31" s="306"/>
      <c r="Y31" s="307"/>
      <c r="Z31" s="308"/>
      <c r="AA31" s="347">
        <v>1941</v>
      </c>
      <c r="AB31" s="345"/>
      <c r="AC31" s="331"/>
      <c r="AD31" s="331"/>
      <c r="AE31" s="331"/>
      <c r="AF31" s="331"/>
      <c r="AG31" s="409">
        <v>1793.24</v>
      </c>
      <c r="AH31" s="409"/>
      <c r="AI31" s="403"/>
      <c r="AJ31" s="297"/>
      <c r="AK31" s="350"/>
      <c r="AL31" s="297"/>
      <c r="AM31" s="404"/>
      <c r="AN31" s="340"/>
      <c r="AO31" s="358"/>
      <c r="AP31" s="358"/>
      <c r="AQ31" s="340"/>
      <c r="AR31" s="405"/>
      <c r="AS31" s="341"/>
      <c r="AT31" s="406"/>
      <c r="AU31" s="342"/>
      <c r="AV31" s="338"/>
      <c r="AW31" s="407"/>
      <c r="AX31" s="297"/>
      <c r="AY31" s="408"/>
      <c r="AZ31" s="306"/>
      <c r="BA31" s="442">
        <v>1941</v>
      </c>
      <c r="BB31" s="443"/>
      <c r="BC31" s="444">
        <v>8829.0400000000009</v>
      </c>
      <c r="BD31" s="414"/>
      <c r="BE31" s="414"/>
      <c r="BF31" s="404"/>
      <c r="BG31" s="338"/>
      <c r="BH31" s="341"/>
      <c r="BI31" s="341"/>
      <c r="BJ31" s="341"/>
      <c r="BK31" s="341"/>
      <c r="BL31" s="341"/>
      <c r="BM31" s="342"/>
      <c r="BN31" s="451"/>
      <c r="BO31" s="414"/>
      <c r="BP31" s="306"/>
      <c r="CA31" s="442">
        <v>1941</v>
      </c>
      <c r="CB31" s="443" t="s">
        <v>958</v>
      </c>
      <c r="CC31" s="326"/>
      <c r="CD31" s="303"/>
      <c r="CE31" s="303"/>
      <c r="CF31" s="303"/>
      <c r="CG31" s="323"/>
      <c r="CH31" s="297"/>
      <c r="CI31" s="307"/>
      <c r="CJ31" s="297"/>
      <c r="CK31" s="299"/>
      <c r="CL31" s="324"/>
      <c r="CM31" s="325"/>
      <c r="CN31" s="302"/>
      <c r="CO31" s="323"/>
      <c r="CP31" s="297"/>
      <c r="CQ31" s="307"/>
      <c r="CR31" s="306"/>
    </row>
    <row r="32" spans="1:96" s="275" customFormat="1" ht="12.75" x14ac:dyDescent="0.35">
      <c r="A32" s="309">
        <v>1942</v>
      </c>
      <c r="B32" s="326"/>
      <c r="C32" s="303"/>
      <c r="D32" s="303"/>
      <c r="E32" s="303"/>
      <c r="F32" s="303"/>
      <c r="G32" s="304"/>
      <c r="H32" s="323"/>
      <c r="I32" s="297"/>
      <c r="J32" s="307"/>
      <c r="K32" s="297"/>
      <c r="L32" s="299"/>
      <c r="M32" s="324"/>
      <c r="N32" s="327"/>
      <c r="O32" s="328"/>
      <c r="P32" s="329"/>
      <c r="Q32" s="311"/>
      <c r="R32" s="303"/>
      <c r="S32" s="304"/>
      <c r="T32" s="302"/>
      <c r="U32" s="303"/>
      <c r="V32" s="303"/>
      <c r="W32" s="305"/>
      <c r="X32" s="306"/>
      <c r="Y32" s="307"/>
      <c r="Z32" s="308"/>
      <c r="AA32" s="347">
        <v>1942</v>
      </c>
      <c r="AB32" s="345"/>
      <c r="AC32" s="331"/>
      <c r="AD32" s="331"/>
      <c r="AE32" s="331"/>
      <c r="AF32" s="331"/>
      <c r="AG32" s="409">
        <v>1928.3679999999999</v>
      </c>
      <c r="AH32" s="409"/>
      <c r="AI32" s="403"/>
      <c r="AJ32" s="297"/>
      <c r="AK32" s="350"/>
      <c r="AL32" s="297"/>
      <c r="AM32" s="404"/>
      <c r="AN32" s="340"/>
      <c r="AO32" s="358"/>
      <c r="AP32" s="358"/>
      <c r="AQ32" s="340"/>
      <c r="AR32" s="405"/>
      <c r="AS32" s="341"/>
      <c r="AT32" s="406"/>
      <c r="AU32" s="342"/>
      <c r="AV32" s="338"/>
      <c r="AW32" s="407"/>
      <c r="AX32" s="297"/>
      <c r="AY32" s="408"/>
      <c r="AZ32" s="306"/>
      <c r="BA32" s="442">
        <v>1942</v>
      </c>
      <c r="BB32" s="443"/>
      <c r="BC32" s="444">
        <v>9428.48</v>
      </c>
      <c r="BD32" s="415"/>
      <c r="BE32" s="415"/>
      <c r="BF32" s="404"/>
      <c r="BG32" s="338"/>
      <c r="BH32" s="341"/>
      <c r="BI32" s="341"/>
      <c r="BJ32" s="341"/>
      <c r="BK32" s="341"/>
      <c r="BL32" s="341"/>
      <c r="BM32" s="342"/>
      <c r="BN32" s="451"/>
      <c r="BO32" s="415"/>
      <c r="BP32" s="297"/>
      <c r="CA32" s="442">
        <v>1942</v>
      </c>
      <c r="CB32" s="443" t="s">
        <v>958</v>
      </c>
      <c r="CC32" s="326"/>
      <c r="CD32" s="303"/>
      <c r="CE32" s="303"/>
      <c r="CF32" s="303"/>
      <c r="CG32" s="323"/>
      <c r="CH32" s="297"/>
      <c r="CI32" s="307"/>
      <c r="CJ32" s="297"/>
      <c r="CK32" s="299"/>
      <c r="CL32" s="327"/>
      <c r="CM32" s="328"/>
      <c r="CN32" s="329"/>
      <c r="CO32" s="323"/>
      <c r="CP32" s="297"/>
      <c r="CQ32" s="307"/>
      <c r="CR32" s="306"/>
    </row>
    <row r="33" spans="1:96" s="275" customFormat="1" ht="12.75" x14ac:dyDescent="0.35">
      <c r="A33" s="309">
        <v>1943</v>
      </c>
      <c r="B33" s="326"/>
      <c r="C33" s="303"/>
      <c r="D33" s="303"/>
      <c r="E33" s="303"/>
      <c r="F33" s="303"/>
      <c r="G33" s="304"/>
      <c r="H33" s="323"/>
      <c r="I33" s="297"/>
      <c r="J33" s="307"/>
      <c r="K33" s="297"/>
      <c r="L33" s="299"/>
      <c r="M33" s="324"/>
      <c r="N33" s="327"/>
      <c r="O33" s="328"/>
      <c r="P33" s="329"/>
      <c r="Q33" s="311"/>
      <c r="R33" s="303"/>
      <c r="S33" s="304"/>
      <c r="T33" s="302"/>
      <c r="U33" s="303"/>
      <c r="V33" s="303"/>
      <c r="W33" s="305"/>
      <c r="X33" s="306"/>
      <c r="Y33" s="307"/>
      <c r="Z33" s="308"/>
      <c r="AA33" s="347">
        <v>1943</v>
      </c>
      <c r="AB33" s="345"/>
      <c r="AC33" s="331"/>
      <c r="AD33" s="331"/>
      <c r="AE33" s="331"/>
      <c r="AF33" s="331"/>
      <c r="AG33" s="409">
        <v>1981.2</v>
      </c>
      <c r="AH33" s="409"/>
      <c r="AI33" s="403"/>
      <c r="AJ33" s="297"/>
      <c r="AK33" s="350"/>
      <c r="AL33" s="297"/>
      <c r="AM33" s="404"/>
      <c r="AN33" s="340"/>
      <c r="AO33" s="358"/>
      <c r="AP33" s="358"/>
      <c r="AQ33" s="340"/>
      <c r="AR33" s="405"/>
      <c r="AS33" s="341"/>
      <c r="AT33" s="406"/>
      <c r="AU33" s="342"/>
      <c r="AV33" s="338"/>
      <c r="AW33" s="407"/>
      <c r="AX33" s="297"/>
      <c r="AY33" s="408"/>
      <c r="AZ33" s="306"/>
      <c r="BA33" s="442">
        <v>1943</v>
      </c>
      <c r="BB33" s="443"/>
      <c r="BC33" s="444">
        <v>9479.2800000000007</v>
      </c>
      <c r="BD33" s="414"/>
      <c r="BE33" s="414"/>
      <c r="BF33" s="404"/>
      <c r="BG33" s="338"/>
      <c r="BH33" s="341"/>
      <c r="BI33" s="341"/>
      <c r="BJ33" s="341"/>
      <c r="BK33" s="341"/>
      <c r="BL33" s="341"/>
      <c r="BM33" s="342"/>
      <c r="BN33" s="451"/>
      <c r="BO33" s="414"/>
      <c r="BP33" s="306"/>
      <c r="CA33" s="442">
        <v>1943</v>
      </c>
      <c r="CB33" s="443" t="s">
        <v>958</v>
      </c>
      <c r="CC33" s="326"/>
      <c r="CD33" s="303"/>
      <c r="CE33" s="303"/>
      <c r="CF33" s="303"/>
      <c r="CG33" s="323"/>
      <c r="CH33" s="297"/>
      <c r="CI33" s="307"/>
      <c r="CJ33" s="297"/>
      <c r="CK33" s="299"/>
      <c r="CL33" s="327"/>
      <c r="CM33" s="328"/>
      <c r="CN33" s="329"/>
      <c r="CO33" s="323"/>
      <c r="CP33" s="297"/>
      <c r="CQ33" s="307"/>
      <c r="CR33" s="306"/>
    </row>
    <row r="34" spans="1:96" s="275" customFormat="1" ht="12.75" x14ac:dyDescent="0.35">
      <c r="A34" s="309">
        <v>1944</v>
      </c>
      <c r="B34" s="326"/>
      <c r="C34" s="303"/>
      <c r="D34" s="303"/>
      <c r="E34" s="303"/>
      <c r="F34" s="303"/>
      <c r="G34" s="304"/>
      <c r="H34" s="323"/>
      <c r="I34" s="297"/>
      <c r="J34" s="307"/>
      <c r="K34" s="297"/>
      <c r="L34" s="299"/>
      <c r="M34" s="324"/>
      <c r="N34" s="327"/>
      <c r="O34" s="328"/>
      <c r="P34" s="329"/>
      <c r="Q34" s="311"/>
      <c r="R34" s="303"/>
      <c r="S34" s="304"/>
      <c r="T34" s="302"/>
      <c r="U34" s="303"/>
      <c r="V34" s="303"/>
      <c r="W34" s="305"/>
      <c r="X34" s="306"/>
      <c r="Y34" s="307"/>
      <c r="Z34" s="308"/>
      <c r="AA34" s="347">
        <v>1944</v>
      </c>
      <c r="AB34" s="345"/>
      <c r="AC34" s="331"/>
      <c r="AD34" s="331"/>
      <c r="AE34" s="331"/>
      <c r="AF34" s="331"/>
      <c r="AG34" s="409">
        <v>2073.6559999999999</v>
      </c>
      <c r="AH34" s="409"/>
      <c r="AI34" s="403"/>
      <c r="AJ34" s="297"/>
      <c r="AK34" s="350"/>
      <c r="AL34" s="297"/>
      <c r="AM34" s="404"/>
      <c r="AN34" s="340"/>
      <c r="AO34" s="358"/>
      <c r="AP34" s="358"/>
      <c r="AQ34" s="340"/>
      <c r="AR34" s="405"/>
      <c r="AS34" s="341"/>
      <c r="AT34" s="406"/>
      <c r="AU34" s="342"/>
      <c r="AV34" s="338"/>
      <c r="AW34" s="407"/>
      <c r="AX34" s="297"/>
      <c r="AY34" s="408"/>
      <c r="AZ34" s="306"/>
      <c r="BA34" s="442">
        <v>1944</v>
      </c>
      <c r="BB34" s="443"/>
      <c r="BC34" s="444">
        <v>9438.64</v>
      </c>
      <c r="BD34" s="414"/>
      <c r="BE34" s="414"/>
      <c r="BF34" s="404"/>
      <c r="BG34" s="338"/>
      <c r="BH34" s="341"/>
      <c r="BI34" s="341"/>
      <c r="BJ34" s="341"/>
      <c r="BK34" s="341"/>
      <c r="BL34" s="341"/>
      <c r="BM34" s="342"/>
      <c r="BN34" s="451"/>
      <c r="BO34" s="414"/>
      <c r="BP34" s="306"/>
      <c r="CA34" s="442">
        <v>1944</v>
      </c>
      <c r="CB34" s="443" t="s">
        <v>958</v>
      </c>
      <c r="CC34" s="326"/>
      <c r="CD34" s="303"/>
      <c r="CE34" s="303"/>
      <c r="CF34" s="303"/>
      <c r="CG34" s="323"/>
      <c r="CH34" s="297"/>
      <c r="CI34" s="307"/>
      <c r="CJ34" s="297"/>
      <c r="CK34" s="299"/>
      <c r="CL34" s="327"/>
      <c r="CM34" s="328"/>
      <c r="CN34" s="329"/>
      <c r="CO34" s="323"/>
      <c r="CP34" s="297"/>
      <c r="CQ34" s="307"/>
      <c r="CR34" s="306"/>
    </row>
    <row r="35" spans="1:96" s="275" customFormat="1" ht="12.75" x14ac:dyDescent="0.35">
      <c r="A35" s="309">
        <v>1945</v>
      </c>
      <c r="B35" s="326"/>
      <c r="C35" s="303"/>
      <c r="D35" s="303"/>
      <c r="E35" s="303"/>
      <c r="F35" s="303"/>
      <c r="G35" s="304"/>
      <c r="H35" s="323"/>
      <c r="I35" s="297"/>
      <c r="J35" s="307"/>
      <c r="K35" s="297"/>
      <c r="L35" s="299"/>
      <c r="M35" s="324"/>
      <c r="N35" s="327"/>
      <c r="O35" s="328"/>
      <c r="P35" s="329"/>
      <c r="Q35" s="311"/>
      <c r="R35" s="303"/>
      <c r="S35" s="304"/>
      <c r="T35" s="302"/>
      <c r="U35" s="303"/>
      <c r="V35" s="303"/>
      <c r="W35" s="305"/>
      <c r="X35" s="306"/>
      <c r="Y35" s="307"/>
      <c r="Z35" s="308"/>
      <c r="AA35" s="347">
        <v>1945</v>
      </c>
      <c r="AB35" s="345"/>
      <c r="AC35" s="331"/>
      <c r="AD35" s="331"/>
      <c r="AE35" s="331"/>
      <c r="AF35" s="331"/>
      <c r="AG35" s="409">
        <v>2208.7840000000001</v>
      </c>
      <c r="AH35" s="409"/>
      <c r="AI35" s="403"/>
      <c r="AJ35" s="297"/>
      <c r="AK35" s="350"/>
      <c r="AL35" s="297"/>
      <c r="AM35" s="404"/>
      <c r="AN35" s="340"/>
      <c r="AO35" s="358"/>
      <c r="AP35" s="358"/>
      <c r="AQ35" s="340"/>
      <c r="AR35" s="405"/>
      <c r="AS35" s="341"/>
      <c r="AT35" s="406"/>
      <c r="AU35" s="342"/>
      <c r="AV35" s="338"/>
      <c r="AW35" s="407"/>
      <c r="AX35" s="297"/>
      <c r="AY35" s="408"/>
      <c r="AZ35" s="306"/>
      <c r="BA35" s="442">
        <v>1945</v>
      </c>
      <c r="BB35" s="443"/>
      <c r="BC35" s="444">
        <v>9558.5280000000002</v>
      </c>
      <c r="BD35" s="414"/>
      <c r="BE35" s="414"/>
      <c r="BF35" s="404"/>
      <c r="BG35" s="338"/>
      <c r="BH35" s="341"/>
      <c r="BI35" s="341"/>
      <c r="BJ35" s="341"/>
      <c r="BK35" s="341"/>
      <c r="BL35" s="341"/>
      <c r="BM35" s="342"/>
      <c r="BN35" s="451"/>
      <c r="BO35" s="414"/>
      <c r="BP35" s="306"/>
      <c r="CA35" s="442">
        <v>1945</v>
      </c>
      <c r="CB35" s="443" t="s">
        <v>958</v>
      </c>
      <c r="CC35" s="326"/>
      <c r="CD35" s="303"/>
      <c r="CE35" s="303"/>
      <c r="CF35" s="303"/>
      <c r="CG35" s="323"/>
      <c r="CH35" s="297"/>
      <c r="CI35" s="307"/>
      <c r="CJ35" s="297"/>
      <c r="CK35" s="299"/>
      <c r="CL35" s="327"/>
      <c r="CM35" s="328"/>
      <c r="CN35" s="329"/>
      <c r="CO35" s="323"/>
      <c r="CP35" s="297"/>
      <c r="CQ35" s="307"/>
      <c r="CR35" s="306"/>
    </row>
    <row r="36" spans="1:96" s="275" customFormat="1" ht="12.75" x14ac:dyDescent="0.35">
      <c r="A36" s="309">
        <v>1946</v>
      </c>
      <c r="B36" s="326"/>
      <c r="C36" s="303"/>
      <c r="D36" s="303"/>
      <c r="E36" s="303"/>
      <c r="F36" s="303"/>
      <c r="G36" s="304"/>
      <c r="H36" s="323"/>
      <c r="I36" s="297"/>
      <c r="J36" s="307"/>
      <c r="K36" s="297"/>
      <c r="L36" s="299"/>
      <c r="M36" s="324"/>
      <c r="N36" s="327"/>
      <c r="O36" s="328"/>
      <c r="P36" s="329"/>
      <c r="Q36" s="311"/>
      <c r="R36" s="303"/>
      <c r="S36" s="304"/>
      <c r="T36" s="302"/>
      <c r="U36" s="303"/>
      <c r="V36" s="303"/>
      <c r="W36" s="305"/>
      <c r="X36" s="306"/>
      <c r="Y36" s="307"/>
      <c r="Z36" s="308"/>
      <c r="AA36" s="347">
        <v>1946</v>
      </c>
      <c r="AB36" s="345"/>
      <c r="AC36" s="331"/>
      <c r="AD36" s="331"/>
      <c r="AE36" s="331"/>
      <c r="AF36" s="331"/>
      <c r="AG36" s="409">
        <v>2399.7919999999999</v>
      </c>
      <c r="AH36" s="409"/>
      <c r="AI36" s="403"/>
      <c r="AJ36" s="297"/>
      <c r="AK36" s="350"/>
      <c r="AL36" s="297"/>
      <c r="AM36" s="404"/>
      <c r="AN36" s="340"/>
      <c r="AO36" s="358"/>
      <c r="AP36" s="358"/>
      <c r="AQ36" s="340"/>
      <c r="AR36" s="405"/>
      <c r="AS36" s="341"/>
      <c r="AT36" s="406"/>
      <c r="AU36" s="342"/>
      <c r="AV36" s="338"/>
      <c r="AW36" s="407"/>
      <c r="AX36" s="297"/>
      <c r="AY36" s="408"/>
      <c r="AZ36" s="306"/>
      <c r="BA36" s="442">
        <v>1946</v>
      </c>
      <c r="BB36" s="443"/>
      <c r="BC36" s="444">
        <v>10154.92</v>
      </c>
      <c r="BD36" s="414"/>
      <c r="BE36" s="414"/>
      <c r="BF36" s="404"/>
      <c r="BG36" s="338"/>
      <c r="BH36" s="341"/>
      <c r="BI36" s="341"/>
      <c r="BJ36" s="341"/>
      <c r="BK36" s="341"/>
      <c r="BL36" s="341"/>
      <c r="BM36" s="342"/>
      <c r="BN36" s="451"/>
      <c r="BO36" s="414"/>
      <c r="BP36" s="306"/>
      <c r="CA36" s="442">
        <v>1946</v>
      </c>
      <c r="CB36" s="443" t="s">
        <v>958</v>
      </c>
      <c r="CC36" s="326"/>
      <c r="CD36" s="303"/>
      <c r="CE36" s="303"/>
      <c r="CF36" s="303"/>
      <c r="CG36" s="323"/>
      <c r="CH36" s="297"/>
      <c r="CI36" s="307"/>
      <c r="CJ36" s="297"/>
      <c r="CK36" s="299"/>
      <c r="CL36" s="327"/>
      <c r="CM36" s="328"/>
      <c r="CN36" s="329"/>
      <c r="CO36" s="323"/>
      <c r="CP36" s="297"/>
      <c r="CQ36" s="307"/>
      <c r="CR36" s="306"/>
    </row>
    <row r="37" spans="1:96" s="275" customFormat="1" ht="12.75" x14ac:dyDescent="0.35">
      <c r="A37" s="309">
        <v>1947</v>
      </c>
      <c r="B37" s="326"/>
      <c r="C37" s="303"/>
      <c r="D37" s="303"/>
      <c r="E37" s="303"/>
      <c r="F37" s="303"/>
      <c r="G37" s="304"/>
      <c r="H37" s="323"/>
      <c r="I37" s="297"/>
      <c r="J37" s="307"/>
      <c r="K37" s="297"/>
      <c r="L37" s="299"/>
      <c r="M37" s="324"/>
      <c r="N37" s="327"/>
      <c r="O37" s="328"/>
      <c r="P37" s="329"/>
      <c r="Q37" s="311"/>
      <c r="R37" s="303"/>
      <c r="S37" s="304"/>
      <c r="T37" s="302"/>
      <c r="U37" s="303"/>
      <c r="V37" s="303"/>
      <c r="W37" s="305"/>
      <c r="X37" s="306"/>
      <c r="Y37" s="307"/>
      <c r="Z37" s="308"/>
      <c r="AA37" s="347">
        <v>1947</v>
      </c>
      <c r="AB37" s="345"/>
      <c r="AC37" s="331"/>
      <c r="AD37" s="331"/>
      <c r="AE37" s="331"/>
      <c r="AF37" s="331"/>
      <c r="AG37" s="409">
        <v>2411.9839999999999</v>
      </c>
      <c r="AH37" s="409"/>
      <c r="AI37" s="403"/>
      <c r="AJ37" s="297"/>
      <c r="AK37" s="350"/>
      <c r="AL37" s="297"/>
      <c r="AM37" s="404"/>
      <c r="AN37" s="340"/>
      <c r="AO37" s="358"/>
      <c r="AP37" s="358"/>
      <c r="AQ37" s="340"/>
      <c r="AR37" s="405"/>
      <c r="AS37" s="341"/>
      <c r="AT37" s="406"/>
      <c r="AU37" s="342"/>
      <c r="AV37" s="338"/>
      <c r="AW37" s="407"/>
      <c r="AX37" s="297"/>
      <c r="AY37" s="408"/>
      <c r="AZ37" s="306"/>
      <c r="BA37" s="442">
        <v>1947</v>
      </c>
      <c r="BB37" s="443"/>
      <c r="BC37" s="444">
        <v>10047.224</v>
      </c>
      <c r="BD37" s="414"/>
      <c r="BE37" s="414"/>
      <c r="BF37" s="404"/>
      <c r="BG37" s="338"/>
      <c r="BH37" s="341"/>
      <c r="BI37" s="341"/>
      <c r="BJ37" s="341"/>
      <c r="BK37" s="341"/>
      <c r="BL37" s="341"/>
      <c r="BM37" s="342"/>
      <c r="BN37" s="451"/>
      <c r="BO37" s="414"/>
      <c r="BP37" s="306"/>
      <c r="CA37" s="442">
        <v>1947</v>
      </c>
      <c r="CB37" s="443" t="s">
        <v>958</v>
      </c>
      <c r="CC37" s="326"/>
      <c r="CD37" s="303"/>
      <c r="CE37" s="303"/>
      <c r="CF37" s="303"/>
      <c r="CG37" s="323"/>
      <c r="CH37" s="297"/>
      <c r="CI37" s="307"/>
      <c r="CJ37" s="297"/>
      <c r="CK37" s="299"/>
      <c r="CL37" s="327"/>
      <c r="CM37" s="328"/>
      <c r="CN37" s="329"/>
      <c r="CO37" s="323"/>
      <c r="CP37" s="297"/>
      <c r="CQ37" s="307"/>
      <c r="CR37" s="306"/>
    </row>
    <row r="38" spans="1:96" s="275" customFormat="1" ht="12.75" x14ac:dyDescent="0.35">
      <c r="A38" s="309">
        <v>1948</v>
      </c>
      <c r="B38" s="326"/>
      <c r="C38" s="303"/>
      <c r="D38" s="303"/>
      <c r="E38" s="303"/>
      <c r="F38" s="303"/>
      <c r="G38" s="304"/>
      <c r="H38" s="323"/>
      <c r="I38" s="297"/>
      <c r="J38" s="307"/>
      <c r="K38" s="297"/>
      <c r="L38" s="299"/>
      <c r="M38" s="324"/>
      <c r="N38" s="327"/>
      <c r="O38" s="328"/>
      <c r="P38" s="329"/>
      <c r="Q38" s="311"/>
      <c r="R38" s="303"/>
      <c r="S38" s="304"/>
      <c r="T38" s="302"/>
      <c r="U38" s="303"/>
      <c r="V38" s="303"/>
      <c r="W38" s="305"/>
      <c r="X38" s="306"/>
      <c r="Y38" s="307"/>
      <c r="Z38" s="308"/>
      <c r="AA38" s="347">
        <v>1948</v>
      </c>
      <c r="AB38" s="345"/>
      <c r="AC38" s="331"/>
      <c r="AD38" s="331"/>
      <c r="AE38" s="331"/>
      <c r="AF38" s="331"/>
      <c r="AG38" s="409">
        <v>2662.9360000000001</v>
      </c>
      <c r="AH38" s="409"/>
      <c r="AI38" s="403"/>
      <c r="AJ38" s="297"/>
      <c r="AK38" s="350"/>
      <c r="AL38" s="297"/>
      <c r="AM38" s="404"/>
      <c r="AN38" s="340"/>
      <c r="AO38" s="358"/>
      <c r="AP38" s="358"/>
      <c r="AQ38" s="340"/>
      <c r="AR38" s="405"/>
      <c r="AS38" s="341"/>
      <c r="AT38" s="406"/>
      <c r="AU38" s="342"/>
      <c r="AV38" s="338"/>
      <c r="AW38" s="407"/>
      <c r="AX38" s="297"/>
      <c r="AY38" s="408"/>
      <c r="AZ38" s="306"/>
      <c r="BA38" s="442">
        <v>1948</v>
      </c>
      <c r="BB38" s="443"/>
      <c r="BC38" s="444">
        <v>11050.016</v>
      </c>
      <c r="BD38" s="414"/>
      <c r="BE38" s="414"/>
      <c r="BF38" s="404">
        <v>8589.2639999999992</v>
      </c>
      <c r="BG38" s="338">
        <v>7947.152</v>
      </c>
      <c r="BH38" s="447">
        <v>2336.8000000000002</v>
      </c>
      <c r="BI38" s="448">
        <v>43.688000000000002</v>
      </c>
      <c r="BJ38" s="341"/>
      <c r="BK38" s="341"/>
      <c r="BL38" s="341"/>
      <c r="BM38" s="449">
        <v>5566.6639999999998</v>
      </c>
      <c r="BN38" s="450">
        <v>642.11199999999997</v>
      </c>
      <c r="BO38" s="414"/>
      <c r="BP38" s="306"/>
      <c r="CA38" s="442">
        <v>1948</v>
      </c>
      <c r="CB38" s="443" t="s">
        <v>958</v>
      </c>
      <c r="CC38" s="326"/>
      <c r="CD38" s="303"/>
      <c r="CE38" s="303"/>
      <c r="CF38" s="303"/>
      <c r="CG38" s="323"/>
      <c r="CH38" s="297"/>
      <c r="CI38" s="307"/>
      <c r="CJ38" s="297"/>
      <c r="CK38" s="299"/>
      <c r="CL38" s="327"/>
      <c r="CM38" s="328"/>
      <c r="CN38" s="329"/>
      <c r="CO38" s="323"/>
      <c r="CP38" s="297"/>
      <c r="CQ38" s="307"/>
      <c r="CR38" s="306"/>
    </row>
    <row r="39" spans="1:96" s="275" customFormat="1" ht="12.75" x14ac:dyDescent="0.35">
      <c r="A39" s="309">
        <v>1949</v>
      </c>
      <c r="B39" s="326"/>
      <c r="C39" s="303"/>
      <c r="D39" s="303"/>
      <c r="E39" s="303"/>
      <c r="F39" s="303"/>
      <c r="G39" s="304"/>
      <c r="H39" s="323"/>
      <c r="I39" s="297"/>
      <c r="J39" s="307"/>
      <c r="K39" s="297"/>
      <c r="L39" s="299"/>
      <c r="M39" s="324"/>
      <c r="N39" s="327"/>
      <c r="O39" s="328"/>
      <c r="P39" s="329"/>
      <c r="Q39" s="311"/>
      <c r="R39" s="303"/>
      <c r="S39" s="304"/>
      <c r="T39" s="302"/>
      <c r="U39" s="303"/>
      <c r="V39" s="303"/>
      <c r="W39" s="305"/>
      <c r="X39" s="306"/>
      <c r="Y39" s="307"/>
      <c r="Z39" s="308"/>
      <c r="AA39" s="347">
        <v>1949</v>
      </c>
      <c r="AB39" s="345"/>
      <c r="AC39" s="331"/>
      <c r="AD39" s="331"/>
      <c r="AE39" s="331"/>
      <c r="AF39" s="331"/>
      <c r="AG39" s="409">
        <v>2587.752</v>
      </c>
      <c r="AH39" s="409"/>
      <c r="AI39" s="403"/>
      <c r="AJ39" s="297"/>
      <c r="AK39" s="350"/>
      <c r="AL39" s="297"/>
      <c r="AM39" s="404"/>
      <c r="AN39" s="340"/>
      <c r="AO39" s="358"/>
      <c r="AP39" s="358"/>
      <c r="AQ39" s="340"/>
      <c r="AR39" s="405"/>
      <c r="AS39" s="341"/>
      <c r="AT39" s="406"/>
      <c r="AU39" s="342"/>
      <c r="AV39" s="338"/>
      <c r="AW39" s="407"/>
      <c r="AX39" s="297"/>
      <c r="AY39" s="408"/>
      <c r="AZ39" s="306"/>
      <c r="BA39" s="442">
        <v>1949</v>
      </c>
      <c r="BB39" s="443"/>
      <c r="BC39" s="444">
        <v>11500.103999999999</v>
      </c>
      <c r="BD39" s="414"/>
      <c r="BE39" s="414"/>
      <c r="BF39" s="404">
        <v>9324.848</v>
      </c>
      <c r="BG39" s="338">
        <v>8527.2880000000005</v>
      </c>
      <c r="BH39" s="447">
        <v>2438.4</v>
      </c>
      <c r="BI39" s="448">
        <v>98.552000000000007</v>
      </c>
      <c r="BJ39" s="341"/>
      <c r="BK39" s="341"/>
      <c r="BL39" s="341"/>
      <c r="BM39" s="449">
        <v>5990.3360000000002</v>
      </c>
      <c r="BN39" s="450">
        <v>797.56</v>
      </c>
      <c r="BO39" s="414"/>
      <c r="BP39" s="306"/>
      <c r="CA39" s="442">
        <v>1949</v>
      </c>
      <c r="CB39" s="443" t="s">
        <v>958</v>
      </c>
      <c r="CC39" s="326"/>
      <c r="CD39" s="303"/>
      <c r="CE39" s="303"/>
      <c r="CF39" s="303"/>
      <c r="CG39" s="323"/>
      <c r="CH39" s="297"/>
      <c r="CI39" s="307"/>
      <c r="CJ39" s="297"/>
      <c r="CK39" s="299"/>
      <c r="CL39" s="327"/>
      <c r="CM39" s="328"/>
      <c r="CN39" s="329"/>
      <c r="CO39" s="323"/>
      <c r="CP39" s="297"/>
      <c r="CQ39" s="307"/>
      <c r="CR39" s="306"/>
    </row>
    <row r="40" spans="1:96" s="275" customFormat="1" ht="13.15" x14ac:dyDescent="0.4">
      <c r="A40" s="309">
        <v>1950</v>
      </c>
      <c r="B40" s="330">
        <v>15689.072</v>
      </c>
      <c r="C40" s="331" t="s">
        <v>100</v>
      </c>
      <c r="D40" s="331">
        <v>-866.64800000000002</v>
      </c>
      <c r="E40" s="331" t="s">
        <v>100</v>
      </c>
      <c r="F40" s="332">
        <v>208.28</v>
      </c>
      <c r="G40" s="333" t="s">
        <v>100</v>
      </c>
      <c r="H40" s="334">
        <v>15030.704</v>
      </c>
      <c r="I40" s="335">
        <f>B40/1.016</f>
        <v>15442</v>
      </c>
      <c r="J40" s="336">
        <v>53.847999999999999</v>
      </c>
      <c r="K40" s="335"/>
      <c r="L40" s="337">
        <v>14976.856</v>
      </c>
      <c r="M40" s="338">
        <v>10258.552</v>
      </c>
      <c r="N40" s="338" t="s">
        <v>100</v>
      </c>
      <c r="O40" s="339">
        <v>4718.3040000000001</v>
      </c>
      <c r="P40" s="340"/>
      <c r="Q40" s="341"/>
      <c r="R40" s="341"/>
      <c r="S40" s="342"/>
      <c r="T40" s="340">
        <v>304.8</v>
      </c>
      <c r="U40" s="341"/>
      <c r="V40" s="341">
        <v>4413.5039999999999</v>
      </c>
      <c r="W40" s="343"/>
      <c r="X40" s="306"/>
      <c r="Y40" s="344">
        <v>158.49600000000001</v>
      </c>
      <c r="Z40" s="308"/>
      <c r="AA40" s="309">
        <v>1950</v>
      </c>
      <c r="AB40" s="330">
        <v>972</v>
      </c>
      <c r="AC40" s="331" t="s">
        <v>54</v>
      </c>
      <c r="AD40" s="331" t="s">
        <v>54</v>
      </c>
      <c r="AE40" s="331" t="s">
        <v>54</v>
      </c>
      <c r="AF40" s="331" t="s">
        <v>54</v>
      </c>
      <c r="AG40" s="331">
        <v>2748</v>
      </c>
      <c r="AH40" s="409"/>
      <c r="AI40" s="403"/>
      <c r="AJ40" s="335"/>
      <c r="AK40" s="350"/>
      <c r="AL40" s="335"/>
      <c r="AM40" s="404"/>
      <c r="AN40" s="340"/>
      <c r="AO40" s="358"/>
      <c r="AP40" s="358"/>
      <c r="AQ40" s="340"/>
      <c r="AR40" s="405"/>
      <c r="AS40" s="341"/>
      <c r="AT40" s="406"/>
      <c r="AU40" s="342"/>
      <c r="AV40" s="338"/>
      <c r="AW40" s="407"/>
      <c r="AX40" s="335"/>
      <c r="AY40" s="408"/>
      <c r="AZ40" s="306"/>
      <c r="BA40" s="442">
        <v>1950</v>
      </c>
      <c r="BB40" s="443"/>
      <c r="BC40" s="444">
        <v>11956.288</v>
      </c>
      <c r="BD40" s="414"/>
      <c r="BE40" s="414"/>
      <c r="BF40" s="404">
        <v>10481.056</v>
      </c>
      <c r="BG40" s="338">
        <v>9620.5040000000008</v>
      </c>
      <c r="BH40" s="447">
        <v>2540</v>
      </c>
      <c r="BI40" s="448">
        <v>123.952</v>
      </c>
      <c r="BJ40" s="341"/>
      <c r="BK40" s="341"/>
      <c r="BL40" s="341"/>
      <c r="BM40" s="449">
        <v>6956.5519999999997</v>
      </c>
      <c r="BN40" s="450">
        <v>860.55200000000002</v>
      </c>
      <c r="BO40" s="414"/>
      <c r="BP40" s="306"/>
      <c r="CA40" s="442">
        <v>1950</v>
      </c>
      <c r="CB40" s="443" t="s">
        <v>958</v>
      </c>
      <c r="CC40" s="330"/>
      <c r="CD40" s="331"/>
      <c r="CE40" s="331"/>
      <c r="CF40" s="331"/>
      <c r="CG40" s="334"/>
      <c r="CH40" s="335"/>
      <c r="CI40" s="336"/>
      <c r="CJ40" s="335"/>
      <c r="CK40" s="337"/>
      <c r="CL40" s="338"/>
      <c r="CM40" s="339"/>
      <c r="CN40" s="340"/>
      <c r="CO40" s="451"/>
      <c r="CP40" s="335"/>
      <c r="CQ40" s="336"/>
      <c r="CR40" s="306"/>
    </row>
    <row r="41" spans="1:96" s="275" customFormat="1" ht="13.15" x14ac:dyDescent="0.4">
      <c r="A41" s="309">
        <v>1951</v>
      </c>
      <c r="B41" s="330">
        <v>16353.536</v>
      </c>
      <c r="C41" s="345" t="s">
        <v>100</v>
      </c>
      <c r="D41" s="331">
        <v>-153.416</v>
      </c>
      <c r="E41" s="331" t="s">
        <v>100</v>
      </c>
      <c r="F41" s="332">
        <v>51.816000000000003</v>
      </c>
      <c r="G41" s="333" t="s">
        <v>100</v>
      </c>
      <c r="H41" s="334">
        <v>16224.504000000001</v>
      </c>
      <c r="I41" s="335">
        <f t="shared" ref="I41:I73" si="0">B41/1.016</f>
        <v>16096</v>
      </c>
      <c r="J41" s="336">
        <v>-55.88</v>
      </c>
      <c r="K41" s="335"/>
      <c r="L41" s="337">
        <v>16280.384</v>
      </c>
      <c r="M41" s="338">
        <v>10746.232</v>
      </c>
      <c r="N41" s="338" t="s">
        <v>100</v>
      </c>
      <c r="O41" s="339">
        <v>5534.152</v>
      </c>
      <c r="P41" s="340"/>
      <c r="Q41" s="341"/>
      <c r="R41" s="341"/>
      <c r="S41" s="342"/>
      <c r="T41" s="340">
        <v>304.8</v>
      </c>
      <c r="U41" s="341"/>
      <c r="V41" s="341">
        <v>5229.3519999999999</v>
      </c>
      <c r="W41" s="343"/>
      <c r="X41" s="306"/>
      <c r="Y41" s="346">
        <v>106.68</v>
      </c>
      <c r="Z41" s="308"/>
      <c r="AA41" s="309">
        <v>1951</v>
      </c>
      <c r="AB41" s="330">
        <v>1017</v>
      </c>
      <c r="AC41" s="331" t="s">
        <v>54</v>
      </c>
      <c r="AD41" s="331" t="s">
        <v>54</v>
      </c>
      <c r="AE41" s="331" t="s">
        <v>54</v>
      </c>
      <c r="AF41" s="331" t="s">
        <v>54</v>
      </c>
      <c r="AG41" s="331">
        <v>2732</v>
      </c>
      <c r="AH41" s="409"/>
      <c r="AI41" s="403"/>
      <c r="AJ41" s="335"/>
      <c r="AK41" s="350"/>
      <c r="AL41" s="335"/>
      <c r="AM41" s="404"/>
      <c r="AN41" s="340"/>
      <c r="AO41" s="358"/>
      <c r="AP41" s="358"/>
      <c r="AQ41" s="340"/>
      <c r="AR41" s="405"/>
      <c r="AS41" s="341"/>
      <c r="AT41" s="406"/>
      <c r="AU41" s="342"/>
      <c r="AV41" s="338"/>
      <c r="AW41" s="407"/>
      <c r="AX41" s="335"/>
      <c r="AY41" s="336"/>
      <c r="AZ41" s="306"/>
      <c r="BA41" s="442">
        <v>1951</v>
      </c>
      <c r="BB41" s="443"/>
      <c r="BC41" s="444">
        <v>12551.664000000001</v>
      </c>
      <c r="BD41" s="414"/>
      <c r="BE41" s="414"/>
      <c r="BF41" s="404">
        <v>10570.464000000002</v>
      </c>
      <c r="BG41" s="338">
        <v>10421.112000000001</v>
      </c>
      <c r="BH41" s="447">
        <v>2438.4</v>
      </c>
      <c r="BI41" s="448">
        <v>131.06399999999999</v>
      </c>
      <c r="BJ41" s="341"/>
      <c r="BK41" s="341"/>
      <c r="BL41" s="341"/>
      <c r="BM41" s="449">
        <v>7851.6480000000001</v>
      </c>
      <c r="BN41" s="450">
        <v>149.352</v>
      </c>
      <c r="BO41" s="414"/>
      <c r="BP41" s="306"/>
      <c r="CA41" s="442">
        <v>1951</v>
      </c>
      <c r="CB41" s="443" t="s">
        <v>958</v>
      </c>
      <c r="CC41" s="330"/>
      <c r="CD41" s="331"/>
      <c r="CE41" s="331"/>
      <c r="CF41" s="331"/>
      <c r="CG41" s="334"/>
      <c r="CH41" s="335"/>
      <c r="CI41" s="336"/>
      <c r="CJ41" s="335"/>
      <c r="CK41" s="337"/>
      <c r="CL41" s="338"/>
      <c r="CM41" s="339"/>
      <c r="CN41" s="340"/>
      <c r="CO41" s="451"/>
      <c r="CP41" s="335"/>
      <c r="CQ41" s="336"/>
      <c r="CR41" s="306"/>
    </row>
    <row r="42" spans="1:96" s="275" customFormat="1" ht="13.15" x14ac:dyDescent="0.4">
      <c r="A42" s="309">
        <v>1952</v>
      </c>
      <c r="B42" s="330">
        <v>17365.472000000002</v>
      </c>
      <c r="C42" s="331" t="s">
        <v>100</v>
      </c>
      <c r="D42" s="331">
        <v>-427.73599999999999</v>
      </c>
      <c r="E42" s="331" t="s">
        <v>100</v>
      </c>
      <c r="F42" s="332">
        <v>-179.83199999999999</v>
      </c>
      <c r="G42" s="333" t="s">
        <v>100</v>
      </c>
      <c r="H42" s="334">
        <v>16757.903999999999</v>
      </c>
      <c r="I42" s="335">
        <f t="shared" si="0"/>
        <v>17092</v>
      </c>
      <c r="J42" s="336">
        <v>-97.536000000000001</v>
      </c>
      <c r="K42" s="335"/>
      <c r="L42" s="337">
        <v>16855.439999999999</v>
      </c>
      <c r="M42" s="338">
        <v>11864.848</v>
      </c>
      <c r="N42" s="338" t="s">
        <v>100</v>
      </c>
      <c r="O42" s="339">
        <v>4990.5919999999996</v>
      </c>
      <c r="P42" s="340">
        <v>1302.5119999999999</v>
      </c>
      <c r="Q42" s="341">
        <v>1398.0160000000001</v>
      </c>
      <c r="R42" s="341"/>
      <c r="S42" s="342">
        <v>843.28</v>
      </c>
      <c r="T42" s="340">
        <v>306.83199999999999</v>
      </c>
      <c r="U42" s="341"/>
      <c r="V42" s="341">
        <v>1139.952</v>
      </c>
      <c r="W42" s="343"/>
      <c r="X42" s="306"/>
      <c r="Y42" s="346">
        <v>286.512</v>
      </c>
      <c r="Z42" s="308"/>
      <c r="AA42" s="309">
        <v>1952</v>
      </c>
      <c r="AB42" s="330">
        <v>1057</v>
      </c>
      <c r="AC42" s="331" t="s">
        <v>54</v>
      </c>
      <c r="AD42" s="331" t="s">
        <v>54</v>
      </c>
      <c r="AE42" s="331" t="s">
        <v>54</v>
      </c>
      <c r="AF42" s="331" t="s">
        <v>54</v>
      </c>
      <c r="AG42" s="331">
        <v>2814</v>
      </c>
      <c r="AH42" s="409"/>
      <c r="AI42" s="403"/>
      <c r="AJ42" s="335"/>
      <c r="AK42" s="350"/>
      <c r="AL42" s="335"/>
      <c r="AM42" s="404"/>
      <c r="AN42" s="340"/>
      <c r="AO42" s="358"/>
      <c r="AP42" s="358"/>
      <c r="AQ42" s="340"/>
      <c r="AR42" s="405"/>
      <c r="AS42" s="341"/>
      <c r="AT42" s="406"/>
      <c r="AU42" s="342"/>
      <c r="AV42" s="338"/>
      <c r="AW42" s="407"/>
      <c r="AX42" s="335"/>
      <c r="AY42" s="336"/>
      <c r="AZ42" s="306"/>
      <c r="BA42" s="442">
        <v>1952</v>
      </c>
      <c r="BB42" s="443"/>
      <c r="BC42" s="444">
        <v>12732.512000000001</v>
      </c>
      <c r="BD42" s="414"/>
      <c r="BE42" s="414"/>
      <c r="BF42" s="404">
        <v>10123.424000000001</v>
      </c>
      <c r="BG42" s="338">
        <v>9602.2160000000003</v>
      </c>
      <c r="BH42" s="447">
        <v>2339.848</v>
      </c>
      <c r="BI42" s="448">
        <v>148.33600000000001</v>
      </c>
      <c r="BJ42" s="341"/>
      <c r="BK42" s="341"/>
      <c r="BL42" s="341"/>
      <c r="BM42" s="449">
        <v>7114.0320000000002</v>
      </c>
      <c r="BN42" s="450">
        <v>521.20799999999997</v>
      </c>
      <c r="BO42" s="414"/>
      <c r="BP42" s="306"/>
      <c r="CA42" s="442">
        <v>1952</v>
      </c>
      <c r="CB42" s="443" t="s">
        <v>958</v>
      </c>
      <c r="CC42" s="330"/>
      <c r="CD42" s="331"/>
      <c r="CE42" s="331"/>
      <c r="CF42" s="331"/>
      <c r="CG42" s="334"/>
      <c r="CH42" s="335"/>
      <c r="CI42" s="336"/>
      <c r="CJ42" s="335"/>
      <c r="CK42" s="337"/>
      <c r="CL42" s="338"/>
      <c r="CM42" s="339"/>
      <c r="CN42" s="340"/>
      <c r="CO42" s="451"/>
      <c r="CP42" s="335"/>
      <c r="CQ42" s="336"/>
      <c r="CR42" s="306"/>
    </row>
    <row r="43" spans="1:96" s="275" customFormat="1" ht="13.15" x14ac:dyDescent="0.4">
      <c r="A43" s="309">
        <v>1953</v>
      </c>
      <c r="B43" s="330">
        <v>17760.696</v>
      </c>
      <c r="C43" s="331" t="s">
        <v>100</v>
      </c>
      <c r="D43" s="331">
        <v>-376.93599999999998</v>
      </c>
      <c r="E43" s="331" t="s">
        <v>100</v>
      </c>
      <c r="F43" s="332">
        <v>-363.72800000000001</v>
      </c>
      <c r="G43" s="333" t="s">
        <v>100</v>
      </c>
      <c r="H43" s="334">
        <v>17020.031999999999</v>
      </c>
      <c r="I43" s="335">
        <f t="shared" si="0"/>
        <v>17481</v>
      </c>
      <c r="J43" s="336">
        <v>9.1440000000000001</v>
      </c>
      <c r="K43" s="335"/>
      <c r="L43" s="337">
        <v>17010.887999999999</v>
      </c>
      <c r="M43" s="338">
        <v>12316.968000000001</v>
      </c>
      <c r="N43" s="338" t="s">
        <v>100</v>
      </c>
      <c r="O43" s="339">
        <v>4693.92</v>
      </c>
      <c r="P43" s="340">
        <v>1274.0640000000001</v>
      </c>
      <c r="Q43" s="341">
        <v>1212.088</v>
      </c>
      <c r="R43" s="341"/>
      <c r="S43" s="342">
        <v>867.66399999999999</v>
      </c>
      <c r="T43" s="340">
        <v>353.56799999999998</v>
      </c>
      <c r="U43" s="341"/>
      <c r="V43" s="341">
        <v>986.53600000000006</v>
      </c>
      <c r="W43" s="343"/>
      <c r="X43" s="306"/>
      <c r="Y43" s="346">
        <v>650.24</v>
      </c>
      <c r="Z43" s="308"/>
      <c r="AA43" s="309">
        <v>1953</v>
      </c>
      <c r="AB43" s="330">
        <v>1102</v>
      </c>
      <c r="AC43" s="331" t="s">
        <v>54</v>
      </c>
      <c r="AD43" s="331" t="s">
        <v>54</v>
      </c>
      <c r="AE43" s="331" t="s">
        <v>54</v>
      </c>
      <c r="AF43" s="331" t="s">
        <v>54</v>
      </c>
      <c r="AG43" s="331">
        <v>2791</v>
      </c>
      <c r="AH43" s="409"/>
      <c r="AI43" s="403"/>
      <c r="AJ43" s="335"/>
      <c r="AK43" s="350"/>
      <c r="AL43" s="335"/>
      <c r="AM43" s="404"/>
      <c r="AN43" s="340"/>
      <c r="AO43" s="358"/>
      <c r="AP43" s="358"/>
      <c r="AQ43" s="340"/>
      <c r="AR43" s="405"/>
      <c r="AS43" s="341"/>
      <c r="AT43" s="406"/>
      <c r="AU43" s="342"/>
      <c r="AV43" s="338"/>
      <c r="AW43" s="407"/>
      <c r="AX43" s="335"/>
      <c r="AY43" s="336"/>
      <c r="AZ43" s="306"/>
      <c r="BA43" s="442">
        <v>1953</v>
      </c>
      <c r="BB43" s="443"/>
      <c r="BC43" s="444">
        <v>12497.816000000001</v>
      </c>
      <c r="BD43" s="414"/>
      <c r="BE43" s="414"/>
      <c r="BF43" s="404">
        <v>10507.472000000002</v>
      </c>
      <c r="BG43" s="338">
        <v>9947.6560000000009</v>
      </c>
      <c r="BH43" s="447">
        <v>2746.248</v>
      </c>
      <c r="BI43" s="448">
        <v>185.928</v>
      </c>
      <c r="BJ43" s="341"/>
      <c r="BK43" s="341"/>
      <c r="BL43" s="341"/>
      <c r="BM43" s="449">
        <v>7015.48</v>
      </c>
      <c r="BN43" s="450">
        <v>559.81600000000003</v>
      </c>
      <c r="BO43" s="414"/>
      <c r="BP43" s="306"/>
      <c r="CA43" s="442">
        <v>1953</v>
      </c>
      <c r="CB43" s="443" t="s">
        <v>958</v>
      </c>
      <c r="CC43" s="330"/>
      <c r="CD43" s="331"/>
      <c r="CE43" s="331"/>
      <c r="CF43" s="331"/>
      <c r="CG43" s="334"/>
      <c r="CH43" s="335"/>
      <c r="CI43" s="336"/>
      <c r="CJ43" s="335"/>
      <c r="CK43" s="337"/>
      <c r="CL43" s="338"/>
      <c r="CM43" s="339"/>
      <c r="CN43" s="340"/>
      <c r="CO43" s="451"/>
      <c r="CP43" s="335"/>
      <c r="CQ43" s="336"/>
      <c r="CR43" s="306"/>
    </row>
    <row r="44" spans="1:96" s="275" customFormat="1" ht="13.15" x14ac:dyDescent="0.4">
      <c r="A44" s="309">
        <v>1954</v>
      </c>
      <c r="B44" s="330">
        <v>18088.864000000001</v>
      </c>
      <c r="C44" s="331" t="s">
        <v>100</v>
      </c>
      <c r="D44" s="331">
        <v>-540.51200000000006</v>
      </c>
      <c r="E44" s="331" t="s">
        <v>100</v>
      </c>
      <c r="F44" s="332">
        <v>-280.416</v>
      </c>
      <c r="G44" s="333" t="s">
        <v>100</v>
      </c>
      <c r="H44" s="334">
        <v>17267.936000000002</v>
      </c>
      <c r="I44" s="335">
        <f t="shared" si="0"/>
        <v>17804</v>
      </c>
      <c r="J44" s="336">
        <v>-50.8</v>
      </c>
      <c r="K44" s="335"/>
      <c r="L44" s="337">
        <v>17318.736000000001</v>
      </c>
      <c r="M44" s="338">
        <v>12373.864</v>
      </c>
      <c r="N44" s="338" t="s">
        <v>100</v>
      </c>
      <c r="O44" s="339">
        <v>4944.8720000000003</v>
      </c>
      <c r="P44" s="340">
        <v>1278.1279999999999</v>
      </c>
      <c r="Q44" s="341">
        <v>1204.9760000000001</v>
      </c>
      <c r="R44" s="341"/>
      <c r="S44" s="342">
        <v>936.75200000000007</v>
      </c>
      <c r="T44" s="340">
        <v>416.56</v>
      </c>
      <c r="U44" s="341"/>
      <c r="V44" s="341">
        <v>1108.4559999999999</v>
      </c>
      <c r="W44" s="343"/>
      <c r="X44" s="306"/>
      <c r="Y44" s="346">
        <v>930.65599999999995</v>
      </c>
      <c r="Z44" s="308"/>
      <c r="AA44" s="309">
        <v>1954</v>
      </c>
      <c r="AB44" s="330">
        <v>1181</v>
      </c>
      <c r="AC44" s="331" t="s">
        <v>54</v>
      </c>
      <c r="AD44" s="331" t="s">
        <v>54</v>
      </c>
      <c r="AE44" s="331" t="s">
        <v>54</v>
      </c>
      <c r="AF44" s="331" t="s">
        <v>54</v>
      </c>
      <c r="AG44" s="331">
        <v>2877</v>
      </c>
      <c r="AH44" s="409"/>
      <c r="AI44" s="403"/>
      <c r="AJ44" s="335"/>
      <c r="AK44" s="350"/>
      <c r="AL44" s="335"/>
      <c r="AM44" s="404"/>
      <c r="AN44" s="340"/>
      <c r="AO44" s="358"/>
      <c r="AP44" s="358"/>
      <c r="AQ44" s="340"/>
      <c r="AR44" s="405"/>
      <c r="AS44" s="341"/>
      <c r="AT44" s="406"/>
      <c r="AU44" s="342"/>
      <c r="AV44" s="338"/>
      <c r="AW44" s="407"/>
      <c r="AX44" s="335"/>
      <c r="AY44" s="336"/>
      <c r="AZ44" s="306"/>
      <c r="BA44" s="442">
        <v>1954</v>
      </c>
      <c r="BB44" s="443"/>
      <c r="BC44" s="444">
        <v>12528.296</v>
      </c>
      <c r="BD44" s="414"/>
      <c r="BE44" s="414"/>
      <c r="BF44" s="404">
        <v>11075.415999999999</v>
      </c>
      <c r="BG44" s="338">
        <v>10405.871999999999</v>
      </c>
      <c r="BH44" s="447">
        <v>2906.7759999999998</v>
      </c>
      <c r="BI44" s="448">
        <v>179.83199999999999</v>
      </c>
      <c r="BJ44" s="341"/>
      <c r="BK44" s="341"/>
      <c r="BL44" s="341"/>
      <c r="BM44" s="449">
        <v>7319.2640000000001</v>
      </c>
      <c r="BN44" s="450">
        <v>669.54399999999998</v>
      </c>
      <c r="BO44" s="414"/>
      <c r="BP44" s="306"/>
      <c r="CA44" s="442">
        <v>1954</v>
      </c>
      <c r="CB44" s="443" t="s">
        <v>958</v>
      </c>
      <c r="CC44" s="330"/>
      <c r="CD44" s="331"/>
      <c r="CE44" s="331"/>
      <c r="CF44" s="331"/>
      <c r="CG44" s="334"/>
      <c r="CH44" s="335"/>
      <c r="CI44" s="336"/>
      <c r="CJ44" s="335"/>
      <c r="CK44" s="337"/>
      <c r="CL44" s="338"/>
      <c r="CM44" s="339"/>
      <c r="CN44" s="340"/>
      <c r="CO44" s="451"/>
      <c r="CP44" s="335"/>
      <c r="CQ44" s="336"/>
      <c r="CR44" s="306"/>
    </row>
    <row r="45" spans="1:96" s="275" customFormat="1" ht="13.15" x14ac:dyDescent="0.4">
      <c r="A45" s="309">
        <v>1955</v>
      </c>
      <c r="B45" s="330">
        <v>18343.88</v>
      </c>
      <c r="C45" s="331" t="s">
        <v>100</v>
      </c>
      <c r="D45" s="331">
        <v>-645.16</v>
      </c>
      <c r="E45" s="331" t="s">
        <v>100</v>
      </c>
      <c r="F45" s="332">
        <v>584.20000000000005</v>
      </c>
      <c r="G45" s="333" t="s">
        <v>100</v>
      </c>
      <c r="H45" s="334">
        <v>18282.919999999998</v>
      </c>
      <c r="I45" s="335">
        <f t="shared" si="0"/>
        <v>18055</v>
      </c>
      <c r="J45" s="336">
        <v>38.608000000000004</v>
      </c>
      <c r="K45" s="335"/>
      <c r="L45" s="337">
        <v>18244.312000000002</v>
      </c>
      <c r="M45" s="338">
        <v>12801.6</v>
      </c>
      <c r="N45" s="338" t="s">
        <v>100</v>
      </c>
      <c r="O45" s="339">
        <v>5442.7120000000004</v>
      </c>
      <c r="P45" s="340">
        <v>1475.232</v>
      </c>
      <c r="Q45" s="341">
        <v>1205.992</v>
      </c>
      <c r="R45" s="341"/>
      <c r="S45" s="342">
        <v>989.58400000000006</v>
      </c>
      <c r="T45" s="340">
        <v>517.14400000000001</v>
      </c>
      <c r="U45" s="341"/>
      <c r="V45" s="341">
        <v>1254.76</v>
      </c>
      <c r="W45" s="343"/>
      <c r="X45" s="306"/>
      <c r="Y45" s="346">
        <v>346.4559999999999</v>
      </c>
      <c r="Z45" s="308"/>
      <c r="AA45" s="309">
        <v>1955</v>
      </c>
      <c r="AB45" s="330">
        <v>1209.04</v>
      </c>
      <c r="AC45" s="410">
        <v>0</v>
      </c>
      <c r="AD45" s="331">
        <v>-528.32000000000005</v>
      </c>
      <c r="AE45" s="332">
        <v>30.48</v>
      </c>
      <c r="AF45" s="332">
        <v>579.12</v>
      </c>
      <c r="AG45" s="411">
        <v>2900.68</v>
      </c>
      <c r="AH45" s="409">
        <v>101.6</v>
      </c>
      <c r="AI45" s="334">
        <v>4292.6000000000004</v>
      </c>
      <c r="AJ45" s="335"/>
      <c r="AK45" s="412">
        <v>5.0799999999999272</v>
      </c>
      <c r="AL45" s="335"/>
      <c r="AM45" s="337">
        <v>4287.5200000000004</v>
      </c>
      <c r="AN45" s="413" t="s">
        <v>100</v>
      </c>
      <c r="AO45" s="358" t="s">
        <v>100</v>
      </c>
      <c r="AP45" s="358">
        <v>4287.5200000000004</v>
      </c>
      <c r="AQ45" s="340">
        <v>914.4</v>
      </c>
      <c r="AR45" s="405">
        <v>1026.1600000000001</v>
      </c>
      <c r="AS45" s="341">
        <v>1046.48</v>
      </c>
      <c r="AT45" s="406">
        <v>1239.52</v>
      </c>
      <c r="AU45" s="342">
        <v>60.96</v>
      </c>
      <c r="AV45" s="338" t="s">
        <v>54</v>
      </c>
      <c r="AW45" s="407" t="s">
        <v>54</v>
      </c>
      <c r="AX45" s="335"/>
      <c r="AY45" s="336">
        <v>701.04</v>
      </c>
      <c r="AZ45" s="306"/>
      <c r="BA45" s="442">
        <v>1955</v>
      </c>
      <c r="BB45" s="443"/>
      <c r="BC45" s="444">
        <v>12944.856</v>
      </c>
      <c r="BD45" s="414">
        <f>'[5]Coke breeze'!BG43+BC45</f>
        <v>12944.856</v>
      </c>
      <c r="BE45" s="414"/>
      <c r="BF45" s="404">
        <v>11017.504000000001</v>
      </c>
      <c r="BG45" s="338">
        <v>10411.968000000001</v>
      </c>
      <c r="BH45" s="447">
        <v>3061.2080000000001</v>
      </c>
      <c r="BI45" s="448">
        <v>135.12800000000001</v>
      </c>
      <c r="BJ45" s="341"/>
      <c r="BK45" s="341"/>
      <c r="BL45" s="341"/>
      <c r="BM45" s="449">
        <v>7215.6320000000005</v>
      </c>
      <c r="BN45" s="450">
        <v>605.53600000000006</v>
      </c>
      <c r="BO45" s="414"/>
      <c r="BP45" s="306"/>
      <c r="CA45" s="442">
        <v>1955</v>
      </c>
      <c r="CB45" s="443" t="s">
        <v>958</v>
      </c>
      <c r="CC45" s="330"/>
      <c r="CD45" s="331"/>
      <c r="CE45" s="331"/>
      <c r="CF45" s="331"/>
      <c r="CG45" s="334"/>
      <c r="CH45" s="335"/>
      <c r="CI45" s="336"/>
      <c r="CJ45" s="335"/>
      <c r="CK45" s="337"/>
      <c r="CL45" s="338"/>
      <c r="CM45" s="339"/>
      <c r="CN45" s="340"/>
      <c r="CO45" s="451"/>
      <c r="CP45" s="335"/>
      <c r="CQ45" s="336"/>
      <c r="CR45" s="306"/>
    </row>
    <row r="46" spans="1:96" s="275" customFormat="1" ht="13.15" x14ac:dyDescent="0.4">
      <c r="A46" s="309">
        <v>1956</v>
      </c>
      <c r="B46" s="330">
        <v>19847.560000000001</v>
      </c>
      <c r="C46" s="331" t="s">
        <v>100</v>
      </c>
      <c r="D46" s="331">
        <v>-881.88800000000003</v>
      </c>
      <c r="E46" s="331" t="s">
        <v>100</v>
      </c>
      <c r="F46" s="332">
        <v>-420.62400000000002</v>
      </c>
      <c r="G46" s="333" t="s">
        <v>100</v>
      </c>
      <c r="H46" s="334">
        <v>18545.047999999999</v>
      </c>
      <c r="I46" s="335">
        <f t="shared" si="0"/>
        <v>19535</v>
      </c>
      <c r="J46" s="336">
        <v>-187.96</v>
      </c>
      <c r="K46" s="335"/>
      <c r="L46" s="337">
        <v>18733.008000000002</v>
      </c>
      <c r="M46" s="338">
        <v>13682.472</v>
      </c>
      <c r="N46" s="338" t="s">
        <v>100</v>
      </c>
      <c r="O46" s="339">
        <v>5050.5360000000001</v>
      </c>
      <c r="P46" s="340">
        <v>1286.2560000000001</v>
      </c>
      <c r="Q46" s="341">
        <v>1133.856</v>
      </c>
      <c r="R46" s="341"/>
      <c r="S46" s="342">
        <v>977.39200000000005</v>
      </c>
      <c r="T46" s="340">
        <v>470.40800000000002</v>
      </c>
      <c r="U46" s="341"/>
      <c r="V46" s="341">
        <v>1182.624</v>
      </c>
      <c r="W46" s="343"/>
      <c r="X46" s="306"/>
      <c r="Y46" s="346">
        <v>767.08</v>
      </c>
      <c r="Z46" s="308"/>
      <c r="AA46" s="309">
        <v>1956</v>
      </c>
      <c r="AB46" s="330">
        <v>1275</v>
      </c>
      <c r="AC46" s="331" t="s">
        <v>54</v>
      </c>
      <c r="AD46" s="331" t="s">
        <v>54</v>
      </c>
      <c r="AE46" s="331" t="s">
        <v>54</v>
      </c>
      <c r="AF46" s="331" t="s">
        <v>54</v>
      </c>
      <c r="AG46" s="331">
        <v>2907.7919999999999</v>
      </c>
      <c r="AH46" s="409"/>
      <c r="AI46" s="403"/>
      <c r="AJ46" s="353"/>
      <c r="AK46" s="350"/>
      <c r="AL46" s="335"/>
      <c r="AM46" s="404"/>
      <c r="AN46" s="340"/>
      <c r="AO46" s="358"/>
      <c r="AP46" s="358"/>
      <c r="AQ46" s="930">
        <f>+AQ45+(AQ$49-AQ$45)/6</f>
        <v>863.6</v>
      </c>
      <c r="AR46" s="930">
        <f>+AR45+(AR$49-AR$45)/6</f>
        <v>1076.96</v>
      </c>
      <c r="AS46" s="930">
        <f t="shared" ref="AS46:AU48" si="1">+AS45+(AS$49-AS$45)/6</f>
        <v>1066.8</v>
      </c>
      <c r="AT46" s="930">
        <f t="shared" si="1"/>
        <v>1173.48</v>
      </c>
      <c r="AU46" s="930">
        <f t="shared" si="1"/>
        <v>59.266666666666666</v>
      </c>
      <c r="AV46" s="338"/>
      <c r="AW46" s="407"/>
      <c r="AX46" s="335"/>
      <c r="AY46" s="336"/>
      <c r="AZ46" s="306"/>
      <c r="BA46" s="442">
        <v>1956</v>
      </c>
      <c r="BB46" s="443"/>
      <c r="BC46" s="444">
        <v>12907.264000000001</v>
      </c>
      <c r="BD46" s="414">
        <f>'[5]Coke breeze'!BG44+BC46</f>
        <v>12907.264000000001</v>
      </c>
      <c r="BE46" s="452">
        <f>(BD46-BD45)/BD45</f>
        <v>-2.9040106742012992E-3</v>
      </c>
      <c r="BF46" s="404">
        <v>10751.312</v>
      </c>
      <c r="BG46" s="338">
        <v>9940.5439999999999</v>
      </c>
      <c r="BH46" s="447">
        <v>2897.6320000000001</v>
      </c>
      <c r="BI46" s="448">
        <v>136.14400000000001</v>
      </c>
      <c r="BJ46" s="341"/>
      <c r="BK46" s="341"/>
      <c r="BL46" s="341"/>
      <c r="BM46" s="449">
        <v>6906.768</v>
      </c>
      <c r="BN46" s="450">
        <v>810.76800000000003</v>
      </c>
      <c r="BO46" s="414"/>
      <c r="BP46" s="306"/>
      <c r="CA46" s="442">
        <v>1956</v>
      </c>
      <c r="CB46" s="443" t="s">
        <v>958</v>
      </c>
      <c r="CC46" s="330"/>
      <c r="CD46" s="331"/>
      <c r="CE46" s="331"/>
      <c r="CF46" s="331"/>
      <c r="CG46" s="334"/>
      <c r="CH46" s="335"/>
      <c r="CI46" s="336"/>
      <c r="CJ46" s="335"/>
      <c r="CK46" s="337"/>
      <c r="CL46" s="338"/>
      <c r="CM46" s="339"/>
      <c r="CN46" s="340"/>
      <c r="CO46" s="451"/>
      <c r="CP46" s="335"/>
      <c r="CQ46" s="336"/>
      <c r="CR46" s="306"/>
    </row>
    <row r="47" spans="1:96" s="275" customFormat="1" ht="13.15" x14ac:dyDescent="0.4">
      <c r="A47" s="309">
        <v>1957</v>
      </c>
      <c r="B47" s="330">
        <v>20758.912</v>
      </c>
      <c r="C47" s="331" t="s">
        <v>100</v>
      </c>
      <c r="D47" s="331">
        <v>-996.69600000000003</v>
      </c>
      <c r="E47" s="331" t="s">
        <v>100</v>
      </c>
      <c r="F47" s="332">
        <v>-1167.384</v>
      </c>
      <c r="G47" s="333" t="s">
        <v>100</v>
      </c>
      <c r="H47" s="334">
        <v>18594.831999999999</v>
      </c>
      <c r="I47" s="335">
        <f t="shared" si="0"/>
        <v>20432</v>
      </c>
      <c r="J47" s="336">
        <v>2.032</v>
      </c>
      <c r="K47" s="335"/>
      <c r="L47" s="337">
        <v>18592.8</v>
      </c>
      <c r="M47" s="338">
        <v>14076.68</v>
      </c>
      <c r="N47" s="338" t="s">
        <v>100</v>
      </c>
      <c r="O47" s="339">
        <v>4516.12</v>
      </c>
      <c r="P47" s="340">
        <v>1260.856</v>
      </c>
      <c r="Q47" s="341">
        <v>1038.3520000000001</v>
      </c>
      <c r="R47" s="341"/>
      <c r="S47" s="342">
        <v>964.18399999999997</v>
      </c>
      <c r="T47" s="340">
        <v>407.416</v>
      </c>
      <c r="U47" s="341"/>
      <c r="V47" s="341">
        <v>845.31200000000001</v>
      </c>
      <c r="W47" s="343"/>
      <c r="X47" s="306"/>
      <c r="Y47" s="346">
        <v>1934.4639999999999</v>
      </c>
      <c r="Z47" s="308"/>
      <c r="AA47" s="309">
        <v>1957</v>
      </c>
      <c r="AB47" s="330">
        <v>1386</v>
      </c>
      <c r="AC47" s="331" t="s">
        <v>54</v>
      </c>
      <c r="AD47" s="331" t="s">
        <v>54</v>
      </c>
      <c r="AE47" s="331" t="s">
        <v>54</v>
      </c>
      <c r="AF47" s="331" t="s">
        <v>54</v>
      </c>
      <c r="AG47" s="331">
        <v>2755.3919999999998</v>
      </c>
      <c r="AH47" s="409"/>
      <c r="AI47" s="403"/>
      <c r="AJ47" s="353"/>
      <c r="AK47" s="350"/>
      <c r="AL47" s="335"/>
      <c r="AM47" s="404"/>
      <c r="AN47" s="340"/>
      <c r="AO47" s="358"/>
      <c r="AP47" s="358"/>
      <c r="AQ47" s="930">
        <f t="shared" ref="AQ47:AR48" si="2">+AQ46+(AQ$49-AQ$45)/6</f>
        <v>812.80000000000007</v>
      </c>
      <c r="AR47" s="930">
        <f t="shared" si="2"/>
        <v>1127.76</v>
      </c>
      <c r="AS47" s="930">
        <f t="shared" si="1"/>
        <v>1087.1199999999999</v>
      </c>
      <c r="AT47" s="930">
        <f t="shared" si="1"/>
        <v>1107.44</v>
      </c>
      <c r="AU47" s="930">
        <f t="shared" si="1"/>
        <v>57.573333333333331</v>
      </c>
      <c r="AV47" s="338"/>
      <c r="AW47" s="407"/>
      <c r="AX47" s="335"/>
      <c r="AY47" s="336"/>
      <c r="AZ47" s="306"/>
      <c r="BA47" s="442">
        <v>1957</v>
      </c>
      <c r="BB47" s="443"/>
      <c r="BC47" s="444">
        <v>12207.24</v>
      </c>
      <c r="BD47" s="414">
        <f>'[5]Coke breeze'!BG45+BC47</f>
        <v>12207.24</v>
      </c>
      <c r="BE47" s="452">
        <f t="shared" ref="BE47:BE63" si="3">(BD47-BD46)/BD46</f>
        <v>-5.4234886649874151E-2</v>
      </c>
      <c r="BF47" s="404">
        <v>9764.7759999999998</v>
      </c>
      <c r="BG47" s="338">
        <v>8874.76</v>
      </c>
      <c r="BH47" s="447">
        <v>2599.944</v>
      </c>
      <c r="BI47" s="448">
        <v>130.048</v>
      </c>
      <c r="BJ47" s="341"/>
      <c r="BK47" s="341"/>
      <c r="BL47" s="341"/>
      <c r="BM47" s="449">
        <v>6144.768</v>
      </c>
      <c r="BN47" s="450">
        <v>890.01599999999996</v>
      </c>
      <c r="BO47" s="414"/>
      <c r="BP47" s="306"/>
      <c r="CA47" s="442">
        <v>1957</v>
      </c>
      <c r="CB47" s="443" t="s">
        <v>958</v>
      </c>
      <c r="CC47" s="330"/>
      <c r="CD47" s="331"/>
      <c r="CE47" s="331"/>
      <c r="CF47" s="331"/>
      <c r="CG47" s="334"/>
      <c r="CH47" s="335"/>
      <c r="CI47" s="336"/>
      <c r="CJ47" s="335"/>
      <c r="CK47" s="337"/>
      <c r="CL47" s="338"/>
      <c r="CM47" s="339"/>
      <c r="CN47" s="340"/>
      <c r="CO47" s="451"/>
      <c r="CP47" s="335"/>
      <c r="CQ47" s="336"/>
      <c r="CR47" s="306"/>
    </row>
    <row r="48" spans="1:96" s="275" customFormat="1" ht="13.15" x14ac:dyDescent="0.4">
      <c r="A48" s="309">
        <v>1958</v>
      </c>
      <c r="B48" s="330">
        <v>18724.88</v>
      </c>
      <c r="C48" s="331" t="s">
        <v>100</v>
      </c>
      <c r="D48" s="331">
        <v>-325.12</v>
      </c>
      <c r="E48" s="331" t="s">
        <v>100</v>
      </c>
      <c r="F48" s="332">
        <v>-2093.9760000000001</v>
      </c>
      <c r="G48" s="333" t="s">
        <v>100</v>
      </c>
      <c r="H48" s="334">
        <v>16305.784</v>
      </c>
      <c r="I48" s="335">
        <f t="shared" si="0"/>
        <v>18430</v>
      </c>
      <c r="J48" s="336">
        <v>70.103999999999999</v>
      </c>
      <c r="K48" s="335"/>
      <c r="L48" s="337">
        <v>16235.68</v>
      </c>
      <c r="M48" s="338">
        <v>11901.424000000001</v>
      </c>
      <c r="N48" s="338" t="s">
        <v>100</v>
      </c>
      <c r="O48" s="339">
        <v>4334.2560000000003</v>
      </c>
      <c r="P48" s="340">
        <v>1109.472</v>
      </c>
      <c r="Q48" s="341">
        <v>975.36</v>
      </c>
      <c r="R48" s="341"/>
      <c r="S48" s="342">
        <v>919.48</v>
      </c>
      <c r="T48" s="340">
        <v>402.33600000000001</v>
      </c>
      <c r="U48" s="341"/>
      <c r="V48" s="341">
        <v>927.60800000000006</v>
      </c>
      <c r="W48" s="343"/>
      <c r="X48" s="306"/>
      <c r="Y48" s="346">
        <v>4028.44</v>
      </c>
      <c r="Z48" s="308"/>
      <c r="AA48" s="309">
        <v>1958</v>
      </c>
      <c r="AB48" s="330">
        <v>1235</v>
      </c>
      <c r="AC48" s="331" t="s">
        <v>54</v>
      </c>
      <c r="AD48" s="331" t="s">
        <v>54</v>
      </c>
      <c r="AE48" s="331" t="s">
        <v>54</v>
      </c>
      <c r="AF48" s="331" t="s">
        <v>54</v>
      </c>
      <c r="AG48" s="331">
        <v>2676.1440000000002</v>
      </c>
      <c r="AH48" s="409"/>
      <c r="AI48" s="403"/>
      <c r="AJ48" s="353"/>
      <c r="AK48" s="350"/>
      <c r="AL48" s="335"/>
      <c r="AM48" s="404"/>
      <c r="AN48" s="340"/>
      <c r="AO48" s="358"/>
      <c r="AP48" s="358"/>
      <c r="AQ48" s="930">
        <f t="shared" si="2"/>
        <v>762.00000000000011</v>
      </c>
      <c r="AR48" s="930">
        <f t="shared" si="2"/>
        <v>1178.56</v>
      </c>
      <c r="AS48" s="930">
        <f t="shared" si="1"/>
        <v>1107.4399999999998</v>
      </c>
      <c r="AT48" s="930">
        <f t="shared" si="1"/>
        <v>1041.4000000000001</v>
      </c>
      <c r="AU48" s="930">
        <f t="shared" si="1"/>
        <v>55.879999999999995</v>
      </c>
      <c r="AV48" s="338"/>
      <c r="AW48" s="407"/>
      <c r="AX48" s="335"/>
      <c r="AY48" s="336"/>
      <c r="AZ48" s="306"/>
      <c r="BA48" s="442">
        <v>1958</v>
      </c>
      <c r="BB48" s="443"/>
      <c r="BC48" s="444">
        <v>11323.32</v>
      </c>
      <c r="BD48" s="414">
        <f>'[5]Coke breeze'!BG46+BC48</f>
        <v>11323.32</v>
      </c>
      <c r="BE48" s="452">
        <f t="shared" si="3"/>
        <v>-7.2409488139825229E-2</v>
      </c>
      <c r="BF48" s="404">
        <v>9481.3119999999999</v>
      </c>
      <c r="BG48" s="338">
        <v>8804.655999999999</v>
      </c>
      <c r="BH48" s="447">
        <v>2667</v>
      </c>
      <c r="BI48" s="448">
        <v>26.416</v>
      </c>
      <c r="BJ48" s="341"/>
      <c r="BK48" s="341"/>
      <c r="BL48" s="341"/>
      <c r="BM48" s="449">
        <v>6111.24</v>
      </c>
      <c r="BN48" s="450">
        <v>676.65600000000006</v>
      </c>
      <c r="BO48" s="414"/>
      <c r="BP48" s="306"/>
      <c r="CA48" s="442">
        <v>1958</v>
      </c>
      <c r="CB48" s="443" t="s">
        <v>958</v>
      </c>
      <c r="CC48" s="330"/>
      <c r="CD48" s="331"/>
      <c r="CE48" s="331"/>
      <c r="CF48" s="331"/>
      <c r="CG48" s="334"/>
      <c r="CH48" s="335"/>
      <c r="CI48" s="336"/>
      <c r="CJ48" s="335"/>
      <c r="CK48" s="337"/>
      <c r="CL48" s="338"/>
      <c r="CM48" s="339"/>
      <c r="CN48" s="340"/>
      <c r="CO48" s="451"/>
      <c r="CP48" s="335"/>
      <c r="CQ48" s="336"/>
      <c r="CR48" s="306"/>
    </row>
    <row r="49" spans="1:96" s="275" customFormat="1" ht="13.15" x14ac:dyDescent="0.4">
      <c r="A49" s="309">
        <v>1959</v>
      </c>
      <c r="B49" s="330">
        <v>17275.047999999999</v>
      </c>
      <c r="C49" s="331" t="s">
        <v>100</v>
      </c>
      <c r="D49" s="331">
        <v>-368.80799999999999</v>
      </c>
      <c r="E49" s="331" t="s">
        <v>100</v>
      </c>
      <c r="F49" s="332">
        <v>-1505.712</v>
      </c>
      <c r="G49" s="333" t="s">
        <v>100</v>
      </c>
      <c r="H49" s="334">
        <v>15400.528</v>
      </c>
      <c r="I49" s="335">
        <f t="shared" si="0"/>
        <v>17003</v>
      </c>
      <c r="J49" s="336">
        <v>90.424000000000007</v>
      </c>
      <c r="K49" s="335"/>
      <c r="L49" s="337">
        <v>15310.103999999999</v>
      </c>
      <c r="M49" s="338">
        <v>11045.951999999999</v>
      </c>
      <c r="N49" s="338" t="s">
        <v>100</v>
      </c>
      <c r="O49" s="339">
        <v>4264.152</v>
      </c>
      <c r="P49" s="340">
        <v>1027.1759999999999</v>
      </c>
      <c r="Q49" s="341">
        <v>959.10400000000004</v>
      </c>
      <c r="R49" s="341"/>
      <c r="S49" s="342">
        <v>989.58400000000006</v>
      </c>
      <c r="T49" s="340">
        <v>476.50400000000002</v>
      </c>
      <c r="U49" s="341"/>
      <c r="V49" s="341">
        <v>811.78399999999999</v>
      </c>
      <c r="W49" s="343"/>
      <c r="X49" s="306"/>
      <c r="Y49" s="346">
        <v>5534.152</v>
      </c>
      <c r="Z49" s="308"/>
      <c r="AA49" s="309">
        <v>1959</v>
      </c>
      <c r="AB49" s="330">
        <v>1137.92</v>
      </c>
      <c r="AC49" s="410">
        <v>0</v>
      </c>
      <c r="AD49" s="331">
        <v>-416.56</v>
      </c>
      <c r="AE49" s="332">
        <v>132.08000000000001</v>
      </c>
      <c r="AF49" s="332">
        <v>518.16</v>
      </c>
      <c r="AG49" s="409">
        <v>2509.52</v>
      </c>
      <c r="AH49" s="409">
        <v>121.92</v>
      </c>
      <c r="AI49" s="334">
        <v>4003.04</v>
      </c>
      <c r="AJ49" s="353"/>
      <c r="AK49" s="336" t="s">
        <v>100</v>
      </c>
      <c r="AL49" s="335"/>
      <c r="AM49" s="337">
        <v>4003.04</v>
      </c>
      <c r="AN49" s="413" t="s">
        <v>100</v>
      </c>
      <c r="AO49" s="358" t="s">
        <v>100</v>
      </c>
      <c r="AP49" s="358">
        <v>4003.04</v>
      </c>
      <c r="AQ49" s="340">
        <v>609.6</v>
      </c>
      <c r="AR49" s="341">
        <v>1330.96</v>
      </c>
      <c r="AS49" s="341">
        <v>1168.4000000000001</v>
      </c>
      <c r="AT49" s="406">
        <v>843.28</v>
      </c>
      <c r="AU49" s="342">
        <v>50.8</v>
      </c>
      <c r="AV49" s="338" t="s">
        <v>54</v>
      </c>
      <c r="AW49" s="407" t="s">
        <v>54</v>
      </c>
      <c r="AX49" s="335"/>
      <c r="AY49" s="336">
        <v>1066.8</v>
      </c>
      <c r="AZ49" s="306"/>
      <c r="BA49" s="442">
        <v>1959</v>
      </c>
      <c r="BB49" s="443"/>
      <c r="BC49" s="444">
        <v>10231.120000000001</v>
      </c>
      <c r="BD49" s="414">
        <f>'[5]Coke breeze'!BG47+BC49</f>
        <v>10231.120000000001</v>
      </c>
      <c r="BE49" s="452">
        <f t="shared" si="3"/>
        <v>-9.645580978017039E-2</v>
      </c>
      <c r="BF49" s="404">
        <v>8547.6080000000002</v>
      </c>
      <c r="BG49" s="338">
        <v>7939.0239999999994</v>
      </c>
      <c r="BH49" s="448">
        <v>2529.84</v>
      </c>
      <c r="BI49" s="448">
        <v>13.208</v>
      </c>
      <c r="BJ49" s="341"/>
      <c r="BK49" s="341"/>
      <c r="BL49" s="341"/>
      <c r="BM49" s="449">
        <v>5395.9759999999997</v>
      </c>
      <c r="BN49" s="450">
        <v>608.58400000000006</v>
      </c>
      <c r="BO49" s="414"/>
      <c r="BP49" s="306"/>
      <c r="CA49" s="442">
        <v>1959</v>
      </c>
      <c r="CB49" s="443" t="s">
        <v>958</v>
      </c>
      <c r="CC49" s="330"/>
      <c r="CD49" s="331"/>
      <c r="CE49" s="331"/>
      <c r="CF49" s="331"/>
      <c r="CG49" s="334"/>
      <c r="CH49" s="335"/>
      <c r="CI49" s="336"/>
      <c r="CJ49" s="335"/>
      <c r="CK49" s="337"/>
      <c r="CL49" s="338"/>
      <c r="CM49" s="339"/>
      <c r="CN49" s="340"/>
      <c r="CO49" s="451"/>
      <c r="CP49" s="335"/>
      <c r="CQ49" s="336"/>
      <c r="CR49" s="306"/>
    </row>
    <row r="50" spans="1:96" s="275" customFormat="1" ht="13.15" x14ac:dyDescent="0.4">
      <c r="A50" s="309">
        <v>1960</v>
      </c>
      <c r="B50" s="330">
        <v>19051.016</v>
      </c>
      <c r="C50" s="331" t="s">
        <v>100</v>
      </c>
      <c r="D50" s="331">
        <v>-477.52</v>
      </c>
      <c r="E50" s="331" t="s">
        <v>100</v>
      </c>
      <c r="F50" s="332">
        <v>-314.95999999999998</v>
      </c>
      <c r="G50" s="333" t="s">
        <v>100</v>
      </c>
      <c r="H50" s="334">
        <v>18258.536</v>
      </c>
      <c r="I50" s="335">
        <f t="shared" si="0"/>
        <v>18751</v>
      </c>
      <c r="J50" s="336">
        <v>-75.183999999999997</v>
      </c>
      <c r="K50" s="335"/>
      <c r="L50" s="337">
        <v>18333.72</v>
      </c>
      <c r="M50" s="338">
        <v>13818.616</v>
      </c>
      <c r="N50" s="338" t="s">
        <v>100</v>
      </c>
      <c r="O50" s="339">
        <v>4515.1040000000003</v>
      </c>
      <c r="P50" s="340">
        <v>1080.008</v>
      </c>
      <c r="Q50" s="341">
        <v>1050.5440000000001</v>
      </c>
      <c r="R50" s="341"/>
      <c r="S50" s="342">
        <v>1082.04</v>
      </c>
      <c r="T50" s="340">
        <v>486.66399999999999</v>
      </c>
      <c r="U50" s="341"/>
      <c r="V50" s="341">
        <v>815.84799999999996</v>
      </c>
      <c r="W50" s="343"/>
      <c r="X50" s="306"/>
      <c r="Y50" s="346">
        <v>5849.1120000000001</v>
      </c>
      <c r="Z50" s="308"/>
      <c r="AA50" s="309">
        <v>1960</v>
      </c>
      <c r="AB50" s="330">
        <v>1310.6400000000001</v>
      </c>
      <c r="AC50" s="410">
        <v>0</v>
      </c>
      <c r="AD50" s="331">
        <v>-365.76</v>
      </c>
      <c r="AE50" s="332">
        <v>-213.36</v>
      </c>
      <c r="AF50" s="332">
        <v>579.12</v>
      </c>
      <c r="AG50" s="409">
        <v>2513.5839999999998</v>
      </c>
      <c r="AH50" s="333">
        <v>152.4</v>
      </c>
      <c r="AI50" s="334">
        <v>3976.6240000000003</v>
      </c>
      <c r="AJ50" s="353"/>
      <c r="AK50" s="412">
        <v>4.0640000000003056</v>
      </c>
      <c r="AL50" s="335"/>
      <c r="AM50" s="337">
        <v>3972.56</v>
      </c>
      <c r="AN50" s="340">
        <v>152.4</v>
      </c>
      <c r="AO50" s="358" t="s">
        <v>100</v>
      </c>
      <c r="AP50" s="358">
        <v>3820.16</v>
      </c>
      <c r="AQ50" s="930">
        <f>+AQ49+(AQ$51-AQ$49)/2</f>
        <v>543.55999999999995</v>
      </c>
      <c r="AR50" s="341">
        <v>1381.76</v>
      </c>
      <c r="AS50" s="930">
        <f t="shared" ref="AS50:AT50" si="4">+AS49+(AS$51-AS$49)/2</f>
        <v>1036.3200000000002</v>
      </c>
      <c r="AT50" s="930">
        <f t="shared" si="4"/>
        <v>777.24</v>
      </c>
      <c r="AU50" s="342">
        <v>81.28</v>
      </c>
      <c r="AV50" s="338">
        <v>2204.7199999999998</v>
      </c>
      <c r="AW50" s="407">
        <v>152.4</v>
      </c>
      <c r="AX50" s="335"/>
      <c r="AY50" s="336">
        <v>1280.1600000000001</v>
      </c>
      <c r="AZ50" s="414"/>
      <c r="BA50" s="442">
        <v>1960</v>
      </c>
      <c r="BB50" s="443"/>
      <c r="BC50" s="444">
        <v>10023.856</v>
      </c>
      <c r="BD50" s="414">
        <f>'[5]Coke breeze'!BG48+BC50</f>
        <v>10023.856</v>
      </c>
      <c r="BE50" s="452">
        <f t="shared" si="3"/>
        <v>-2.0258192651440021E-2</v>
      </c>
      <c r="BF50" s="404">
        <v>8876.7919999999995</v>
      </c>
      <c r="BG50" s="338">
        <v>8206.232</v>
      </c>
      <c r="BH50" s="447">
        <v>3019.5520000000001</v>
      </c>
      <c r="BI50" s="448">
        <v>31.496000000000002</v>
      </c>
      <c r="BJ50" s="341"/>
      <c r="BK50" s="341"/>
      <c r="BL50" s="341"/>
      <c r="BM50" s="449">
        <v>5155.1840000000002</v>
      </c>
      <c r="BN50" s="450">
        <v>670.56</v>
      </c>
      <c r="BO50" s="414"/>
      <c r="BP50" s="306"/>
      <c r="CA50" s="442">
        <v>1960</v>
      </c>
      <c r="CB50" s="443" t="s">
        <v>958</v>
      </c>
      <c r="CC50" s="330"/>
      <c r="CD50" s="331"/>
      <c r="CE50" s="331"/>
      <c r="CF50" s="331"/>
      <c r="CG50" s="334"/>
      <c r="CH50" s="335"/>
      <c r="CI50" s="336"/>
      <c r="CJ50" s="335"/>
      <c r="CK50" s="337"/>
      <c r="CL50" s="338"/>
      <c r="CM50" s="339"/>
      <c r="CN50" s="340"/>
      <c r="CO50" s="451"/>
      <c r="CP50" s="335"/>
      <c r="CQ50" s="336"/>
      <c r="CR50" s="306"/>
    </row>
    <row r="51" spans="1:96" s="275" customFormat="1" ht="13.15" x14ac:dyDescent="0.4">
      <c r="A51" s="347">
        <v>1961</v>
      </c>
      <c r="B51" s="345">
        <v>18066.511999999999</v>
      </c>
      <c r="C51" s="331" t="s">
        <v>100</v>
      </c>
      <c r="D51" s="331">
        <v>-520.19200000000001</v>
      </c>
      <c r="E51" s="331" t="s">
        <v>100</v>
      </c>
      <c r="F51" s="332">
        <v>-146.304</v>
      </c>
      <c r="G51" s="333" t="s">
        <v>100</v>
      </c>
      <c r="H51" s="334">
        <v>17400.016</v>
      </c>
      <c r="I51" s="335">
        <f t="shared" si="0"/>
        <v>17782</v>
      </c>
      <c r="J51" s="336">
        <v>93.472000000000008</v>
      </c>
      <c r="K51" s="335"/>
      <c r="L51" s="337">
        <v>17306.544000000002</v>
      </c>
      <c r="M51" s="338">
        <v>12719.304</v>
      </c>
      <c r="N51" s="338" t="s">
        <v>100</v>
      </c>
      <c r="O51" s="339">
        <v>4587.24</v>
      </c>
      <c r="P51" s="340">
        <v>1203.96</v>
      </c>
      <c r="Q51" s="341">
        <v>995.68</v>
      </c>
      <c r="R51" s="341"/>
      <c r="S51" s="342">
        <v>1049.528</v>
      </c>
      <c r="T51" s="340">
        <v>547.62400000000002</v>
      </c>
      <c r="U51" s="341"/>
      <c r="V51" s="341">
        <v>790.44799999999998</v>
      </c>
      <c r="W51" s="343"/>
      <c r="X51" s="306"/>
      <c r="Y51" s="346">
        <v>5995.4160000000002</v>
      </c>
      <c r="Z51" s="308"/>
      <c r="AA51" s="309">
        <v>1961</v>
      </c>
      <c r="AB51" s="330">
        <v>1290.32</v>
      </c>
      <c r="AC51" s="410">
        <v>0</v>
      </c>
      <c r="AD51" s="331">
        <v>-345.44</v>
      </c>
      <c r="AE51" s="332">
        <v>-243.84</v>
      </c>
      <c r="AF51" s="332">
        <v>629.91999999999996</v>
      </c>
      <c r="AG51" s="409">
        <v>2417.0639999999999</v>
      </c>
      <c r="AH51" s="333">
        <v>172.72</v>
      </c>
      <c r="AI51" s="334">
        <v>3920.7439999999992</v>
      </c>
      <c r="AJ51" s="353"/>
      <c r="AK51" s="412">
        <v>-1.0160000000009859</v>
      </c>
      <c r="AL51" s="335"/>
      <c r="AM51" s="337">
        <v>3921.76</v>
      </c>
      <c r="AN51" s="340">
        <v>182.88</v>
      </c>
      <c r="AO51" s="358" t="s">
        <v>100</v>
      </c>
      <c r="AP51" s="358">
        <v>3759.2</v>
      </c>
      <c r="AQ51" s="340">
        <v>477.52</v>
      </c>
      <c r="AR51" s="341">
        <v>1554.48</v>
      </c>
      <c r="AS51" s="341">
        <v>904.24</v>
      </c>
      <c r="AT51" s="406">
        <v>711.2</v>
      </c>
      <c r="AU51" s="342">
        <v>91.44</v>
      </c>
      <c r="AV51" s="338" t="s">
        <v>54</v>
      </c>
      <c r="AW51" s="407" t="s">
        <v>54</v>
      </c>
      <c r="AX51" s="335"/>
      <c r="AY51" s="336">
        <v>1524</v>
      </c>
      <c r="AZ51" s="414"/>
      <c r="BA51" s="442">
        <v>1961</v>
      </c>
      <c r="BB51" s="443"/>
      <c r="BC51" s="444">
        <v>9955.7839999999997</v>
      </c>
      <c r="BD51" s="414">
        <f>'[5]Coke breeze'!BG49+BC51</f>
        <v>9955.7839999999997</v>
      </c>
      <c r="BE51" s="452">
        <f t="shared" si="3"/>
        <v>-6.7909993918508129E-3</v>
      </c>
      <c r="BF51" s="404">
        <v>8309.8639999999996</v>
      </c>
      <c r="BG51" s="338">
        <v>7680.96</v>
      </c>
      <c r="BH51" s="447">
        <v>3034.7919999999999</v>
      </c>
      <c r="BI51" s="448">
        <v>20.32</v>
      </c>
      <c r="BJ51" s="341"/>
      <c r="BK51" s="341"/>
      <c r="BL51" s="341"/>
      <c r="BM51" s="449">
        <v>4625.848</v>
      </c>
      <c r="BN51" s="450">
        <v>628.904</v>
      </c>
      <c r="BO51" s="414"/>
      <c r="BP51" s="306"/>
      <c r="CA51" s="442">
        <v>1961</v>
      </c>
      <c r="CB51" s="443" t="s">
        <v>958</v>
      </c>
      <c r="CC51" s="330"/>
      <c r="CD51" s="331"/>
      <c r="CE51" s="331"/>
      <c r="CF51" s="331"/>
      <c r="CG51" s="334"/>
      <c r="CH51" s="335"/>
      <c r="CI51" s="336"/>
      <c r="CJ51" s="335"/>
      <c r="CK51" s="337"/>
      <c r="CL51" s="338"/>
      <c r="CM51" s="339"/>
      <c r="CN51" s="340"/>
      <c r="CO51" s="451"/>
      <c r="CP51" s="335"/>
      <c r="CQ51" s="336"/>
      <c r="CR51" s="306"/>
    </row>
    <row r="52" spans="1:96" s="275" customFormat="1" ht="13.15" x14ac:dyDescent="0.4">
      <c r="A52" s="347">
        <v>1962</v>
      </c>
      <c r="B52" s="348">
        <v>15784.576000000001</v>
      </c>
      <c r="C52" s="331" t="s">
        <v>100</v>
      </c>
      <c r="D52" s="331">
        <v>-742.69600000000003</v>
      </c>
      <c r="E52" s="331" t="s">
        <v>100</v>
      </c>
      <c r="F52" s="349">
        <v>569.976</v>
      </c>
      <c r="G52" s="333" t="s">
        <v>100</v>
      </c>
      <c r="H52" s="334">
        <v>15611.856</v>
      </c>
      <c r="I52" s="335">
        <f t="shared" si="0"/>
        <v>15536</v>
      </c>
      <c r="J52" s="336">
        <v>-7.1120000000000001</v>
      </c>
      <c r="K52" s="335"/>
      <c r="L52" s="337">
        <v>15618.968000000001</v>
      </c>
      <c r="M52" s="338">
        <v>11016.487999999999</v>
      </c>
      <c r="N52" s="338" t="s">
        <v>100</v>
      </c>
      <c r="O52" s="339">
        <v>4602.4799999999996</v>
      </c>
      <c r="P52" s="340">
        <v>1192.7840000000001</v>
      </c>
      <c r="Q52" s="341">
        <v>936.75200000000007</v>
      </c>
      <c r="R52" s="341"/>
      <c r="S52" s="342">
        <v>792.48</v>
      </c>
      <c r="T52" s="340">
        <v>703.072</v>
      </c>
      <c r="U52" s="341"/>
      <c r="V52" s="341">
        <v>977.39200000000005</v>
      </c>
      <c r="W52" s="343"/>
      <c r="X52" s="297"/>
      <c r="Y52" s="346">
        <v>5425.44</v>
      </c>
      <c r="Z52" s="308"/>
      <c r="AA52" s="309">
        <v>1962</v>
      </c>
      <c r="AB52" s="330">
        <v>1209.04</v>
      </c>
      <c r="AC52" s="410">
        <v>0</v>
      </c>
      <c r="AD52" s="331">
        <v>-325.12</v>
      </c>
      <c r="AE52" s="332">
        <v>30.48</v>
      </c>
      <c r="AF52" s="332">
        <v>640.08000000000004</v>
      </c>
      <c r="AG52" s="409">
        <v>2439.4160000000002</v>
      </c>
      <c r="AH52" s="333">
        <v>193.04</v>
      </c>
      <c r="AI52" s="334">
        <v>4186.9360000000006</v>
      </c>
      <c r="AJ52" s="353"/>
      <c r="AK52" s="412">
        <v>1.0160000000005311</v>
      </c>
      <c r="AL52" s="335"/>
      <c r="AM52" s="337">
        <v>4185.92</v>
      </c>
      <c r="AN52" s="340">
        <v>162.56</v>
      </c>
      <c r="AO52" s="358" t="s">
        <v>100</v>
      </c>
      <c r="AP52" s="358">
        <v>4023.36</v>
      </c>
      <c r="AQ52" s="340">
        <v>497.84</v>
      </c>
      <c r="AR52" s="341">
        <v>1757.68</v>
      </c>
      <c r="AS52" s="341">
        <v>934.72</v>
      </c>
      <c r="AT52" s="406">
        <v>741.68</v>
      </c>
      <c r="AU52" s="342">
        <v>91.44</v>
      </c>
      <c r="AV52" s="338" t="s">
        <v>54</v>
      </c>
      <c r="AW52" s="407" t="s">
        <v>54</v>
      </c>
      <c r="AX52" s="335"/>
      <c r="AY52" s="336">
        <v>1493.52</v>
      </c>
      <c r="AZ52" s="414"/>
      <c r="BA52" s="442">
        <v>1962</v>
      </c>
      <c r="BB52" s="443"/>
      <c r="BC52" s="444">
        <v>9875.52</v>
      </c>
      <c r="BD52" s="414">
        <f>'[5]Coke breeze'!BG50+BC52</f>
        <v>9875.52</v>
      </c>
      <c r="BE52" s="452">
        <f t="shared" si="3"/>
        <v>-8.0620471476680507E-3</v>
      </c>
      <c r="BF52" s="404">
        <v>8936.7360000000008</v>
      </c>
      <c r="BG52" s="338">
        <v>8232.648000000001</v>
      </c>
      <c r="BH52" s="447">
        <v>3419.8560000000002</v>
      </c>
      <c r="BI52" s="448">
        <v>19.304000000000002</v>
      </c>
      <c r="BJ52" s="341"/>
      <c r="BK52" s="341"/>
      <c r="BL52" s="341"/>
      <c r="BM52" s="449">
        <v>4793.4880000000003</v>
      </c>
      <c r="BN52" s="450">
        <v>704.08799999999997</v>
      </c>
      <c r="BO52" s="414"/>
      <c r="BP52" s="306"/>
      <c r="CA52" s="442">
        <v>1962</v>
      </c>
      <c r="CB52" s="443" t="s">
        <v>958</v>
      </c>
      <c r="CC52" s="330"/>
      <c r="CD52" s="331"/>
      <c r="CE52" s="331"/>
      <c r="CF52" s="331"/>
      <c r="CG52" s="334"/>
      <c r="CH52" s="335"/>
      <c r="CI52" s="336"/>
      <c r="CJ52" s="335"/>
      <c r="CK52" s="337"/>
      <c r="CL52" s="338"/>
      <c r="CM52" s="339"/>
      <c r="CN52" s="340"/>
      <c r="CO52" s="451"/>
      <c r="CP52" s="335"/>
      <c r="CQ52" s="336"/>
      <c r="CR52" s="306"/>
    </row>
    <row r="53" spans="1:96" s="275" customFormat="1" ht="13.15" x14ac:dyDescent="0.4">
      <c r="A53" s="309">
        <v>1963</v>
      </c>
      <c r="B53" s="330">
        <v>15737.84</v>
      </c>
      <c r="C53" s="331" t="s">
        <v>100</v>
      </c>
      <c r="D53" s="331">
        <v>-1198.8800000000001</v>
      </c>
      <c r="E53" s="331">
        <v>-264.16000000000003</v>
      </c>
      <c r="F53" s="332">
        <v>2062.48</v>
      </c>
      <c r="G53" s="333">
        <v>-670.56</v>
      </c>
      <c r="H53" s="334">
        <v>15666.72</v>
      </c>
      <c r="I53" s="335">
        <f t="shared" si="0"/>
        <v>15490</v>
      </c>
      <c r="J53" s="350" t="s">
        <v>100</v>
      </c>
      <c r="K53" s="351"/>
      <c r="L53" s="337">
        <v>15666.72</v>
      </c>
      <c r="M53" s="338">
        <v>10657.84</v>
      </c>
      <c r="N53" s="338" t="s">
        <v>100</v>
      </c>
      <c r="O53" s="339">
        <v>5008.88</v>
      </c>
      <c r="P53" s="340">
        <v>1513.84</v>
      </c>
      <c r="Q53" s="341">
        <v>975.36</v>
      </c>
      <c r="R53" s="341"/>
      <c r="S53" s="341" t="s">
        <v>100</v>
      </c>
      <c r="T53" s="340">
        <v>853.44</v>
      </c>
      <c r="U53" s="341">
        <v>243.84</v>
      </c>
      <c r="V53" s="341">
        <v>1381.76</v>
      </c>
      <c r="W53" s="343">
        <v>40.64</v>
      </c>
      <c r="X53" s="306"/>
      <c r="Y53" s="336">
        <v>3362.96</v>
      </c>
      <c r="Z53" s="308"/>
      <c r="AA53" s="309">
        <v>1963</v>
      </c>
      <c r="AB53" s="330">
        <v>1239.52</v>
      </c>
      <c r="AC53" s="410">
        <v>0</v>
      </c>
      <c r="AD53" s="331">
        <v>-345.44</v>
      </c>
      <c r="AE53" s="332">
        <v>-10.16</v>
      </c>
      <c r="AF53" s="332">
        <v>833.12</v>
      </c>
      <c r="AG53" s="409">
        <v>2443.48</v>
      </c>
      <c r="AH53" s="333">
        <v>101.6</v>
      </c>
      <c r="AI53" s="334">
        <v>4262.12</v>
      </c>
      <c r="AJ53" s="353"/>
      <c r="AK53" s="412">
        <v>96.519999999999527</v>
      </c>
      <c r="AL53" s="351"/>
      <c r="AM53" s="337">
        <v>4165.6000000000004</v>
      </c>
      <c r="AN53" s="340">
        <v>172.72</v>
      </c>
      <c r="AO53" s="358" t="s">
        <v>100</v>
      </c>
      <c r="AP53" s="358">
        <v>3992.88</v>
      </c>
      <c r="AQ53" s="930">
        <f>+AQ52+(AQ$57-AQ$51)/6</f>
        <v>431.58666666666664</v>
      </c>
      <c r="AR53" s="341">
        <v>1493.52</v>
      </c>
      <c r="AS53" s="341"/>
      <c r="AT53" s="341"/>
      <c r="AU53" s="341">
        <v>91.44</v>
      </c>
      <c r="AV53" s="338">
        <v>2336.8000000000002</v>
      </c>
      <c r="AW53" s="407">
        <v>71.12</v>
      </c>
      <c r="AX53" s="335"/>
      <c r="AY53" s="336">
        <v>1595.12</v>
      </c>
      <c r="AZ53" s="414"/>
      <c r="BA53" s="442">
        <v>1963</v>
      </c>
      <c r="BB53" s="443"/>
      <c r="BC53" s="444">
        <v>9922.2559999999994</v>
      </c>
      <c r="BD53" s="414">
        <f>'[5]Coke breeze'!BG51+BC53</f>
        <v>9922.2559999999994</v>
      </c>
      <c r="BE53" s="452">
        <f t="shared" si="3"/>
        <v>4.7325102880657385E-3</v>
      </c>
      <c r="BF53" s="404">
        <v>8409.4320000000007</v>
      </c>
      <c r="BG53" s="338">
        <v>7947.152</v>
      </c>
      <c r="BH53" s="447">
        <v>3578.3519999999999</v>
      </c>
      <c r="BI53" s="930">
        <f>+BI52+(BI$56-BI$52)/4</f>
        <v>24.638000000000002</v>
      </c>
      <c r="BJ53" s="341"/>
      <c r="BK53" s="341"/>
      <c r="BL53" s="341"/>
      <c r="BM53" s="449">
        <v>4368.8</v>
      </c>
      <c r="BN53" s="450">
        <v>462.28</v>
      </c>
      <c r="BO53" s="414"/>
      <c r="BP53" s="306"/>
      <c r="CA53" s="442">
        <v>1963</v>
      </c>
      <c r="CB53" s="443"/>
      <c r="CC53" s="330">
        <v>2595.88</v>
      </c>
      <c r="CD53" s="332" t="s">
        <v>100</v>
      </c>
      <c r="CE53" s="484">
        <v>-92.456000000000003</v>
      </c>
      <c r="CF53" s="332" t="s">
        <v>959</v>
      </c>
      <c r="CG53" s="334">
        <v>2503.424</v>
      </c>
      <c r="CH53" s="335"/>
      <c r="CI53" s="412">
        <v>-2.0320000000001528</v>
      </c>
      <c r="CJ53" s="351"/>
      <c r="CK53" s="337">
        <v>2505.4560000000001</v>
      </c>
      <c r="CL53" s="338" t="s">
        <v>100</v>
      </c>
      <c r="CM53" s="358">
        <v>2505.4560000000001</v>
      </c>
      <c r="CN53" s="340">
        <v>975.36</v>
      </c>
      <c r="CO53" s="451">
        <v>1530.096</v>
      </c>
      <c r="CP53" s="335"/>
      <c r="CQ53" s="336" t="s">
        <v>54</v>
      </c>
      <c r="CR53" s="414"/>
    </row>
    <row r="54" spans="1:96" s="275" customFormat="1" ht="13.15" x14ac:dyDescent="0.4">
      <c r="A54" s="309">
        <v>1964</v>
      </c>
      <c r="B54" s="330">
        <v>17129.759999999998</v>
      </c>
      <c r="C54" s="331" t="s">
        <v>100</v>
      </c>
      <c r="D54" s="331">
        <v>-589.28</v>
      </c>
      <c r="E54" s="331">
        <v>-162.56</v>
      </c>
      <c r="F54" s="332">
        <v>985.52</v>
      </c>
      <c r="G54" s="333">
        <v>-741.68</v>
      </c>
      <c r="H54" s="334">
        <v>16621.759999999998</v>
      </c>
      <c r="I54" s="335">
        <f t="shared" si="0"/>
        <v>16860</v>
      </c>
      <c r="J54" s="350" t="s">
        <v>100</v>
      </c>
      <c r="K54" s="351"/>
      <c r="L54" s="337">
        <v>16621.759999999998</v>
      </c>
      <c r="M54" s="338">
        <v>12019.28</v>
      </c>
      <c r="N54" s="338" t="s">
        <v>100</v>
      </c>
      <c r="O54" s="339">
        <v>4602.4799999999996</v>
      </c>
      <c r="P54" s="340">
        <v>1270</v>
      </c>
      <c r="Q54" s="341">
        <v>1087.1199999999999</v>
      </c>
      <c r="R54" s="341"/>
      <c r="S54" s="341" t="s">
        <v>100</v>
      </c>
      <c r="T54" s="340">
        <v>1036.32</v>
      </c>
      <c r="U54" s="341">
        <v>284.48</v>
      </c>
      <c r="V54" s="341">
        <v>894.08</v>
      </c>
      <c r="W54" s="343">
        <v>30.48</v>
      </c>
      <c r="X54" s="306"/>
      <c r="Y54" s="336">
        <v>2377.44</v>
      </c>
      <c r="Z54" s="308"/>
      <c r="AA54" s="309">
        <v>1964</v>
      </c>
      <c r="AB54" s="330">
        <v>1381.76</v>
      </c>
      <c r="AC54" s="410">
        <v>0</v>
      </c>
      <c r="AD54" s="331">
        <v>-436.88</v>
      </c>
      <c r="AE54" s="332">
        <v>71.12</v>
      </c>
      <c r="AF54" s="332">
        <v>863.6</v>
      </c>
      <c r="AG54" s="409">
        <v>2234.1840000000002</v>
      </c>
      <c r="AH54" s="333">
        <v>91.44</v>
      </c>
      <c r="AI54" s="334">
        <v>4205.2239999999993</v>
      </c>
      <c r="AJ54" s="353"/>
      <c r="AK54" s="412">
        <v>-194.05600000000049</v>
      </c>
      <c r="AL54" s="351"/>
      <c r="AM54" s="337">
        <v>4399.28</v>
      </c>
      <c r="AN54" s="340">
        <v>172.72</v>
      </c>
      <c r="AO54" s="358" t="s">
        <v>100</v>
      </c>
      <c r="AP54" s="358">
        <v>4226.5600000000004</v>
      </c>
      <c r="AQ54" s="930">
        <f t="shared" ref="AQ54:AQ56" si="5">+AQ53+(AQ$57-AQ$51)/6</f>
        <v>365.33333333333331</v>
      </c>
      <c r="AR54" s="341">
        <v>1869.44</v>
      </c>
      <c r="AS54" s="341"/>
      <c r="AT54" s="341"/>
      <c r="AU54" s="341">
        <v>91.44</v>
      </c>
      <c r="AV54" s="338">
        <v>2174.2399999999998</v>
      </c>
      <c r="AW54" s="407">
        <v>91.44</v>
      </c>
      <c r="AX54" s="335"/>
      <c r="AY54" s="336">
        <v>1330.96</v>
      </c>
      <c r="AZ54" s="414"/>
      <c r="BA54" s="442">
        <v>1964</v>
      </c>
      <c r="BB54" s="443"/>
      <c r="BC54" s="444">
        <v>8980.4240000000009</v>
      </c>
      <c r="BD54" s="414">
        <f>'[5]Coke breeze'!BG52+BC54</f>
        <v>8980.4240000000009</v>
      </c>
      <c r="BE54" s="452">
        <f t="shared" si="3"/>
        <v>-9.4921155027646795E-2</v>
      </c>
      <c r="BF54" s="404">
        <v>7393.4319999999998</v>
      </c>
      <c r="BG54" s="338">
        <v>6953.5039999999999</v>
      </c>
      <c r="BH54" s="447">
        <v>3332.48</v>
      </c>
      <c r="BI54" s="930">
        <f t="shared" ref="BI54:BI55" si="6">+BI53+(BI$56-BI$52)/4</f>
        <v>29.972000000000001</v>
      </c>
      <c r="BJ54" s="341"/>
      <c r="BK54" s="341"/>
      <c r="BL54" s="341"/>
      <c r="BM54" s="449">
        <v>3621.0239999999999</v>
      </c>
      <c r="BN54" s="450">
        <v>439.928</v>
      </c>
      <c r="BO54" s="414"/>
      <c r="BP54" s="306"/>
      <c r="CA54" s="442">
        <v>1964</v>
      </c>
      <c r="CB54" s="443"/>
      <c r="CC54" s="330">
        <v>2502.4079999999999</v>
      </c>
      <c r="CD54" s="332" t="s">
        <v>100</v>
      </c>
      <c r="CE54" s="331">
        <v>-65.024000000000001</v>
      </c>
      <c r="CF54" s="332">
        <v>0</v>
      </c>
      <c r="CG54" s="334">
        <v>2437.384</v>
      </c>
      <c r="CH54" s="335"/>
      <c r="CI54" s="412">
        <v>17.271999999999998</v>
      </c>
      <c r="CJ54" s="351"/>
      <c r="CK54" s="337">
        <v>2420.1120000000001</v>
      </c>
      <c r="CL54" s="338" t="s">
        <v>100</v>
      </c>
      <c r="CM54" s="358">
        <v>2420.1120000000001</v>
      </c>
      <c r="CN54" s="340">
        <v>701.04</v>
      </c>
      <c r="CO54" s="451">
        <v>1719.0720000000001</v>
      </c>
      <c r="CP54" s="335"/>
      <c r="CQ54" s="336" t="s">
        <v>54</v>
      </c>
      <c r="CR54" s="414"/>
    </row>
    <row r="55" spans="1:96" s="275" customFormat="1" ht="13.15" x14ac:dyDescent="0.4">
      <c r="A55" s="309">
        <v>1965</v>
      </c>
      <c r="B55" s="330">
        <v>17343.12</v>
      </c>
      <c r="C55" s="331" t="s">
        <v>100</v>
      </c>
      <c r="D55" s="331">
        <v>-233.68</v>
      </c>
      <c r="E55" s="331">
        <v>-142.24</v>
      </c>
      <c r="F55" s="332">
        <v>518.16</v>
      </c>
      <c r="G55" s="333">
        <v>-741.68</v>
      </c>
      <c r="H55" s="334">
        <v>16743.68</v>
      </c>
      <c r="I55" s="335">
        <f t="shared" si="0"/>
        <v>17070</v>
      </c>
      <c r="J55" s="350" t="s">
        <v>100</v>
      </c>
      <c r="K55" s="351"/>
      <c r="L55" s="337">
        <v>16743.68</v>
      </c>
      <c r="M55" s="338">
        <v>12090.4</v>
      </c>
      <c r="N55" s="338" t="s">
        <v>100</v>
      </c>
      <c r="O55" s="339">
        <v>4653.28</v>
      </c>
      <c r="P55" s="340">
        <v>1198.8800000000001</v>
      </c>
      <c r="Q55" s="341">
        <v>1137.92</v>
      </c>
      <c r="R55" s="341"/>
      <c r="S55" s="341" t="s">
        <v>100</v>
      </c>
      <c r="T55" s="340">
        <v>1137.92</v>
      </c>
      <c r="U55" s="341">
        <v>182.88</v>
      </c>
      <c r="V55" s="341">
        <v>965.2</v>
      </c>
      <c r="W55" s="343">
        <v>30.48</v>
      </c>
      <c r="X55" s="306"/>
      <c r="Y55" s="336">
        <v>1859.28</v>
      </c>
      <c r="Z55" s="308"/>
      <c r="AA55" s="309">
        <v>1965</v>
      </c>
      <c r="AB55" s="330">
        <v>1422.4</v>
      </c>
      <c r="AC55" s="410">
        <v>0</v>
      </c>
      <c r="AD55" s="331">
        <v>-386.08</v>
      </c>
      <c r="AE55" s="332">
        <v>-152.4</v>
      </c>
      <c r="AF55" s="332">
        <v>1026.1600000000001</v>
      </c>
      <c r="AG55" s="409">
        <v>2002.5360000000001</v>
      </c>
      <c r="AH55" s="333">
        <v>71.12</v>
      </c>
      <c r="AI55" s="334">
        <v>3983.7360000000003</v>
      </c>
      <c r="AJ55" s="353"/>
      <c r="AK55" s="412">
        <v>-29.463999999999487</v>
      </c>
      <c r="AL55" s="351"/>
      <c r="AM55" s="337">
        <v>4013.2</v>
      </c>
      <c r="AN55" s="340">
        <v>172.72</v>
      </c>
      <c r="AO55" s="358" t="s">
        <v>100</v>
      </c>
      <c r="AP55" s="358">
        <v>3840.48</v>
      </c>
      <c r="AQ55" s="930">
        <f t="shared" si="5"/>
        <v>299.08</v>
      </c>
      <c r="AR55" s="341">
        <v>1930.4</v>
      </c>
      <c r="AS55" s="341"/>
      <c r="AT55" s="341"/>
      <c r="AU55" s="341">
        <v>111.76</v>
      </c>
      <c r="AV55" s="338">
        <v>1727.2</v>
      </c>
      <c r="AW55" s="407">
        <v>71.12</v>
      </c>
      <c r="AX55" s="335"/>
      <c r="AY55" s="336">
        <v>1452.88</v>
      </c>
      <c r="AZ55" s="414"/>
      <c r="BA55" s="442">
        <v>1965</v>
      </c>
      <c r="BB55" s="443"/>
      <c r="BC55" s="444">
        <v>7883.1440000000002</v>
      </c>
      <c r="BD55" s="414">
        <f>'[5]Coke breeze'!BG53+BC55</f>
        <v>7883.1440000000002</v>
      </c>
      <c r="BE55" s="452">
        <f t="shared" si="3"/>
        <v>-0.12218576762077164</v>
      </c>
      <c r="BF55" s="404">
        <v>7213.6</v>
      </c>
      <c r="BG55" s="338">
        <v>6858</v>
      </c>
      <c r="BH55" s="447">
        <v>3362.96</v>
      </c>
      <c r="BI55" s="930">
        <f t="shared" si="6"/>
        <v>35.305999999999997</v>
      </c>
      <c r="BJ55" s="448">
        <v>274.32</v>
      </c>
      <c r="BK55" s="448">
        <v>60.96</v>
      </c>
      <c r="BL55" s="448">
        <v>1270</v>
      </c>
      <c r="BM55" s="449">
        <v>1849.12</v>
      </c>
      <c r="BN55" s="450">
        <v>355.6</v>
      </c>
      <c r="BO55" s="414"/>
      <c r="BP55" s="306"/>
      <c r="CA55" s="442">
        <v>1965</v>
      </c>
      <c r="CB55" s="443"/>
      <c r="CC55" s="330">
        <v>2213.864</v>
      </c>
      <c r="CD55" s="332" t="s">
        <v>100</v>
      </c>
      <c r="CE55" s="331">
        <v>-62.992000000000004</v>
      </c>
      <c r="CF55" s="332">
        <v>9.1440000000000001</v>
      </c>
      <c r="CG55" s="334">
        <v>2160.0160000000001</v>
      </c>
      <c r="CH55" s="335"/>
      <c r="CI55" s="412">
        <v>36.576000000000001</v>
      </c>
      <c r="CJ55" s="351"/>
      <c r="CK55" s="337">
        <v>2123.44</v>
      </c>
      <c r="CL55" s="338" t="s">
        <v>100</v>
      </c>
      <c r="CM55" s="358">
        <v>2123.44</v>
      </c>
      <c r="CN55" s="340">
        <v>265.17599999999999</v>
      </c>
      <c r="CO55" s="451">
        <v>1858.2640000000001</v>
      </c>
      <c r="CP55" s="335"/>
      <c r="CQ55" s="336" t="s">
        <v>54</v>
      </c>
      <c r="CR55" s="414"/>
    </row>
    <row r="56" spans="1:96" s="275" customFormat="1" ht="13.15" x14ac:dyDescent="0.4">
      <c r="A56" s="309">
        <v>1966</v>
      </c>
      <c r="B56" s="330">
        <v>16377.8</v>
      </c>
      <c r="C56" s="331" t="s">
        <v>100</v>
      </c>
      <c r="D56" s="331">
        <v>-233.68</v>
      </c>
      <c r="E56" s="331">
        <v>-121.92</v>
      </c>
      <c r="F56" s="332">
        <v>132.08000000000001</v>
      </c>
      <c r="G56" s="333">
        <v>-863.6</v>
      </c>
      <c r="H56" s="334">
        <v>15290.8</v>
      </c>
      <c r="I56" s="335">
        <f t="shared" si="0"/>
        <v>16119.881889763779</v>
      </c>
      <c r="J56" s="350" t="s">
        <v>100</v>
      </c>
      <c r="K56" s="351"/>
      <c r="L56" s="337">
        <v>15290.8</v>
      </c>
      <c r="M56" s="338">
        <v>10769.6</v>
      </c>
      <c r="N56" s="338" t="s">
        <v>100</v>
      </c>
      <c r="O56" s="339">
        <v>4521.2</v>
      </c>
      <c r="P56" s="340">
        <v>1087.1199999999999</v>
      </c>
      <c r="Q56" s="341">
        <v>1117.5999999999999</v>
      </c>
      <c r="R56" s="341"/>
      <c r="S56" s="341" t="s">
        <v>100</v>
      </c>
      <c r="T56" s="340">
        <v>1270</v>
      </c>
      <c r="U56" s="341">
        <v>223.52</v>
      </c>
      <c r="V56" s="341">
        <v>802.64</v>
      </c>
      <c r="W56" s="343">
        <v>20.32</v>
      </c>
      <c r="X56" s="306"/>
      <c r="Y56" s="336">
        <v>1727.2</v>
      </c>
      <c r="Z56" s="308"/>
      <c r="AA56" s="309">
        <v>1966</v>
      </c>
      <c r="AB56" s="330">
        <v>1381.76</v>
      </c>
      <c r="AC56" s="410">
        <v>0</v>
      </c>
      <c r="AD56" s="331">
        <v>-314.95999999999998</v>
      </c>
      <c r="AE56" s="332">
        <v>71.12</v>
      </c>
      <c r="AF56" s="332">
        <v>772.16</v>
      </c>
      <c r="AG56" s="409">
        <v>1825.752</v>
      </c>
      <c r="AH56" s="333">
        <v>91.44</v>
      </c>
      <c r="AI56" s="334">
        <v>3827.2719999999999</v>
      </c>
      <c r="AJ56" s="353"/>
      <c r="AK56" s="412">
        <v>47.751999999999953</v>
      </c>
      <c r="AL56" s="335"/>
      <c r="AM56" s="337">
        <v>3779.52</v>
      </c>
      <c r="AN56" s="340">
        <v>172.72</v>
      </c>
      <c r="AO56" s="358" t="s">
        <v>100</v>
      </c>
      <c r="AP56" s="358">
        <v>3606.8</v>
      </c>
      <c r="AQ56" s="930">
        <f t="shared" si="5"/>
        <v>232.82666666666665</v>
      </c>
      <c r="AR56" s="341">
        <v>1869.44</v>
      </c>
      <c r="AS56" s="341"/>
      <c r="AT56" s="341"/>
      <c r="AU56" s="341">
        <v>121.92</v>
      </c>
      <c r="AV56" s="338">
        <v>1524</v>
      </c>
      <c r="AW56" s="407">
        <v>91.44</v>
      </c>
      <c r="AX56" s="335"/>
      <c r="AY56" s="336">
        <v>1432.56</v>
      </c>
      <c r="AZ56" s="415"/>
      <c r="BA56" s="442">
        <v>1966</v>
      </c>
      <c r="BB56" s="443"/>
      <c r="BC56" s="444">
        <v>7278.6239999999998</v>
      </c>
      <c r="BD56" s="414">
        <f>'[5]Coke breeze'!BG54+BC56</f>
        <v>7278.6239999999998</v>
      </c>
      <c r="BE56" s="452">
        <f t="shared" si="3"/>
        <v>-7.6685139837607996E-2</v>
      </c>
      <c r="BF56" s="404">
        <v>6482.08</v>
      </c>
      <c r="BG56" s="338">
        <v>6075.68</v>
      </c>
      <c r="BH56" s="447">
        <v>3190.24</v>
      </c>
      <c r="BI56" s="448">
        <v>40.64</v>
      </c>
      <c r="BJ56" s="448">
        <v>193.04</v>
      </c>
      <c r="BK56" s="448">
        <v>50.8</v>
      </c>
      <c r="BL56" s="448">
        <v>1249.68</v>
      </c>
      <c r="BM56" s="449">
        <v>1351.28</v>
      </c>
      <c r="BN56" s="450">
        <v>406.4</v>
      </c>
      <c r="BO56" s="414"/>
      <c r="BP56" s="306"/>
      <c r="CA56" s="442">
        <v>1966</v>
      </c>
      <c r="CB56" s="443"/>
      <c r="CC56" s="330">
        <v>2419.096</v>
      </c>
      <c r="CD56" s="332" t="s">
        <v>100</v>
      </c>
      <c r="CE56" s="484">
        <v>-55.88</v>
      </c>
      <c r="CF56" s="332">
        <v>1.016</v>
      </c>
      <c r="CG56" s="334">
        <f>SUM(CC56:CF56)</f>
        <v>2364.232</v>
      </c>
      <c r="CH56" s="335"/>
      <c r="CI56" s="412" t="s">
        <v>100</v>
      </c>
      <c r="CJ56" s="335"/>
      <c r="CK56" s="337">
        <v>2364.232</v>
      </c>
      <c r="CL56" s="338" t="s">
        <v>100</v>
      </c>
      <c r="CM56" s="358">
        <v>2364.232</v>
      </c>
      <c r="CN56" s="340">
        <v>308.86400000000003</v>
      </c>
      <c r="CO56" s="451">
        <v>2055.3679999999999</v>
      </c>
      <c r="CP56" s="335"/>
      <c r="CQ56" s="336" t="s">
        <v>54</v>
      </c>
      <c r="CR56" s="415"/>
    </row>
    <row r="57" spans="1:96" s="275" customFormat="1" ht="13.15" x14ac:dyDescent="0.4">
      <c r="A57" s="309">
        <v>1967</v>
      </c>
      <c r="B57" s="330">
        <v>15565.12</v>
      </c>
      <c r="C57" s="331" t="s">
        <v>100</v>
      </c>
      <c r="D57" s="331">
        <v>-142.24</v>
      </c>
      <c r="E57" s="331">
        <v>-91.44</v>
      </c>
      <c r="F57" s="332">
        <v>-10.16</v>
      </c>
      <c r="G57" s="333">
        <v>-680.72</v>
      </c>
      <c r="H57" s="334">
        <v>14640.56</v>
      </c>
      <c r="I57" s="335">
        <f t="shared" si="0"/>
        <v>15320</v>
      </c>
      <c r="J57" s="350" t="s">
        <v>100</v>
      </c>
      <c r="K57" s="351"/>
      <c r="L57" s="337">
        <v>14640.56</v>
      </c>
      <c r="M57" s="338">
        <v>10099.040000000001</v>
      </c>
      <c r="N57" s="338" t="s">
        <v>100</v>
      </c>
      <c r="O57" s="339">
        <v>4541.5200000000004</v>
      </c>
      <c r="P57" s="340">
        <v>1107.44</v>
      </c>
      <c r="Q57" s="341">
        <v>965.2</v>
      </c>
      <c r="R57" s="341"/>
      <c r="S57" s="341" t="s">
        <v>100</v>
      </c>
      <c r="T57" s="340">
        <v>1452.88</v>
      </c>
      <c r="U57" s="341">
        <v>264.16000000000003</v>
      </c>
      <c r="V57" s="341">
        <v>731.52</v>
      </c>
      <c r="W57" s="343">
        <v>20.32</v>
      </c>
      <c r="X57" s="306"/>
      <c r="Y57" s="336">
        <v>1737.36</v>
      </c>
      <c r="Z57" s="308"/>
      <c r="AA57" s="309">
        <v>1967</v>
      </c>
      <c r="AB57" s="330">
        <v>1340</v>
      </c>
      <c r="AC57" s="410">
        <v>0</v>
      </c>
      <c r="AD57" s="331">
        <v>-260</v>
      </c>
      <c r="AE57" s="332">
        <v>220</v>
      </c>
      <c r="AF57" s="332">
        <v>690</v>
      </c>
      <c r="AG57" s="409">
        <v>1610.36</v>
      </c>
      <c r="AH57" s="333">
        <v>60</v>
      </c>
      <c r="AI57" s="334">
        <v>3660.36</v>
      </c>
      <c r="AJ57" s="353"/>
      <c r="AK57" s="412">
        <v>10.360000000000127</v>
      </c>
      <c r="AL57" s="351"/>
      <c r="AM57" s="337">
        <v>3650</v>
      </c>
      <c r="AN57" s="340">
        <v>170</v>
      </c>
      <c r="AO57" s="358" t="s">
        <v>100</v>
      </c>
      <c r="AP57" s="358">
        <v>3480</v>
      </c>
      <c r="AQ57" s="340">
        <v>80</v>
      </c>
      <c r="AR57" s="341">
        <v>1800</v>
      </c>
      <c r="AS57" s="341"/>
      <c r="AT57" s="341"/>
      <c r="AU57" s="341">
        <v>130</v>
      </c>
      <c r="AV57" s="338">
        <v>1410</v>
      </c>
      <c r="AW57" s="407">
        <v>60</v>
      </c>
      <c r="AX57" s="335"/>
      <c r="AY57" s="336">
        <v>1200</v>
      </c>
      <c r="AZ57" s="414"/>
      <c r="BA57" s="442">
        <v>1967</v>
      </c>
      <c r="BB57" s="443"/>
      <c r="BC57" s="444">
        <v>6277.8640000000005</v>
      </c>
      <c r="BD57" s="414">
        <f>'[5]Coke breeze'!BG55+BC57</f>
        <v>6277.8640000000005</v>
      </c>
      <c r="BE57" s="452">
        <f t="shared" si="3"/>
        <v>-0.13749302065884972</v>
      </c>
      <c r="BF57" s="404">
        <v>5577.84</v>
      </c>
      <c r="BG57" s="338">
        <v>5242.5600000000004</v>
      </c>
      <c r="BH57" s="447">
        <v>2804.16</v>
      </c>
      <c r="BI57" s="448">
        <v>40.64</v>
      </c>
      <c r="BJ57" s="448">
        <v>132.08000000000001</v>
      </c>
      <c r="BK57" s="448">
        <v>40.64</v>
      </c>
      <c r="BL57" s="448">
        <v>1198.8800000000001</v>
      </c>
      <c r="BM57" s="449">
        <v>1026.1600000000001</v>
      </c>
      <c r="BN57" s="450">
        <v>335.28</v>
      </c>
      <c r="BO57" s="414"/>
      <c r="BP57" s="306"/>
      <c r="CA57" s="442">
        <v>1967</v>
      </c>
      <c r="CB57" s="443"/>
      <c r="CC57" s="330">
        <v>2625</v>
      </c>
      <c r="CD57" s="332" t="s">
        <v>100</v>
      </c>
      <c r="CE57" s="331">
        <v>-57</v>
      </c>
      <c r="CF57" s="332">
        <v>-14</v>
      </c>
      <c r="CG57" s="334">
        <v>2554</v>
      </c>
      <c r="CH57" s="335"/>
      <c r="CI57" s="412">
        <v>43</v>
      </c>
      <c r="CJ57" s="351"/>
      <c r="CK57" s="337">
        <v>2511</v>
      </c>
      <c r="CL57" s="338" t="s">
        <v>100</v>
      </c>
      <c r="CM57" s="358">
        <v>2511</v>
      </c>
      <c r="CN57" s="340">
        <v>315</v>
      </c>
      <c r="CO57" s="451">
        <v>2196</v>
      </c>
      <c r="CP57" s="335"/>
      <c r="CQ57" s="336" t="s">
        <v>54</v>
      </c>
      <c r="CR57" s="414"/>
    </row>
    <row r="58" spans="1:96" s="275" customFormat="1" ht="13.15" x14ac:dyDescent="0.4">
      <c r="A58" s="309">
        <v>1968</v>
      </c>
      <c r="B58" s="330">
        <v>16510</v>
      </c>
      <c r="C58" s="331" t="s">
        <v>100</v>
      </c>
      <c r="D58" s="331">
        <v>-172.72</v>
      </c>
      <c r="E58" s="331">
        <v>-71.12</v>
      </c>
      <c r="F58" s="332">
        <v>304.8</v>
      </c>
      <c r="G58" s="333">
        <v>-792.48</v>
      </c>
      <c r="H58" s="334">
        <v>15778.48</v>
      </c>
      <c r="I58" s="335">
        <f t="shared" si="0"/>
        <v>16250</v>
      </c>
      <c r="J58" s="350" t="s">
        <v>100</v>
      </c>
      <c r="K58" s="351"/>
      <c r="L58" s="337">
        <v>15778.48</v>
      </c>
      <c r="M58" s="338">
        <v>10942.32</v>
      </c>
      <c r="N58" s="338" t="s">
        <v>100</v>
      </c>
      <c r="O58" s="339">
        <v>4836.16</v>
      </c>
      <c r="P58" s="340">
        <v>924.56</v>
      </c>
      <c r="Q58" s="341">
        <v>1026.1600000000001</v>
      </c>
      <c r="R58" s="341"/>
      <c r="S58" s="341" t="s">
        <v>100</v>
      </c>
      <c r="T58" s="340">
        <v>1524</v>
      </c>
      <c r="U58" s="341">
        <v>467.36</v>
      </c>
      <c r="V58" s="341">
        <v>873.76</v>
      </c>
      <c r="W58" s="343">
        <v>20.32</v>
      </c>
      <c r="X58" s="306"/>
      <c r="Y58" s="336">
        <v>1432.56</v>
      </c>
      <c r="Z58" s="308"/>
      <c r="AA58" s="309">
        <v>1968</v>
      </c>
      <c r="AB58" s="330">
        <v>1440</v>
      </c>
      <c r="AC58" s="410">
        <v>0</v>
      </c>
      <c r="AD58" s="331">
        <v>-350</v>
      </c>
      <c r="AE58" s="332">
        <v>200</v>
      </c>
      <c r="AF58" s="332">
        <v>790</v>
      </c>
      <c r="AG58" s="409">
        <v>1208.0240000000001</v>
      </c>
      <c r="AH58" s="333">
        <v>50</v>
      </c>
      <c r="AI58" s="334">
        <v>3338.0240000000003</v>
      </c>
      <c r="AJ58" s="353"/>
      <c r="AK58" s="412">
        <v>-51.975999999999658</v>
      </c>
      <c r="AL58" s="351"/>
      <c r="AM58" s="337">
        <v>3390</v>
      </c>
      <c r="AN58" s="340">
        <v>140</v>
      </c>
      <c r="AO58" s="358" t="s">
        <v>100</v>
      </c>
      <c r="AP58" s="358">
        <v>3250</v>
      </c>
      <c r="AQ58" s="340">
        <v>20</v>
      </c>
      <c r="AR58" s="341">
        <v>1980</v>
      </c>
      <c r="AS58" s="341"/>
      <c r="AT58" s="341"/>
      <c r="AU58" s="341">
        <v>110</v>
      </c>
      <c r="AV58" s="338">
        <v>1090</v>
      </c>
      <c r="AW58" s="407">
        <v>50</v>
      </c>
      <c r="AX58" s="335"/>
      <c r="AY58" s="336">
        <v>950</v>
      </c>
      <c r="AZ58" s="414"/>
      <c r="BA58" s="442">
        <v>1968</v>
      </c>
      <c r="BB58" s="443"/>
      <c r="BC58" s="444">
        <v>4667.5039999999999</v>
      </c>
      <c r="BD58" s="414">
        <f>'[5]Coke breeze'!BG56+BC58</f>
        <v>4667.5039999999999</v>
      </c>
      <c r="BE58" s="452">
        <f t="shared" si="3"/>
        <v>-0.25651399902896915</v>
      </c>
      <c r="BF58" s="404">
        <v>4785.3599999999997</v>
      </c>
      <c r="BG58" s="338">
        <v>4470.3999999999996</v>
      </c>
      <c r="BH58" s="447">
        <v>2367.2800000000002</v>
      </c>
      <c r="BI58" s="448">
        <v>30.48</v>
      </c>
      <c r="BJ58" s="448">
        <v>101.6</v>
      </c>
      <c r="BK58" s="448">
        <v>40.64</v>
      </c>
      <c r="BL58" s="448">
        <v>985.52</v>
      </c>
      <c r="BM58" s="449">
        <v>944.88</v>
      </c>
      <c r="BN58" s="450">
        <v>314.95999999999998</v>
      </c>
      <c r="BO58" s="414"/>
      <c r="BP58" s="306"/>
      <c r="CA58" s="442">
        <v>1968</v>
      </c>
      <c r="CB58" s="443"/>
      <c r="CC58" s="330">
        <v>2904</v>
      </c>
      <c r="CD58" s="332" t="s">
        <v>100</v>
      </c>
      <c r="CE58" s="331">
        <v>-69</v>
      </c>
      <c r="CF58" s="332">
        <v>2</v>
      </c>
      <c r="CG58" s="334">
        <v>2837</v>
      </c>
      <c r="CH58" s="335"/>
      <c r="CI58" s="412">
        <v>-38</v>
      </c>
      <c r="CJ58" s="351"/>
      <c r="CK58" s="337">
        <v>2875</v>
      </c>
      <c r="CL58" s="338" t="s">
        <v>100</v>
      </c>
      <c r="CM58" s="358">
        <v>2875</v>
      </c>
      <c r="CN58" s="340">
        <v>320</v>
      </c>
      <c r="CO58" s="451">
        <v>2555</v>
      </c>
      <c r="CP58" s="335"/>
      <c r="CQ58" s="336" t="s">
        <v>54</v>
      </c>
      <c r="CR58" s="414"/>
    </row>
    <row r="59" spans="1:96" s="275" customFormat="1" ht="13.15" x14ac:dyDescent="0.4">
      <c r="A59" s="309">
        <v>1969</v>
      </c>
      <c r="B59" s="330">
        <v>16845.28</v>
      </c>
      <c r="C59" s="331" t="s">
        <v>100</v>
      </c>
      <c r="D59" s="331">
        <v>-365.76</v>
      </c>
      <c r="E59" s="331">
        <v>-50.8</v>
      </c>
      <c r="F59" s="332">
        <v>375.92</v>
      </c>
      <c r="G59" s="333">
        <v>-802.64</v>
      </c>
      <c r="H59" s="334">
        <v>16002</v>
      </c>
      <c r="I59" s="335">
        <f t="shared" si="0"/>
        <v>16580</v>
      </c>
      <c r="J59" s="350" t="s">
        <v>100</v>
      </c>
      <c r="K59" s="351"/>
      <c r="L59" s="337">
        <v>16002</v>
      </c>
      <c r="M59" s="338">
        <v>10820.4</v>
      </c>
      <c r="N59" s="338" t="s">
        <v>100</v>
      </c>
      <c r="O59" s="339">
        <v>5181.6000000000004</v>
      </c>
      <c r="P59" s="340">
        <v>904.24</v>
      </c>
      <c r="Q59" s="341">
        <v>1137.92</v>
      </c>
      <c r="R59" s="341"/>
      <c r="S59" s="341" t="s">
        <v>100</v>
      </c>
      <c r="T59" s="340">
        <v>1554.48</v>
      </c>
      <c r="U59" s="341">
        <v>640.08000000000004</v>
      </c>
      <c r="V59" s="341">
        <v>924.56</v>
      </c>
      <c r="W59" s="343">
        <v>20.32</v>
      </c>
      <c r="X59" s="306"/>
      <c r="Y59" s="336">
        <v>1056.6400000000001</v>
      </c>
      <c r="Z59" s="308"/>
      <c r="AA59" s="309">
        <v>1969</v>
      </c>
      <c r="AB59" s="330">
        <v>1490</v>
      </c>
      <c r="AC59" s="410">
        <v>0</v>
      </c>
      <c r="AD59" s="331">
        <v>-290</v>
      </c>
      <c r="AE59" s="332">
        <v>140</v>
      </c>
      <c r="AF59" s="332">
        <v>850</v>
      </c>
      <c r="AG59" s="409">
        <v>794.51200000000006</v>
      </c>
      <c r="AH59" s="333">
        <v>50</v>
      </c>
      <c r="AI59" s="334">
        <v>3034.5120000000002</v>
      </c>
      <c r="AJ59" s="353"/>
      <c r="AK59" s="412">
        <v>4.512000000000171</v>
      </c>
      <c r="AL59" s="351"/>
      <c r="AM59" s="337">
        <v>3030</v>
      </c>
      <c r="AN59" s="340">
        <v>130</v>
      </c>
      <c r="AO59" s="358" t="s">
        <v>100</v>
      </c>
      <c r="AP59" s="358">
        <v>2900</v>
      </c>
      <c r="AQ59" s="340">
        <v>170</v>
      </c>
      <c r="AR59" s="341">
        <v>1910</v>
      </c>
      <c r="AS59" s="341"/>
      <c r="AT59" s="341"/>
      <c r="AU59" s="341">
        <v>100</v>
      </c>
      <c r="AV59" s="338">
        <v>670</v>
      </c>
      <c r="AW59" s="407">
        <v>50</v>
      </c>
      <c r="AX59" s="335"/>
      <c r="AY59" s="336">
        <v>810</v>
      </c>
      <c r="AZ59" s="414"/>
      <c r="BA59" s="442">
        <v>1969</v>
      </c>
      <c r="BB59" s="443"/>
      <c r="BC59" s="444">
        <v>3033.7759999999998</v>
      </c>
      <c r="BD59" s="414">
        <f>'[5]Coke breeze'!BG57+BC59</f>
        <v>3033.7759999999998</v>
      </c>
      <c r="BE59" s="452">
        <f t="shared" si="3"/>
        <v>-0.35002176752285591</v>
      </c>
      <c r="BF59" s="404">
        <v>3586.48</v>
      </c>
      <c r="BG59" s="338">
        <v>3352.8</v>
      </c>
      <c r="BH59" s="447">
        <v>1849.12</v>
      </c>
      <c r="BI59" s="448">
        <v>30.48</v>
      </c>
      <c r="BJ59" s="448">
        <v>71.12</v>
      </c>
      <c r="BK59" s="448">
        <v>40.64</v>
      </c>
      <c r="BL59" s="448">
        <v>741.68</v>
      </c>
      <c r="BM59" s="449">
        <v>619.76</v>
      </c>
      <c r="BN59" s="450">
        <v>233.68</v>
      </c>
      <c r="BO59" s="414"/>
      <c r="BP59" s="306"/>
      <c r="CA59" s="442">
        <v>1969</v>
      </c>
      <c r="CB59" s="443"/>
      <c r="CC59" s="330">
        <v>3258</v>
      </c>
      <c r="CD59" s="332" t="s">
        <v>100</v>
      </c>
      <c r="CE59" s="331">
        <v>-100</v>
      </c>
      <c r="CF59" s="332">
        <v>12</v>
      </c>
      <c r="CG59" s="334">
        <v>3170</v>
      </c>
      <c r="CH59" s="335"/>
      <c r="CI59" s="412">
        <v>-94</v>
      </c>
      <c r="CJ59" s="351"/>
      <c r="CK59" s="337">
        <v>3264</v>
      </c>
      <c r="CL59" s="338" t="s">
        <v>100</v>
      </c>
      <c r="CM59" s="358">
        <v>3264</v>
      </c>
      <c r="CN59" s="340">
        <v>332</v>
      </c>
      <c r="CO59" s="451">
        <v>2932</v>
      </c>
      <c r="CP59" s="335"/>
      <c r="CQ59" s="336" t="s">
        <v>54</v>
      </c>
      <c r="CR59" s="414"/>
    </row>
    <row r="60" spans="1:96" s="275" customFormat="1" ht="13.15" x14ac:dyDescent="0.4">
      <c r="A60" s="309">
        <v>1970</v>
      </c>
      <c r="B60" s="330">
        <v>16591.28</v>
      </c>
      <c r="C60" s="331" t="s">
        <v>100</v>
      </c>
      <c r="D60" s="331">
        <v>-365.76</v>
      </c>
      <c r="E60" s="331">
        <v>-30.48</v>
      </c>
      <c r="F60" s="332">
        <v>487.68</v>
      </c>
      <c r="G60" s="333">
        <v>-833.12</v>
      </c>
      <c r="H60" s="334">
        <v>15849.6</v>
      </c>
      <c r="I60" s="335">
        <f t="shared" si="0"/>
        <v>16329.999999999998</v>
      </c>
      <c r="J60" s="350" t="s">
        <v>100</v>
      </c>
      <c r="K60" s="335"/>
      <c r="L60" s="337">
        <v>15849.6</v>
      </c>
      <c r="M60" s="338">
        <v>10789.92</v>
      </c>
      <c r="N60" s="338" t="s">
        <v>100</v>
      </c>
      <c r="O60" s="339">
        <v>5059.68</v>
      </c>
      <c r="P60" s="340">
        <v>1066.8</v>
      </c>
      <c r="Q60" s="341">
        <v>1016</v>
      </c>
      <c r="R60" s="341"/>
      <c r="S60" s="341" t="s">
        <v>100</v>
      </c>
      <c r="T60" s="340">
        <v>1503.68</v>
      </c>
      <c r="U60" s="341">
        <v>619.76</v>
      </c>
      <c r="V60" s="341">
        <v>833.12</v>
      </c>
      <c r="W60" s="343">
        <v>20.32</v>
      </c>
      <c r="X60" s="297"/>
      <c r="Y60" s="336">
        <v>568.96</v>
      </c>
      <c r="Z60" s="308"/>
      <c r="AA60" s="309">
        <v>1970</v>
      </c>
      <c r="AB60" s="330">
        <v>1550</v>
      </c>
      <c r="AC60" s="410">
        <v>0</v>
      </c>
      <c r="AD60" s="331">
        <v>-330</v>
      </c>
      <c r="AE60" s="332">
        <v>160</v>
      </c>
      <c r="AF60" s="332">
        <v>830</v>
      </c>
      <c r="AG60" s="409">
        <v>460.24799999999999</v>
      </c>
      <c r="AH60" s="333">
        <v>50</v>
      </c>
      <c r="AI60" s="334">
        <v>2720.248</v>
      </c>
      <c r="AJ60" s="353"/>
      <c r="AK60" s="412">
        <v>-109.75199999999995</v>
      </c>
      <c r="AL60" s="351"/>
      <c r="AM60" s="337">
        <v>2830</v>
      </c>
      <c r="AN60" s="340">
        <v>120</v>
      </c>
      <c r="AO60" s="358" t="s">
        <v>100</v>
      </c>
      <c r="AP60" s="358">
        <v>2710</v>
      </c>
      <c r="AQ60" s="340">
        <v>160</v>
      </c>
      <c r="AR60" s="341">
        <v>1980</v>
      </c>
      <c r="AS60" s="341"/>
      <c r="AT60" s="341"/>
      <c r="AU60" s="341">
        <v>110</v>
      </c>
      <c r="AV60" s="338">
        <v>410</v>
      </c>
      <c r="AW60" s="407">
        <v>50</v>
      </c>
      <c r="AX60" s="335"/>
      <c r="AY60" s="336">
        <v>540</v>
      </c>
      <c r="AZ60" s="414"/>
      <c r="BA60" s="442">
        <v>1970</v>
      </c>
      <c r="BB60" s="443"/>
      <c r="BC60" s="444">
        <v>1878.5840000000001</v>
      </c>
      <c r="BD60" s="414">
        <f>'[5]Coke breeze'!BG58+BC60</f>
        <v>1878.5840000000001</v>
      </c>
      <c r="BE60" s="452">
        <f t="shared" si="3"/>
        <v>-0.38077695914266574</v>
      </c>
      <c r="BF60" s="404">
        <v>2143.7600000000002</v>
      </c>
      <c r="BG60" s="338">
        <v>2001.52</v>
      </c>
      <c r="BH60" s="447">
        <v>1127.76</v>
      </c>
      <c r="BI60" s="448">
        <v>20.32</v>
      </c>
      <c r="BJ60" s="448">
        <v>30.48</v>
      </c>
      <c r="BK60" s="448">
        <v>30.48</v>
      </c>
      <c r="BL60" s="448">
        <v>467.36</v>
      </c>
      <c r="BM60" s="449">
        <v>325.12</v>
      </c>
      <c r="BN60" s="450">
        <v>142.24</v>
      </c>
      <c r="BO60" s="414"/>
      <c r="BP60" s="306"/>
      <c r="CA60" s="442">
        <v>1970</v>
      </c>
      <c r="CB60" s="443"/>
      <c r="CC60" s="330">
        <v>3345</v>
      </c>
      <c r="CD60" s="332">
        <v>53</v>
      </c>
      <c r="CE60" s="331">
        <v>-138</v>
      </c>
      <c r="CF60" s="332">
        <v>-5</v>
      </c>
      <c r="CG60" s="334">
        <v>3255</v>
      </c>
      <c r="CH60" s="335"/>
      <c r="CI60" s="412">
        <v>-21</v>
      </c>
      <c r="CJ60" s="351"/>
      <c r="CK60" s="337">
        <v>3276</v>
      </c>
      <c r="CL60" s="338" t="s">
        <v>100</v>
      </c>
      <c r="CM60" s="358">
        <v>3276</v>
      </c>
      <c r="CN60" s="340">
        <v>352</v>
      </c>
      <c r="CO60" s="451">
        <v>2924</v>
      </c>
      <c r="CP60" s="335"/>
      <c r="CQ60" s="336" t="s">
        <v>54</v>
      </c>
      <c r="CR60" s="414"/>
    </row>
    <row r="61" spans="1:96" s="275" customFormat="1" ht="13.15" x14ac:dyDescent="0.4">
      <c r="A61" s="309">
        <v>1971</v>
      </c>
      <c r="B61" s="330">
        <v>15372.08</v>
      </c>
      <c r="C61" s="331">
        <v>20.32</v>
      </c>
      <c r="D61" s="331">
        <v>-254</v>
      </c>
      <c r="E61" s="331">
        <v>-111.76</v>
      </c>
      <c r="F61" s="332">
        <v>-1117.5999999999999</v>
      </c>
      <c r="G61" s="333">
        <v>-721.36</v>
      </c>
      <c r="H61" s="334">
        <v>13187.68</v>
      </c>
      <c r="I61" s="335">
        <f t="shared" si="0"/>
        <v>15130</v>
      </c>
      <c r="J61" s="350" t="s">
        <v>100</v>
      </c>
      <c r="K61" s="351"/>
      <c r="L61" s="337">
        <v>13187.68</v>
      </c>
      <c r="M61" s="338">
        <v>9418.32</v>
      </c>
      <c r="N61" s="338" t="s">
        <v>100</v>
      </c>
      <c r="O61" s="339">
        <v>3769.36</v>
      </c>
      <c r="P61" s="340">
        <v>812.8</v>
      </c>
      <c r="Q61" s="341">
        <v>894.08</v>
      </c>
      <c r="R61" s="341"/>
      <c r="S61" s="341" t="s">
        <v>100</v>
      </c>
      <c r="T61" s="340">
        <v>1188.72</v>
      </c>
      <c r="U61" s="341"/>
      <c r="V61" s="341">
        <v>863.6</v>
      </c>
      <c r="W61" s="343" t="s">
        <v>100</v>
      </c>
      <c r="X61" s="306"/>
      <c r="Y61" s="336">
        <v>1686.56</v>
      </c>
      <c r="Z61" s="308"/>
      <c r="AA61" s="309">
        <v>1971</v>
      </c>
      <c r="AB61" s="330">
        <v>1460</v>
      </c>
      <c r="AC61" s="410">
        <v>0</v>
      </c>
      <c r="AD61" s="331">
        <v>-150</v>
      </c>
      <c r="AE61" s="332">
        <v>-120</v>
      </c>
      <c r="AF61" s="332">
        <v>740</v>
      </c>
      <c r="AG61" s="409">
        <v>183.89600000000002</v>
      </c>
      <c r="AH61" s="333">
        <v>40</v>
      </c>
      <c r="AI61" s="334">
        <v>2153.8960000000002</v>
      </c>
      <c r="AJ61" s="353"/>
      <c r="AK61" s="412">
        <v>-56.103999999999814</v>
      </c>
      <c r="AL61" s="351"/>
      <c r="AM61" s="337">
        <v>2210</v>
      </c>
      <c r="AN61" s="340">
        <v>80</v>
      </c>
      <c r="AO61" s="358" t="s">
        <v>100</v>
      </c>
      <c r="AP61" s="358">
        <v>2130</v>
      </c>
      <c r="AQ61" s="340">
        <v>50</v>
      </c>
      <c r="AR61" s="341">
        <v>1790</v>
      </c>
      <c r="AS61" s="341"/>
      <c r="AT61" s="341"/>
      <c r="AU61" s="341">
        <v>80</v>
      </c>
      <c r="AV61" s="338">
        <v>170</v>
      </c>
      <c r="AW61" s="407">
        <v>40</v>
      </c>
      <c r="AX61" s="335"/>
      <c r="AY61" s="336">
        <v>610</v>
      </c>
      <c r="AZ61" s="414"/>
      <c r="BA61" s="442">
        <v>1971</v>
      </c>
      <c r="BB61" s="443"/>
      <c r="BC61" s="444">
        <v>743.71199999999999</v>
      </c>
      <c r="BD61" s="414">
        <f>'[5]Coke breeze'!BG59+BC61</f>
        <v>743.71199999999999</v>
      </c>
      <c r="BE61" s="452">
        <f t="shared" si="3"/>
        <v>-0.60411032990805846</v>
      </c>
      <c r="BF61" s="404">
        <v>751.84</v>
      </c>
      <c r="BG61" s="338">
        <v>711.2</v>
      </c>
      <c r="BH61" s="447">
        <v>497.84</v>
      </c>
      <c r="BI61" s="341"/>
      <c r="BJ61" s="448">
        <v>10.16</v>
      </c>
      <c r="BK61" s="448">
        <v>10.16</v>
      </c>
      <c r="BL61" s="448">
        <v>152.4</v>
      </c>
      <c r="BM61" s="449">
        <v>40.64</v>
      </c>
      <c r="BN61" s="450">
        <v>40.64</v>
      </c>
      <c r="BO61" s="414"/>
      <c r="BP61" s="306"/>
      <c r="CA61" s="442">
        <v>1971</v>
      </c>
      <c r="CB61" s="443"/>
      <c r="CC61" s="330">
        <v>3492</v>
      </c>
      <c r="CD61" s="332">
        <v>307</v>
      </c>
      <c r="CE61" s="331">
        <v>-136</v>
      </c>
      <c r="CF61" s="485">
        <v>-6</v>
      </c>
      <c r="CG61" s="334">
        <v>3657</v>
      </c>
      <c r="CH61" s="335"/>
      <c r="CI61" s="412">
        <v>147</v>
      </c>
      <c r="CJ61" s="351"/>
      <c r="CK61" s="337">
        <v>3510</v>
      </c>
      <c r="CL61" s="338" t="s">
        <v>100</v>
      </c>
      <c r="CM61" s="358">
        <v>3510</v>
      </c>
      <c r="CN61" s="340">
        <v>294</v>
      </c>
      <c r="CO61" s="451">
        <v>3216</v>
      </c>
      <c r="CP61" s="335"/>
      <c r="CQ61" s="336" t="s">
        <v>54</v>
      </c>
      <c r="CR61" s="414"/>
    </row>
    <row r="62" spans="1:96" s="275" customFormat="1" ht="13.15" x14ac:dyDescent="0.4">
      <c r="A62" s="309">
        <v>1972</v>
      </c>
      <c r="B62" s="330">
        <v>13411.2</v>
      </c>
      <c r="C62" s="331">
        <v>91.44</v>
      </c>
      <c r="D62" s="331">
        <v>-243.84</v>
      </c>
      <c r="E62" s="331">
        <v>-81.28</v>
      </c>
      <c r="F62" s="332">
        <v>-243.84</v>
      </c>
      <c r="G62" s="333">
        <v>-680.72</v>
      </c>
      <c r="H62" s="334">
        <v>12252.96</v>
      </c>
      <c r="I62" s="335">
        <f t="shared" si="0"/>
        <v>13200</v>
      </c>
      <c r="J62" s="350" t="s">
        <v>100</v>
      </c>
      <c r="K62" s="335"/>
      <c r="L62" s="337">
        <v>12252.96</v>
      </c>
      <c r="M62" s="338">
        <v>8971.2800000000007</v>
      </c>
      <c r="N62" s="338" t="s">
        <v>100</v>
      </c>
      <c r="O62" s="339">
        <v>3281.68</v>
      </c>
      <c r="P62" s="340">
        <v>680.72</v>
      </c>
      <c r="Q62" s="341">
        <v>863.6</v>
      </c>
      <c r="R62" s="341"/>
      <c r="S62" s="341" t="s">
        <v>100</v>
      </c>
      <c r="T62" s="340">
        <v>1076.96</v>
      </c>
      <c r="U62" s="341"/>
      <c r="V62" s="341">
        <v>660.4</v>
      </c>
      <c r="W62" s="343" t="s">
        <v>100</v>
      </c>
      <c r="X62" s="297"/>
      <c r="Y62" s="336">
        <v>1930.4</v>
      </c>
      <c r="Z62" s="308"/>
      <c r="AA62" s="309">
        <v>1972</v>
      </c>
      <c r="AB62" s="330">
        <v>1210</v>
      </c>
      <c r="AC62" s="410">
        <v>0</v>
      </c>
      <c r="AD62" s="331">
        <v>-100</v>
      </c>
      <c r="AE62" s="332">
        <v>60</v>
      </c>
      <c r="AF62" s="332">
        <v>720</v>
      </c>
      <c r="AG62" s="409">
        <v>30.48</v>
      </c>
      <c r="AH62" s="333">
        <v>30</v>
      </c>
      <c r="AI62" s="334">
        <v>1950.48</v>
      </c>
      <c r="AJ62" s="353"/>
      <c r="AK62" s="412">
        <v>-19.52</v>
      </c>
      <c r="AL62" s="348"/>
      <c r="AM62" s="337">
        <v>1970</v>
      </c>
      <c r="AN62" s="340">
        <v>60</v>
      </c>
      <c r="AO62" s="358" t="s">
        <v>100</v>
      </c>
      <c r="AP62" s="358">
        <v>1910</v>
      </c>
      <c r="AQ62" s="340">
        <v>130</v>
      </c>
      <c r="AR62" s="341">
        <v>1570</v>
      </c>
      <c r="AS62" s="341"/>
      <c r="AT62" s="341"/>
      <c r="AU62" s="341">
        <v>130</v>
      </c>
      <c r="AV62" s="338">
        <v>50</v>
      </c>
      <c r="AW62" s="407">
        <v>30</v>
      </c>
      <c r="AX62" s="335"/>
      <c r="AY62" s="336">
        <v>530</v>
      </c>
      <c r="AZ62" s="414"/>
      <c r="BA62" s="442">
        <v>1972</v>
      </c>
      <c r="BB62" s="443"/>
      <c r="BC62" s="444">
        <v>226.56800000000001</v>
      </c>
      <c r="BD62" s="414">
        <f>'[5]Coke breeze'!BG60+BC62</f>
        <v>226.56800000000001</v>
      </c>
      <c r="BE62" s="452">
        <f t="shared" si="3"/>
        <v>-0.69535519125683065</v>
      </c>
      <c r="BF62" s="404">
        <v>355.6</v>
      </c>
      <c r="BG62" s="338">
        <v>345.44</v>
      </c>
      <c r="BH62" s="453">
        <v>193.04</v>
      </c>
      <c r="BI62" s="341"/>
      <c r="BJ62" s="448">
        <v>20.32</v>
      </c>
      <c r="BK62" s="341"/>
      <c r="BL62" s="448">
        <v>81.28</v>
      </c>
      <c r="BM62" s="449">
        <v>50.8</v>
      </c>
      <c r="BN62" s="454">
        <v>10.16</v>
      </c>
      <c r="BO62" s="414"/>
      <c r="BP62" s="306"/>
      <c r="CA62" s="442">
        <v>1972</v>
      </c>
      <c r="CB62" s="443"/>
      <c r="CC62" s="330">
        <v>3731</v>
      </c>
      <c r="CD62" s="332">
        <v>313</v>
      </c>
      <c r="CE62" s="331">
        <v>-130</v>
      </c>
      <c r="CF62" s="332">
        <v>-135</v>
      </c>
      <c r="CG62" s="334">
        <v>3779</v>
      </c>
      <c r="CH62" s="335"/>
      <c r="CI62" s="412">
        <v>222</v>
      </c>
      <c r="CJ62" s="348"/>
      <c r="CK62" s="337">
        <v>3557</v>
      </c>
      <c r="CL62" s="338" t="s">
        <v>100</v>
      </c>
      <c r="CM62" s="358">
        <v>3557</v>
      </c>
      <c r="CN62" s="340">
        <v>404</v>
      </c>
      <c r="CO62" s="451">
        <v>3153</v>
      </c>
      <c r="CP62" s="335"/>
      <c r="CQ62" s="336">
        <v>131</v>
      </c>
      <c r="CR62" s="414"/>
    </row>
    <row r="63" spans="1:96" s="275" customFormat="1" ht="13.5" thickBot="1" x14ac:dyDescent="0.45">
      <c r="A63" s="309">
        <v>1973</v>
      </c>
      <c r="B63" s="330">
        <v>14880</v>
      </c>
      <c r="C63" s="331">
        <v>50</v>
      </c>
      <c r="D63" s="331">
        <v>-410</v>
      </c>
      <c r="E63" s="331" t="s">
        <v>100</v>
      </c>
      <c r="F63" s="332">
        <v>-530</v>
      </c>
      <c r="G63" s="333">
        <v>-710</v>
      </c>
      <c r="H63" s="334">
        <v>13280</v>
      </c>
      <c r="I63" s="335">
        <f t="shared" si="0"/>
        <v>14645.669291338583</v>
      </c>
      <c r="J63" s="350" t="s">
        <v>100</v>
      </c>
      <c r="K63" s="348"/>
      <c r="L63" s="337">
        <v>13280</v>
      </c>
      <c r="M63" s="338">
        <v>9960</v>
      </c>
      <c r="N63" s="338" t="s">
        <v>100</v>
      </c>
      <c r="O63" s="339">
        <v>3320</v>
      </c>
      <c r="P63" s="340">
        <v>560</v>
      </c>
      <c r="Q63" s="341">
        <v>830</v>
      </c>
      <c r="R63" s="341"/>
      <c r="S63" s="342" t="s">
        <v>100</v>
      </c>
      <c r="T63" s="340">
        <v>1570</v>
      </c>
      <c r="U63" s="341"/>
      <c r="V63" s="341">
        <v>360</v>
      </c>
      <c r="W63" s="343" t="s">
        <v>100</v>
      </c>
      <c r="X63" s="297"/>
      <c r="Y63" s="336">
        <v>2200</v>
      </c>
      <c r="Z63" s="308"/>
      <c r="AA63" s="309">
        <v>1973</v>
      </c>
      <c r="AB63" s="330">
        <v>1140</v>
      </c>
      <c r="AC63" s="410">
        <v>0</v>
      </c>
      <c r="AD63" s="331">
        <v>-100</v>
      </c>
      <c r="AE63" s="332">
        <v>-40</v>
      </c>
      <c r="AF63" s="332">
        <v>750</v>
      </c>
      <c r="AG63" s="409">
        <v>20</v>
      </c>
      <c r="AH63" s="333">
        <v>60</v>
      </c>
      <c r="AI63" s="334">
        <v>1830</v>
      </c>
      <c r="AJ63" s="353"/>
      <c r="AK63" s="412" t="s">
        <v>100</v>
      </c>
      <c r="AL63" s="335"/>
      <c r="AM63" s="337">
        <v>1830</v>
      </c>
      <c r="AN63" s="340">
        <v>30</v>
      </c>
      <c r="AO63" s="358" t="s">
        <v>100</v>
      </c>
      <c r="AP63" s="358">
        <v>1800</v>
      </c>
      <c r="AQ63" s="340">
        <v>90</v>
      </c>
      <c r="AR63" s="341">
        <v>1420</v>
      </c>
      <c r="AS63" s="341"/>
      <c r="AT63" s="406"/>
      <c r="AU63" s="342">
        <v>210</v>
      </c>
      <c r="AV63" s="338">
        <v>20</v>
      </c>
      <c r="AW63" s="407">
        <v>60</v>
      </c>
      <c r="AX63" s="335"/>
      <c r="AY63" s="336">
        <v>570</v>
      </c>
      <c r="AZ63" s="415"/>
      <c r="BA63" s="455">
        <v>1973</v>
      </c>
      <c r="BB63" s="456" t="s">
        <v>30</v>
      </c>
      <c r="BC63" s="457">
        <f>200*1.016</f>
        <v>203.2</v>
      </c>
      <c r="BD63" s="414">
        <f>'[5]Coke breeze'!BG61+BC63</f>
        <v>203.2</v>
      </c>
      <c r="BE63" s="452">
        <f t="shared" si="3"/>
        <v>-0.1031390134529149</v>
      </c>
      <c r="BF63" s="458">
        <v>0</v>
      </c>
      <c r="BG63" s="459"/>
      <c r="BH63" s="460"/>
      <c r="BI63" s="461"/>
      <c r="BJ63" s="461"/>
      <c r="BK63" s="461"/>
      <c r="BL63" s="461"/>
      <c r="BM63" s="462"/>
      <c r="BN63" s="463"/>
      <c r="BO63" s="464"/>
      <c r="BP63" s="465"/>
      <c r="CA63" s="442">
        <v>1973</v>
      </c>
      <c r="CB63" s="443"/>
      <c r="CC63" s="330">
        <v>3044</v>
      </c>
      <c r="CD63" s="332">
        <v>195</v>
      </c>
      <c r="CE63" s="331">
        <v>-161</v>
      </c>
      <c r="CF63" s="332">
        <v>-5</v>
      </c>
      <c r="CG63" s="334">
        <v>3073</v>
      </c>
      <c r="CH63" s="335"/>
      <c r="CI63" s="412">
        <v>-338</v>
      </c>
      <c r="CJ63" s="348"/>
      <c r="CK63" s="337">
        <v>3411</v>
      </c>
      <c r="CL63" s="338" t="s">
        <v>100</v>
      </c>
      <c r="CM63" s="358">
        <v>3411</v>
      </c>
      <c r="CN63" s="340">
        <v>367</v>
      </c>
      <c r="CO63" s="451">
        <v>3044</v>
      </c>
      <c r="CP63" s="335"/>
      <c r="CQ63" s="336">
        <v>136</v>
      </c>
      <c r="CR63" s="414"/>
    </row>
    <row r="64" spans="1:96" s="275" customFormat="1" ht="13.5" thickTop="1" x14ac:dyDescent="0.4">
      <c r="A64" s="309">
        <v>1974</v>
      </c>
      <c r="B64" s="330">
        <v>12530</v>
      </c>
      <c r="C64" s="331" t="s">
        <v>100</v>
      </c>
      <c r="D64" s="331">
        <v>-1200</v>
      </c>
      <c r="E64" s="331" t="s">
        <v>100</v>
      </c>
      <c r="F64" s="332">
        <v>1340</v>
      </c>
      <c r="G64" s="333">
        <v>-930</v>
      </c>
      <c r="H64" s="334">
        <v>11740</v>
      </c>
      <c r="I64" s="335">
        <f t="shared" si="0"/>
        <v>12332.677165354331</v>
      </c>
      <c r="J64" s="350" t="s">
        <v>100</v>
      </c>
      <c r="K64" s="351"/>
      <c r="L64" s="337">
        <v>11740</v>
      </c>
      <c r="M64" s="338">
        <v>8360</v>
      </c>
      <c r="N64" s="338" t="s">
        <v>100</v>
      </c>
      <c r="O64" s="339">
        <v>3380</v>
      </c>
      <c r="P64" s="340">
        <v>560</v>
      </c>
      <c r="Q64" s="341">
        <v>920</v>
      </c>
      <c r="R64" s="341"/>
      <c r="S64" s="342" t="s">
        <v>100</v>
      </c>
      <c r="T64" s="340">
        <v>1650</v>
      </c>
      <c r="U64" s="341"/>
      <c r="V64" s="341">
        <v>250</v>
      </c>
      <c r="W64" s="343" t="s">
        <v>100</v>
      </c>
      <c r="X64" s="306"/>
      <c r="Y64" s="336">
        <v>860</v>
      </c>
      <c r="Z64" s="308"/>
      <c r="AA64" s="309">
        <v>1974</v>
      </c>
      <c r="AB64" s="330">
        <v>1050</v>
      </c>
      <c r="AC64" s="410">
        <v>0</v>
      </c>
      <c r="AD64" s="331">
        <v>-270</v>
      </c>
      <c r="AE64" s="332">
        <v>-160</v>
      </c>
      <c r="AF64" s="332">
        <v>870</v>
      </c>
      <c r="AG64" s="409" t="s">
        <v>100</v>
      </c>
      <c r="AH64" s="333">
        <v>70</v>
      </c>
      <c r="AI64" s="334">
        <v>1560</v>
      </c>
      <c r="AJ64" s="353"/>
      <c r="AK64" s="412">
        <v>-20</v>
      </c>
      <c r="AL64" s="351"/>
      <c r="AM64" s="337">
        <v>1580</v>
      </c>
      <c r="AN64" s="340">
        <v>30</v>
      </c>
      <c r="AO64" s="358" t="s">
        <v>100</v>
      </c>
      <c r="AP64" s="358">
        <v>1550</v>
      </c>
      <c r="AQ64" s="340">
        <v>70</v>
      </c>
      <c r="AR64" s="341">
        <v>1200</v>
      </c>
      <c r="AS64" s="341"/>
      <c r="AT64" s="406"/>
      <c r="AU64" s="342">
        <v>210</v>
      </c>
      <c r="AV64" s="338" t="s">
        <v>100</v>
      </c>
      <c r="AW64" s="407">
        <v>70</v>
      </c>
      <c r="AX64" s="335"/>
      <c r="AY64" s="336">
        <v>730</v>
      </c>
      <c r="AZ64" s="414"/>
      <c r="BA64" s="466" t="s">
        <v>932</v>
      </c>
      <c r="BB64" s="467"/>
      <c r="BC64" s="468"/>
      <c r="BD64" s="469"/>
      <c r="BE64" s="469"/>
      <c r="BF64" s="470"/>
      <c r="BG64" s="471"/>
      <c r="BH64" s="470"/>
      <c r="BI64" s="470"/>
      <c r="BJ64" s="470"/>
      <c r="BK64" s="470"/>
      <c r="BL64" s="470"/>
      <c r="BM64" s="470"/>
      <c r="BN64" s="470"/>
      <c r="BO64" s="415"/>
      <c r="BP64" s="306"/>
      <c r="CA64" s="442">
        <v>1974</v>
      </c>
      <c r="CB64" s="443"/>
      <c r="CC64" s="330">
        <v>3186</v>
      </c>
      <c r="CD64" s="332">
        <v>165</v>
      </c>
      <c r="CE64" s="331">
        <v>-303</v>
      </c>
      <c r="CF64" s="332">
        <v>120</v>
      </c>
      <c r="CG64" s="334">
        <v>3168</v>
      </c>
      <c r="CH64" s="335"/>
      <c r="CI64" s="412">
        <v>-52</v>
      </c>
      <c r="CJ64" s="351"/>
      <c r="CK64" s="337">
        <v>3220</v>
      </c>
      <c r="CL64" s="338" t="s">
        <v>100</v>
      </c>
      <c r="CM64" s="358">
        <v>3220</v>
      </c>
      <c r="CN64" s="340">
        <v>337</v>
      </c>
      <c r="CO64" s="451">
        <v>2883</v>
      </c>
      <c r="CP64" s="335"/>
      <c r="CQ64" s="336">
        <v>16</v>
      </c>
      <c r="CR64" s="414"/>
    </row>
    <row r="65" spans="1:96" s="275" customFormat="1" ht="13.15" x14ac:dyDescent="0.4">
      <c r="A65" s="309">
        <v>1975</v>
      </c>
      <c r="B65" s="330">
        <v>12570</v>
      </c>
      <c r="C65" s="331" t="s">
        <v>100</v>
      </c>
      <c r="D65" s="331">
        <v>-830</v>
      </c>
      <c r="E65" s="331" t="s">
        <v>100</v>
      </c>
      <c r="F65" s="332">
        <v>-890</v>
      </c>
      <c r="G65" s="333">
        <v>-800</v>
      </c>
      <c r="H65" s="334">
        <v>10050</v>
      </c>
      <c r="I65" s="335">
        <f t="shared" si="0"/>
        <v>12372.047244094489</v>
      </c>
      <c r="J65" s="350" t="s">
        <v>100</v>
      </c>
      <c r="K65" s="351"/>
      <c r="L65" s="337">
        <v>10050</v>
      </c>
      <c r="M65" s="338">
        <v>7250</v>
      </c>
      <c r="N65" s="338" t="s">
        <v>100</v>
      </c>
      <c r="O65" s="339">
        <v>2800</v>
      </c>
      <c r="P65" s="340">
        <v>440</v>
      </c>
      <c r="Q65" s="341">
        <v>790</v>
      </c>
      <c r="R65" s="341"/>
      <c r="S65" s="342" t="s">
        <v>100</v>
      </c>
      <c r="T65" s="340">
        <v>1430</v>
      </c>
      <c r="U65" s="341"/>
      <c r="V65" s="341">
        <v>140</v>
      </c>
      <c r="W65" s="343" t="s">
        <v>100</v>
      </c>
      <c r="X65" s="306"/>
      <c r="Y65" s="336">
        <v>1800</v>
      </c>
      <c r="Z65" s="308"/>
      <c r="AA65" s="309">
        <v>1975</v>
      </c>
      <c r="AB65" s="330">
        <v>1180</v>
      </c>
      <c r="AC65" s="410">
        <v>0</v>
      </c>
      <c r="AD65" s="331">
        <v>-180</v>
      </c>
      <c r="AE65" s="332">
        <v>-120</v>
      </c>
      <c r="AF65" s="332">
        <v>640</v>
      </c>
      <c r="AG65" s="409" t="s">
        <v>100</v>
      </c>
      <c r="AH65" s="333">
        <v>140</v>
      </c>
      <c r="AI65" s="334">
        <v>1660</v>
      </c>
      <c r="AJ65" s="353"/>
      <c r="AK65" s="412">
        <v>-90</v>
      </c>
      <c r="AL65" s="351"/>
      <c r="AM65" s="337">
        <v>1750</v>
      </c>
      <c r="AN65" s="340">
        <v>20</v>
      </c>
      <c r="AO65" s="358" t="s">
        <v>100</v>
      </c>
      <c r="AP65" s="358">
        <v>1730</v>
      </c>
      <c r="AQ65" s="340">
        <v>110</v>
      </c>
      <c r="AR65" s="341">
        <v>1250</v>
      </c>
      <c r="AS65" s="341"/>
      <c r="AT65" s="406"/>
      <c r="AU65" s="342">
        <v>230</v>
      </c>
      <c r="AV65" s="338" t="s">
        <v>100</v>
      </c>
      <c r="AW65" s="407">
        <v>140</v>
      </c>
      <c r="AX65" s="335"/>
      <c r="AY65" s="336">
        <v>850</v>
      </c>
      <c r="AZ65" s="414"/>
      <c r="BA65" s="306"/>
      <c r="BB65" s="306"/>
      <c r="BC65" s="306"/>
      <c r="BD65" s="306"/>
      <c r="BE65" s="306"/>
      <c r="BF65" s="306"/>
      <c r="BG65" s="391"/>
      <c r="BH65" s="306"/>
      <c r="BI65" s="306"/>
      <c r="BJ65" s="306"/>
      <c r="BK65" s="306"/>
      <c r="BL65" s="306"/>
      <c r="BM65" s="306"/>
      <c r="BN65" s="306"/>
      <c r="BO65" s="306"/>
      <c r="BP65" s="306"/>
      <c r="CA65" s="442">
        <v>1975</v>
      </c>
      <c r="CB65" s="443"/>
      <c r="CC65" s="330">
        <v>3259</v>
      </c>
      <c r="CD65" s="332">
        <v>120</v>
      </c>
      <c r="CE65" s="331">
        <v>-271</v>
      </c>
      <c r="CF65" s="332">
        <v>-16</v>
      </c>
      <c r="CG65" s="334">
        <v>3092</v>
      </c>
      <c r="CH65" s="335"/>
      <c r="CI65" s="412">
        <v>140</v>
      </c>
      <c r="CJ65" s="351"/>
      <c r="CK65" s="337">
        <v>2952</v>
      </c>
      <c r="CL65" s="338" t="s">
        <v>100</v>
      </c>
      <c r="CM65" s="358">
        <v>2952</v>
      </c>
      <c r="CN65" s="340">
        <v>328</v>
      </c>
      <c r="CO65" s="451">
        <v>2624</v>
      </c>
      <c r="CP65" s="335"/>
      <c r="CQ65" s="336">
        <v>32</v>
      </c>
      <c r="CR65" s="414"/>
    </row>
    <row r="66" spans="1:96" s="275" customFormat="1" ht="13.15" x14ac:dyDescent="0.4">
      <c r="A66" s="309">
        <v>1976</v>
      </c>
      <c r="B66" s="330">
        <v>12950</v>
      </c>
      <c r="C66" s="331" t="s">
        <v>100</v>
      </c>
      <c r="D66" s="331">
        <v>-590</v>
      </c>
      <c r="E66" s="331" t="s">
        <v>100</v>
      </c>
      <c r="F66" s="332">
        <v>-710</v>
      </c>
      <c r="G66" s="333">
        <v>-770</v>
      </c>
      <c r="H66" s="334">
        <v>10880</v>
      </c>
      <c r="I66" s="335">
        <f t="shared" si="0"/>
        <v>12746.062992125984</v>
      </c>
      <c r="J66" s="350" t="s">
        <v>100</v>
      </c>
      <c r="K66" s="351"/>
      <c r="L66" s="337">
        <v>10880</v>
      </c>
      <c r="M66" s="338">
        <v>8380</v>
      </c>
      <c r="N66" s="338" t="s">
        <v>100</v>
      </c>
      <c r="O66" s="339">
        <v>2500</v>
      </c>
      <c r="P66" s="340">
        <v>370</v>
      </c>
      <c r="Q66" s="341">
        <v>700</v>
      </c>
      <c r="R66" s="341"/>
      <c r="S66" s="342" t="s">
        <v>100</v>
      </c>
      <c r="T66" s="340">
        <v>1310</v>
      </c>
      <c r="U66" s="341"/>
      <c r="V66" s="341">
        <v>120</v>
      </c>
      <c r="W66" s="343" t="s">
        <v>100</v>
      </c>
      <c r="X66" s="306"/>
      <c r="Y66" s="336">
        <v>2510</v>
      </c>
      <c r="Z66" s="308"/>
      <c r="AA66" s="309">
        <v>1976</v>
      </c>
      <c r="AB66" s="330">
        <v>1160</v>
      </c>
      <c r="AC66" s="410">
        <v>0</v>
      </c>
      <c r="AD66" s="331">
        <v>-190</v>
      </c>
      <c r="AE66" s="332">
        <v>30</v>
      </c>
      <c r="AF66" s="332">
        <v>690</v>
      </c>
      <c r="AG66" s="409" t="s">
        <v>100</v>
      </c>
      <c r="AH66" s="333">
        <v>50</v>
      </c>
      <c r="AI66" s="334">
        <v>1740</v>
      </c>
      <c r="AJ66" s="353"/>
      <c r="AK66" s="412" t="s">
        <v>100</v>
      </c>
      <c r="AL66" s="351"/>
      <c r="AM66" s="337">
        <v>1740</v>
      </c>
      <c r="AN66" s="340">
        <v>30</v>
      </c>
      <c r="AO66" s="358" t="s">
        <v>100</v>
      </c>
      <c r="AP66" s="358">
        <v>1710</v>
      </c>
      <c r="AQ66" s="340">
        <v>60</v>
      </c>
      <c r="AR66" s="341">
        <v>1380</v>
      </c>
      <c r="AS66" s="341"/>
      <c r="AT66" s="406"/>
      <c r="AU66" s="342">
        <v>220</v>
      </c>
      <c r="AV66" s="338" t="s">
        <v>100</v>
      </c>
      <c r="AW66" s="407">
        <v>50</v>
      </c>
      <c r="AX66" s="335"/>
      <c r="AY66" s="336">
        <v>830</v>
      </c>
      <c r="AZ66" s="414"/>
      <c r="BA66" s="306"/>
      <c r="BB66" s="306"/>
      <c r="BC66" s="427" t="s">
        <v>832</v>
      </c>
      <c r="BD66" s="306"/>
      <c r="BE66" s="306"/>
      <c r="BF66" s="306"/>
      <c r="BG66" s="391"/>
      <c r="BH66" s="306"/>
      <c r="BI66" s="306"/>
      <c r="BJ66" s="427" t="s">
        <v>833</v>
      </c>
      <c r="BK66" s="306"/>
      <c r="BL66" s="306"/>
      <c r="BM66" s="306"/>
      <c r="BN66" s="306"/>
      <c r="BO66" s="306"/>
      <c r="BP66" s="306"/>
      <c r="CA66" s="442">
        <v>1976</v>
      </c>
      <c r="CB66" s="443"/>
      <c r="CC66" s="330">
        <v>2830</v>
      </c>
      <c r="CD66" s="332">
        <v>82</v>
      </c>
      <c r="CE66" s="331">
        <v>-273</v>
      </c>
      <c r="CF66" s="332">
        <v>-25</v>
      </c>
      <c r="CG66" s="334">
        <v>2614</v>
      </c>
      <c r="CH66" s="335"/>
      <c r="CI66" s="412">
        <v>-56</v>
      </c>
      <c r="CJ66" s="351"/>
      <c r="CK66" s="337">
        <v>2670</v>
      </c>
      <c r="CL66" s="338" t="s">
        <v>100</v>
      </c>
      <c r="CM66" s="358">
        <v>2670</v>
      </c>
      <c r="CN66" s="340">
        <v>221</v>
      </c>
      <c r="CO66" s="451">
        <v>2449</v>
      </c>
      <c r="CP66" s="335"/>
      <c r="CQ66" s="336">
        <v>57</v>
      </c>
      <c r="CR66" s="414"/>
    </row>
    <row r="67" spans="1:96" s="275" customFormat="1" ht="13.15" x14ac:dyDescent="0.4">
      <c r="A67" s="309">
        <v>1977</v>
      </c>
      <c r="B67" s="330">
        <v>11518</v>
      </c>
      <c r="C67" s="331">
        <v>9</v>
      </c>
      <c r="D67" s="331">
        <v>-472</v>
      </c>
      <c r="E67" s="331" t="s">
        <v>100</v>
      </c>
      <c r="F67" s="332">
        <v>-540</v>
      </c>
      <c r="G67" s="333">
        <v>-695</v>
      </c>
      <c r="H67" s="334">
        <v>9820</v>
      </c>
      <c r="I67" s="335">
        <f t="shared" si="0"/>
        <v>11336.614173228347</v>
      </c>
      <c r="J67" s="350" t="s">
        <v>100</v>
      </c>
      <c r="K67" s="351"/>
      <c r="L67" s="337">
        <v>9820</v>
      </c>
      <c r="M67" s="338">
        <v>7356</v>
      </c>
      <c r="N67" s="338" t="s">
        <v>100</v>
      </c>
      <c r="O67" s="339">
        <v>2464</v>
      </c>
      <c r="P67" s="340">
        <v>459</v>
      </c>
      <c r="Q67" s="341">
        <v>630</v>
      </c>
      <c r="R67" s="341"/>
      <c r="S67" s="342" t="s">
        <v>100</v>
      </c>
      <c r="T67" s="340">
        <v>1278</v>
      </c>
      <c r="U67" s="341"/>
      <c r="V67" s="341">
        <v>92</v>
      </c>
      <c r="W67" s="343">
        <v>5</v>
      </c>
      <c r="X67" s="306"/>
      <c r="Y67" s="336">
        <v>3049</v>
      </c>
      <c r="Z67" s="308"/>
      <c r="AA67" s="309">
        <v>1977</v>
      </c>
      <c r="AB67" s="330">
        <v>1070</v>
      </c>
      <c r="AC67" s="332">
        <v>0</v>
      </c>
      <c r="AD67" s="331">
        <v>-180</v>
      </c>
      <c r="AE67" s="332">
        <v>-39</v>
      </c>
      <c r="AF67" s="332">
        <v>700</v>
      </c>
      <c r="AG67" s="409" t="s">
        <v>100</v>
      </c>
      <c r="AH67" s="333">
        <v>80</v>
      </c>
      <c r="AI67" s="334">
        <v>1631</v>
      </c>
      <c r="AJ67" s="353"/>
      <c r="AK67" s="412" t="s">
        <v>100</v>
      </c>
      <c r="AL67" s="351"/>
      <c r="AM67" s="337">
        <v>1631</v>
      </c>
      <c r="AN67" s="340">
        <v>53</v>
      </c>
      <c r="AO67" s="358" t="s">
        <v>100</v>
      </c>
      <c r="AP67" s="358">
        <v>1578</v>
      </c>
      <c r="AQ67" s="340">
        <v>71</v>
      </c>
      <c r="AR67" s="341">
        <v>1234</v>
      </c>
      <c r="AS67" s="341"/>
      <c r="AT67" s="406"/>
      <c r="AU67" s="342">
        <v>193</v>
      </c>
      <c r="AV67" s="338" t="s">
        <v>100</v>
      </c>
      <c r="AW67" s="407">
        <v>80</v>
      </c>
      <c r="AX67" s="335"/>
      <c r="AY67" s="336">
        <v>870</v>
      </c>
      <c r="AZ67" s="414"/>
      <c r="BA67" s="306"/>
      <c r="BB67" s="306"/>
      <c r="BC67" s="472" t="s">
        <v>933</v>
      </c>
      <c r="BD67" s="306"/>
      <c r="BE67" s="306"/>
      <c r="BF67" s="306"/>
      <c r="BG67" s="391"/>
      <c r="BH67" s="306"/>
      <c r="BI67" s="306"/>
      <c r="BJ67" s="306" t="s">
        <v>934</v>
      </c>
      <c r="BK67" s="306"/>
      <c r="BL67" s="306"/>
      <c r="BM67" s="306"/>
      <c r="BN67" s="306"/>
      <c r="BO67" s="306"/>
      <c r="BP67" s="306"/>
      <c r="CA67" s="442">
        <v>1977</v>
      </c>
      <c r="CB67" s="443"/>
      <c r="CC67" s="330">
        <v>2679</v>
      </c>
      <c r="CD67" s="332">
        <v>86</v>
      </c>
      <c r="CE67" s="331">
        <v>-167</v>
      </c>
      <c r="CF67" s="332">
        <v>-5</v>
      </c>
      <c r="CG67" s="334">
        <v>2593</v>
      </c>
      <c r="CH67" s="335"/>
      <c r="CI67" s="412">
        <v>-33</v>
      </c>
      <c r="CJ67" s="351"/>
      <c r="CK67" s="337">
        <v>2626</v>
      </c>
      <c r="CL67" s="338" t="s">
        <v>100</v>
      </c>
      <c r="CM67" s="358">
        <v>2626</v>
      </c>
      <c r="CN67" s="340">
        <v>251</v>
      </c>
      <c r="CO67" s="451">
        <v>2375</v>
      </c>
      <c r="CP67" s="335"/>
      <c r="CQ67" s="336">
        <v>62</v>
      </c>
      <c r="CR67" s="414"/>
    </row>
    <row r="68" spans="1:96" s="275" customFormat="1" ht="13.15" x14ac:dyDescent="0.4">
      <c r="A68" s="309">
        <v>1978</v>
      </c>
      <c r="B68" s="330">
        <v>9879</v>
      </c>
      <c r="C68" s="331">
        <v>15</v>
      </c>
      <c r="D68" s="331">
        <v>-492</v>
      </c>
      <c r="E68" s="331" t="s">
        <v>100</v>
      </c>
      <c r="F68" s="332">
        <v>167</v>
      </c>
      <c r="G68" s="333">
        <v>-648</v>
      </c>
      <c r="H68" s="334">
        <v>8921</v>
      </c>
      <c r="I68" s="335">
        <f t="shared" si="0"/>
        <v>9723.4251968503941</v>
      </c>
      <c r="J68" s="350" t="s">
        <v>100</v>
      </c>
      <c r="K68" s="351"/>
      <c r="L68" s="337">
        <v>8921</v>
      </c>
      <c r="M68" s="338">
        <v>6707</v>
      </c>
      <c r="N68" s="338" t="s">
        <v>100</v>
      </c>
      <c r="O68" s="339">
        <v>2214</v>
      </c>
      <c r="P68" s="340">
        <v>403</v>
      </c>
      <c r="Q68" s="341">
        <v>602</v>
      </c>
      <c r="R68" s="341"/>
      <c r="S68" s="342" t="s">
        <v>100</v>
      </c>
      <c r="T68" s="340">
        <v>1130</v>
      </c>
      <c r="U68" s="341"/>
      <c r="V68" s="341">
        <v>75</v>
      </c>
      <c r="W68" s="343">
        <v>4</v>
      </c>
      <c r="X68" s="306"/>
      <c r="Y68" s="336">
        <v>2882</v>
      </c>
      <c r="Z68" s="308"/>
      <c r="AA68" s="309">
        <v>1978</v>
      </c>
      <c r="AB68" s="330">
        <v>972</v>
      </c>
      <c r="AC68" s="332">
        <v>0</v>
      </c>
      <c r="AD68" s="331">
        <v>-380</v>
      </c>
      <c r="AE68" s="332">
        <v>318</v>
      </c>
      <c r="AF68" s="332">
        <v>697</v>
      </c>
      <c r="AG68" s="409" t="s">
        <v>100</v>
      </c>
      <c r="AH68" s="333">
        <v>131</v>
      </c>
      <c r="AI68" s="334">
        <v>1738</v>
      </c>
      <c r="AJ68" s="353"/>
      <c r="AK68" s="412" t="s">
        <v>100</v>
      </c>
      <c r="AL68" s="351"/>
      <c r="AM68" s="337">
        <v>1738</v>
      </c>
      <c r="AN68" s="340">
        <v>44</v>
      </c>
      <c r="AO68" s="358" t="s">
        <v>100</v>
      </c>
      <c r="AP68" s="358">
        <v>1694</v>
      </c>
      <c r="AQ68" s="340">
        <v>55</v>
      </c>
      <c r="AR68" s="341">
        <v>1353</v>
      </c>
      <c r="AS68" s="341"/>
      <c r="AT68" s="406"/>
      <c r="AU68" s="342">
        <v>155</v>
      </c>
      <c r="AV68" s="338" t="s">
        <v>100</v>
      </c>
      <c r="AW68" s="407">
        <v>131</v>
      </c>
      <c r="AX68" s="335"/>
      <c r="AY68" s="336">
        <v>553</v>
      </c>
      <c r="AZ68" s="414"/>
      <c r="BA68" s="306"/>
      <c r="BB68" s="306"/>
      <c r="BC68" s="306" t="s">
        <v>935</v>
      </c>
      <c r="BD68" s="306"/>
      <c r="BE68" s="306"/>
      <c r="BF68" s="306"/>
      <c r="BG68" s="391"/>
      <c r="BH68" s="306"/>
      <c r="BI68" s="306"/>
      <c r="BJ68" s="465" t="s">
        <v>936</v>
      </c>
      <c r="BK68" s="306"/>
      <c r="BL68" s="306"/>
      <c r="BM68" s="306"/>
      <c r="BN68" s="306"/>
      <c r="BO68" s="306"/>
      <c r="BP68" s="306"/>
      <c r="CA68" s="442">
        <v>1978</v>
      </c>
      <c r="CB68" s="443"/>
      <c r="CC68" s="330">
        <v>2597</v>
      </c>
      <c r="CD68" s="332">
        <v>77</v>
      </c>
      <c r="CE68" s="331">
        <v>-179</v>
      </c>
      <c r="CF68" s="332">
        <v>-24</v>
      </c>
      <c r="CG68" s="334">
        <v>2471</v>
      </c>
      <c r="CH68" s="335"/>
      <c r="CI68" s="412">
        <v>2</v>
      </c>
      <c r="CJ68" s="351"/>
      <c r="CK68" s="337">
        <v>2469</v>
      </c>
      <c r="CL68" s="338" t="s">
        <v>100</v>
      </c>
      <c r="CM68" s="358">
        <v>2469</v>
      </c>
      <c r="CN68" s="340">
        <v>282</v>
      </c>
      <c r="CO68" s="451">
        <v>2187</v>
      </c>
      <c r="CP68" s="335"/>
      <c r="CQ68" s="336">
        <v>86</v>
      </c>
      <c r="CR68" s="414"/>
    </row>
    <row r="69" spans="1:96" s="275" customFormat="1" ht="13.15" x14ac:dyDescent="0.4">
      <c r="A69" s="309">
        <v>1979</v>
      </c>
      <c r="B69" s="330">
        <v>10259</v>
      </c>
      <c r="C69" s="331">
        <v>48</v>
      </c>
      <c r="D69" s="331">
        <v>-466</v>
      </c>
      <c r="E69" s="331" t="s">
        <v>100</v>
      </c>
      <c r="F69" s="332">
        <v>620</v>
      </c>
      <c r="G69" s="333">
        <v>-707</v>
      </c>
      <c r="H69" s="334">
        <v>9754</v>
      </c>
      <c r="I69" s="335">
        <f t="shared" si="0"/>
        <v>10097.44094488189</v>
      </c>
      <c r="J69" s="350" t="s">
        <v>100</v>
      </c>
      <c r="K69" s="351"/>
      <c r="L69" s="337">
        <v>9754</v>
      </c>
      <c r="M69" s="338">
        <v>7531</v>
      </c>
      <c r="N69" s="338" t="s">
        <v>100</v>
      </c>
      <c r="O69" s="339">
        <v>2223</v>
      </c>
      <c r="P69" s="340">
        <v>440</v>
      </c>
      <c r="Q69" s="341">
        <v>548</v>
      </c>
      <c r="R69" s="341"/>
      <c r="S69" s="342" t="s">
        <v>100</v>
      </c>
      <c r="T69" s="340">
        <v>1149</v>
      </c>
      <c r="U69" s="341"/>
      <c r="V69" s="341">
        <v>83</v>
      </c>
      <c r="W69" s="343">
        <v>3</v>
      </c>
      <c r="X69" s="306"/>
      <c r="Y69" s="336">
        <v>2214</v>
      </c>
      <c r="Z69" s="308"/>
      <c r="AA69" s="309">
        <v>1979</v>
      </c>
      <c r="AB69" s="330">
        <v>853</v>
      </c>
      <c r="AC69" s="332">
        <v>85</v>
      </c>
      <c r="AD69" s="331">
        <v>-239</v>
      </c>
      <c r="AE69" s="332">
        <v>77</v>
      </c>
      <c r="AF69" s="332">
        <v>826</v>
      </c>
      <c r="AG69" s="409" t="s">
        <v>100</v>
      </c>
      <c r="AH69" s="333">
        <v>158</v>
      </c>
      <c r="AI69" s="334">
        <v>1760</v>
      </c>
      <c r="AJ69" s="353"/>
      <c r="AK69" s="412">
        <v>-35</v>
      </c>
      <c r="AL69" s="351"/>
      <c r="AM69" s="337">
        <v>1795</v>
      </c>
      <c r="AN69" s="340">
        <v>30</v>
      </c>
      <c r="AO69" s="358" t="s">
        <v>100</v>
      </c>
      <c r="AP69" s="358">
        <v>1765</v>
      </c>
      <c r="AQ69" s="340">
        <v>57</v>
      </c>
      <c r="AR69" s="341">
        <v>1414</v>
      </c>
      <c r="AS69" s="341"/>
      <c r="AT69" s="406"/>
      <c r="AU69" s="342">
        <v>136</v>
      </c>
      <c r="AV69" s="338" t="s">
        <v>100</v>
      </c>
      <c r="AW69" s="407">
        <v>158</v>
      </c>
      <c r="AX69" s="335"/>
      <c r="AY69" s="336">
        <v>478</v>
      </c>
      <c r="AZ69" s="414"/>
      <c r="BA69" s="306"/>
      <c r="BB69" s="306"/>
      <c r="BC69" s="306" t="s">
        <v>937</v>
      </c>
      <c r="BD69" s="306"/>
      <c r="BE69" s="306"/>
      <c r="BF69" s="306"/>
      <c r="BG69" s="391"/>
      <c r="BH69" s="306"/>
      <c r="BI69" s="306"/>
      <c r="BJ69" s="306" t="s">
        <v>938</v>
      </c>
      <c r="BK69" s="306"/>
      <c r="BL69" s="306"/>
      <c r="BM69" s="306"/>
      <c r="BN69" s="306"/>
      <c r="BO69" s="306"/>
      <c r="BP69" s="306"/>
      <c r="CA69" s="442">
        <v>1979</v>
      </c>
      <c r="CB69" s="443"/>
      <c r="CC69" s="330">
        <v>2389</v>
      </c>
      <c r="CD69" s="332">
        <v>92</v>
      </c>
      <c r="CE69" s="331">
        <v>-191</v>
      </c>
      <c r="CF69" s="332">
        <v>-25</v>
      </c>
      <c r="CG69" s="334">
        <v>2265</v>
      </c>
      <c r="CH69" s="335"/>
      <c r="CI69" s="412">
        <v>-114</v>
      </c>
      <c r="CJ69" s="351"/>
      <c r="CK69" s="337">
        <v>2379</v>
      </c>
      <c r="CL69" s="338" t="s">
        <v>100</v>
      </c>
      <c r="CM69" s="358">
        <v>2379</v>
      </c>
      <c r="CN69" s="340">
        <v>236</v>
      </c>
      <c r="CO69" s="451">
        <v>2143</v>
      </c>
      <c r="CP69" s="335"/>
      <c r="CQ69" s="336">
        <v>111</v>
      </c>
      <c r="CR69" s="414"/>
    </row>
    <row r="70" spans="1:96" s="275" customFormat="1" ht="13.15" x14ac:dyDescent="0.4">
      <c r="A70" s="309">
        <v>1980</v>
      </c>
      <c r="B70" s="330">
        <v>7829</v>
      </c>
      <c r="C70" s="331" t="s">
        <v>100</v>
      </c>
      <c r="D70" s="331">
        <v>-880</v>
      </c>
      <c r="E70" s="331" t="s">
        <v>100</v>
      </c>
      <c r="F70" s="332">
        <v>-1045</v>
      </c>
      <c r="G70" s="333">
        <v>-411</v>
      </c>
      <c r="H70" s="334">
        <v>5493</v>
      </c>
      <c r="I70" s="335">
        <f t="shared" si="0"/>
        <v>7705.7086614173231</v>
      </c>
      <c r="J70" s="336">
        <v>-10</v>
      </c>
      <c r="K70" s="352"/>
      <c r="L70" s="337">
        <v>5503</v>
      </c>
      <c r="M70" s="338">
        <v>3714</v>
      </c>
      <c r="N70" s="338" t="s">
        <v>100</v>
      </c>
      <c r="O70" s="339">
        <v>1789</v>
      </c>
      <c r="P70" s="340">
        <v>382</v>
      </c>
      <c r="Q70" s="341">
        <v>371</v>
      </c>
      <c r="R70" s="341"/>
      <c r="S70" s="342" t="s">
        <v>100</v>
      </c>
      <c r="T70" s="340">
        <v>959</v>
      </c>
      <c r="U70" s="341"/>
      <c r="V70" s="341">
        <v>71</v>
      </c>
      <c r="W70" s="343">
        <v>6</v>
      </c>
      <c r="X70" s="306"/>
      <c r="Y70" s="336">
        <v>3099</v>
      </c>
      <c r="Z70" s="308"/>
      <c r="AA70" s="309">
        <v>1980</v>
      </c>
      <c r="AB70" s="330">
        <v>673</v>
      </c>
      <c r="AC70" s="332" t="s">
        <v>100</v>
      </c>
      <c r="AD70" s="331">
        <v>-258</v>
      </c>
      <c r="AE70" s="332">
        <v>-235</v>
      </c>
      <c r="AF70" s="332">
        <v>474</v>
      </c>
      <c r="AG70" s="409" t="s">
        <v>100</v>
      </c>
      <c r="AH70" s="333">
        <v>117</v>
      </c>
      <c r="AI70" s="334">
        <v>771</v>
      </c>
      <c r="AJ70" s="353"/>
      <c r="AK70" s="412">
        <v>-76</v>
      </c>
      <c r="AL70" s="335"/>
      <c r="AM70" s="337">
        <v>847</v>
      </c>
      <c r="AN70" s="340">
        <v>12</v>
      </c>
      <c r="AO70" s="358" t="s">
        <v>100</v>
      </c>
      <c r="AP70" s="358">
        <v>835</v>
      </c>
      <c r="AQ70" s="340">
        <v>66</v>
      </c>
      <c r="AR70" s="341">
        <v>537</v>
      </c>
      <c r="AS70" s="341"/>
      <c r="AT70" s="406"/>
      <c r="AU70" s="342">
        <v>115</v>
      </c>
      <c r="AV70" s="338" t="s">
        <v>100</v>
      </c>
      <c r="AW70" s="407">
        <v>117</v>
      </c>
      <c r="AX70" s="335"/>
      <c r="AY70" s="336">
        <v>713</v>
      </c>
      <c r="AZ70" s="414"/>
      <c r="BA70" s="306"/>
      <c r="BB70" s="306"/>
      <c r="BC70" s="306" t="s">
        <v>939</v>
      </c>
      <c r="BD70" s="306"/>
      <c r="BE70" s="306"/>
      <c r="BF70" s="306"/>
      <c r="BG70" s="391"/>
      <c r="BH70" s="306"/>
      <c r="BI70" s="306"/>
      <c r="BJ70" s="465" t="s">
        <v>940</v>
      </c>
      <c r="BK70" s="306"/>
      <c r="BL70" s="306"/>
      <c r="BM70" s="306"/>
      <c r="BN70" s="306"/>
      <c r="BO70" s="306"/>
      <c r="BP70" s="306"/>
      <c r="CA70" s="442">
        <v>1980</v>
      </c>
      <c r="CB70" s="443"/>
      <c r="CC70" s="330">
        <v>2484</v>
      </c>
      <c r="CD70" s="332">
        <v>172</v>
      </c>
      <c r="CE70" s="331">
        <v>-132</v>
      </c>
      <c r="CF70" s="332">
        <v>-40</v>
      </c>
      <c r="CG70" s="334">
        <v>2484</v>
      </c>
      <c r="CH70" s="335"/>
      <c r="CI70" s="412">
        <v>219</v>
      </c>
      <c r="CJ70" s="335"/>
      <c r="CK70" s="337">
        <v>2265</v>
      </c>
      <c r="CL70" s="338" t="s">
        <v>100</v>
      </c>
      <c r="CM70" s="358">
        <v>2265</v>
      </c>
      <c r="CN70" s="340">
        <v>214</v>
      </c>
      <c r="CO70" s="451">
        <v>2051</v>
      </c>
      <c r="CP70" s="335"/>
      <c r="CQ70" s="336">
        <v>151</v>
      </c>
      <c r="CR70" s="414"/>
    </row>
    <row r="71" spans="1:96" s="275" customFormat="1" ht="13.15" x14ac:dyDescent="0.4">
      <c r="A71" s="309">
        <v>1981</v>
      </c>
      <c r="B71" s="330">
        <v>7367</v>
      </c>
      <c r="C71" s="331" t="s">
        <v>100</v>
      </c>
      <c r="D71" s="331">
        <v>-813</v>
      </c>
      <c r="E71" s="331" t="s">
        <v>100</v>
      </c>
      <c r="F71" s="332">
        <v>1167</v>
      </c>
      <c r="G71" s="333">
        <v>-690</v>
      </c>
      <c r="H71" s="334">
        <v>7031</v>
      </c>
      <c r="I71" s="335">
        <f t="shared" si="0"/>
        <v>7250.9842519685035</v>
      </c>
      <c r="J71" s="336">
        <v>18</v>
      </c>
      <c r="K71" s="352"/>
      <c r="L71" s="337">
        <v>7013</v>
      </c>
      <c r="M71" s="338">
        <v>5412</v>
      </c>
      <c r="N71" s="338" t="s">
        <v>100</v>
      </c>
      <c r="O71" s="339">
        <v>1601</v>
      </c>
      <c r="P71" s="340">
        <v>431</v>
      </c>
      <c r="Q71" s="341">
        <v>249</v>
      </c>
      <c r="R71" s="341"/>
      <c r="S71" s="342" t="s">
        <v>100</v>
      </c>
      <c r="T71" s="340">
        <v>879</v>
      </c>
      <c r="U71" s="341"/>
      <c r="V71" s="341">
        <v>41</v>
      </c>
      <c r="W71" s="343">
        <v>1</v>
      </c>
      <c r="X71" s="306"/>
      <c r="Y71" s="336">
        <v>1904</v>
      </c>
      <c r="Z71" s="308"/>
      <c r="AA71" s="309">
        <v>1981</v>
      </c>
      <c r="AB71" s="330">
        <v>603</v>
      </c>
      <c r="AC71" s="332" t="s">
        <v>100</v>
      </c>
      <c r="AD71" s="331">
        <v>-592</v>
      </c>
      <c r="AE71" s="332">
        <v>173</v>
      </c>
      <c r="AF71" s="332">
        <v>778</v>
      </c>
      <c r="AG71" s="409" t="s">
        <v>100</v>
      </c>
      <c r="AH71" s="333">
        <v>82</v>
      </c>
      <c r="AI71" s="334">
        <v>1044</v>
      </c>
      <c r="AJ71" s="353"/>
      <c r="AK71" s="412">
        <v>-15</v>
      </c>
      <c r="AL71" s="335"/>
      <c r="AM71" s="337">
        <v>1059</v>
      </c>
      <c r="AN71" s="340">
        <v>38</v>
      </c>
      <c r="AO71" s="358" t="s">
        <v>100</v>
      </c>
      <c r="AP71" s="358">
        <v>1021</v>
      </c>
      <c r="AQ71" s="340">
        <v>223</v>
      </c>
      <c r="AR71" s="341">
        <v>620</v>
      </c>
      <c r="AS71" s="341"/>
      <c r="AT71" s="406"/>
      <c r="AU71" s="342">
        <v>96</v>
      </c>
      <c r="AV71" s="338" t="s">
        <v>100</v>
      </c>
      <c r="AW71" s="407">
        <v>82</v>
      </c>
      <c r="AX71" s="335"/>
      <c r="AY71" s="336">
        <v>541</v>
      </c>
      <c r="AZ71" s="415"/>
      <c r="BA71" s="306"/>
      <c r="BB71" s="306"/>
      <c r="BC71" s="306" t="s">
        <v>941</v>
      </c>
      <c r="BD71" s="306"/>
      <c r="BE71" s="306"/>
      <c r="BF71" s="306"/>
      <c r="BG71" s="391"/>
      <c r="BH71" s="306"/>
      <c r="BI71" s="306"/>
      <c r="BJ71" s="465" t="s">
        <v>942</v>
      </c>
      <c r="BK71" s="306"/>
      <c r="BL71" s="306"/>
      <c r="BM71" s="306"/>
      <c r="BN71" s="306"/>
      <c r="BO71" s="306"/>
      <c r="BP71" s="306"/>
      <c r="CA71" s="442">
        <v>1981</v>
      </c>
      <c r="CB71" s="443"/>
      <c r="CC71" s="330">
        <v>2065</v>
      </c>
      <c r="CD71" s="332">
        <v>132</v>
      </c>
      <c r="CE71" s="331">
        <v>-98</v>
      </c>
      <c r="CF71" s="332">
        <v>-115</v>
      </c>
      <c r="CG71" s="334">
        <v>1984</v>
      </c>
      <c r="CH71" s="335"/>
      <c r="CI71" s="412">
        <v>-3</v>
      </c>
      <c r="CJ71" s="335"/>
      <c r="CK71" s="337">
        <v>1987</v>
      </c>
      <c r="CL71" s="338" t="s">
        <v>100</v>
      </c>
      <c r="CM71" s="358">
        <v>1987</v>
      </c>
      <c r="CN71" s="340">
        <v>187</v>
      </c>
      <c r="CO71" s="451">
        <v>1800</v>
      </c>
      <c r="CP71" s="335"/>
      <c r="CQ71" s="336">
        <v>266</v>
      </c>
      <c r="CR71" s="414"/>
    </row>
    <row r="72" spans="1:96" s="275" customFormat="1" ht="13.15" x14ac:dyDescent="0.4">
      <c r="A72" s="309">
        <v>1982</v>
      </c>
      <c r="B72" s="330">
        <v>7203</v>
      </c>
      <c r="C72" s="331">
        <v>451</v>
      </c>
      <c r="D72" s="331">
        <v>-866</v>
      </c>
      <c r="E72" s="331" t="s">
        <v>100</v>
      </c>
      <c r="F72" s="332">
        <v>220</v>
      </c>
      <c r="G72" s="333">
        <v>-670</v>
      </c>
      <c r="H72" s="334">
        <v>6338</v>
      </c>
      <c r="I72" s="335">
        <f t="shared" si="0"/>
        <v>7089.5669291338581</v>
      </c>
      <c r="J72" s="336">
        <v>-8</v>
      </c>
      <c r="K72" s="352"/>
      <c r="L72" s="337">
        <v>6346</v>
      </c>
      <c r="M72" s="338">
        <v>4848</v>
      </c>
      <c r="N72" s="338" t="s">
        <v>100</v>
      </c>
      <c r="O72" s="339">
        <v>1498</v>
      </c>
      <c r="P72" s="340">
        <v>266</v>
      </c>
      <c r="Q72" s="341">
        <v>298</v>
      </c>
      <c r="R72" s="341"/>
      <c r="S72" s="342" t="s">
        <v>100</v>
      </c>
      <c r="T72" s="340">
        <v>873</v>
      </c>
      <c r="U72" s="341"/>
      <c r="V72" s="341">
        <v>60</v>
      </c>
      <c r="W72" s="343">
        <v>1</v>
      </c>
      <c r="X72" s="306"/>
      <c r="Y72" s="336">
        <v>1684</v>
      </c>
      <c r="Z72" s="308"/>
      <c r="AA72" s="309">
        <v>1982</v>
      </c>
      <c r="AB72" s="330">
        <v>502</v>
      </c>
      <c r="AC72" s="332" t="s">
        <v>100</v>
      </c>
      <c r="AD72" s="331">
        <v>-311</v>
      </c>
      <c r="AE72" s="332">
        <v>204</v>
      </c>
      <c r="AF72" s="332">
        <v>593</v>
      </c>
      <c r="AG72" s="409" t="s">
        <v>100</v>
      </c>
      <c r="AH72" s="333" t="s">
        <v>100</v>
      </c>
      <c r="AI72" s="334">
        <v>988</v>
      </c>
      <c r="AJ72" s="353"/>
      <c r="AK72" s="412">
        <v>-1</v>
      </c>
      <c r="AL72" s="335"/>
      <c r="AM72" s="337">
        <v>989</v>
      </c>
      <c r="AN72" s="340">
        <v>87</v>
      </c>
      <c r="AO72" s="358" t="s">
        <v>100</v>
      </c>
      <c r="AP72" s="358">
        <v>902</v>
      </c>
      <c r="AQ72" s="340">
        <v>233</v>
      </c>
      <c r="AR72" s="341">
        <v>568</v>
      </c>
      <c r="AS72" s="341"/>
      <c r="AT72" s="406"/>
      <c r="AU72" s="342">
        <v>101</v>
      </c>
      <c r="AV72" s="338" t="s">
        <v>100</v>
      </c>
      <c r="AW72" s="407" t="s">
        <v>100</v>
      </c>
      <c r="AX72" s="335"/>
      <c r="AY72" s="336">
        <v>337</v>
      </c>
      <c r="AZ72" s="414"/>
      <c r="BA72" s="306"/>
      <c r="BB72" s="306"/>
      <c r="BC72" s="306" t="s">
        <v>943</v>
      </c>
      <c r="BD72" s="306"/>
      <c r="BE72" s="306"/>
      <c r="BF72" s="306"/>
      <c r="BG72" s="391"/>
      <c r="BH72" s="306"/>
      <c r="BI72" s="306"/>
      <c r="BJ72" s="306"/>
      <c r="BK72" s="306"/>
      <c r="BL72" s="306"/>
      <c r="BM72" s="306"/>
      <c r="BN72" s="306"/>
      <c r="BO72" s="306"/>
      <c r="BP72" s="306"/>
      <c r="CA72" s="442">
        <v>1982</v>
      </c>
      <c r="CB72" s="443"/>
      <c r="CC72" s="330">
        <v>1933</v>
      </c>
      <c r="CD72" s="332">
        <v>89</v>
      </c>
      <c r="CE72" s="331">
        <v>-122</v>
      </c>
      <c r="CF72" s="332">
        <v>33</v>
      </c>
      <c r="CG72" s="334">
        <v>1933</v>
      </c>
      <c r="CH72" s="335"/>
      <c r="CI72" s="412" t="s">
        <v>100</v>
      </c>
      <c r="CJ72" s="335"/>
      <c r="CK72" s="337">
        <v>1933</v>
      </c>
      <c r="CL72" s="338" t="s">
        <v>100</v>
      </c>
      <c r="CM72" s="358">
        <v>1933</v>
      </c>
      <c r="CN72" s="340">
        <v>228</v>
      </c>
      <c r="CO72" s="451">
        <v>1705</v>
      </c>
      <c r="CP72" s="335"/>
      <c r="CQ72" s="336">
        <v>233</v>
      </c>
      <c r="CR72" s="414"/>
    </row>
    <row r="73" spans="1:96" s="275" customFormat="1" ht="13.15" x14ac:dyDescent="0.4">
      <c r="A73" s="309">
        <v>1983</v>
      </c>
      <c r="B73" s="330">
        <v>7192</v>
      </c>
      <c r="C73" s="331">
        <v>702</v>
      </c>
      <c r="D73" s="331">
        <v>-472</v>
      </c>
      <c r="E73" s="331" t="s">
        <v>100</v>
      </c>
      <c r="F73" s="332">
        <v>-43</v>
      </c>
      <c r="G73" s="333">
        <v>-699</v>
      </c>
      <c r="H73" s="334">
        <v>6680</v>
      </c>
      <c r="I73" s="335">
        <f t="shared" si="0"/>
        <v>7078.7401574803152</v>
      </c>
      <c r="J73" s="336">
        <v>-72</v>
      </c>
      <c r="K73" s="352"/>
      <c r="L73" s="337">
        <v>6752</v>
      </c>
      <c r="M73" s="338">
        <v>5288</v>
      </c>
      <c r="N73" s="338" t="s">
        <v>100</v>
      </c>
      <c r="O73" s="339">
        <v>1464</v>
      </c>
      <c r="P73" s="340">
        <v>239</v>
      </c>
      <c r="Q73" s="341">
        <v>269</v>
      </c>
      <c r="R73" s="341"/>
      <c r="S73" s="342" t="s">
        <v>100</v>
      </c>
      <c r="T73" s="340">
        <v>800</v>
      </c>
      <c r="U73" s="341"/>
      <c r="V73" s="341">
        <v>156</v>
      </c>
      <c r="W73" s="343" t="s">
        <v>100</v>
      </c>
      <c r="X73" s="306"/>
      <c r="Y73" s="336">
        <v>1727</v>
      </c>
      <c r="Z73" s="308"/>
      <c r="AA73" s="309">
        <v>1983</v>
      </c>
      <c r="AB73" s="330">
        <v>357</v>
      </c>
      <c r="AC73" s="332" t="s">
        <v>100</v>
      </c>
      <c r="AD73" s="331">
        <v>-271</v>
      </c>
      <c r="AE73" s="332">
        <v>1</v>
      </c>
      <c r="AF73" s="332">
        <v>825</v>
      </c>
      <c r="AG73" s="409" t="s">
        <v>100</v>
      </c>
      <c r="AH73" s="333" t="s">
        <v>100</v>
      </c>
      <c r="AI73" s="334">
        <v>912</v>
      </c>
      <c r="AJ73" s="353"/>
      <c r="AK73" s="412">
        <v>1</v>
      </c>
      <c r="AL73" s="335"/>
      <c r="AM73" s="337">
        <v>911</v>
      </c>
      <c r="AN73" s="340">
        <v>64</v>
      </c>
      <c r="AO73" s="358" t="s">
        <v>100</v>
      </c>
      <c r="AP73" s="358">
        <v>847</v>
      </c>
      <c r="AQ73" s="340">
        <v>176</v>
      </c>
      <c r="AR73" s="341">
        <v>580</v>
      </c>
      <c r="AS73" s="341"/>
      <c r="AT73" s="406"/>
      <c r="AU73" s="342">
        <v>91</v>
      </c>
      <c r="AV73" s="338" t="s">
        <v>100</v>
      </c>
      <c r="AW73" s="407" t="s">
        <v>100</v>
      </c>
      <c r="AX73" s="335"/>
      <c r="AY73" s="336">
        <v>336</v>
      </c>
      <c r="AZ73" s="414"/>
      <c r="BA73" s="306"/>
      <c r="BB73" s="306"/>
      <c r="BC73" s="306" t="s">
        <v>944</v>
      </c>
      <c r="BD73" s="306"/>
      <c r="BE73" s="306"/>
      <c r="BF73" s="306"/>
      <c r="BG73" s="391"/>
      <c r="BH73" s="306"/>
      <c r="BI73" s="306"/>
      <c r="BJ73" s="306"/>
      <c r="BK73" s="306"/>
      <c r="BL73" s="306"/>
      <c r="BM73" s="306"/>
      <c r="BN73" s="306"/>
      <c r="BO73" s="306"/>
      <c r="BP73" s="306"/>
      <c r="CA73" s="442">
        <v>1983</v>
      </c>
      <c r="CB73" s="443"/>
      <c r="CC73" s="330">
        <v>1784</v>
      </c>
      <c r="CD73" s="332">
        <v>94</v>
      </c>
      <c r="CE73" s="331">
        <v>-142</v>
      </c>
      <c r="CF73" s="332">
        <v>160</v>
      </c>
      <c r="CG73" s="334">
        <v>1896</v>
      </c>
      <c r="CH73" s="348"/>
      <c r="CI73" s="412">
        <v>-1</v>
      </c>
      <c r="CJ73" s="335"/>
      <c r="CK73" s="337">
        <v>1897</v>
      </c>
      <c r="CL73" s="338" t="s">
        <v>100</v>
      </c>
      <c r="CM73" s="358">
        <v>1897</v>
      </c>
      <c r="CN73" s="340">
        <v>199</v>
      </c>
      <c r="CO73" s="451">
        <v>1698</v>
      </c>
      <c r="CP73" s="335"/>
      <c r="CQ73" s="336">
        <v>73</v>
      </c>
      <c r="CR73" s="415"/>
    </row>
    <row r="74" spans="1:96" s="275" customFormat="1" ht="13.15" x14ac:dyDescent="0.4">
      <c r="A74" s="309">
        <v>1984</v>
      </c>
      <c r="B74" s="330">
        <v>5866</v>
      </c>
      <c r="C74" s="331">
        <v>1998</v>
      </c>
      <c r="D74" s="331">
        <v>-103</v>
      </c>
      <c r="E74" s="331" t="s">
        <v>100</v>
      </c>
      <c r="F74" s="332">
        <v>-209</v>
      </c>
      <c r="G74" s="333">
        <v>-725</v>
      </c>
      <c r="H74" s="334">
        <v>6827</v>
      </c>
      <c r="I74" s="335"/>
      <c r="J74" s="336">
        <v>-65</v>
      </c>
      <c r="K74" s="352"/>
      <c r="L74" s="337">
        <v>6892</v>
      </c>
      <c r="M74" s="338">
        <v>5340</v>
      </c>
      <c r="N74" s="338" t="s">
        <v>100</v>
      </c>
      <c r="O74" s="339">
        <v>1552</v>
      </c>
      <c r="P74" s="340">
        <v>378</v>
      </c>
      <c r="Q74" s="341">
        <v>227</v>
      </c>
      <c r="R74" s="341"/>
      <c r="S74" s="342" t="s">
        <v>100</v>
      </c>
      <c r="T74" s="340">
        <v>799</v>
      </c>
      <c r="U74" s="341"/>
      <c r="V74" s="341">
        <v>147</v>
      </c>
      <c r="W74" s="343">
        <v>1</v>
      </c>
      <c r="X74" s="306"/>
      <c r="Y74" s="336">
        <v>1943</v>
      </c>
      <c r="Z74" s="308"/>
      <c r="AA74" s="309">
        <v>1984</v>
      </c>
      <c r="AB74" s="330">
        <v>220</v>
      </c>
      <c r="AC74" s="332" t="s">
        <v>100</v>
      </c>
      <c r="AD74" s="331">
        <v>-66</v>
      </c>
      <c r="AE74" s="332">
        <v>-67</v>
      </c>
      <c r="AF74" s="332">
        <v>764</v>
      </c>
      <c r="AG74" s="409" t="s">
        <v>100</v>
      </c>
      <c r="AH74" s="333" t="s">
        <v>100</v>
      </c>
      <c r="AI74" s="334">
        <v>851</v>
      </c>
      <c r="AJ74" s="353"/>
      <c r="AK74" s="412">
        <v>1</v>
      </c>
      <c r="AL74" s="335"/>
      <c r="AM74" s="337">
        <v>850</v>
      </c>
      <c r="AN74" s="340">
        <v>89</v>
      </c>
      <c r="AO74" s="358" t="s">
        <v>100</v>
      </c>
      <c r="AP74" s="358">
        <v>761</v>
      </c>
      <c r="AQ74" s="340">
        <v>64</v>
      </c>
      <c r="AR74" s="341">
        <v>662</v>
      </c>
      <c r="AS74" s="341"/>
      <c r="AT74" s="406"/>
      <c r="AU74" s="342">
        <v>35</v>
      </c>
      <c r="AV74" s="338" t="s">
        <v>100</v>
      </c>
      <c r="AW74" s="407" t="s">
        <v>100</v>
      </c>
      <c r="AX74" s="335"/>
      <c r="AY74" s="336">
        <v>410</v>
      </c>
      <c r="AZ74" s="414"/>
      <c r="BA74" s="306"/>
      <c r="BB74" s="306"/>
      <c r="BC74" s="306" t="s">
        <v>945</v>
      </c>
      <c r="BD74" s="306"/>
      <c r="BE74" s="306"/>
      <c r="BF74" s="306"/>
      <c r="BG74" s="391"/>
      <c r="BH74" s="306"/>
      <c r="BI74" s="306"/>
      <c r="BJ74" s="306"/>
      <c r="BK74" s="306"/>
      <c r="BL74" s="306"/>
      <c r="BM74" s="306"/>
      <c r="BN74" s="306"/>
      <c r="BO74" s="306"/>
      <c r="BP74" s="306"/>
      <c r="CA74" s="442">
        <v>1984</v>
      </c>
      <c r="CB74" s="443"/>
      <c r="CC74" s="330">
        <v>1067</v>
      </c>
      <c r="CD74" s="332">
        <v>171</v>
      </c>
      <c r="CE74" s="331">
        <v>-98</v>
      </c>
      <c r="CF74" s="332">
        <v>46</v>
      </c>
      <c r="CG74" s="334">
        <v>1186</v>
      </c>
      <c r="CH74" s="335"/>
      <c r="CI74" s="412" t="s">
        <v>100</v>
      </c>
      <c r="CJ74" s="335"/>
      <c r="CK74" s="337">
        <v>1186</v>
      </c>
      <c r="CL74" s="338" t="s">
        <v>100</v>
      </c>
      <c r="CM74" s="358">
        <v>1186</v>
      </c>
      <c r="CN74" s="340">
        <v>99</v>
      </c>
      <c r="CO74" s="451">
        <v>1087</v>
      </c>
      <c r="CP74" s="335"/>
      <c r="CQ74" s="336">
        <v>27</v>
      </c>
      <c r="CR74" s="414"/>
    </row>
    <row r="75" spans="1:96" s="275" customFormat="1" ht="13.15" x14ac:dyDescent="0.4">
      <c r="A75" s="309">
        <v>1985</v>
      </c>
      <c r="B75" s="330">
        <v>7838</v>
      </c>
      <c r="C75" s="331">
        <v>374</v>
      </c>
      <c r="D75" s="331">
        <v>-1014</v>
      </c>
      <c r="E75" s="331" t="s">
        <v>100</v>
      </c>
      <c r="F75" s="332">
        <v>823</v>
      </c>
      <c r="G75" s="333">
        <v>-709</v>
      </c>
      <c r="H75" s="334">
        <v>7312</v>
      </c>
      <c r="I75" s="335"/>
      <c r="J75" s="336">
        <v>33</v>
      </c>
      <c r="K75" s="352"/>
      <c r="L75" s="337">
        <v>7279</v>
      </c>
      <c r="M75" s="338">
        <v>5695</v>
      </c>
      <c r="N75" s="338" t="s">
        <v>100</v>
      </c>
      <c r="O75" s="339">
        <v>1584</v>
      </c>
      <c r="P75" s="340">
        <v>253</v>
      </c>
      <c r="Q75" s="341">
        <v>223</v>
      </c>
      <c r="R75" s="341"/>
      <c r="S75" s="342" t="s">
        <v>100</v>
      </c>
      <c r="T75" s="340">
        <v>926</v>
      </c>
      <c r="U75" s="341"/>
      <c r="V75" s="341">
        <v>179</v>
      </c>
      <c r="W75" s="343">
        <v>3</v>
      </c>
      <c r="X75" s="297"/>
      <c r="Y75" s="336">
        <v>995</v>
      </c>
      <c r="Z75" s="308"/>
      <c r="AA75" s="309">
        <v>1985</v>
      </c>
      <c r="AB75" s="330">
        <v>337</v>
      </c>
      <c r="AC75" s="332" t="s">
        <v>100</v>
      </c>
      <c r="AD75" s="331">
        <v>-165</v>
      </c>
      <c r="AE75" s="332">
        <v>10</v>
      </c>
      <c r="AF75" s="332">
        <v>868</v>
      </c>
      <c r="AG75" s="409" t="s">
        <v>100</v>
      </c>
      <c r="AH75" s="333" t="s">
        <v>100</v>
      </c>
      <c r="AI75" s="334">
        <v>1050</v>
      </c>
      <c r="AJ75" s="353"/>
      <c r="AK75" s="412">
        <v>-1</v>
      </c>
      <c r="AL75" s="335"/>
      <c r="AM75" s="337">
        <v>1051</v>
      </c>
      <c r="AN75" s="340">
        <v>97</v>
      </c>
      <c r="AO75" s="358" t="s">
        <v>100</v>
      </c>
      <c r="AP75" s="358">
        <v>954</v>
      </c>
      <c r="AQ75" s="340">
        <v>106</v>
      </c>
      <c r="AR75" s="341">
        <v>799</v>
      </c>
      <c r="AS75" s="341"/>
      <c r="AT75" s="406"/>
      <c r="AU75" s="342">
        <v>49</v>
      </c>
      <c r="AV75" s="338" t="s">
        <v>100</v>
      </c>
      <c r="AW75" s="407" t="s">
        <v>100</v>
      </c>
      <c r="AX75" s="335"/>
      <c r="AY75" s="336">
        <v>488</v>
      </c>
      <c r="AZ75" s="415"/>
      <c r="BA75" s="306"/>
      <c r="BB75" s="306"/>
      <c r="BC75" s="306" t="s">
        <v>946</v>
      </c>
      <c r="BD75" s="306"/>
      <c r="BE75" s="306"/>
      <c r="BF75" s="306"/>
      <c r="BG75" s="391"/>
      <c r="BH75" s="306"/>
      <c r="BI75" s="306"/>
      <c r="BJ75" s="473"/>
      <c r="BK75" s="306"/>
      <c r="BL75" s="306"/>
      <c r="BM75" s="306"/>
      <c r="BN75" s="306"/>
      <c r="BO75" s="306"/>
      <c r="BP75" s="306"/>
      <c r="CA75" s="442">
        <v>1985</v>
      </c>
      <c r="CB75" s="443"/>
      <c r="CC75" s="330">
        <v>1763</v>
      </c>
      <c r="CD75" s="332">
        <v>192</v>
      </c>
      <c r="CE75" s="331">
        <v>-110</v>
      </c>
      <c r="CF75" s="332">
        <v>-187</v>
      </c>
      <c r="CG75" s="334">
        <v>1658</v>
      </c>
      <c r="CH75" s="335"/>
      <c r="CI75" s="412" t="s">
        <v>100</v>
      </c>
      <c r="CJ75" s="335"/>
      <c r="CK75" s="337">
        <v>1658</v>
      </c>
      <c r="CL75" s="338" t="s">
        <v>100</v>
      </c>
      <c r="CM75" s="358">
        <v>1658</v>
      </c>
      <c r="CN75" s="340">
        <v>225</v>
      </c>
      <c r="CO75" s="451">
        <v>1433</v>
      </c>
      <c r="CP75" s="335"/>
      <c r="CQ75" s="336">
        <v>214</v>
      </c>
      <c r="CR75" s="414"/>
    </row>
    <row r="76" spans="1:96" s="275" customFormat="1" ht="13.15" x14ac:dyDescent="0.4">
      <c r="A76" s="309">
        <v>1986</v>
      </c>
      <c r="B76" s="330">
        <v>7795</v>
      </c>
      <c r="C76" s="331">
        <v>164</v>
      </c>
      <c r="D76" s="331">
        <v>-856</v>
      </c>
      <c r="E76" s="331" t="s">
        <v>100</v>
      </c>
      <c r="F76" s="332">
        <v>48</v>
      </c>
      <c r="G76" s="333">
        <v>-700</v>
      </c>
      <c r="H76" s="334">
        <v>6451</v>
      </c>
      <c r="I76" s="335"/>
      <c r="J76" s="336">
        <v>-176</v>
      </c>
      <c r="K76" s="353"/>
      <c r="L76" s="337">
        <v>6627</v>
      </c>
      <c r="M76" s="338">
        <v>5075</v>
      </c>
      <c r="N76" s="338" t="s">
        <v>100</v>
      </c>
      <c r="O76" s="339">
        <v>1552</v>
      </c>
      <c r="P76" s="340">
        <v>158</v>
      </c>
      <c r="Q76" s="341">
        <v>218</v>
      </c>
      <c r="R76" s="341"/>
      <c r="S76" s="342" t="s">
        <v>100</v>
      </c>
      <c r="T76" s="340">
        <v>804</v>
      </c>
      <c r="U76" s="341"/>
      <c r="V76" s="341">
        <v>372</v>
      </c>
      <c r="W76" s="343" t="s">
        <v>100</v>
      </c>
      <c r="X76" s="306"/>
      <c r="Y76" s="336">
        <v>1010</v>
      </c>
      <c r="Z76" s="308"/>
      <c r="AA76" s="309">
        <v>1986</v>
      </c>
      <c r="AB76" s="330">
        <v>344</v>
      </c>
      <c r="AC76" s="332">
        <v>49</v>
      </c>
      <c r="AD76" s="331">
        <v>-309</v>
      </c>
      <c r="AE76" s="332">
        <v>163</v>
      </c>
      <c r="AF76" s="332">
        <v>790</v>
      </c>
      <c r="AG76" s="409" t="s">
        <v>100</v>
      </c>
      <c r="AH76" s="333" t="s">
        <v>100</v>
      </c>
      <c r="AI76" s="334">
        <v>1037</v>
      </c>
      <c r="AJ76" s="353"/>
      <c r="AK76" s="412" t="s">
        <v>100</v>
      </c>
      <c r="AL76" s="335"/>
      <c r="AM76" s="337">
        <v>1037</v>
      </c>
      <c r="AN76" s="340">
        <v>106</v>
      </c>
      <c r="AO76" s="358" t="s">
        <v>100</v>
      </c>
      <c r="AP76" s="358">
        <v>931</v>
      </c>
      <c r="AQ76" s="340">
        <v>154</v>
      </c>
      <c r="AR76" s="341">
        <v>703</v>
      </c>
      <c r="AS76" s="341"/>
      <c r="AT76" s="406"/>
      <c r="AU76" s="342">
        <v>74</v>
      </c>
      <c r="AV76" s="338" t="s">
        <v>100</v>
      </c>
      <c r="AW76" s="407" t="s">
        <v>100</v>
      </c>
      <c r="AX76" s="335"/>
      <c r="AY76" s="336">
        <v>339</v>
      </c>
      <c r="AZ76" s="414"/>
      <c r="BA76" s="306"/>
      <c r="BB76" s="306"/>
      <c r="BC76" s="306" t="s">
        <v>947</v>
      </c>
      <c r="BD76" s="306"/>
      <c r="BE76" s="306"/>
      <c r="BF76" s="306"/>
      <c r="BG76" s="391"/>
      <c r="BH76" s="306"/>
      <c r="BI76" s="306"/>
      <c r="BJ76" s="306"/>
      <c r="BK76" s="306"/>
      <c r="BL76" s="306"/>
      <c r="BM76" s="306"/>
      <c r="BN76" s="306"/>
      <c r="BO76" s="306"/>
      <c r="BP76" s="306"/>
      <c r="CA76" s="442">
        <v>1986</v>
      </c>
      <c r="CB76" s="443"/>
      <c r="CC76" s="330">
        <v>1599</v>
      </c>
      <c r="CD76" s="332">
        <v>89</v>
      </c>
      <c r="CE76" s="331">
        <v>-110</v>
      </c>
      <c r="CF76" s="332">
        <v>23</v>
      </c>
      <c r="CG76" s="334">
        <v>1601</v>
      </c>
      <c r="CH76" s="335"/>
      <c r="CI76" s="412" t="s">
        <v>100</v>
      </c>
      <c r="CJ76" s="335"/>
      <c r="CK76" s="337">
        <v>1601</v>
      </c>
      <c r="CL76" s="338" t="s">
        <v>100</v>
      </c>
      <c r="CM76" s="358">
        <v>1601</v>
      </c>
      <c r="CN76" s="340">
        <v>154</v>
      </c>
      <c r="CO76" s="451">
        <v>1447</v>
      </c>
      <c r="CP76" s="335"/>
      <c r="CQ76" s="336">
        <v>191</v>
      </c>
      <c r="CR76" s="414"/>
    </row>
    <row r="77" spans="1:96" s="275" customFormat="1" ht="13.15" x14ac:dyDescent="0.4">
      <c r="A77" s="309">
        <v>1987</v>
      </c>
      <c r="B77" s="330">
        <v>7585</v>
      </c>
      <c r="C77" s="331">
        <v>142</v>
      </c>
      <c r="D77" s="331">
        <v>-262</v>
      </c>
      <c r="E77" s="331" t="s">
        <v>100</v>
      </c>
      <c r="F77" s="332">
        <v>305</v>
      </c>
      <c r="G77" s="333">
        <v>-737</v>
      </c>
      <c r="H77" s="334">
        <v>7033</v>
      </c>
      <c r="I77" s="335"/>
      <c r="J77" s="336">
        <v>-171</v>
      </c>
      <c r="K77" s="354"/>
      <c r="L77" s="337">
        <v>7204</v>
      </c>
      <c r="M77" s="338">
        <v>5779</v>
      </c>
      <c r="N77" s="338" t="s">
        <v>100</v>
      </c>
      <c r="O77" s="339">
        <v>1425</v>
      </c>
      <c r="P77" s="340">
        <v>130</v>
      </c>
      <c r="Q77" s="341">
        <v>195</v>
      </c>
      <c r="R77" s="341"/>
      <c r="S77" s="342" t="s">
        <v>100</v>
      </c>
      <c r="T77" s="340">
        <v>748</v>
      </c>
      <c r="U77" s="341"/>
      <c r="V77" s="341">
        <v>352</v>
      </c>
      <c r="W77" s="343" t="s">
        <v>100</v>
      </c>
      <c r="X77" s="306"/>
      <c r="Y77" s="336">
        <v>729</v>
      </c>
      <c r="Z77" s="308"/>
      <c r="AA77" s="309">
        <v>1987</v>
      </c>
      <c r="AB77" s="330">
        <v>273</v>
      </c>
      <c r="AC77" s="332">
        <v>107</v>
      </c>
      <c r="AD77" s="331">
        <v>-98</v>
      </c>
      <c r="AE77" s="332">
        <v>26</v>
      </c>
      <c r="AF77" s="332">
        <v>816</v>
      </c>
      <c r="AG77" s="409" t="s">
        <v>100</v>
      </c>
      <c r="AH77" s="333" t="s">
        <v>100</v>
      </c>
      <c r="AI77" s="334">
        <v>1124</v>
      </c>
      <c r="AJ77" s="353"/>
      <c r="AK77" s="412" t="s">
        <v>100</v>
      </c>
      <c r="AL77" s="335"/>
      <c r="AM77" s="337">
        <v>1124</v>
      </c>
      <c r="AN77" s="340">
        <v>95</v>
      </c>
      <c r="AO77" s="358" t="s">
        <v>100</v>
      </c>
      <c r="AP77" s="358">
        <v>1029</v>
      </c>
      <c r="AQ77" s="340">
        <v>169</v>
      </c>
      <c r="AR77" s="341">
        <v>821</v>
      </c>
      <c r="AS77" s="341"/>
      <c r="AT77" s="406"/>
      <c r="AU77" s="342">
        <v>39</v>
      </c>
      <c r="AV77" s="338" t="s">
        <v>100</v>
      </c>
      <c r="AW77" s="407" t="s">
        <v>100</v>
      </c>
      <c r="AX77" s="335"/>
      <c r="AY77" s="336">
        <v>729</v>
      </c>
      <c r="AZ77" s="415"/>
      <c r="BA77" s="306"/>
      <c r="BB77" s="306"/>
      <c r="BC77" s="306"/>
      <c r="BD77" s="306"/>
      <c r="BE77" s="306"/>
      <c r="BF77" s="306"/>
      <c r="BG77" s="391"/>
      <c r="BH77" s="306"/>
      <c r="BI77" s="306"/>
      <c r="BJ77" s="306"/>
      <c r="BK77" s="306"/>
      <c r="BL77" s="306"/>
      <c r="BM77" s="306"/>
      <c r="BN77" s="306"/>
      <c r="BO77" s="306"/>
      <c r="BP77" s="306"/>
      <c r="CA77" s="442">
        <v>1987</v>
      </c>
      <c r="CB77" s="443"/>
      <c r="CC77" s="330">
        <v>1637</v>
      </c>
      <c r="CD77" s="332">
        <v>129</v>
      </c>
      <c r="CE77" s="331">
        <v>-115</v>
      </c>
      <c r="CF77" s="332">
        <v>1</v>
      </c>
      <c r="CG77" s="334">
        <v>1652</v>
      </c>
      <c r="CH77" s="335"/>
      <c r="CI77" s="412" t="s">
        <v>100</v>
      </c>
      <c r="CJ77" s="335"/>
      <c r="CK77" s="337">
        <v>1652</v>
      </c>
      <c r="CL77" s="338" t="s">
        <v>100</v>
      </c>
      <c r="CM77" s="358">
        <v>1652</v>
      </c>
      <c r="CN77" s="340">
        <v>126</v>
      </c>
      <c r="CO77" s="451">
        <v>1526</v>
      </c>
      <c r="CP77" s="335"/>
      <c r="CQ77" s="336">
        <v>190</v>
      </c>
      <c r="CR77" s="414"/>
    </row>
    <row r="78" spans="1:96" s="275" customFormat="1" ht="13.15" x14ac:dyDescent="0.4">
      <c r="A78" s="309">
        <v>1988</v>
      </c>
      <c r="B78" s="330">
        <v>7610</v>
      </c>
      <c r="C78" s="331">
        <v>466</v>
      </c>
      <c r="D78" s="331">
        <v>-362</v>
      </c>
      <c r="E78" s="331" t="s">
        <v>100</v>
      </c>
      <c r="F78" s="332">
        <v>230</v>
      </c>
      <c r="G78" s="333">
        <v>-800</v>
      </c>
      <c r="H78" s="334">
        <v>7144</v>
      </c>
      <c r="I78" s="335"/>
      <c r="J78" s="336">
        <v>-250</v>
      </c>
      <c r="K78" s="354"/>
      <c r="L78" s="337">
        <v>7394</v>
      </c>
      <c r="M78" s="338">
        <v>6207</v>
      </c>
      <c r="N78" s="338" t="s">
        <v>100</v>
      </c>
      <c r="O78" s="339">
        <v>1187</v>
      </c>
      <c r="P78" s="340">
        <v>156</v>
      </c>
      <c r="Q78" s="341">
        <v>174</v>
      </c>
      <c r="R78" s="341"/>
      <c r="S78" s="342" t="s">
        <v>100</v>
      </c>
      <c r="T78" s="340">
        <v>663</v>
      </c>
      <c r="U78" s="341"/>
      <c r="V78" s="341">
        <v>194</v>
      </c>
      <c r="W78" s="343" t="s">
        <v>100</v>
      </c>
      <c r="X78" s="306"/>
      <c r="Y78" s="336">
        <v>503</v>
      </c>
      <c r="Z78" s="308"/>
      <c r="AA78" s="309">
        <v>1988</v>
      </c>
      <c r="AB78" s="330">
        <v>277</v>
      </c>
      <c r="AC78" s="332">
        <v>266</v>
      </c>
      <c r="AD78" s="331">
        <v>-128</v>
      </c>
      <c r="AE78" s="332">
        <v>18</v>
      </c>
      <c r="AF78" s="332">
        <v>898</v>
      </c>
      <c r="AG78" s="409" t="s">
        <v>100</v>
      </c>
      <c r="AH78" s="333" t="s">
        <v>100</v>
      </c>
      <c r="AI78" s="334">
        <v>1331</v>
      </c>
      <c r="AJ78" s="353"/>
      <c r="AK78" s="412" t="s">
        <v>100</v>
      </c>
      <c r="AL78" s="335"/>
      <c r="AM78" s="337">
        <v>1331</v>
      </c>
      <c r="AN78" s="340">
        <v>135</v>
      </c>
      <c r="AO78" s="358" t="s">
        <v>100</v>
      </c>
      <c r="AP78" s="358">
        <v>1196</v>
      </c>
      <c r="AQ78" s="340">
        <v>299</v>
      </c>
      <c r="AR78" s="341">
        <v>897</v>
      </c>
      <c r="AS78" s="341"/>
      <c r="AT78" s="406"/>
      <c r="AU78" s="342" t="s">
        <v>100</v>
      </c>
      <c r="AV78" s="338" t="s">
        <v>100</v>
      </c>
      <c r="AW78" s="407" t="s">
        <v>100</v>
      </c>
      <c r="AX78" s="335"/>
      <c r="AY78" s="336">
        <v>312</v>
      </c>
      <c r="AZ78" s="414"/>
      <c r="BA78" s="306"/>
      <c r="BB78" s="306"/>
      <c r="BC78" s="472" t="s">
        <v>948</v>
      </c>
      <c r="BD78" s="306"/>
      <c r="BE78" s="306"/>
      <c r="BF78" s="306"/>
      <c r="BG78" s="391"/>
      <c r="BH78" s="306"/>
      <c r="BI78" s="306"/>
      <c r="BJ78" s="306"/>
      <c r="BK78" s="306"/>
      <c r="BL78" s="306"/>
      <c r="BM78" s="306"/>
      <c r="BN78" s="306"/>
      <c r="BO78" s="306"/>
      <c r="BP78" s="306"/>
      <c r="CA78" s="442">
        <v>1988</v>
      </c>
      <c r="CB78" s="443"/>
      <c r="CC78" s="330">
        <v>1464</v>
      </c>
      <c r="CD78" s="332">
        <v>159</v>
      </c>
      <c r="CE78" s="331">
        <v>-91</v>
      </c>
      <c r="CF78" s="332">
        <v>-89</v>
      </c>
      <c r="CG78" s="334">
        <v>1443</v>
      </c>
      <c r="CH78" s="335"/>
      <c r="CI78" s="412">
        <v>1</v>
      </c>
      <c r="CJ78" s="335"/>
      <c r="CK78" s="337">
        <v>1442</v>
      </c>
      <c r="CL78" s="338">
        <v>2</v>
      </c>
      <c r="CM78" s="358">
        <v>1440</v>
      </c>
      <c r="CN78" s="340">
        <v>82</v>
      </c>
      <c r="CO78" s="451">
        <v>1358</v>
      </c>
      <c r="CP78" s="335"/>
      <c r="CQ78" s="336">
        <v>279</v>
      </c>
      <c r="CR78" s="414"/>
    </row>
    <row r="79" spans="1:96" s="275" customFormat="1" ht="13.15" x14ac:dyDescent="0.4">
      <c r="A79" s="309">
        <v>1989</v>
      </c>
      <c r="B79" s="330">
        <v>7572</v>
      </c>
      <c r="C79" s="331">
        <v>330</v>
      </c>
      <c r="D79" s="331">
        <v>-339</v>
      </c>
      <c r="E79" s="331" t="s">
        <v>100</v>
      </c>
      <c r="F79" s="332">
        <v>51</v>
      </c>
      <c r="G79" s="333">
        <v>-851</v>
      </c>
      <c r="H79" s="334">
        <v>6763</v>
      </c>
      <c r="I79" s="335"/>
      <c r="J79" s="336">
        <v>-154</v>
      </c>
      <c r="K79" s="354"/>
      <c r="L79" s="337">
        <v>6917</v>
      </c>
      <c r="M79" s="338">
        <v>5887</v>
      </c>
      <c r="N79" s="338" t="s">
        <v>100</v>
      </c>
      <c r="O79" s="339">
        <v>1030</v>
      </c>
      <c r="P79" s="340">
        <v>312</v>
      </c>
      <c r="Q79" s="341">
        <v>183</v>
      </c>
      <c r="R79" s="341"/>
      <c r="S79" s="342" t="s">
        <v>100</v>
      </c>
      <c r="T79" s="340">
        <v>535</v>
      </c>
      <c r="U79" s="341"/>
      <c r="V79" s="341" t="s">
        <v>100</v>
      </c>
      <c r="W79" s="343" t="s">
        <v>100</v>
      </c>
      <c r="X79" s="297"/>
      <c r="Y79" s="336">
        <v>499</v>
      </c>
      <c r="Z79" s="308"/>
      <c r="AA79" s="309">
        <v>1989</v>
      </c>
      <c r="AB79" s="330">
        <v>208</v>
      </c>
      <c r="AC79" s="332">
        <v>211</v>
      </c>
      <c r="AD79" s="331">
        <v>-52</v>
      </c>
      <c r="AE79" s="332">
        <v>57</v>
      </c>
      <c r="AF79" s="332">
        <v>953</v>
      </c>
      <c r="AG79" s="409" t="s">
        <v>100</v>
      </c>
      <c r="AH79" s="333" t="s">
        <v>100</v>
      </c>
      <c r="AI79" s="334">
        <v>1377</v>
      </c>
      <c r="AJ79" s="353"/>
      <c r="AK79" s="412" t="s">
        <v>100</v>
      </c>
      <c r="AL79" s="335"/>
      <c r="AM79" s="337">
        <v>1377</v>
      </c>
      <c r="AN79" s="340">
        <v>136</v>
      </c>
      <c r="AO79" s="358" t="s">
        <v>100</v>
      </c>
      <c r="AP79" s="358">
        <v>1241</v>
      </c>
      <c r="AQ79" s="340">
        <v>333</v>
      </c>
      <c r="AR79" s="341">
        <v>908</v>
      </c>
      <c r="AS79" s="341"/>
      <c r="AT79" s="406"/>
      <c r="AU79" s="342" t="s">
        <v>100</v>
      </c>
      <c r="AV79" s="338" t="s">
        <v>100</v>
      </c>
      <c r="AW79" s="407" t="s">
        <v>100</v>
      </c>
      <c r="AX79" s="335"/>
      <c r="AY79" s="336">
        <v>274</v>
      </c>
      <c r="AZ79" s="415"/>
      <c r="BA79" s="306"/>
      <c r="BB79" s="306"/>
      <c r="BC79" s="306" t="s">
        <v>949</v>
      </c>
      <c r="BD79" s="306"/>
      <c r="BE79" s="306"/>
      <c r="BF79" s="306"/>
      <c r="BG79" s="391"/>
      <c r="BH79" s="306"/>
      <c r="BI79" s="306"/>
      <c r="BJ79" s="306"/>
      <c r="BK79" s="306"/>
      <c r="BL79" s="306"/>
      <c r="BM79" s="306"/>
      <c r="BN79" s="306"/>
      <c r="BO79" s="306"/>
      <c r="BP79" s="306"/>
      <c r="CA79" s="442">
        <v>1989</v>
      </c>
      <c r="CB79" s="443"/>
      <c r="CC79" s="330">
        <v>1207</v>
      </c>
      <c r="CD79" s="332">
        <v>131</v>
      </c>
      <c r="CE79" s="331">
        <v>-122</v>
      </c>
      <c r="CF79" s="332">
        <v>37</v>
      </c>
      <c r="CG79" s="334">
        <v>1253</v>
      </c>
      <c r="CH79" s="335"/>
      <c r="CI79" s="412" t="s">
        <v>100</v>
      </c>
      <c r="CJ79" s="348"/>
      <c r="CK79" s="337">
        <v>1253</v>
      </c>
      <c r="CL79" s="338">
        <v>3</v>
      </c>
      <c r="CM79" s="358">
        <v>1250</v>
      </c>
      <c r="CN79" s="340">
        <v>45</v>
      </c>
      <c r="CO79" s="451">
        <v>1205</v>
      </c>
      <c r="CP79" s="335"/>
      <c r="CQ79" s="336">
        <v>242</v>
      </c>
      <c r="CR79" s="415"/>
    </row>
    <row r="80" spans="1:96" s="275" customFormat="1" ht="13.15" x14ac:dyDescent="0.4">
      <c r="A80" s="309">
        <v>1990</v>
      </c>
      <c r="B80" s="330">
        <v>7521</v>
      </c>
      <c r="C80" s="331">
        <v>170</v>
      </c>
      <c r="D80" s="331">
        <v>-224</v>
      </c>
      <c r="E80" s="331" t="s">
        <v>100</v>
      </c>
      <c r="F80" s="332">
        <v>-74</v>
      </c>
      <c r="G80" s="333">
        <v>-869</v>
      </c>
      <c r="H80" s="334">
        <v>6524</v>
      </c>
      <c r="I80" s="335"/>
      <c r="J80" s="336">
        <v>-62</v>
      </c>
      <c r="K80" s="354"/>
      <c r="L80" s="337">
        <v>6586</v>
      </c>
      <c r="M80" s="338">
        <v>5728</v>
      </c>
      <c r="N80" s="338" t="s">
        <v>100</v>
      </c>
      <c r="O80" s="339">
        <v>858</v>
      </c>
      <c r="P80" s="340">
        <v>289</v>
      </c>
      <c r="Q80" s="929">
        <f>+Q79+(Q$84-Q$78)/6</f>
        <v>164.83333333333334</v>
      </c>
      <c r="R80" s="341"/>
      <c r="S80" s="342" t="s">
        <v>100</v>
      </c>
      <c r="T80" s="340">
        <v>569</v>
      </c>
      <c r="U80" s="341"/>
      <c r="V80" s="341" t="s">
        <v>100</v>
      </c>
      <c r="W80" s="343" t="s">
        <v>100</v>
      </c>
      <c r="X80" s="306"/>
      <c r="Y80" s="336">
        <v>582</v>
      </c>
      <c r="Z80" s="308"/>
      <c r="AA80" s="309">
        <v>1990</v>
      </c>
      <c r="AB80" s="330">
        <v>186</v>
      </c>
      <c r="AC80" s="332">
        <v>135</v>
      </c>
      <c r="AD80" s="331">
        <v>-67</v>
      </c>
      <c r="AE80" s="332">
        <v>70</v>
      </c>
      <c r="AF80" s="332">
        <v>869</v>
      </c>
      <c r="AG80" s="409" t="s">
        <v>100</v>
      </c>
      <c r="AH80" s="333" t="s">
        <v>100</v>
      </c>
      <c r="AI80" s="334">
        <v>1193</v>
      </c>
      <c r="AJ80" s="353"/>
      <c r="AK80" s="412" t="s">
        <v>100</v>
      </c>
      <c r="AL80" s="335"/>
      <c r="AM80" s="337">
        <v>1193</v>
      </c>
      <c r="AN80" s="340">
        <v>142</v>
      </c>
      <c r="AO80" s="358" t="s">
        <v>100</v>
      </c>
      <c r="AP80" s="358">
        <v>1051</v>
      </c>
      <c r="AQ80" s="340">
        <v>111</v>
      </c>
      <c r="AR80" s="341">
        <v>940</v>
      </c>
      <c r="AS80" s="341"/>
      <c r="AT80" s="406"/>
      <c r="AU80" s="342" t="s">
        <v>100</v>
      </c>
      <c r="AV80" s="338" t="s">
        <v>100</v>
      </c>
      <c r="AW80" s="407" t="s">
        <v>100</v>
      </c>
      <c r="AX80" s="335"/>
      <c r="AY80" s="336">
        <v>199</v>
      </c>
      <c r="AZ80" s="414"/>
      <c r="BA80" s="306"/>
      <c r="BB80" s="306"/>
      <c r="BC80" s="306" t="s">
        <v>950</v>
      </c>
      <c r="BD80" s="306"/>
      <c r="BE80" s="306"/>
      <c r="BF80" s="306"/>
      <c r="BG80" s="391"/>
      <c r="BH80" s="306"/>
      <c r="BI80" s="306"/>
      <c r="BJ80" s="306"/>
      <c r="BK80" s="306"/>
      <c r="BL80" s="306"/>
      <c r="BM80" s="306"/>
      <c r="BN80" s="306"/>
      <c r="BO80" s="306"/>
      <c r="BP80" s="306"/>
      <c r="CA80" s="442">
        <v>1990</v>
      </c>
      <c r="CB80" s="443"/>
      <c r="CC80" s="330">
        <v>1139</v>
      </c>
      <c r="CD80" s="332">
        <v>120</v>
      </c>
      <c r="CE80" s="331">
        <v>-141</v>
      </c>
      <c r="CF80" s="332">
        <v>97</v>
      </c>
      <c r="CG80" s="334">
        <v>1215</v>
      </c>
      <c r="CH80" s="335"/>
      <c r="CI80" s="412">
        <v>2</v>
      </c>
      <c r="CJ80" s="335"/>
      <c r="CK80" s="337">
        <v>1213</v>
      </c>
      <c r="CL80" s="338">
        <v>2</v>
      </c>
      <c r="CM80" s="358">
        <v>1211</v>
      </c>
      <c r="CN80" s="340">
        <v>62</v>
      </c>
      <c r="CO80" s="451">
        <v>1149</v>
      </c>
      <c r="CP80" s="335"/>
      <c r="CQ80" s="336">
        <v>145</v>
      </c>
      <c r="CR80" s="414"/>
    </row>
    <row r="81" spans="1:96" s="275" customFormat="1" ht="13.15" x14ac:dyDescent="0.4">
      <c r="A81" s="309">
        <v>1991</v>
      </c>
      <c r="B81" s="330">
        <v>7011</v>
      </c>
      <c r="C81" s="331">
        <v>93</v>
      </c>
      <c r="D81" s="331">
        <v>-183</v>
      </c>
      <c r="E81" s="331" t="s">
        <v>100</v>
      </c>
      <c r="F81" s="332">
        <v>160</v>
      </c>
      <c r="G81" s="333">
        <v>-902</v>
      </c>
      <c r="H81" s="334">
        <v>6179</v>
      </c>
      <c r="I81" s="335"/>
      <c r="J81" s="336">
        <v>21</v>
      </c>
      <c r="K81" s="354"/>
      <c r="L81" s="337">
        <v>6158</v>
      </c>
      <c r="M81" s="338">
        <v>5455</v>
      </c>
      <c r="N81" s="338" t="s">
        <v>100</v>
      </c>
      <c r="O81" s="339">
        <v>703</v>
      </c>
      <c r="P81" s="340">
        <v>234</v>
      </c>
      <c r="Q81" s="929">
        <f t="shared" ref="Q81:Q83" si="7">+Q80+(Q$84-Q$78)/6</f>
        <v>146.66666666666669</v>
      </c>
      <c r="R81" s="341"/>
      <c r="S81" s="342" t="s">
        <v>100</v>
      </c>
      <c r="T81" s="340">
        <v>469</v>
      </c>
      <c r="U81" s="341"/>
      <c r="V81" s="341" t="s">
        <v>100</v>
      </c>
      <c r="W81" s="343" t="s">
        <v>100</v>
      </c>
      <c r="X81" s="306"/>
      <c r="Y81" s="336">
        <v>359</v>
      </c>
      <c r="Z81" s="308"/>
      <c r="AA81" s="309">
        <v>1991</v>
      </c>
      <c r="AB81" s="330">
        <v>152</v>
      </c>
      <c r="AC81" s="332">
        <v>194</v>
      </c>
      <c r="AD81" s="331">
        <v>-49</v>
      </c>
      <c r="AE81" s="332">
        <v>-18</v>
      </c>
      <c r="AF81" s="332">
        <v>826</v>
      </c>
      <c r="AG81" s="409" t="s">
        <v>100</v>
      </c>
      <c r="AH81" s="333" t="s">
        <v>100</v>
      </c>
      <c r="AI81" s="334">
        <v>1105</v>
      </c>
      <c r="AJ81" s="353"/>
      <c r="AK81" s="412" t="s">
        <v>100</v>
      </c>
      <c r="AL81" s="335"/>
      <c r="AM81" s="337">
        <v>1105</v>
      </c>
      <c r="AN81" s="340">
        <v>127</v>
      </c>
      <c r="AO81" s="358" t="s">
        <v>100</v>
      </c>
      <c r="AP81" s="358">
        <v>978</v>
      </c>
      <c r="AQ81" s="340">
        <v>89</v>
      </c>
      <c r="AR81" s="341">
        <v>889</v>
      </c>
      <c r="AS81" s="341"/>
      <c r="AT81" s="406"/>
      <c r="AU81" s="342" t="s">
        <v>100</v>
      </c>
      <c r="AV81" s="338" t="s">
        <v>100</v>
      </c>
      <c r="AW81" s="407" t="s">
        <v>100</v>
      </c>
      <c r="AX81" s="335"/>
      <c r="AY81" s="336">
        <v>223</v>
      </c>
      <c r="AZ81" s="414"/>
      <c r="BA81" s="306"/>
      <c r="BB81" s="306"/>
      <c r="BC81" s="306" t="s">
        <v>951</v>
      </c>
      <c r="BD81" s="306"/>
      <c r="BE81" s="306"/>
      <c r="BF81" s="306"/>
      <c r="BG81" s="391"/>
      <c r="BH81" s="306"/>
      <c r="BI81" s="306"/>
      <c r="BJ81" s="306"/>
      <c r="BK81" s="306"/>
      <c r="BL81" s="306"/>
      <c r="BM81" s="306"/>
      <c r="BN81" s="306"/>
      <c r="BO81" s="306"/>
      <c r="BP81" s="306"/>
      <c r="CA81" s="442">
        <v>1991</v>
      </c>
      <c r="CB81" s="443"/>
      <c r="CC81" s="330">
        <v>1198</v>
      </c>
      <c r="CD81" s="332">
        <v>146</v>
      </c>
      <c r="CE81" s="331">
        <v>-103</v>
      </c>
      <c r="CF81" s="332">
        <v>-40</v>
      </c>
      <c r="CG81" s="334">
        <v>1201</v>
      </c>
      <c r="CH81" s="335"/>
      <c r="CI81" s="412">
        <v>1</v>
      </c>
      <c r="CJ81" s="335"/>
      <c r="CK81" s="337">
        <v>1200</v>
      </c>
      <c r="CL81" s="338" t="s">
        <v>100</v>
      </c>
      <c r="CM81" s="358">
        <v>1200</v>
      </c>
      <c r="CN81" s="340">
        <v>21</v>
      </c>
      <c r="CO81" s="451">
        <v>1179</v>
      </c>
      <c r="CP81" s="335"/>
      <c r="CQ81" s="336">
        <v>185</v>
      </c>
      <c r="CR81" s="414"/>
    </row>
    <row r="82" spans="1:96" s="275" customFormat="1" ht="13.15" x14ac:dyDescent="0.4">
      <c r="A82" s="309">
        <v>1992</v>
      </c>
      <c r="B82" s="330">
        <v>6397</v>
      </c>
      <c r="C82" s="331">
        <v>93</v>
      </c>
      <c r="D82" s="331">
        <v>-122</v>
      </c>
      <c r="E82" s="331" t="s">
        <v>100</v>
      </c>
      <c r="F82" s="332">
        <v>0</v>
      </c>
      <c r="G82" s="333">
        <v>-762</v>
      </c>
      <c r="H82" s="334">
        <v>5606</v>
      </c>
      <c r="I82" s="335"/>
      <c r="J82" s="336">
        <v>-304</v>
      </c>
      <c r="K82" s="354"/>
      <c r="L82" s="337">
        <v>5910</v>
      </c>
      <c r="M82" s="338">
        <v>5193</v>
      </c>
      <c r="N82" s="338" t="s">
        <v>100</v>
      </c>
      <c r="O82" s="339">
        <v>717</v>
      </c>
      <c r="P82" s="340">
        <v>322</v>
      </c>
      <c r="Q82" s="929">
        <f t="shared" si="7"/>
        <v>128.50000000000003</v>
      </c>
      <c r="R82" s="341"/>
      <c r="S82" s="342" t="s">
        <v>100</v>
      </c>
      <c r="T82" s="340">
        <v>395</v>
      </c>
      <c r="U82" s="341"/>
      <c r="V82" s="341" t="s">
        <v>100</v>
      </c>
      <c r="W82" s="343" t="s">
        <v>100</v>
      </c>
      <c r="X82" s="306"/>
      <c r="Y82" s="336">
        <v>359</v>
      </c>
      <c r="Z82" s="308"/>
      <c r="AA82" s="309">
        <v>1992</v>
      </c>
      <c r="AB82" s="330">
        <v>131</v>
      </c>
      <c r="AC82" s="332">
        <v>367</v>
      </c>
      <c r="AD82" s="331">
        <v>-33</v>
      </c>
      <c r="AE82" s="332">
        <v>48</v>
      </c>
      <c r="AF82" s="332">
        <v>602</v>
      </c>
      <c r="AG82" s="409" t="s">
        <v>100</v>
      </c>
      <c r="AH82" s="333" t="s">
        <v>100</v>
      </c>
      <c r="AI82" s="334">
        <v>1115</v>
      </c>
      <c r="AJ82" s="353"/>
      <c r="AK82" s="412" t="s">
        <v>100</v>
      </c>
      <c r="AL82" s="335"/>
      <c r="AM82" s="337">
        <v>1115</v>
      </c>
      <c r="AN82" s="340">
        <v>138</v>
      </c>
      <c r="AO82" s="358" t="s">
        <v>100</v>
      </c>
      <c r="AP82" s="358">
        <v>977</v>
      </c>
      <c r="AQ82" s="340">
        <v>55</v>
      </c>
      <c r="AR82" s="341">
        <v>922</v>
      </c>
      <c r="AS82" s="341"/>
      <c r="AT82" s="406"/>
      <c r="AU82" s="342" t="s">
        <v>100</v>
      </c>
      <c r="AV82" s="338" t="s">
        <v>100</v>
      </c>
      <c r="AW82" s="407" t="s">
        <v>100</v>
      </c>
      <c r="AX82" s="335"/>
      <c r="AY82" s="336">
        <v>175</v>
      </c>
      <c r="AZ82" s="414"/>
      <c r="BA82" s="306"/>
      <c r="BB82" s="306"/>
      <c r="BC82" s="306" t="s">
        <v>952</v>
      </c>
      <c r="BD82" s="306"/>
      <c r="BE82" s="306"/>
      <c r="BF82" s="306"/>
      <c r="BG82" s="391"/>
      <c r="BH82" s="306"/>
      <c r="BI82" s="306"/>
      <c r="BJ82" s="306"/>
      <c r="BK82" s="306"/>
      <c r="BL82" s="306"/>
      <c r="BM82" s="306"/>
      <c r="BN82" s="306"/>
      <c r="BO82" s="306"/>
      <c r="BP82" s="306"/>
      <c r="CA82" s="442">
        <v>1992</v>
      </c>
      <c r="CB82" s="443"/>
      <c r="CC82" s="330">
        <v>1056</v>
      </c>
      <c r="CD82" s="332">
        <v>135</v>
      </c>
      <c r="CE82" s="331">
        <v>-80</v>
      </c>
      <c r="CF82" s="332">
        <v>-22</v>
      </c>
      <c r="CG82" s="334">
        <v>1089</v>
      </c>
      <c r="CH82" s="335"/>
      <c r="CI82" s="412" t="s">
        <v>100</v>
      </c>
      <c r="CJ82" s="335"/>
      <c r="CK82" s="337">
        <v>1089</v>
      </c>
      <c r="CL82" s="338" t="s">
        <v>100</v>
      </c>
      <c r="CM82" s="358">
        <v>1089</v>
      </c>
      <c r="CN82" s="340">
        <v>21</v>
      </c>
      <c r="CO82" s="451">
        <v>1068</v>
      </c>
      <c r="CP82" s="335"/>
      <c r="CQ82" s="336">
        <v>207</v>
      </c>
      <c r="CR82" s="414"/>
    </row>
    <row r="83" spans="1:96" s="275" customFormat="1" ht="13.15" x14ac:dyDescent="0.4">
      <c r="A83" s="309">
        <v>1993</v>
      </c>
      <c r="B83" s="330">
        <v>6033</v>
      </c>
      <c r="C83" s="331">
        <v>599</v>
      </c>
      <c r="D83" s="331">
        <v>-88</v>
      </c>
      <c r="E83" s="331" t="s">
        <v>100</v>
      </c>
      <c r="F83" s="332">
        <v>-44</v>
      </c>
      <c r="G83" s="333">
        <v>-862</v>
      </c>
      <c r="H83" s="334">
        <v>5638</v>
      </c>
      <c r="I83" s="335"/>
      <c r="J83" s="336">
        <v>4</v>
      </c>
      <c r="K83" s="354"/>
      <c r="L83" s="337">
        <v>5642</v>
      </c>
      <c r="M83" s="338">
        <v>5045</v>
      </c>
      <c r="N83" s="338" t="s">
        <v>100</v>
      </c>
      <c r="O83" s="339">
        <v>597</v>
      </c>
      <c r="P83" s="340">
        <v>268</v>
      </c>
      <c r="Q83" s="929">
        <f t="shared" si="7"/>
        <v>110.33333333333336</v>
      </c>
      <c r="R83" s="341"/>
      <c r="S83" s="342" t="s">
        <v>100</v>
      </c>
      <c r="T83" s="340">
        <v>329</v>
      </c>
      <c r="U83" s="341"/>
      <c r="V83" s="341" t="s">
        <v>100</v>
      </c>
      <c r="W83" s="343" t="s">
        <v>100</v>
      </c>
      <c r="X83" s="297"/>
      <c r="Y83" s="336">
        <v>403</v>
      </c>
      <c r="Z83" s="308"/>
      <c r="AA83" s="309">
        <v>1993</v>
      </c>
      <c r="AB83" s="330">
        <v>61</v>
      </c>
      <c r="AC83" s="332">
        <v>101</v>
      </c>
      <c r="AD83" s="331">
        <v>-85</v>
      </c>
      <c r="AE83" s="332">
        <v>8</v>
      </c>
      <c r="AF83" s="332">
        <v>945</v>
      </c>
      <c r="AG83" s="409" t="s">
        <v>100</v>
      </c>
      <c r="AH83" s="333" t="s">
        <v>100</v>
      </c>
      <c r="AI83" s="334">
        <v>1030</v>
      </c>
      <c r="AJ83" s="353"/>
      <c r="AK83" s="412">
        <v>-48</v>
      </c>
      <c r="AL83" s="335"/>
      <c r="AM83" s="337">
        <v>1078</v>
      </c>
      <c r="AN83" s="340">
        <v>84</v>
      </c>
      <c r="AO83" s="358" t="s">
        <v>100</v>
      </c>
      <c r="AP83" s="358">
        <v>994</v>
      </c>
      <c r="AQ83" s="340">
        <v>71</v>
      </c>
      <c r="AR83" s="341">
        <v>923</v>
      </c>
      <c r="AS83" s="341"/>
      <c r="AT83" s="406"/>
      <c r="AU83" s="342" t="s">
        <v>100</v>
      </c>
      <c r="AV83" s="338" t="s">
        <v>100</v>
      </c>
      <c r="AW83" s="407" t="s">
        <v>100</v>
      </c>
      <c r="AX83" s="335"/>
      <c r="AY83" s="336">
        <v>167</v>
      </c>
      <c r="AZ83" s="415"/>
      <c r="BA83" s="306"/>
      <c r="BB83" s="306"/>
      <c r="BC83" s="306"/>
      <c r="BD83" s="306"/>
      <c r="BE83" s="306"/>
      <c r="BF83" s="306"/>
      <c r="BG83" s="391"/>
      <c r="BH83" s="306"/>
      <c r="BI83" s="306"/>
      <c r="BJ83" s="306"/>
      <c r="BK83" s="306"/>
      <c r="BL83" s="306"/>
      <c r="BM83" s="306"/>
      <c r="BN83" s="306"/>
      <c r="BO83" s="306"/>
      <c r="BP83" s="306"/>
      <c r="CA83" s="442">
        <v>1993</v>
      </c>
      <c r="CB83" s="443"/>
      <c r="CC83" s="330">
        <v>1111</v>
      </c>
      <c r="CD83" s="332">
        <v>102</v>
      </c>
      <c r="CE83" s="331">
        <v>-93</v>
      </c>
      <c r="CF83" s="332">
        <v>41</v>
      </c>
      <c r="CG83" s="334">
        <v>1161</v>
      </c>
      <c r="CH83" s="335"/>
      <c r="CI83" s="412">
        <v>1</v>
      </c>
      <c r="CJ83" s="335"/>
      <c r="CK83" s="337">
        <v>1160</v>
      </c>
      <c r="CL83" s="338">
        <v>22</v>
      </c>
      <c r="CM83" s="358">
        <v>1138</v>
      </c>
      <c r="CN83" s="340">
        <v>11</v>
      </c>
      <c r="CO83" s="451">
        <v>1127</v>
      </c>
      <c r="CP83" s="335"/>
      <c r="CQ83" s="336">
        <v>166</v>
      </c>
      <c r="CR83" s="415"/>
    </row>
    <row r="84" spans="1:96" s="275" customFormat="1" ht="13.15" x14ac:dyDescent="0.4">
      <c r="A84" s="309">
        <v>1994</v>
      </c>
      <c r="B84" s="330">
        <v>6164</v>
      </c>
      <c r="C84" s="331">
        <v>434</v>
      </c>
      <c r="D84" s="331">
        <v>-97</v>
      </c>
      <c r="E84" s="331" t="s">
        <v>100</v>
      </c>
      <c r="F84" s="332">
        <v>123</v>
      </c>
      <c r="G84" s="333">
        <v>-1121</v>
      </c>
      <c r="H84" s="334">
        <v>5503</v>
      </c>
      <c r="I84" s="335"/>
      <c r="J84" s="336">
        <v>-50</v>
      </c>
      <c r="K84" s="354"/>
      <c r="L84" s="337">
        <v>5553</v>
      </c>
      <c r="M84" s="338">
        <v>4838</v>
      </c>
      <c r="N84" s="338" t="s">
        <v>100</v>
      </c>
      <c r="O84" s="339">
        <v>715</v>
      </c>
      <c r="P84" s="340">
        <v>160</v>
      </c>
      <c r="Q84" s="341">
        <v>65</v>
      </c>
      <c r="R84" s="341">
        <v>305</v>
      </c>
      <c r="S84" s="342" t="s">
        <v>100</v>
      </c>
      <c r="T84" s="340">
        <v>185</v>
      </c>
      <c r="U84" s="341"/>
      <c r="V84" s="341" t="s">
        <v>100</v>
      </c>
      <c r="W84" s="343" t="s">
        <v>100</v>
      </c>
      <c r="X84" s="306"/>
      <c r="Y84" s="336">
        <v>280</v>
      </c>
      <c r="Z84" s="308"/>
      <c r="AA84" s="309">
        <v>1994</v>
      </c>
      <c r="AB84" s="330">
        <v>38</v>
      </c>
      <c r="AC84" s="332">
        <v>65</v>
      </c>
      <c r="AD84" s="331">
        <v>-184</v>
      </c>
      <c r="AE84" s="332">
        <v>-9</v>
      </c>
      <c r="AF84" s="332">
        <v>1149</v>
      </c>
      <c r="AG84" s="409" t="s">
        <v>100</v>
      </c>
      <c r="AH84" s="333" t="s">
        <v>100</v>
      </c>
      <c r="AI84" s="334">
        <v>1059</v>
      </c>
      <c r="AJ84" s="353"/>
      <c r="AK84" s="412">
        <v>-51</v>
      </c>
      <c r="AL84" s="335"/>
      <c r="AM84" s="337">
        <v>1110</v>
      </c>
      <c r="AN84" s="340">
        <v>85</v>
      </c>
      <c r="AO84" s="358">
        <v>126</v>
      </c>
      <c r="AP84" s="358">
        <v>899</v>
      </c>
      <c r="AQ84" s="340">
        <v>70</v>
      </c>
      <c r="AR84" s="341">
        <v>829</v>
      </c>
      <c r="AS84" s="341"/>
      <c r="AT84" s="406"/>
      <c r="AU84" s="342" t="s">
        <v>100</v>
      </c>
      <c r="AV84" s="338" t="s">
        <v>100</v>
      </c>
      <c r="AW84" s="407" t="s">
        <v>100</v>
      </c>
      <c r="AX84" s="335"/>
      <c r="AY84" s="336">
        <v>176</v>
      </c>
      <c r="AZ84" s="414"/>
      <c r="BA84" s="306"/>
      <c r="BB84" s="306"/>
      <c r="BC84" s="427"/>
      <c r="BD84" s="306"/>
      <c r="BE84" s="306"/>
      <c r="BF84" s="306"/>
      <c r="BG84" s="391"/>
      <c r="BH84" s="306"/>
      <c r="BI84" s="306"/>
      <c r="BJ84" s="306"/>
      <c r="BK84" s="306"/>
      <c r="BL84" s="306"/>
      <c r="BM84" s="306"/>
      <c r="BN84" s="306"/>
      <c r="BO84" s="306"/>
      <c r="BP84" s="306"/>
      <c r="CA84" s="442">
        <v>1994</v>
      </c>
      <c r="CB84" s="443"/>
      <c r="CC84" s="330">
        <v>1034</v>
      </c>
      <c r="CD84" s="332">
        <v>71</v>
      </c>
      <c r="CE84" s="331">
        <v>-99</v>
      </c>
      <c r="CF84" s="332">
        <v>-33</v>
      </c>
      <c r="CG84" s="334">
        <v>973</v>
      </c>
      <c r="CH84" s="335"/>
      <c r="CI84" s="412" t="s">
        <v>100</v>
      </c>
      <c r="CJ84" s="335"/>
      <c r="CK84" s="337">
        <v>973</v>
      </c>
      <c r="CL84" s="338">
        <v>24</v>
      </c>
      <c r="CM84" s="358">
        <v>949</v>
      </c>
      <c r="CN84" s="340">
        <v>45</v>
      </c>
      <c r="CO84" s="451">
        <v>904</v>
      </c>
      <c r="CP84" s="335"/>
      <c r="CQ84" s="336">
        <v>199</v>
      </c>
      <c r="CR84" s="414"/>
    </row>
    <row r="85" spans="1:96" s="275" customFormat="1" ht="13.15" x14ac:dyDescent="0.4">
      <c r="A85" s="309">
        <v>1995</v>
      </c>
      <c r="B85" s="330">
        <v>6187</v>
      </c>
      <c r="C85" s="331">
        <v>553</v>
      </c>
      <c r="D85" s="331">
        <v>-89</v>
      </c>
      <c r="E85" s="331" t="s">
        <v>100</v>
      </c>
      <c r="F85" s="332">
        <v>-124</v>
      </c>
      <c r="G85" s="333">
        <v>-1080</v>
      </c>
      <c r="H85" s="334">
        <v>5447</v>
      </c>
      <c r="I85" s="335"/>
      <c r="J85" s="336">
        <v>-78</v>
      </c>
      <c r="K85" s="354"/>
      <c r="L85" s="337">
        <v>5525</v>
      </c>
      <c r="M85" s="338">
        <v>4846</v>
      </c>
      <c r="N85" s="338" t="s">
        <v>100</v>
      </c>
      <c r="O85" s="339">
        <v>679</v>
      </c>
      <c r="P85" s="340">
        <v>131</v>
      </c>
      <c r="Q85" s="341">
        <v>14</v>
      </c>
      <c r="R85" s="341">
        <v>360</v>
      </c>
      <c r="S85" s="342" t="s">
        <v>100</v>
      </c>
      <c r="T85" s="340">
        <v>174</v>
      </c>
      <c r="U85" s="341"/>
      <c r="V85" s="341" t="s">
        <v>100</v>
      </c>
      <c r="W85" s="343" t="s">
        <v>100</v>
      </c>
      <c r="X85" s="306"/>
      <c r="Y85" s="336">
        <v>404</v>
      </c>
      <c r="Z85" s="308"/>
      <c r="AA85" s="309">
        <v>1995</v>
      </c>
      <c r="AB85" s="330">
        <v>41</v>
      </c>
      <c r="AC85" s="332">
        <v>87</v>
      </c>
      <c r="AD85" s="331">
        <v>-175</v>
      </c>
      <c r="AE85" s="332">
        <v>-9</v>
      </c>
      <c r="AF85" s="332">
        <v>1126</v>
      </c>
      <c r="AG85" s="409" t="s">
        <v>100</v>
      </c>
      <c r="AH85" s="333" t="s">
        <v>100</v>
      </c>
      <c r="AI85" s="334">
        <v>1070</v>
      </c>
      <c r="AJ85" s="353"/>
      <c r="AK85" s="412">
        <v>-20</v>
      </c>
      <c r="AL85" s="335"/>
      <c r="AM85" s="337">
        <v>1090</v>
      </c>
      <c r="AN85" s="340">
        <v>74</v>
      </c>
      <c r="AO85" s="358">
        <v>156</v>
      </c>
      <c r="AP85" s="358">
        <v>860</v>
      </c>
      <c r="AQ85" s="340">
        <v>16</v>
      </c>
      <c r="AR85" s="341">
        <v>844</v>
      </c>
      <c r="AS85" s="341"/>
      <c r="AT85" s="406"/>
      <c r="AU85" s="342" t="s">
        <v>100</v>
      </c>
      <c r="AV85" s="338" t="s">
        <v>100</v>
      </c>
      <c r="AW85" s="407" t="s">
        <v>100</v>
      </c>
      <c r="AX85" s="335"/>
      <c r="AY85" s="336">
        <v>185</v>
      </c>
      <c r="AZ85" s="414"/>
      <c r="BA85" s="306"/>
      <c r="BB85" s="306"/>
      <c r="BC85" s="306"/>
      <c r="BD85" s="306"/>
      <c r="BE85" s="306"/>
      <c r="BF85" s="306"/>
      <c r="BG85" s="391"/>
      <c r="BH85" s="306"/>
      <c r="BI85" s="306"/>
      <c r="BJ85" s="306"/>
      <c r="BK85" s="306"/>
      <c r="BL85" s="306"/>
      <c r="BM85" s="306"/>
      <c r="BN85" s="306"/>
      <c r="BO85" s="306"/>
      <c r="BP85" s="306"/>
      <c r="CA85" s="442">
        <v>1995</v>
      </c>
      <c r="CB85" s="443"/>
      <c r="CC85" s="330">
        <v>841</v>
      </c>
      <c r="CD85" s="332">
        <v>46</v>
      </c>
      <c r="CE85" s="331">
        <v>-103</v>
      </c>
      <c r="CF85" s="332">
        <v>-51</v>
      </c>
      <c r="CG85" s="334">
        <v>733</v>
      </c>
      <c r="CH85" s="335"/>
      <c r="CI85" s="412">
        <v>-38</v>
      </c>
      <c r="CJ85" s="335"/>
      <c r="CK85" s="337">
        <v>771</v>
      </c>
      <c r="CL85" s="338">
        <v>29</v>
      </c>
      <c r="CM85" s="358">
        <v>742</v>
      </c>
      <c r="CN85" s="340">
        <v>34</v>
      </c>
      <c r="CO85" s="451">
        <v>708</v>
      </c>
      <c r="CP85" s="335"/>
      <c r="CQ85" s="336">
        <v>251</v>
      </c>
      <c r="CR85" s="414"/>
    </row>
    <row r="86" spans="1:96" s="275" customFormat="1" ht="13.15" x14ac:dyDescent="0.4">
      <c r="A86" s="309">
        <v>1996</v>
      </c>
      <c r="B86" s="355">
        <v>6178</v>
      </c>
      <c r="C86" s="356">
        <v>668</v>
      </c>
      <c r="D86" s="356">
        <v>-88</v>
      </c>
      <c r="E86" s="356" t="s">
        <v>100</v>
      </c>
      <c r="F86" s="332">
        <v>167.369</v>
      </c>
      <c r="G86" s="357">
        <v>-1209</v>
      </c>
      <c r="H86" s="334">
        <v>5716.3689999999997</v>
      </c>
      <c r="I86" s="335"/>
      <c r="J86" s="336">
        <v>-101.63100000000031</v>
      </c>
      <c r="K86" s="354"/>
      <c r="L86" s="337">
        <v>5818</v>
      </c>
      <c r="M86" s="338">
        <v>5180</v>
      </c>
      <c r="N86" s="338" t="s">
        <v>100</v>
      </c>
      <c r="O86" s="339">
        <v>638</v>
      </c>
      <c r="P86" s="340">
        <v>78</v>
      </c>
      <c r="Q86" s="341">
        <v>25</v>
      </c>
      <c r="R86" s="341">
        <v>354</v>
      </c>
      <c r="S86" s="342" t="s">
        <v>100</v>
      </c>
      <c r="T86" s="340">
        <v>181</v>
      </c>
      <c r="U86" s="341"/>
      <c r="V86" s="341" t="s">
        <v>100</v>
      </c>
      <c r="W86" s="343" t="s">
        <v>100</v>
      </c>
      <c r="X86" s="306"/>
      <c r="Y86" s="336">
        <v>236.631</v>
      </c>
      <c r="Z86" s="308"/>
      <c r="AA86" s="309">
        <v>1996</v>
      </c>
      <c r="AB86" s="355">
        <v>44</v>
      </c>
      <c r="AC86" s="332">
        <v>100</v>
      </c>
      <c r="AD86" s="356">
        <v>-123</v>
      </c>
      <c r="AE86" s="332">
        <v>-110</v>
      </c>
      <c r="AF86" s="332">
        <v>1281</v>
      </c>
      <c r="AG86" s="416" t="s">
        <v>100</v>
      </c>
      <c r="AH86" s="357" t="s">
        <v>100</v>
      </c>
      <c r="AI86" s="334">
        <v>1192</v>
      </c>
      <c r="AJ86" s="353"/>
      <c r="AK86" s="412">
        <v>17</v>
      </c>
      <c r="AL86" s="335"/>
      <c r="AM86" s="337">
        <v>1175</v>
      </c>
      <c r="AN86" s="340">
        <v>68</v>
      </c>
      <c r="AO86" s="358">
        <v>212</v>
      </c>
      <c r="AP86" s="358">
        <v>895</v>
      </c>
      <c r="AQ86" s="340">
        <v>54</v>
      </c>
      <c r="AR86" s="341">
        <v>841</v>
      </c>
      <c r="AS86" s="341"/>
      <c r="AT86" s="406"/>
      <c r="AU86" s="342" t="s">
        <v>100</v>
      </c>
      <c r="AV86" s="338" t="s">
        <v>100</v>
      </c>
      <c r="AW86" s="407" t="s">
        <v>100</v>
      </c>
      <c r="AX86" s="335"/>
      <c r="AY86" s="336">
        <v>295</v>
      </c>
      <c r="AZ86" s="414"/>
      <c r="BA86" s="306"/>
      <c r="BB86" s="306"/>
      <c r="BC86" s="306"/>
      <c r="BD86" s="306"/>
      <c r="BE86" s="306"/>
      <c r="BF86" s="306"/>
      <c r="BG86" s="391"/>
      <c r="BH86" s="306"/>
      <c r="BI86" s="306"/>
      <c r="BJ86" s="306"/>
      <c r="BK86" s="306"/>
      <c r="BL86" s="306"/>
      <c r="BM86" s="306"/>
      <c r="BN86" s="306"/>
      <c r="BO86" s="306"/>
      <c r="BP86" s="306"/>
      <c r="CA86" s="442">
        <v>1996</v>
      </c>
      <c r="CB86" s="443"/>
      <c r="CC86" s="355">
        <v>862</v>
      </c>
      <c r="CD86" s="486">
        <v>50</v>
      </c>
      <c r="CE86" s="356">
        <v>-90</v>
      </c>
      <c r="CF86" s="332">
        <v>71</v>
      </c>
      <c r="CG86" s="334">
        <v>893</v>
      </c>
      <c r="CH86" s="335"/>
      <c r="CI86" s="412">
        <v>25</v>
      </c>
      <c r="CJ86" s="335"/>
      <c r="CK86" s="337">
        <v>868</v>
      </c>
      <c r="CL86" s="338">
        <v>33</v>
      </c>
      <c r="CM86" s="358">
        <v>835</v>
      </c>
      <c r="CN86" s="340">
        <v>20</v>
      </c>
      <c r="CO86" s="451">
        <v>815</v>
      </c>
      <c r="CP86" s="335"/>
      <c r="CQ86" s="336">
        <v>180</v>
      </c>
      <c r="CR86" s="414"/>
    </row>
    <row r="87" spans="1:96" s="275" customFormat="1" ht="13.15" x14ac:dyDescent="0.4">
      <c r="A87" s="309">
        <v>1997</v>
      </c>
      <c r="B87" s="355">
        <v>6192</v>
      </c>
      <c r="C87" s="356">
        <v>749</v>
      </c>
      <c r="D87" s="356">
        <v>-61</v>
      </c>
      <c r="E87" s="356" t="s">
        <v>100</v>
      </c>
      <c r="F87" s="332">
        <v>-191.17959999999974</v>
      </c>
      <c r="G87" s="357">
        <v>-1257</v>
      </c>
      <c r="H87" s="334">
        <v>5431.8204000000005</v>
      </c>
      <c r="I87" s="335"/>
      <c r="J87" s="336">
        <v>-213.17959999999948</v>
      </c>
      <c r="K87" s="354"/>
      <c r="L87" s="337">
        <v>5645</v>
      </c>
      <c r="M87" s="338">
        <v>5196</v>
      </c>
      <c r="N87" s="338">
        <v>18</v>
      </c>
      <c r="O87" s="339">
        <v>431</v>
      </c>
      <c r="P87" s="340">
        <v>127</v>
      </c>
      <c r="Q87" s="341">
        <v>40</v>
      </c>
      <c r="R87" s="341">
        <v>181</v>
      </c>
      <c r="S87" s="342" t="s">
        <v>100</v>
      </c>
      <c r="T87" s="340">
        <v>83</v>
      </c>
      <c r="U87" s="341"/>
      <c r="V87" s="341" t="s">
        <v>100</v>
      </c>
      <c r="W87" s="343" t="s">
        <v>100</v>
      </c>
      <c r="X87" s="306"/>
      <c r="Y87" s="336">
        <v>427.81059999999974</v>
      </c>
      <c r="Z87" s="308"/>
      <c r="AA87" s="309">
        <v>1997</v>
      </c>
      <c r="AB87" s="355">
        <v>41</v>
      </c>
      <c r="AC87" s="332">
        <v>112</v>
      </c>
      <c r="AD87" s="356">
        <v>-201</v>
      </c>
      <c r="AE87" s="332">
        <v>235</v>
      </c>
      <c r="AF87" s="332">
        <v>1336</v>
      </c>
      <c r="AG87" s="416" t="s">
        <v>100</v>
      </c>
      <c r="AH87" s="357" t="s">
        <v>100</v>
      </c>
      <c r="AI87" s="334">
        <v>1523</v>
      </c>
      <c r="AJ87" s="353"/>
      <c r="AK87" s="412">
        <v>302</v>
      </c>
      <c r="AL87" s="335"/>
      <c r="AM87" s="337">
        <v>1221</v>
      </c>
      <c r="AN87" s="340">
        <v>64</v>
      </c>
      <c r="AO87" s="358">
        <v>246</v>
      </c>
      <c r="AP87" s="358">
        <v>911</v>
      </c>
      <c r="AQ87" s="340">
        <v>55</v>
      </c>
      <c r="AR87" s="341">
        <v>856</v>
      </c>
      <c r="AS87" s="341"/>
      <c r="AT87" s="406"/>
      <c r="AU87" s="342" t="s">
        <v>100</v>
      </c>
      <c r="AV87" s="338" t="s">
        <v>100</v>
      </c>
      <c r="AW87" s="407" t="s">
        <v>100</v>
      </c>
      <c r="AX87" s="335"/>
      <c r="AY87" s="336">
        <v>60</v>
      </c>
      <c r="AZ87" s="414"/>
      <c r="BA87" s="306"/>
      <c r="BB87" s="306"/>
      <c r="BC87" s="306"/>
      <c r="BD87" s="306"/>
      <c r="BE87" s="306"/>
      <c r="BF87" s="306"/>
      <c r="BG87" s="391"/>
      <c r="BH87" s="306"/>
      <c r="BI87" s="306"/>
      <c r="BJ87" s="306"/>
      <c r="BK87" s="306"/>
      <c r="BL87" s="306"/>
      <c r="BM87" s="306"/>
      <c r="BN87" s="306"/>
      <c r="BO87" s="306"/>
      <c r="BP87" s="306"/>
      <c r="CA87" s="442">
        <v>1997</v>
      </c>
      <c r="CB87" s="443"/>
      <c r="CC87" s="355">
        <v>741</v>
      </c>
      <c r="CD87" s="486">
        <v>24</v>
      </c>
      <c r="CE87" s="356">
        <v>-83</v>
      </c>
      <c r="CF87" s="332">
        <v>119.57134292235907</v>
      </c>
      <c r="CG87" s="334">
        <v>801.57134292235901</v>
      </c>
      <c r="CH87" s="335"/>
      <c r="CI87" s="412">
        <v>156.57134292235901</v>
      </c>
      <c r="CJ87" s="335"/>
      <c r="CK87" s="337">
        <v>645</v>
      </c>
      <c r="CL87" s="338">
        <v>29</v>
      </c>
      <c r="CM87" s="358">
        <v>616</v>
      </c>
      <c r="CN87" s="340">
        <v>38</v>
      </c>
      <c r="CO87" s="451">
        <v>578</v>
      </c>
      <c r="CP87" s="335"/>
      <c r="CQ87" s="336">
        <v>60.428657077640942</v>
      </c>
      <c r="CR87" s="414"/>
    </row>
    <row r="88" spans="1:96" s="275" customFormat="1" ht="13.15" x14ac:dyDescent="0.4">
      <c r="A88" s="309">
        <v>1998</v>
      </c>
      <c r="B88" s="355">
        <v>6178</v>
      </c>
      <c r="C88" s="356">
        <v>753</v>
      </c>
      <c r="D88" s="356">
        <v>-93</v>
      </c>
      <c r="E88" s="356" t="s">
        <v>100</v>
      </c>
      <c r="F88" s="332">
        <v>-194.95640000000031</v>
      </c>
      <c r="G88" s="357">
        <v>-1223</v>
      </c>
      <c r="H88" s="334">
        <v>5420.0436</v>
      </c>
      <c r="I88" s="335"/>
      <c r="J88" s="336">
        <v>-11.956400000000031</v>
      </c>
      <c r="K88" s="354"/>
      <c r="L88" s="337">
        <v>5432</v>
      </c>
      <c r="M88" s="338">
        <v>4908</v>
      </c>
      <c r="N88" s="338">
        <v>27</v>
      </c>
      <c r="O88" s="339">
        <v>497</v>
      </c>
      <c r="P88" s="340">
        <v>220</v>
      </c>
      <c r="Q88" s="341">
        <v>23</v>
      </c>
      <c r="R88" s="341">
        <v>134</v>
      </c>
      <c r="S88" s="342" t="s">
        <v>100</v>
      </c>
      <c r="T88" s="340">
        <v>120</v>
      </c>
      <c r="U88" s="341"/>
      <c r="V88" s="341" t="s">
        <v>100</v>
      </c>
      <c r="W88" s="343" t="s">
        <v>100</v>
      </c>
      <c r="X88" s="306"/>
      <c r="Y88" s="336">
        <v>622.76700000000005</v>
      </c>
      <c r="Z88" s="308"/>
      <c r="AA88" s="309">
        <v>1998</v>
      </c>
      <c r="AB88" s="355">
        <v>37</v>
      </c>
      <c r="AC88" s="332">
        <v>78</v>
      </c>
      <c r="AD88" s="356">
        <v>-196</v>
      </c>
      <c r="AE88" s="332">
        <v>-129</v>
      </c>
      <c r="AF88" s="332">
        <v>1163</v>
      </c>
      <c r="AG88" s="416" t="s">
        <v>100</v>
      </c>
      <c r="AH88" s="357" t="s">
        <v>100</v>
      </c>
      <c r="AI88" s="334">
        <v>953</v>
      </c>
      <c r="AJ88" s="353"/>
      <c r="AK88" s="412">
        <v>-237</v>
      </c>
      <c r="AL88" s="335"/>
      <c r="AM88" s="337">
        <v>1190</v>
      </c>
      <c r="AN88" s="340">
        <v>50</v>
      </c>
      <c r="AO88" s="358">
        <v>237</v>
      </c>
      <c r="AP88" s="358">
        <v>903</v>
      </c>
      <c r="AQ88" s="340">
        <v>81</v>
      </c>
      <c r="AR88" s="341">
        <v>822</v>
      </c>
      <c r="AS88" s="341"/>
      <c r="AT88" s="406"/>
      <c r="AU88" s="342" t="s">
        <v>100</v>
      </c>
      <c r="AV88" s="338" t="s">
        <v>100</v>
      </c>
      <c r="AW88" s="407" t="s">
        <v>100</v>
      </c>
      <c r="AX88" s="335"/>
      <c r="AY88" s="336">
        <v>189</v>
      </c>
      <c r="AZ88" s="414"/>
      <c r="BA88" s="306"/>
      <c r="BB88" s="306"/>
      <c r="BC88" s="306"/>
      <c r="BD88" s="306"/>
      <c r="BE88" s="306"/>
      <c r="BF88" s="306"/>
      <c r="BG88" s="391"/>
      <c r="BH88" s="306"/>
      <c r="BI88" s="306"/>
      <c r="BJ88" s="306"/>
      <c r="BK88" s="306"/>
      <c r="BL88" s="306"/>
      <c r="BM88" s="306"/>
      <c r="BN88" s="306"/>
      <c r="BO88" s="306"/>
      <c r="BP88" s="306"/>
      <c r="CA88" s="442">
        <v>1998</v>
      </c>
      <c r="CB88" s="443"/>
      <c r="CC88" s="355">
        <v>616</v>
      </c>
      <c r="CD88" s="486">
        <v>10</v>
      </c>
      <c r="CE88" s="356">
        <v>-56</v>
      </c>
      <c r="CF88" s="332">
        <v>-73.984342922359104</v>
      </c>
      <c r="CG88" s="334">
        <v>496.01565707764087</v>
      </c>
      <c r="CH88" s="335"/>
      <c r="CI88" s="412">
        <v>-147.98434292235913</v>
      </c>
      <c r="CJ88" s="335"/>
      <c r="CK88" s="337">
        <v>644</v>
      </c>
      <c r="CL88" s="338">
        <v>14</v>
      </c>
      <c r="CM88" s="358">
        <v>630</v>
      </c>
      <c r="CN88" s="340">
        <v>32</v>
      </c>
      <c r="CO88" s="451">
        <v>598</v>
      </c>
      <c r="CP88" s="335"/>
      <c r="CQ88" s="336">
        <v>134.41300000000004</v>
      </c>
      <c r="CR88" s="414"/>
    </row>
    <row r="89" spans="1:96" s="275" customFormat="1" ht="13.15" x14ac:dyDescent="0.4">
      <c r="A89" s="309">
        <v>1999</v>
      </c>
      <c r="B89" s="355">
        <v>5837</v>
      </c>
      <c r="C89" s="356">
        <v>389</v>
      </c>
      <c r="D89" s="356">
        <v>-79</v>
      </c>
      <c r="E89" s="356" t="s">
        <v>100</v>
      </c>
      <c r="F89" s="332">
        <v>290.01980000000003</v>
      </c>
      <c r="G89" s="357">
        <v>-951</v>
      </c>
      <c r="H89" s="334">
        <v>5486.0198</v>
      </c>
      <c r="I89" s="335"/>
      <c r="J89" s="336">
        <v>-153.98019999999997</v>
      </c>
      <c r="K89" s="354"/>
      <c r="L89" s="337">
        <v>5640</v>
      </c>
      <c r="M89" s="338">
        <v>5113</v>
      </c>
      <c r="N89" s="338">
        <v>20</v>
      </c>
      <c r="O89" s="339">
        <v>507</v>
      </c>
      <c r="P89" s="340">
        <v>226</v>
      </c>
      <c r="Q89" s="341">
        <v>17</v>
      </c>
      <c r="R89" s="341">
        <v>143</v>
      </c>
      <c r="S89" s="342" t="s">
        <v>100</v>
      </c>
      <c r="T89" s="340">
        <v>121</v>
      </c>
      <c r="U89" s="341"/>
      <c r="V89" s="341" t="s">
        <v>100</v>
      </c>
      <c r="W89" s="343" t="s">
        <v>100</v>
      </c>
      <c r="X89" s="306"/>
      <c r="Y89" s="336">
        <v>332.74720000000002</v>
      </c>
      <c r="Z89" s="308"/>
      <c r="AA89" s="309">
        <v>1999</v>
      </c>
      <c r="AB89" s="355">
        <v>33</v>
      </c>
      <c r="AC89" s="332">
        <v>40</v>
      </c>
      <c r="AD89" s="356">
        <v>-165</v>
      </c>
      <c r="AE89" s="332">
        <v>-40</v>
      </c>
      <c r="AF89" s="332">
        <v>1035</v>
      </c>
      <c r="AG89" s="416" t="s">
        <v>100</v>
      </c>
      <c r="AH89" s="357" t="s">
        <v>100</v>
      </c>
      <c r="AI89" s="334">
        <v>903</v>
      </c>
      <c r="AJ89" s="353"/>
      <c r="AK89" s="412">
        <v>-206</v>
      </c>
      <c r="AL89" s="335"/>
      <c r="AM89" s="337">
        <v>1109</v>
      </c>
      <c r="AN89" s="340">
        <v>24</v>
      </c>
      <c r="AO89" s="358">
        <v>165</v>
      </c>
      <c r="AP89" s="358">
        <v>920</v>
      </c>
      <c r="AQ89" s="340">
        <v>33</v>
      </c>
      <c r="AR89" s="341">
        <v>887</v>
      </c>
      <c r="AS89" s="341"/>
      <c r="AT89" s="406"/>
      <c r="AU89" s="342" t="s">
        <v>100</v>
      </c>
      <c r="AV89" s="338" t="s">
        <v>100</v>
      </c>
      <c r="AW89" s="407" t="s">
        <v>100</v>
      </c>
      <c r="AX89" s="335"/>
      <c r="AY89" s="336">
        <v>229</v>
      </c>
      <c r="AZ89" s="414"/>
      <c r="BA89" s="306"/>
      <c r="BB89" s="306"/>
      <c r="BC89" s="306"/>
      <c r="BD89" s="306"/>
      <c r="BE89" s="306"/>
      <c r="BF89" s="306"/>
      <c r="BG89" s="391"/>
      <c r="BH89" s="306"/>
      <c r="BI89" s="306"/>
      <c r="BJ89" s="306"/>
      <c r="BK89" s="306"/>
      <c r="BL89" s="306"/>
      <c r="BM89" s="138"/>
      <c r="BN89" s="306"/>
      <c r="BO89" s="306"/>
      <c r="BP89" s="306"/>
      <c r="CA89" s="442">
        <v>1999</v>
      </c>
      <c r="CB89" s="443"/>
      <c r="CC89" s="355">
        <v>635</v>
      </c>
      <c r="CD89" s="486">
        <v>6</v>
      </c>
      <c r="CE89" s="356">
        <v>-54</v>
      </c>
      <c r="CF89" s="332">
        <v>-6.6049354838709462</v>
      </c>
      <c r="CG89" s="334">
        <v>580.39506451612908</v>
      </c>
      <c r="CH89" s="335"/>
      <c r="CI89" s="412">
        <v>-4.6049354838709178</v>
      </c>
      <c r="CJ89" s="335"/>
      <c r="CK89" s="337">
        <v>585</v>
      </c>
      <c r="CL89" s="338">
        <v>13</v>
      </c>
      <c r="CM89" s="358">
        <v>572</v>
      </c>
      <c r="CN89" s="340">
        <v>18</v>
      </c>
      <c r="CO89" s="451">
        <v>554</v>
      </c>
      <c r="CP89" s="335"/>
      <c r="CQ89" s="336">
        <v>141.01793548387099</v>
      </c>
      <c r="CR89" s="414"/>
    </row>
    <row r="90" spans="1:96" s="275" customFormat="1" x14ac:dyDescent="0.45">
      <c r="A90" s="309">
        <v>2000</v>
      </c>
      <c r="B90" s="355">
        <v>6058</v>
      </c>
      <c r="C90" s="356">
        <v>421</v>
      </c>
      <c r="D90" s="356">
        <v>-243</v>
      </c>
      <c r="E90" s="356" t="s">
        <v>100</v>
      </c>
      <c r="F90" s="332">
        <v>-215.72419999999966</v>
      </c>
      <c r="G90" s="357">
        <v>-827</v>
      </c>
      <c r="H90" s="334">
        <v>5193.2758000000003</v>
      </c>
      <c r="I90" s="335"/>
      <c r="J90" s="336">
        <v>-122.72419999999966</v>
      </c>
      <c r="K90" s="354"/>
      <c r="L90" s="337">
        <v>5316</v>
      </c>
      <c r="M90" s="338">
        <v>4764</v>
      </c>
      <c r="N90" s="338">
        <v>37</v>
      </c>
      <c r="O90" s="339">
        <v>515</v>
      </c>
      <c r="P90" s="340">
        <v>191</v>
      </c>
      <c r="Q90" s="341">
        <v>19</v>
      </c>
      <c r="R90" s="341">
        <v>160</v>
      </c>
      <c r="S90" s="342" t="s">
        <v>100</v>
      </c>
      <c r="T90" s="340">
        <v>145</v>
      </c>
      <c r="U90" s="341"/>
      <c r="V90" s="341" t="s">
        <v>100</v>
      </c>
      <c r="W90" s="343" t="s">
        <v>100</v>
      </c>
      <c r="X90" s="306"/>
      <c r="Y90" s="336">
        <v>548.47139999999968</v>
      </c>
      <c r="Z90" s="308"/>
      <c r="AA90" s="309">
        <v>2000</v>
      </c>
      <c r="AB90" s="355">
        <v>148</v>
      </c>
      <c r="AC90" s="332">
        <v>62</v>
      </c>
      <c r="AD90" s="356">
        <v>-138</v>
      </c>
      <c r="AE90" s="332">
        <v>22.066600000000108</v>
      </c>
      <c r="AF90" s="332">
        <v>827</v>
      </c>
      <c r="AG90" s="416" t="s">
        <v>100</v>
      </c>
      <c r="AH90" s="357" t="s">
        <v>100</v>
      </c>
      <c r="AI90" s="334">
        <v>921.06660000000011</v>
      </c>
      <c r="AJ90" s="353"/>
      <c r="AK90" s="412">
        <v>-114.93339999999989</v>
      </c>
      <c r="AL90" s="335"/>
      <c r="AM90" s="337">
        <v>1036</v>
      </c>
      <c r="AN90" s="340">
        <v>14</v>
      </c>
      <c r="AO90" s="358">
        <v>188</v>
      </c>
      <c r="AP90" s="358">
        <v>834</v>
      </c>
      <c r="AQ90" s="340">
        <v>41</v>
      </c>
      <c r="AR90" s="341">
        <v>793</v>
      </c>
      <c r="AS90" s="341"/>
      <c r="AT90" s="406"/>
      <c r="AU90" s="342" t="s">
        <v>100</v>
      </c>
      <c r="AV90" s="338" t="s">
        <v>100</v>
      </c>
      <c r="AW90" s="407" t="s">
        <v>100</v>
      </c>
      <c r="AX90" s="335"/>
      <c r="AY90" s="336">
        <v>206.93339999999989</v>
      </c>
      <c r="AZ90" s="414"/>
      <c r="BA90" s="257"/>
      <c r="BB90" s="257"/>
      <c r="BC90" s="257"/>
      <c r="BD90" s="257"/>
      <c r="BE90" s="257"/>
      <c r="BF90" s="257"/>
      <c r="BG90" s="264"/>
      <c r="BH90" s="257"/>
      <c r="BI90" s="257"/>
      <c r="BJ90" s="306"/>
      <c r="BK90" s="257"/>
      <c r="BL90" s="257"/>
      <c r="BM90" s="257"/>
      <c r="BN90" s="257"/>
      <c r="BO90" s="257"/>
      <c r="BP90" s="257"/>
      <c r="CA90" s="442">
        <v>2000</v>
      </c>
      <c r="CB90" s="443"/>
      <c r="CC90" s="355">
        <v>537</v>
      </c>
      <c r="CD90" s="486">
        <v>14</v>
      </c>
      <c r="CE90" s="356">
        <v>-79</v>
      </c>
      <c r="CF90" s="332">
        <v>38.35826160249745</v>
      </c>
      <c r="CG90" s="334">
        <v>510.35826160249746</v>
      </c>
      <c r="CH90" s="335"/>
      <c r="CI90" s="412">
        <v>-21.641738397502536</v>
      </c>
      <c r="CJ90" s="335"/>
      <c r="CK90" s="337">
        <v>532</v>
      </c>
      <c r="CL90" s="338">
        <v>11</v>
      </c>
      <c r="CM90" s="358">
        <v>521</v>
      </c>
      <c r="CN90" s="340">
        <v>25</v>
      </c>
      <c r="CO90" s="451">
        <v>496</v>
      </c>
      <c r="CP90" s="335"/>
      <c r="CQ90" s="336">
        <v>102.65967388137354</v>
      </c>
      <c r="CR90" s="414"/>
    </row>
    <row r="91" spans="1:96" s="275" customFormat="1" x14ac:dyDescent="0.45">
      <c r="A91" s="309">
        <v>2001</v>
      </c>
      <c r="B91" s="355">
        <v>5306</v>
      </c>
      <c r="C91" s="356">
        <v>101</v>
      </c>
      <c r="D91" s="356">
        <v>-176</v>
      </c>
      <c r="E91" s="356" t="s">
        <v>100</v>
      </c>
      <c r="F91" s="332">
        <v>120.66079999999994</v>
      </c>
      <c r="G91" s="357">
        <v>-982</v>
      </c>
      <c r="H91" s="334">
        <v>4369.6607999999997</v>
      </c>
      <c r="I91" s="335"/>
      <c r="J91" s="336">
        <v>-24.339200000000346</v>
      </c>
      <c r="K91" s="354"/>
      <c r="L91" s="337">
        <v>4394</v>
      </c>
      <c r="M91" s="338">
        <v>3957</v>
      </c>
      <c r="N91" s="338">
        <v>32</v>
      </c>
      <c r="O91" s="339">
        <v>405</v>
      </c>
      <c r="P91" s="340">
        <v>181</v>
      </c>
      <c r="Q91" s="341">
        <v>32</v>
      </c>
      <c r="R91" s="341">
        <v>125</v>
      </c>
      <c r="S91" s="342" t="s">
        <v>100</v>
      </c>
      <c r="T91" s="340">
        <v>67</v>
      </c>
      <c r="U91" s="341"/>
      <c r="V91" s="341" t="s">
        <v>100</v>
      </c>
      <c r="W91" s="343" t="s">
        <v>100</v>
      </c>
      <c r="X91" s="306"/>
      <c r="Y91" s="336">
        <v>427.81059999999974</v>
      </c>
      <c r="Z91" s="308"/>
      <c r="AA91" s="309">
        <v>2001</v>
      </c>
      <c r="AB91" s="355">
        <v>210</v>
      </c>
      <c r="AC91" s="332">
        <v>56</v>
      </c>
      <c r="AD91" s="356">
        <v>-143</v>
      </c>
      <c r="AE91" s="332">
        <v>7.9333999999998923</v>
      </c>
      <c r="AF91" s="332">
        <v>982</v>
      </c>
      <c r="AG91" s="416" t="s">
        <v>100</v>
      </c>
      <c r="AH91" s="357" t="s">
        <v>100</v>
      </c>
      <c r="AI91" s="334">
        <v>1111.9333999999999</v>
      </c>
      <c r="AJ91" s="353"/>
      <c r="AK91" s="412">
        <v>-7.0666000000001077</v>
      </c>
      <c r="AL91" s="335"/>
      <c r="AM91" s="337">
        <v>1120</v>
      </c>
      <c r="AN91" s="340">
        <v>9</v>
      </c>
      <c r="AO91" s="358">
        <v>304</v>
      </c>
      <c r="AP91" s="358">
        <v>807</v>
      </c>
      <c r="AQ91" s="340">
        <v>16</v>
      </c>
      <c r="AR91" s="341">
        <v>791</v>
      </c>
      <c r="AS91" s="341"/>
      <c r="AT91" s="406"/>
      <c r="AU91" s="342" t="s">
        <v>100</v>
      </c>
      <c r="AV91" s="338" t="s">
        <v>100</v>
      </c>
      <c r="AW91" s="407" t="s">
        <v>100</v>
      </c>
      <c r="AX91" s="335"/>
      <c r="AY91" s="336">
        <v>199</v>
      </c>
      <c r="AZ91" s="414"/>
      <c r="BA91" s="257"/>
      <c r="BB91" s="257"/>
      <c r="BC91" s="257"/>
      <c r="BD91" s="257"/>
      <c r="BE91" s="257"/>
      <c r="BF91" s="257"/>
      <c r="BG91" s="264"/>
      <c r="BH91" s="257"/>
      <c r="BI91" s="257"/>
      <c r="BJ91" s="306"/>
      <c r="BK91" s="257"/>
      <c r="BL91" s="257"/>
      <c r="BM91" s="257"/>
      <c r="BN91" s="257"/>
      <c r="BO91" s="257"/>
      <c r="BP91" s="257"/>
      <c r="CA91" s="442">
        <v>2001</v>
      </c>
      <c r="CB91" s="443"/>
      <c r="CC91" s="355">
        <v>487</v>
      </c>
      <c r="CD91" s="486">
        <v>8</v>
      </c>
      <c r="CE91" s="356">
        <v>-75</v>
      </c>
      <c r="CF91" s="332">
        <v>36.931016803732589</v>
      </c>
      <c r="CG91" s="334">
        <v>456.93101680373258</v>
      </c>
      <c r="CH91" s="335"/>
      <c r="CI91" s="412">
        <v>-38.068983196267425</v>
      </c>
      <c r="CJ91" s="335"/>
      <c r="CK91" s="337">
        <v>495</v>
      </c>
      <c r="CL91" s="338">
        <v>12</v>
      </c>
      <c r="CM91" s="358">
        <v>483</v>
      </c>
      <c r="CN91" s="340">
        <v>37</v>
      </c>
      <c r="CO91" s="451">
        <v>446</v>
      </c>
      <c r="CP91" s="335"/>
      <c r="CQ91" s="336">
        <v>65.728657077640946</v>
      </c>
      <c r="CR91" s="414"/>
    </row>
    <row r="92" spans="1:96" s="275" customFormat="1" x14ac:dyDescent="0.45">
      <c r="A92" s="309">
        <v>2002</v>
      </c>
      <c r="B92" s="355">
        <v>4335.3349999999991</v>
      </c>
      <c r="C92" s="356">
        <v>226.21781367648967</v>
      </c>
      <c r="D92" s="356">
        <v>-271.99877494121785</v>
      </c>
      <c r="E92" s="356" t="s">
        <v>100</v>
      </c>
      <c r="F92" s="332">
        <v>257.04860000000008</v>
      </c>
      <c r="G92" s="357">
        <v>-926.54600000000005</v>
      </c>
      <c r="H92" s="334">
        <v>3620.056638735271</v>
      </c>
      <c r="I92" s="335"/>
      <c r="J92" s="336">
        <v>-36.999819651533926</v>
      </c>
      <c r="K92" s="354"/>
      <c r="L92" s="337">
        <v>3657.0564583868049</v>
      </c>
      <c r="M92" s="338">
        <v>3223.7939999999999</v>
      </c>
      <c r="N92" s="338">
        <v>16.7</v>
      </c>
      <c r="O92" s="339">
        <v>416.56245838680536</v>
      </c>
      <c r="P92" s="340">
        <v>150.56389167736108</v>
      </c>
      <c r="Q92" s="341">
        <v>28.637</v>
      </c>
      <c r="R92" s="341">
        <v>59.305999999999997</v>
      </c>
      <c r="S92" s="342" t="s">
        <v>100</v>
      </c>
      <c r="T92" s="340">
        <v>178.05556670944432</v>
      </c>
      <c r="U92" s="341"/>
      <c r="V92" s="341" t="s">
        <v>100</v>
      </c>
      <c r="W92" s="343" t="s">
        <v>100</v>
      </c>
      <c r="X92" s="306"/>
      <c r="Y92" s="336">
        <v>170.76199999999966</v>
      </c>
      <c r="Z92" s="308"/>
      <c r="AA92" s="309">
        <v>2002</v>
      </c>
      <c r="AB92" s="355">
        <v>223.87</v>
      </c>
      <c r="AC92" s="332">
        <v>11.681538323510351</v>
      </c>
      <c r="AD92" s="356">
        <v>-45.594750058782182</v>
      </c>
      <c r="AE92" s="332">
        <v>-14.097000000000008</v>
      </c>
      <c r="AF92" s="332">
        <v>926.54699999999991</v>
      </c>
      <c r="AG92" s="416" t="s">
        <v>100</v>
      </c>
      <c r="AH92" s="357" t="s">
        <v>100</v>
      </c>
      <c r="AI92" s="334">
        <v>1102.406788264728</v>
      </c>
      <c r="AJ92" s="353"/>
      <c r="AK92" s="412">
        <v>27.714896587366866</v>
      </c>
      <c r="AL92" s="335"/>
      <c r="AM92" s="337">
        <v>1074.6918916773611</v>
      </c>
      <c r="AN92" s="340" t="s">
        <v>100</v>
      </c>
      <c r="AO92" s="358">
        <v>330.76700000000005</v>
      </c>
      <c r="AP92" s="358">
        <v>743.92489167736107</v>
      </c>
      <c r="AQ92" s="340">
        <v>44.26389167736108</v>
      </c>
      <c r="AR92" s="341">
        <v>699.66099999999994</v>
      </c>
      <c r="AS92" s="341"/>
      <c r="AT92" s="406"/>
      <c r="AU92" s="342" t="s">
        <v>100</v>
      </c>
      <c r="AV92" s="338" t="s">
        <v>100</v>
      </c>
      <c r="AW92" s="407" t="s">
        <v>100</v>
      </c>
      <c r="AX92" s="335"/>
      <c r="AY92" s="336">
        <v>213.09700000000001</v>
      </c>
      <c r="AZ92" s="414"/>
      <c r="BA92" s="257"/>
      <c r="BB92" s="257"/>
      <c r="BC92" s="257"/>
      <c r="BD92" s="257"/>
      <c r="BE92" s="257"/>
      <c r="BF92" s="257"/>
      <c r="BG92" s="264"/>
      <c r="BH92" s="257"/>
      <c r="BI92" s="257"/>
      <c r="BJ92" s="257"/>
      <c r="BK92" s="257"/>
      <c r="BL92" s="257"/>
      <c r="BM92" s="257"/>
      <c r="BN92" s="257"/>
      <c r="BO92" s="257"/>
      <c r="BP92" s="257"/>
      <c r="CA92" s="442">
        <v>2002</v>
      </c>
      <c r="CB92" s="443"/>
      <c r="CC92" s="355">
        <v>430.50108671522719</v>
      </c>
      <c r="CD92" s="486">
        <v>17.124789</v>
      </c>
      <c r="CE92" s="356">
        <v>-67.491929999999996</v>
      </c>
      <c r="CF92" s="332">
        <v>13.964611638861854</v>
      </c>
      <c r="CG92" s="334">
        <v>394.09855735408911</v>
      </c>
      <c r="CH92" s="335"/>
      <c r="CI92" s="412">
        <v>-29.433615967797834</v>
      </c>
      <c r="CJ92" s="335"/>
      <c r="CK92" s="337">
        <v>423.53217332188694</v>
      </c>
      <c r="CL92" s="338">
        <v>9.9644814429413806</v>
      </c>
      <c r="CM92" s="358">
        <v>413.56769187894554</v>
      </c>
      <c r="CN92" s="340">
        <v>21.992438432188688</v>
      </c>
      <c r="CO92" s="451">
        <v>391.57525344675685</v>
      </c>
      <c r="CP92" s="335"/>
      <c r="CQ92" s="336">
        <v>51.764045438779092</v>
      </c>
      <c r="CR92" s="414"/>
    </row>
    <row r="93" spans="1:96" s="275" customFormat="1" x14ac:dyDescent="0.45">
      <c r="A93" s="309">
        <v>2003</v>
      </c>
      <c r="B93" s="355">
        <v>4286</v>
      </c>
      <c r="C93" s="356">
        <v>929</v>
      </c>
      <c r="D93" s="356">
        <v>-74</v>
      </c>
      <c r="E93" s="356" t="s">
        <v>100</v>
      </c>
      <c r="F93" s="332">
        <v>-60</v>
      </c>
      <c r="G93" s="357">
        <v>-1095</v>
      </c>
      <c r="H93" s="334">
        <v>3986</v>
      </c>
      <c r="I93" s="335"/>
      <c r="J93" s="336">
        <v>-18.132000000000517</v>
      </c>
      <c r="K93" s="354"/>
      <c r="L93" s="337">
        <v>4003.6721658636397</v>
      </c>
      <c r="M93" s="338">
        <v>3716</v>
      </c>
      <c r="N93" s="338" t="s">
        <v>100</v>
      </c>
      <c r="O93" s="339">
        <v>287.88916586363985</v>
      </c>
      <c r="P93" s="340">
        <v>113</v>
      </c>
      <c r="Q93" s="341">
        <v>23</v>
      </c>
      <c r="R93" s="341">
        <v>24</v>
      </c>
      <c r="S93" s="342" t="s">
        <v>100</v>
      </c>
      <c r="T93" s="340">
        <v>129</v>
      </c>
      <c r="U93" s="341"/>
      <c r="V93" s="341" t="s">
        <v>100</v>
      </c>
      <c r="W93" s="343" t="s">
        <v>100</v>
      </c>
      <c r="X93" s="306"/>
      <c r="Y93" s="336">
        <v>230</v>
      </c>
      <c r="Z93" s="308"/>
      <c r="AA93" s="309">
        <v>2003</v>
      </c>
      <c r="AB93" s="355">
        <v>315</v>
      </c>
      <c r="AC93" s="332">
        <v>49</v>
      </c>
      <c r="AD93" s="356">
        <v>-64</v>
      </c>
      <c r="AE93" s="332">
        <v>-83</v>
      </c>
      <c r="AF93" s="332">
        <v>1095</v>
      </c>
      <c r="AG93" s="416" t="s">
        <v>100</v>
      </c>
      <c r="AH93" s="357" t="s">
        <v>100</v>
      </c>
      <c r="AI93" s="334">
        <v>1311.4844511363601</v>
      </c>
      <c r="AJ93" s="353"/>
      <c r="AK93" s="412">
        <v>-20.707000000000107</v>
      </c>
      <c r="AL93" s="335"/>
      <c r="AM93" s="337">
        <v>1332</v>
      </c>
      <c r="AN93" s="340" t="s">
        <v>100</v>
      </c>
      <c r="AO93" s="358">
        <v>530</v>
      </c>
      <c r="AP93" s="358">
        <v>802</v>
      </c>
      <c r="AQ93" s="340">
        <v>7</v>
      </c>
      <c r="AR93" s="341">
        <v>795</v>
      </c>
      <c r="AS93" s="341"/>
      <c r="AT93" s="406"/>
      <c r="AU93" s="342" t="s">
        <v>100</v>
      </c>
      <c r="AV93" s="338" t="s">
        <v>100</v>
      </c>
      <c r="AW93" s="407" t="s">
        <v>100</v>
      </c>
      <c r="AX93" s="335"/>
      <c r="AY93" s="336">
        <v>296</v>
      </c>
      <c r="AZ93" s="414"/>
      <c r="BA93" s="257"/>
      <c r="BB93" s="257"/>
      <c r="BC93" s="257"/>
      <c r="BD93" s="257"/>
      <c r="BE93" s="257"/>
      <c r="BF93" s="257"/>
      <c r="BG93" s="264"/>
      <c r="BH93" s="257"/>
      <c r="BI93" s="257"/>
      <c r="BJ93" s="257"/>
      <c r="BK93" s="257"/>
      <c r="BL93" s="257"/>
      <c r="BM93" s="257"/>
      <c r="BN93" s="257"/>
      <c r="BO93" s="257"/>
      <c r="BP93" s="257"/>
      <c r="CA93" s="442">
        <v>2003</v>
      </c>
      <c r="CB93" s="443"/>
      <c r="CC93" s="355">
        <v>392</v>
      </c>
      <c r="CD93" s="486">
        <v>5.0113009999999996</v>
      </c>
      <c r="CE93" s="356">
        <v>-55</v>
      </c>
      <c r="CF93" s="332">
        <v>0</v>
      </c>
      <c r="CG93" s="334">
        <v>342.26346372968345</v>
      </c>
      <c r="CH93" s="335"/>
      <c r="CI93" s="412">
        <v>-20.297887218287485</v>
      </c>
      <c r="CJ93" s="335"/>
      <c r="CK93" s="337">
        <v>362.56135094797094</v>
      </c>
      <c r="CL93" s="338">
        <v>4</v>
      </c>
      <c r="CM93" s="358">
        <v>358</v>
      </c>
      <c r="CN93" s="340">
        <v>17</v>
      </c>
      <c r="CO93" s="451">
        <v>341</v>
      </c>
      <c r="CP93" s="335"/>
      <c r="CQ93" s="336">
        <v>51</v>
      </c>
      <c r="CR93" s="414"/>
    </row>
    <row r="94" spans="1:96" s="275" customFormat="1" x14ac:dyDescent="0.45">
      <c r="A94" s="309">
        <v>2004</v>
      </c>
      <c r="B94" s="355">
        <v>4038</v>
      </c>
      <c r="C94" s="356">
        <v>847</v>
      </c>
      <c r="D94" s="356">
        <v>-80</v>
      </c>
      <c r="E94" s="356" t="s">
        <v>100</v>
      </c>
      <c r="F94" s="332">
        <v>-88</v>
      </c>
      <c r="G94" s="357">
        <v>-1012</v>
      </c>
      <c r="H94" s="334">
        <v>3704</v>
      </c>
      <c r="I94" s="335"/>
      <c r="J94" s="336">
        <v>-14</v>
      </c>
      <c r="K94" s="352"/>
      <c r="L94" s="337">
        <v>3718</v>
      </c>
      <c r="M94" s="338">
        <v>3569</v>
      </c>
      <c r="N94" s="338" t="s">
        <v>100</v>
      </c>
      <c r="O94" s="339">
        <v>149</v>
      </c>
      <c r="P94" s="340">
        <v>76</v>
      </c>
      <c r="Q94" s="341">
        <v>22</v>
      </c>
      <c r="R94" s="341"/>
      <c r="S94" s="358" t="s">
        <v>100</v>
      </c>
      <c r="T94" s="340">
        <v>51</v>
      </c>
      <c r="U94" s="341"/>
      <c r="V94" s="341" t="s">
        <v>100</v>
      </c>
      <c r="W94" s="343" t="s">
        <v>100</v>
      </c>
      <c r="X94" s="306"/>
      <c r="Y94" s="336">
        <v>318</v>
      </c>
      <c r="Z94" s="308"/>
      <c r="AA94" s="309">
        <v>2004</v>
      </c>
      <c r="AB94" s="355">
        <v>298</v>
      </c>
      <c r="AC94" s="332">
        <v>199</v>
      </c>
      <c r="AD94" s="356">
        <v>-62</v>
      </c>
      <c r="AE94" s="332">
        <v>-63</v>
      </c>
      <c r="AF94" s="332">
        <v>1012</v>
      </c>
      <c r="AG94" s="416" t="s">
        <v>100</v>
      </c>
      <c r="AH94" s="357" t="s">
        <v>100</v>
      </c>
      <c r="AI94" s="334">
        <v>1363.3269999999998</v>
      </c>
      <c r="AJ94" s="353"/>
      <c r="AK94" s="412">
        <v>-0.78800000000001091</v>
      </c>
      <c r="AL94" s="335"/>
      <c r="AM94" s="337">
        <v>1364.115</v>
      </c>
      <c r="AN94" s="340" t="s">
        <v>100</v>
      </c>
      <c r="AO94" s="358">
        <v>568.18100000000004</v>
      </c>
      <c r="AP94" s="358">
        <v>827</v>
      </c>
      <c r="AQ94" s="340">
        <v>39</v>
      </c>
      <c r="AR94" s="341">
        <v>788</v>
      </c>
      <c r="AS94" s="341"/>
      <c r="AT94" s="341"/>
      <c r="AU94" s="358" t="s">
        <v>100</v>
      </c>
      <c r="AV94" s="338" t="s">
        <v>100</v>
      </c>
      <c r="AW94" s="407" t="s">
        <v>100</v>
      </c>
      <c r="AX94" s="335"/>
      <c r="AY94" s="336">
        <v>359</v>
      </c>
      <c r="AZ94" s="414"/>
      <c r="BA94" s="257"/>
      <c r="BB94" s="257"/>
      <c r="BC94" s="257"/>
      <c r="BD94" s="257"/>
      <c r="BE94" s="257"/>
      <c r="BF94" s="257"/>
      <c r="BG94" s="264"/>
      <c r="BH94" s="257"/>
      <c r="BI94" s="257"/>
      <c r="BJ94" s="257"/>
      <c r="BK94" s="257"/>
      <c r="BL94" s="257"/>
      <c r="BM94" s="257"/>
      <c r="BN94" s="257"/>
      <c r="BO94" s="257"/>
      <c r="BP94" s="257"/>
      <c r="CA94" s="442">
        <v>2004</v>
      </c>
      <c r="CB94" s="443"/>
      <c r="CC94" s="355">
        <v>318</v>
      </c>
      <c r="CD94" s="486">
        <v>5</v>
      </c>
      <c r="CE94" s="356">
        <v>-39</v>
      </c>
      <c r="CF94" s="332">
        <v>22</v>
      </c>
      <c r="CG94" s="334">
        <v>305</v>
      </c>
      <c r="CH94" s="335"/>
      <c r="CI94" s="412">
        <v>-14</v>
      </c>
      <c r="CJ94" s="335"/>
      <c r="CK94" s="337">
        <v>320</v>
      </c>
      <c r="CL94" s="338">
        <v>4</v>
      </c>
      <c r="CM94" s="358">
        <v>316</v>
      </c>
      <c r="CN94" s="340">
        <v>12</v>
      </c>
      <c r="CO94" s="451">
        <v>303</v>
      </c>
      <c r="CP94" s="335"/>
      <c r="CQ94" s="336">
        <v>30</v>
      </c>
      <c r="CR94" s="414"/>
    </row>
    <row r="95" spans="1:96" s="275" customFormat="1" x14ac:dyDescent="0.45">
      <c r="A95" s="309">
        <v>2005</v>
      </c>
      <c r="B95" s="355">
        <v>4104.7149999999992</v>
      </c>
      <c r="C95" s="356">
        <v>674.23599999999999</v>
      </c>
      <c r="D95" s="356">
        <v>-64</v>
      </c>
      <c r="E95" s="356" t="s">
        <v>100</v>
      </c>
      <c r="F95" s="332">
        <v>-94.327999999999861</v>
      </c>
      <c r="G95" s="357">
        <v>-982.86800000000005</v>
      </c>
      <c r="H95" s="334">
        <v>3637.7549999999997</v>
      </c>
      <c r="I95" s="335"/>
      <c r="J95" s="336">
        <v>-1.6170000000001892</v>
      </c>
      <c r="K95" s="352"/>
      <c r="L95" s="337">
        <v>3639.3719999999998</v>
      </c>
      <c r="M95" s="338">
        <v>3516.0749999999998</v>
      </c>
      <c r="N95" s="338" t="s">
        <v>100</v>
      </c>
      <c r="O95" s="339">
        <v>123.297</v>
      </c>
      <c r="P95" s="340">
        <v>66.601721407316134</v>
      </c>
      <c r="Q95" s="341">
        <v>22.296999999999997</v>
      </c>
      <c r="R95" s="341"/>
      <c r="S95" s="358" t="s">
        <v>100</v>
      </c>
      <c r="T95" s="340">
        <v>34.398278592683873</v>
      </c>
      <c r="U95" s="341"/>
      <c r="V95" s="341" t="s">
        <v>100</v>
      </c>
      <c r="W95" s="343" t="s">
        <v>100</v>
      </c>
      <c r="X95" s="306"/>
      <c r="Y95" s="336">
        <v>412.73299999999983</v>
      </c>
      <c r="Z95" s="308"/>
      <c r="AA95" s="309">
        <v>2005</v>
      </c>
      <c r="AB95" s="355">
        <v>259.49900000000002</v>
      </c>
      <c r="AC95" s="332">
        <v>234.75</v>
      </c>
      <c r="AD95" s="356">
        <v>-54.797999999999995</v>
      </c>
      <c r="AE95" s="332">
        <v>-58.840999999999951</v>
      </c>
      <c r="AF95" s="332">
        <v>982.71699999999987</v>
      </c>
      <c r="AG95" s="416" t="s">
        <v>100</v>
      </c>
      <c r="AH95" s="357" t="s">
        <v>100</v>
      </c>
      <c r="AI95" s="334">
        <v>1363.327</v>
      </c>
      <c r="AJ95" s="353"/>
      <c r="AK95" s="412">
        <v>-0.78799999999978354</v>
      </c>
      <c r="AL95" s="335"/>
      <c r="AM95" s="337">
        <v>1364.1149999999998</v>
      </c>
      <c r="AN95" s="340" t="s">
        <v>100</v>
      </c>
      <c r="AO95" s="358">
        <v>568.18100000000004</v>
      </c>
      <c r="AP95" s="358">
        <v>795.93399999999974</v>
      </c>
      <c r="AQ95" s="340">
        <v>13.999999999999943</v>
      </c>
      <c r="AR95" s="341">
        <v>781.93399999999986</v>
      </c>
      <c r="AS95" s="341"/>
      <c r="AT95" s="341"/>
      <c r="AU95" s="358" t="s">
        <v>100</v>
      </c>
      <c r="AV95" s="338" t="s">
        <v>100</v>
      </c>
      <c r="AW95" s="407" t="s">
        <v>100</v>
      </c>
      <c r="AX95" s="335"/>
      <c r="AY95" s="336">
        <v>418.23199999999997</v>
      </c>
      <c r="AZ95" s="414"/>
      <c r="BA95" s="257"/>
      <c r="BB95" s="257"/>
      <c r="BC95" s="257"/>
      <c r="BD95" s="257"/>
      <c r="BE95" s="257"/>
      <c r="BF95" s="257"/>
      <c r="BG95" s="264"/>
      <c r="BH95" s="257"/>
      <c r="BI95" s="257"/>
      <c r="BJ95" s="257"/>
      <c r="BK95" s="257"/>
      <c r="BL95" s="257"/>
      <c r="BM95" s="257"/>
      <c r="BN95" s="257"/>
      <c r="BO95" s="257"/>
      <c r="BP95" s="257"/>
      <c r="CA95" s="442">
        <v>2005</v>
      </c>
      <c r="CB95" s="443"/>
      <c r="CC95" s="355">
        <v>257.55</v>
      </c>
      <c r="CD95" s="486">
        <v>5.7739570000000002</v>
      </c>
      <c r="CE95" s="356">
        <v>-14.760444</v>
      </c>
      <c r="CF95" s="332">
        <v>5.8590000000000195</v>
      </c>
      <c r="CG95" s="334">
        <v>254.42251300000001</v>
      </c>
      <c r="CH95" s="335"/>
      <c r="CI95" s="412">
        <v>-1.5884439999999529</v>
      </c>
      <c r="CJ95" s="335"/>
      <c r="CK95" s="337">
        <v>256.01095699999996</v>
      </c>
      <c r="CL95" s="487">
        <v>0</v>
      </c>
      <c r="CM95" s="358">
        <v>256.01095699999996</v>
      </c>
      <c r="CN95" s="487">
        <v>0</v>
      </c>
      <c r="CO95" s="451">
        <v>256.01095699999996</v>
      </c>
      <c r="CP95" s="335"/>
      <c r="CQ95" s="336">
        <v>23.976999999999975</v>
      </c>
      <c r="CR95" s="414"/>
    </row>
    <row r="96" spans="1:96" s="275" customFormat="1" x14ac:dyDescent="0.45">
      <c r="A96" s="309">
        <v>2006</v>
      </c>
      <c r="B96" s="355">
        <v>4383.9609999999993</v>
      </c>
      <c r="C96" s="356">
        <v>748.15899999999999</v>
      </c>
      <c r="D96" s="356">
        <v>-94</v>
      </c>
      <c r="E96" s="356" t="s">
        <v>100</v>
      </c>
      <c r="F96" s="332">
        <v>-237.18499999999943</v>
      </c>
      <c r="G96" s="357">
        <v>-954.71800000000007</v>
      </c>
      <c r="H96" s="334">
        <v>3846.2169999999996</v>
      </c>
      <c r="I96" s="335"/>
      <c r="J96" s="336">
        <v>-1.121999998330466</v>
      </c>
      <c r="K96" s="352"/>
      <c r="L96" s="337">
        <v>3847.3389999983301</v>
      </c>
      <c r="M96" s="338">
        <v>3745.3050000000003</v>
      </c>
      <c r="N96" s="338" t="s">
        <v>100</v>
      </c>
      <c r="O96" s="339">
        <v>102.03399999833</v>
      </c>
      <c r="P96" s="340">
        <v>53.433000001670038</v>
      </c>
      <c r="Q96" s="341">
        <v>26.266999999999996</v>
      </c>
      <c r="R96" s="341"/>
      <c r="S96" s="358" t="s">
        <v>100</v>
      </c>
      <c r="T96" s="340">
        <v>22.333999996659966</v>
      </c>
      <c r="U96" s="341"/>
      <c r="V96" s="341" t="s">
        <v>100</v>
      </c>
      <c r="W96" s="343" t="s">
        <v>100</v>
      </c>
      <c r="X96" s="297"/>
      <c r="Y96" s="336">
        <v>649.91799999999944</v>
      </c>
      <c r="Z96" s="308"/>
      <c r="AA96" s="309">
        <v>2006</v>
      </c>
      <c r="AB96" s="355">
        <v>245.09000000000003</v>
      </c>
      <c r="AC96" s="332">
        <v>260.66899999999998</v>
      </c>
      <c r="AD96" s="356">
        <v>-73.963999999999984</v>
      </c>
      <c r="AE96" s="332">
        <v>24.589999999999975</v>
      </c>
      <c r="AF96" s="332">
        <v>954.69800000000009</v>
      </c>
      <c r="AG96" s="416" t="s">
        <v>100</v>
      </c>
      <c r="AH96" s="357" t="s">
        <v>100</v>
      </c>
      <c r="AI96" s="334">
        <v>1411.0830000000001</v>
      </c>
      <c r="AJ96" s="353"/>
      <c r="AK96" s="412">
        <v>-4.3869999999999436</v>
      </c>
      <c r="AL96" s="335"/>
      <c r="AM96" s="337">
        <v>1415.47</v>
      </c>
      <c r="AN96" s="340" t="s">
        <v>100</v>
      </c>
      <c r="AO96" s="358">
        <v>688.02800000000002</v>
      </c>
      <c r="AP96" s="358">
        <v>727.44200000000001</v>
      </c>
      <c r="AQ96" s="340">
        <v>26.399999999999977</v>
      </c>
      <c r="AR96" s="341">
        <v>701.04200000000003</v>
      </c>
      <c r="AS96" s="341"/>
      <c r="AT96" s="341"/>
      <c r="AU96" s="358" t="s">
        <v>100</v>
      </c>
      <c r="AV96" s="338" t="s">
        <v>100</v>
      </c>
      <c r="AW96" s="407" t="s">
        <v>100</v>
      </c>
      <c r="AX96" s="335"/>
      <c r="AY96" s="336">
        <v>393.642</v>
      </c>
      <c r="AZ96" s="414"/>
      <c r="BA96" s="257"/>
      <c r="BB96" s="257"/>
      <c r="BC96" s="257"/>
      <c r="BD96" s="257"/>
      <c r="BE96" s="257"/>
      <c r="BF96" s="257"/>
      <c r="BG96" s="264"/>
      <c r="BH96" s="257"/>
      <c r="BI96" s="257"/>
      <c r="BJ96" s="257"/>
      <c r="BK96" s="257"/>
      <c r="BL96" s="257"/>
      <c r="BM96" s="257"/>
      <c r="BN96" s="257"/>
      <c r="BO96" s="257"/>
      <c r="BP96" s="257"/>
      <c r="CA96" s="442">
        <v>2006</v>
      </c>
      <c r="CB96" s="443"/>
      <c r="CC96" s="355">
        <v>260.42099999999999</v>
      </c>
      <c r="CD96" s="486">
        <v>10.287476999999999</v>
      </c>
      <c r="CE96" s="356">
        <v>-12.439462000000001</v>
      </c>
      <c r="CF96" s="332">
        <v>2.0489999999999888</v>
      </c>
      <c r="CG96" s="334">
        <v>260.318015</v>
      </c>
      <c r="CH96" s="335"/>
      <c r="CI96" s="412">
        <v>3.3015379999999936</v>
      </c>
      <c r="CJ96" s="335"/>
      <c r="CK96" s="337">
        <v>257.01647700000001</v>
      </c>
      <c r="CL96" s="487">
        <v>0</v>
      </c>
      <c r="CM96" s="358">
        <v>257.01647700000001</v>
      </c>
      <c r="CN96" s="487">
        <v>0</v>
      </c>
      <c r="CO96" s="451">
        <v>257.01647700000001</v>
      </c>
      <c r="CP96" s="335"/>
      <c r="CQ96" s="336">
        <v>25.38000000000001</v>
      </c>
      <c r="CR96" s="414"/>
    </row>
    <row r="97" spans="1:96" s="275" customFormat="1" x14ac:dyDescent="0.45">
      <c r="A97" s="359">
        <v>2007</v>
      </c>
      <c r="B97" s="355">
        <v>4451.3389999999999</v>
      </c>
      <c r="C97" s="356">
        <v>744.70399999999995</v>
      </c>
      <c r="D97" s="356">
        <v>-105.3</v>
      </c>
      <c r="E97" s="356" t="s">
        <v>100</v>
      </c>
      <c r="F97" s="332">
        <v>33.902999999999906</v>
      </c>
      <c r="G97" s="357">
        <v>-1114.5379999999998</v>
      </c>
      <c r="H97" s="334">
        <v>4010.1080000000002</v>
      </c>
      <c r="I97" s="335"/>
      <c r="J97" s="336">
        <v>-13.877000000000407</v>
      </c>
      <c r="K97" s="352"/>
      <c r="L97" s="337">
        <v>4023.9850000000006</v>
      </c>
      <c r="M97" s="338">
        <v>3909.8620000000005</v>
      </c>
      <c r="N97" s="338" t="s">
        <v>100</v>
      </c>
      <c r="O97" s="360">
        <v>114.12299999999995</v>
      </c>
      <c r="P97" s="340">
        <v>76.327999994719974</v>
      </c>
      <c r="Q97" s="341">
        <v>22.923000000000002</v>
      </c>
      <c r="R97" s="341"/>
      <c r="S97" s="358" t="s">
        <v>100</v>
      </c>
      <c r="T97" s="340">
        <v>14.872000005279974</v>
      </c>
      <c r="U97" s="341"/>
      <c r="V97" s="341" t="s">
        <v>100</v>
      </c>
      <c r="W97" s="343" t="s">
        <v>100</v>
      </c>
      <c r="X97" s="306"/>
      <c r="Y97" s="336">
        <v>616.0150000000001</v>
      </c>
      <c r="Z97" s="308"/>
      <c r="AA97" s="309">
        <v>2007</v>
      </c>
      <c r="AB97" s="355">
        <v>25.312999999999999</v>
      </c>
      <c r="AC97" s="332">
        <v>324.548</v>
      </c>
      <c r="AD97" s="356">
        <v>-152.06900000000002</v>
      </c>
      <c r="AE97" s="332">
        <v>-79.825999999999794</v>
      </c>
      <c r="AF97" s="332">
        <v>1114.5379999999998</v>
      </c>
      <c r="AG97" s="416" t="s">
        <v>100</v>
      </c>
      <c r="AH97" s="357" t="s">
        <v>100</v>
      </c>
      <c r="AI97" s="334">
        <v>1232.5039999999999</v>
      </c>
      <c r="AJ97" s="353"/>
      <c r="AK97" s="412">
        <v>3.1179999999999382</v>
      </c>
      <c r="AL97" s="335"/>
      <c r="AM97" s="337">
        <v>1229.386</v>
      </c>
      <c r="AN97" s="340" t="s">
        <v>100</v>
      </c>
      <c r="AO97" s="358">
        <v>482.50200000000007</v>
      </c>
      <c r="AP97" s="338">
        <v>746.88400000000001</v>
      </c>
      <c r="AQ97" s="340">
        <v>12.949999999999989</v>
      </c>
      <c r="AR97" s="341">
        <v>733.93399999999997</v>
      </c>
      <c r="AS97" s="341"/>
      <c r="AT97" s="341"/>
      <c r="AU97" s="358" t="s">
        <v>100</v>
      </c>
      <c r="AV97" s="338" t="s">
        <v>100</v>
      </c>
      <c r="AW97" s="407" t="s">
        <v>100</v>
      </c>
      <c r="AX97" s="335"/>
      <c r="AY97" s="336">
        <v>473.46799999999979</v>
      </c>
      <c r="AZ97" s="414"/>
      <c r="BA97" s="257"/>
      <c r="BB97" s="257"/>
      <c r="BC97" s="257"/>
      <c r="BD97" s="257"/>
      <c r="BE97" s="257"/>
      <c r="BF97" s="257"/>
      <c r="BG97" s="264"/>
      <c r="BH97" s="257"/>
      <c r="BI97" s="257"/>
      <c r="BJ97" s="257"/>
      <c r="BK97" s="257"/>
      <c r="BL97" s="257"/>
      <c r="BM97" s="257"/>
      <c r="BN97" s="257"/>
      <c r="BO97" s="257"/>
      <c r="BP97" s="257"/>
      <c r="CA97" s="442">
        <v>2007</v>
      </c>
      <c r="CB97" s="359"/>
      <c r="CC97" s="355">
        <v>226.83118999999999</v>
      </c>
      <c r="CD97" s="486">
        <v>13.378825000000001</v>
      </c>
      <c r="CE97" s="356">
        <v>-6.9963199999999999</v>
      </c>
      <c r="CF97" s="485">
        <v>1.8500399999999892</v>
      </c>
      <c r="CG97" s="334">
        <v>235.06373499999998</v>
      </c>
      <c r="CH97" s="335"/>
      <c r="CI97" s="412">
        <v>0</v>
      </c>
      <c r="CJ97" s="335"/>
      <c r="CK97" s="337">
        <v>234.60278499999998</v>
      </c>
      <c r="CL97" s="487">
        <v>0</v>
      </c>
      <c r="CM97" s="338">
        <v>234.60278499999998</v>
      </c>
      <c r="CN97" s="487">
        <v>0</v>
      </c>
      <c r="CO97" s="451">
        <v>234.60278499999998</v>
      </c>
      <c r="CP97" s="335"/>
      <c r="CQ97" s="336">
        <v>27.156220000000019</v>
      </c>
      <c r="CR97" s="414"/>
    </row>
    <row r="98" spans="1:96" s="275" customFormat="1" x14ac:dyDescent="0.45">
      <c r="A98" s="361">
        <v>2008</v>
      </c>
      <c r="B98" s="355">
        <v>4324.3616571428574</v>
      </c>
      <c r="C98" s="356">
        <v>503.26</v>
      </c>
      <c r="D98" s="356">
        <v>-111.2</v>
      </c>
      <c r="E98" s="356" t="s">
        <v>100</v>
      </c>
      <c r="F98" s="332">
        <v>287.48697142857134</v>
      </c>
      <c r="G98" s="362">
        <v>-1104.425857142857</v>
      </c>
      <c r="H98" s="360">
        <v>3899.4827714285721</v>
      </c>
      <c r="I98" s="363"/>
      <c r="J98" s="336">
        <v>-0.1177977140018811</v>
      </c>
      <c r="K98" s="352"/>
      <c r="L98" s="337">
        <v>3899.6005691425739</v>
      </c>
      <c r="M98" s="338">
        <v>3795.85</v>
      </c>
      <c r="N98" s="338" t="s">
        <v>100</v>
      </c>
      <c r="O98" s="360">
        <v>103.75056914257405</v>
      </c>
      <c r="P98" s="340">
        <v>77.971688000283109</v>
      </c>
      <c r="Q98" s="341">
        <v>13.422257142857141</v>
      </c>
      <c r="R98" s="341"/>
      <c r="S98" s="358" t="s">
        <v>100</v>
      </c>
      <c r="T98" s="340">
        <v>12.356623999433788</v>
      </c>
      <c r="U98" s="341"/>
      <c r="V98" s="341" t="s">
        <v>100</v>
      </c>
      <c r="W98" s="343" t="s">
        <v>100</v>
      </c>
      <c r="X98" s="306"/>
      <c r="Y98" s="336">
        <v>325.7420285714287</v>
      </c>
      <c r="Z98" s="308"/>
      <c r="AA98" s="309">
        <v>2008</v>
      </c>
      <c r="AB98" s="417">
        <v>34.615342857142856</v>
      </c>
      <c r="AC98" s="332">
        <v>219.124</v>
      </c>
      <c r="AD98" s="356">
        <v>-73.992485714285721</v>
      </c>
      <c r="AE98" s="332">
        <v>-79.400000000000034</v>
      </c>
      <c r="AF98" s="332">
        <v>1104.425857142857</v>
      </c>
      <c r="AG98" s="356" t="s">
        <v>100</v>
      </c>
      <c r="AH98" s="357" t="s">
        <v>100</v>
      </c>
      <c r="AI98" s="334">
        <v>1204.7727142857141</v>
      </c>
      <c r="AJ98" s="353"/>
      <c r="AK98" s="412">
        <v>0.43782857142832654</v>
      </c>
      <c r="AL98" s="335"/>
      <c r="AM98" s="337">
        <v>1204.3348857142857</v>
      </c>
      <c r="AN98" s="340" t="s">
        <v>100</v>
      </c>
      <c r="AO98" s="358">
        <v>566.65854285714295</v>
      </c>
      <c r="AP98" s="338">
        <v>637.6763428571428</v>
      </c>
      <c r="AQ98" s="340">
        <v>16.199999999999989</v>
      </c>
      <c r="AR98" s="341">
        <v>621.47634285714287</v>
      </c>
      <c r="AS98" s="341"/>
      <c r="AT98" s="341"/>
      <c r="AU98" s="358" t="s">
        <v>100</v>
      </c>
      <c r="AV98" s="338" t="s">
        <v>100</v>
      </c>
      <c r="AW98" s="407" t="s">
        <v>100</v>
      </c>
      <c r="AX98" s="335"/>
      <c r="AY98" s="336">
        <v>553.04499999999996</v>
      </c>
      <c r="AZ98" s="414"/>
      <c r="BA98" s="257"/>
      <c r="BB98" s="257"/>
      <c r="BC98" s="257"/>
      <c r="BD98" s="257"/>
      <c r="BE98" s="257"/>
      <c r="BF98" s="257"/>
      <c r="BG98" s="264"/>
      <c r="BH98" s="257"/>
      <c r="BI98" s="257"/>
      <c r="BJ98" s="257"/>
      <c r="BK98" s="257"/>
      <c r="BL98" s="257"/>
      <c r="BM98" s="257"/>
      <c r="BN98" s="257"/>
      <c r="BO98" s="257"/>
      <c r="BP98" s="257"/>
      <c r="CA98" s="442">
        <v>2008</v>
      </c>
      <c r="CB98" s="361"/>
      <c r="CC98" s="355">
        <v>301.99811428571428</v>
      </c>
      <c r="CD98" s="486">
        <v>15.927202000000001</v>
      </c>
      <c r="CE98" s="356">
        <v>-24.949502000000003</v>
      </c>
      <c r="CF98" s="485">
        <v>5.8203785714285843</v>
      </c>
      <c r="CG98" s="488">
        <v>298.7961928571429</v>
      </c>
      <c r="CH98" s="335"/>
      <c r="CI98" s="412">
        <v>4.4881180000000427</v>
      </c>
      <c r="CJ98" s="335"/>
      <c r="CK98" s="489">
        <v>294.30807485714286</v>
      </c>
      <c r="CL98" s="487">
        <v>0</v>
      </c>
      <c r="CM98" s="338">
        <v>294.30807485714286</v>
      </c>
      <c r="CN98" s="487">
        <v>0</v>
      </c>
      <c r="CO98" s="407">
        <v>294.30807485714286</v>
      </c>
      <c r="CP98" s="335"/>
      <c r="CQ98" s="336">
        <v>23.685221428571428</v>
      </c>
      <c r="CR98" s="414"/>
    </row>
    <row r="99" spans="1:96" s="275" customFormat="1" x14ac:dyDescent="0.45">
      <c r="A99" s="361">
        <v>2009</v>
      </c>
      <c r="B99" s="355">
        <v>3663.4913714285717</v>
      </c>
      <c r="C99" s="356">
        <v>139.72731428571427</v>
      </c>
      <c r="D99" s="356">
        <v>-96.700000000000017</v>
      </c>
      <c r="E99" s="356" t="s">
        <v>100</v>
      </c>
      <c r="F99" s="332">
        <v>-79.065685714285593</v>
      </c>
      <c r="G99" s="362">
        <v>-784.35279999999989</v>
      </c>
      <c r="H99" s="360">
        <v>2843.1002000000008</v>
      </c>
      <c r="I99" s="363"/>
      <c r="J99" s="336">
        <v>0</v>
      </c>
      <c r="K99" s="352"/>
      <c r="L99" s="337">
        <v>2843.1001999999999</v>
      </c>
      <c r="M99" s="338">
        <v>2754.7642285714282</v>
      </c>
      <c r="N99" s="338" t="s">
        <v>100</v>
      </c>
      <c r="O99" s="360">
        <v>88.335971428571398</v>
      </c>
      <c r="P99" s="340">
        <v>71.399999999999977</v>
      </c>
      <c r="Q99" s="341">
        <v>6.6359714285714286</v>
      </c>
      <c r="R99" s="341"/>
      <c r="S99" s="358" t="s">
        <v>100</v>
      </c>
      <c r="T99" s="340">
        <v>10.299999999999994</v>
      </c>
      <c r="U99" s="341"/>
      <c r="V99" s="341" t="s">
        <v>100</v>
      </c>
      <c r="W99" s="343" t="s">
        <v>100</v>
      </c>
      <c r="X99" s="297"/>
      <c r="Y99" s="336">
        <v>318.50885714285693</v>
      </c>
      <c r="Z99" s="308"/>
      <c r="AA99" s="309">
        <v>2009</v>
      </c>
      <c r="AB99" s="417">
        <v>29.239714285714285</v>
      </c>
      <c r="AC99" s="332">
        <v>38.188400000000001</v>
      </c>
      <c r="AD99" s="356">
        <v>-49.477114285714286</v>
      </c>
      <c r="AE99" s="332">
        <v>89.44585714285725</v>
      </c>
      <c r="AF99" s="332">
        <v>784.35279999999989</v>
      </c>
      <c r="AG99" s="356" t="s">
        <v>100</v>
      </c>
      <c r="AH99" s="357" t="s">
        <v>100</v>
      </c>
      <c r="AI99" s="334">
        <v>891.74965714285713</v>
      </c>
      <c r="AJ99" s="353"/>
      <c r="AK99" s="412">
        <v>0</v>
      </c>
      <c r="AL99" s="335"/>
      <c r="AM99" s="337">
        <v>891.74965714285713</v>
      </c>
      <c r="AN99" s="340" t="s">
        <v>100</v>
      </c>
      <c r="AO99" s="358">
        <v>425.68240000000003</v>
      </c>
      <c r="AP99" s="338">
        <v>466.06725714285716</v>
      </c>
      <c r="AQ99" s="340">
        <v>6.5</v>
      </c>
      <c r="AR99" s="341">
        <v>459.56725714285716</v>
      </c>
      <c r="AS99" s="341"/>
      <c r="AT99" s="341"/>
      <c r="AU99" s="358" t="s">
        <v>100</v>
      </c>
      <c r="AV99" s="338" t="s">
        <v>100</v>
      </c>
      <c r="AW99" s="407" t="s">
        <v>100</v>
      </c>
      <c r="AX99" s="335"/>
      <c r="AY99" s="336">
        <v>245.52117142857148</v>
      </c>
      <c r="AZ99" s="414"/>
      <c r="BA99" s="257"/>
      <c r="BB99" s="257"/>
      <c r="BC99" s="257"/>
      <c r="BD99" s="257"/>
      <c r="BE99" s="257"/>
      <c r="BF99" s="257"/>
      <c r="BG99" s="264"/>
      <c r="BH99" s="257"/>
      <c r="BI99" s="257"/>
      <c r="BJ99" s="257"/>
      <c r="BK99" s="257"/>
      <c r="BL99" s="257"/>
      <c r="BM99" s="257"/>
      <c r="BN99" s="257"/>
      <c r="BO99" s="257"/>
      <c r="BP99" s="257"/>
      <c r="CA99" s="442">
        <v>2009</v>
      </c>
      <c r="CB99" s="361"/>
      <c r="CC99" s="355">
        <v>302.84364714285709</v>
      </c>
      <c r="CD99" s="486">
        <v>5.9432519999999993</v>
      </c>
      <c r="CE99" s="356">
        <v>-31.043968571428572</v>
      </c>
      <c r="CF99" s="485">
        <v>-9.6427114285714346</v>
      </c>
      <c r="CG99" s="488">
        <v>268.10021914285704</v>
      </c>
      <c r="CH99" s="335"/>
      <c r="CI99" s="412">
        <v>-1.3432000000000812</v>
      </c>
      <c r="CJ99" s="335"/>
      <c r="CK99" s="489">
        <v>269.44341914285712</v>
      </c>
      <c r="CL99" s="487">
        <v>0</v>
      </c>
      <c r="CM99" s="338">
        <v>269.44341914285712</v>
      </c>
      <c r="CN99" s="487">
        <v>0</v>
      </c>
      <c r="CO99" s="407">
        <v>269.44341914285712</v>
      </c>
      <c r="CP99" s="335"/>
      <c r="CQ99" s="336">
        <v>33.327932857142862</v>
      </c>
      <c r="CR99" s="414"/>
    </row>
    <row r="100" spans="1:96" s="275" customFormat="1" x14ac:dyDescent="0.45">
      <c r="A100" s="361">
        <v>2010</v>
      </c>
      <c r="B100" s="355">
        <v>3990.3387428571427</v>
      </c>
      <c r="C100" s="356">
        <v>43.885685714285714</v>
      </c>
      <c r="D100" s="356">
        <v>-436.95722857142857</v>
      </c>
      <c r="E100" s="356" t="s">
        <v>100</v>
      </c>
      <c r="F100" s="332">
        <v>-145.46580000000034</v>
      </c>
      <c r="G100" s="362">
        <v>-832.61445714285719</v>
      </c>
      <c r="H100" s="360">
        <v>2619.1869428571422</v>
      </c>
      <c r="I100" s="363"/>
      <c r="J100" s="336">
        <v>0</v>
      </c>
      <c r="K100" s="352"/>
      <c r="L100" s="337">
        <v>2619.1869428571426</v>
      </c>
      <c r="M100" s="338">
        <v>2553.5383428571427</v>
      </c>
      <c r="N100" s="338" t="s">
        <v>100</v>
      </c>
      <c r="O100" s="360">
        <v>65.648600000000002</v>
      </c>
      <c r="P100" s="340">
        <v>48.3</v>
      </c>
      <c r="Q100" s="341">
        <v>7.0486000000000004</v>
      </c>
      <c r="R100" s="341"/>
      <c r="S100" s="358" t="s">
        <v>100</v>
      </c>
      <c r="T100" s="340">
        <v>10.300000000000002</v>
      </c>
      <c r="U100" s="341"/>
      <c r="V100" s="341" t="s">
        <v>100</v>
      </c>
      <c r="W100" s="343" t="s">
        <v>100</v>
      </c>
      <c r="X100" s="297"/>
      <c r="Y100" s="336">
        <v>463.97465714285727</v>
      </c>
      <c r="Z100" s="308"/>
      <c r="AA100" s="309">
        <v>2010</v>
      </c>
      <c r="AB100" s="417">
        <v>32.337028571428569</v>
      </c>
      <c r="AC100" s="332">
        <v>68.909914285714279</v>
      </c>
      <c r="AD100" s="356">
        <v>-45.645400000000002</v>
      </c>
      <c r="AE100" s="332">
        <v>-83.216399999999936</v>
      </c>
      <c r="AF100" s="332">
        <v>832.61445714285719</v>
      </c>
      <c r="AG100" s="356" t="s">
        <v>100</v>
      </c>
      <c r="AH100" s="357" t="s">
        <v>100</v>
      </c>
      <c r="AI100" s="334">
        <v>804.9996000000001</v>
      </c>
      <c r="AJ100" s="353"/>
      <c r="AK100" s="412">
        <v>0</v>
      </c>
      <c r="AL100" s="335"/>
      <c r="AM100" s="337">
        <v>804.99959999999999</v>
      </c>
      <c r="AN100" s="340" t="s">
        <v>100</v>
      </c>
      <c r="AO100" s="358">
        <v>384.36037142857145</v>
      </c>
      <c r="AP100" s="338">
        <v>420.63922857142853</v>
      </c>
      <c r="AQ100" s="340">
        <v>4.4000000000000021</v>
      </c>
      <c r="AR100" s="341">
        <v>416.23922857142855</v>
      </c>
      <c r="AS100" s="341"/>
      <c r="AT100" s="341"/>
      <c r="AU100" s="358" t="s">
        <v>100</v>
      </c>
      <c r="AV100" s="338" t="s">
        <v>100</v>
      </c>
      <c r="AW100" s="407" t="s">
        <v>100</v>
      </c>
      <c r="AX100" s="335"/>
      <c r="AY100" s="336">
        <v>279.08139999999992</v>
      </c>
      <c r="AZ100" s="414"/>
      <c r="BA100" s="257"/>
      <c r="BB100" s="257"/>
      <c r="BC100" s="257"/>
      <c r="BD100" s="257"/>
      <c r="BE100" s="257"/>
      <c r="BF100" s="257"/>
      <c r="BG100" s="264"/>
      <c r="BH100" s="257"/>
      <c r="BI100" s="257"/>
      <c r="BJ100" s="257"/>
      <c r="BK100" s="257"/>
      <c r="BL100" s="257"/>
      <c r="BM100" s="257"/>
      <c r="BN100" s="257"/>
      <c r="BO100" s="257"/>
      <c r="BP100" s="257"/>
      <c r="CA100" s="442">
        <v>2010</v>
      </c>
      <c r="CB100" s="361"/>
      <c r="CC100" s="355">
        <v>317.72632857142855</v>
      </c>
      <c r="CD100" s="486">
        <v>9.8207369999999994</v>
      </c>
      <c r="CE100" s="356">
        <v>-34.907031428571429</v>
      </c>
      <c r="CF100" s="485">
        <v>13.054952857142847</v>
      </c>
      <c r="CG100" s="488">
        <v>305.69498699999997</v>
      </c>
      <c r="CH100" s="335"/>
      <c r="CI100" s="412">
        <v>-5.1703700000000481</v>
      </c>
      <c r="CJ100" s="335"/>
      <c r="CK100" s="489">
        <v>310.86535700000002</v>
      </c>
      <c r="CL100" s="487">
        <v>0</v>
      </c>
      <c r="CM100" s="338">
        <v>310.86535700000002</v>
      </c>
      <c r="CN100" s="487">
        <v>0</v>
      </c>
      <c r="CO100" s="407">
        <v>310.86535700000002</v>
      </c>
      <c r="CP100" s="335"/>
      <c r="CQ100" s="336">
        <v>18.427050000000019</v>
      </c>
      <c r="CR100" s="414"/>
    </row>
    <row r="101" spans="1:96" s="275" customFormat="1" x14ac:dyDescent="0.45">
      <c r="A101" s="361">
        <v>2011</v>
      </c>
      <c r="B101" s="355">
        <v>4021.1770857142856</v>
      </c>
      <c r="C101" s="356">
        <v>0</v>
      </c>
      <c r="D101" s="356">
        <v>-427.1017714285714</v>
      </c>
      <c r="E101" s="356" t="s">
        <v>100</v>
      </c>
      <c r="F101" s="332">
        <v>-519.83982857142871</v>
      </c>
      <c r="G101" s="362">
        <v>-743.56088571428575</v>
      </c>
      <c r="H101" s="360">
        <v>2330.6745999999998</v>
      </c>
      <c r="I101" s="363"/>
      <c r="J101" s="336">
        <v>0</v>
      </c>
      <c r="K101" s="352"/>
      <c r="L101" s="337">
        <v>2330.6746000000003</v>
      </c>
      <c r="M101" s="338">
        <v>2286.7694285714288</v>
      </c>
      <c r="N101" s="338" t="s">
        <v>100</v>
      </c>
      <c r="O101" s="360">
        <v>43.905171428571421</v>
      </c>
      <c r="P101" s="340">
        <v>27.9</v>
      </c>
      <c r="Q101" s="341">
        <v>7.3051714285714286</v>
      </c>
      <c r="R101" s="341"/>
      <c r="S101" s="358" t="s">
        <v>100</v>
      </c>
      <c r="T101" s="340">
        <v>8.6999999999999993</v>
      </c>
      <c r="U101" s="341"/>
      <c r="V101" s="341" t="s">
        <v>100</v>
      </c>
      <c r="W101" s="343" t="s">
        <v>100</v>
      </c>
      <c r="X101" s="297"/>
      <c r="Y101" s="336">
        <v>972.30094285714313</v>
      </c>
      <c r="Z101" s="308"/>
      <c r="AA101" s="309">
        <v>2011</v>
      </c>
      <c r="AB101" s="417">
        <v>31.362914285714286</v>
      </c>
      <c r="AC101" s="332">
        <v>25.939685714285716</v>
      </c>
      <c r="AD101" s="356">
        <v>-39.753999999999998</v>
      </c>
      <c r="AE101" s="332">
        <v>-7.6646285714286648</v>
      </c>
      <c r="AF101" s="332">
        <v>743.56088571428575</v>
      </c>
      <c r="AG101" s="356" t="s">
        <v>100</v>
      </c>
      <c r="AH101" s="357" t="s">
        <v>100</v>
      </c>
      <c r="AI101" s="334">
        <v>753.44485714285713</v>
      </c>
      <c r="AJ101" s="353"/>
      <c r="AK101" s="412">
        <v>0</v>
      </c>
      <c r="AL101" s="335"/>
      <c r="AM101" s="337">
        <v>753.44485714285713</v>
      </c>
      <c r="AN101" s="340" t="s">
        <v>100</v>
      </c>
      <c r="AO101" s="358">
        <v>358.34168571428575</v>
      </c>
      <c r="AP101" s="338">
        <v>395.10317142857139</v>
      </c>
      <c r="AQ101" s="340">
        <v>6.9999999999999991</v>
      </c>
      <c r="AR101" s="341">
        <v>388.10317142857139</v>
      </c>
      <c r="AS101" s="341"/>
      <c r="AT101" s="341"/>
      <c r="AU101" s="358" t="s">
        <v>100</v>
      </c>
      <c r="AV101" s="338" t="s">
        <v>100</v>
      </c>
      <c r="AW101" s="407" t="s">
        <v>100</v>
      </c>
      <c r="AX101" s="335"/>
      <c r="AY101" s="336">
        <v>210.46625714285713</v>
      </c>
      <c r="AZ101" s="414"/>
      <c r="BA101" s="257"/>
      <c r="BB101" s="257"/>
      <c r="BC101" s="257"/>
      <c r="BD101" s="257"/>
      <c r="BE101" s="257"/>
      <c r="BF101" s="257"/>
      <c r="BG101" s="264"/>
      <c r="BH101" s="257"/>
      <c r="BI101" s="257"/>
      <c r="BJ101" s="257"/>
      <c r="BK101" s="257"/>
      <c r="BL101" s="257"/>
      <c r="BM101" s="257"/>
      <c r="BN101" s="257"/>
      <c r="BO101" s="257"/>
      <c r="BP101" s="257"/>
      <c r="CA101" s="442">
        <v>2011</v>
      </c>
      <c r="CB101" s="361"/>
      <c r="CC101" s="355">
        <v>289.44812999999999</v>
      </c>
      <c r="CD101" s="486">
        <v>21.030331</v>
      </c>
      <c r="CE101" s="356">
        <v>-32.042300000000004</v>
      </c>
      <c r="CF101" s="485">
        <v>-13.12116999999998</v>
      </c>
      <c r="CG101" s="488">
        <v>265.31499099999996</v>
      </c>
      <c r="CH101" s="335"/>
      <c r="CI101" s="412">
        <v>-4.2196500000000583</v>
      </c>
      <c r="CJ101" s="335"/>
      <c r="CK101" s="489">
        <v>269.53464100000002</v>
      </c>
      <c r="CL101" s="487">
        <v>0</v>
      </c>
      <c r="CM101" s="338">
        <v>269.53464100000002</v>
      </c>
      <c r="CN101" s="487">
        <v>0</v>
      </c>
      <c r="CO101" s="407">
        <v>269.53464100000002</v>
      </c>
      <c r="CP101" s="335"/>
      <c r="CQ101" s="336">
        <v>31.548220000000001</v>
      </c>
      <c r="CR101" s="414"/>
    </row>
    <row r="102" spans="1:96" s="275" customFormat="1" x14ac:dyDescent="0.45">
      <c r="A102" s="361">
        <v>2012</v>
      </c>
      <c r="B102" s="355">
        <v>3712.1459714285711</v>
      </c>
      <c r="C102" s="356">
        <v>146.78299999999999</v>
      </c>
      <c r="D102" s="356">
        <v>-449.69599999999997</v>
      </c>
      <c r="E102" s="356" t="s">
        <v>100</v>
      </c>
      <c r="F102" s="332">
        <v>340.67905714285723</v>
      </c>
      <c r="G102" s="362">
        <v>-1021.4226857142855</v>
      </c>
      <c r="H102" s="360">
        <v>2728.4893428571431</v>
      </c>
      <c r="I102" s="363"/>
      <c r="J102" s="336">
        <v>0</v>
      </c>
      <c r="K102" s="352"/>
      <c r="L102" s="337">
        <v>2728.4893428571431</v>
      </c>
      <c r="M102" s="338">
        <v>2673.6410571428573</v>
      </c>
      <c r="N102" s="338" t="s">
        <v>100</v>
      </c>
      <c r="O102" s="360">
        <v>54.848285714285716</v>
      </c>
      <c r="P102" s="340">
        <v>35.200000000000003</v>
      </c>
      <c r="Q102" s="341">
        <v>12.648285714285715</v>
      </c>
      <c r="R102" s="341"/>
      <c r="S102" s="358" t="s">
        <v>100</v>
      </c>
      <c r="T102" s="340">
        <v>7</v>
      </c>
      <c r="U102" s="341"/>
      <c r="V102" s="341" t="s">
        <v>100</v>
      </c>
      <c r="W102" s="343" t="s">
        <v>100</v>
      </c>
      <c r="X102" s="297"/>
      <c r="Y102" s="336">
        <v>393.46065714285737</v>
      </c>
      <c r="Z102" s="308"/>
      <c r="AA102" s="309">
        <v>2012</v>
      </c>
      <c r="AB102" s="417">
        <v>30.724914285714284</v>
      </c>
      <c r="AC102" s="332">
        <v>45.670657142857138</v>
      </c>
      <c r="AD102" s="356">
        <v>-70.569000000000003</v>
      </c>
      <c r="AE102" s="332">
        <v>-255.06191428571429</v>
      </c>
      <c r="AF102" s="332">
        <v>1021.2346857142857</v>
      </c>
      <c r="AG102" s="356" t="s">
        <v>100</v>
      </c>
      <c r="AH102" s="357" t="s">
        <v>100</v>
      </c>
      <c r="AI102" s="334">
        <v>771.99934285714278</v>
      </c>
      <c r="AJ102" s="353"/>
      <c r="AK102" s="412">
        <v>0</v>
      </c>
      <c r="AL102" s="335"/>
      <c r="AM102" s="337">
        <v>771.99934285714289</v>
      </c>
      <c r="AN102" s="340" t="s">
        <v>100</v>
      </c>
      <c r="AO102" s="358">
        <v>292.72559999999999</v>
      </c>
      <c r="AP102" s="338">
        <v>479.27374285714291</v>
      </c>
      <c r="AQ102" s="340">
        <v>10.1</v>
      </c>
      <c r="AR102" s="341">
        <v>469.17374285714288</v>
      </c>
      <c r="AS102" s="341"/>
      <c r="AT102" s="341"/>
      <c r="AU102" s="358" t="s">
        <v>100</v>
      </c>
      <c r="AV102" s="338" t="s">
        <v>100</v>
      </c>
      <c r="AW102" s="407" t="s">
        <v>100</v>
      </c>
      <c r="AX102" s="335"/>
      <c r="AY102" s="336">
        <v>436.73885714285717</v>
      </c>
      <c r="AZ102" s="414"/>
      <c r="BA102" s="257"/>
      <c r="BB102" s="257"/>
      <c r="BC102" s="257"/>
      <c r="BD102" s="257"/>
      <c r="BE102" s="257"/>
      <c r="BF102" s="257"/>
      <c r="BG102" s="264"/>
      <c r="BH102" s="257"/>
      <c r="BI102" s="257"/>
      <c r="BJ102" s="257"/>
      <c r="BK102" s="257"/>
      <c r="BL102" s="257"/>
      <c r="BM102" s="257"/>
      <c r="BN102" s="257"/>
      <c r="BO102" s="257"/>
      <c r="BP102" s="257"/>
      <c r="CA102" s="442">
        <v>2012</v>
      </c>
      <c r="CB102" s="361"/>
      <c r="CC102" s="355">
        <v>257.58398999999997</v>
      </c>
      <c r="CD102" s="486">
        <v>14.811471999999998</v>
      </c>
      <c r="CE102" s="356">
        <v>-31.803559999999997</v>
      </c>
      <c r="CF102" s="485">
        <v>7.3200399999999863</v>
      </c>
      <c r="CG102" s="488">
        <v>247.91194199999993</v>
      </c>
      <c r="CH102" s="335"/>
      <c r="CI102" s="412">
        <v>-4.7138300000000299</v>
      </c>
      <c r="CJ102" s="335"/>
      <c r="CK102" s="489">
        <v>252.62577199999996</v>
      </c>
      <c r="CL102" s="487" t="s">
        <v>100</v>
      </c>
      <c r="CM102" s="338">
        <v>252.62577199999996</v>
      </c>
      <c r="CN102" s="487" t="s">
        <v>100</v>
      </c>
      <c r="CO102" s="407">
        <v>252.62577199999996</v>
      </c>
      <c r="CP102" s="335"/>
      <c r="CQ102" s="336">
        <v>24.228180000000012</v>
      </c>
      <c r="CR102" s="414"/>
    </row>
    <row r="103" spans="1:96" s="275" customFormat="1" x14ac:dyDescent="0.45">
      <c r="A103" s="361">
        <v>2013</v>
      </c>
      <c r="B103" s="355">
        <v>3768.5636857142858</v>
      </c>
      <c r="C103" s="356">
        <v>763.61931428571427</v>
      </c>
      <c r="D103" s="356">
        <v>-75.400000000000006</v>
      </c>
      <c r="E103" s="356" t="s">
        <v>100</v>
      </c>
      <c r="F103" s="332">
        <v>178.33248571428581</v>
      </c>
      <c r="G103" s="362">
        <v>-1276.9368285714286</v>
      </c>
      <c r="H103" s="360">
        <v>3358.1786571428579</v>
      </c>
      <c r="I103" s="364"/>
      <c r="J103" s="336">
        <v>0</v>
      </c>
      <c r="K103" s="365"/>
      <c r="L103" s="337">
        <v>3358.178657142857</v>
      </c>
      <c r="M103" s="338">
        <v>3270.7848285714285</v>
      </c>
      <c r="N103" s="338" t="s">
        <v>100</v>
      </c>
      <c r="O103" s="360">
        <v>87.393828571428614</v>
      </c>
      <c r="P103" s="340">
        <v>69.100000000000009</v>
      </c>
      <c r="Q103" s="341">
        <v>12.59382857142857</v>
      </c>
      <c r="R103" s="341"/>
      <c r="S103" s="358" t="s">
        <v>100</v>
      </c>
      <c r="T103" s="340">
        <v>5.7000000000000357</v>
      </c>
      <c r="U103" s="341"/>
      <c r="V103" s="341" t="s">
        <v>100</v>
      </c>
      <c r="W103" s="343" t="s">
        <v>100</v>
      </c>
      <c r="X103" s="366"/>
      <c r="Y103" s="336">
        <v>215.12817140146532</v>
      </c>
      <c r="Z103" s="308"/>
      <c r="AA103" s="309">
        <v>2013</v>
      </c>
      <c r="AB103" s="417">
        <v>31.722514285714283</v>
      </c>
      <c r="AC103" s="332">
        <v>55.302914285714287</v>
      </c>
      <c r="AD103" s="356">
        <v>-11.334</v>
      </c>
      <c r="AE103" s="332">
        <v>-283.31825714285691</v>
      </c>
      <c r="AF103" s="332">
        <v>1276.9488285714285</v>
      </c>
      <c r="AG103" s="356" t="s">
        <v>100</v>
      </c>
      <c r="AH103" s="357" t="s">
        <v>100</v>
      </c>
      <c r="AI103" s="334">
        <v>1069.3220000000001</v>
      </c>
      <c r="AJ103" s="418"/>
      <c r="AK103" s="412">
        <v>0</v>
      </c>
      <c r="AL103" s="419"/>
      <c r="AM103" s="337">
        <v>1069.3220000000001</v>
      </c>
      <c r="AN103" s="340" t="s">
        <v>100</v>
      </c>
      <c r="AO103" s="358">
        <v>442.26657142937142</v>
      </c>
      <c r="AP103" s="338">
        <v>627.05542857062858</v>
      </c>
      <c r="AQ103" s="340">
        <v>13.900000000000002</v>
      </c>
      <c r="AR103" s="341">
        <v>613.1554285706286</v>
      </c>
      <c r="AS103" s="341"/>
      <c r="AT103" s="341"/>
      <c r="AU103" s="358" t="s">
        <v>100</v>
      </c>
      <c r="AV103" s="338" t="s">
        <v>100</v>
      </c>
      <c r="AW103" s="407" t="s">
        <v>100</v>
      </c>
      <c r="AX103" s="419"/>
      <c r="AY103" s="336">
        <v>720.05711619047599</v>
      </c>
      <c r="AZ103" s="414"/>
      <c r="BA103" s="257"/>
      <c r="BB103" s="257"/>
      <c r="BC103" s="257"/>
      <c r="BD103" s="257"/>
      <c r="BE103" s="257"/>
      <c r="BF103" s="257"/>
      <c r="BG103" s="264"/>
      <c r="BH103" s="257"/>
      <c r="BI103" s="257"/>
      <c r="BJ103" s="257"/>
      <c r="BK103" s="257"/>
      <c r="BL103" s="257"/>
      <c r="BM103" s="257"/>
      <c r="BN103" s="257"/>
      <c r="BO103" s="257"/>
      <c r="BP103" s="257"/>
      <c r="CA103" s="442">
        <v>2013</v>
      </c>
      <c r="CB103" s="361"/>
      <c r="CC103" s="355">
        <v>335.77648000000005</v>
      </c>
      <c r="CD103" s="486">
        <v>14.656328</v>
      </c>
      <c r="CE103" s="356">
        <v>-30.451319999999999</v>
      </c>
      <c r="CF103" s="485">
        <v>-17.314562551523348</v>
      </c>
      <c r="CG103" s="488">
        <v>302.66692544847666</v>
      </c>
      <c r="CH103" s="490"/>
      <c r="CI103" s="412">
        <v>-1.4764660044183415</v>
      </c>
      <c r="CJ103" s="490"/>
      <c r="CK103" s="489">
        <v>304.143391452895</v>
      </c>
      <c r="CL103" s="487" t="s">
        <v>100</v>
      </c>
      <c r="CM103" s="338">
        <v>304.143391452895</v>
      </c>
      <c r="CN103" s="487" t="s">
        <v>100</v>
      </c>
      <c r="CO103" s="407">
        <v>304.143391452895</v>
      </c>
      <c r="CP103" s="490"/>
      <c r="CQ103" s="336">
        <v>41.542742551523361</v>
      </c>
      <c r="CR103" s="414"/>
    </row>
    <row r="104" spans="1:96" s="275" customFormat="1" x14ac:dyDescent="0.45">
      <c r="A104" s="361">
        <v>2014</v>
      </c>
      <c r="B104" s="355">
        <v>3601.4653142857142</v>
      </c>
      <c r="C104" s="356">
        <v>822.76354285714274</v>
      </c>
      <c r="D104" s="356">
        <v>-85.3</v>
      </c>
      <c r="E104" s="356" t="s">
        <v>100</v>
      </c>
      <c r="F104" s="332">
        <v>-64.484799999999751</v>
      </c>
      <c r="G104" s="362">
        <v>-1075.329542857143</v>
      </c>
      <c r="H104" s="360">
        <v>3199.114514285714</v>
      </c>
      <c r="I104" s="364"/>
      <c r="J104" s="336">
        <v>0</v>
      </c>
      <c r="K104" s="365"/>
      <c r="L104" s="337">
        <v>3199.1145142857144</v>
      </c>
      <c r="M104" s="338">
        <v>3144.4427142857144</v>
      </c>
      <c r="N104" s="338" t="s">
        <v>100</v>
      </c>
      <c r="O104" s="360">
        <v>54.671800000000019</v>
      </c>
      <c r="P104" s="340">
        <v>35.200000000000003</v>
      </c>
      <c r="Q104" s="341">
        <v>13.671800000000001</v>
      </c>
      <c r="R104" s="341"/>
      <c r="S104" s="358" t="s">
        <v>100</v>
      </c>
      <c r="T104" s="340">
        <v>5.8000000000000087</v>
      </c>
      <c r="U104" s="341"/>
      <c r="V104" s="341" t="s">
        <v>100</v>
      </c>
      <c r="W104" s="343" t="s">
        <v>100</v>
      </c>
      <c r="X104" s="366"/>
      <c r="Y104" s="336">
        <v>279.61297568717936</v>
      </c>
      <c r="Z104" s="308"/>
      <c r="AA104" s="309">
        <v>2014</v>
      </c>
      <c r="AB104" s="417">
        <v>30.887228571428572</v>
      </c>
      <c r="AC104" s="332">
        <v>102.71394285714285</v>
      </c>
      <c r="AD104" s="356">
        <v>-3.0999999999999996</v>
      </c>
      <c r="AE104" s="332">
        <v>-131.60940000000016</v>
      </c>
      <c r="AF104" s="332">
        <v>1070.811542857143</v>
      </c>
      <c r="AG104" s="356" t="s">
        <v>100</v>
      </c>
      <c r="AH104" s="357" t="s">
        <v>100</v>
      </c>
      <c r="AI104" s="334">
        <v>1069.7033142857142</v>
      </c>
      <c r="AJ104" s="418"/>
      <c r="AK104" s="412">
        <v>0</v>
      </c>
      <c r="AL104" s="419"/>
      <c r="AM104" s="337">
        <v>1069.7033142857142</v>
      </c>
      <c r="AN104" s="340" t="s">
        <v>100</v>
      </c>
      <c r="AO104" s="358">
        <v>440.38725714285715</v>
      </c>
      <c r="AP104" s="338">
        <v>629.31605714285706</v>
      </c>
      <c r="AQ104" s="340">
        <v>9.3000000000000007</v>
      </c>
      <c r="AR104" s="341">
        <v>620.01605714285711</v>
      </c>
      <c r="AS104" s="341"/>
      <c r="AT104" s="341"/>
      <c r="AU104" s="358" t="s">
        <v>100</v>
      </c>
      <c r="AV104" s="338" t="s">
        <v>100</v>
      </c>
      <c r="AW104" s="407" t="s">
        <v>100</v>
      </c>
      <c r="AX104" s="419"/>
      <c r="AY104" s="336">
        <v>851.66651904761909</v>
      </c>
      <c r="AZ104" s="414"/>
      <c r="BA104" s="257"/>
      <c r="BB104" s="257"/>
      <c r="BC104" s="257"/>
      <c r="BD104" s="257"/>
      <c r="BE104" s="257"/>
      <c r="BF104" s="257"/>
      <c r="BG104" s="264"/>
      <c r="BH104" s="257"/>
      <c r="BI104" s="257"/>
      <c r="BJ104" s="257"/>
      <c r="BK104" s="257"/>
      <c r="BL104" s="257"/>
      <c r="BM104" s="257"/>
      <c r="BN104" s="257"/>
      <c r="BO104" s="257"/>
      <c r="BP104" s="257"/>
      <c r="CA104" s="442">
        <v>2014</v>
      </c>
      <c r="CB104" s="361"/>
      <c r="CC104" s="355">
        <v>274.05318</v>
      </c>
      <c r="CD104" s="486">
        <v>14.381913000000001</v>
      </c>
      <c r="CE104" s="356">
        <v>-23.737019999999998</v>
      </c>
      <c r="CF104" s="485">
        <v>-15.45182999999999</v>
      </c>
      <c r="CG104" s="488">
        <v>249.24624300000002</v>
      </c>
      <c r="CH104" s="490"/>
      <c r="CI104" s="412">
        <v>-0.58333000000001789</v>
      </c>
      <c r="CJ104" s="490"/>
      <c r="CK104" s="489">
        <v>249.82957300000004</v>
      </c>
      <c r="CL104" s="487" t="s">
        <v>100</v>
      </c>
      <c r="CM104" s="338">
        <v>249.82957300000004</v>
      </c>
      <c r="CN104" s="487" t="s">
        <v>100</v>
      </c>
      <c r="CO104" s="407">
        <v>249.82957300000004</v>
      </c>
      <c r="CP104" s="490"/>
      <c r="CQ104" s="336">
        <v>56.994572551523348</v>
      </c>
      <c r="CR104" s="414"/>
    </row>
    <row r="105" spans="1:96" s="275" customFormat="1" x14ac:dyDescent="0.45">
      <c r="A105" s="361">
        <v>2015</v>
      </c>
      <c r="B105" s="355">
        <v>2716.2990285714286</v>
      </c>
      <c r="C105" s="356">
        <v>1005.7633142857142</v>
      </c>
      <c r="D105" s="356">
        <v>-82.785714285714278</v>
      </c>
      <c r="E105" s="356" t="s">
        <v>100</v>
      </c>
      <c r="F105" s="332">
        <v>184.34440000000006</v>
      </c>
      <c r="G105" s="362">
        <v>-970.19399999999996</v>
      </c>
      <c r="H105" s="360">
        <v>2853.4270285714283</v>
      </c>
      <c r="I105" s="364"/>
      <c r="J105" s="336">
        <v>0</v>
      </c>
      <c r="K105" s="365"/>
      <c r="L105" s="337">
        <v>2853.4270285714288</v>
      </c>
      <c r="M105" s="338">
        <v>2823.4928285714286</v>
      </c>
      <c r="N105" s="338" t="s">
        <v>100</v>
      </c>
      <c r="O105" s="360">
        <v>29.934199999999933</v>
      </c>
      <c r="P105" s="340">
        <v>12.799999999999979</v>
      </c>
      <c r="Q105" s="341">
        <v>14.5342</v>
      </c>
      <c r="R105" s="341"/>
      <c r="S105" s="358" t="s">
        <v>100</v>
      </c>
      <c r="T105" s="340">
        <v>2.599999999999953</v>
      </c>
      <c r="U105" s="341"/>
      <c r="V105" s="341" t="s">
        <v>100</v>
      </c>
      <c r="W105" s="343" t="s">
        <v>100</v>
      </c>
      <c r="X105" s="366"/>
      <c r="Y105" s="336">
        <v>95.268572774014103</v>
      </c>
      <c r="Z105" s="308"/>
      <c r="AA105" s="309">
        <v>2015</v>
      </c>
      <c r="AB105" s="417">
        <v>17.918942857142859</v>
      </c>
      <c r="AC105" s="332">
        <v>106.7144857142857</v>
      </c>
      <c r="AD105" s="356">
        <v>-7.1950000000000003</v>
      </c>
      <c r="AE105" s="332">
        <v>-123.05588571428564</v>
      </c>
      <c r="AF105" s="332">
        <v>967.24600000000009</v>
      </c>
      <c r="AG105" s="356" t="s">
        <v>100</v>
      </c>
      <c r="AH105" s="357" t="s">
        <v>100</v>
      </c>
      <c r="AI105" s="334">
        <v>961.62854285714297</v>
      </c>
      <c r="AJ105" s="418"/>
      <c r="AK105" s="412">
        <v>0</v>
      </c>
      <c r="AL105" s="419"/>
      <c r="AM105" s="337">
        <v>961.62854285714297</v>
      </c>
      <c r="AN105" s="340" t="s">
        <v>100</v>
      </c>
      <c r="AO105" s="358">
        <v>433.36594285714284</v>
      </c>
      <c r="AP105" s="338">
        <v>528.26260000000013</v>
      </c>
      <c r="AQ105" s="340">
        <v>3.6999999999999975</v>
      </c>
      <c r="AR105" s="341">
        <v>524.56260000000009</v>
      </c>
      <c r="AS105" s="341"/>
      <c r="AT105" s="341"/>
      <c r="AU105" s="358" t="s">
        <v>100</v>
      </c>
      <c r="AV105" s="338" t="s">
        <v>100</v>
      </c>
      <c r="AW105" s="407" t="s">
        <v>100</v>
      </c>
      <c r="AX105" s="419"/>
      <c r="AY105" s="336">
        <v>974.72240476190473</v>
      </c>
      <c r="AZ105" s="414"/>
      <c r="BA105" s="257"/>
      <c r="BB105" s="257"/>
      <c r="BC105" s="257"/>
      <c r="BD105" s="257"/>
      <c r="BE105" s="257"/>
      <c r="BF105" s="257"/>
      <c r="BG105" s="264"/>
      <c r="BH105" s="257"/>
      <c r="BI105" s="257"/>
      <c r="BJ105" s="257"/>
      <c r="BK105" s="257"/>
      <c r="BL105" s="257"/>
      <c r="BM105" s="257"/>
      <c r="BN105" s="257"/>
      <c r="BO105" s="257"/>
      <c r="BP105" s="257"/>
      <c r="CA105" s="442">
        <v>2015</v>
      </c>
      <c r="CB105" s="361"/>
      <c r="CC105" s="355">
        <v>230.82646</v>
      </c>
      <c r="CD105" s="486">
        <v>19.610983000000001</v>
      </c>
      <c r="CE105" s="356">
        <v>-21.514099999999999</v>
      </c>
      <c r="CF105" s="485">
        <v>3.0805599999999913</v>
      </c>
      <c r="CG105" s="488">
        <v>232.00390299999998</v>
      </c>
      <c r="CH105" s="490"/>
      <c r="CI105" s="412">
        <v>2.3979999999994561E-2</v>
      </c>
      <c r="CJ105" s="490"/>
      <c r="CK105" s="489">
        <v>231.97992299999999</v>
      </c>
      <c r="CL105" s="487" t="s">
        <v>100</v>
      </c>
      <c r="CM105" s="338">
        <v>231.97992299999999</v>
      </c>
      <c r="CN105" s="487" t="s">
        <v>100</v>
      </c>
      <c r="CO105" s="407">
        <v>231.97992299999999</v>
      </c>
      <c r="CP105" s="490"/>
      <c r="CQ105" s="336">
        <v>53.914012551523356</v>
      </c>
      <c r="CR105" s="414"/>
    </row>
    <row r="106" spans="1:96" s="275" customFormat="1" x14ac:dyDescent="0.45">
      <c r="A106" s="361">
        <v>2016</v>
      </c>
      <c r="B106" s="355">
        <v>1331.75</v>
      </c>
      <c r="C106" s="356">
        <v>1109.6378285714286</v>
      </c>
      <c r="D106" s="356" t="s">
        <v>100</v>
      </c>
      <c r="E106" s="356" t="s">
        <v>100</v>
      </c>
      <c r="F106" s="332">
        <v>-110.39642857142859</v>
      </c>
      <c r="G106" s="362">
        <v>-458.89894285714291</v>
      </c>
      <c r="H106" s="360">
        <v>1872.092457142857</v>
      </c>
      <c r="I106" s="364"/>
      <c r="J106" s="336">
        <v>0</v>
      </c>
      <c r="K106" s="365"/>
      <c r="L106" s="337">
        <v>1872.0924571428573</v>
      </c>
      <c r="M106" s="338">
        <v>1860.1225714285715</v>
      </c>
      <c r="N106" s="338" t="s">
        <v>100</v>
      </c>
      <c r="O106" s="360">
        <v>11.969885714285722</v>
      </c>
      <c r="P106" s="340">
        <v>2.5412473161648392E-15</v>
      </c>
      <c r="Q106" s="341">
        <v>11.969885714285715</v>
      </c>
      <c r="R106" s="341"/>
      <c r="S106" s="358" t="s">
        <v>100</v>
      </c>
      <c r="T106" s="340">
        <v>4.7369515243644853E-15</v>
      </c>
      <c r="U106" s="341"/>
      <c r="V106" s="341" t="s">
        <v>100</v>
      </c>
      <c r="W106" s="343" t="s">
        <v>100</v>
      </c>
      <c r="X106" s="366"/>
      <c r="Y106" s="336">
        <v>205.66500120258553</v>
      </c>
      <c r="Z106" s="308"/>
      <c r="AA106" s="309">
        <v>2016</v>
      </c>
      <c r="AB106" s="417">
        <v>16.014599999999998</v>
      </c>
      <c r="AC106" s="332">
        <v>112.01299999999999</v>
      </c>
      <c r="AD106" s="356" t="s">
        <v>100</v>
      </c>
      <c r="AE106" s="332">
        <v>0.90725714285701997</v>
      </c>
      <c r="AF106" s="332">
        <v>454.88394285714287</v>
      </c>
      <c r="AG106" s="356" t="s">
        <v>100</v>
      </c>
      <c r="AH106" s="357" t="s">
        <v>100</v>
      </c>
      <c r="AI106" s="334">
        <v>583.8187999999999</v>
      </c>
      <c r="AJ106" s="418"/>
      <c r="AK106" s="412">
        <v>0</v>
      </c>
      <c r="AL106" s="419"/>
      <c r="AM106" s="337">
        <v>583.81880000000001</v>
      </c>
      <c r="AN106" s="340" t="s">
        <v>100</v>
      </c>
      <c r="AO106" s="358">
        <v>279.89562857142857</v>
      </c>
      <c r="AP106" s="338">
        <v>303.92317142857144</v>
      </c>
      <c r="AQ106" s="340" t="s">
        <v>100</v>
      </c>
      <c r="AR106" s="341">
        <v>303.92317142857144</v>
      </c>
      <c r="AS106" s="341"/>
      <c r="AT106" s="341"/>
      <c r="AU106" s="358" t="s">
        <v>100</v>
      </c>
      <c r="AV106" s="338" t="s">
        <v>100</v>
      </c>
      <c r="AW106" s="407" t="s">
        <v>100</v>
      </c>
      <c r="AX106" s="419"/>
      <c r="AY106" s="336">
        <v>973.81514776190477</v>
      </c>
      <c r="AZ106" s="414"/>
      <c r="BA106" s="257"/>
      <c r="BB106" s="257"/>
      <c r="BC106" s="257"/>
      <c r="BD106" s="257"/>
      <c r="BE106" s="257"/>
      <c r="BF106" s="257"/>
      <c r="BG106" s="264"/>
      <c r="BH106" s="257"/>
      <c r="BI106" s="257"/>
      <c r="BJ106" s="257"/>
      <c r="BK106" s="257"/>
      <c r="BL106" s="257"/>
      <c r="BM106" s="257"/>
      <c r="BN106" s="257"/>
      <c r="BO106" s="257"/>
      <c r="BP106" s="257"/>
      <c r="CA106" s="442">
        <v>2016</v>
      </c>
      <c r="CB106" s="361"/>
      <c r="CC106" s="355">
        <v>245.15309999999999</v>
      </c>
      <c r="CD106" s="486">
        <v>28.892609</v>
      </c>
      <c r="CE106" s="356">
        <v>-22.38008</v>
      </c>
      <c r="CF106" s="485">
        <v>-16.084740000000014</v>
      </c>
      <c r="CG106" s="488">
        <v>235.58088899999998</v>
      </c>
      <c r="CH106" s="490"/>
      <c r="CI106" s="412">
        <v>7.6940000000007558E-2</v>
      </c>
      <c r="CJ106" s="490"/>
      <c r="CK106" s="489">
        <v>235.50394899999998</v>
      </c>
      <c r="CL106" s="487" t="s">
        <v>100</v>
      </c>
      <c r="CM106" s="338">
        <v>235.50394899999998</v>
      </c>
      <c r="CN106" s="487" t="s">
        <v>100</v>
      </c>
      <c r="CO106" s="407">
        <v>235.50394899999998</v>
      </c>
      <c r="CP106" s="490"/>
      <c r="CQ106" s="336">
        <v>69.998752551523381</v>
      </c>
      <c r="CR106" s="414"/>
    </row>
    <row r="107" spans="1:96" s="275" customFormat="1" x14ac:dyDescent="0.45">
      <c r="A107" s="361">
        <v>2017</v>
      </c>
      <c r="B107" s="355">
        <v>1360.9174642857142</v>
      </c>
      <c r="C107" s="356">
        <v>849.31700000000001</v>
      </c>
      <c r="D107" s="356" t="s">
        <v>100</v>
      </c>
      <c r="E107" s="356" t="s">
        <v>100</v>
      </c>
      <c r="F107" s="332">
        <v>-231.64482142857145</v>
      </c>
      <c r="G107" s="362">
        <v>-215.03892857142858</v>
      </c>
      <c r="H107" s="360">
        <v>1763.5507142857141</v>
      </c>
      <c r="I107" s="364"/>
      <c r="J107" s="336">
        <v>0</v>
      </c>
      <c r="K107" s="365"/>
      <c r="L107" s="337">
        <v>1763.5507142857143</v>
      </c>
      <c r="M107" s="338">
        <v>1756.55025</v>
      </c>
      <c r="N107" s="338" t="s">
        <v>100</v>
      </c>
      <c r="O107" s="360">
        <v>7.0004642857142851</v>
      </c>
      <c r="P107" s="340">
        <v>1.7108905485368638E-16</v>
      </c>
      <c r="Q107" s="341">
        <v>7.0004642857142851</v>
      </c>
      <c r="R107" s="341"/>
      <c r="S107" s="358" t="s">
        <v>100</v>
      </c>
      <c r="T107" s="340" t="s">
        <v>100</v>
      </c>
      <c r="U107" s="341"/>
      <c r="V107" s="341" t="s">
        <v>100</v>
      </c>
      <c r="W107" s="343" t="s">
        <v>100</v>
      </c>
      <c r="X107" s="366"/>
      <c r="Y107" s="336">
        <v>437.30981834544269</v>
      </c>
      <c r="Z107" s="308"/>
      <c r="AA107" s="309">
        <v>2017</v>
      </c>
      <c r="AB107" s="417">
        <v>17.897142857142857</v>
      </c>
      <c r="AC107" s="332">
        <v>93.501821428571418</v>
      </c>
      <c r="AD107" s="356" t="s">
        <v>100</v>
      </c>
      <c r="AE107" s="332">
        <v>225.83521428571419</v>
      </c>
      <c r="AF107" s="332">
        <v>211.31321428571428</v>
      </c>
      <c r="AG107" s="356" t="s">
        <v>100</v>
      </c>
      <c r="AH107" s="357" t="s">
        <v>100</v>
      </c>
      <c r="AI107" s="334">
        <v>548.54739285714277</v>
      </c>
      <c r="AJ107" s="418"/>
      <c r="AK107" s="412">
        <v>0</v>
      </c>
      <c r="AL107" s="419"/>
      <c r="AM107" s="337">
        <v>548.54739285714277</v>
      </c>
      <c r="AN107" s="340" t="s">
        <v>100</v>
      </c>
      <c r="AO107" s="358">
        <v>260.03592857142854</v>
      </c>
      <c r="AP107" s="338">
        <v>288.51146428571428</v>
      </c>
      <c r="AQ107" s="340" t="s">
        <v>100</v>
      </c>
      <c r="AR107" s="341">
        <v>288.51146428571428</v>
      </c>
      <c r="AS107" s="341"/>
      <c r="AT107" s="341"/>
      <c r="AU107" s="358" t="s">
        <v>100</v>
      </c>
      <c r="AV107" s="338" t="s">
        <v>100</v>
      </c>
      <c r="AW107" s="407" t="s">
        <v>100</v>
      </c>
      <c r="AX107" s="419"/>
      <c r="AY107" s="336">
        <v>747.9799363333334</v>
      </c>
      <c r="AZ107" s="414"/>
      <c r="BA107" s="257"/>
      <c r="BB107" s="257"/>
      <c r="BC107" s="257"/>
      <c r="BD107" s="257"/>
      <c r="BE107" s="257"/>
      <c r="BF107" s="257"/>
      <c r="BG107" s="264"/>
      <c r="BH107" s="257"/>
      <c r="BI107" s="257"/>
      <c r="BJ107" s="257"/>
      <c r="BK107" s="257"/>
      <c r="BL107" s="257"/>
      <c r="BM107" s="257"/>
      <c r="BN107" s="257"/>
      <c r="BO107" s="257"/>
      <c r="BP107" s="257"/>
      <c r="CA107" s="442">
        <v>2017</v>
      </c>
      <c r="CB107" s="361"/>
      <c r="CC107" s="355">
        <v>201.15729999999996</v>
      </c>
      <c r="CD107" s="486">
        <v>57.130270999999993</v>
      </c>
      <c r="CE107" s="356">
        <v>-19.631619999999998</v>
      </c>
      <c r="CF107" s="485">
        <v>2.9106000000000272</v>
      </c>
      <c r="CG107" s="488">
        <v>241.56655099999998</v>
      </c>
      <c r="CH107" s="490"/>
      <c r="CI107" s="412">
        <v>-0.65712000000004878</v>
      </c>
      <c r="CJ107" s="490"/>
      <c r="CK107" s="489">
        <v>242.22367100000002</v>
      </c>
      <c r="CL107" s="487" t="s">
        <v>100</v>
      </c>
      <c r="CM107" s="338">
        <v>242.22367100000002</v>
      </c>
      <c r="CN107" s="487" t="s">
        <v>100</v>
      </c>
      <c r="CO107" s="407">
        <v>242.22367100000002</v>
      </c>
      <c r="CP107" s="490"/>
      <c r="CQ107" s="336">
        <v>67.088152551523351</v>
      </c>
      <c r="CR107" s="414"/>
    </row>
    <row r="108" spans="1:96" s="275" customFormat="1" ht="14.65" thickBot="1" x14ac:dyDescent="0.5">
      <c r="A108" s="367">
        <v>2018</v>
      </c>
      <c r="B108" s="368">
        <v>1263.0639999999999</v>
      </c>
      <c r="C108" s="369">
        <v>739.33300000000008</v>
      </c>
      <c r="D108" s="369" t="s">
        <v>100</v>
      </c>
      <c r="E108" s="369" t="s">
        <v>100</v>
      </c>
      <c r="F108" s="370">
        <v>-235.19999999999982</v>
      </c>
      <c r="G108" s="371">
        <v>-213.48600000000002</v>
      </c>
      <c r="H108" s="372">
        <v>1553.711</v>
      </c>
      <c r="I108" s="373"/>
      <c r="J108" s="374">
        <v>0</v>
      </c>
      <c r="K108" s="365"/>
      <c r="L108" s="375">
        <v>1553.7109999999998</v>
      </c>
      <c r="M108" s="376">
        <v>1551.6849999999997</v>
      </c>
      <c r="N108" s="376" t="s">
        <v>100</v>
      </c>
      <c r="O108" s="372">
        <v>2.0259999999999949</v>
      </c>
      <c r="P108" s="377">
        <v>0</v>
      </c>
      <c r="Q108" s="378">
        <v>2.0259999999999998</v>
      </c>
      <c r="R108" s="378"/>
      <c r="S108" s="379" t="s">
        <v>100</v>
      </c>
      <c r="T108" s="377" t="s">
        <v>100</v>
      </c>
      <c r="U108" s="378"/>
      <c r="V108" s="378" t="s">
        <v>100</v>
      </c>
      <c r="W108" s="380" t="s">
        <v>100</v>
      </c>
      <c r="X108" s="366"/>
      <c r="Y108" s="374">
        <v>672.51082263115677</v>
      </c>
      <c r="Z108" s="308"/>
      <c r="AA108" s="420">
        <v>2018</v>
      </c>
      <c r="AB108" s="421">
        <v>17.183</v>
      </c>
      <c r="AC108" s="370">
        <v>230.16800000000001</v>
      </c>
      <c r="AD108" s="369" t="s">
        <v>100</v>
      </c>
      <c r="AE108" s="370">
        <v>148.16999857142844</v>
      </c>
      <c r="AF108" s="370">
        <v>196.90599999999998</v>
      </c>
      <c r="AG108" s="369" t="s">
        <v>100</v>
      </c>
      <c r="AH108" s="422" t="s">
        <v>100</v>
      </c>
      <c r="AI108" s="423">
        <v>592.42699857142838</v>
      </c>
      <c r="AJ108" s="353"/>
      <c r="AK108" s="424">
        <v>0</v>
      </c>
      <c r="AL108" s="335"/>
      <c r="AM108" s="375">
        <v>592.42700000000002</v>
      </c>
      <c r="AN108" s="377" t="s">
        <v>100</v>
      </c>
      <c r="AO108" s="379">
        <v>323.40300000000002</v>
      </c>
      <c r="AP108" s="376">
        <v>269.024</v>
      </c>
      <c r="AQ108" s="377" t="s">
        <v>100</v>
      </c>
      <c r="AR108" s="378">
        <v>269.024</v>
      </c>
      <c r="AS108" s="378"/>
      <c r="AT108" s="378"/>
      <c r="AU108" s="379" t="s">
        <v>100</v>
      </c>
      <c r="AV108" s="376" t="s">
        <v>100</v>
      </c>
      <c r="AW108" s="425" t="s">
        <v>100</v>
      </c>
      <c r="AX108" s="335"/>
      <c r="AY108" s="374">
        <v>599.80993347619074</v>
      </c>
      <c r="AZ108" s="414"/>
      <c r="BA108" s="257"/>
      <c r="BB108" s="257"/>
      <c r="BC108" s="257"/>
      <c r="BD108" s="257"/>
      <c r="BE108" s="257"/>
      <c r="BF108" s="257"/>
      <c r="BG108" s="264"/>
      <c r="BH108" s="257"/>
      <c r="BI108" s="257"/>
      <c r="BJ108" s="257"/>
      <c r="BK108" s="257"/>
      <c r="BL108" s="257"/>
      <c r="BM108" s="257"/>
      <c r="BN108" s="257"/>
      <c r="BO108" s="257"/>
      <c r="BP108" s="257"/>
      <c r="CA108" s="491">
        <v>2018</v>
      </c>
      <c r="CB108" s="492"/>
      <c r="CC108" s="493">
        <v>197.18549999999999</v>
      </c>
      <c r="CD108" s="494">
        <v>33.305633</v>
      </c>
      <c r="CE108" s="495">
        <v>-11.722760000000001</v>
      </c>
      <c r="CF108" s="496">
        <v>20.641819999999981</v>
      </c>
      <c r="CG108" s="497">
        <v>239.41019299999999</v>
      </c>
      <c r="CH108" s="336"/>
      <c r="CI108" s="424">
        <v>-0.65171999999995478</v>
      </c>
      <c r="CJ108" s="336"/>
      <c r="CK108" s="498">
        <v>240.06191299999995</v>
      </c>
      <c r="CL108" s="499" t="s">
        <v>100</v>
      </c>
      <c r="CM108" s="500">
        <v>240.06191299999995</v>
      </c>
      <c r="CN108" s="500" t="s">
        <v>100</v>
      </c>
      <c r="CO108" s="501">
        <v>240.06191299999995</v>
      </c>
      <c r="CP108" s="336"/>
      <c r="CQ108" s="502">
        <v>46.446332551523369</v>
      </c>
      <c r="CR108" s="414"/>
    </row>
    <row r="109" spans="1:96" s="275" customFormat="1" x14ac:dyDescent="0.45">
      <c r="A109" s="359"/>
      <c r="B109" s="359"/>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AA109" s="359"/>
      <c r="AB109" s="359"/>
      <c r="AC109" s="359"/>
      <c r="AD109" s="359"/>
      <c r="AE109" s="359"/>
      <c r="AF109" s="359"/>
      <c r="AG109" s="359"/>
      <c r="AH109" s="359"/>
      <c r="AI109" s="359"/>
      <c r="AJ109" s="359"/>
      <c r="AK109" s="359"/>
      <c r="AL109" s="359"/>
      <c r="AM109" s="359"/>
      <c r="AN109" s="359"/>
      <c r="AO109" s="359"/>
      <c r="AP109" s="359"/>
      <c r="AQ109" s="359"/>
      <c r="AR109" s="359"/>
      <c r="AS109" s="359"/>
      <c r="AT109" s="359"/>
      <c r="AU109" s="359"/>
      <c r="AV109" s="359"/>
      <c r="AW109" s="359"/>
      <c r="AX109" s="359"/>
      <c r="AY109" s="359"/>
      <c r="AZ109" s="306"/>
      <c r="BA109" s="257"/>
      <c r="BB109" s="257"/>
      <c r="BC109" s="257"/>
      <c r="BD109" s="257"/>
      <c r="BE109" s="257"/>
      <c r="BF109" s="257"/>
      <c r="BG109" s="264"/>
      <c r="BH109" s="257"/>
      <c r="BI109" s="257"/>
      <c r="BJ109" s="257"/>
      <c r="BK109" s="257"/>
      <c r="BL109" s="257"/>
      <c r="BM109"/>
      <c r="BN109" s="257"/>
      <c r="BO109" s="257"/>
      <c r="BP109" s="257"/>
      <c r="CA109" s="359"/>
      <c r="CB109" s="359"/>
      <c r="CC109" s="359"/>
      <c r="CD109" s="359"/>
      <c r="CE109" s="359"/>
      <c r="CF109" s="359"/>
      <c r="CG109" s="359"/>
      <c r="CH109" s="359"/>
      <c r="CI109" s="359"/>
      <c r="CJ109" s="359"/>
      <c r="CK109" s="359"/>
      <c r="CL109" s="359"/>
      <c r="CM109" s="359"/>
      <c r="CN109" s="359"/>
      <c r="CO109" s="359"/>
      <c r="CP109" s="359"/>
      <c r="CQ109" s="359"/>
      <c r="CR109" s="306"/>
    </row>
    <row r="110" spans="1:96" s="384" customFormat="1" ht="12.75" customHeight="1" x14ac:dyDescent="0.45">
      <c r="A110" s="381"/>
      <c r="B110" s="382" t="s">
        <v>832</v>
      </c>
      <c r="C110" s="381"/>
      <c r="D110" s="381"/>
      <c r="E110" s="381"/>
      <c r="F110" s="381"/>
      <c r="G110" s="382" t="s">
        <v>833</v>
      </c>
      <c r="H110" s="381"/>
      <c r="I110" s="381"/>
      <c r="J110" s="381"/>
      <c r="K110" s="381"/>
      <c r="L110" s="381"/>
      <c r="M110" s="381"/>
      <c r="N110" s="381"/>
      <c r="O110" s="381"/>
      <c r="P110" s="381"/>
      <c r="Q110" s="381"/>
      <c r="R110" s="383"/>
      <c r="S110" s="383"/>
      <c r="T110" s="366"/>
      <c r="U110" s="366"/>
      <c r="V110" s="366"/>
      <c r="W110" s="366"/>
      <c r="X110" s="383"/>
      <c r="Y110" s="383"/>
      <c r="AA110" s="381"/>
      <c r="AB110" s="382" t="s">
        <v>832</v>
      </c>
      <c r="AC110" s="359"/>
      <c r="AD110" s="359"/>
      <c r="AE110" s="359"/>
      <c r="AF110" s="381"/>
      <c r="AG110" s="381"/>
      <c r="AH110" s="381"/>
      <c r="AI110" s="382" t="s">
        <v>833</v>
      </c>
      <c r="AJ110" s="359"/>
      <c r="AK110" s="359"/>
      <c r="AL110" s="381"/>
      <c r="AM110" s="381"/>
      <c r="AN110" s="381"/>
      <c r="AO110" s="381"/>
      <c r="AP110" s="381"/>
      <c r="AQ110" s="381"/>
      <c r="AR110" s="381"/>
      <c r="AS110" s="383"/>
      <c r="AT110" s="383"/>
      <c r="AU110" s="383"/>
      <c r="AV110" s="366"/>
      <c r="AW110" s="366"/>
      <c r="AX110" s="366"/>
      <c r="AY110" s="366"/>
      <c r="AZ110" s="383"/>
      <c r="BA110" s="257"/>
      <c r="BB110" s="257"/>
      <c r="BC110" s="257"/>
      <c r="BD110" s="257"/>
      <c r="BE110" s="257"/>
      <c r="BF110" s="257"/>
      <c r="BG110" s="264"/>
      <c r="BH110" s="257"/>
      <c r="BI110" s="257"/>
      <c r="BJ110" s="257"/>
      <c r="BK110" s="257"/>
      <c r="BL110" s="257"/>
      <c r="BM110"/>
      <c r="BN110" s="257"/>
      <c r="BO110" s="257"/>
      <c r="BP110" s="257"/>
      <c r="CA110" s="381"/>
      <c r="CB110" s="381"/>
      <c r="CC110" s="382" t="s">
        <v>832</v>
      </c>
      <c r="CD110" s="381"/>
      <c r="CE110" s="381"/>
      <c r="CF110" s="381"/>
      <c r="CG110" s="381"/>
      <c r="CH110" s="381"/>
      <c r="CI110" s="382" t="s">
        <v>833</v>
      </c>
      <c r="CJ110" s="381"/>
      <c r="CK110" s="381"/>
      <c r="CL110" s="381"/>
      <c r="CM110" s="381"/>
      <c r="CN110" s="381"/>
      <c r="CO110" s="366"/>
      <c r="CP110" s="366"/>
      <c r="CQ110" s="366"/>
      <c r="CR110" s="383"/>
    </row>
    <row r="111" spans="1:96" s="384" customFormat="1" x14ac:dyDescent="0.45">
      <c r="A111" s="383"/>
      <c r="B111" s="306" t="s">
        <v>834</v>
      </c>
      <c r="C111" s="383"/>
      <c r="D111" s="383"/>
      <c r="E111" s="383"/>
      <c r="F111" s="383"/>
      <c r="G111" s="359" t="s">
        <v>835</v>
      </c>
      <c r="H111" s="306"/>
      <c r="I111" s="297"/>
      <c r="J111" s="306"/>
      <c r="K111" s="306"/>
      <c r="L111" s="306"/>
      <c r="M111" s="383"/>
      <c r="N111" s="383"/>
      <c r="O111" s="383"/>
      <c r="P111" s="383"/>
      <c r="Q111" s="383"/>
      <c r="R111" s="383"/>
      <c r="S111" s="383"/>
      <c r="T111" s="366"/>
      <c r="U111" s="366"/>
      <c r="V111" s="366"/>
      <c r="W111" s="366"/>
      <c r="X111" s="383"/>
      <c r="Y111" s="383"/>
      <c r="AA111" s="381"/>
      <c r="AB111" s="426" t="s">
        <v>884</v>
      </c>
      <c r="AC111" s="359"/>
      <c r="AD111" s="359"/>
      <c r="AE111" s="359"/>
      <c r="AF111" s="381"/>
      <c r="AG111" s="381"/>
      <c r="AH111" s="381"/>
      <c r="AI111" s="359" t="s">
        <v>835</v>
      </c>
      <c r="AJ111" s="359"/>
      <c r="AK111" s="359"/>
      <c r="AL111" s="381"/>
      <c r="AM111" s="381"/>
      <c r="AN111" s="381"/>
      <c r="AO111" s="381"/>
      <c r="AP111" s="381"/>
      <c r="AQ111" s="381"/>
      <c r="AR111" s="381"/>
      <c r="AS111" s="383"/>
      <c r="AT111" s="383"/>
      <c r="AU111" s="383"/>
      <c r="AV111" s="366"/>
      <c r="AW111" s="366"/>
      <c r="AX111" s="366"/>
      <c r="AY111" s="366"/>
      <c r="AZ111" s="383"/>
      <c r="BA111" s="257"/>
      <c r="BB111" s="257"/>
      <c r="BC111" s="257"/>
      <c r="BD111" s="257"/>
      <c r="BE111" s="257"/>
      <c r="BF111" s="257"/>
      <c r="BG111" s="264"/>
      <c r="BH111" s="257"/>
      <c r="BI111" s="257"/>
      <c r="BJ111" s="257"/>
      <c r="BK111" s="257"/>
      <c r="BL111" s="257"/>
      <c r="BM111"/>
      <c r="BN111" s="257"/>
      <c r="BO111" s="257"/>
      <c r="BP111" s="257"/>
      <c r="CA111" s="383"/>
      <c r="CB111" s="383"/>
      <c r="CC111" s="306" t="s">
        <v>960</v>
      </c>
      <c r="CD111" s="383"/>
      <c r="CE111" s="383"/>
      <c r="CF111" s="383"/>
      <c r="CG111" s="383"/>
      <c r="CH111" s="366"/>
      <c r="CI111" s="359" t="s">
        <v>835</v>
      </c>
      <c r="CJ111" s="383"/>
      <c r="CK111" s="383"/>
      <c r="CL111" s="383"/>
      <c r="CM111" s="383"/>
      <c r="CN111" s="383"/>
      <c r="CO111" s="366"/>
      <c r="CP111" s="366"/>
      <c r="CQ111" s="366"/>
      <c r="CR111" s="383"/>
    </row>
    <row r="112" spans="1:96" s="384" customFormat="1" x14ac:dyDescent="0.45">
      <c r="A112" s="383"/>
      <c r="B112" s="306" t="s">
        <v>836</v>
      </c>
      <c r="C112" s="383"/>
      <c r="D112" s="383"/>
      <c r="E112" s="383"/>
      <c r="F112" s="383"/>
      <c r="G112" s="359" t="s">
        <v>837</v>
      </c>
      <c r="H112" s="306"/>
      <c r="I112" s="297"/>
      <c r="J112" s="306"/>
      <c r="K112" s="306"/>
      <c r="L112" s="306"/>
      <c r="M112" s="383"/>
      <c r="N112" s="383"/>
      <c r="O112" s="383"/>
      <c r="P112" s="383"/>
      <c r="Q112" s="383"/>
      <c r="R112" s="383"/>
      <c r="S112" s="383"/>
      <c r="T112" s="366"/>
      <c r="U112" s="366"/>
      <c r="V112" s="366"/>
      <c r="W112" s="366"/>
      <c r="X112" s="383"/>
      <c r="Y112" s="383"/>
      <c r="AA112" s="381"/>
      <c r="AB112" s="359" t="s">
        <v>885</v>
      </c>
      <c r="AC112" s="359"/>
      <c r="AD112" s="359"/>
      <c r="AE112" s="359"/>
      <c r="AF112" s="381"/>
      <c r="AG112" s="381"/>
      <c r="AH112" s="381"/>
      <c r="AI112" s="359" t="s">
        <v>837</v>
      </c>
      <c r="AJ112" s="359"/>
      <c r="AK112" s="359"/>
      <c r="AL112" s="381"/>
      <c r="AM112" s="381"/>
      <c r="AN112" s="381"/>
      <c r="AO112" s="381"/>
      <c r="AP112" s="381"/>
      <c r="AQ112" s="381"/>
      <c r="AR112" s="381"/>
      <c r="AS112" s="383"/>
      <c r="AT112" s="383"/>
      <c r="AU112" s="383"/>
      <c r="AV112" s="366"/>
      <c r="AW112" s="366"/>
      <c r="AX112" s="366"/>
      <c r="AY112" s="366"/>
      <c r="AZ112" s="383"/>
      <c r="BA112" s="257"/>
      <c r="BB112" s="257"/>
      <c r="BC112" s="257"/>
      <c r="BD112" s="257"/>
      <c r="BE112" s="257"/>
      <c r="BF112" s="257"/>
      <c r="BG112" s="264"/>
      <c r="BH112" s="257"/>
      <c r="BI112" s="257"/>
      <c r="BJ112" s="257"/>
      <c r="BK112" s="257"/>
      <c r="BL112" s="257"/>
      <c r="BM112"/>
      <c r="BN112" s="257"/>
      <c r="BO112" s="257"/>
      <c r="BP112" s="257"/>
      <c r="CA112" s="383"/>
      <c r="CB112" s="383"/>
      <c r="CC112" s="306" t="s">
        <v>961</v>
      </c>
      <c r="CD112" s="383"/>
      <c r="CE112" s="383"/>
      <c r="CF112" s="383"/>
      <c r="CG112" s="383"/>
      <c r="CH112" s="366"/>
      <c r="CI112" s="359" t="s">
        <v>837</v>
      </c>
      <c r="CJ112" s="383"/>
      <c r="CK112" s="383"/>
      <c r="CL112" s="383"/>
      <c r="CM112" s="383"/>
      <c r="CN112" s="383"/>
      <c r="CO112" s="366"/>
      <c r="CP112" s="366"/>
      <c r="CQ112" s="366"/>
      <c r="CR112" s="383"/>
    </row>
    <row r="113" spans="1:96" s="384" customFormat="1" x14ac:dyDescent="0.45">
      <c r="A113" s="383"/>
      <c r="B113" s="306" t="s">
        <v>838</v>
      </c>
      <c r="C113" s="383"/>
      <c r="D113" s="383"/>
      <c r="E113" s="383"/>
      <c r="F113" s="383"/>
      <c r="G113" s="306" t="s">
        <v>839</v>
      </c>
      <c r="H113" s="306"/>
      <c r="I113" s="297"/>
      <c r="J113" s="306"/>
      <c r="K113" s="306"/>
      <c r="L113" s="306"/>
      <c r="M113" s="383"/>
      <c r="N113" s="383"/>
      <c r="O113" s="383"/>
      <c r="P113" s="383"/>
      <c r="Q113" s="383"/>
      <c r="R113" s="383"/>
      <c r="S113" s="383"/>
      <c r="T113" s="366"/>
      <c r="U113" s="366"/>
      <c r="V113" s="366"/>
      <c r="W113" s="366"/>
      <c r="X113" s="383"/>
      <c r="Y113" s="383"/>
      <c r="AA113" s="381"/>
      <c r="AB113" s="359" t="s">
        <v>886</v>
      </c>
      <c r="AC113" s="359"/>
      <c r="AD113" s="359"/>
      <c r="AE113" s="359"/>
      <c r="AF113" s="381"/>
      <c r="AG113" s="381"/>
      <c r="AH113" s="381"/>
      <c r="AI113" s="306" t="s">
        <v>887</v>
      </c>
      <c r="AJ113" s="359"/>
      <c r="AK113" s="359"/>
      <c r="AL113" s="381"/>
      <c r="AM113" s="381"/>
      <c r="AN113" s="381"/>
      <c r="AO113" s="381"/>
      <c r="AP113" s="381"/>
      <c r="AQ113" s="381"/>
      <c r="AR113" s="381"/>
      <c r="AS113" s="383"/>
      <c r="AT113" s="383"/>
      <c r="AU113" s="383"/>
      <c r="AV113" s="366"/>
      <c r="AW113" s="366"/>
      <c r="AX113" s="366"/>
      <c r="AY113" s="366"/>
      <c r="AZ113" s="383"/>
      <c r="BA113" s="257"/>
      <c r="BB113" s="257"/>
      <c r="BC113" s="257"/>
      <c r="BD113" s="257"/>
      <c r="BE113" s="257"/>
      <c r="BF113" s="257"/>
      <c r="BG113" s="264"/>
      <c r="BH113" s="257"/>
      <c r="BI113" s="257"/>
      <c r="BJ113" s="257"/>
      <c r="BK113" s="257"/>
      <c r="BL113" s="257"/>
      <c r="BM113"/>
      <c r="BN113" s="257"/>
      <c r="BO113" s="257"/>
      <c r="BP113" s="257"/>
      <c r="CA113" s="383"/>
      <c r="CB113" s="383"/>
      <c r="CC113" s="306" t="s">
        <v>962</v>
      </c>
      <c r="CD113" s="383"/>
      <c r="CE113" s="383"/>
      <c r="CF113" s="383"/>
      <c r="CG113" s="383"/>
      <c r="CH113" s="366"/>
      <c r="CI113" s="306" t="s">
        <v>963</v>
      </c>
      <c r="CJ113" s="383"/>
      <c r="CK113" s="383"/>
      <c r="CL113" s="383"/>
      <c r="CM113" s="383"/>
      <c r="CN113" s="383"/>
      <c r="CO113" s="366"/>
      <c r="CP113" s="366"/>
      <c r="CQ113" s="366"/>
      <c r="CR113" s="383"/>
    </row>
    <row r="114" spans="1:96" s="384" customFormat="1" x14ac:dyDescent="0.45">
      <c r="A114" s="383"/>
      <c r="B114" s="306" t="s">
        <v>840</v>
      </c>
      <c r="C114" s="383"/>
      <c r="D114" s="383"/>
      <c r="E114" s="383"/>
      <c r="F114" s="383"/>
      <c r="G114" s="306" t="s">
        <v>841</v>
      </c>
      <c r="H114" s="306"/>
      <c r="I114" s="297"/>
      <c r="J114" s="306"/>
      <c r="K114" s="306"/>
      <c r="L114" s="306"/>
      <c r="M114" s="383"/>
      <c r="N114" s="383"/>
      <c r="O114" s="383"/>
      <c r="P114" s="383"/>
      <c r="Q114" s="383"/>
      <c r="R114" s="383"/>
      <c r="S114" s="383"/>
      <c r="T114" s="366"/>
      <c r="U114" s="366"/>
      <c r="V114" s="366"/>
      <c r="W114" s="366"/>
      <c r="X114" s="383"/>
      <c r="Y114" s="383"/>
      <c r="AA114" s="381"/>
      <c r="AB114" s="306" t="s">
        <v>888</v>
      </c>
      <c r="AC114" s="306"/>
      <c r="AD114" s="306"/>
      <c r="AE114" s="391"/>
      <c r="AF114" s="381"/>
      <c r="AG114" s="381"/>
      <c r="AH114" s="381"/>
      <c r="AI114" s="386"/>
      <c r="AJ114" s="381"/>
      <c r="AK114" s="381"/>
      <c r="AL114" s="381"/>
      <c r="AM114" s="381"/>
      <c r="AN114" s="381"/>
      <c r="AO114" s="381"/>
      <c r="AP114" s="381"/>
      <c r="AQ114" s="381"/>
      <c r="AR114" s="381"/>
      <c r="AS114" s="383"/>
      <c r="AT114" s="383"/>
      <c r="AU114" s="383"/>
      <c r="AV114" s="366"/>
      <c r="AW114" s="366"/>
      <c r="AX114" s="366"/>
      <c r="AY114" s="366"/>
      <c r="AZ114" s="383"/>
      <c r="BA114" s="257"/>
      <c r="BB114" s="257"/>
      <c r="BC114" s="257"/>
      <c r="BD114" s="257"/>
      <c r="BE114" s="257"/>
      <c r="BF114" s="257"/>
      <c r="BG114" s="264"/>
      <c r="BH114" s="257"/>
      <c r="BI114" s="257"/>
      <c r="BJ114" s="257"/>
      <c r="BK114" s="257"/>
      <c r="BL114" s="257"/>
      <c r="BM114"/>
      <c r="BN114" s="257"/>
      <c r="BO114" s="257"/>
      <c r="BP114" s="257"/>
      <c r="CA114" s="383"/>
      <c r="CB114" s="383"/>
      <c r="CC114" s="306" t="s">
        <v>964</v>
      </c>
      <c r="CD114" s="383"/>
      <c r="CE114" s="383"/>
      <c r="CF114" s="383"/>
      <c r="CG114" s="383"/>
      <c r="CH114" s="366"/>
      <c r="CI114" s="306" t="s">
        <v>965</v>
      </c>
      <c r="CJ114" s="383"/>
      <c r="CK114" s="383"/>
      <c r="CL114" s="383"/>
      <c r="CM114" s="383"/>
      <c r="CN114" s="383"/>
      <c r="CO114" s="366"/>
      <c r="CP114" s="366"/>
      <c r="CQ114" s="366"/>
      <c r="CR114" s="383"/>
    </row>
    <row r="115" spans="1:96" s="384" customFormat="1" x14ac:dyDescent="0.45">
      <c r="A115" s="383"/>
      <c r="B115" s="306" t="s">
        <v>842</v>
      </c>
      <c r="C115" s="383"/>
      <c r="D115" s="383"/>
      <c r="E115" s="383"/>
      <c r="F115" s="383"/>
      <c r="G115" s="306" t="s">
        <v>843</v>
      </c>
      <c r="H115" s="306"/>
      <c r="I115" s="297"/>
      <c r="J115" s="306"/>
      <c r="K115" s="306"/>
      <c r="L115" s="306"/>
      <c r="M115" s="383"/>
      <c r="N115" s="383"/>
      <c r="O115" s="383"/>
      <c r="P115" s="383"/>
      <c r="Q115" s="383"/>
      <c r="R115" s="383"/>
      <c r="S115" s="383"/>
      <c r="T115" s="366"/>
      <c r="U115" s="366"/>
      <c r="V115" s="366"/>
      <c r="W115" s="366"/>
      <c r="X115" s="383"/>
      <c r="Y115" s="383"/>
      <c r="AA115" s="381"/>
      <c r="AB115" s="306" t="s">
        <v>889</v>
      </c>
      <c r="AC115" s="306"/>
      <c r="AD115" s="306"/>
      <c r="AE115" s="391"/>
      <c r="AF115" s="381"/>
      <c r="AG115" s="381"/>
      <c r="AH115" s="381"/>
      <c r="AI115" s="386"/>
      <c r="AJ115" s="381"/>
      <c r="AK115" s="381"/>
      <c r="AL115" s="381"/>
      <c r="AM115" s="381"/>
      <c r="AN115" s="381"/>
      <c r="AO115" s="381"/>
      <c r="AP115" s="381"/>
      <c r="AQ115" s="381"/>
      <c r="AR115" s="381"/>
      <c r="AS115" s="383"/>
      <c r="AT115" s="383"/>
      <c r="AU115" s="383"/>
      <c r="AV115" s="366"/>
      <c r="AW115" s="366"/>
      <c r="AX115" s="366"/>
      <c r="AY115" s="366"/>
      <c r="AZ115" s="383"/>
      <c r="BA115" s="257"/>
      <c r="BB115" s="257"/>
      <c r="BC115" s="257"/>
      <c r="BD115" s="257"/>
      <c r="BE115" s="257"/>
      <c r="BF115" s="257"/>
      <c r="BG115" s="264"/>
      <c r="BH115" s="257"/>
      <c r="BI115" s="257"/>
      <c r="BJ115" s="257"/>
      <c r="BK115" s="257"/>
      <c r="BL115" s="257"/>
      <c r="BM115"/>
      <c r="BN115" s="257"/>
      <c r="BO115" s="257"/>
      <c r="BP115" s="257"/>
      <c r="CA115" s="383"/>
      <c r="CB115" s="383"/>
      <c r="CC115" s="306" t="s">
        <v>966</v>
      </c>
      <c r="CD115" s="383"/>
      <c r="CE115" s="383"/>
      <c r="CF115" s="383"/>
      <c r="CG115" s="383"/>
      <c r="CH115" s="366"/>
      <c r="CI115" s="306" t="s">
        <v>967</v>
      </c>
      <c r="CJ115" s="383"/>
      <c r="CK115" s="383"/>
      <c r="CL115" s="383"/>
      <c r="CM115" s="383"/>
      <c r="CN115" s="383"/>
      <c r="CO115" s="366"/>
      <c r="CP115" s="366"/>
      <c r="CQ115" s="366"/>
      <c r="CR115" s="383"/>
    </row>
    <row r="116" spans="1:96" s="384" customFormat="1" x14ac:dyDescent="0.45">
      <c r="A116" s="383"/>
      <c r="B116" s="306" t="s">
        <v>844</v>
      </c>
      <c r="C116" s="383"/>
      <c r="D116" s="383"/>
      <c r="E116" s="383"/>
      <c r="F116" s="383"/>
      <c r="G116" s="306" t="s">
        <v>845</v>
      </c>
      <c r="H116" s="306"/>
      <c r="I116" s="297"/>
      <c r="J116" s="306"/>
      <c r="K116" s="306"/>
      <c r="L116" s="306"/>
      <c r="M116" s="383"/>
      <c r="N116" s="383"/>
      <c r="O116" s="383"/>
      <c r="P116" s="383"/>
      <c r="Q116" s="383"/>
      <c r="R116" s="383"/>
      <c r="S116" s="383"/>
      <c r="T116" s="366"/>
      <c r="U116" s="366"/>
      <c r="V116" s="366"/>
      <c r="W116" s="366"/>
      <c r="X116" s="383"/>
      <c r="Y116" s="383"/>
      <c r="AA116" s="381"/>
      <c r="AB116" s="306" t="s">
        <v>890</v>
      </c>
      <c r="AC116" s="306"/>
      <c r="AD116" s="306"/>
      <c r="AE116" s="391"/>
      <c r="AF116" s="381"/>
      <c r="AG116" s="381"/>
      <c r="AH116" s="381"/>
      <c r="AI116" s="386"/>
      <c r="AJ116" s="381"/>
      <c r="AK116" s="381"/>
      <c r="AL116" s="381"/>
      <c r="AM116" s="381"/>
      <c r="AN116" s="381"/>
      <c r="AO116" s="381"/>
      <c r="AP116" s="381"/>
      <c r="AQ116" s="381"/>
      <c r="AR116" s="381"/>
      <c r="AS116" s="383"/>
      <c r="AT116" s="383"/>
      <c r="AU116" s="383"/>
      <c r="AV116" s="366"/>
      <c r="AW116" s="366"/>
      <c r="AX116" s="366"/>
      <c r="AY116" s="366"/>
      <c r="AZ116" s="383"/>
      <c r="BA116" s="257"/>
      <c r="BB116" s="257"/>
      <c r="BC116" s="257"/>
      <c r="BD116" s="257"/>
      <c r="BE116" s="257"/>
      <c r="BF116" s="257"/>
      <c r="BG116" s="264"/>
      <c r="BH116" s="257"/>
      <c r="BI116" s="257"/>
      <c r="BJ116" s="257"/>
      <c r="BK116" s="257"/>
      <c r="BL116" s="257"/>
      <c r="BM116"/>
      <c r="BN116" s="257"/>
      <c r="BO116" s="257"/>
      <c r="BP116" s="257"/>
      <c r="CA116" s="383"/>
      <c r="CB116" s="383"/>
      <c r="CC116" s="306" t="s">
        <v>968</v>
      </c>
      <c r="CD116" s="383"/>
      <c r="CE116" s="383"/>
      <c r="CF116" s="383"/>
      <c r="CG116" s="383"/>
      <c r="CH116" s="366"/>
      <c r="CI116" s="383"/>
      <c r="CJ116" s="383"/>
      <c r="CK116" s="383"/>
      <c r="CL116" s="383"/>
      <c r="CM116" s="383"/>
      <c r="CN116" s="383"/>
      <c r="CO116" s="366"/>
      <c r="CP116" s="366"/>
      <c r="CQ116" s="366"/>
      <c r="CR116" s="383"/>
    </row>
    <row r="117" spans="1:96" s="384" customFormat="1" x14ac:dyDescent="0.45">
      <c r="A117" s="383"/>
      <c r="B117" s="306" t="s">
        <v>846</v>
      </c>
      <c r="C117" s="383"/>
      <c r="D117" s="383"/>
      <c r="E117" s="383"/>
      <c r="F117" s="383"/>
      <c r="G117" s="306" t="s">
        <v>847</v>
      </c>
      <c r="H117" s="306"/>
      <c r="I117" s="297"/>
      <c r="J117" s="306"/>
      <c r="K117" s="306"/>
      <c r="L117" s="306"/>
      <c r="M117" s="383"/>
      <c r="N117" s="383"/>
      <c r="O117" s="383"/>
      <c r="P117" s="383"/>
      <c r="Q117" s="383"/>
      <c r="R117" s="383"/>
      <c r="S117" s="383"/>
      <c r="T117" s="366"/>
      <c r="U117" s="366"/>
      <c r="V117" s="366"/>
      <c r="W117" s="366"/>
      <c r="X117" s="383"/>
      <c r="Y117" s="383"/>
      <c r="AA117" s="381"/>
      <c r="AB117" s="306" t="s">
        <v>891</v>
      </c>
      <c r="AC117" s="306"/>
      <c r="AD117" s="306"/>
      <c r="AE117" s="391"/>
      <c r="AF117" s="381"/>
      <c r="AG117" s="381"/>
      <c r="AH117" s="381"/>
      <c r="AI117" s="386"/>
      <c r="AJ117" s="381"/>
      <c r="AK117" s="381"/>
      <c r="AL117" s="381"/>
      <c r="AM117" s="381"/>
      <c r="AN117" s="381"/>
      <c r="AO117" s="381"/>
      <c r="AP117" s="381"/>
      <c r="AQ117" s="381"/>
      <c r="AR117" s="381"/>
      <c r="AS117" s="383"/>
      <c r="AT117" s="383"/>
      <c r="AU117" s="383"/>
      <c r="AV117" s="366"/>
      <c r="AW117" s="366"/>
      <c r="AX117" s="366"/>
      <c r="AY117" s="366"/>
      <c r="AZ117" s="383"/>
      <c r="BA117" s="257"/>
      <c r="BB117" s="257"/>
      <c r="BC117" s="257"/>
      <c r="BD117" s="257"/>
      <c r="BE117" s="257"/>
      <c r="BF117" s="257"/>
      <c r="BG117" s="264"/>
      <c r="BH117" s="257"/>
      <c r="BI117" s="257"/>
      <c r="BJ117" s="257"/>
      <c r="BK117" s="257"/>
      <c r="BL117" s="257"/>
      <c r="BM117"/>
      <c r="BN117" s="257"/>
      <c r="BO117" s="257"/>
      <c r="BP117" s="257"/>
      <c r="CA117" s="383"/>
      <c r="CB117" s="383"/>
      <c r="CC117" s="306" t="s">
        <v>969</v>
      </c>
      <c r="CD117" s="383"/>
      <c r="CE117" s="383"/>
      <c r="CF117" s="383"/>
      <c r="CG117" s="383"/>
      <c r="CH117" s="366"/>
      <c r="CI117" s="383"/>
      <c r="CJ117" s="383"/>
      <c r="CK117" s="383"/>
      <c r="CL117" s="383"/>
      <c r="CM117" s="383"/>
      <c r="CN117" s="383"/>
      <c r="CO117" s="366"/>
      <c r="CP117" s="366"/>
      <c r="CQ117" s="366"/>
      <c r="CR117" s="383"/>
    </row>
    <row r="118" spans="1:96" s="384" customFormat="1" x14ac:dyDescent="0.45">
      <c r="A118" s="383"/>
      <c r="B118" s="306" t="s">
        <v>848</v>
      </c>
      <c r="C118" s="383"/>
      <c r="D118" s="383"/>
      <c r="E118" s="383"/>
      <c r="F118" s="383"/>
      <c r="G118" s="306" t="s">
        <v>849</v>
      </c>
      <c r="H118" s="306"/>
      <c r="I118" s="297"/>
      <c r="J118" s="306"/>
      <c r="K118" s="306"/>
      <c r="L118" s="306"/>
      <c r="M118" s="383"/>
      <c r="N118" s="383"/>
      <c r="O118" s="383"/>
      <c r="P118" s="383"/>
      <c r="Q118" s="383"/>
      <c r="R118" s="383"/>
      <c r="S118" s="383"/>
      <c r="T118" s="366"/>
      <c r="U118" s="366"/>
      <c r="V118" s="366"/>
      <c r="W118" s="366"/>
      <c r="X118" s="383"/>
      <c r="Y118" s="383"/>
      <c r="AA118" s="381"/>
      <c r="AB118" s="306" t="s">
        <v>892</v>
      </c>
      <c r="AC118" s="306"/>
      <c r="AD118" s="306"/>
      <c r="AE118" s="391"/>
      <c r="AF118" s="381"/>
      <c r="AG118" s="381"/>
      <c r="AH118" s="381"/>
      <c r="AI118" s="386"/>
      <c r="AJ118" s="381"/>
      <c r="AK118" s="381"/>
      <c r="AL118" s="381"/>
      <c r="AM118" s="381"/>
      <c r="AN118" s="381"/>
      <c r="AO118" s="381"/>
      <c r="AP118" s="381"/>
      <c r="AQ118" s="381"/>
      <c r="AR118" s="381"/>
      <c r="AS118" s="383"/>
      <c r="AT118" s="383"/>
      <c r="AU118" s="383"/>
      <c r="AV118" s="366"/>
      <c r="AW118" s="366"/>
      <c r="AX118" s="366"/>
      <c r="AY118" s="366"/>
      <c r="AZ118" s="383"/>
      <c r="BA118" s="257"/>
      <c r="BB118" s="257"/>
      <c r="BC118" s="257"/>
      <c r="BD118" s="257"/>
      <c r="BE118" s="257"/>
      <c r="BF118" s="257"/>
      <c r="BG118" s="264"/>
      <c r="BH118" s="257"/>
      <c r="BI118" s="257"/>
      <c r="BJ118" s="257"/>
      <c r="BK118" s="257"/>
      <c r="BL118" s="257"/>
      <c r="BM118"/>
      <c r="BN118" s="257"/>
      <c r="BO118" s="257"/>
      <c r="BP118" s="257"/>
      <c r="CA118" s="383"/>
      <c r="CB118" s="383"/>
      <c r="CC118" s="306" t="s">
        <v>970</v>
      </c>
      <c r="CD118" s="383"/>
      <c r="CE118" s="383"/>
      <c r="CF118" s="383"/>
      <c r="CG118" s="383"/>
      <c r="CH118" s="366"/>
      <c r="CI118" s="383"/>
      <c r="CJ118" s="383"/>
      <c r="CK118" s="383"/>
      <c r="CL118" s="383"/>
      <c r="CM118" s="383"/>
      <c r="CN118" s="383"/>
      <c r="CO118" s="366"/>
      <c r="CP118" s="366"/>
      <c r="CQ118" s="366"/>
      <c r="CR118" s="383"/>
    </row>
    <row r="119" spans="1:96" s="384" customFormat="1" x14ac:dyDescent="0.45">
      <c r="A119" s="381"/>
      <c r="B119" s="306" t="s">
        <v>850</v>
      </c>
      <c r="C119" s="383"/>
      <c r="D119" s="381"/>
      <c r="E119" s="381"/>
      <c r="F119" s="381"/>
      <c r="G119" s="306" t="s">
        <v>851</v>
      </c>
      <c r="H119" s="359"/>
      <c r="I119" s="359"/>
      <c r="J119" s="359"/>
      <c r="K119" s="359"/>
      <c r="L119" s="359"/>
      <c r="M119" s="381"/>
      <c r="N119" s="381"/>
      <c r="O119" s="381"/>
      <c r="P119" s="381"/>
      <c r="Q119" s="381"/>
      <c r="R119" s="383"/>
      <c r="S119" s="383"/>
      <c r="T119" s="366"/>
      <c r="U119" s="366"/>
      <c r="V119" s="366"/>
      <c r="W119" s="366"/>
      <c r="X119" s="383"/>
      <c r="Y119" s="383"/>
      <c r="AA119" s="381"/>
      <c r="AB119" s="306" t="s">
        <v>893</v>
      </c>
      <c r="AC119" s="306"/>
      <c r="AD119" s="306"/>
      <c r="AE119" s="391"/>
      <c r="AF119" s="381"/>
      <c r="AG119" s="381"/>
      <c r="AH119" s="381"/>
      <c r="AI119" s="386"/>
      <c r="AJ119" s="381"/>
      <c r="AK119" s="381"/>
      <c r="AL119" s="381"/>
      <c r="AM119" s="381"/>
      <c r="AN119" s="381"/>
      <c r="AO119" s="381"/>
      <c r="AP119" s="381"/>
      <c r="AQ119" s="381"/>
      <c r="AR119" s="381"/>
      <c r="AS119" s="383"/>
      <c r="AT119" s="383"/>
      <c r="AU119" s="383"/>
      <c r="AV119" s="366"/>
      <c r="AW119" s="366"/>
      <c r="AX119" s="366"/>
      <c r="AY119" s="366"/>
      <c r="AZ119" s="383"/>
      <c r="BA119" s="257"/>
      <c r="BB119" s="257"/>
      <c r="BC119" s="257"/>
      <c r="BD119" s="257"/>
      <c r="BE119" s="257"/>
      <c r="BF119" s="257"/>
      <c r="BG119" s="264"/>
      <c r="BH119" s="257"/>
      <c r="BI119" s="257"/>
      <c r="BJ119" s="257"/>
      <c r="BK119" s="257"/>
      <c r="BL119" s="257"/>
      <c r="BM119"/>
      <c r="BN119" s="257"/>
      <c r="BO119" s="257"/>
      <c r="BP119" s="257"/>
      <c r="CA119" s="381"/>
      <c r="CB119" s="381"/>
      <c r="CC119" s="306" t="s">
        <v>971</v>
      </c>
      <c r="CD119" s="381"/>
      <c r="CE119" s="381"/>
      <c r="CF119" s="381"/>
      <c r="CG119" s="381"/>
      <c r="CH119" s="381"/>
      <c r="CI119" s="382" t="s">
        <v>859</v>
      </c>
      <c r="CJ119" s="381"/>
      <c r="CK119" s="381"/>
      <c r="CL119" s="381"/>
      <c r="CM119" s="381"/>
      <c r="CN119" s="381"/>
      <c r="CO119" s="366"/>
      <c r="CP119" s="366"/>
      <c r="CQ119" s="366"/>
      <c r="CR119" s="383"/>
    </row>
    <row r="120" spans="1:96" s="384" customFormat="1" x14ac:dyDescent="0.45">
      <c r="A120" s="381"/>
      <c r="B120" s="306" t="s">
        <v>852</v>
      </c>
      <c r="C120" s="383"/>
      <c r="D120" s="381"/>
      <c r="E120" s="381"/>
      <c r="F120" s="381"/>
      <c r="G120" s="306" t="s">
        <v>853</v>
      </c>
      <c r="H120" s="359"/>
      <c r="I120" s="359"/>
      <c r="J120" s="359"/>
      <c r="K120" s="359"/>
      <c r="L120" s="359"/>
      <c r="M120" s="381"/>
      <c r="N120" s="381"/>
      <c r="O120" s="381"/>
      <c r="P120" s="381"/>
      <c r="Q120" s="381"/>
      <c r="R120" s="383"/>
      <c r="S120" s="383"/>
      <c r="T120" s="366"/>
      <c r="U120" s="366"/>
      <c r="V120" s="366"/>
      <c r="W120" s="366"/>
      <c r="X120" s="383"/>
      <c r="Y120" s="383"/>
      <c r="AA120" s="381"/>
      <c r="AB120" s="306" t="s">
        <v>894</v>
      </c>
      <c r="AC120" s="359"/>
      <c r="AD120" s="359"/>
      <c r="AE120" s="359"/>
      <c r="AF120" s="381"/>
      <c r="AG120" s="381"/>
      <c r="AH120" s="381"/>
      <c r="AI120" s="386"/>
      <c r="AJ120" s="381"/>
      <c r="AK120" s="381"/>
      <c r="AL120" s="381"/>
      <c r="AM120" s="381"/>
      <c r="AN120" s="381"/>
      <c r="AO120" s="381"/>
      <c r="AP120" s="381"/>
      <c r="AQ120" s="381"/>
      <c r="AR120" s="381"/>
      <c r="AS120" s="383"/>
      <c r="AT120" s="383"/>
      <c r="AU120" s="383"/>
      <c r="AV120" s="366"/>
      <c r="AW120" s="366"/>
      <c r="AX120" s="366"/>
      <c r="AY120" s="366"/>
      <c r="AZ120" s="383"/>
      <c r="BA120" s="257"/>
      <c r="BB120" s="257"/>
      <c r="BC120" s="257"/>
      <c r="BD120" s="257"/>
      <c r="BE120" s="257"/>
      <c r="BF120" s="257"/>
      <c r="BG120" s="264"/>
      <c r="BH120" s="257"/>
      <c r="BI120" s="257"/>
      <c r="BJ120" s="257"/>
      <c r="BK120" s="257"/>
      <c r="BL120" s="257"/>
      <c r="BM120"/>
      <c r="BN120" s="257"/>
      <c r="BO120" s="257"/>
      <c r="BP120" s="257"/>
      <c r="CA120" s="381"/>
      <c r="CB120" s="381"/>
      <c r="CC120" s="306" t="s">
        <v>972</v>
      </c>
      <c r="CD120" s="381"/>
      <c r="CE120" s="381"/>
      <c r="CF120" s="381"/>
      <c r="CG120" s="381"/>
      <c r="CH120" s="381"/>
      <c r="CI120" s="359" t="s">
        <v>973</v>
      </c>
      <c r="CJ120" s="381"/>
      <c r="CK120" s="381"/>
      <c r="CL120" s="381"/>
      <c r="CM120" s="381"/>
      <c r="CN120" s="381"/>
      <c r="CO120" s="366"/>
      <c r="CP120" s="366"/>
      <c r="CQ120" s="366"/>
      <c r="CR120" s="383"/>
    </row>
    <row r="121" spans="1:96" s="384" customFormat="1" x14ac:dyDescent="0.45">
      <c r="A121" s="381"/>
      <c r="B121" s="306" t="s">
        <v>854</v>
      </c>
      <c r="C121" s="383"/>
      <c r="D121" s="381"/>
      <c r="E121" s="381"/>
      <c r="F121" s="381"/>
      <c r="G121" s="138" t="s">
        <v>855</v>
      </c>
      <c r="H121" s="359"/>
      <c r="I121" s="359"/>
      <c r="J121" s="359"/>
      <c r="K121" s="359"/>
      <c r="L121" s="359"/>
      <c r="M121" s="381"/>
      <c r="N121" s="381"/>
      <c r="O121" s="381"/>
      <c r="P121" s="381"/>
      <c r="Q121" s="381"/>
      <c r="R121" s="383"/>
      <c r="S121" s="383"/>
      <c r="T121" s="366"/>
      <c r="U121" s="366"/>
      <c r="V121" s="366"/>
      <c r="W121" s="366"/>
      <c r="X121" s="383"/>
      <c r="Y121" s="383"/>
      <c r="AA121" s="381"/>
      <c r="AB121" s="359"/>
      <c r="AC121" s="359"/>
      <c r="AD121" s="359"/>
      <c r="AE121" s="359"/>
      <c r="AF121" s="381"/>
      <c r="AG121" s="381"/>
      <c r="AH121" s="381"/>
      <c r="AI121" s="386"/>
      <c r="AJ121" s="381"/>
      <c r="AK121" s="381"/>
      <c r="AL121" s="381"/>
      <c r="AM121" s="381"/>
      <c r="AN121" s="381"/>
      <c r="AO121" s="381"/>
      <c r="AP121" s="381"/>
      <c r="AQ121" s="381"/>
      <c r="AR121" s="381"/>
      <c r="AS121" s="383"/>
      <c r="AT121" s="383"/>
      <c r="AU121" s="383"/>
      <c r="AV121" s="366"/>
      <c r="AW121" s="366"/>
      <c r="AX121" s="366"/>
      <c r="AY121" s="366"/>
      <c r="AZ121" s="383"/>
      <c r="BA121" s="257"/>
      <c r="BB121" s="257"/>
      <c r="BC121" s="257"/>
      <c r="BD121" s="257"/>
      <c r="BE121" s="257"/>
      <c r="BF121" s="257"/>
      <c r="BG121" s="264"/>
      <c r="BH121" s="257"/>
      <c r="BI121" s="257"/>
      <c r="BJ121" s="257"/>
      <c r="BK121" s="257"/>
      <c r="BL121" s="257"/>
      <c r="BM121"/>
      <c r="BN121" s="257"/>
      <c r="BO121" s="257"/>
      <c r="BP121" s="257"/>
      <c r="CA121" s="381"/>
      <c r="CB121" s="381"/>
      <c r="CC121" s="306" t="s">
        <v>974</v>
      </c>
      <c r="CD121" s="381"/>
      <c r="CE121" s="381"/>
      <c r="CF121" s="381"/>
      <c r="CG121" s="381"/>
      <c r="CH121" s="381"/>
      <c r="CI121" s="359" t="s">
        <v>975</v>
      </c>
      <c r="CJ121" s="381"/>
      <c r="CK121" s="381"/>
      <c r="CL121" s="381"/>
      <c r="CM121" s="381"/>
      <c r="CN121" s="381"/>
      <c r="CO121" s="366"/>
      <c r="CP121" s="366"/>
      <c r="CQ121" s="366"/>
      <c r="CR121" s="383"/>
    </row>
    <row r="122" spans="1:96" s="384" customFormat="1" x14ac:dyDescent="0.45">
      <c r="A122" s="381"/>
      <c r="B122" s="306" t="s">
        <v>856</v>
      </c>
      <c r="C122" s="383"/>
      <c r="D122" s="381"/>
      <c r="E122" s="381"/>
      <c r="F122" s="381"/>
      <c r="G122" s="383"/>
      <c r="H122" s="381"/>
      <c r="I122" s="381"/>
      <c r="J122" s="381"/>
      <c r="K122" s="381"/>
      <c r="L122" s="381"/>
      <c r="M122" s="381"/>
      <c r="N122" s="381"/>
      <c r="O122" s="381"/>
      <c r="P122" s="381"/>
      <c r="Q122" s="381"/>
      <c r="R122" s="383"/>
      <c r="S122" s="383"/>
      <c r="T122" s="366"/>
      <c r="U122" s="366"/>
      <c r="V122" s="366"/>
      <c r="W122" s="366"/>
      <c r="X122" s="383"/>
      <c r="Y122" s="383"/>
      <c r="AA122" s="381"/>
      <c r="AB122" s="359" t="s">
        <v>895</v>
      </c>
      <c r="AC122" s="359"/>
      <c r="AD122" s="359"/>
      <c r="AE122" s="359"/>
      <c r="AF122" s="381"/>
      <c r="AG122" s="381"/>
      <c r="AH122" s="381"/>
      <c r="AI122" s="383"/>
      <c r="AJ122" s="381"/>
      <c r="AK122" s="381"/>
      <c r="AL122" s="381"/>
      <c r="AM122" s="381"/>
      <c r="AN122" s="381"/>
      <c r="AO122" s="381"/>
      <c r="AP122" s="381"/>
      <c r="AQ122" s="381"/>
      <c r="AR122" s="381"/>
      <c r="AS122" s="383"/>
      <c r="AT122" s="383"/>
      <c r="AU122" s="383"/>
      <c r="AV122" s="366"/>
      <c r="AW122" s="366"/>
      <c r="AX122" s="366"/>
      <c r="AY122" s="366"/>
      <c r="AZ122" s="383"/>
      <c r="BA122" s="257"/>
      <c r="BB122" s="257"/>
      <c r="BC122" s="257"/>
      <c r="BD122" s="257"/>
      <c r="BE122" s="257"/>
      <c r="BF122" s="257"/>
      <c r="BG122" s="264"/>
      <c r="BH122" s="257"/>
      <c r="BI122" s="257"/>
      <c r="BJ122" s="257"/>
      <c r="BK122" s="257"/>
      <c r="BL122" s="257"/>
      <c r="BM122"/>
      <c r="BN122" s="257"/>
      <c r="BO122" s="257"/>
      <c r="BP122" s="257"/>
      <c r="CA122" s="381"/>
      <c r="CB122" s="381"/>
      <c r="CC122" s="306" t="s">
        <v>976</v>
      </c>
      <c r="CD122" s="381"/>
      <c r="CE122" s="381"/>
      <c r="CF122" s="381"/>
      <c r="CG122" s="381"/>
      <c r="CH122" s="381"/>
      <c r="CI122" s="359" t="s">
        <v>977</v>
      </c>
      <c r="CJ122" s="381"/>
      <c r="CK122" s="381"/>
      <c r="CL122" s="381"/>
      <c r="CM122" s="381"/>
      <c r="CN122" s="381"/>
      <c r="CO122" s="366"/>
      <c r="CP122" s="366"/>
      <c r="CQ122" s="366"/>
      <c r="CR122" s="383"/>
    </row>
    <row r="123" spans="1:96" s="384" customFormat="1" x14ac:dyDescent="0.45">
      <c r="A123" s="381"/>
      <c r="B123" s="306" t="s">
        <v>857</v>
      </c>
      <c r="C123" s="383"/>
      <c r="D123" s="381"/>
      <c r="E123" s="381"/>
      <c r="F123" s="381"/>
      <c r="G123" s="385"/>
      <c r="H123" s="381"/>
      <c r="I123" s="381"/>
      <c r="J123" s="381"/>
      <c r="K123" s="381"/>
      <c r="L123" s="381"/>
      <c r="M123" s="381"/>
      <c r="N123" s="381"/>
      <c r="O123" s="381"/>
      <c r="P123" s="381"/>
      <c r="Q123" s="381"/>
      <c r="R123" s="383"/>
      <c r="S123" s="383"/>
      <c r="T123" s="366"/>
      <c r="U123" s="366"/>
      <c r="V123" s="366"/>
      <c r="W123" s="366"/>
      <c r="X123" s="383"/>
      <c r="Y123" s="383"/>
      <c r="AA123" s="383"/>
      <c r="AB123" s="306" t="s">
        <v>896</v>
      </c>
      <c r="AC123" s="306"/>
      <c r="AD123" s="306"/>
      <c r="AE123" s="306"/>
      <c r="AF123" s="383"/>
      <c r="AG123" s="383"/>
      <c r="AH123" s="383"/>
      <c r="AI123" s="383"/>
      <c r="AJ123" s="366"/>
      <c r="AK123" s="419"/>
      <c r="AL123" s="383"/>
      <c r="AM123" s="383"/>
      <c r="AN123" s="383"/>
      <c r="AO123" s="383"/>
      <c r="AP123" s="383"/>
      <c r="AQ123" s="383"/>
      <c r="AR123" s="383"/>
      <c r="AS123" s="383"/>
      <c r="AT123" s="383"/>
      <c r="AU123" s="383"/>
      <c r="AV123" s="366"/>
      <c r="AW123" s="366"/>
      <c r="AX123" s="366"/>
      <c r="AY123" s="366"/>
      <c r="AZ123" s="383"/>
      <c r="BA123" s="257"/>
      <c r="BB123" s="257"/>
      <c r="BC123" s="257"/>
      <c r="BD123" s="257"/>
      <c r="BE123" s="257"/>
      <c r="BF123" s="257"/>
      <c r="BG123" s="264"/>
      <c r="BH123" s="257"/>
      <c r="BI123" s="257"/>
      <c r="BJ123" s="257"/>
      <c r="BK123" s="257"/>
      <c r="BL123" s="257"/>
      <c r="BM123"/>
      <c r="BN123" s="257"/>
      <c r="BO123" s="257"/>
      <c r="BP123" s="257"/>
      <c r="CA123" s="381"/>
      <c r="CB123" s="381"/>
      <c r="CC123" s="306" t="s">
        <v>978</v>
      </c>
      <c r="CD123" s="381"/>
      <c r="CE123" s="381"/>
      <c r="CF123" s="381"/>
      <c r="CG123" s="381"/>
      <c r="CH123" s="381"/>
      <c r="CI123" s="381"/>
      <c r="CJ123" s="381"/>
      <c r="CK123" s="381"/>
      <c r="CL123" s="381"/>
      <c r="CM123" s="381"/>
      <c r="CN123" s="381"/>
      <c r="CO123" s="366"/>
      <c r="CP123" s="366"/>
      <c r="CQ123" s="366"/>
      <c r="CR123" s="383"/>
    </row>
    <row r="124" spans="1:96" s="384" customFormat="1" x14ac:dyDescent="0.45">
      <c r="A124" s="381"/>
      <c r="B124" s="306" t="s">
        <v>858</v>
      </c>
      <c r="C124" s="383"/>
      <c r="D124" s="381"/>
      <c r="E124" s="381"/>
      <c r="F124" s="381"/>
      <c r="G124" s="382" t="s">
        <v>859</v>
      </c>
      <c r="H124" s="381"/>
      <c r="I124" s="381"/>
      <c r="J124" s="381"/>
      <c r="K124" s="381"/>
      <c r="L124" s="381"/>
      <c r="M124" s="381"/>
      <c r="N124" s="381"/>
      <c r="O124" s="381"/>
      <c r="P124" s="381"/>
      <c r="Q124" s="381"/>
      <c r="R124" s="383"/>
      <c r="S124" s="383"/>
      <c r="T124" s="366"/>
      <c r="U124" s="366"/>
      <c r="V124" s="366"/>
      <c r="W124" s="366"/>
      <c r="X124" s="383"/>
      <c r="Y124" s="383"/>
      <c r="AA124" s="383"/>
      <c r="AB124" s="306" t="s">
        <v>897</v>
      </c>
      <c r="AC124" s="306"/>
      <c r="AD124" s="306"/>
      <c r="AE124" s="306"/>
      <c r="AF124" s="383"/>
      <c r="AG124" s="383"/>
      <c r="AH124" s="383"/>
      <c r="AI124" s="383"/>
      <c r="AJ124" s="366"/>
      <c r="AK124" s="383"/>
      <c r="AL124" s="383"/>
      <c r="AM124" s="383"/>
      <c r="AN124" s="383"/>
      <c r="AO124" s="383"/>
      <c r="AP124" s="383"/>
      <c r="AQ124" s="383"/>
      <c r="AR124" s="383"/>
      <c r="AS124" s="383"/>
      <c r="AT124" s="383"/>
      <c r="AU124" s="383"/>
      <c r="AV124" s="366"/>
      <c r="AW124" s="366"/>
      <c r="AX124" s="366"/>
      <c r="AY124" s="366"/>
      <c r="AZ124" s="383"/>
      <c r="BA124" s="257"/>
      <c r="BB124" s="257"/>
      <c r="BC124" s="257"/>
      <c r="BD124" s="257"/>
      <c r="BE124" s="257"/>
      <c r="BF124" s="257"/>
      <c r="BG124" s="264"/>
      <c r="BH124" s="257"/>
      <c r="BI124" s="257"/>
      <c r="BJ124" s="257"/>
      <c r="BK124" s="257"/>
      <c r="BL124" s="257"/>
      <c r="BM124"/>
      <c r="BN124" s="257"/>
      <c r="BO124" s="257"/>
      <c r="BP124" s="257"/>
      <c r="CA124" s="381"/>
      <c r="CB124" s="381"/>
      <c r="CC124" s="306" t="s">
        <v>979</v>
      </c>
      <c r="CD124" s="381"/>
      <c r="CE124" s="381"/>
      <c r="CF124" s="381"/>
      <c r="CG124" s="381"/>
      <c r="CH124" s="381"/>
      <c r="CI124" s="381"/>
      <c r="CJ124" s="381"/>
      <c r="CK124" s="381"/>
      <c r="CL124" s="381"/>
      <c r="CM124" s="381"/>
      <c r="CN124" s="381"/>
      <c r="CO124" s="366"/>
      <c r="CP124" s="366"/>
      <c r="CQ124" s="366"/>
      <c r="CR124" s="383"/>
    </row>
    <row r="125" spans="1:96" s="384" customFormat="1" x14ac:dyDescent="0.45">
      <c r="A125" s="381"/>
      <c r="B125" s="306" t="s">
        <v>860</v>
      </c>
      <c r="C125" s="383"/>
      <c r="D125" s="381"/>
      <c r="E125" s="381"/>
      <c r="F125" s="381"/>
      <c r="G125" s="359" t="s">
        <v>861</v>
      </c>
      <c r="H125" s="381"/>
      <c r="I125" s="381"/>
      <c r="J125" s="381"/>
      <c r="K125" s="381"/>
      <c r="L125" s="381"/>
      <c r="M125" s="381"/>
      <c r="N125" s="381"/>
      <c r="O125" s="381"/>
      <c r="P125" s="381"/>
      <c r="Q125" s="381"/>
      <c r="R125" s="383"/>
      <c r="S125" s="383"/>
      <c r="T125" s="366"/>
      <c r="U125" s="366"/>
      <c r="V125" s="366"/>
      <c r="W125" s="366"/>
      <c r="X125" s="383"/>
      <c r="Y125" s="383"/>
      <c r="AA125" s="383"/>
      <c r="AB125" s="306" t="s">
        <v>898</v>
      </c>
      <c r="AC125" s="306"/>
      <c r="AD125" s="306"/>
      <c r="AE125" s="306"/>
      <c r="AF125" s="383"/>
      <c r="AG125" s="383"/>
      <c r="AH125" s="383"/>
      <c r="AI125" s="383"/>
      <c r="AJ125" s="366"/>
      <c r="AK125" s="383"/>
      <c r="AL125" s="383"/>
      <c r="AM125" s="383"/>
      <c r="AN125" s="383"/>
      <c r="AO125" s="383"/>
      <c r="AP125" s="383"/>
      <c r="AQ125" s="383"/>
      <c r="AR125" s="383"/>
      <c r="AS125" s="383"/>
      <c r="AT125" s="383"/>
      <c r="AU125" s="383"/>
      <c r="AV125" s="366"/>
      <c r="AW125" s="366"/>
      <c r="AX125" s="366"/>
      <c r="AY125" s="366"/>
      <c r="AZ125" s="383"/>
      <c r="BA125" s="257"/>
      <c r="BB125" s="257"/>
      <c r="BC125" s="257"/>
      <c r="BD125" s="257"/>
      <c r="BE125" s="257"/>
      <c r="BF125" s="257"/>
      <c r="BG125" s="264"/>
      <c r="BH125" s="257"/>
      <c r="BI125" s="257"/>
      <c r="BJ125" s="257"/>
      <c r="BK125" s="257"/>
      <c r="BL125" s="257"/>
      <c r="BM125"/>
      <c r="BN125" s="257"/>
      <c r="BO125" s="257"/>
      <c r="BP125" s="257"/>
      <c r="CA125" s="383"/>
      <c r="CB125" s="383"/>
      <c r="CC125" s="306" t="s">
        <v>980</v>
      </c>
      <c r="CD125" s="383"/>
      <c r="CE125" s="383"/>
      <c r="CF125" s="383"/>
      <c r="CG125" s="383"/>
      <c r="CH125" s="366"/>
      <c r="CI125" s="383"/>
      <c r="CJ125" s="383"/>
      <c r="CK125" s="383"/>
      <c r="CL125" s="383"/>
      <c r="CM125" s="383"/>
      <c r="CN125" s="383"/>
      <c r="CO125" s="366"/>
      <c r="CP125" s="366"/>
      <c r="CQ125" s="366"/>
      <c r="CR125" s="383"/>
    </row>
    <row r="126" spans="1:96" s="384" customFormat="1" x14ac:dyDescent="0.45">
      <c r="A126" s="383"/>
      <c r="B126" s="306" t="s">
        <v>862</v>
      </c>
      <c r="C126" s="383"/>
      <c r="D126" s="383"/>
      <c r="E126" s="383"/>
      <c r="F126" s="383"/>
      <c r="G126" s="359" t="s">
        <v>863</v>
      </c>
      <c r="H126" s="383"/>
      <c r="I126" s="366"/>
      <c r="J126" s="383"/>
      <c r="K126" s="383"/>
      <c r="L126" s="383"/>
      <c r="M126" s="383"/>
      <c r="N126" s="383"/>
      <c r="O126" s="383"/>
      <c r="P126" s="383"/>
      <c r="Q126" s="383"/>
      <c r="R126" s="383"/>
      <c r="S126" s="383"/>
      <c r="T126" s="366"/>
      <c r="U126" s="366"/>
      <c r="V126" s="366"/>
      <c r="W126" s="366"/>
      <c r="X126" s="383"/>
      <c r="Y126" s="383"/>
      <c r="AA126" s="383"/>
      <c r="AB126" s="306" t="s">
        <v>899</v>
      </c>
      <c r="AC126" s="306"/>
      <c r="AD126" s="306"/>
      <c r="AE126" s="306"/>
      <c r="AF126" s="383"/>
      <c r="AG126" s="383"/>
      <c r="AH126" s="383"/>
      <c r="AI126" s="383"/>
      <c r="AJ126" s="366"/>
      <c r="AK126" s="383"/>
      <c r="AL126" s="383"/>
      <c r="AM126" s="383"/>
      <c r="AN126" s="383"/>
      <c r="AO126" s="383"/>
      <c r="AP126" s="383"/>
      <c r="AQ126" s="383"/>
      <c r="AR126" s="383"/>
      <c r="AS126" s="383"/>
      <c r="AT126" s="383"/>
      <c r="AU126" s="383"/>
      <c r="AV126" s="366"/>
      <c r="AW126" s="366"/>
      <c r="AX126" s="366"/>
      <c r="AY126" s="366"/>
      <c r="AZ126" s="383"/>
      <c r="BA126" s="257"/>
      <c r="BB126" s="257"/>
      <c r="BC126" s="257"/>
      <c r="BD126" s="257"/>
      <c r="BE126" s="257"/>
      <c r="BF126" s="257"/>
      <c r="BG126" s="264"/>
      <c r="BH126" s="257"/>
      <c r="BI126" s="257"/>
      <c r="BJ126" s="257"/>
      <c r="BK126" s="257"/>
      <c r="BL126" s="257"/>
      <c r="BM126"/>
      <c r="BN126" s="257"/>
      <c r="BO126" s="257"/>
      <c r="BP126" s="257"/>
      <c r="CA126" s="383"/>
      <c r="CB126" s="383"/>
      <c r="CC126" s="306" t="s">
        <v>981</v>
      </c>
      <c r="CD126" s="383"/>
      <c r="CE126" s="383"/>
      <c r="CF126" s="383"/>
      <c r="CG126" s="383"/>
      <c r="CH126" s="366"/>
      <c r="CI126" s="383"/>
      <c r="CJ126" s="383"/>
      <c r="CK126" s="383"/>
      <c r="CL126" s="383"/>
      <c r="CM126" s="383"/>
      <c r="CN126" s="383"/>
      <c r="CO126" s="366"/>
      <c r="CP126" s="366"/>
      <c r="CQ126" s="366"/>
      <c r="CR126" s="383"/>
    </row>
    <row r="127" spans="1:96" s="384" customFormat="1" x14ac:dyDescent="0.45">
      <c r="A127" s="383"/>
      <c r="B127" s="306" t="s">
        <v>864</v>
      </c>
      <c r="C127" s="383"/>
      <c r="D127" s="383"/>
      <c r="E127" s="383"/>
      <c r="F127" s="383"/>
      <c r="G127" s="359"/>
      <c r="H127" s="383"/>
      <c r="I127" s="366"/>
      <c r="J127" s="383"/>
      <c r="K127" s="383"/>
      <c r="L127" s="383"/>
      <c r="M127" s="383"/>
      <c r="N127" s="383"/>
      <c r="O127" s="383"/>
      <c r="P127" s="383"/>
      <c r="Q127" s="383"/>
      <c r="R127" s="383"/>
      <c r="S127" s="383"/>
      <c r="T127" s="366"/>
      <c r="U127" s="366"/>
      <c r="V127" s="366"/>
      <c r="W127" s="366"/>
      <c r="X127" s="383"/>
      <c r="Y127" s="383"/>
      <c r="AA127" s="383"/>
      <c r="AB127" s="306" t="s">
        <v>900</v>
      </c>
      <c r="AC127" s="306"/>
      <c r="AD127" s="306"/>
      <c r="AE127" s="306"/>
      <c r="AF127" s="383"/>
      <c r="AG127" s="383"/>
      <c r="AH127" s="383"/>
      <c r="AI127" s="383"/>
      <c r="AJ127" s="366"/>
      <c r="AK127" s="383"/>
      <c r="AL127" s="383"/>
      <c r="AM127" s="383"/>
      <c r="AN127" s="383"/>
      <c r="AO127" s="383"/>
      <c r="AP127" s="383"/>
      <c r="AQ127" s="383"/>
      <c r="AR127" s="383"/>
      <c r="AS127" s="383"/>
      <c r="AT127" s="383"/>
      <c r="AU127" s="383"/>
      <c r="AV127" s="366"/>
      <c r="AW127" s="366"/>
      <c r="AX127" s="366"/>
      <c r="AY127" s="366"/>
      <c r="AZ127" s="383"/>
      <c r="BA127" s="257"/>
      <c r="BB127" s="257"/>
      <c r="BC127" s="257"/>
      <c r="BD127" s="257"/>
      <c r="BE127" s="257"/>
      <c r="BF127" s="257"/>
      <c r="BG127" s="264"/>
      <c r="BH127" s="257"/>
      <c r="BI127" s="257"/>
      <c r="BJ127" s="257"/>
      <c r="BK127" s="257"/>
      <c r="BL127" s="257"/>
      <c r="BM127"/>
      <c r="BN127" s="257"/>
      <c r="BO127" s="257"/>
      <c r="BP127" s="257"/>
      <c r="CA127" s="383"/>
      <c r="CB127" s="383"/>
      <c r="CC127" s="306" t="s">
        <v>982</v>
      </c>
      <c r="CD127" s="383"/>
      <c r="CE127" s="383"/>
      <c r="CF127" s="383"/>
      <c r="CG127" s="383"/>
      <c r="CH127" s="366"/>
      <c r="CI127" s="383"/>
      <c r="CJ127" s="383"/>
      <c r="CK127" s="383"/>
      <c r="CL127" s="383"/>
      <c r="CM127" s="383"/>
      <c r="CN127" s="383"/>
      <c r="CO127" s="366"/>
      <c r="CP127" s="366"/>
      <c r="CQ127" s="366"/>
      <c r="CR127" s="383"/>
    </row>
    <row r="128" spans="1:96" s="384" customFormat="1" x14ac:dyDescent="0.45">
      <c r="A128" s="383"/>
      <c r="B128" s="306" t="s">
        <v>865</v>
      </c>
      <c r="C128" s="383"/>
      <c r="D128" s="383"/>
      <c r="E128" s="383"/>
      <c r="F128" s="383"/>
      <c r="G128" s="359"/>
      <c r="H128" s="383"/>
      <c r="I128" s="366"/>
      <c r="J128" s="383"/>
      <c r="K128" s="383"/>
      <c r="L128" s="383"/>
      <c r="M128" s="383"/>
      <c r="N128" s="383"/>
      <c r="O128" s="383"/>
      <c r="P128" s="383"/>
      <c r="Q128" s="383"/>
      <c r="R128" s="383"/>
      <c r="S128" s="383"/>
      <c r="T128" s="366"/>
      <c r="U128" s="366"/>
      <c r="V128" s="366"/>
      <c r="W128" s="366"/>
      <c r="X128" s="383"/>
      <c r="Y128" s="383"/>
      <c r="AA128" s="383"/>
      <c r="AB128" s="306" t="s">
        <v>901</v>
      </c>
      <c r="AC128" s="306"/>
      <c r="AD128" s="306"/>
      <c r="AE128" s="306"/>
      <c r="AF128" s="383"/>
      <c r="AG128" s="383"/>
      <c r="AH128" s="383"/>
      <c r="AI128" s="383"/>
      <c r="AJ128" s="366"/>
      <c r="AK128" s="383"/>
      <c r="AL128" s="383"/>
      <c r="AM128" s="383"/>
      <c r="AN128" s="383"/>
      <c r="AO128" s="383"/>
      <c r="AP128" s="383"/>
      <c r="AQ128" s="383"/>
      <c r="AR128" s="383"/>
      <c r="AS128" s="383"/>
      <c r="AT128" s="383"/>
      <c r="AU128" s="383"/>
      <c r="AV128" s="366"/>
      <c r="AW128" s="366"/>
      <c r="AX128" s="366"/>
      <c r="AY128" s="366"/>
      <c r="AZ128" s="383"/>
      <c r="BA128" s="257"/>
      <c r="BB128" s="257"/>
      <c r="BC128" s="257"/>
      <c r="BD128" s="257"/>
      <c r="BE128" s="257"/>
      <c r="BF128" s="257"/>
      <c r="BG128" s="264"/>
      <c r="BH128" s="257"/>
      <c r="BI128" s="257"/>
      <c r="BJ128" s="257"/>
      <c r="BK128" s="257"/>
      <c r="BL128" s="257"/>
      <c r="BM128"/>
      <c r="BN128" s="257"/>
      <c r="BO128" s="257"/>
      <c r="BP128" s="257"/>
      <c r="CA128" s="383"/>
      <c r="CB128" s="383"/>
      <c r="CC128" s="306" t="s">
        <v>983</v>
      </c>
      <c r="CD128" s="383"/>
      <c r="CE128" s="383"/>
      <c r="CF128" s="383"/>
      <c r="CG128" s="383"/>
      <c r="CH128" s="366"/>
      <c r="CI128" s="383"/>
      <c r="CJ128" s="383"/>
      <c r="CK128" s="383"/>
      <c r="CL128" s="383"/>
      <c r="CM128" s="383"/>
      <c r="CN128" s="383"/>
      <c r="CO128" s="366"/>
      <c r="CP128" s="366"/>
      <c r="CQ128" s="366"/>
      <c r="CR128" s="383"/>
    </row>
    <row r="129" spans="1:96" s="384" customFormat="1" x14ac:dyDescent="0.45">
      <c r="A129" s="383"/>
      <c r="B129" s="306" t="s">
        <v>866</v>
      </c>
      <c r="C129" s="383"/>
      <c r="D129" s="383"/>
      <c r="E129" s="383"/>
      <c r="F129" s="383"/>
      <c r="G129" s="359"/>
      <c r="H129" s="383"/>
      <c r="I129" s="366"/>
      <c r="J129" s="383"/>
      <c r="K129" s="383"/>
      <c r="L129" s="383"/>
      <c r="M129" s="383"/>
      <c r="N129" s="383"/>
      <c r="O129" s="383"/>
      <c r="P129" s="383"/>
      <c r="Q129" s="383"/>
      <c r="R129" s="383"/>
      <c r="S129" s="383"/>
      <c r="T129" s="366"/>
      <c r="U129" s="366"/>
      <c r="V129" s="366"/>
      <c r="W129" s="366"/>
      <c r="X129" s="383"/>
      <c r="Y129" s="383"/>
      <c r="AA129" s="383"/>
      <c r="AB129" s="306" t="s">
        <v>902</v>
      </c>
      <c r="AC129" s="306"/>
      <c r="AD129" s="306"/>
      <c r="AE129" s="306"/>
      <c r="AF129" s="383"/>
      <c r="AG129" s="383"/>
      <c r="AH129" s="383"/>
      <c r="AI129" s="383"/>
      <c r="AJ129" s="366"/>
      <c r="AK129" s="383"/>
      <c r="AL129" s="383"/>
      <c r="AM129" s="383"/>
      <c r="AN129" s="383"/>
      <c r="AO129" s="383"/>
      <c r="AP129" s="383"/>
      <c r="AQ129" s="383"/>
      <c r="AR129" s="383"/>
      <c r="AS129" s="383"/>
      <c r="AT129" s="383"/>
      <c r="AU129" s="383"/>
      <c r="AV129" s="366"/>
      <c r="AW129" s="366"/>
      <c r="AX129" s="366"/>
      <c r="AY129" s="366"/>
      <c r="AZ129" s="383"/>
      <c r="BA129" s="257"/>
      <c r="BB129" s="257"/>
      <c r="BC129" s="257"/>
      <c r="BD129" s="257"/>
      <c r="BE129" s="257"/>
      <c r="BF129" s="257"/>
      <c r="BG129" s="264"/>
      <c r="BH129" s="257"/>
      <c r="BI129" s="257"/>
      <c r="BJ129" s="257"/>
      <c r="BK129" s="257"/>
      <c r="BL129" s="257"/>
      <c r="BM129"/>
      <c r="BN129" s="257"/>
      <c r="BO129" s="257"/>
      <c r="BP129" s="257"/>
      <c r="CA129" s="381"/>
      <c r="CB129" s="381"/>
      <c r="CC129" s="359" t="s">
        <v>984</v>
      </c>
      <c r="CD129" s="381"/>
      <c r="CE129" s="381"/>
      <c r="CF129" s="381"/>
      <c r="CG129" s="381"/>
      <c r="CH129" s="381"/>
      <c r="CI129" s="381"/>
      <c r="CJ129" s="381"/>
      <c r="CK129" s="381"/>
      <c r="CL129" s="381"/>
      <c r="CM129" s="381"/>
      <c r="CN129" s="381"/>
      <c r="CO129" s="366"/>
      <c r="CP129" s="366"/>
      <c r="CQ129" s="366"/>
      <c r="CR129" s="383"/>
    </row>
    <row r="130" spans="1:96" s="384" customFormat="1" x14ac:dyDescent="0.45">
      <c r="A130" s="381"/>
      <c r="B130" s="306" t="s">
        <v>867</v>
      </c>
      <c r="C130" s="383"/>
      <c r="D130" s="381"/>
      <c r="E130" s="381"/>
      <c r="F130" s="381"/>
      <c r="G130" s="306"/>
      <c r="H130" s="381"/>
      <c r="I130" s="381"/>
      <c r="J130" s="381"/>
      <c r="K130" s="381"/>
      <c r="L130" s="381"/>
      <c r="M130" s="381"/>
      <c r="N130" s="381"/>
      <c r="O130" s="381"/>
      <c r="P130" s="381"/>
      <c r="Q130" s="381"/>
      <c r="R130" s="383"/>
      <c r="S130" s="383"/>
      <c r="T130" s="366"/>
      <c r="U130" s="366"/>
      <c r="V130" s="366"/>
      <c r="W130" s="366"/>
      <c r="X130" s="383"/>
      <c r="Y130" s="383"/>
      <c r="AA130" s="383"/>
      <c r="AB130" s="306" t="s">
        <v>903</v>
      </c>
      <c r="AC130" s="306"/>
      <c r="AD130" s="306"/>
      <c r="AE130" s="306"/>
      <c r="AF130" s="383"/>
      <c r="AG130" s="383"/>
      <c r="AH130" s="383"/>
      <c r="AI130" s="427" t="s">
        <v>859</v>
      </c>
      <c r="AJ130" s="297"/>
      <c r="AK130" s="306"/>
      <c r="AL130" s="306"/>
      <c r="AM130" s="306"/>
      <c r="AN130" s="306"/>
      <c r="AO130" s="306"/>
      <c r="AP130" s="306"/>
      <c r="AQ130" s="306"/>
      <c r="AR130" s="306"/>
      <c r="AS130" s="306"/>
      <c r="AT130" s="306"/>
      <c r="AU130" s="306"/>
      <c r="AV130" s="297"/>
      <c r="AW130" s="366"/>
      <c r="AX130" s="366"/>
      <c r="AY130" s="366"/>
      <c r="AZ130" s="383"/>
      <c r="BA130" s="257"/>
      <c r="BB130" s="257"/>
      <c r="BC130" s="257"/>
      <c r="BD130" s="257"/>
      <c r="BE130" s="257"/>
      <c r="BF130" s="257"/>
      <c r="BG130" s="264"/>
      <c r="BH130" s="257"/>
      <c r="BI130" s="257"/>
      <c r="BJ130" s="257"/>
      <c r="BK130" s="257"/>
      <c r="BL130" s="257"/>
      <c r="BM130"/>
      <c r="BN130" s="257"/>
      <c r="BO130" s="257"/>
      <c r="BP130" s="257"/>
      <c r="CA130" s="381"/>
      <c r="CB130" s="381"/>
      <c r="CC130" s="306" t="s">
        <v>985</v>
      </c>
      <c r="CD130" s="381"/>
      <c r="CE130" s="381"/>
      <c r="CF130" s="381"/>
      <c r="CG130" s="381"/>
      <c r="CH130" s="381"/>
      <c r="CI130" s="381"/>
      <c r="CJ130" s="381"/>
      <c r="CK130" s="381"/>
      <c r="CL130" s="381"/>
      <c r="CM130" s="381"/>
      <c r="CN130" s="381"/>
      <c r="CO130" s="366"/>
      <c r="CP130" s="366"/>
      <c r="CQ130" s="366"/>
      <c r="CR130" s="383"/>
    </row>
    <row r="131" spans="1:96" s="384" customFormat="1" x14ac:dyDescent="0.45">
      <c r="A131" s="381"/>
      <c r="B131" s="306" t="s">
        <v>868</v>
      </c>
      <c r="C131" s="383"/>
      <c r="D131" s="381"/>
      <c r="E131" s="381"/>
      <c r="F131" s="381"/>
      <c r="G131" s="306"/>
      <c r="H131" s="381"/>
      <c r="I131" s="381"/>
      <c r="J131" s="381"/>
      <c r="K131" s="381"/>
      <c r="L131" s="381"/>
      <c r="M131" s="381"/>
      <c r="N131" s="381"/>
      <c r="O131" s="381"/>
      <c r="P131" s="381"/>
      <c r="Q131" s="381"/>
      <c r="R131" s="383"/>
      <c r="S131" s="383"/>
      <c r="T131" s="366"/>
      <c r="U131" s="366"/>
      <c r="V131" s="366"/>
      <c r="W131" s="366"/>
      <c r="X131" s="383"/>
      <c r="Y131" s="383"/>
      <c r="AA131" s="383"/>
      <c r="AB131" s="306" t="s">
        <v>904</v>
      </c>
      <c r="AC131" s="306"/>
      <c r="AD131" s="306"/>
      <c r="AE131" s="306"/>
      <c r="AF131" s="383"/>
      <c r="AG131" s="383"/>
      <c r="AH131" s="383"/>
      <c r="AI131" s="359" t="s">
        <v>905</v>
      </c>
      <c r="AJ131" s="297"/>
      <c r="AK131" s="306"/>
      <c r="AL131" s="306"/>
      <c r="AM131" s="306"/>
      <c r="AN131" s="306"/>
      <c r="AO131" s="306"/>
      <c r="AP131" s="306"/>
      <c r="AQ131" s="306"/>
      <c r="AR131" s="306"/>
      <c r="AS131" s="306"/>
      <c r="AT131" s="306"/>
      <c r="AU131" s="306"/>
      <c r="AV131" s="297"/>
      <c r="AW131" s="366"/>
      <c r="AX131" s="366"/>
      <c r="AY131" s="366"/>
      <c r="AZ131" s="383"/>
      <c r="BA131" s="257"/>
      <c r="BB131" s="257"/>
      <c r="BC131" s="257"/>
      <c r="BD131" s="257"/>
      <c r="BE131" s="257"/>
      <c r="BF131" s="257"/>
      <c r="BG131" s="264"/>
      <c r="BH131" s="257"/>
      <c r="BI131" s="257"/>
      <c r="BJ131" s="257"/>
      <c r="BK131" s="257"/>
      <c r="BL131" s="257"/>
      <c r="BM131"/>
      <c r="BN131" s="257"/>
      <c r="BO131" s="257"/>
      <c r="BP131" s="257"/>
      <c r="CA131" s="381"/>
      <c r="CB131" s="381"/>
      <c r="CC131" s="359" t="s">
        <v>986</v>
      </c>
      <c r="CD131" s="381"/>
      <c r="CE131" s="381"/>
      <c r="CF131" s="381"/>
      <c r="CG131" s="381"/>
      <c r="CH131" s="381"/>
      <c r="CI131" s="381"/>
      <c r="CJ131" s="381"/>
      <c r="CK131" s="381"/>
      <c r="CL131" s="381"/>
      <c r="CM131" s="381"/>
      <c r="CN131" s="381"/>
      <c r="CO131" s="366"/>
      <c r="CP131" s="366"/>
      <c r="CQ131" s="366"/>
      <c r="CR131" s="383"/>
    </row>
    <row r="132" spans="1:96" s="384" customFormat="1" x14ac:dyDescent="0.45">
      <c r="A132" s="381"/>
      <c r="B132" s="359" t="s">
        <v>869</v>
      </c>
      <c r="C132" s="383"/>
      <c r="D132" s="381"/>
      <c r="E132" s="381"/>
      <c r="F132" s="381"/>
      <c r="G132" s="306"/>
      <c r="H132" s="381"/>
      <c r="I132" s="381"/>
      <c r="J132" s="381"/>
      <c r="K132" s="381"/>
      <c r="L132" s="381"/>
      <c r="M132" s="381"/>
      <c r="N132" s="381"/>
      <c r="O132" s="381"/>
      <c r="P132" s="381"/>
      <c r="Q132" s="381"/>
      <c r="R132" s="383"/>
      <c r="S132" s="383"/>
      <c r="T132" s="366"/>
      <c r="U132" s="366"/>
      <c r="V132" s="366"/>
      <c r="W132" s="366"/>
      <c r="X132" s="383"/>
      <c r="Y132" s="383"/>
      <c r="AA132" s="383"/>
      <c r="AB132" s="306" t="s">
        <v>906</v>
      </c>
      <c r="AC132" s="306"/>
      <c r="AD132" s="306"/>
      <c r="AE132" s="306"/>
      <c r="AF132" s="383"/>
      <c r="AG132" s="383"/>
      <c r="AH132" s="383"/>
      <c r="AI132" s="306" t="s">
        <v>907</v>
      </c>
      <c r="AJ132" s="297"/>
      <c r="AK132" s="306"/>
      <c r="AL132" s="306"/>
      <c r="AM132" s="306"/>
      <c r="AN132" s="306"/>
      <c r="AO132" s="306"/>
      <c r="AP132" s="306"/>
      <c r="AQ132" s="306"/>
      <c r="AR132" s="306"/>
      <c r="AS132" s="306"/>
      <c r="AT132" s="306"/>
      <c r="AU132" s="306"/>
      <c r="AV132" s="297"/>
      <c r="AW132" s="366"/>
      <c r="AX132" s="366"/>
      <c r="AY132" s="366"/>
      <c r="AZ132" s="383"/>
      <c r="BA132" s="257"/>
      <c r="BB132" s="257"/>
      <c r="BC132" s="257"/>
      <c r="BD132" s="257"/>
      <c r="BE132" s="257"/>
      <c r="BF132" s="257"/>
      <c r="BG132" s="264"/>
      <c r="BH132" s="257"/>
      <c r="BI132" s="257"/>
      <c r="BJ132" s="257"/>
      <c r="BK132" s="257"/>
      <c r="BL132" s="257"/>
      <c r="BM132"/>
      <c r="BN132" s="257"/>
      <c r="BO132" s="257"/>
      <c r="BP132" s="257"/>
      <c r="CA132" s="381"/>
      <c r="CB132" s="381"/>
      <c r="CC132" s="306" t="s">
        <v>872</v>
      </c>
      <c r="CD132" s="381"/>
      <c r="CE132" s="381"/>
      <c r="CF132" s="381"/>
      <c r="CG132" s="381"/>
      <c r="CH132" s="381"/>
      <c r="CI132" s="381"/>
      <c r="CJ132" s="381"/>
      <c r="CK132" s="381"/>
      <c r="CL132" s="381"/>
      <c r="CM132" s="381"/>
      <c r="CN132" s="381"/>
      <c r="CO132" s="366"/>
      <c r="CP132" s="366"/>
      <c r="CQ132" s="366"/>
      <c r="CR132" s="383"/>
    </row>
    <row r="133" spans="1:96" s="384" customFormat="1" x14ac:dyDescent="0.45">
      <c r="A133" s="381"/>
      <c r="B133" s="306" t="s">
        <v>870</v>
      </c>
      <c r="C133" s="381"/>
      <c r="D133" s="381"/>
      <c r="E133" s="381"/>
      <c r="F133" s="381"/>
      <c r="G133" s="383"/>
      <c r="H133" s="381"/>
      <c r="I133" s="381"/>
      <c r="J133" s="381"/>
      <c r="K133" s="381"/>
      <c r="L133" s="381"/>
      <c r="M133" s="381"/>
      <c r="N133" s="381"/>
      <c r="O133" s="381"/>
      <c r="P133" s="381"/>
      <c r="Q133" s="381"/>
      <c r="R133" s="383"/>
      <c r="S133" s="383"/>
      <c r="T133" s="366"/>
      <c r="U133" s="366"/>
      <c r="V133" s="366"/>
      <c r="W133" s="366"/>
      <c r="X133" s="383"/>
      <c r="Y133" s="383"/>
      <c r="AA133" s="383"/>
      <c r="AB133" s="306" t="s">
        <v>908</v>
      </c>
      <c r="AC133" s="306"/>
      <c r="AD133" s="306"/>
      <c r="AE133" s="306"/>
      <c r="AF133" s="383"/>
      <c r="AG133" s="383"/>
      <c r="AH133" s="383"/>
      <c r="AI133" s="306" t="s">
        <v>909</v>
      </c>
      <c r="AJ133" s="297"/>
      <c r="AK133" s="306"/>
      <c r="AL133" s="306"/>
      <c r="AM133" s="306"/>
      <c r="AN133" s="306"/>
      <c r="AO133" s="306"/>
      <c r="AP133" s="306"/>
      <c r="AQ133" s="306"/>
      <c r="AR133" s="306"/>
      <c r="AS133" s="306"/>
      <c r="AT133" s="306"/>
      <c r="AU133" s="306"/>
      <c r="AV133" s="297"/>
      <c r="AW133" s="366"/>
      <c r="AX133" s="366"/>
      <c r="AY133" s="366"/>
      <c r="AZ133" s="383"/>
      <c r="BA133" s="257"/>
      <c r="BB133" s="257"/>
      <c r="BC133" s="257"/>
      <c r="BD133" s="257"/>
      <c r="BE133" s="257"/>
      <c r="BF133" s="257"/>
      <c r="BG133" s="264"/>
      <c r="BH133" s="257"/>
      <c r="BI133" s="257"/>
      <c r="BJ133" s="257"/>
      <c r="BK133" s="257"/>
      <c r="BL133" s="257"/>
      <c r="BM133"/>
      <c r="BN133" s="257"/>
      <c r="BO133" s="257"/>
      <c r="BP133" s="257"/>
      <c r="CA133" s="381"/>
      <c r="CB133" s="381"/>
      <c r="CC133" s="306" t="s">
        <v>873</v>
      </c>
      <c r="CD133" s="381"/>
      <c r="CE133" s="381"/>
      <c r="CF133" s="381"/>
      <c r="CG133" s="381"/>
      <c r="CH133" s="381"/>
      <c r="CI133" s="381"/>
      <c r="CJ133" s="381"/>
      <c r="CK133" s="381"/>
      <c r="CL133" s="381"/>
      <c r="CM133" s="381"/>
      <c r="CN133" s="381"/>
      <c r="CO133" s="366"/>
      <c r="CP133" s="366"/>
      <c r="CQ133" s="366"/>
      <c r="CR133" s="383"/>
    </row>
    <row r="134" spans="1:96" s="384" customFormat="1" x14ac:dyDescent="0.45">
      <c r="A134" s="381"/>
      <c r="B134" s="359" t="s">
        <v>871</v>
      </c>
      <c r="C134" s="381"/>
      <c r="D134" s="381"/>
      <c r="E134" s="381"/>
      <c r="F134" s="381"/>
      <c r="G134" s="381"/>
      <c r="H134" s="381"/>
      <c r="I134" s="381"/>
      <c r="J134" s="381"/>
      <c r="K134" s="381"/>
      <c r="L134" s="381"/>
      <c r="M134" s="381"/>
      <c r="N134" s="381"/>
      <c r="O134" s="381"/>
      <c r="P134" s="381"/>
      <c r="Q134" s="381"/>
      <c r="R134" s="383"/>
      <c r="S134" s="383"/>
      <c r="T134" s="366"/>
      <c r="U134" s="366"/>
      <c r="V134" s="366"/>
      <c r="W134" s="366"/>
      <c r="X134" s="383"/>
      <c r="Y134" s="383"/>
      <c r="AA134" s="381"/>
      <c r="AB134" s="306" t="s">
        <v>910</v>
      </c>
      <c r="AC134" s="359"/>
      <c r="AD134" s="359"/>
      <c r="AE134" s="359"/>
      <c r="AF134" s="381"/>
      <c r="AG134" s="381"/>
      <c r="AH134" s="381"/>
      <c r="AI134" s="359"/>
      <c r="AJ134" s="359"/>
      <c r="AK134" s="359"/>
      <c r="AL134" s="359"/>
      <c r="AM134" s="359"/>
      <c r="AN134" s="359"/>
      <c r="AO134" s="359"/>
      <c r="AP134" s="359"/>
      <c r="AQ134" s="359"/>
      <c r="AR134" s="359"/>
      <c r="AS134" s="306"/>
      <c r="AT134" s="306"/>
      <c r="AU134" s="306"/>
      <c r="AV134" s="297"/>
      <c r="AW134" s="366"/>
      <c r="AX134" s="366"/>
      <c r="AY134" s="366"/>
      <c r="AZ134" s="383"/>
      <c r="BA134" s="257"/>
      <c r="BB134" s="257"/>
      <c r="BC134" s="257"/>
      <c r="BD134" s="257"/>
      <c r="BE134" s="257"/>
      <c r="BF134" s="257"/>
      <c r="BG134" s="264"/>
      <c r="BH134" s="257"/>
      <c r="BI134" s="257"/>
      <c r="BJ134" s="257"/>
      <c r="BK134" s="257"/>
      <c r="BL134" s="257"/>
      <c r="BM134"/>
      <c r="BN134" s="257"/>
      <c r="BO134" s="257"/>
      <c r="BP134" s="257"/>
      <c r="CA134" s="381"/>
      <c r="CB134" s="381"/>
      <c r="CC134" s="359" t="s">
        <v>874</v>
      </c>
      <c r="CD134" s="381"/>
      <c r="CE134" s="381"/>
      <c r="CF134" s="381"/>
      <c r="CG134" s="381"/>
      <c r="CH134" s="381"/>
      <c r="CI134" s="381"/>
      <c r="CJ134" s="381"/>
      <c r="CK134" s="381"/>
      <c r="CL134" s="381"/>
      <c r="CM134" s="381"/>
      <c r="CN134" s="381"/>
      <c r="CO134" s="366"/>
      <c r="CP134" s="366"/>
      <c r="CQ134" s="366"/>
      <c r="CR134" s="383"/>
    </row>
    <row r="135" spans="1:96" s="384" customFormat="1" x14ac:dyDescent="0.45">
      <c r="A135" s="381"/>
      <c r="B135" s="306" t="s">
        <v>872</v>
      </c>
      <c r="C135" s="381"/>
      <c r="D135" s="381"/>
      <c r="E135" s="381"/>
      <c r="F135" s="381"/>
      <c r="G135" s="381"/>
      <c r="H135" s="381"/>
      <c r="I135" s="381"/>
      <c r="J135" s="381"/>
      <c r="K135" s="381"/>
      <c r="L135" s="381"/>
      <c r="M135" s="381"/>
      <c r="N135" s="381"/>
      <c r="O135" s="381"/>
      <c r="P135" s="381"/>
      <c r="Q135" s="381"/>
      <c r="R135" s="383"/>
      <c r="S135" s="383"/>
      <c r="T135" s="366"/>
      <c r="U135" s="366"/>
      <c r="V135" s="366"/>
      <c r="W135" s="366"/>
      <c r="X135" s="383"/>
      <c r="Y135" s="383"/>
      <c r="AA135" s="381"/>
      <c r="AB135" s="306" t="s">
        <v>911</v>
      </c>
      <c r="AC135" s="359"/>
      <c r="AD135" s="359"/>
      <c r="AE135" s="359"/>
      <c r="AF135" s="381"/>
      <c r="AG135" s="381"/>
      <c r="AH135" s="381"/>
      <c r="AI135" s="359"/>
      <c r="AJ135" s="359"/>
      <c r="AK135" s="359"/>
      <c r="AL135" s="359"/>
      <c r="AM135" s="359"/>
      <c r="AN135" s="359"/>
      <c r="AO135" s="359"/>
      <c r="AP135" s="359"/>
      <c r="AQ135" s="359"/>
      <c r="AR135" s="359"/>
      <c r="AS135" s="306"/>
      <c r="AT135" s="306"/>
      <c r="AU135" s="306"/>
      <c r="AV135" s="297"/>
      <c r="AW135" s="366"/>
      <c r="AX135" s="366"/>
      <c r="AY135" s="366"/>
      <c r="AZ135" s="383"/>
      <c r="BA135" s="257"/>
      <c r="BB135" s="257"/>
      <c r="BC135" s="257"/>
      <c r="BD135" s="257"/>
      <c r="BE135" s="257"/>
      <c r="BF135" s="257"/>
      <c r="BG135" s="264"/>
      <c r="BH135" s="257"/>
      <c r="BI135" s="257"/>
      <c r="BJ135" s="257"/>
      <c r="BK135" s="257"/>
      <c r="BL135" s="257"/>
      <c r="BM135"/>
      <c r="BN135" s="257"/>
      <c r="BO135" s="257"/>
      <c r="BP135" s="257"/>
      <c r="CA135" s="257"/>
      <c r="CB135" s="257"/>
      <c r="CC135" s="257"/>
      <c r="CD135" s="257"/>
      <c r="CE135" s="257"/>
      <c r="CF135" s="257"/>
      <c r="CG135" s="257"/>
      <c r="CH135" s="258"/>
      <c r="CI135" s="257"/>
      <c r="CJ135" s="257"/>
      <c r="CK135" s="257"/>
      <c r="CL135" s="257"/>
      <c r="CM135" s="257"/>
      <c r="CN135" s="257"/>
      <c r="CO135" s="258"/>
      <c r="CP135" s="258"/>
      <c r="CQ135" s="258"/>
      <c r="CR135" s="257"/>
    </row>
    <row r="136" spans="1:96" s="384" customFormat="1" x14ac:dyDescent="0.45">
      <c r="A136" s="381"/>
      <c r="B136" s="306" t="s">
        <v>873</v>
      </c>
      <c r="C136" s="381"/>
      <c r="D136" s="381"/>
      <c r="E136" s="381"/>
      <c r="F136" s="383"/>
      <c r="G136" s="381"/>
      <c r="H136" s="381"/>
      <c r="I136" s="381"/>
      <c r="J136" s="381"/>
      <c r="K136" s="381"/>
      <c r="L136" s="381"/>
      <c r="M136" s="381"/>
      <c r="N136" s="381"/>
      <c r="O136" s="381"/>
      <c r="P136" s="381"/>
      <c r="Q136" s="381"/>
      <c r="R136" s="383"/>
      <c r="S136" s="383"/>
      <c r="T136" s="366"/>
      <c r="U136" s="366"/>
      <c r="V136" s="366"/>
      <c r="W136" s="366"/>
      <c r="X136" s="383"/>
      <c r="Y136" s="383"/>
      <c r="AA136" s="381"/>
      <c r="AB136" s="306" t="s">
        <v>912</v>
      </c>
      <c r="AC136" s="359"/>
      <c r="AD136" s="359"/>
      <c r="AE136" s="359"/>
      <c r="AF136" s="381"/>
      <c r="AG136" s="381"/>
      <c r="AH136" s="381"/>
      <c r="AI136" s="359"/>
      <c r="AJ136" s="359"/>
      <c r="AK136" s="359"/>
      <c r="AL136" s="359"/>
      <c r="AM136" s="359"/>
      <c r="AN136" s="359"/>
      <c r="AO136" s="359"/>
      <c r="AP136" s="359"/>
      <c r="AQ136" s="359"/>
      <c r="AR136" s="359"/>
      <c r="AS136" s="306"/>
      <c r="AT136" s="306"/>
      <c r="AU136" s="306"/>
      <c r="AV136" s="297"/>
      <c r="AW136" s="366"/>
      <c r="AX136" s="366"/>
      <c r="AY136" s="366"/>
      <c r="AZ136" s="383"/>
      <c r="BA136" s="257"/>
      <c r="BB136" s="257"/>
      <c r="BC136" s="257"/>
      <c r="BD136" s="257"/>
      <c r="BE136" s="257"/>
      <c r="BF136" s="257"/>
      <c r="BG136" s="264"/>
      <c r="BH136" s="257"/>
      <c r="BI136" s="257"/>
      <c r="BJ136" s="257"/>
      <c r="BK136" s="257"/>
      <c r="BL136" s="257"/>
      <c r="BM136"/>
      <c r="BN136" s="257"/>
      <c r="BO136" s="257"/>
      <c r="BP136" s="257"/>
      <c r="CA136" s="257"/>
      <c r="CB136" s="257"/>
      <c r="CC136" s="257"/>
      <c r="CD136" s="257"/>
      <c r="CE136" s="257"/>
      <c r="CF136" s="257"/>
      <c r="CG136" s="257"/>
      <c r="CH136" s="258"/>
      <c r="CI136" s="257"/>
      <c r="CJ136" s="257"/>
      <c r="CK136" s="257"/>
      <c r="CL136" s="257"/>
      <c r="CM136" s="257"/>
      <c r="CN136" s="257"/>
      <c r="CO136" s="258"/>
      <c r="CP136" s="258"/>
      <c r="CQ136" s="258"/>
      <c r="CR136" s="257"/>
    </row>
    <row r="137" spans="1:96" s="384" customFormat="1" x14ac:dyDescent="0.45">
      <c r="A137" s="381"/>
      <c r="B137" s="359" t="s">
        <v>874</v>
      </c>
      <c r="C137" s="381"/>
      <c r="D137" s="381"/>
      <c r="E137" s="381"/>
      <c r="F137" s="381"/>
      <c r="G137" s="381"/>
      <c r="H137" s="381"/>
      <c r="I137" s="381"/>
      <c r="J137" s="381"/>
      <c r="K137" s="381"/>
      <c r="L137" s="381"/>
      <c r="M137" s="381"/>
      <c r="N137" s="381"/>
      <c r="O137" s="381"/>
      <c r="P137" s="381"/>
      <c r="Q137" s="381"/>
      <c r="R137" s="383"/>
      <c r="S137" s="383"/>
      <c r="T137" s="366"/>
      <c r="U137" s="366"/>
      <c r="V137" s="366"/>
      <c r="W137" s="366"/>
      <c r="X137" s="383"/>
      <c r="Y137" s="383"/>
      <c r="AA137" s="381"/>
      <c r="AB137" s="306" t="s">
        <v>913</v>
      </c>
      <c r="AC137" s="359"/>
      <c r="AD137" s="359"/>
      <c r="AE137" s="359"/>
      <c r="AF137" s="381"/>
      <c r="AG137" s="381"/>
      <c r="AH137" s="381"/>
      <c r="AI137" s="381"/>
      <c r="AJ137" s="381"/>
      <c r="AK137" s="381"/>
      <c r="AL137" s="381"/>
      <c r="AM137" s="381"/>
      <c r="AN137" s="381"/>
      <c r="AO137" s="381"/>
      <c r="AP137" s="381"/>
      <c r="AQ137" s="381"/>
      <c r="AR137" s="381"/>
      <c r="AS137" s="383"/>
      <c r="AT137" s="383"/>
      <c r="AU137" s="383"/>
      <c r="AV137" s="366"/>
      <c r="AW137" s="366"/>
      <c r="AX137" s="366"/>
      <c r="AY137" s="366"/>
      <c r="AZ137" s="383"/>
      <c r="BA137" s="257"/>
      <c r="BB137" s="257"/>
      <c r="BC137" s="257"/>
      <c r="BD137" s="257"/>
      <c r="BE137" s="257"/>
      <c r="BF137" s="257"/>
      <c r="BG137" s="264"/>
      <c r="BH137" s="257"/>
      <c r="BI137" s="257"/>
      <c r="BJ137" s="257"/>
      <c r="BK137" s="257"/>
      <c r="BL137" s="257"/>
      <c r="BM137"/>
      <c r="BN137" s="257"/>
      <c r="BO137" s="257"/>
      <c r="BP137" s="257"/>
      <c r="CA137" s="257"/>
      <c r="CB137" s="257"/>
      <c r="CC137" s="257"/>
      <c r="CD137" s="257"/>
      <c r="CE137" s="257"/>
      <c r="CF137" s="257"/>
      <c r="CG137" s="257"/>
      <c r="CH137" s="258"/>
      <c r="CI137" s="257"/>
      <c r="CJ137" s="257"/>
      <c r="CK137" s="257"/>
      <c r="CL137" s="257"/>
      <c r="CM137" s="257"/>
      <c r="CN137" s="257"/>
      <c r="CO137" s="258"/>
      <c r="CP137" s="258"/>
      <c r="CQ137" s="258"/>
      <c r="CR137" s="257"/>
    </row>
    <row r="138" spans="1:96" s="384" customFormat="1" x14ac:dyDescent="0.45">
      <c r="A138" s="381"/>
      <c r="B138" s="383"/>
      <c r="C138" s="381"/>
      <c r="D138" s="381"/>
      <c r="E138" s="381"/>
      <c r="F138" s="381"/>
      <c r="G138" s="381"/>
      <c r="H138" s="381"/>
      <c r="I138" s="381"/>
      <c r="J138" s="381"/>
      <c r="K138" s="381"/>
      <c r="L138" s="381"/>
      <c r="M138" s="381"/>
      <c r="N138" s="381"/>
      <c r="O138" s="381"/>
      <c r="P138" s="381"/>
      <c r="Q138" s="381"/>
      <c r="R138" s="383"/>
      <c r="S138" s="383"/>
      <c r="T138" s="366"/>
      <c r="U138" s="366"/>
      <c r="V138" s="366"/>
      <c r="W138" s="366"/>
      <c r="X138" s="383"/>
      <c r="Y138" s="383"/>
      <c r="AA138" s="381"/>
      <c r="AB138" s="306" t="s">
        <v>914</v>
      </c>
      <c r="AC138" s="359"/>
      <c r="AD138" s="359"/>
      <c r="AE138" s="359"/>
      <c r="AF138" s="381"/>
      <c r="AG138" s="381"/>
      <c r="AH138" s="381"/>
      <c r="AI138" s="381"/>
      <c r="AJ138" s="381"/>
      <c r="AK138" s="381"/>
      <c r="AL138" s="381"/>
      <c r="AM138" s="381"/>
      <c r="AN138" s="381"/>
      <c r="AO138" s="381"/>
      <c r="AP138" s="381"/>
      <c r="AQ138" s="381"/>
      <c r="AR138" s="381"/>
      <c r="AS138" s="383"/>
      <c r="AT138" s="383"/>
      <c r="AU138" s="383"/>
      <c r="AV138" s="366"/>
      <c r="AW138" s="366"/>
      <c r="AX138" s="366"/>
      <c r="AY138" s="366"/>
      <c r="AZ138" s="383"/>
      <c r="BA138" s="257"/>
      <c r="BB138" s="257"/>
      <c r="BC138" s="257"/>
      <c r="BD138" s="257"/>
      <c r="BE138" s="257"/>
      <c r="BF138" s="257"/>
      <c r="BG138" s="264"/>
      <c r="BH138" s="257"/>
      <c r="BI138" s="257"/>
      <c r="BJ138" s="257"/>
      <c r="BK138" s="257"/>
      <c r="BL138" s="257"/>
      <c r="BM138"/>
      <c r="BN138" s="257"/>
      <c r="BO138" s="257"/>
      <c r="BP138" s="257"/>
      <c r="CA138" s="257"/>
      <c r="CB138" s="257"/>
      <c r="CC138" s="257"/>
      <c r="CD138" s="257"/>
      <c r="CE138" s="257"/>
      <c r="CF138" s="257"/>
      <c r="CG138" s="257"/>
      <c r="CH138" s="258"/>
      <c r="CI138" s="257"/>
      <c r="CJ138" s="257"/>
      <c r="CK138" s="257"/>
      <c r="CL138" s="257"/>
      <c r="CM138" s="257"/>
      <c r="CN138" s="257"/>
      <c r="CO138" s="258"/>
      <c r="CP138" s="258"/>
      <c r="CQ138" s="258"/>
      <c r="CR138" s="257"/>
    </row>
    <row r="139" spans="1:96" s="384" customFormat="1" x14ac:dyDescent="0.45">
      <c r="A139" s="381"/>
      <c r="B139" s="386"/>
      <c r="C139" s="381"/>
      <c r="D139" s="381"/>
      <c r="E139" s="381"/>
      <c r="F139" s="381"/>
      <c r="G139" s="381"/>
      <c r="H139" s="381"/>
      <c r="I139" s="381"/>
      <c r="J139" s="381"/>
      <c r="K139" s="381"/>
      <c r="L139" s="381"/>
      <c r="M139" s="381"/>
      <c r="N139" s="381"/>
      <c r="O139" s="381"/>
      <c r="P139" s="381"/>
      <c r="Q139" s="381"/>
      <c r="R139" s="383"/>
      <c r="S139" s="383"/>
      <c r="T139" s="366"/>
      <c r="U139" s="366"/>
      <c r="V139" s="366"/>
      <c r="W139" s="366"/>
      <c r="X139" s="383"/>
      <c r="Y139" s="383"/>
      <c r="AA139" s="381"/>
      <c r="AB139" s="306" t="s">
        <v>915</v>
      </c>
      <c r="AC139" s="359"/>
      <c r="AD139" s="359"/>
      <c r="AE139" s="359"/>
      <c r="AF139" s="381"/>
      <c r="AG139" s="381"/>
      <c r="AH139" s="381"/>
      <c r="AI139" s="381"/>
      <c r="AJ139" s="381"/>
      <c r="AK139" s="381"/>
      <c r="AL139" s="381"/>
      <c r="AM139" s="381"/>
      <c r="AN139" s="381"/>
      <c r="AO139" s="381"/>
      <c r="AP139" s="381"/>
      <c r="AQ139" s="381"/>
      <c r="AR139" s="381"/>
      <c r="AS139" s="383"/>
      <c r="AT139" s="383"/>
      <c r="AU139" s="383"/>
      <c r="AV139" s="366"/>
      <c r="AW139" s="366"/>
      <c r="AX139" s="366"/>
      <c r="AY139" s="366"/>
      <c r="AZ139" s="383"/>
      <c r="BA139" s="257"/>
      <c r="BB139" s="257"/>
      <c r="BC139" s="257"/>
      <c r="BD139" s="257"/>
      <c r="BE139" s="257"/>
      <c r="BF139" s="257"/>
      <c r="BG139" s="264"/>
      <c r="BH139" s="257"/>
      <c r="BI139" s="257"/>
      <c r="BJ139" s="257"/>
      <c r="BK139" s="257"/>
      <c r="BL139" s="257"/>
      <c r="BM139"/>
      <c r="BN139" s="257"/>
      <c r="BO139" s="257"/>
      <c r="BP139" s="257"/>
      <c r="CA139" s="257"/>
      <c r="CB139" s="257"/>
      <c r="CC139" s="257"/>
      <c r="CD139" s="257"/>
      <c r="CE139" s="257"/>
      <c r="CF139" s="257"/>
      <c r="CG139" s="257"/>
      <c r="CH139" s="258"/>
      <c r="CI139" s="257"/>
      <c r="CJ139" s="257"/>
      <c r="CK139" s="257"/>
      <c r="CL139" s="257"/>
      <c r="CM139" s="257"/>
      <c r="CN139" s="257"/>
      <c r="CO139" s="258"/>
      <c r="CP139" s="258"/>
      <c r="CQ139" s="258"/>
      <c r="CR139" s="257"/>
    </row>
    <row r="140" spans="1:96" s="384" customFormat="1" x14ac:dyDescent="0.45">
      <c r="A140" s="381"/>
      <c r="B140" s="383"/>
      <c r="C140" s="383"/>
      <c r="D140" s="381"/>
      <c r="E140" s="381"/>
      <c r="F140" s="381"/>
      <c r="G140" s="381"/>
      <c r="H140" s="381"/>
      <c r="I140" s="381"/>
      <c r="J140" s="381"/>
      <c r="K140" s="381"/>
      <c r="L140" s="381"/>
      <c r="M140" s="381"/>
      <c r="N140" s="381"/>
      <c r="O140" s="381"/>
      <c r="P140" s="381"/>
      <c r="Q140" s="381"/>
      <c r="R140" s="383"/>
      <c r="S140" s="383"/>
      <c r="T140" s="366"/>
      <c r="U140" s="366"/>
      <c r="V140" s="366"/>
      <c r="W140" s="366"/>
      <c r="X140" s="383"/>
      <c r="Y140" s="383"/>
      <c r="AA140" s="381"/>
      <c r="AB140" s="306" t="s">
        <v>916</v>
      </c>
      <c r="AC140" s="306"/>
      <c r="AD140" s="306"/>
      <c r="AE140" s="306"/>
      <c r="AF140" s="381"/>
      <c r="AG140" s="381"/>
      <c r="AH140" s="381"/>
      <c r="AI140" s="381"/>
      <c r="AJ140" s="381"/>
      <c r="AK140" s="381"/>
      <c r="AL140" s="381"/>
      <c r="AM140" s="381"/>
      <c r="AN140" s="381"/>
      <c r="AO140" s="381"/>
      <c r="AP140" s="381"/>
      <c r="AQ140" s="381"/>
      <c r="AR140" s="381"/>
      <c r="AS140" s="383"/>
      <c r="AT140" s="383"/>
      <c r="AU140" s="383"/>
      <c r="AV140" s="366"/>
      <c r="AW140" s="366"/>
      <c r="AX140" s="366"/>
      <c r="AY140" s="366"/>
      <c r="AZ140" s="383"/>
      <c r="BA140" s="257"/>
      <c r="BB140" s="257"/>
      <c r="BC140" s="257"/>
      <c r="BD140" s="257"/>
      <c r="BE140" s="257"/>
      <c r="BF140" s="257"/>
      <c r="BG140" s="264"/>
      <c r="BH140" s="257"/>
      <c r="BI140" s="257"/>
      <c r="BJ140" s="257"/>
      <c r="BK140" s="257"/>
      <c r="BL140" s="257"/>
      <c r="BM140"/>
      <c r="BN140" s="257"/>
      <c r="BO140" s="257"/>
      <c r="BP140" s="257"/>
      <c r="CA140" s="257"/>
      <c r="CB140" s="257"/>
      <c r="CC140" s="257"/>
      <c r="CD140" s="257"/>
      <c r="CE140" s="257"/>
      <c r="CF140" s="257"/>
      <c r="CG140" s="257"/>
      <c r="CH140" s="258"/>
      <c r="CI140" s="257"/>
      <c r="CJ140" s="257"/>
      <c r="CK140" s="257"/>
      <c r="CL140" s="257"/>
      <c r="CM140" s="257"/>
      <c r="CN140" s="257"/>
      <c r="CO140" s="258"/>
      <c r="CP140" s="258"/>
      <c r="CQ140" s="258"/>
      <c r="CR140" s="257"/>
    </row>
    <row r="141" spans="1:96" s="384" customFormat="1" x14ac:dyDescent="0.45">
      <c r="A141" s="381"/>
      <c r="B141" s="385"/>
      <c r="C141" s="381"/>
      <c r="D141" s="381"/>
      <c r="E141" s="381"/>
      <c r="F141" s="381"/>
      <c r="G141" s="381"/>
      <c r="H141" s="381"/>
      <c r="I141" s="381"/>
      <c r="J141" s="381"/>
      <c r="K141" s="381"/>
      <c r="L141" s="381"/>
      <c r="M141" s="381"/>
      <c r="N141" s="381"/>
      <c r="O141" s="381"/>
      <c r="P141" s="381"/>
      <c r="Q141" s="381"/>
      <c r="R141" s="383"/>
      <c r="S141" s="383"/>
      <c r="T141" s="366"/>
      <c r="U141" s="366"/>
      <c r="V141" s="366"/>
      <c r="W141" s="366"/>
      <c r="X141" s="383"/>
      <c r="Y141" s="383"/>
      <c r="AA141" s="383"/>
      <c r="AB141" s="306" t="s">
        <v>917</v>
      </c>
      <c r="AC141" s="306"/>
      <c r="AD141" s="306"/>
      <c r="AE141" s="306"/>
      <c r="AF141" s="383"/>
      <c r="AG141" s="383"/>
      <c r="AH141" s="383"/>
      <c r="AI141" s="383"/>
      <c r="AJ141" s="366"/>
      <c r="AK141" s="383"/>
      <c r="AL141" s="383"/>
      <c r="AM141" s="383"/>
      <c r="AN141" s="383"/>
      <c r="AO141" s="383"/>
      <c r="AP141" s="383"/>
      <c r="AQ141" s="383"/>
      <c r="AR141" s="383"/>
      <c r="AS141" s="383"/>
      <c r="AT141" s="383"/>
      <c r="AU141" s="383"/>
      <c r="AV141" s="366"/>
      <c r="AW141" s="366"/>
      <c r="AX141" s="366"/>
      <c r="AY141" s="366"/>
      <c r="AZ141" s="383"/>
      <c r="BA141" s="257"/>
      <c r="BB141" s="257"/>
      <c r="BC141" s="257"/>
      <c r="BD141" s="257"/>
      <c r="BE141" s="257"/>
      <c r="BF141" s="257"/>
      <c r="BG141" s="264"/>
      <c r="BH141" s="257"/>
      <c r="BI141" s="257"/>
      <c r="BJ141" s="257"/>
      <c r="BK141" s="257"/>
      <c r="BL141" s="257"/>
      <c r="BM141"/>
      <c r="BN141" s="257"/>
      <c r="BO141" s="257"/>
      <c r="BP141" s="257"/>
      <c r="CA141" s="257"/>
      <c r="CB141" s="257"/>
      <c r="CC141" s="257"/>
      <c r="CD141" s="257"/>
      <c r="CE141" s="257"/>
      <c r="CF141" s="257"/>
      <c r="CG141" s="257"/>
      <c r="CH141" s="258"/>
      <c r="CI141" s="257"/>
      <c r="CJ141" s="257"/>
      <c r="CK141" s="257"/>
      <c r="CL141" s="257"/>
      <c r="CM141" s="257"/>
      <c r="CN141" s="257"/>
      <c r="CO141" s="258"/>
      <c r="CP141" s="258"/>
      <c r="CQ141" s="258"/>
      <c r="CR141" s="257"/>
    </row>
    <row r="142" spans="1:96" s="390" customFormat="1" ht="15.4" x14ac:dyDescent="0.45">
      <c r="A142" s="387"/>
      <c r="B142" s="387"/>
      <c r="C142" s="388"/>
      <c r="D142" s="387"/>
      <c r="E142" s="387"/>
      <c r="F142" s="387"/>
      <c r="G142" s="381"/>
      <c r="H142" s="387"/>
      <c r="I142" s="389"/>
      <c r="J142" s="387"/>
      <c r="K142" s="387"/>
      <c r="L142" s="387"/>
      <c r="M142" s="387"/>
      <c r="N142" s="387"/>
      <c r="O142" s="387"/>
      <c r="P142" s="387"/>
      <c r="Q142" s="387"/>
      <c r="R142" s="387"/>
      <c r="S142" s="387"/>
      <c r="T142" s="389"/>
      <c r="U142" s="389"/>
      <c r="V142" s="389"/>
      <c r="W142" s="389"/>
      <c r="X142" s="387"/>
      <c r="Y142" s="387"/>
      <c r="AA142" s="383"/>
      <c r="AB142" s="306" t="s">
        <v>918</v>
      </c>
      <c r="AC142" s="306"/>
      <c r="AD142" s="306"/>
      <c r="AE142" s="306"/>
      <c r="AF142" s="383"/>
      <c r="AG142" s="383"/>
      <c r="AH142" s="383"/>
      <c r="AI142" s="383"/>
      <c r="AJ142" s="366"/>
      <c r="AK142" s="383"/>
      <c r="AL142" s="383"/>
      <c r="AM142" s="383"/>
      <c r="AN142" s="383"/>
      <c r="AO142" s="383"/>
      <c r="AP142" s="383"/>
      <c r="AQ142" s="383"/>
      <c r="AR142" s="383"/>
      <c r="AS142" s="383"/>
      <c r="AT142" s="383"/>
      <c r="AU142" s="383"/>
      <c r="AV142" s="366"/>
      <c r="AW142" s="366"/>
      <c r="AX142" s="366"/>
      <c r="AY142" s="366"/>
      <c r="AZ142" s="383"/>
      <c r="BA142" s="257"/>
      <c r="BB142" s="257"/>
      <c r="BC142" s="257"/>
      <c r="BD142" s="257"/>
      <c r="BE142" s="257"/>
      <c r="BF142" s="257"/>
      <c r="BG142" s="264"/>
      <c r="BH142" s="257"/>
      <c r="BI142" s="257"/>
      <c r="BJ142" s="257"/>
      <c r="BK142" s="257"/>
      <c r="BL142" s="257"/>
      <c r="BM142"/>
      <c r="BN142" s="257"/>
      <c r="BO142" s="257"/>
      <c r="BP142" s="257"/>
      <c r="CA142" s="257"/>
      <c r="CB142" s="257"/>
      <c r="CC142" s="257"/>
      <c r="CD142" s="257"/>
      <c r="CE142" s="257"/>
      <c r="CF142" s="257"/>
      <c r="CG142" s="257"/>
      <c r="CH142" s="258"/>
      <c r="CI142" s="257"/>
      <c r="CJ142" s="257"/>
      <c r="CK142" s="257"/>
      <c r="CL142" s="257"/>
      <c r="CM142" s="257"/>
      <c r="CN142" s="257"/>
      <c r="CO142" s="258"/>
      <c r="CP142" s="258"/>
      <c r="CQ142" s="258"/>
      <c r="CR142" s="257"/>
    </row>
    <row r="143" spans="1:96" s="390" customFormat="1" ht="15.4" x14ac:dyDescent="0.45">
      <c r="A143" s="387"/>
      <c r="B143" s="387"/>
      <c r="C143" s="387"/>
      <c r="D143" s="387"/>
      <c r="E143" s="387"/>
      <c r="F143" s="387"/>
      <c r="G143" s="381"/>
      <c r="H143" s="387"/>
      <c r="I143" s="389"/>
      <c r="J143" s="387"/>
      <c r="K143" s="387"/>
      <c r="L143" s="387"/>
      <c r="M143" s="387"/>
      <c r="N143" s="387"/>
      <c r="O143" s="387"/>
      <c r="P143" s="387"/>
      <c r="Q143" s="387"/>
      <c r="R143" s="387"/>
      <c r="S143" s="387"/>
      <c r="T143" s="389"/>
      <c r="U143" s="389"/>
      <c r="V143" s="389"/>
      <c r="W143" s="389"/>
      <c r="X143" s="387"/>
      <c r="Y143" s="387"/>
      <c r="AA143" s="383"/>
      <c r="AB143" s="359" t="s">
        <v>919</v>
      </c>
      <c r="AC143" s="306"/>
      <c r="AD143" s="306"/>
      <c r="AE143" s="306"/>
      <c r="AF143" s="383"/>
      <c r="AG143" s="383"/>
      <c r="AH143" s="383"/>
      <c r="AI143" s="383"/>
      <c r="AJ143" s="366"/>
      <c r="AK143" s="383"/>
      <c r="AL143" s="383"/>
      <c r="AM143" s="383"/>
      <c r="AN143" s="383"/>
      <c r="AO143" s="383"/>
      <c r="AP143" s="383"/>
      <c r="AQ143" s="383"/>
      <c r="AR143" s="383"/>
      <c r="AS143" s="383"/>
      <c r="AT143" s="383"/>
      <c r="AU143" s="383"/>
      <c r="AV143" s="366"/>
      <c r="AW143" s="366"/>
      <c r="AX143" s="366"/>
      <c r="AY143" s="366"/>
      <c r="AZ143" s="383"/>
      <c r="BA143" s="257"/>
      <c r="BB143" s="257"/>
      <c r="BC143" s="257"/>
      <c r="BD143" s="257"/>
      <c r="BE143" s="257"/>
      <c r="BF143" s="257"/>
      <c r="BG143" s="264"/>
      <c r="BH143" s="257"/>
      <c r="BI143" s="257"/>
      <c r="BJ143" s="257"/>
      <c r="BK143" s="257"/>
      <c r="BL143" s="257"/>
      <c r="BM143"/>
      <c r="BN143" s="257"/>
      <c r="BO143" s="257"/>
      <c r="BP143" s="257"/>
    </row>
    <row r="144" spans="1:96" s="390" customFormat="1" ht="15.4" x14ac:dyDescent="0.45">
      <c r="A144" s="387"/>
      <c r="B144" s="387"/>
      <c r="C144" s="387"/>
      <c r="D144" s="387"/>
      <c r="E144" s="387"/>
      <c r="F144" s="387"/>
      <c r="G144" s="381"/>
      <c r="H144" s="387"/>
      <c r="I144" s="389"/>
      <c r="J144" s="387"/>
      <c r="K144" s="387"/>
      <c r="L144" s="387"/>
      <c r="M144" s="387"/>
      <c r="N144" s="387"/>
      <c r="O144" s="387"/>
      <c r="P144" s="387"/>
      <c r="Q144" s="387"/>
      <c r="R144" s="387"/>
      <c r="S144" s="387"/>
      <c r="T144" s="389"/>
      <c r="U144" s="389"/>
      <c r="V144" s="389"/>
      <c r="W144" s="389"/>
      <c r="X144" s="387"/>
      <c r="Y144" s="387"/>
      <c r="AA144" s="383"/>
      <c r="AB144" s="306" t="s">
        <v>920</v>
      </c>
      <c r="AC144" s="306"/>
      <c r="AD144" s="306"/>
      <c r="AE144" s="306"/>
      <c r="AF144" s="383"/>
      <c r="AG144" s="383"/>
      <c r="AH144" s="383"/>
      <c r="AI144" s="383"/>
      <c r="AJ144" s="366"/>
      <c r="AK144" s="383"/>
      <c r="AL144" s="383"/>
      <c r="AM144" s="383"/>
      <c r="AN144" s="383"/>
      <c r="AO144" s="383"/>
      <c r="AP144" s="383"/>
      <c r="AQ144" s="383"/>
      <c r="AR144" s="383"/>
      <c r="AS144" s="383"/>
      <c r="AT144" s="383"/>
      <c r="AU144" s="383"/>
      <c r="AV144" s="366"/>
      <c r="AW144" s="366"/>
      <c r="AX144" s="366"/>
      <c r="AY144" s="366"/>
      <c r="AZ144" s="383"/>
      <c r="BA144" s="257"/>
      <c r="BB144" s="257"/>
      <c r="BC144" s="257"/>
      <c r="BD144" s="257"/>
      <c r="BE144" s="257"/>
      <c r="BF144" s="257"/>
      <c r="BG144" s="264"/>
      <c r="BH144" s="257"/>
      <c r="BI144" s="257"/>
      <c r="BJ144" s="257"/>
      <c r="BK144" s="257"/>
      <c r="BL144" s="257"/>
      <c r="BM144"/>
      <c r="BN144" s="257"/>
      <c r="BO144" s="257"/>
      <c r="BP144" s="257"/>
    </row>
    <row r="145" spans="7:68" x14ac:dyDescent="0.45">
      <c r="G145" s="359"/>
      <c r="AA145" s="383"/>
      <c r="AB145" s="359" t="s">
        <v>921</v>
      </c>
      <c r="AC145" s="306"/>
      <c r="AD145" s="306"/>
      <c r="AE145" s="306"/>
      <c r="AF145" s="383"/>
      <c r="AG145" s="383"/>
      <c r="AH145" s="383"/>
      <c r="AI145" s="383"/>
      <c r="AJ145" s="366"/>
      <c r="AK145" s="383"/>
      <c r="AL145" s="383"/>
      <c r="AM145" s="383"/>
      <c r="AN145" s="383"/>
      <c r="AO145" s="383"/>
      <c r="AP145" s="383"/>
      <c r="AQ145" s="383"/>
      <c r="AR145" s="383"/>
      <c r="AS145" s="383"/>
      <c r="AT145" s="383"/>
      <c r="AU145" s="383"/>
      <c r="AV145" s="366"/>
      <c r="AW145" s="366"/>
      <c r="AX145" s="366"/>
      <c r="AY145" s="366"/>
      <c r="AZ145" s="383"/>
      <c r="BA145" s="257"/>
      <c r="BB145" s="257"/>
      <c r="BC145" s="257"/>
      <c r="BD145" s="257"/>
      <c r="BE145" s="257"/>
      <c r="BF145" s="257"/>
      <c r="BG145" s="264"/>
      <c r="BH145" s="257"/>
      <c r="BI145" s="257"/>
      <c r="BJ145" s="257"/>
      <c r="BK145" s="257"/>
      <c r="BL145" s="257"/>
      <c r="BM145"/>
      <c r="BN145" s="257"/>
      <c r="BO145" s="257"/>
      <c r="BP145" s="257"/>
    </row>
    <row r="146" spans="7:68" x14ac:dyDescent="0.45">
      <c r="AA146" s="381"/>
      <c r="AB146" s="306" t="s">
        <v>872</v>
      </c>
      <c r="AC146" s="359"/>
      <c r="AD146" s="359"/>
      <c r="AE146" s="359"/>
      <c r="AF146" s="381"/>
      <c r="AG146" s="381"/>
      <c r="AH146" s="381"/>
      <c r="AI146" s="381"/>
      <c r="AJ146" s="381"/>
      <c r="AK146" s="381"/>
      <c r="AL146" s="381"/>
      <c r="AM146" s="381"/>
      <c r="AN146" s="381"/>
      <c r="AO146" s="381"/>
      <c r="AP146" s="381"/>
      <c r="AQ146" s="381"/>
      <c r="AR146" s="381"/>
      <c r="AS146" s="383"/>
      <c r="AT146" s="383"/>
      <c r="AU146" s="383"/>
      <c r="AV146" s="366"/>
      <c r="AW146" s="366"/>
      <c r="AX146" s="366"/>
      <c r="AY146" s="366"/>
      <c r="AZ146" s="383"/>
      <c r="BA146" s="257"/>
      <c r="BB146" s="257"/>
      <c r="BC146" s="257"/>
      <c r="BD146" s="257"/>
      <c r="BE146" s="257"/>
      <c r="BF146" s="257"/>
      <c r="BG146" s="264"/>
      <c r="BH146" s="257"/>
      <c r="BI146" s="257"/>
      <c r="BJ146" s="257"/>
      <c r="BK146" s="257"/>
      <c r="BL146" s="257"/>
      <c r="BM146"/>
      <c r="BN146" s="257"/>
      <c r="BO146" s="257"/>
      <c r="BP146" s="257"/>
    </row>
    <row r="147" spans="7:68" x14ac:dyDescent="0.45">
      <c r="AA147" s="381"/>
      <c r="AB147" s="306" t="s">
        <v>922</v>
      </c>
      <c r="AC147" s="306"/>
      <c r="AD147" s="306"/>
      <c r="AE147" s="306"/>
      <c r="AF147" s="381"/>
      <c r="AG147" s="381"/>
      <c r="AH147" s="381"/>
      <c r="AI147" s="381"/>
      <c r="AJ147" s="381"/>
      <c r="AK147" s="381"/>
      <c r="AL147" s="381"/>
      <c r="AM147" s="381"/>
      <c r="AN147" s="381"/>
      <c r="AO147" s="381"/>
      <c r="AP147" s="381"/>
      <c r="AQ147" s="381"/>
      <c r="AR147" s="381"/>
      <c r="AS147" s="383"/>
      <c r="AT147" s="383"/>
      <c r="AU147" s="383"/>
      <c r="AV147" s="366"/>
      <c r="AW147" s="366"/>
      <c r="AX147" s="366"/>
      <c r="AY147" s="366"/>
      <c r="AZ147" s="383"/>
      <c r="BA147" s="257"/>
      <c r="BB147" s="257"/>
      <c r="BC147" s="257"/>
      <c r="BD147" s="257"/>
      <c r="BE147" s="257"/>
      <c r="BF147" s="257"/>
      <c r="BG147" s="264"/>
      <c r="BH147" s="257"/>
      <c r="BI147" s="257"/>
      <c r="BJ147" s="257"/>
      <c r="BK147" s="257"/>
      <c r="BL147" s="257"/>
      <c r="BM147"/>
      <c r="BN147" s="257"/>
      <c r="BO147" s="257"/>
      <c r="BP147" s="257"/>
    </row>
    <row r="148" spans="7:68" x14ac:dyDescent="0.45">
      <c r="AA148" s="381"/>
      <c r="AB148" s="359" t="s">
        <v>874</v>
      </c>
      <c r="AC148" s="306"/>
      <c r="AD148" s="306"/>
      <c r="AE148" s="306"/>
      <c r="AF148" s="381"/>
      <c r="AG148" s="381"/>
      <c r="AH148" s="381"/>
      <c r="AI148" s="381"/>
      <c r="AJ148" s="381"/>
      <c r="AK148" s="381"/>
      <c r="AL148" s="381"/>
      <c r="AM148" s="381"/>
      <c r="AN148" s="381"/>
      <c r="AO148" s="381"/>
      <c r="AP148" s="381"/>
      <c r="AQ148" s="381"/>
      <c r="AR148" s="381"/>
      <c r="AS148" s="383"/>
      <c r="AT148" s="383"/>
      <c r="AU148" s="383"/>
      <c r="AV148" s="366"/>
      <c r="AW148" s="366"/>
      <c r="AX148" s="366"/>
      <c r="AY148" s="366"/>
      <c r="AZ148" s="383"/>
      <c r="BA148" s="257"/>
      <c r="BB148" s="257"/>
      <c r="BC148" s="257"/>
      <c r="BD148" s="257"/>
      <c r="BE148" s="257"/>
      <c r="BF148" s="257"/>
      <c r="BG148" s="264"/>
      <c r="BH148" s="257"/>
      <c r="BI148" s="257"/>
      <c r="BJ148" s="257"/>
      <c r="BK148" s="257"/>
      <c r="BL148" s="257"/>
      <c r="BM148"/>
      <c r="BN148" s="257"/>
      <c r="BO148" s="257"/>
      <c r="BP148" s="257"/>
    </row>
    <row r="149" spans="7:68" x14ac:dyDescent="0.45">
      <c r="AA149" s="359"/>
      <c r="AB149" s="306"/>
      <c r="AC149" s="306"/>
      <c r="AD149" s="306"/>
      <c r="AE149" s="306"/>
      <c r="AF149" s="359"/>
      <c r="AG149" s="359"/>
      <c r="AH149" s="359"/>
      <c r="AI149" s="359"/>
      <c r="AJ149" s="359"/>
      <c r="AK149" s="359"/>
      <c r="AL149" s="359"/>
      <c r="AM149" s="359"/>
      <c r="AN149" s="359"/>
      <c r="AO149" s="359"/>
      <c r="AP149" s="359"/>
      <c r="AQ149" s="359"/>
      <c r="AR149" s="359"/>
      <c r="AS149" s="306"/>
      <c r="AT149" s="306"/>
      <c r="AU149" s="306"/>
      <c r="AV149" s="297"/>
      <c r="AW149" s="297"/>
      <c r="AX149" s="297"/>
      <c r="AY149" s="297"/>
      <c r="AZ149" s="306"/>
      <c r="BA149" s="257"/>
      <c r="BB149" s="257"/>
      <c r="BC149" s="257"/>
      <c r="BD149" s="257"/>
      <c r="BE149" s="257"/>
      <c r="BF149" s="257"/>
      <c r="BG149" s="264"/>
      <c r="BH149" s="257"/>
      <c r="BI149" s="257"/>
      <c r="BJ149" s="257"/>
      <c r="BK149" s="257"/>
      <c r="BL149" s="257"/>
      <c r="BM149"/>
      <c r="BN149" s="257"/>
      <c r="BO149" s="257"/>
      <c r="BP149" s="257"/>
    </row>
    <row r="150" spans="7:68" ht="15.4" x14ac:dyDescent="0.45">
      <c r="AA150" s="257"/>
      <c r="AB150" s="428"/>
      <c r="AC150" s="428"/>
      <c r="AD150" s="428"/>
      <c r="AE150" s="428"/>
      <c r="AF150" s="428"/>
      <c r="AG150" s="428"/>
      <c r="AH150" s="428"/>
      <c r="AI150" s="428"/>
      <c r="AJ150" s="429"/>
      <c r="AK150" s="428"/>
      <c r="AL150" s="428"/>
      <c r="AM150" s="428"/>
      <c r="AN150" s="428"/>
      <c r="AO150" s="257"/>
      <c r="AP150" s="257"/>
      <c r="AQ150" s="257"/>
      <c r="AR150" s="257"/>
      <c r="AS150" s="257"/>
      <c r="AT150" s="257"/>
      <c r="AU150" s="257"/>
      <c r="AV150" s="258"/>
      <c r="AW150" s="258"/>
      <c r="AX150" s="258"/>
      <c r="AY150" s="258"/>
      <c r="AZ150" s="257"/>
      <c r="BA150" s="257"/>
      <c r="BB150" s="257"/>
      <c r="BC150" s="257"/>
      <c r="BD150" s="257"/>
      <c r="BE150" s="257"/>
      <c r="BF150" s="257"/>
      <c r="BG150" s="264"/>
      <c r="BH150" s="257"/>
      <c r="BI150" s="257"/>
      <c r="BJ150" s="257"/>
      <c r="BK150" s="257"/>
      <c r="BL150" s="257"/>
      <c r="BM150"/>
      <c r="BN150" s="257"/>
      <c r="BO150" s="257"/>
      <c r="BP150" s="257"/>
    </row>
    <row r="151" spans="7:68" x14ac:dyDescent="0.45">
      <c r="AA151" s="257"/>
      <c r="AB151" s="257"/>
      <c r="AC151" s="257"/>
      <c r="AD151" s="257"/>
      <c r="AE151" s="257"/>
      <c r="AF151" s="257"/>
      <c r="AG151" s="257"/>
      <c r="AH151" s="257"/>
      <c r="AI151" s="257"/>
      <c r="AJ151" s="258"/>
      <c r="AK151" s="257"/>
      <c r="AL151" s="257"/>
      <c r="AM151" s="257"/>
      <c r="AN151" s="257"/>
      <c r="AO151" s="257"/>
      <c r="AP151" s="257"/>
      <c r="AQ151" s="257"/>
      <c r="AR151" s="257"/>
      <c r="AS151" s="257"/>
      <c r="AT151" s="257"/>
      <c r="AU151" s="257"/>
      <c r="AV151" s="258"/>
      <c r="AW151" s="258"/>
      <c r="AX151" s="258"/>
      <c r="AY151" s="258"/>
      <c r="AZ151" s="257"/>
      <c r="BA151" s="257"/>
      <c r="BB151" s="257"/>
      <c r="BC151" s="257"/>
      <c r="BD151" s="257"/>
      <c r="BE151" s="257"/>
      <c r="BF151" s="257"/>
      <c r="BG151" s="264"/>
      <c r="BH151" s="257"/>
      <c r="BI151" s="257"/>
      <c r="BJ151" s="257"/>
      <c r="BK151" s="257"/>
      <c r="BL151" s="257"/>
      <c r="BM151"/>
      <c r="BN151" s="257"/>
      <c r="BO151" s="257"/>
      <c r="BP151" s="257"/>
    </row>
    <row r="152" spans="7:68" x14ac:dyDescent="0.45">
      <c r="AA152" s="257"/>
      <c r="AB152" s="257"/>
      <c r="AC152" s="257"/>
      <c r="AD152" s="257"/>
      <c r="AE152" s="257"/>
      <c r="AF152" s="257"/>
      <c r="AG152" s="257"/>
      <c r="AH152" s="257"/>
      <c r="AI152" s="257"/>
      <c r="AJ152" s="258"/>
      <c r="AK152" s="257"/>
      <c r="AL152" s="257"/>
      <c r="AM152" s="257"/>
      <c r="AN152" s="257"/>
      <c r="AO152" s="257"/>
      <c r="AP152" s="257"/>
      <c r="AQ152" s="257"/>
      <c r="AR152" s="257"/>
      <c r="AS152" s="257"/>
      <c r="AT152" s="257"/>
      <c r="AU152" s="257"/>
      <c r="AV152" s="258"/>
      <c r="AW152" s="258"/>
      <c r="AX152" s="258"/>
      <c r="AY152" s="258"/>
      <c r="AZ152" s="257"/>
      <c r="BA152" s="257"/>
      <c r="BB152" s="257"/>
      <c r="BC152" s="257"/>
      <c r="BD152" s="257"/>
      <c r="BE152" s="257"/>
      <c r="BF152" s="257"/>
      <c r="BG152" s="264"/>
      <c r="BH152" s="257"/>
      <c r="BI152" s="257"/>
      <c r="BJ152" s="257"/>
      <c r="BK152" s="257"/>
      <c r="BL152" s="257"/>
      <c r="BM152"/>
      <c r="BN152" s="257"/>
      <c r="BO152" s="257"/>
      <c r="BP152" s="257"/>
    </row>
    <row r="153" spans="7:68" x14ac:dyDescent="0.45">
      <c r="AA153" s="257"/>
      <c r="AB153" s="257"/>
      <c r="AC153" s="257"/>
      <c r="AD153" s="257"/>
      <c r="AE153" s="257"/>
      <c r="AF153" s="257"/>
      <c r="AG153" s="257"/>
      <c r="AH153" s="257"/>
      <c r="AI153" s="257"/>
      <c r="AJ153" s="258"/>
      <c r="AK153" s="257"/>
      <c r="AL153" s="257"/>
      <c r="AM153" s="257"/>
      <c r="AN153" s="257"/>
      <c r="AO153" s="257"/>
      <c r="AP153" s="257"/>
      <c r="AQ153" s="257"/>
      <c r="AR153" s="257"/>
      <c r="AS153" s="257"/>
      <c r="AT153" s="257"/>
      <c r="AU153" s="257"/>
      <c r="AV153" s="258"/>
      <c r="AW153" s="258"/>
      <c r="AX153" s="258"/>
      <c r="AY153" s="258"/>
      <c r="AZ153" s="257"/>
      <c r="BA153" s="257"/>
      <c r="BB153" s="257"/>
      <c r="BC153" s="257"/>
      <c r="BD153" s="257"/>
      <c r="BE153" s="257"/>
      <c r="BF153" s="257"/>
      <c r="BG153" s="264"/>
      <c r="BH153" s="257"/>
      <c r="BI153" s="257"/>
      <c r="BJ153" s="257"/>
      <c r="BK153" s="257"/>
      <c r="BL153" s="257"/>
      <c r="BM153"/>
      <c r="BN153" s="257"/>
      <c r="BO153" s="257"/>
      <c r="BP153" s="257"/>
    </row>
    <row r="154" spans="7:68" x14ac:dyDescent="0.45">
      <c r="AA154" s="257"/>
      <c r="AB154" s="257"/>
      <c r="AC154" s="257"/>
      <c r="AD154" s="257"/>
      <c r="AE154" s="257"/>
      <c r="AF154" s="257"/>
      <c r="AG154" s="257"/>
      <c r="AH154" s="257"/>
      <c r="AI154" s="257"/>
      <c r="AJ154" s="258"/>
      <c r="AK154" s="257"/>
      <c r="AL154" s="257"/>
      <c r="AM154" s="257"/>
      <c r="AN154" s="257"/>
      <c r="AO154" s="257"/>
      <c r="AP154" s="257"/>
      <c r="AQ154" s="257"/>
      <c r="AR154" s="257"/>
      <c r="AS154" s="257"/>
      <c r="AT154" s="257"/>
      <c r="AU154" s="257"/>
      <c r="AV154" s="258"/>
      <c r="AW154" s="258"/>
      <c r="AX154" s="258"/>
      <c r="AY154" s="258"/>
      <c r="AZ154" s="257"/>
      <c r="BA154" s="257"/>
      <c r="BB154" s="257"/>
      <c r="BC154" s="257"/>
      <c r="BD154" s="257"/>
      <c r="BE154" s="257"/>
      <c r="BF154" s="257"/>
      <c r="BG154" s="264"/>
      <c r="BH154" s="257"/>
      <c r="BI154" s="257"/>
      <c r="BJ154" s="257"/>
      <c r="BK154" s="257"/>
      <c r="BL154" s="257"/>
      <c r="BM154"/>
      <c r="BN154" s="257"/>
      <c r="BO154" s="257"/>
      <c r="BP154" s="257"/>
    </row>
    <row r="155" spans="7:68" x14ac:dyDescent="0.45">
      <c r="AA155" s="257"/>
      <c r="AB155" s="257"/>
      <c r="AC155" s="257"/>
      <c r="AD155" s="257"/>
      <c r="AE155" s="257"/>
      <c r="AF155" s="257"/>
      <c r="AG155" s="257"/>
      <c r="AH155" s="257"/>
      <c r="AI155" s="257"/>
      <c r="AJ155" s="258"/>
      <c r="AK155" s="257"/>
      <c r="AL155" s="257"/>
      <c r="AM155" s="257"/>
      <c r="AN155" s="257"/>
      <c r="AO155" s="257"/>
      <c r="AP155" s="257"/>
      <c r="AQ155" s="257"/>
      <c r="AR155" s="257"/>
      <c r="AS155" s="257"/>
      <c r="AT155" s="257"/>
      <c r="AU155" s="257"/>
      <c r="AV155" s="258"/>
      <c r="AW155" s="258"/>
      <c r="AX155" s="258"/>
      <c r="AY155" s="258"/>
      <c r="AZ155" s="257"/>
      <c r="BA155" s="257"/>
      <c r="BB155" s="257"/>
      <c r="BC155" s="257"/>
      <c r="BD155" s="257"/>
      <c r="BE155" s="257"/>
      <c r="BF155" s="257"/>
      <c r="BG155" s="264"/>
      <c r="BH155" s="257"/>
      <c r="BI155" s="257"/>
      <c r="BJ155" s="257"/>
      <c r="BK155" s="257"/>
      <c r="BL155" s="257"/>
      <c r="BM155"/>
      <c r="BN155" s="257"/>
      <c r="BO155" s="257"/>
      <c r="BP155" s="257"/>
    </row>
    <row r="156" spans="7:68" x14ac:dyDescent="0.45">
      <c r="AA156" s="257"/>
      <c r="AB156" s="257"/>
      <c r="AC156" s="257"/>
      <c r="AD156" s="257"/>
      <c r="AE156" s="257"/>
      <c r="AF156" s="257"/>
      <c r="AG156" s="257"/>
      <c r="AH156" s="257"/>
      <c r="AI156" s="257"/>
      <c r="AJ156" s="258"/>
      <c r="AK156" s="257"/>
      <c r="AL156" s="257"/>
      <c r="AM156" s="257"/>
      <c r="AN156" s="257"/>
      <c r="AO156" s="257"/>
      <c r="AP156" s="257"/>
      <c r="AQ156" s="257"/>
      <c r="AR156" s="257"/>
      <c r="AS156" s="257"/>
      <c r="AT156" s="257"/>
      <c r="AU156" s="257"/>
      <c r="AV156" s="258"/>
      <c r="AW156" s="258"/>
      <c r="AX156" s="258"/>
      <c r="AY156" s="258"/>
      <c r="AZ156" s="257"/>
      <c r="BA156" s="257"/>
      <c r="BB156" s="257"/>
      <c r="BC156" s="257"/>
      <c r="BD156" s="257"/>
      <c r="BE156" s="257"/>
      <c r="BF156" s="257"/>
      <c r="BG156" s="264"/>
      <c r="BH156" s="257"/>
      <c r="BI156" s="257"/>
      <c r="BJ156" s="257"/>
      <c r="BK156" s="257"/>
      <c r="BL156" s="257"/>
      <c r="BM156"/>
      <c r="BN156" s="257"/>
      <c r="BO156" s="257"/>
      <c r="BP156" s="257"/>
    </row>
    <row r="157" spans="7:68" x14ac:dyDescent="0.45">
      <c r="AA157" s="257"/>
      <c r="AB157" s="257"/>
      <c r="AC157" s="257"/>
      <c r="AD157" s="257"/>
      <c r="AE157" s="257"/>
      <c r="AF157" s="257"/>
      <c r="AG157" s="257"/>
      <c r="AH157" s="257"/>
      <c r="AI157" s="257"/>
      <c r="AJ157" s="258"/>
      <c r="AK157" s="257"/>
      <c r="AL157" s="257"/>
      <c r="AM157" s="257"/>
      <c r="AN157" s="257"/>
      <c r="AO157" s="257"/>
      <c r="AP157" s="257"/>
      <c r="AQ157" s="257"/>
      <c r="AR157" s="257"/>
      <c r="AS157" s="257"/>
      <c r="AT157" s="257"/>
      <c r="AU157" s="257"/>
      <c r="AV157" s="258"/>
      <c r="AW157" s="258"/>
      <c r="AX157" s="258"/>
      <c r="AY157" s="258"/>
      <c r="AZ157" s="257"/>
      <c r="BA157" s="257"/>
      <c r="BB157" s="257"/>
      <c r="BC157" s="257"/>
      <c r="BD157" s="257"/>
      <c r="BE157" s="257"/>
      <c r="BF157" s="257"/>
      <c r="BG157" s="264"/>
      <c r="BH157" s="257"/>
      <c r="BI157" s="257"/>
      <c r="BJ157" s="257"/>
      <c r="BK157" s="257"/>
      <c r="BL157" s="257"/>
      <c r="BM157"/>
      <c r="BN157" s="257"/>
      <c r="BO157" s="257"/>
      <c r="BP157" s="257"/>
    </row>
    <row r="158" spans="7:68" x14ac:dyDescent="0.45">
      <c r="AA158" s="257"/>
      <c r="AB158" s="257"/>
      <c r="AC158" s="257"/>
      <c r="AD158" s="257"/>
      <c r="AE158" s="257"/>
      <c r="AF158" s="257"/>
      <c r="AG158" s="257"/>
      <c r="AH158" s="257"/>
      <c r="AI158" s="257"/>
      <c r="AJ158" s="258"/>
      <c r="AK158" s="257"/>
      <c r="AL158" s="257"/>
      <c r="AM158" s="257"/>
      <c r="AN158" s="257"/>
      <c r="AO158" s="257"/>
      <c r="AP158" s="257"/>
      <c r="AQ158" s="257"/>
      <c r="AR158" s="257"/>
      <c r="AS158" s="257"/>
      <c r="AT158" s="257"/>
      <c r="AU158" s="257"/>
      <c r="AV158" s="258"/>
      <c r="AW158" s="258"/>
      <c r="AX158" s="258"/>
      <c r="AY158" s="258"/>
      <c r="AZ158" s="257"/>
      <c r="BA158" s="257"/>
      <c r="BB158" s="257"/>
      <c r="BC158" s="257"/>
      <c r="BD158" s="257"/>
      <c r="BE158" s="257"/>
      <c r="BF158" s="257"/>
      <c r="BG158" s="264"/>
      <c r="BH158" s="257"/>
      <c r="BI158" s="257"/>
      <c r="BJ158" s="257"/>
      <c r="BK158" s="257"/>
      <c r="BL158" s="257"/>
      <c r="BM158"/>
      <c r="BN158" s="257"/>
      <c r="BO158" s="257"/>
      <c r="BP158" s="257"/>
    </row>
    <row r="159" spans="7:68" x14ac:dyDescent="0.45">
      <c r="AA159" s="257"/>
      <c r="AB159" s="257"/>
      <c r="AC159" s="257"/>
      <c r="AD159" s="257"/>
      <c r="AE159" s="257"/>
      <c r="AF159" s="257"/>
      <c r="AG159" s="257"/>
      <c r="AH159" s="257"/>
      <c r="AI159" s="257"/>
      <c r="AJ159" s="258"/>
      <c r="AK159" s="257"/>
      <c r="AL159" s="257"/>
      <c r="AM159" s="257"/>
      <c r="AN159" s="257"/>
      <c r="AO159" s="257"/>
      <c r="AP159" s="257"/>
      <c r="AQ159" s="257"/>
      <c r="AR159" s="257"/>
      <c r="AS159" s="257"/>
      <c r="AT159" s="257"/>
      <c r="AU159" s="257"/>
      <c r="AV159" s="258"/>
      <c r="AW159" s="258"/>
      <c r="AX159" s="258"/>
      <c r="AY159" s="258"/>
      <c r="AZ159" s="257"/>
      <c r="BA159" s="257"/>
      <c r="BB159" s="257"/>
      <c r="BC159" s="257"/>
      <c r="BD159" s="257"/>
      <c r="BE159" s="257"/>
      <c r="BF159" s="257"/>
      <c r="BG159" s="264"/>
      <c r="BH159" s="257"/>
      <c r="BI159" s="257"/>
      <c r="BJ159" s="257"/>
      <c r="BK159" s="257"/>
      <c r="BL159" s="257"/>
      <c r="BM159"/>
      <c r="BN159" s="257"/>
      <c r="BO159" s="257"/>
      <c r="BP159" s="257"/>
    </row>
    <row r="160" spans="7:68" x14ac:dyDescent="0.45">
      <c r="AA160" s="257"/>
      <c r="AB160" s="257"/>
      <c r="AC160" s="257"/>
      <c r="AD160" s="257"/>
      <c r="AE160" s="257"/>
      <c r="AF160" s="257"/>
      <c r="AG160" s="257"/>
      <c r="AH160" s="257"/>
      <c r="AI160" s="257"/>
      <c r="AJ160" s="258"/>
      <c r="AK160" s="257"/>
      <c r="AL160" s="257"/>
      <c r="AM160" s="257"/>
      <c r="AN160" s="257"/>
      <c r="AO160" s="257"/>
      <c r="AP160" s="257"/>
      <c r="AQ160" s="257"/>
      <c r="AR160" s="257"/>
      <c r="AS160" s="257"/>
      <c r="AT160" s="257"/>
      <c r="AU160" s="257"/>
      <c r="AV160" s="258"/>
      <c r="AW160" s="258"/>
      <c r="AX160" s="258"/>
      <c r="AY160" s="258"/>
      <c r="AZ160" s="257"/>
      <c r="BA160" s="257"/>
      <c r="BB160" s="257"/>
      <c r="BC160" s="257"/>
      <c r="BD160" s="257"/>
      <c r="BE160" s="257"/>
      <c r="BF160" s="257"/>
      <c r="BG160" s="264"/>
      <c r="BH160" s="257"/>
      <c r="BI160" s="257"/>
      <c r="BJ160" s="257"/>
      <c r="BK160" s="257"/>
      <c r="BL160" s="257"/>
      <c r="BM160"/>
      <c r="BN160" s="257"/>
      <c r="BO160" s="257"/>
      <c r="BP160" s="257"/>
    </row>
    <row r="161" spans="27:68" x14ac:dyDescent="0.45">
      <c r="AA161" s="257"/>
      <c r="AB161" s="257"/>
      <c r="AC161" s="257"/>
      <c r="AD161" s="257"/>
      <c r="AE161" s="257"/>
      <c r="AF161" s="257"/>
      <c r="AG161" s="257"/>
      <c r="AH161" s="257"/>
      <c r="AI161" s="257"/>
      <c r="AJ161" s="258"/>
      <c r="AK161" s="257"/>
      <c r="AL161" s="257"/>
      <c r="AM161" s="257"/>
      <c r="AN161" s="257"/>
      <c r="AO161" s="257"/>
      <c r="AP161" s="257"/>
      <c r="AQ161" s="257"/>
      <c r="AR161" s="257"/>
      <c r="AS161" s="257"/>
      <c r="AT161" s="257"/>
      <c r="AU161" s="257"/>
      <c r="AV161" s="258"/>
      <c r="AW161" s="258"/>
      <c r="AX161" s="258"/>
      <c r="AY161" s="258"/>
      <c r="AZ161" s="257"/>
      <c r="BA161" s="257"/>
      <c r="BB161" s="257"/>
      <c r="BC161" s="257"/>
      <c r="BD161" s="257"/>
      <c r="BE161" s="257"/>
      <c r="BF161" s="257"/>
      <c r="BG161" s="264"/>
      <c r="BH161" s="257"/>
      <c r="BI161" s="257"/>
      <c r="BJ161" s="257"/>
      <c r="BK161" s="257"/>
      <c r="BL161" s="257"/>
      <c r="BM161"/>
      <c r="BN161" s="257"/>
      <c r="BO161" s="257"/>
      <c r="BP161" s="257"/>
    </row>
    <row r="162" spans="27:68" x14ac:dyDescent="0.45">
      <c r="AA162" s="257"/>
      <c r="AB162" s="257"/>
      <c r="AC162" s="257"/>
      <c r="AD162" s="257"/>
      <c r="AE162" s="257"/>
      <c r="AF162" s="257"/>
      <c r="AG162" s="257"/>
      <c r="AH162" s="257"/>
      <c r="AI162" s="257"/>
      <c r="AJ162" s="258"/>
      <c r="AK162" s="257"/>
      <c r="AL162" s="257"/>
      <c r="AM162" s="257"/>
      <c r="AN162" s="257"/>
      <c r="AO162" s="257"/>
      <c r="AP162" s="257"/>
      <c r="AQ162" s="257"/>
      <c r="AR162" s="257"/>
      <c r="AS162" s="257"/>
      <c r="AT162" s="257"/>
      <c r="AU162" s="257"/>
      <c r="AV162" s="258"/>
      <c r="AW162" s="258"/>
      <c r="AX162" s="258"/>
      <c r="AY162" s="258"/>
      <c r="AZ162" s="257"/>
      <c r="BA162" s="257"/>
      <c r="BB162" s="257"/>
      <c r="BC162" s="257"/>
      <c r="BD162" s="257"/>
      <c r="BE162" s="257"/>
      <c r="BF162" s="257"/>
      <c r="BG162" s="264"/>
      <c r="BH162" s="257"/>
      <c r="BI162" s="257"/>
      <c r="BJ162" s="257"/>
      <c r="BK162" s="257"/>
      <c r="BL162" s="257"/>
      <c r="BM162"/>
      <c r="BN162" s="257"/>
      <c r="BO162" s="257"/>
      <c r="BP162" s="257"/>
    </row>
    <row r="163" spans="27:68" x14ac:dyDescent="0.45">
      <c r="AA163" s="257"/>
      <c r="AB163" s="257"/>
      <c r="AC163" s="257"/>
      <c r="AD163" s="257"/>
      <c r="AE163" s="257"/>
      <c r="AF163" s="257"/>
      <c r="AG163" s="257"/>
      <c r="AH163" s="257"/>
      <c r="AI163" s="257"/>
      <c r="AJ163" s="258"/>
      <c r="AK163" s="257"/>
      <c r="AL163" s="257"/>
      <c r="AM163" s="257"/>
      <c r="AN163" s="257"/>
      <c r="AO163" s="257"/>
      <c r="AP163" s="257"/>
      <c r="AQ163" s="257"/>
      <c r="AR163" s="257"/>
      <c r="AS163" s="257"/>
      <c r="AT163" s="257"/>
      <c r="AU163" s="257"/>
      <c r="AV163" s="258"/>
      <c r="AW163" s="258"/>
      <c r="AX163" s="258"/>
      <c r="AY163" s="258"/>
      <c r="AZ163" s="257"/>
      <c r="BA163" s="257"/>
      <c r="BB163" s="257"/>
      <c r="BC163" s="257"/>
      <c r="BD163" s="257"/>
      <c r="BE163" s="257"/>
      <c r="BF163" s="257"/>
      <c r="BG163" s="264"/>
      <c r="BH163" s="257"/>
      <c r="BI163" s="257"/>
      <c r="BJ163" s="257"/>
      <c r="BK163" s="257"/>
      <c r="BL163" s="257"/>
      <c r="BM163"/>
      <c r="BN163" s="257"/>
      <c r="BO163" s="257"/>
      <c r="BP163" s="257"/>
    </row>
    <row r="164" spans="27:68" x14ac:dyDescent="0.45">
      <c r="AA164" s="257"/>
      <c r="AB164" s="257"/>
      <c r="AC164" s="257"/>
      <c r="AD164" s="257"/>
      <c r="AE164" s="257"/>
      <c r="AF164" s="257"/>
      <c r="AG164" s="257"/>
      <c r="AH164" s="257"/>
      <c r="AI164" s="257"/>
      <c r="AJ164" s="258"/>
      <c r="AK164" s="257"/>
      <c r="AL164" s="257"/>
      <c r="AM164" s="257"/>
      <c r="AN164" s="257"/>
      <c r="AO164" s="257"/>
      <c r="AP164" s="257"/>
      <c r="AQ164" s="257"/>
      <c r="AR164" s="257"/>
      <c r="AS164" s="257"/>
      <c r="AT164" s="257"/>
      <c r="AU164" s="257"/>
      <c r="AV164" s="258"/>
      <c r="AW164" s="258"/>
      <c r="AX164" s="258"/>
      <c r="AY164" s="258"/>
      <c r="AZ164" s="257"/>
      <c r="BA164" s="257"/>
      <c r="BB164" s="257"/>
      <c r="BC164" s="257"/>
      <c r="BD164" s="257"/>
      <c r="BE164" s="257"/>
      <c r="BF164" s="257"/>
      <c r="BG164" s="264"/>
      <c r="BH164" s="257"/>
      <c r="BI164" s="257"/>
      <c r="BJ164" s="257"/>
      <c r="BK164" s="257"/>
      <c r="BL164" s="257"/>
      <c r="BM164"/>
      <c r="BN164" s="257"/>
      <c r="BO164" s="257"/>
      <c r="BP164" s="257"/>
    </row>
    <row r="165" spans="27:68" x14ac:dyDescent="0.45">
      <c r="AA165" s="257"/>
      <c r="AB165" s="257"/>
      <c r="AC165" s="257"/>
      <c r="AD165" s="257"/>
      <c r="AE165" s="257"/>
      <c r="AF165" s="257"/>
      <c r="AG165" s="257"/>
      <c r="AH165" s="257"/>
      <c r="AI165" s="257"/>
      <c r="AJ165" s="258"/>
      <c r="AK165" s="257"/>
      <c r="AL165" s="257"/>
      <c r="AM165" s="257"/>
      <c r="AN165" s="257"/>
      <c r="AO165" s="257"/>
      <c r="AP165" s="257"/>
      <c r="AQ165" s="257"/>
      <c r="AR165" s="257"/>
      <c r="AS165" s="257"/>
      <c r="AT165" s="257"/>
      <c r="AU165" s="257"/>
      <c r="AV165" s="258"/>
      <c r="AW165" s="258"/>
      <c r="AX165" s="258"/>
      <c r="AY165" s="258"/>
      <c r="AZ165" s="257"/>
      <c r="BA165" s="257"/>
      <c r="BB165" s="257"/>
      <c r="BC165" s="257"/>
      <c r="BD165" s="257"/>
      <c r="BE165" s="257"/>
      <c r="BF165" s="257"/>
      <c r="BG165" s="264"/>
      <c r="BH165" s="257"/>
      <c r="BI165" s="257"/>
      <c r="BJ165" s="257"/>
      <c r="BK165" s="257"/>
      <c r="BL165" s="257"/>
      <c r="BM165"/>
      <c r="BN165" s="257"/>
      <c r="BO165" s="257"/>
      <c r="BP165" s="257"/>
    </row>
    <row r="166" spans="27:68" x14ac:dyDescent="0.45">
      <c r="AA166" s="257"/>
      <c r="AB166" s="257"/>
      <c r="AC166" s="257"/>
      <c r="AD166" s="257"/>
      <c r="AE166" s="257"/>
      <c r="AF166" s="257"/>
      <c r="AG166" s="257"/>
      <c r="AH166" s="257"/>
      <c r="AI166" s="257"/>
      <c r="AJ166" s="258"/>
      <c r="AK166" s="257"/>
      <c r="AL166" s="257"/>
      <c r="AM166" s="257"/>
      <c r="AN166" s="257"/>
      <c r="AO166" s="257"/>
      <c r="AP166" s="257"/>
      <c r="AQ166" s="257"/>
      <c r="AR166" s="257"/>
      <c r="AS166" s="257"/>
      <c r="AT166" s="257"/>
      <c r="AU166" s="257"/>
      <c r="AV166" s="258"/>
      <c r="AW166" s="258"/>
      <c r="AX166" s="258"/>
      <c r="AY166" s="258"/>
      <c r="AZ166" s="257"/>
      <c r="BA166" s="257"/>
      <c r="BB166" s="257"/>
      <c r="BC166" s="257"/>
      <c r="BD166" s="257"/>
      <c r="BE166" s="257"/>
      <c r="BF166" s="257"/>
      <c r="BG166" s="264"/>
      <c r="BH166" s="257"/>
      <c r="BI166" s="257"/>
      <c r="BJ166" s="257"/>
      <c r="BK166" s="257"/>
      <c r="BL166" s="257"/>
      <c r="BM166"/>
      <c r="BN166" s="257"/>
      <c r="BO166" s="257"/>
      <c r="BP166" s="257"/>
    </row>
    <row r="167" spans="27:68" x14ac:dyDescent="0.45">
      <c r="AA167" s="257"/>
      <c r="AB167" s="257"/>
      <c r="AC167" s="257"/>
      <c r="AD167" s="257"/>
      <c r="AE167" s="257"/>
      <c r="AF167" s="257"/>
      <c r="AG167" s="257"/>
      <c r="AH167" s="257"/>
      <c r="AI167" s="257"/>
      <c r="AJ167" s="258"/>
      <c r="AK167" s="257"/>
      <c r="AL167" s="257"/>
      <c r="AM167" s="257"/>
      <c r="AN167" s="257"/>
      <c r="AO167" s="257"/>
      <c r="AP167" s="257"/>
      <c r="AQ167" s="257"/>
      <c r="AR167" s="257"/>
      <c r="AS167" s="257"/>
      <c r="AT167" s="257"/>
      <c r="AU167" s="257"/>
      <c r="AV167" s="258"/>
      <c r="AW167" s="258"/>
      <c r="AX167" s="258"/>
      <c r="AY167" s="258"/>
      <c r="AZ167" s="257"/>
      <c r="BA167" s="257"/>
      <c r="BB167" s="257"/>
      <c r="BC167" s="257"/>
      <c r="BD167" s="257"/>
      <c r="BE167" s="257"/>
      <c r="BF167" s="257"/>
      <c r="BG167" s="264"/>
      <c r="BH167" s="257"/>
      <c r="BI167" s="257"/>
      <c r="BJ167" s="257"/>
      <c r="BK167" s="257"/>
      <c r="BL167" s="257"/>
      <c r="BM167"/>
      <c r="BN167" s="257"/>
      <c r="BO167" s="257"/>
      <c r="BP167" s="257"/>
    </row>
    <row r="168" spans="27:68" x14ac:dyDescent="0.45">
      <c r="AA168" s="257"/>
      <c r="AB168" s="257"/>
      <c r="AC168" s="257"/>
      <c r="AD168" s="257"/>
      <c r="AE168" s="257"/>
      <c r="AF168" s="257"/>
      <c r="AG168" s="257"/>
      <c r="AH168" s="257"/>
      <c r="AI168" s="257"/>
      <c r="AJ168" s="258"/>
      <c r="AK168" s="257"/>
      <c r="AL168" s="257"/>
      <c r="AM168" s="257"/>
      <c r="AN168" s="257"/>
      <c r="AO168" s="257"/>
      <c r="AP168" s="257"/>
      <c r="AQ168" s="257"/>
      <c r="AR168" s="257"/>
      <c r="AS168" s="257"/>
      <c r="AT168" s="257"/>
      <c r="AU168" s="257"/>
      <c r="AV168" s="258"/>
      <c r="AW168" s="258"/>
      <c r="AX168" s="258"/>
      <c r="AY168" s="258"/>
      <c r="AZ168" s="257"/>
      <c r="BA168" s="257"/>
      <c r="BB168" s="257"/>
      <c r="BC168" s="257"/>
      <c r="BD168" s="257"/>
      <c r="BE168" s="257"/>
      <c r="BF168" s="257"/>
      <c r="BG168" s="264"/>
      <c r="BH168" s="257"/>
      <c r="BI168" s="257"/>
      <c r="BJ168" s="257"/>
      <c r="BK168" s="257"/>
      <c r="BL168" s="257"/>
      <c r="BM168"/>
      <c r="BN168" s="257"/>
      <c r="BO168" s="257"/>
      <c r="BP168" s="257"/>
    </row>
    <row r="169" spans="27:68" x14ac:dyDescent="0.45">
      <c r="AA169" s="257"/>
      <c r="AB169" s="257"/>
      <c r="AC169" s="257"/>
      <c r="AD169" s="257"/>
      <c r="AE169" s="257"/>
      <c r="AF169" s="257"/>
      <c r="AG169" s="257"/>
      <c r="AH169" s="257"/>
      <c r="AI169" s="257"/>
      <c r="AJ169" s="258"/>
      <c r="AK169" s="257"/>
      <c r="AL169" s="257"/>
      <c r="AM169" s="257"/>
      <c r="AN169" s="257"/>
      <c r="AO169" s="257"/>
      <c r="AP169" s="257"/>
      <c r="AQ169" s="257"/>
      <c r="AR169" s="257"/>
      <c r="AS169" s="257"/>
      <c r="AT169" s="257"/>
      <c r="AU169" s="257"/>
      <c r="AV169" s="258"/>
      <c r="AW169" s="258"/>
      <c r="AX169" s="258"/>
      <c r="AY169" s="258"/>
      <c r="AZ169" s="257"/>
      <c r="BA169" s="257"/>
      <c r="BB169" s="257"/>
      <c r="BC169" s="257"/>
      <c r="BD169" s="257"/>
      <c r="BE169" s="257"/>
      <c r="BF169" s="257"/>
      <c r="BG169" s="264"/>
      <c r="BH169" s="257"/>
      <c r="BI169" s="257"/>
      <c r="BJ169" s="257"/>
      <c r="BK169" s="257"/>
      <c r="BL169" s="257"/>
      <c r="BM169"/>
      <c r="BN169" s="257"/>
      <c r="BO169" s="257"/>
      <c r="BP169" s="257"/>
    </row>
    <row r="170" spans="27:68" x14ac:dyDescent="0.45">
      <c r="AA170" s="257"/>
      <c r="AB170" s="257"/>
      <c r="AC170" s="257"/>
      <c r="AD170" s="257"/>
      <c r="AE170" s="257"/>
      <c r="AF170" s="257"/>
      <c r="AG170" s="257"/>
      <c r="AH170" s="257"/>
      <c r="AI170" s="257"/>
      <c r="AJ170" s="258"/>
      <c r="AK170" s="257"/>
      <c r="AL170" s="257"/>
      <c r="AM170" s="257"/>
      <c r="AN170" s="257"/>
      <c r="AO170" s="257"/>
      <c r="AP170" s="257"/>
      <c r="AQ170" s="257"/>
      <c r="AR170" s="257"/>
      <c r="AS170" s="257"/>
      <c r="AT170" s="257"/>
      <c r="AU170" s="257"/>
      <c r="AV170" s="258"/>
      <c r="AW170" s="258"/>
      <c r="AX170" s="258"/>
      <c r="AY170" s="258"/>
      <c r="AZ170" s="257"/>
      <c r="BA170" s="257"/>
      <c r="BB170" s="257"/>
      <c r="BC170" s="257"/>
      <c r="BD170" s="257"/>
      <c r="BE170" s="257"/>
      <c r="BF170" s="257"/>
      <c r="BG170" s="264"/>
      <c r="BH170" s="257"/>
      <c r="BI170" s="257"/>
      <c r="BJ170" s="257"/>
      <c r="BK170" s="257"/>
      <c r="BL170" s="257"/>
      <c r="BM170"/>
      <c r="BN170" s="257"/>
      <c r="BO170" s="257"/>
      <c r="BP170" s="257"/>
    </row>
    <row r="171" spans="27:68" x14ac:dyDescent="0.45">
      <c r="AA171" s="257"/>
      <c r="AB171" s="257"/>
      <c r="AC171" s="257"/>
      <c r="AD171" s="257"/>
      <c r="AE171" s="257"/>
      <c r="AF171" s="257"/>
      <c r="AG171" s="257"/>
      <c r="AH171" s="257"/>
      <c r="AI171" s="257"/>
      <c r="AJ171" s="258"/>
      <c r="AK171" s="257"/>
      <c r="AL171" s="257"/>
      <c r="AM171" s="257"/>
      <c r="AN171" s="257"/>
      <c r="AO171" s="257"/>
      <c r="AP171" s="257"/>
      <c r="AQ171" s="257"/>
      <c r="AR171" s="257"/>
      <c r="AS171" s="257"/>
      <c r="AT171" s="257"/>
      <c r="AU171" s="257"/>
      <c r="AV171" s="258"/>
      <c r="AW171" s="258"/>
      <c r="AX171" s="258"/>
      <c r="AY171" s="258"/>
      <c r="AZ171" s="257"/>
      <c r="BA171" s="257"/>
      <c r="BB171" s="257"/>
      <c r="BC171" s="257"/>
      <c r="BD171" s="257"/>
      <c r="BE171" s="257"/>
      <c r="BF171" s="257"/>
      <c r="BG171" s="264"/>
      <c r="BH171" s="257"/>
      <c r="BI171" s="257"/>
      <c r="BJ171" s="257"/>
      <c r="BK171" s="257"/>
      <c r="BL171" s="257"/>
      <c r="BM171"/>
      <c r="BN171" s="257"/>
      <c r="BO171" s="257"/>
      <c r="BP171" s="257"/>
    </row>
    <row r="172" spans="27:68" x14ac:dyDescent="0.45">
      <c r="AA172" s="257"/>
      <c r="AB172" s="257"/>
      <c r="AC172" s="257"/>
      <c r="AD172" s="257"/>
      <c r="AE172" s="257"/>
      <c r="AF172" s="257"/>
      <c r="AG172" s="257"/>
      <c r="AH172" s="257"/>
      <c r="AI172" s="257"/>
      <c r="AJ172" s="258"/>
      <c r="AK172" s="257"/>
      <c r="AL172" s="257"/>
      <c r="AM172" s="257"/>
      <c r="AN172" s="257"/>
      <c r="AO172" s="257"/>
      <c r="AP172" s="257"/>
      <c r="AQ172" s="257"/>
      <c r="AR172" s="257"/>
      <c r="AS172" s="257"/>
      <c r="AT172" s="257"/>
      <c r="AU172" s="257"/>
      <c r="AV172" s="258"/>
      <c r="AW172" s="258"/>
      <c r="AX172" s="258"/>
      <c r="AY172" s="258"/>
      <c r="AZ172" s="257"/>
      <c r="BA172" s="257"/>
      <c r="BB172" s="257"/>
      <c r="BC172" s="257"/>
      <c r="BD172" s="257"/>
      <c r="BE172" s="257"/>
      <c r="BF172" s="257"/>
      <c r="BG172" s="264"/>
      <c r="BH172" s="257"/>
      <c r="BI172" s="257"/>
      <c r="BJ172" s="257"/>
      <c r="BK172" s="257"/>
      <c r="BL172" s="257"/>
      <c r="BM172"/>
      <c r="BN172" s="257"/>
      <c r="BO172" s="257"/>
      <c r="BP172" s="257"/>
    </row>
    <row r="173" spans="27:68" x14ac:dyDescent="0.45">
      <c r="AA173" s="257"/>
      <c r="AB173" s="257"/>
      <c r="AC173" s="257"/>
      <c r="AD173" s="257"/>
      <c r="AE173" s="257"/>
      <c r="AF173" s="257"/>
      <c r="AG173" s="257"/>
      <c r="AH173" s="257"/>
      <c r="AI173" s="257"/>
      <c r="AJ173" s="258"/>
      <c r="AK173" s="257"/>
      <c r="AL173" s="257"/>
      <c r="AM173" s="257"/>
      <c r="AN173" s="257"/>
      <c r="AO173" s="257"/>
      <c r="AP173" s="257"/>
      <c r="AQ173" s="257"/>
      <c r="AR173" s="257"/>
      <c r="AS173" s="257"/>
      <c r="AT173" s="257"/>
      <c r="AU173" s="257"/>
      <c r="AV173" s="258"/>
      <c r="AW173" s="258"/>
      <c r="AX173" s="258"/>
      <c r="AY173" s="258"/>
      <c r="AZ173" s="257"/>
      <c r="BA173" s="257"/>
      <c r="BB173" s="257"/>
      <c r="BC173" s="257"/>
      <c r="BD173" s="257"/>
      <c r="BE173" s="257"/>
      <c r="BF173" s="257"/>
      <c r="BG173" s="264"/>
      <c r="BH173" s="257"/>
      <c r="BI173" s="257"/>
      <c r="BJ173" s="257"/>
      <c r="BK173" s="257"/>
      <c r="BL173" s="257"/>
      <c r="BM173"/>
      <c r="BN173" s="257"/>
      <c r="BO173" s="257"/>
      <c r="BP173" s="257"/>
    </row>
    <row r="174" spans="27:68" x14ac:dyDescent="0.45">
      <c r="AA174" s="257"/>
      <c r="AB174" s="257"/>
      <c r="AC174" s="257"/>
      <c r="AD174" s="257"/>
      <c r="AE174" s="257"/>
      <c r="AF174" s="257"/>
      <c r="AG174" s="257"/>
      <c r="AH174" s="257"/>
      <c r="AI174" s="257"/>
      <c r="AJ174" s="258"/>
      <c r="AK174" s="257"/>
      <c r="AL174" s="257"/>
      <c r="AM174" s="257"/>
      <c r="AN174" s="257"/>
      <c r="AO174" s="257"/>
      <c r="AP174" s="257"/>
      <c r="AQ174" s="257"/>
      <c r="AR174" s="257"/>
      <c r="AS174" s="257"/>
      <c r="AT174" s="257"/>
      <c r="AU174" s="257"/>
      <c r="AV174" s="258"/>
      <c r="AW174" s="258"/>
      <c r="AX174" s="258"/>
      <c r="AY174" s="258"/>
      <c r="AZ174" s="257"/>
      <c r="BA174" s="257"/>
      <c r="BB174" s="257"/>
      <c r="BC174" s="257"/>
      <c r="BD174" s="257"/>
      <c r="BE174" s="257"/>
      <c r="BF174" s="257"/>
      <c r="BG174" s="264"/>
      <c r="BH174" s="257"/>
      <c r="BI174" s="257"/>
      <c r="BJ174" s="257"/>
      <c r="BK174" s="257"/>
      <c r="BL174" s="257"/>
      <c r="BM174"/>
      <c r="BN174" s="257"/>
      <c r="BO174" s="257"/>
      <c r="BP174" s="257"/>
    </row>
    <row r="175" spans="27:68" x14ac:dyDescent="0.45">
      <c r="AA175" s="257"/>
      <c r="AB175" s="257"/>
      <c r="AC175" s="257"/>
      <c r="AD175" s="257"/>
      <c r="AE175" s="257"/>
      <c r="AF175" s="257"/>
      <c r="AG175" s="257"/>
      <c r="AH175" s="257"/>
      <c r="AI175" s="257"/>
      <c r="AJ175" s="258"/>
      <c r="AK175" s="257"/>
      <c r="AL175" s="257"/>
      <c r="AM175" s="257"/>
      <c r="AN175" s="257"/>
      <c r="AO175" s="257"/>
      <c r="AP175" s="257"/>
      <c r="AQ175" s="257"/>
      <c r="AR175" s="257"/>
      <c r="AS175" s="257"/>
      <c r="AT175" s="257"/>
      <c r="AU175" s="257"/>
      <c r="AV175" s="258"/>
      <c r="AW175" s="258"/>
      <c r="AX175" s="258"/>
      <c r="AY175" s="258"/>
      <c r="AZ175" s="257"/>
      <c r="BA175" s="257"/>
      <c r="BB175" s="257"/>
      <c r="BC175" s="257"/>
      <c r="BD175" s="257"/>
      <c r="BE175" s="257"/>
      <c r="BF175" s="257"/>
      <c r="BG175" s="264"/>
      <c r="BH175" s="257"/>
      <c r="BI175" s="257"/>
      <c r="BJ175" s="257"/>
      <c r="BK175" s="257"/>
      <c r="BL175" s="257"/>
      <c r="BM175"/>
      <c r="BN175" s="257"/>
      <c r="BO175" s="257"/>
      <c r="BP175" s="257"/>
    </row>
    <row r="176" spans="27:68" x14ac:dyDescent="0.45">
      <c r="AA176" s="257"/>
      <c r="AB176" s="257"/>
      <c r="AC176" s="257"/>
      <c r="AD176" s="257"/>
      <c r="AE176" s="257"/>
      <c r="AF176" s="257"/>
      <c r="AG176" s="257"/>
      <c r="AH176" s="257"/>
      <c r="AI176" s="257"/>
      <c r="AJ176" s="258"/>
      <c r="AK176" s="257"/>
      <c r="AL176" s="257"/>
      <c r="AM176" s="257"/>
      <c r="AN176" s="257"/>
      <c r="AO176" s="257"/>
      <c r="AP176" s="257"/>
      <c r="AQ176" s="257"/>
      <c r="AR176" s="257"/>
      <c r="AS176" s="257"/>
      <c r="AT176" s="257"/>
      <c r="AU176" s="257"/>
      <c r="AV176" s="258"/>
      <c r="AW176" s="258"/>
      <c r="AX176" s="258"/>
      <c r="AY176" s="258"/>
      <c r="AZ176" s="257"/>
      <c r="BA176" s="257"/>
      <c r="BB176" s="257"/>
      <c r="BC176" s="257"/>
      <c r="BD176" s="257"/>
      <c r="BE176" s="257"/>
      <c r="BF176" s="257"/>
      <c r="BG176" s="264"/>
      <c r="BH176" s="257"/>
      <c r="BI176" s="257"/>
      <c r="BJ176" s="257"/>
      <c r="BK176" s="257"/>
      <c r="BL176" s="257"/>
      <c r="BM176"/>
      <c r="BN176" s="257"/>
      <c r="BO176" s="257"/>
      <c r="BP176" s="257"/>
    </row>
    <row r="177" spans="27:68" x14ac:dyDescent="0.45">
      <c r="AA177" s="257"/>
      <c r="AB177" s="257"/>
      <c r="AC177" s="257"/>
      <c r="AD177" s="257"/>
      <c r="AE177" s="257"/>
      <c r="AF177" s="257"/>
      <c r="AG177" s="257"/>
      <c r="AH177" s="257"/>
      <c r="AI177" s="257"/>
      <c r="AJ177" s="258"/>
      <c r="AK177" s="257"/>
      <c r="AL177" s="257"/>
      <c r="AM177" s="257"/>
      <c r="AN177" s="257"/>
      <c r="AO177" s="257"/>
      <c r="AP177" s="257"/>
      <c r="AQ177" s="257"/>
      <c r="AR177" s="257"/>
      <c r="AS177" s="257"/>
      <c r="AT177" s="257"/>
      <c r="AU177" s="257"/>
      <c r="AV177" s="258"/>
      <c r="AW177" s="258"/>
      <c r="AX177" s="258"/>
      <c r="AY177" s="258"/>
      <c r="AZ177" s="257"/>
      <c r="BA177" s="257"/>
      <c r="BB177" s="257"/>
      <c r="BC177" s="257"/>
      <c r="BD177" s="257"/>
      <c r="BE177" s="257"/>
      <c r="BF177" s="257"/>
      <c r="BG177" s="264"/>
      <c r="BH177" s="257"/>
      <c r="BI177" s="257"/>
      <c r="BJ177" s="257"/>
      <c r="BK177" s="257"/>
      <c r="BL177" s="257"/>
      <c r="BM177"/>
      <c r="BN177" s="257"/>
      <c r="BO177" s="257"/>
      <c r="BP177" s="257"/>
    </row>
    <row r="178" spans="27:68" x14ac:dyDescent="0.45">
      <c r="AA178" s="257"/>
      <c r="AB178" s="257"/>
      <c r="AC178" s="257"/>
      <c r="AD178" s="257"/>
      <c r="AE178" s="257"/>
      <c r="AF178" s="257"/>
      <c r="AG178" s="257"/>
      <c r="AH178" s="257"/>
      <c r="AI178" s="257"/>
      <c r="AJ178" s="258"/>
      <c r="AK178" s="257"/>
      <c r="AL178" s="257"/>
      <c r="AM178" s="257"/>
      <c r="AN178" s="257"/>
      <c r="AO178" s="257"/>
      <c r="AP178" s="257"/>
      <c r="AQ178" s="257"/>
      <c r="AR178" s="257"/>
      <c r="AS178" s="257"/>
      <c r="AT178" s="257"/>
      <c r="AU178" s="257"/>
      <c r="AV178" s="258"/>
      <c r="AW178" s="258"/>
      <c r="AX178" s="258"/>
      <c r="AY178" s="258"/>
      <c r="AZ178" s="257"/>
      <c r="BA178" s="257"/>
      <c r="BB178" s="257"/>
      <c r="BC178" s="257"/>
      <c r="BD178" s="257"/>
      <c r="BE178" s="257"/>
      <c r="BF178" s="257"/>
      <c r="BG178" s="264"/>
      <c r="BH178" s="257"/>
      <c r="BI178" s="257"/>
      <c r="BJ178" s="257"/>
      <c r="BK178" s="257"/>
      <c r="BL178" s="257"/>
      <c r="BM178"/>
      <c r="BN178" s="257"/>
      <c r="BO178" s="257"/>
      <c r="BP178" s="257"/>
    </row>
    <row r="179" spans="27:68" x14ac:dyDescent="0.45">
      <c r="AA179" s="257"/>
      <c r="AB179" s="257"/>
      <c r="AC179" s="257"/>
      <c r="AD179" s="257"/>
      <c r="AE179" s="257"/>
      <c r="AF179" s="257"/>
      <c r="AG179" s="257"/>
      <c r="AH179" s="257"/>
      <c r="AI179" s="257"/>
      <c r="AJ179" s="258"/>
      <c r="AK179" s="257"/>
      <c r="AL179" s="257"/>
      <c r="AM179" s="257"/>
      <c r="AN179" s="257"/>
      <c r="AO179" s="257"/>
      <c r="AP179" s="257"/>
      <c r="AQ179" s="257"/>
      <c r="AR179" s="257"/>
      <c r="AS179" s="257"/>
      <c r="AT179" s="257"/>
      <c r="AU179" s="257"/>
      <c r="AV179" s="258"/>
      <c r="AW179" s="258"/>
      <c r="AX179" s="258"/>
      <c r="AY179" s="258"/>
      <c r="AZ179" s="257"/>
      <c r="BA179" s="257"/>
      <c r="BB179" s="257"/>
      <c r="BC179" s="257"/>
      <c r="BD179" s="257"/>
      <c r="BE179" s="257"/>
      <c r="BF179" s="257"/>
      <c r="BG179" s="264"/>
      <c r="BH179" s="257"/>
      <c r="BI179" s="257"/>
      <c r="BJ179" s="257"/>
      <c r="BK179" s="257"/>
      <c r="BL179" s="257"/>
      <c r="BM179"/>
      <c r="BN179" s="257"/>
      <c r="BO179" s="257"/>
      <c r="BP179" s="257"/>
    </row>
    <row r="180" spans="27:68" x14ac:dyDescent="0.45">
      <c r="AA180" s="257"/>
      <c r="AB180" s="257"/>
      <c r="AC180" s="257"/>
      <c r="AD180" s="257"/>
      <c r="AE180" s="257"/>
      <c r="AF180" s="257"/>
      <c r="AG180" s="257"/>
      <c r="AH180" s="257"/>
      <c r="AI180" s="257"/>
      <c r="AJ180" s="258"/>
      <c r="AK180" s="257"/>
      <c r="AL180" s="257"/>
      <c r="AM180" s="257"/>
      <c r="AN180" s="257"/>
      <c r="AO180" s="257"/>
      <c r="AP180" s="257"/>
      <c r="AQ180" s="257"/>
      <c r="AR180" s="257"/>
      <c r="AS180" s="257"/>
      <c r="AT180" s="257"/>
      <c r="AU180" s="257"/>
      <c r="AV180" s="258"/>
      <c r="AW180" s="258"/>
      <c r="AX180" s="258"/>
      <c r="AY180" s="258"/>
      <c r="AZ180" s="257"/>
      <c r="BA180" s="257"/>
      <c r="BB180" s="257"/>
      <c r="BC180" s="257"/>
      <c r="BD180" s="257"/>
      <c r="BE180" s="257"/>
      <c r="BF180" s="257"/>
      <c r="BG180" s="264"/>
      <c r="BH180" s="257"/>
      <c r="BI180" s="257"/>
      <c r="BJ180" s="257"/>
      <c r="BK180" s="257"/>
      <c r="BL180" s="257"/>
      <c r="BM180"/>
      <c r="BN180" s="257"/>
      <c r="BO180" s="257"/>
      <c r="BP180" s="257"/>
    </row>
    <row r="181" spans="27:68" x14ac:dyDescent="0.45">
      <c r="AA181" s="257"/>
      <c r="AB181" s="257"/>
      <c r="AC181" s="257"/>
      <c r="AD181" s="257"/>
      <c r="AE181" s="257"/>
      <c r="AF181" s="257"/>
      <c r="AG181" s="257"/>
      <c r="AH181" s="257"/>
      <c r="AI181" s="257"/>
      <c r="AJ181" s="258"/>
      <c r="AK181" s="257"/>
      <c r="AL181" s="257"/>
      <c r="AM181" s="257"/>
      <c r="AN181" s="257"/>
      <c r="AO181" s="257"/>
      <c r="AP181" s="257"/>
      <c r="AQ181" s="257"/>
      <c r="AR181" s="257"/>
      <c r="AS181" s="257"/>
      <c r="AT181" s="257"/>
      <c r="AU181" s="257"/>
      <c r="AV181" s="258"/>
      <c r="AW181" s="258"/>
      <c r="AX181" s="258"/>
      <c r="AY181" s="258"/>
      <c r="AZ181" s="257"/>
      <c r="BA181" s="257"/>
      <c r="BB181" s="257"/>
      <c r="BC181" s="257"/>
      <c r="BD181" s="257"/>
      <c r="BE181" s="257"/>
      <c r="BF181" s="257"/>
      <c r="BG181" s="264"/>
      <c r="BH181" s="257"/>
      <c r="BI181" s="257"/>
      <c r="BJ181" s="257"/>
      <c r="BK181" s="257"/>
      <c r="BL181" s="257"/>
      <c r="BM181"/>
      <c r="BN181" s="257"/>
      <c r="BO181" s="257"/>
      <c r="BP181" s="257"/>
    </row>
    <row r="182" spans="27:68" x14ac:dyDescent="0.45">
      <c r="AA182" s="257"/>
      <c r="AB182" s="257"/>
      <c r="AC182" s="257"/>
      <c r="AD182" s="257"/>
      <c r="AE182" s="257"/>
      <c r="AF182" s="257"/>
      <c r="AG182" s="257"/>
      <c r="AH182" s="257"/>
      <c r="AI182" s="257"/>
      <c r="AJ182" s="258"/>
      <c r="AK182" s="257"/>
      <c r="AL182" s="257"/>
      <c r="AM182" s="257"/>
      <c r="AN182" s="257"/>
      <c r="AO182" s="257"/>
      <c r="AP182" s="257"/>
      <c r="AQ182" s="257"/>
      <c r="AR182" s="257"/>
      <c r="AS182" s="257"/>
      <c r="AT182" s="257"/>
      <c r="AU182" s="257"/>
      <c r="AV182" s="258"/>
      <c r="AW182" s="258"/>
      <c r="AX182" s="258"/>
      <c r="AY182" s="258"/>
      <c r="AZ182" s="257"/>
      <c r="BA182" s="257"/>
      <c r="BB182" s="257"/>
      <c r="BC182" s="257"/>
      <c r="BD182" s="257"/>
      <c r="BE182" s="257"/>
      <c r="BF182" s="257"/>
      <c r="BG182" s="264"/>
      <c r="BH182" s="257"/>
      <c r="BI182" s="257"/>
      <c r="BJ182" s="257"/>
      <c r="BK182" s="257"/>
      <c r="BL182" s="257"/>
      <c r="BM182"/>
      <c r="BN182" s="257"/>
      <c r="BO182" s="257"/>
      <c r="BP182" s="257"/>
    </row>
    <row r="183" spans="27:68" x14ac:dyDescent="0.45">
      <c r="AA183" s="257"/>
      <c r="AB183" s="257"/>
      <c r="AC183" s="257"/>
      <c r="AD183" s="257"/>
      <c r="AE183" s="257"/>
      <c r="AF183" s="257"/>
      <c r="AG183" s="257"/>
      <c r="AH183" s="257"/>
      <c r="AI183" s="257"/>
      <c r="AJ183" s="258"/>
      <c r="AK183" s="257"/>
      <c r="AL183" s="257"/>
      <c r="AM183" s="257"/>
      <c r="AN183" s="257"/>
      <c r="AO183" s="257"/>
      <c r="AP183" s="257"/>
      <c r="AQ183" s="257"/>
      <c r="AR183" s="257"/>
      <c r="AS183" s="257"/>
      <c r="AT183" s="257"/>
      <c r="AU183" s="257"/>
      <c r="AV183" s="258"/>
      <c r="AW183" s="258"/>
      <c r="AX183" s="258"/>
      <c r="AY183" s="258"/>
      <c r="AZ183" s="257"/>
      <c r="BA183" s="257"/>
      <c r="BB183" s="257"/>
      <c r="BC183" s="257"/>
      <c r="BD183" s="257"/>
      <c r="BE183" s="257"/>
      <c r="BF183" s="257"/>
      <c r="BG183" s="264"/>
      <c r="BH183" s="257"/>
      <c r="BI183" s="257"/>
      <c r="BJ183" s="257"/>
      <c r="BK183" s="257"/>
      <c r="BL183" s="257"/>
      <c r="BM183"/>
      <c r="BN183" s="257"/>
      <c r="BO183" s="257"/>
      <c r="BP183" s="257"/>
    </row>
    <row r="184" spans="27:68" x14ac:dyDescent="0.45">
      <c r="AA184" s="257"/>
      <c r="AB184" s="257"/>
      <c r="AC184" s="257"/>
      <c r="AD184" s="257"/>
      <c r="AE184" s="257"/>
      <c r="AF184" s="257"/>
      <c r="AG184" s="257"/>
      <c r="AH184" s="257"/>
      <c r="AI184" s="257"/>
      <c r="AJ184" s="258"/>
      <c r="AK184" s="257"/>
      <c r="AL184" s="257"/>
      <c r="AM184" s="257"/>
      <c r="AN184" s="257"/>
      <c r="AO184" s="257"/>
      <c r="AP184" s="257"/>
      <c r="AQ184" s="257"/>
      <c r="AR184" s="257"/>
      <c r="AS184" s="257"/>
      <c r="AT184" s="257"/>
      <c r="AU184" s="257"/>
      <c r="AV184" s="258"/>
      <c r="AW184" s="258"/>
      <c r="AX184" s="258"/>
      <c r="AY184" s="258"/>
      <c r="AZ184" s="257"/>
      <c r="BA184" s="257"/>
      <c r="BB184" s="257"/>
      <c r="BC184" s="257"/>
      <c r="BD184" s="257"/>
      <c r="BE184" s="257"/>
      <c r="BF184" s="257"/>
      <c r="BG184" s="264"/>
      <c r="BH184" s="257"/>
      <c r="BI184" s="257"/>
      <c r="BJ184" s="257"/>
      <c r="BK184" s="257"/>
      <c r="BL184" s="257"/>
      <c r="BM184"/>
      <c r="BN184" s="257"/>
      <c r="BO184" s="257"/>
      <c r="BP184" s="257"/>
    </row>
    <row r="185" spans="27:68" x14ac:dyDescent="0.45">
      <c r="AA185" s="257"/>
      <c r="AB185" s="257"/>
      <c r="AC185" s="257"/>
      <c r="AD185" s="257"/>
      <c r="AE185" s="257"/>
      <c r="AF185" s="257"/>
      <c r="AG185" s="257"/>
      <c r="AH185" s="257"/>
      <c r="AI185" s="257"/>
      <c r="AJ185" s="258"/>
      <c r="AK185" s="257"/>
      <c r="AL185" s="257"/>
      <c r="AM185" s="257"/>
      <c r="AN185" s="257"/>
      <c r="AO185" s="257"/>
      <c r="AP185" s="257"/>
      <c r="AQ185" s="257"/>
      <c r="AR185" s="257"/>
      <c r="AS185" s="257"/>
      <c r="AT185" s="257"/>
      <c r="AU185" s="257"/>
      <c r="AV185" s="258"/>
      <c r="AW185" s="258"/>
      <c r="AX185" s="258"/>
      <c r="AY185" s="258"/>
      <c r="AZ185" s="257"/>
      <c r="BA185" s="257"/>
      <c r="BB185" s="257"/>
      <c r="BC185" s="257"/>
      <c r="BD185" s="257"/>
      <c r="BE185" s="257"/>
      <c r="BF185" s="257"/>
      <c r="BG185" s="264"/>
      <c r="BH185" s="257"/>
      <c r="BI185" s="257"/>
      <c r="BJ185" s="257"/>
      <c r="BK185" s="257"/>
      <c r="BL185" s="257"/>
      <c r="BM185"/>
      <c r="BN185" s="257"/>
      <c r="BO185" s="257"/>
      <c r="BP185" s="257"/>
    </row>
    <row r="186" spans="27:68" x14ac:dyDescent="0.45">
      <c r="AA186" s="257"/>
      <c r="AB186" s="257"/>
      <c r="AC186" s="257"/>
      <c r="AD186" s="257"/>
      <c r="AE186" s="257"/>
      <c r="AF186" s="257"/>
      <c r="AG186" s="257"/>
      <c r="AH186" s="257"/>
      <c r="AI186" s="257"/>
      <c r="AJ186" s="258"/>
      <c r="AK186" s="257"/>
      <c r="AL186" s="257"/>
      <c r="AM186" s="257"/>
      <c r="AN186" s="257"/>
      <c r="AO186" s="257"/>
      <c r="AP186" s="257"/>
      <c r="AQ186" s="257"/>
      <c r="AR186" s="257"/>
      <c r="AS186" s="257"/>
      <c r="AT186" s="257"/>
      <c r="AU186" s="257"/>
      <c r="AV186" s="258"/>
      <c r="AW186" s="258"/>
      <c r="AX186" s="258"/>
      <c r="AY186" s="258"/>
      <c r="AZ186" s="257"/>
      <c r="BA186" s="257"/>
      <c r="BB186" s="257"/>
      <c r="BC186" s="257"/>
      <c r="BD186" s="257"/>
      <c r="BE186" s="257"/>
      <c r="BF186" s="257"/>
      <c r="BG186" s="264"/>
      <c r="BH186" s="257"/>
      <c r="BI186" s="257"/>
      <c r="BJ186" s="257"/>
      <c r="BK186" s="257"/>
      <c r="BL186" s="257"/>
      <c r="BM186"/>
      <c r="BN186" s="257"/>
      <c r="BO186" s="257"/>
      <c r="BP186" s="257"/>
    </row>
    <row r="187" spans="27:68" x14ac:dyDescent="0.45">
      <c r="AA187" s="257"/>
      <c r="AB187" s="257"/>
      <c r="AC187" s="257"/>
      <c r="AD187" s="257"/>
      <c r="AE187" s="257"/>
      <c r="AF187" s="257"/>
      <c r="AG187" s="257"/>
      <c r="AH187" s="257"/>
      <c r="AI187" s="257"/>
      <c r="AJ187" s="258"/>
      <c r="AK187" s="257"/>
      <c r="AL187" s="257"/>
      <c r="AM187" s="257"/>
      <c r="AN187" s="257"/>
      <c r="AO187" s="257"/>
      <c r="AP187" s="257"/>
      <c r="AQ187" s="257"/>
      <c r="AR187" s="257"/>
      <c r="AS187" s="257"/>
      <c r="AT187" s="257"/>
      <c r="AU187" s="257"/>
      <c r="AV187" s="258"/>
      <c r="AW187" s="258"/>
      <c r="AX187" s="258"/>
      <c r="AY187" s="258"/>
      <c r="AZ187" s="257"/>
      <c r="BA187" s="257"/>
      <c r="BB187" s="257"/>
      <c r="BC187" s="257"/>
      <c r="BD187" s="257"/>
      <c r="BE187" s="257"/>
      <c r="BF187" s="257"/>
      <c r="BG187" s="264"/>
      <c r="BH187" s="257"/>
      <c r="BI187" s="257"/>
      <c r="BJ187" s="257"/>
      <c r="BK187" s="257"/>
      <c r="BL187" s="257"/>
      <c r="BM187"/>
      <c r="BN187" s="257"/>
      <c r="BO187" s="257"/>
      <c r="BP187" s="257"/>
    </row>
    <row r="188" spans="27:68" x14ac:dyDescent="0.45">
      <c r="AA188" s="257"/>
      <c r="AB188" s="257"/>
      <c r="AC188" s="257"/>
      <c r="AD188" s="257"/>
      <c r="AE188" s="257"/>
      <c r="AF188" s="257"/>
      <c r="AG188" s="257"/>
      <c r="AH188" s="257"/>
      <c r="AI188" s="257"/>
      <c r="AJ188" s="258"/>
      <c r="AK188" s="257"/>
      <c r="AL188" s="257"/>
      <c r="AM188" s="257"/>
      <c r="AN188" s="257"/>
      <c r="AO188" s="257"/>
      <c r="AP188" s="257"/>
      <c r="AQ188" s="257"/>
      <c r="AR188" s="257"/>
      <c r="AS188" s="257"/>
      <c r="AT188" s="257"/>
      <c r="AU188" s="257"/>
      <c r="AV188" s="258"/>
      <c r="AW188" s="258"/>
      <c r="AX188" s="258"/>
      <c r="AY188" s="258"/>
      <c r="AZ188" s="257"/>
      <c r="BA188" s="257"/>
      <c r="BB188" s="257"/>
      <c r="BC188" s="257"/>
      <c r="BD188" s="257"/>
      <c r="BE188" s="257"/>
      <c r="BF188" s="257"/>
      <c r="BG188" s="264"/>
      <c r="BH188" s="257"/>
      <c r="BI188" s="257"/>
      <c r="BJ188" s="257"/>
      <c r="BK188" s="257"/>
      <c r="BL188" s="257"/>
      <c r="BM188"/>
      <c r="BN188" s="257"/>
      <c r="BO188" s="257"/>
      <c r="BP188" s="257"/>
    </row>
    <row r="189" spans="27:68" x14ac:dyDescent="0.45">
      <c r="AA189" s="257"/>
      <c r="AB189" s="257"/>
      <c r="AC189" s="257"/>
      <c r="AD189" s="257"/>
      <c r="AE189" s="257"/>
      <c r="AF189" s="257"/>
      <c r="AG189" s="257"/>
      <c r="AH189" s="257"/>
      <c r="AI189" s="257"/>
      <c r="AJ189" s="258"/>
      <c r="AK189" s="257"/>
      <c r="AL189" s="257"/>
      <c r="AM189" s="257"/>
      <c r="AN189" s="257"/>
      <c r="AO189" s="257"/>
      <c r="AP189" s="257"/>
      <c r="AQ189" s="257"/>
      <c r="AR189" s="257"/>
      <c r="AS189" s="257"/>
      <c r="AT189" s="257"/>
      <c r="AU189" s="257"/>
      <c r="AV189" s="258"/>
      <c r="AW189" s="258"/>
      <c r="AX189" s="258"/>
      <c r="AY189" s="258"/>
      <c r="AZ189" s="257"/>
      <c r="BA189" s="257"/>
      <c r="BB189" s="257"/>
      <c r="BC189" s="257"/>
      <c r="BD189" s="257"/>
      <c r="BE189" s="257"/>
      <c r="BF189" s="257"/>
      <c r="BG189" s="264"/>
      <c r="BH189" s="257"/>
      <c r="BI189" s="257"/>
      <c r="BJ189" s="257"/>
      <c r="BK189" s="257"/>
      <c r="BL189" s="257"/>
      <c r="BM189"/>
      <c r="BN189" s="257"/>
      <c r="BO189" s="257"/>
      <c r="BP189" s="257"/>
    </row>
    <row r="190" spans="27:68" x14ac:dyDescent="0.45">
      <c r="AA190" s="257"/>
      <c r="AB190" s="257"/>
      <c r="AC190" s="257"/>
      <c r="AD190" s="257"/>
      <c r="AE190" s="257"/>
      <c r="AF190" s="257"/>
      <c r="AG190" s="257"/>
      <c r="AH190" s="257"/>
      <c r="AI190" s="257"/>
      <c r="AJ190" s="258"/>
      <c r="AK190" s="257"/>
      <c r="AL190" s="257"/>
      <c r="AM190" s="257"/>
      <c r="AN190" s="257"/>
      <c r="AO190" s="257"/>
      <c r="AP190" s="257"/>
      <c r="AQ190" s="257"/>
      <c r="AR190" s="257"/>
      <c r="AS190" s="257"/>
      <c r="AT190" s="257"/>
      <c r="AU190" s="257"/>
      <c r="AV190" s="258"/>
      <c r="AW190" s="258"/>
      <c r="AX190" s="258"/>
      <c r="AY190" s="258"/>
      <c r="AZ190" s="257"/>
      <c r="BA190" s="257"/>
      <c r="BB190" s="257"/>
      <c r="BC190" s="257"/>
      <c r="BD190" s="257"/>
      <c r="BE190" s="257"/>
      <c r="BF190" s="257"/>
      <c r="BG190" s="264"/>
      <c r="BH190" s="257"/>
      <c r="BI190" s="257"/>
      <c r="BJ190" s="257"/>
      <c r="BK190" s="257"/>
      <c r="BL190" s="257"/>
      <c r="BM190"/>
      <c r="BN190" s="257"/>
      <c r="BO190" s="257"/>
      <c r="BP190" s="257"/>
    </row>
    <row r="191" spans="27:68" x14ac:dyDescent="0.45">
      <c r="AA191" s="257"/>
      <c r="AB191" s="257"/>
      <c r="AC191" s="257"/>
      <c r="AD191" s="257"/>
      <c r="AE191" s="257"/>
      <c r="AF191" s="257"/>
      <c r="AG191" s="257"/>
      <c r="AH191" s="257"/>
      <c r="AI191" s="257"/>
      <c r="AJ191" s="258"/>
      <c r="AK191" s="257"/>
      <c r="AL191" s="257"/>
      <c r="AM191" s="257"/>
      <c r="AN191" s="257"/>
      <c r="AO191" s="257"/>
      <c r="AP191" s="257"/>
      <c r="AQ191" s="257"/>
      <c r="AR191" s="257"/>
      <c r="AS191" s="257"/>
      <c r="AT191" s="257"/>
      <c r="AU191" s="257"/>
      <c r="AV191" s="258"/>
      <c r="AW191" s="258"/>
      <c r="AX191" s="258"/>
      <c r="AY191" s="258"/>
      <c r="AZ191" s="257"/>
      <c r="BA191" s="257"/>
      <c r="BB191" s="257"/>
      <c r="BC191" s="257"/>
      <c r="BD191" s="257"/>
      <c r="BE191" s="257"/>
      <c r="BF191" s="257"/>
      <c r="BG191" s="264"/>
      <c r="BH191" s="257"/>
      <c r="BI191" s="257"/>
      <c r="BJ191" s="257"/>
      <c r="BK191" s="257"/>
      <c r="BL191" s="257"/>
      <c r="BM191"/>
      <c r="BN191" s="257"/>
      <c r="BO191" s="257"/>
      <c r="BP191" s="257"/>
    </row>
    <row r="192" spans="27:68" x14ac:dyDescent="0.45">
      <c r="AA192" s="257"/>
      <c r="AB192" s="257"/>
      <c r="AC192" s="257"/>
      <c r="AD192" s="257"/>
      <c r="AE192" s="257"/>
      <c r="AF192" s="257"/>
      <c r="AG192" s="257"/>
      <c r="AH192" s="257"/>
      <c r="AI192" s="257"/>
      <c r="AJ192" s="258"/>
      <c r="AK192" s="257"/>
      <c r="AL192" s="257"/>
      <c r="AM192" s="257"/>
      <c r="AN192" s="257"/>
      <c r="AO192" s="257"/>
      <c r="AP192" s="257"/>
      <c r="AQ192" s="257"/>
      <c r="AR192" s="257"/>
      <c r="AS192" s="257"/>
      <c r="AT192" s="257"/>
      <c r="AU192" s="257"/>
      <c r="AV192" s="258"/>
      <c r="AW192" s="258"/>
      <c r="AX192" s="258"/>
      <c r="AY192" s="258"/>
      <c r="AZ192" s="257"/>
      <c r="BA192" s="257"/>
      <c r="BB192" s="257"/>
      <c r="BC192" s="257"/>
      <c r="BD192" s="257"/>
      <c r="BE192" s="257"/>
      <c r="BF192" s="257"/>
      <c r="BG192" s="264"/>
      <c r="BH192" s="257"/>
      <c r="BI192" s="257"/>
      <c r="BJ192" s="257"/>
      <c r="BK192" s="257"/>
      <c r="BL192" s="257"/>
      <c r="BM192"/>
      <c r="BN192" s="257"/>
      <c r="BO192" s="257"/>
      <c r="BP192" s="257"/>
    </row>
    <row r="193" spans="27:68" x14ac:dyDescent="0.45">
      <c r="AA193" s="257"/>
      <c r="AB193" s="257"/>
      <c r="AC193" s="257"/>
      <c r="AD193" s="257"/>
      <c r="AE193" s="257"/>
      <c r="AF193" s="257"/>
      <c r="AG193" s="257"/>
      <c r="AH193" s="257"/>
      <c r="AI193" s="257"/>
      <c r="AJ193" s="258"/>
      <c r="AK193" s="257"/>
      <c r="AL193" s="257"/>
      <c r="AM193" s="257"/>
      <c r="AN193" s="257"/>
      <c r="AO193" s="257"/>
      <c r="AP193" s="257"/>
      <c r="AQ193" s="257"/>
      <c r="AR193" s="257"/>
      <c r="AS193" s="257"/>
      <c r="AT193" s="257"/>
      <c r="AU193" s="257"/>
      <c r="AV193" s="258"/>
      <c r="AW193" s="258"/>
      <c r="AX193" s="258"/>
      <c r="AY193" s="258"/>
      <c r="AZ193" s="257"/>
      <c r="BA193" s="257"/>
      <c r="BB193" s="257"/>
      <c r="BC193" s="257"/>
      <c r="BD193" s="257"/>
      <c r="BE193" s="257"/>
      <c r="BF193" s="257"/>
      <c r="BG193" s="264"/>
      <c r="BH193" s="257"/>
      <c r="BI193" s="257"/>
      <c r="BJ193" s="257"/>
      <c r="BK193" s="257"/>
      <c r="BL193" s="257"/>
      <c r="BM193"/>
      <c r="BN193" s="257"/>
      <c r="BO193" s="257"/>
      <c r="BP193" s="257"/>
    </row>
    <row r="194" spans="27:68" x14ac:dyDescent="0.45">
      <c r="AA194" s="257"/>
      <c r="AB194" s="257"/>
      <c r="AC194" s="257"/>
      <c r="AD194" s="257"/>
      <c r="AE194" s="257"/>
      <c r="AF194" s="257"/>
      <c r="AG194" s="257"/>
      <c r="AH194" s="257"/>
      <c r="AI194" s="257"/>
      <c r="AJ194" s="258"/>
      <c r="AK194" s="257"/>
      <c r="AL194" s="257"/>
      <c r="AM194" s="257"/>
      <c r="AN194" s="257"/>
      <c r="AO194" s="257"/>
      <c r="AP194" s="257"/>
      <c r="AQ194" s="257"/>
      <c r="AR194" s="257"/>
      <c r="AS194" s="257"/>
      <c r="AT194" s="257"/>
      <c r="AU194" s="257"/>
      <c r="AV194" s="258"/>
      <c r="AW194" s="258"/>
      <c r="AX194" s="258"/>
      <c r="AY194" s="258"/>
      <c r="AZ194" s="257"/>
      <c r="BA194" s="257"/>
      <c r="BB194" s="257"/>
      <c r="BC194" s="257"/>
      <c r="BD194" s="257"/>
      <c r="BE194" s="257"/>
      <c r="BF194" s="257"/>
      <c r="BG194" s="264"/>
      <c r="BH194" s="257"/>
      <c r="BI194" s="257"/>
      <c r="BJ194" s="257"/>
      <c r="BK194" s="257"/>
      <c r="BL194" s="257"/>
      <c r="BM194"/>
      <c r="BN194" s="257"/>
      <c r="BO194" s="257"/>
      <c r="BP194" s="257"/>
    </row>
    <row r="195" spans="27:68" x14ac:dyDescent="0.45">
      <c r="AA195" s="257"/>
      <c r="AB195" s="257"/>
      <c r="AC195" s="257"/>
      <c r="AD195" s="257"/>
      <c r="AE195" s="257"/>
      <c r="AF195" s="257"/>
      <c r="AG195" s="257"/>
      <c r="AH195" s="257"/>
      <c r="AI195" s="257"/>
      <c r="AJ195" s="258"/>
      <c r="AK195" s="257"/>
      <c r="AL195" s="257"/>
      <c r="AM195" s="257"/>
      <c r="AN195" s="257"/>
      <c r="AO195" s="257"/>
      <c r="AP195" s="257"/>
      <c r="AQ195" s="257"/>
      <c r="AR195" s="257"/>
      <c r="AS195" s="257"/>
      <c r="AT195" s="257"/>
      <c r="AU195" s="257"/>
      <c r="AV195" s="258"/>
      <c r="AW195" s="258"/>
      <c r="AX195" s="258"/>
      <c r="AY195" s="258"/>
      <c r="AZ195" s="257"/>
      <c r="BA195" s="257"/>
      <c r="BB195" s="257"/>
      <c r="BC195" s="257"/>
      <c r="BD195" s="257"/>
      <c r="BE195" s="257"/>
      <c r="BF195" s="257"/>
      <c r="BG195" s="264"/>
      <c r="BH195" s="257"/>
      <c r="BI195" s="257"/>
      <c r="BJ195" s="257"/>
      <c r="BK195" s="257"/>
      <c r="BL195" s="257"/>
      <c r="BM195"/>
      <c r="BN195" s="257"/>
      <c r="BO195" s="257"/>
      <c r="BP195" s="257"/>
    </row>
    <row r="196" spans="27:68" x14ac:dyDescent="0.45">
      <c r="AA196" s="257"/>
      <c r="AB196" s="257"/>
      <c r="AC196" s="257"/>
      <c r="AD196" s="257"/>
      <c r="AE196" s="257"/>
      <c r="AF196" s="257"/>
      <c r="AG196" s="257"/>
      <c r="AH196" s="257"/>
      <c r="AI196" s="257"/>
      <c r="AJ196" s="258"/>
      <c r="AK196" s="257"/>
      <c r="AL196" s="257"/>
      <c r="AM196" s="257"/>
      <c r="AN196" s="257"/>
      <c r="AO196" s="257"/>
      <c r="AP196" s="257"/>
      <c r="AQ196" s="257"/>
      <c r="AR196" s="257"/>
      <c r="AS196" s="257"/>
      <c r="AT196" s="257"/>
      <c r="AU196" s="257"/>
      <c r="AV196" s="258"/>
      <c r="AW196" s="258"/>
      <c r="AX196" s="258"/>
      <c r="AY196" s="258"/>
      <c r="AZ196" s="257"/>
      <c r="BA196" s="257"/>
      <c r="BB196" s="257"/>
      <c r="BC196" s="257"/>
      <c r="BD196" s="257"/>
      <c r="BE196" s="257"/>
      <c r="BF196" s="257"/>
      <c r="BG196" s="264"/>
      <c r="BH196" s="257"/>
      <c r="BI196" s="257"/>
      <c r="BJ196" s="257"/>
      <c r="BK196" s="257"/>
      <c r="BL196" s="257"/>
      <c r="BM196"/>
      <c r="BN196" s="257"/>
      <c r="BO196" s="257"/>
      <c r="BP196" s="257"/>
    </row>
    <row r="197" spans="27:68" x14ac:dyDescent="0.45">
      <c r="AA197" s="257"/>
      <c r="AB197" s="257"/>
      <c r="AC197" s="257"/>
      <c r="AD197" s="257"/>
      <c r="AE197" s="257"/>
      <c r="AF197" s="257"/>
      <c r="AG197" s="257"/>
      <c r="AH197" s="257"/>
      <c r="AI197" s="257"/>
      <c r="AJ197" s="258"/>
      <c r="AK197" s="257"/>
      <c r="AL197" s="257"/>
      <c r="AM197" s="257"/>
      <c r="AN197" s="257"/>
      <c r="AO197" s="257"/>
      <c r="AP197" s="257"/>
      <c r="AQ197" s="257"/>
      <c r="AR197" s="257"/>
      <c r="AS197" s="257"/>
      <c r="AT197" s="257"/>
      <c r="AU197" s="257"/>
      <c r="AV197" s="258"/>
      <c r="AW197" s="258"/>
      <c r="AX197" s="258"/>
      <c r="AY197" s="258"/>
      <c r="AZ197" s="257"/>
      <c r="BA197" s="257"/>
      <c r="BB197" s="257"/>
      <c r="BC197" s="257"/>
      <c r="BD197" s="257"/>
      <c r="BE197" s="257"/>
      <c r="BF197" s="257"/>
      <c r="BG197" s="264"/>
      <c r="BH197" s="257"/>
      <c r="BI197" s="257"/>
      <c r="BJ197" s="257"/>
      <c r="BK197" s="257"/>
      <c r="BL197" s="257"/>
      <c r="BM197"/>
      <c r="BN197" s="257"/>
      <c r="BO197" s="257"/>
      <c r="BP197" s="257"/>
    </row>
    <row r="198" spans="27:68" x14ac:dyDescent="0.45">
      <c r="AA198" s="257"/>
      <c r="AB198" s="257"/>
      <c r="AC198" s="257"/>
      <c r="AD198" s="257"/>
      <c r="AE198" s="257"/>
      <c r="AF198" s="257"/>
      <c r="AG198" s="257"/>
      <c r="AH198" s="257"/>
      <c r="AI198" s="257"/>
      <c r="AJ198" s="258"/>
      <c r="AK198" s="257"/>
      <c r="AL198" s="257"/>
      <c r="AM198" s="257"/>
      <c r="AN198" s="257"/>
      <c r="AO198" s="257"/>
      <c r="AP198" s="257"/>
      <c r="AQ198" s="257"/>
      <c r="AR198" s="257"/>
      <c r="AS198" s="257"/>
      <c r="AT198" s="257"/>
      <c r="AU198" s="257"/>
      <c r="AV198" s="258"/>
      <c r="AW198" s="258"/>
      <c r="AX198" s="258"/>
      <c r="AY198" s="258"/>
      <c r="AZ198" s="257"/>
      <c r="BA198" s="257"/>
      <c r="BB198" s="257"/>
      <c r="BC198" s="257"/>
      <c r="BD198" s="257"/>
      <c r="BE198" s="257"/>
      <c r="BF198" s="257"/>
      <c r="BG198" s="264"/>
      <c r="BH198" s="257"/>
      <c r="BI198" s="257"/>
      <c r="BJ198" s="257"/>
      <c r="BK198" s="257"/>
      <c r="BL198" s="257"/>
      <c r="BM198"/>
      <c r="BN198" s="257"/>
      <c r="BO198" s="257"/>
      <c r="BP198" s="257"/>
    </row>
    <row r="199" spans="27:68" x14ac:dyDescent="0.45">
      <c r="AA199" s="257"/>
      <c r="AB199" s="257"/>
      <c r="AC199" s="257"/>
      <c r="AD199" s="257"/>
      <c r="AE199" s="257"/>
      <c r="AF199" s="257"/>
      <c r="AG199" s="257"/>
      <c r="AH199" s="257"/>
      <c r="AI199" s="257"/>
      <c r="AJ199" s="258"/>
      <c r="AK199" s="257"/>
      <c r="AL199" s="257"/>
      <c r="AM199" s="257"/>
      <c r="AN199" s="257"/>
      <c r="AO199" s="257"/>
      <c r="AP199" s="257"/>
      <c r="AQ199" s="257"/>
      <c r="AR199" s="257"/>
      <c r="AS199" s="257"/>
      <c r="AT199" s="257"/>
      <c r="AU199" s="257"/>
      <c r="AV199" s="258"/>
      <c r="AW199" s="258"/>
      <c r="AX199" s="258"/>
      <c r="AY199" s="258"/>
      <c r="AZ199" s="257"/>
      <c r="BA199" s="257"/>
      <c r="BB199" s="257"/>
      <c r="BC199" s="257"/>
      <c r="BD199" s="257"/>
      <c r="BE199" s="257"/>
      <c r="BF199" s="257"/>
      <c r="BG199" s="264"/>
      <c r="BH199" s="257"/>
      <c r="BI199" s="257"/>
      <c r="BJ199" s="257"/>
      <c r="BK199" s="257"/>
      <c r="BL199" s="257"/>
      <c r="BM199"/>
      <c r="BN199" s="257"/>
      <c r="BO199" s="257"/>
      <c r="BP199" s="257"/>
    </row>
    <row r="200" spans="27:68" x14ac:dyDescent="0.45">
      <c r="AA200" s="257"/>
      <c r="AB200" s="257"/>
      <c r="AC200" s="257"/>
      <c r="AD200" s="257"/>
      <c r="AE200" s="257"/>
      <c r="AF200" s="257"/>
      <c r="AG200" s="257"/>
      <c r="AH200" s="257"/>
      <c r="AI200" s="257"/>
      <c r="AJ200" s="258"/>
      <c r="AK200" s="257"/>
      <c r="AL200" s="257"/>
      <c r="AM200" s="257"/>
      <c r="AN200" s="257"/>
      <c r="AO200" s="257"/>
      <c r="AP200" s="257"/>
      <c r="AQ200" s="257"/>
      <c r="AR200" s="257"/>
      <c r="AS200" s="257"/>
      <c r="AT200" s="257"/>
      <c r="AU200" s="257"/>
      <c r="AV200" s="258"/>
      <c r="AW200" s="258"/>
      <c r="AX200" s="258"/>
      <c r="AY200" s="258"/>
      <c r="AZ200" s="257"/>
      <c r="BA200" s="257"/>
      <c r="BB200" s="257"/>
      <c r="BC200" s="257"/>
      <c r="BD200" s="257"/>
      <c r="BE200" s="257"/>
      <c r="BF200" s="257"/>
      <c r="BG200" s="264"/>
      <c r="BH200" s="257"/>
      <c r="BI200" s="257"/>
      <c r="BJ200" s="257"/>
      <c r="BK200" s="257"/>
      <c r="BL200" s="257"/>
      <c r="BM200"/>
      <c r="BN200" s="257"/>
      <c r="BO200" s="257"/>
      <c r="BP200" s="257"/>
    </row>
    <row r="201" spans="27:68" x14ac:dyDescent="0.45">
      <c r="AA201" s="257"/>
      <c r="AB201" s="257"/>
      <c r="AC201" s="257"/>
      <c r="AD201" s="257"/>
      <c r="AE201" s="257"/>
      <c r="AF201" s="257"/>
      <c r="AG201" s="257"/>
      <c r="AH201" s="257"/>
      <c r="AI201" s="257"/>
      <c r="AJ201" s="258"/>
      <c r="AK201" s="257"/>
      <c r="AL201" s="257"/>
      <c r="AM201" s="257"/>
      <c r="AN201" s="257"/>
      <c r="AO201" s="257"/>
      <c r="AP201" s="257"/>
      <c r="AQ201" s="257"/>
      <c r="AR201" s="257"/>
      <c r="AS201" s="257"/>
      <c r="AT201" s="257"/>
      <c r="AU201" s="257"/>
      <c r="AV201" s="258"/>
      <c r="AW201" s="258"/>
      <c r="AX201" s="258"/>
      <c r="AY201" s="258"/>
      <c r="AZ201" s="257"/>
      <c r="BA201" s="257"/>
      <c r="BB201" s="257"/>
      <c r="BC201" s="257"/>
      <c r="BD201" s="257"/>
      <c r="BE201" s="257"/>
      <c r="BF201" s="257"/>
      <c r="BG201" s="264"/>
      <c r="BH201" s="257"/>
      <c r="BI201" s="257"/>
      <c r="BJ201" s="257"/>
      <c r="BK201" s="257"/>
      <c r="BL201" s="257"/>
      <c r="BM201"/>
      <c r="BN201" s="257"/>
      <c r="BO201" s="257"/>
      <c r="BP201" s="257"/>
    </row>
    <row r="202" spans="27:68" x14ac:dyDescent="0.45">
      <c r="AA202" s="257"/>
      <c r="AB202" s="257"/>
      <c r="AC202" s="257"/>
      <c r="AD202" s="257"/>
      <c r="AE202" s="257"/>
      <c r="AF202" s="257"/>
      <c r="AG202" s="257"/>
      <c r="AH202" s="257"/>
      <c r="AI202" s="257"/>
      <c r="AJ202" s="258"/>
      <c r="AK202" s="257"/>
      <c r="AL202" s="257"/>
      <c r="AM202" s="257"/>
      <c r="AN202" s="257"/>
      <c r="AO202" s="257"/>
      <c r="AP202" s="257"/>
      <c r="AQ202" s="257"/>
      <c r="AR202" s="257"/>
      <c r="AS202" s="257"/>
      <c r="AT202" s="257"/>
      <c r="AU202" s="257"/>
      <c r="AV202" s="258"/>
      <c r="AW202" s="258"/>
      <c r="AX202" s="258"/>
      <c r="AY202" s="258"/>
      <c r="AZ202" s="257"/>
      <c r="BA202" s="257"/>
      <c r="BB202" s="257"/>
      <c r="BC202" s="257"/>
      <c r="BD202" s="257"/>
      <c r="BE202" s="257"/>
      <c r="BF202" s="257"/>
      <c r="BG202" s="264"/>
      <c r="BH202" s="257"/>
      <c r="BI202" s="257"/>
      <c r="BJ202" s="257"/>
      <c r="BK202" s="257"/>
      <c r="BL202" s="257"/>
      <c r="BM202"/>
      <c r="BN202" s="257"/>
      <c r="BO202" s="257"/>
      <c r="BP202" s="257"/>
    </row>
    <row r="203" spans="27:68" x14ac:dyDescent="0.45">
      <c r="AA203" s="257"/>
      <c r="AB203" s="257"/>
      <c r="AC203" s="257"/>
      <c r="AD203" s="257"/>
      <c r="AE203" s="257"/>
      <c r="AF203" s="257"/>
      <c r="AG203" s="257"/>
      <c r="AH203" s="257"/>
      <c r="AI203" s="257"/>
      <c r="AJ203" s="258"/>
      <c r="AK203" s="257"/>
      <c r="AL203" s="257"/>
      <c r="AM203" s="257"/>
      <c r="AN203" s="257"/>
      <c r="AO203" s="257"/>
      <c r="AP203" s="257"/>
      <c r="AQ203" s="257"/>
      <c r="AR203" s="257"/>
      <c r="AS203" s="257"/>
      <c r="AT203" s="257"/>
      <c r="AU203" s="257"/>
      <c r="AV203" s="258"/>
      <c r="AW203" s="258"/>
      <c r="AX203" s="258"/>
      <c r="AY203" s="258"/>
      <c r="AZ203" s="257"/>
      <c r="BA203" s="257"/>
      <c r="BB203" s="257"/>
      <c r="BC203" s="257"/>
      <c r="BD203" s="257"/>
      <c r="BE203" s="257"/>
      <c r="BF203" s="257"/>
      <c r="BG203" s="264"/>
      <c r="BH203" s="257"/>
      <c r="BI203" s="257"/>
      <c r="BJ203" s="257"/>
      <c r="BK203" s="257"/>
      <c r="BL203" s="257"/>
      <c r="BM203"/>
      <c r="BN203" s="257"/>
      <c r="BO203" s="257"/>
      <c r="BP203" s="257"/>
    </row>
    <row r="204" spans="27:68" x14ac:dyDescent="0.45">
      <c r="AA204" s="257"/>
      <c r="AB204" s="257"/>
      <c r="AC204" s="257"/>
      <c r="AD204" s="257"/>
      <c r="AE204" s="257"/>
      <c r="AF204" s="257"/>
      <c r="AG204" s="257"/>
      <c r="AH204" s="257"/>
      <c r="AI204" s="257"/>
      <c r="AJ204" s="258"/>
      <c r="AK204" s="257"/>
      <c r="AL204" s="257"/>
      <c r="AM204" s="257"/>
      <c r="AN204" s="257"/>
      <c r="AO204" s="257"/>
      <c r="AP204" s="257"/>
      <c r="AQ204" s="257"/>
      <c r="AR204" s="257"/>
      <c r="AS204" s="257"/>
      <c r="AT204" s="257"/>
      <c r="AU204" s="257"/>
      <c r="AV204" s="258"/>
      <c r="AW204" s="258"/>
      <c r="AX204" s="258"/>
      <c r="AY204" s="258"/>
      <c r="AZ204" s="257"/>
      <c r="BA204" s="257"/>
      <c r="BB204" s="257"/>
      <c r="BC204" s="257"/>
      <c r="BD204" s="257"/>
      <c r="BE204" s="257"/>
      <c r="BF204" s="257"/>
      <c r="BG204" s="264"/>
      <c r="BH204" s="257"/>
      <c r="BI204" s="257"/>
      <c r="BJ204" s="257"/>
      <c r="BK204" s="257"/>
      <c r="BL204" s="257"/>
      <c r="BM204"/>
      <c r="BN204" s="257"/>
      <c r="BO204" s="257"/>
      <c r="BP204" s="257"/>
    </row>
    <row r="205" spans="27:68" x14ac:dyDescent="0.45">
      <c r="AA205" s="257"/>
      <c r="AB205" s="257"/>
      <c r="AC205" s="257"/>
      <c r="AD205" s="257"/>
      <c r="AE205" s="257"/>
      <c r="AF205" s="257"/>
      <c r="AG205" s="257"/>
      <c r="AH205" s="257"/>
      <c r="AI205" s="257"/>
      <c r="AJ205" s="258"/>
      <c r="AK205" s="257"/>
      <c r="AL205" s="257"/>
      <c r="AM205" s="257"/>
      <c r="AN205" s="257"/>
      <c r="AO205" s="257"/>
      <c r="AP205" s="257"/>
      <c r="AQ205" s="257"/>
      <c r="AR205" s="257"/>
      <c r="AS205" s="257"/>
      <c r="AT205" s="257"/>
      <c r="AU205" s="257"/>
      <c r="AV205" s="258"/>
      <c r="AW205" s="258"/>
      <c r="AX205" s="258"/>
      <c r="AY205" s="258"/>
      <c r="AZ205" s="257"/>
      <c r="BA205" s="257"/>
      <c r="BB205" s="257"/>
      <c r="BC205" s="257"/>
      <c r="BD205" s="257"/>
      <c r="BE205" s="257"/>
      <c r="BF205" s="257"/>
      <c r="BG205" s="264"/>
      <c r="BH205" s="257"/>
      <c r="BI205" s="257"/>
      <c r="BJ205" s="257"/>
      <c r="BK205" s="257"/>
      <c r="BL205" s="257"/>
      <c r="BM205"/>
      <c r="BN205" s="257"/>
      <c r="BO205" s="257"/>
      <c r="BP205" s="257"/>
    </row>
    <row r="206" spans="27:68" x14ac:dyDescent="0.45">
      <c r="AA206" s="257"/>
      <c r="AB206" s="257"/>
      <c r="AC206" s="257"/>
      <c r="AD206" s="257"/>
      <c r="AE206" s="257"/>
      <c r="AF206" s="257"/>
      <c r="AG206" s="257"/>
      <c r="AH206" s="257"/>
      <c r="AI206" s="257"/>
      <c r="AJ206" s="258"/>
      <c r="AK206" s="257"/>
      <c r="AL206" s="257"/>
      <c r="AM206" s="257"/>
      <c r="AN206" s="257"/>
      <c r="AO206" s="257"/>
      <c r="AP206" s="257"/>
      <c r="AQ206" s="257"/>
      <c r="AR206" s="257"/>
      <c r="AS206" s="257"/>
      <c r="AT206" s="257"/>
      <c r="AU206" s="257"/>
      <c r="AV206" s="258"/>
      <c r="AW206" s="258"/>
      <c r="AX206" s="258"/>
      <c r="AY206" s="258"/>
      <c r="AZ206" s="257"/>
      <c r="BA206" s="257"/>
      <c r="BB206" s="257"/>
      <c r="BC206" s="257"/>
      <c r="BD206" s="257"/>
      <c r="BE206" s="257"/>
      <c r="BF206" s="257"/>
      <c r="BG206" s="264"/>
      <c r="BH206" s="257"/>
      <c r="BI206" s="257"/>
      <c r="BJ206" s="257"/>
      <c r="BK206" s="257"/>
      <c r="BL206" s="257"/>
      <c r="BM206"/>
      <c r="BN206" s="257"/>
      <c r="BO206" s="257"/>
      <c r="BP206" s="257"/>
    </row>
    <row r="207" spans="27:68" x14ac:dyDescent="0.45">
      <c r="AA207" s="257"/>
      <c r="AB207" s="257"/>
      <c r="AC207" s="257"/>
      <c r="AD207" s="257"/>
      <c r="AE207" s="257"/>
      <c r="AF207" s="257"/>
      <c r="AG207" s="257"/>
      <c r="AH207" s="257"/>
      <c r="AI207" s="257"/>
      <c r="AJ207" s="258"/>
      <c r="AK207" s="257"/>
      <c r="AL207" s="257"/>
      <c r="AM207" s="257"/>
      <c r="AN207" s="257"/>
      <c r="AO207" s="257"/>
      <c r="AP207" s="257"/>
      <c r="AQ207" s="257"/>
      <c r="AR207" s="257"/>
      <c r="AS207" s="257"/>
      <c r="AT207" s="257"/>
      <c r="AU207" s="257"/>
      <c r="AV207" s="258"/>
      <c r="AW207" s="258"/>
      <c r="AX207" s="258"/>
      <c r="AY207" s="258"/>
      <c r="AZ207" s="257"/>
      <c r="BA207" s="257"/>
      <c r="BB207" s="257"/>
      <c r="BC207" s="257"/>
      <c r="BD207" s="257"/>
      <c r="BE207" s="257"/>
      <c r="BF207" s="257"/>
      <c r="BG207" s="264"/>
      <c r="BH207" s="257"/>
      <c r="BI207" s="257"/>
      <c r="BJ207" s="257"/>
      <c r="BK207" s="257"/>
      <c r="BL207" s="257"/>
      <c r="BM207"/>
      <c r="BN207" s="257"/>
      <c r="BO207" s="257"/>
      <c r="BP207" s="257"/>
    </row>
    <row r="208" spans="27:68" x14ac:dyDescent="0.45">
      <c r="AA208" s="257"/>
      <c r="AB208" s="257"/>
      <c r="AC208" s="257"/>
      <c r="AD208" s="257"/>
      <c r="AE208" s="257"/>
      <c r="AF208" s="257"/>
      <c r="AG208" s="257"/>
      <c r="AH208" s="257"/>
      <c r="AI208" s="257"/>
      <c r="AJ208" s="258"/>
      <c r="AK208" s="257"/>
      <c r="AL208" s="257"/>
      <c r="AM208" s="257"/>
      <c r="AN208" s="257"/>
      <c r="AO208" s="257"/>
      <c r="AP208" s="257"/>
      <c r="AQ208" s="257"/>
      <c r="AR208" s="257"/>
      <c r="AS208" s="257"/>
      <c r="AT208" s="257"/>
      <c r="AU208" s="257"/>
      <c r="AV208" s="258"/>
      <c r="AW208" s="258"/>
      <c r="AX208" s="258"/>
      <c r="AY208" s="258"/>
      <c r="AZ208" s="257"/>
      <c r="BA208" s="257"/>
      <c r="BB208" s="257"/>
      <c r="BC208" s="257"/>
      <c r="BD208" s="257"/>
      <c r="BE208" s="257"/>
      <c r="BF208" s="257"/>
      <c r="BG208" s="264"/>
      <c r="BH208" s="257"/>
      <c r="BI208" s="257"/>
      <c r="BJ208" s="257"/>
      <c r="BK208" s="257"/>
      <c r="BL208" s="257"/>
      <c r="BM208"/>
      <c r="BN208" s="257"/>
      <c r="BO208" s="257"/>
      <c r="BP208" s="257"/>
    </row>
    <row r="209" spans="27:68" x14ac:dyDescent="0.45">
      <c r="AA209" s="257"/>
      <c r="AB209" s="257"/>
      <c r="AC209" s="257"/>
      <c r="AD209" s="257"/>
      <c r="AE209" s="257"/>
      <c r="AF209" s="257"/>
      <c r="AG209" s="257"/>
      <c r="AH209" s="257"/>
      <c r="AI209" s="257"/>
      <c r="AJ209" s="258"/>
      <c r="AK209" s="257"/>
      <c r="AL209" s="257"/>
      <c r="AM209" s="257"/>
      <c r="AN209" s="257"/>
      <c r="AO209" s="257"/>
      <c r="AP209" s="257"/>
      <c r="AQ209" s="257"/>
      <c r="AR209" s="257"/>
      <c r="AS209" s="257"/>
      <c r="AT209" s="257"/>
      <c r="AU209" s="257"/>
      <c r="AV209" s="258"/>
      <c r="AW209" s="258"/>
      <c r="AX209" s="258"/>
      <c r="AY209" s="258"/>
      <c r="AZ209" s="257"/>
      <c r="BA209" s="257"/>
      <c r="BB209" s="257"/>
      <c r="BC209" s="257"/>
      <c r="BD209" s="257"/>
      <c r="BE209" s="257"/>
      <c r="BF209" s="257"/>
      <c r="BG209" s="264"/>
      <c r="BH209" s="257"/>
      <c r="BI209" s="257"/>
      <c r="BJ209" s="257"/>
      <c r="BK209" s="257"/>
      <c r="BL209" s="257"/>
      <c r="BM209"/>
      <c r="BN209" s="257"/>
      <c r="BO209" s="257"/>
      <c r="BP209" s="257"/>
    </row>
    <row r="210" spans="27:68" x14ac:dyDescent="0.45">
      <c r="AA210" s="257"/>
      <c r="AB210" s="257"/>
      <c r="AC210" s="257"/>
      <c r="AD210" s="257"/>
      <c r="AE210" s="257"/>
      <c r="AF210" s="257"/>
      <c r="AG210" s="257"/>
      <c r="AH210" s="257"/>
      <c r="AI210" s="257"/>
      <c r="AJ210" s="258"/>
      <c r="AK210" s="257"/>
      <c r="AL210" s="257"/>
      <c r="AM210" s="257"/>
      <c r="AN210" s="257"/>
      <c r="AO210" s="257"/>
      <c r="AP210" s="257"/>
      <c r="AQ210" s="257"/>
      <c r="AR210" s="257"/>
      <c r="AS210" s="257"/>
      <c r="AT210" s="257"/>
      <c r="AU210" s="257"/>
      <c r="AV210" s="258"/>
      <c r="AW210" s="258"/>
      <c r="AX210" s="258"/>
      <c r="AY210" s="258"/>
      <c r="AZ210" s="257"/>
      <c r="BA210" s="257"/>
      <c r="BB210" s="257"/>
      <c r="BC210" s="257"/>
      <c r="BD210" s="257"/>
      <c r="BE210" s="257"/>
      <c r="BF210" s="257"/>
      <c r="BG210" s="264"/>
      <c r="BH210" s="257"/>
      <c r="BI210" s="257"/>
      <c r="BJ210" s="257"/>
      <c r="BK210" s="257"/>
      <c r="BL210" s="257"/>
      <c r="BM210"/>
      <c r="BN210" s="257"/>
      <c r="BO210" s="257"/>
      <c r="BP210" s="257"/>
    </row>
    <row r="211" spans="27:68" x14ac:dyDescent="0.45">
      <c r="AA211" s="257"/>
      <c r="AB211" s="257"/>
      <c r="AC211" s="257"/>
      <c r="AD211" s="257"/>
      <c r="AE211" s="257"/>
      <c r="AF211" s="257"/>
      <c r="AG211" s="257"/>
      <c r="AH211" s="257"/>
      <c r="AI211" s="257"/>
      <c r="AJ211" s="258"/>
      <c r="AK211" s="257"/>
      <c r="AL211" s="257"/>
      <c r="AM211" s="257"/>
      <c r="AN211" s="257"/>
      <c r="AO211" s="257"/>
      <c r="AP211" s="257"/>
      <c r="AQ211" s="257"/>
      <c r="AR211" s="257"/>
      <c r="AS211" s="257"/>
      <c r="AT211" s="257"/>
      <c r="AU211" s="257"/>
      <c r="AV211" s="258"/>
      <c r="AW211" s="258"/>
      <c r="AX211" s="258"/>
      <c r="AY211" s="258"/>
      <c r="AZ211" s="257"/>
      <c r="BA211" s="257"/>
      <c r="BB211" s="257"/>
      <c r="BC211" s="257"/>
      <c r="BD211" s="257"/>
      <c r="BE211" s="257"/>
      <c r="BF211" s="257"/>
      <c r="BG211" s="264"/>
      <c r="BH211" s="257"/>
      <c r="BI211" s="257"/>
      <c r="BJ211" s="257"/>
      <c r="BK211" s="257"/>
      <c r="BL211" s="257"/>
      <c r="BM211"/>
      <c r="BN211" s="257"/>
      <c r="BO211" s="257"/>
      <c r="BP211" s="257"/>
    </row>
    <row r="212" spans="27:68" x14ac:dyDescent="0.45">
      <c r="AA212" s="257"/>
      <c r="AB212" s="257"/>
      <c r="AC212" s="257"/>
      <c r="AD212" s="257"/>
      <c r="AE212" s="257"/>
      <c r="AF212" s="257"/>
      <c r="AG212" s="257"/>
      <c r="AH212" s="257"/>
      <c r="AI212" s="257"/>
      <c r="AJ212" s="258"/>
      <c r="AK212" s="257"/>
      <c r="AL212" s="257"/>
      <c r="AM212" s="257"/>
      <c r="AN212" s="257"/>
      <c r="AO212" s="257"/>
      <c r="AP212" s="257"/>
      <c r="AQ212" s="257"/>
      <c r="AR212" s="257"/>
      <c r="AS212" s="257"/>
      <c r="AT212" s="257"/>
      <c r="AU212" s="257"/>
      <c r="AV212" s="258"/>
      <c r="AW212" s="258"/>
      <c r="AX212" s="258"/>
      <c r="AY212" s="258"/>
      <c r="AZ212" s="257"/>
      <c r="BA212" s="257"/>
      <c r="BB212" s="257"/>
      <c r="BC212" s="257"/>
      <c r="BD212" s="257"/>
      <c r="BE212" s="257"/>
      <c r="BF212" s="257"/>
      <c r="BG212" s="264"/>
      <c r="BH212" s="257"/>
      <c r="BI212" s="257"/>
      <c r="BJ212" s="257"/>
      <c r="BK212" s="257"/>
      <c r="BL212" s="257"/>
      <c r="BM212"/>
      <c r="BN212" s="257"/>
      <c r="BO212" s="257"/>
      <c r="BP212" s="257"/>
    </row>
    <row r="213" spans="27:68" x14ac:dyDescent="0.45">
      <c r="AA213" s="257"/>
      <c r="AB213" s="257"/>
      <c r="AC213" s="257"/>
      <c r="AD213" s="257"/>
      <c r="AE213" s="257"/>
      <c r="AF213" s="257"/>
      <c r="AG213" s="257"/>
      <c r="AH213" s="257"/>
      <c r="AI213" s="257"/>
      <c r="AJ213" s="258"/>
      <c r="AK213" s="257"/>
      <c r="AL213" s="257"/>
      <c r="AM213" s="257"/>
      <c r="AN213" s="257"/>
      <c r="AO213" s="257"/>
      <c r="AP213" s="257"/>
      <c r="AQ213" s="257"/>
      <c r="AR213" s="257"/>
      <c r="AS213" s="257"/>
      <c r="AT213" s="257"/>
      <c r="AU213" s="257"/>
      <c r="AV213" s="258"/>
      <c r="AW213" s="258"/>
      <c r="AX213" s="258"/>
      <c r="AY213" s="258"/>
      <c r="AZ213" s="257"/>
      <c r="BA213" s="257"/>
      <c r="BB213" s="257"/>
      <c r="BC213" s="257"/>
      <c r="BD213" s="257"/>
      <c r="BE213" s="257"/>
      <c r="BF213" s="257"/>
      <c r="BG213" s="264"/>
      <c r="BH213" s="257"/>
      <c r="BI213" s="257"/>
      <c r="BJ213" s="257"/>
      <c r="BK213" s="257"/>
      <c r="BL213" s="257"/>
      <c r="BM213"/>
      <c r="BN213" s="257"/>
      <c r="BO213" s="257"/>
      <c r="BP213" s="257"/>
    </row>
    <row r="214" spans="27:68" x14ac:dyDescent="0.45">
      <c r="AA214" s="257"/>
      <c r="AB214" s="257"/>
      <c r="AC214" s="257"/>
      <c r="AD214" s="257"/>
      <c r="AE214" s="257"/>
      <c r="AF214" s="257"/>
      <c r="AG214" s="257"/>
      <c r="AH214" s="257"/>
      <c r="AI214" s="257"/>
      <c r="AJ214" s="258"/>
      <c r="AK214" s="257"/>
      <c r="AL214" s="257"/>
      <c r="AM214" s="257"/>
      <c r="AN214" s="257"/>
      <c r="AO214" s="257"/>
      <c r="AP214" s="257"/>
      <c r="AQ214" s="257"/>
      <c r="AR214" s="257"/>
      <c r="AS214" s="257"/>
      <c r="AT214" s="257"/>
      <c r="AU214" s="257"/>
      <c r="AV214" s="258"/>
      <c r="AW214" s="258"/>
      <c r="AX214" s="258"/>
      <c r="AY214" s="258"/>
      <c r="AZ214" s="257"/>
      <c r="BA214" s="257"/>
      <c r="BB214" s="257"/>
      <c r="BC214" s="257"/>
      <c r="BD214" s="257"/>
      <c r="BE214" s="257"/>
      <c r="BF214" s="257"/>
      <c r="BG214" s="264"/>
      <c r="BH214" s="257"/>
      <c r="BI214" s="257"/>
      <c r="BJ214" s="257"/>
      <c r="BK214" s="257"/>
      <c r="BL214" s="257"/>
      <c r="BM214"/>
      <c r="BN214" s="257"/>
      <c r="BO214" s="257"/>
      <c r="BP214" s="257"/>
    </row>
    <row r="215" spans="27:68" x14ac:dyDescent="0.45">
      <c r="AA215" s="257"/>
      <c r="AB215" s="257"/>
      <c r="AC215" s="257"/>
      <c r="AD215" s="257"/>
      <c r="AE215" s="257"/>
      <c r="AF215" s="257"/>
      <c r="AG215" s="257"/>
      <c r="AH215" s="257"/>
      <c r="AI215" s="257"/>
      <c r="AJ215" s="258"/>
      <c r="AK215" s="257"/>
      <c r="AL215" s="257"/>
      <c r="AM215" s="257"/>
      <c r="AN215" s="257"/>
      <c r="AO215" s="257"/>
      <c r="AP215" s="257"/>
      <c r="AQ215" s="257"/>
      <c r="AR215" s="257"/>
      <c r="AS215" s="257"/>
      <c r="AT215" s="257"/>
      <c r="AU215" s="257"/>
      <c r="AV215" s="258"/>
      <c r="AW215" s="258"/>
      <c r="AX215" s="258"/>
      <c r="AY215" s="258"/>
      <c r="AZ215" s="257"/>
      <c r="BA215" s="257"/>
      <c r="BB215" s="257"/>
      <c r="BC215" s="257"/>
      <c r="BD215" s="257"/>
      <c r="BE215" s="257"/>
      <c r="BF215" s="257"/>
      <c r="BG215" s="264"/>
      <c r="BH215" s="257"/>
      <c r="BI215" s="257"/>
      <c r="BJ215" s="257"/>
      <c r="BK215" s="257"/>
      <c r="BL215" s="257"/>
      <c r="BM215"/>
      <c r="BN215" s="257"/>
      <c r="BO215" s="257"/>
      <c r="BP215" s="257"/>
    </row>
    <row r="216" spans="27:68" x14ac:dyDescent="0.45">
      <c r="AA216" s="257"/>
      <c r="AB216" s="257"/>
      <c r="AC216" s="257"/>
      <c r="AD216" s="257"/>
      <c r="AE216" s="257"/>
      <c r="AF216" s="257"/>
      <c r="AG216" s="257"/>
      <c r="AH216" s="257"/>
      <c r="AI216" s="257"/>
      <c r="AJ216" s="258"/>
      <c r="AK216" s="257"/>
      <c r="AL216" s="257"/>
      <c r="AM216" s="257"/>
      <c r="AN216" s="257"/>
      <c r="AO216" s="257"/>
      <c r="AP216" s="257"/>
      <c r="AQ216" s="257"/>
      <c r="AR216" s="257"/>
      <c r="AS216" s="257"/>
      <c r="AT216" s="257"/>
      <c r="AU216" s="257"/>
      <c r="AV216" s="258"/>
      <c r="AW216" s="258"/>
      <c r="AX216" s="258"/>
      <c r="AY216" s="258"/>
      <c r="AZ216" s="257"/>
      <c r="BA216" s="257"/>
      <c r="BB216" s="257"/>
      <c r="BC216" s="257"/>
      <c r="BD216" s="257"/>
      <c r="BE216" s="257"/>
      <c r="BF216" s="257"/>
      <c r="BG216" s="264"/>
      <c r="BH216" s="257"/>
      <c r="BI216" s="257"/>
      <c r="BJ216" s="257"/>
      <c r="BK216" s="257"/>
      <c r="BL216" s="257"/>
      <c r="BM216"/>
      <c r="BN216" s="257"/>
      <c r="BO216" s="257"/>
      <c r="BP216" s="257"/>
    </row>
    <row r="217" spans="27:68" x14ac:dyDescent="0.45">
      <c r="AA217" s="257"/>
      <c r="AB217" s="257"/>
      <c r="AC217" s="257"/>
      <c r="AD217" s="257"/>
      <c r="AE217" s="257"/>
      <c r="AF217" s="257"/>
      <c r="AG217" s="257"/>
      <c r="AH217" s="257"/>
      <c r="AI217" s="257"/>
      <c r="AJ217" s="258"/>
      <c r="AK217" s="257"/>
      <c r="AL217" s="257"/>
      <c r="AM217" s="257"/>
      <c r="AN217" s="257"/>
      <c r="AO217" s="257"/>
      <c r="AP217" s="257"/>
      <c r="AQ217" s="257"/>
      <c r="AR217" s="257"/>
      <c r="AS217" s="257"/>
      <c r="AT217" s="257"/>
      <c r="AU217" s="257"/>
      <c r="AV217" s="258"/>
      <c r="AW217" s="258"/>
      <c r="AX217" s="258"/>
      <c r="AY217" s="258"/>
      <c r="AZ217" s="257"/>
      <c r="BA217" s="257"/>
      <c r="BB217" s="257"/>
      <c r="BC217" s="257"/>
      <c r="BD217" s="257"/>
      <c r="BE217" s="257"/>
      <c r="BF217" s="257"/>
      <c r="BG217" s="264"/>
      <c r="BH217" s="257"/>
      <c r="BI217" s="257"/>
      <c r="BJ217" s="257"/>
      <c r="BK217" s="257"/>
      <c r="BL217" s="257"/>
      <c r="BM217"/>
      <c r="BN217" s="257"/>
      <c r="BO217" s="257"/>
      <c r="BP217" s="257"/>
    </row>
    <row r="218" spans="27:68" x14ac:dyDescent="0.45">
      <c r="AA218" s="257"/>
      <c r="AB218" s="257"/>
      <c r="AC218" s="257"/>
      <c r="AD218" s="257"/>
      <c r="AE218" s="257"/>
      <c r="AF218" s="257"/>
      <c r="AG218" s="257"/>
      <c r="AH218" s="257"/>
      <c r="AI218" s="257"/>
      <c r="AJ218" s="258"/>
      <c r="AK218" s="257"/>
      <c r="AL218" s="257"/>
      <c r="AM218" s="257"/>
      <c r="AN218" s="257"/>
      <c r="AO218" s="257"/>
      <c r="AP218" s="257"/>
      <c r="AQ218" s="257"/>
      <c r="AR218" s="257"/>
      <c r="AS218" s="257"/>
      <c r="AT218" s="257"/>
      <c r="AU218" s="257"/>
      <c r="AV218" s="258"/>
      <c r="AW218" s="258"/>
      <c r="AX218" s="258"/>
      <c r="AY218" s="258"/>
      <c r="AZ218" s="257"/>
      <c r="BA218" s="257"/>
      <c r="BB218" s="257"/>
      <c r="BC218" s="257"/>
      <c r="BD218" s="257"/>
      <c r="BE218" s="257"/>
      <c r="BF218" s="257"/>
      <c r="BG218" s="264"/>
      <c r="BH218" s="257"/>
      <c r="BI218" s="257"/>
      <c r="BJ218" s="257"/>
      <c r="BK218" s="257"/>
      <c r="BL218" s="257"/>
      <c r="BM218"/>
      <c r="BN218" s="257"/>
      <c r="BO218" s="257"/>
      <c r="BP218" s="257"/>
    </row>
    <row r="219" spans="27:68" x14ac:dyDescent="0.45">
      <c r="AA219" s="257"/>
      <c r="AB219" s="257"/>
      <c r="AC219" s="257"/>
      <c r="AD219" s="257"/>
      <c r="AE219" s="257"/>
      <c r="AF219" s="257"/>
      <c r="AG219" s="257"/>
      <c r="AH219" s="257"/>
      <c r="AI219" s="257"/>
      <c r="AJ219" s="258"/>
      <c r="AK219" s="257"/>
      <c r="AL219" s="257"/>
      <c r="AM219" s="257"/>
      <c r="AN219" s="257"/>
      <c r="AO219" s="257"/>
      <c r="AP219" s="257"/>
      <c r="AQ219" s="257"/>
      <c r="AR219" s="257"/>
      <c r="AS219" s="257"/>
      <c r="AT219" s="257"/>
      <c r="AU219" s="257"/>
      <c r="AV219" s="258"/>
      <c r="AW219" s="258"/>
      <c r="AX219" s="258"/>
      <c r="AY219" s="258"/>
      <c r="AZ219" s="257"/>
      <c r="BA219" s="257"/>
      <c r="BB219" s="257"/>
      <c r="BC219" s="257"/>
      <c r="BD219" s="257"/>
      <c r="BE219" s="257"/>
      <c r="BF219" s="257"/>
      <c r="BG219" s="264"/>
      <c r="BH219" s="257"/>
      <c r="BI219" s="257"/>
      <c r="BJ219" s="257"/>
      <c r="BK219" s="257"/>
      <c r="BL219" s="257"/>
      <c r="BM219"/>
      <c r="BN219" s="257"/>
      <c r="BO219" s="257"/>
      <c r="BP219" s="257"/>
    </row>
    <row r="220" spans="27:68" x14ac:dyDescent="0.45">
      <c r="AA220" s="257"/>
      <c r="AB220" s="257"/>
      <c r="AC220" s="257"/>
      <c r="AD220" s="257"/>
      <c r="AE220" s="257"/>
      <c r="AF220" s="257"/>
      <c r="AG220" s="257"/>
      <c r="AH220" s="257"/>
      <c r="AI220" s="257"/>
      <c r="AJ220" s="258"/>
      <c r="AK220" s="257"/>
      <c r="AL220" s="257"/>
      <c r="AM220" s="257"/>
      <c r="AN220" s="257"/>
      <c r="AO220" s="257"/>
      <c r="AP220" s="257"/>
      <c r="AQ220" s="257"/>
      <c r="AR220" s="257"/>
      <c r="AS220" s="257"/>
      <c r="AT220" s="257"/>
      <c r="AU220" s="257"/>
      <c r="AV220" s="258"/>
      <c r="AW220" s="258"/>
      <c r="AX220" s="258"/>
      <c r="AY220" s="258"/>
      <c r="AZ220" s="257"/>
      <c r="BA220" s="257"/>
      <c r="BB220" s="257"/>
      <c r="BC220" s="257"/>
      <c r="BD220" s="257"/>
      <c r="BE220" s="257"/>
      <c r="BF220" s="257"/>
      <c r="BG220" s="264"/>
      <c r="BH220" s="257"/>
      <c r="BI220" s="257"/>
      <c r="BJ220" s="257"/>
      <c r="BK220" s="257"/>
      <c r="BL220" s="257"/>
      <c r="BM220"/>
      <c r="BN220" s="257"/>
      <c r="BO220" s="257"/>
      <c r="BP220" s="257"/>
    </row>
    <row r="221" spans="27:68" x14ac:dyDescent="0.45">
      <c r="AA221" s="257"/>
      <c r="AB221" s="257"/>
      <c r="AC221" s="257"/>
      <c r="AD221" s="257"/>
      <c r="AE221" s="257"/>
      <c r="AF221" s="257"/>
      <c r="AG221" s="257"/>
      <c r="AH221" s="257"/>
      <c r="AI221" s="257"/>
      <c r="AJ221" s="258"/>
      <c r="AK221" s="257"/>
      <c r="AL221" s="257"/>
      <c r="AM221" s="257"/>
      <c r="AN221" s="257"/>
      <c r="AO221" s="257"/>
      <c r="AP221" s="257"/>
      <c r="AQ221" s="257"/>
      <c r="AR221" s="257"/>
      <c r="AS221" s="257"/>
      <c r="AT221" s="257"/>
      <c r="AU221" s="257"/>
      <c r="AV221" s="258"/>
      <c r="AW221" s="258"/>
      <c r="AX221" s="258"/>
      <c r="AY221" s="258"/>
      <c r="AZ221" s="257"/>
      <c r="BA221" s="257"/>
      <c r="BB221" s="257"/>
      <c r="BC221" s="257"/>
      <c r="BD221" s="257"/>
      <c r="BE221" s="257"/>
      <c r="BF221" s="257"/>
      <c r="BG221" s="264"/>
      <c r="BH221" s="257"/>
      <c r="BI221" s="257"/>
      <c r="BJ221" s="257"/>
      <c r="BK221" s="257"/>
      <c r="BL221" s="257"/>
      <c r="BM221"/>
      <c r="BN221" s="257"/>
      <c r="BO221" s="257"/>
      <c r="BP221" s="257"/>
    </row>
    <row r="222" spans="27:68" x14ac:dyDescent="0.45">
      <c r="AA222" s="257"/>
      <c r="AB222" s="257"/>
      <c r="AC222" s="257"/>
      <c r="AD222" s="257"/>
      <c r="AE222" s="257"/>
      <c r="AF222" s="257"/>
      <c r="AG222" s="257"/>
      <c r="AH222" s="257"/>
      <c r="AI222" s="257"/>
      <c r="AJ222" s="258"/>
      <c r="AK222" s="257"/>
      <c r="AL222" s="257"/>
      <c r="AM222" s="257"/>
      <c r="AN222" s="257"/>
      <c r="AO222" s="257"/>
      <c r="AP222" s="257"/>
      <c r="AQ222" s="257"/>
      <c r="AR222" s="257"/>
      <c r="AS222" s="257"/>
      <c r="AT222" s="257"/>
      <c r="AU222" s="257"/>
      <c r="AV222" s="258"/>
      <c r="AW222" s="258"/>
      <c r="AX222" s="258"/>
      <c r="AY222" s="258"/>
      <c r="AZ222" s="257"/>
      <c r="BA222" s="257"/>
      <c r="BB222" s="257"/>
      <c r="BC222" s="257"/>
      <c r="BD222" s="257"/>
      <c r="BE222" s="257"/>
      <c r="BF222" s="257"/>
      <c r="BG222" s="264"/>
      <c r="BH222" s="257"/>
      <c r="BI222" s="257"/>
      <c r="BJ222" s="257"/>
      <c r="BK222" s="257"/>
      <c r="BL222" s="257"/>
      <c r="BM222"/>
      <c r="BN222" s="257"/>
      <c r="BO222" s="257"/>
      <c r="BP222" s="257"/>
    </row>
    <row r="223" spans="27:68" x14ac:dyDescent="0.45">
      <c r="AA223" s="257"/>
      <c r="AB223" s="257"/>
      <c r="AC223" s="257"/>
      <c r="AD223" s="257"/>
      <c r="AE223" s="257"/>
      <c r="AF223" s="257"/>
      <c r="AG223" s="257"/>
      <c r="AH223" s="257"/>
      <c r="AI223" s="257"/>
      <c r="AJ223" s="258"/>
      <c r="AK223" s="257"/>
      <c r="AL223" s="257"/>
      <c r="AM223" s="257"/>
      <c r="AN223" s="257"/>
      <c r="AO223" s="257"/>
      <c r="AP223" s="257"/>
      <c r="AQ223" s="257"/>
      <c r="AR223" s="257"/>
      <c r="AS223" s="257"/>
      <c r="AT223" s="257"/>
      <c r="AU223" s="257"/>
      <c r="AV223" s="258"/>
      <c r="AW223" s="258"/>
      <c r="AX223" s="258"/>
      <c r="AY223" s="258"/>
      <c r="AZ223" s="257"/>
      <c r="BA223" s="257"/>
      <c r="BB223" s="257"/>
      <c r="BC223" s="257"/>
      <c r="BD223" s="257"/>
      <c r="BE223" s="257"/>
      <c r="BF223" s="257"/>
      <c r="BG223" s="264"/>
      <c r="BH223" s="257"/>
      <c r="BI223" s="257"/>
      <c r="BJ223" s="257"/>
      <c r="BK223" s="257"/>
      <c r="BL223" s="257"/>
      <c r="BM223"/>
      <c r="BN223" s="257"/>
      <c r="BO223" s="257"/>
      <c r="BP223" s="257"/>
    </row>
    <row r="224" spans="27:68" x14ac:dyDescent="0.45">
      <c r="AA224" s="257"/>
      <c r="AB224" s="257"/>
      <c r="AC224" s="257"/>
      <c r="AD224" s="257"/>
      <c r="AE224" s="257"/>
      <c r="AF224" s="257"/>
      <c r="AG224" s="257"/>
      <c r="AH224" s="257"/>
      <c r="AI224" s="257"/>
      <c r="AJ224" s="258"/>
      <c r="AK224" s="257"/>
      <c r="AL224" s="257"/>
      <c r="AM224" s="257"/>
      <c r="AN224" s="257"/>
      <c r="AO224" s="257"/>
      <c r="AP224" s="257"/>
      <c r="AQ224" s="257"/>
      <c r="AR224" s="257"/>
      <c r="AS224" s="257"/>
      <c r="AT224" s="257"/>
      <c r="AU224" s="257"/>
      <c r="AV224" s="258"/>
      <c r="AW224" s="258"/>
      <c r="AX224" s="258"/>
      <c r="AY224" s="258"/>
      <c r="AZ224" s="257"/>
      <c r="BA224" s="257"/>
      <c r="BB224" s="257"/>
      <c r="BC224" s="257"/>
      <c r="BD224" s="257"/>
      <c r="BE224" s="257"/>
      <c r="BF224" s="257"/>
      <c r="BG224" s="264"/>
      <c r="BH224" s="257"/>
      <c r="BI224" s="257"/>
      <c r="BJ224" s="257"/>
      <c r="BK224" s="257"/>
      <c r="BL224" s="257"/>
      <c r="BM224"/>
      <c r="BN224" s="257"/>
      <c r="BO224" s="257"/>
      <c r="BP224" s="257"/>
    </row>
    <row r="225" spans="27:68" x14ac:dyDescent="0.45">
      <c r="AA225" s="257"/>
      <c r="AB225" s="257"/>
      <c r="AC225" s="257"/>
      <c r="AD225" s="257"/>
      <c r="AE225" s="257"/>
      <c r="AF225" s="257"/>
      <c r="AG225" s="257"/>
      <c r="AH225" s="257"/>
      <c r="AI225" s="257"/>
      <c r="AJ225" s="258"/>
      <c r="AK225" s="257"/>
      <c r="AL225" s="257"/>
      <c r="AM225" s="257"/>
      <c r="AN225" s="257"/>
      <c r="AO225" s="257"/>
      <c r="AP225" s="257"/>
      <c r="AQ225" s="257"/>
      <c r="AR225" s="257"/>
      <c r="AS225" s="257"/>
      <c r="AT225" s="257"/>
      <c r="AU225" s="257"/>
      <c r="AV225" s="258"/>
      <c r="AW225" s="258"/>
      <c r="AX225" s="258"/>
      <c r="AY225" s="258"/>
      <c r="AZ225" s="257"/>
      <c r="BA225" s="257"/>
      <c r="BB225" s="257"/>
      <c r="BC225" s="257"/>
      <c r="BD225" s="257"/>
      <c r="BE225" s="257"/>
      <c r="BF225" s="257"/>
      <c r="BG225" s="264"/>
      <c r="BH225" s="257"/>
      <c r="BI225" s="257"/>
      <c r="BJ225" s="257"/>
      <c r="BK225" s="257"/>
      <c r="BL225" s="257"/>
      <c r="BM225"/>
      <c r="BN225" s="257"/>
      <c r="BO225" s="257"/>
      <c r="BP225" s="257"/>
    </row>
    <row r="226" spans="27:68" x14ac:dyDescent="0.45">
      <c r="AA226" s="257"/>
      <c r="AB226" s="257"/>
      <c r="AC226" s="257"/>
      <c r="AD226" s="257"/>
      <c r="AE226" s="257"/>
      <c r="AF226" s="257"/>
      <c r="AG226" s="257"/>
      <c r="AH226" s="257"/>
      <c r="AI226" s="257"/>
      <c r="AJ226" s="258"/>
      <c r="AK226" s="257"/>
      <c r="AL226" s="257"/>
      <c r="AM226" s="257"/>
      <c r="AN226" s="257"/>
      <c r="AO226" s="257"/>
      <c r="AP226" s="257"/>
      <c r="AQ226" s="257"/>
      <c r="AR226" s="257"/>
      <c r="AS226" s="257"/>
      <c r="AT226" s="257"/>
      <c r="AU226" s="257"/>
      <c r="AV226" s="258"/>
      <c r="AW226" s="258"/>
      <c r="AX226" s="258"/>
      <c r="AY226" s="258"/>
      <c r="AZ226" s="257"/>
      <c r="BA226" s="257"/>
      <c r="BB226" s="257"/>
      <c r="BC226" s="257"/>
      <c r="BD226" s="257"/>
      <c r="BE226" s="257"/>
      <c r="BF226" s="257"/>
      <c r="BG226" s="264"/>
      <c r="BH226" s="257"/>
      <c r="BI226" s="257"/>
      <c r="BJ226" s="257"/>
      <c r="BK226" s="257"/>
      <c r="BL226" s="257"/>
      <c r="BM226"/>
      <c r="BN226" s="257"/>
      <c r="BO226" s="257"/>
      <c r="BP226" s="257"/>
    </row>
    <row r="227" spans="27:68" x14ac:dyDescent="0.45">
      <c r="AA227" s="257"/>
      <c r="AB227" s="257"/>
      <c r="AC227" s="257"/>
      <c r="AD227" s="257"/>
      <c r="AE227" s="257"/>
      <c r="AF227" s="257"/>
      <c r="AG227" s="257"/>
      <c r="AH227" s="257"/>
      <c r="AI227" s="257"/>
      <c r="AJ227" s="258"/>
      <c r="AK227" s="257"/>
      <c r="AL227" s="257"/>
      <c r="AM227" s="257"/>
      <c r="AN227" s="257"/>
      <c r="AO227" s="257"/>
      <c r="AP227" s="257"/>
      <c r="AQ227" s="257"/>
      <c r="AR227" s="257"/>
      <c r="AS227" s="257"/>
      <c r="AT227" s="257"/>
      <c r="AU227" s="257"/>
      <c r="AV227" s="258"/>
      <c r="AW227" s="258"/>
      <c r="AX227" s="258"/>
      <c r="AY227" s="258"/>
      <c r="AZ227" s="257"/>
      <c r="BA227" s="257"/>
      <c r="BB227" s="257"/>
      <c r="BC227" s="257"/>
      <c r="BD227" s="257"/>
      <c r="BE227" s="257"/>
      <c r="BF227" s="257"/>
      <c r="BG227" s="264"/>
      <c r="BH227" s="257"/>
      <c r="BI227" s="257"/>
      <c r="BJ227" s="257"/>
      <c r="BK227" s="257"/>
      <c r="BL227" s="257"/>
      <c r="BM227"/>
      <c r="BN227" s="257"/>
      <c r="BO227" s="257"/>
      <c r="BP227" s="257"/>
    </row>
    <row r="228" spans="27:68" x14ac:dyDescent="0.45">
      <c r="AA228" s="257"/>
      <c r="AB228" s="257"/>
      <c r="AC228" s="257"/>
      <c r="AD228" s="257"/>
      <c r="AE228" s="257"/>
      <c r="AF228" s="257"/>
      <c r="AG228" s="257"/>
      <c r="AH228" s="257"/>
      <c r="AI228" s="257"/>
      <c r="AJ228" s="258"/>
      <c r="AK228" s="257"/>
      <c r="AL228" s="257"/>
      <c r="AM228" s="257"/>
      <c r="AN228" s="257"/>
      <c r="AO228" s="257"/>
      <c r="AP228" s="257"/>
      <c r="AQ228" s="257"/>
      <c r="AR228" s="257"/>
      <c r="AS228" s="257"/>
      <c r="AT228" s="257"/>
      <c r="AU228" s="257"/>
      <c r="AV228" s="258"/>
      <c r="AW228" s="258"/>
      <c r="AX228" s="258"/>
      <c r="AY228" s="258"/>
      <c r="AZ228" s="257"/>
      <c r="BA228" s="257"/>
      <c r="BB228" s="257"/>
      <c r="BC228" s="257"/>
      <c r="BD228" s="257"/>
      <c r="BE228" s="257"/>
      <c r="BF228" s="257"/>
      <c r="BG228" s="264"/>
      <c r="BH228" s="257"/>
      <c r="BI228" s="257"/>
      <c r="BJ228" s="257"/>
      <c r="BK228" s="257"/>
      <c r="BL228" s="257"/>
      <c r="BM228"/>
      <c r="BN228" s="257"/>
      <c r="BO228" s="257"/>
      <c r="BP228" s="257"/>
    </row>
    <row r="229" spans="27:68" x14ac:dyDescent="0.45">
      <c r="AA229" s="257"/>
      <c r="AB229" s="257"/>
      <c r="AC229" s="257"/>
      <c r="AD229" s="257"/>
      <c r="AE229" s="257"/>
      <c r="AF229" s="257"/>
      <c r="AG229" s="257"/>
      <c r="AH229" s="257"/>
      <c r="AI229" s="257"/>
      <c r="AJ229" s="258"/>
      <c r="AK229" s="257"/>
      <c r="AL229" s="257"/>
      <c r="AM229" s="257"/>
      <c r="AN229" s="257"/>
      <c r="AO229" s="257"/>
      <c r="AP229" s="257"/>
      <c r="AQ229" s="257"/>
      <c r="AR229" s="257"/>
      <c r="AS229" s="257"/>
      <c r="AT229" s="257"/>
      <c r="AU229" s="257"/>
      <c r="AV229" s="258"/>
      <c r="AW229" s="258"/>
      <c r="AX229" s="258"/>
      <c r="AY229" s="258"/>
      <c r="AZ229" s="257"/>
      <c r="BA229" s="257"/>
      <c r="BB229" s="257"/>
      <c r="BC229" s="257"/>
      <c r="BD229" s="257"/>
      <c r="BE229" s="257"/>
      <c r="BF229" s="257"/>
      <c r="BG229" s="264"/>
      <c r="BH229" s="257"/>
      <c r="BI229" s="257"/>
      <c r="BJ229" s="257"/>
      <c r="BK229" s="257"/>
      <c r="BL229" s="257"/>
      <c r="BM229"/>
      <c r="BN229" s="257"/>
      <c r="BO229" s="257"/>
      <c r="BP229" s="257"/>
    </row>
    <row r="230" spans="27:68" x14ac:dyDescent="0.45">
      <c r="AA230" s="257"/>
      <c r="AB230" s="257"/>
      <c r="AC230" s="257"/>
      <c r="AD230" s="257"/>
      <c r="AE230" s="257"/>
      <c r="AF230" s="257"/>
      <c r="AG230" s="257"/>
      <c r="AH230" s="257"/>
      <c r="AI230" s="257"/>
      <c r="AJ230" s="258"/>
      <c r="AK230" s="257"/>
      <c r="AL230" s="257"/>
      <c r="AM230" s="257"/>
      <c r="AN230" s="257"/>
      <c r="AO230" s="257"/>
      <c r="AP230" s="257"/>
      <c r="AQ230" s="257"/>
      <c r="AR230" s="257"/>
      <c r="AS230" s="257"/>
      <c r="AT230" s="257"/>
      <c r="AU230" s="257"/>
      <c r="AV230" s="258"/>
      <c r="AW230" s="258"/>
      <c r="AX230" s="258"/>
      <c r="AY230" s="258"/>
      <c r="AZ230" s="257"/>
      <c r="BA230" s="257"/>
      <c r="BB230" s="257"/>
      <c r="BC230" s="257"/>
      <c r="BD230" s="257"/>
      <c r="BE230" s="257"/>
      <c r="BF230" s="257"/>
      <c r="BG230" s="264"/>
      <c r="BH230" s="257"/>
      <c r="BI230" s="257"/>
      <c r="BJ230" s="257"/>
      <c r="BK230" s="257"/>
      <c r="BL230" s="257"/>
      <c r="BM230"/>
      <c r="BN230" s="257"/>
      <c r="BO230" s="257"/>
      <c r="BP230" s="257"/>
    </row>
    <row r="231" spans="27:68" x14ac:dyDescent="0.45">
      <c r="AA231" s="257"/>
      <c r="AB231" s="257"/>
      <c r="AC231" s="257"/>
      <c r="AD231" s="257"/>
      <c r="AE231" s="257"/>
      <c r="AF231" s="257"/>
      <c r="AG231" s="257"/>
      <c r="AH231" s="257"/>
      <c r="AI231" s="257"/>
      <c r="AJ231" s="258"/>
      <c r="AK231" s="257"/>
      <c r="AL231" s="257"/>
      <c r="AM231" s="257"/>
      <c r="AN231" s="257"/>
      <c r="AO231" s="257"/>
      <c r="AP231" s="257"/>
      <c r="AQ231" s="257"/>
      <c r="AR231" s="257"/>
      <c r="AS231" s="257"/>
      <c r="AT231" s="257"/>
      <c r="AU231" s="257"/>
      <c r="AV231" s="258"/>
      <c r="AW231" s="258"/>
      <c r="AX231" s="258"/>
      <c r="AY231" s="258"/>
      <c r="AZ231" s="257"/>
      <c r="BA231" s="257"/>
      <c r="BB231" s="257"/>
      <c r="BC231" s="257"/>
      <c r="BD231" s="257"/>
      <c r="BE231" s="257"/>
      <c r="BF231" s="257"/>
      <c r="BG231" s="264"/>
      <c r="BH231" s="257"/>
      <c r="BI231" s="257"/>
      <c r="BJ231" s="257"/>
      <c r="BK231" s="257"/>
      <c r="BL231" s="257"/>
      <c r="BM231"/>
      <c r="BN231" s="257"/>
      <c r="BO231" s="257"/>
      <c r="BP231" s="257"/>
    </row>
    <row r="232" spans="27:68" x14ac:dyDescent="0.45">
      <c r="AA232" s="257"/>
      <c r="AB232" s="257"/>
      <c r="AC232" s="257"/>
      <c r="AD232" s="257"/>
      <c r="AE232" s="257"/>
      <c r="AF232" s="257"/>
      <c r="AG232" s="257"/>
      <c r="AH232" s="257"/>
      <c r="AI232" s="257"/>
      <c r="AJ232" s="258"/>
      <c r="AK232" s="257"/>
      <c r="AL232" s="257"/>
      <c r="AM232" s="257"/>
      <c r="AN232" s="257"/>
      <c r="AO232" s="257"/>
      <c r="AP232" s="257"/>
      <c r="AQ232" s="257"/>
      <c r="AR232" s="257"/>
      <c r="AS232" s="257"/>
      <c r="AT232" s="257"/>
      <c r="AU232" s="257"/>
      <c r="AV232" s="258"/>
      <c r="AW232" s="258"/>
      <c r="AX232" s="258"/>
      <c r="AY232" s="258"/>
      <c r="AZ232" s="257"/>
      <c r="BA232" s="257"/>
      <c r="BB232" s="257"/>
      <c r="BC232" s="257"/>
      <c r="BD232" s="257"/>
      <c r="BE232" s="257"/>
      <c r="BF232" s="257"/>
      <c r="BG232" s="264"/>
      <c r="BH232" s="257"/>
      <c r="BI232" s="257"/>
      <c r="BJ232" s="257"/>
      <c r="BK232" s="257"/>
      <c r="BL232" s="257"/>
      <c r="BM232"/>
      <c r="BN232" s="257"/>
      <c r="BO232" s="257"/>
      <c r="BP232" s="257"/>
    </row>
    <row r="233" spans="27:68" x14ac:dyDescent="0.45">
      <c r="AA233" s="257"/>
      <c r="AB233" s="257"/>
      <c r="AC233" s="257"/>
      <c r="AD233" s="257"/>
      <c r="AE233" s="257"/>
      <c r="AF233" s="257"/>
      <c r="AG233" s="257"/>
      <c r="AH233" s="257"/>
      <c r="AI233" s="257"/>
      <c r="AJ233" s="258"/>
      <c r="AK233" s="257"/>
      <c r="AL233" s="257"/>
      <c r="AM233" s="257"/>
      <c r="AN233" s="257"/>
      <c r="AO233" s="257"/>
      <c r="AP233" s="257"/>
      <c r="AQ233" s="257"/>
      <c r="AR233" s="257"/>
      <c r="AS233" s="257"/>
      <c r="AT233" s="257"/>
      <c r="AU233" s="257"/>
      <c r="AV233" s="258"/>
      <c r="AW233" s="258"/>
      <c r="AX233" s="258"/>
      <c r="AY233" s="258"/>
      <c r="AZ233" s="257"/>
      <c r="BA233" s="257"/>
      <c r="BB233" s="257"/>
      <c r="BC233" s="257"/>
      <c r="BD233" s="257"/>
      <c r="BE233" s="257"/>
      <c r="BF233" s="257"/>
      <c r="BG233" s="264"/>
      <c r="BH233" s="257"/>
      <c r="BI233" s="257"/>
      <c r="BJ233" s="257"/>
      <c r="BK233" s="257"/>
      <c r="BL233" s="257"/>
      <c r="BM233"/>
      <c r="BN233" s="257"/>
      <c r="BO233" s="257"/>
      <c r="BP233" s="257"/>
    </row>
    <row r="234" spans="27:68" x14ac:dyDescent="0.45">
      <c r="AA234" s="257"/>
      <c r="AB234" s="257"/>
      <c r="AC234" s="257"/>
      <c r="AD234" s="257"/>
      <c r="AE234" s="257"/>
      <c r="AF234" s="257"/>
      <c r="AG234" s="257"/>
      <c r="AH234" s="257"/>
      <c r="AI234" s="257"/>
      <c r="AJ234" s="258"/>
      <c r="AK234" s="257"/>
      <c r="AL234" s="257"/>
      <c r="AM234" s="257"/>
      <c r="AN234" s="257"/>
      <c r="AO234" s="257"/>
      <c r="AP234" s="257"/>
      <c r="AQ234" s="257"/>
      <c r="AR234" s="257"/>
      <c r="AS234" s="257"/>
      <c r="AT234" s="257"/>
      <c r="AU234" s="257"/>
      <c r="AV234" s="258"/>
      <c r="AW234" s="258"/>
      <c r="AX234" s="258"/>
      <c r="AY234" s="258"/>
      <c r="AZ234" s="257"/>
      <c r="BA234" s="257"/>
      <c r="BB234" s="257"/>
      <c r="BC234" s="257"/>
      <c r="BD234" s="257"/>
      <c r="BE234" s="257"/>
      <c r="BF234" s="257"/>
      <c r="BG234" s="264"/>
      <c r="BH234" s="257"/>
      <c r="BI234" s="257"/>
      <c r="BJ234" s="257"/>
      <c r="BK234" s="257"/>
      <c r="BL234" s="257"/>
      <c r="BM234"/>
      <c r="BN234" s="257"/>
      <c r="BO234" s="257"/>
      <c r="BP234" s="257"/>
    </row>
    <row r="235" spans="27:68" x14ac:dyDescent="0.45">
      <c r="AA235" s="257"/>
      <c r="AB235" s="257"/>
      <c r="AC235" s="257"/>
      <c r="AD235" s="257"/>
      <c r="AE235" s="257"/>
      <c r="AF235" s="257"/>
      <c r="AG235" s="257"/>
      <c r="AH235" s="257"/>
      <c r="AI235" s="257"/>
      <c r="AJ235" s="258"/>
      <c r="AK235" s="257"/>
      <c r="AL235" s="257"/>
      <c r="AM235" s="257"/>
      <c r="AN235" s="257"/>
      <c r="AO235" s="257"/>
      <c r="AP235" s="257"/>
      <c r="AQ235" s="257"/>
      <c r="AR235" s="257"/>
      <c r="AS235" s="257"/>
      <c r="AT235" s="257"/>
      <c r="AU235" s="257"/>
      <c r="AV235" s="258"/>
      <c r="AW235" s="258"/>
      <c r="AX235" s="258"/>
      <c r="AY235" s="258"/>
      <c r="AZ235" s="257"/>
      <c r="BA235" s="257"/>
      <c r="BB235" s="257"/>
      <c r="BC235" s="257"/>
      <c r="BD235" s="257"/>
      <c r="BE235" s="257"/>
      <c r="BF235" s="257"/>
      <c r="BG235" s="264"/>
      <c r="BH235" s="257"/>
      <c r="BI235" s="257"/>
      <c r="BJ235" s="257"/>
      <c r="BK235" s="257"/>
      <c r="BL235" s="257"/>
      <c r="BM235"/>
      <c r="BN235" s="257"/>
      <c r="BO235" s="257"/>
      <c r="BP235" s="257"/>
    </row>
    <row r="236" spans="27:68" x14ac:dyDescent="0.45">
      <c r="AA236" s="257"/>
      <c r="AB236" s="257"/>
      <c r="AC236" s="257"/>
      <c r="AD236" s="257"/>
      <c r="AE236" s="257"/>
      <c r="AF236" s="257"/>
      <c r="AG236" s="257"/>
      <c r="AH236" s="257"/>
      <c r="AI236" s="257"/>
      <c r="AJ236" s="258"/>
      <c r="AK236" s="257"/>
      <c r="AL236" s="257"/>
      <c r="AM236" s="257"/>
      <c r="AN236" s="257"/>
      <c r="AO236" s="257"/>
      <c r="AP236" s="257"/>
      <c r="AQ236" s="257"/>
      <c r="AR236" s="257"/>
      <c r="AS236" s="257"/>
      <c r="AT236" s="257"/>
      <c r="AU236" s="257"/>
      <c r="AV236" s="258"/>
      <c r="AW236" s="258"/>
      <c r="AX236" s="258"/>
      <c r="AY236" s="258"/>
      <c r="AZ236" s="257"/>
      <c r="BA236" s="257"/>
      <c r="BB236" s="257"/>
      <c r="BC236" s="257"/>
      <c r="BD236" s="257"/>
      <c r="BE236" s="257"/>
      <c r="BF236" s="257"/>
      <c r="BG236" s="264"/>
      <c r="BH236" s="257"/>
      <c r="BI236" s="257"/>
      <c r="BJ236" s="257"/>
      <c r="BK236" s="257"/>
      <c r="BL236" s="257"/>
      <c r="BM236"/>
      <c r="BN236" s="257"/>
      <c r="BO236" s="257"/>
      <c r="BP236" s="257"/>
    </row>
    <row r="237" spans="27:68" x14ac:dyDescent="0.45">
      <c r="AA237" s="257"/>
      <c r="AB237" s="257"/>
      <c r="AC237" s="257"/>
      <c r="AD237" s="257"/>
      <c r="AE237" s="257"/>
      <c r="AF237" s="257"/>
      <c r="AG237" s="257"/>
      <c r="AH237" s="257"/>
      <c r="AI237" s="257"/>
      <c r="AJ237" s="258"/>
      <c r="AK237" s="257"/>
      <c r="AL237" s="257"/>
      <c r="AM237" s="257"/>
      <c r="AN237" s="257"/>
      <c r="AO237" s="257"/>
      <c r="AP237" s="257"/>
      <c r="AQ237" s="257"/>
      <c r="AR237" s="257"/>
      <c r="AS237" s="257"/>
      <c r="AT237" s="257"/>
      <c r="AU237" s="257"/>
      <c r="AV237" s="258"/>
      <c r="AW237" s="258"/>
      <c r="AX237" s="258"/>
      <c r="AY237" s="258"/>
      <c r="AZ237" s="257"/>
      <c r="BA237" s="257"/>
      <c r="BB237" s="257"/>
      <c r="BC237" s="257"/>
      <c r="BD237" s="257"/>
      <c r="BE237" s="257"/>
      <c r="BF237" s="257"/>
      <c r="BG237" s="264"/>
      <c r="BH237" s="257"/>
      <c r="BI237" s="257"/>
      <c r="BJ237" s="257"/>
      <c r="BK237" s="257"/>
      <c r="BL237" s="257"/>
      <c r="BM237"/>
      <c r="BN237" s="257"/>
      <c r="BO237" s="257"/>
      <c r="BP237" s="257"/>
    </row>
    <row r="238" spans="27:68" x14ac:dyDescent="0.45">
      <c r="AA238" s="257"/>
      <c r="AB238" s="257"/>
      <c r="AC238" s="257"/>
      <c r="AD238" s="257"/>
      <c r="AE238" s="257"/>
      <c r="AF238" s="257"/>
      <c r="AG238" s="257"/>
      <c r="AH238" s="257"/>
      <c r="AI238" s="257"/>
      <c r="AJ238" s="258"/>
      <c r="AK238" s="257"/>
      <c r="AL238" s="257"/>
      <c r="AM238" s="257"/>
      <c r="AN238" s="257"/>
      <c r="AO238" s="257"/>
      <c r="AP238" s="257"/>
      <c r="AQ238" s="257"/>
      <c r="AR238" s="257"/>
      <c r="AS238" s="257"/>
      <c r="AT238" s="257"/>
      <c r="AU238" s="257"/>
      <c r="AV238" s="258"/>
      <c r="AW238" s="258"/>
      <c r="AX238" s="258"/>
      <c r="AY238" s="258"/>
      <c r="AZ238" s="257"/>
      <c r="BA238" s="257"/>
      <c r="BB238" s="257"/>
      <c r="BC238" s="257"/>
      <c r="BD238" s="257"/>
      <c r="BE238" s="257"/>
      <c r="BF238" s="257"/>
      <c r="BG238" s="264"/>
      <c r="BH238" s="257"/>
      <c r="BI238" s="257"/>
      <c r="BJ238" s="257"/>
      <c r="BK238" s="257"/>
      <c r="BL238" s="257"/>
      <c r="BM238"/>
      <c r="BN238" s="257"/>
      <c r="BO238" s="257"/>
      <c r="BP238" s="257"/>
    </row>
    <row r="239" spans="27:68" x14ac:dyDescent="0.45">
      <c r="AA239" s="257"/>
      <c r="AB239" s="257"/>
      <c r="AC239" s="257"/>
      <c r="AD239" s="257"/>
      <c r="AE239" s="257"/>
      <c r="AF239" s="257"/>
      <c r="AG239" s="257"/>
      <c r="AH239" s="257"/>
      <c r="AI239" s="257"/>
      <c r="AJ239" s="258"/>
      <c r="AK239" s="257"/>
      <c r="AL239" s="257"/>
      <c r="AM239" s="257"/>
      <c r="AN239" s="257"/>
      <c r="AO239" s="257"/>
      <c r="AP239" s="257"/>
      <c r="AQ239" s="257"/>
      <c r="AR239" s="257"/>
      <c r="AS239" s="257"/>
      <c r="AT239" s="257"/>
      <c r="AU239" s="257"/>
      <c r="AV239" s="258"/>
      <c r="AW239" s="258"/>
      <c r="AX239" s="258"/>
      <c r="AY239" s="258"/>
      <c r="AZ239" s="257"/>
      <c r="BA239" s="257"/>
      <c r="BB239" s="257"/>
      <c r="BC239" s="257"/>
      <c r="BD239" s="257"/>
      <c r="BE239" s="257"/>
      <c r="BF239" s="257"/>
      <c r="BG239" s="264"/>
      <c r="BH239" s="257"/>
      <c r="BI239" s="257"/>
      <c r="BJ239" s="257"/>
      <c r="BK239" s="257"/>
      <c r="BL239" s="257"/>
      <c r="BM239"/>
      <c r="BN239" s="257"/>
      <c r="BO239" s="257"/>
      <c r="BP239" s="257"/>
    </row>
    <row r="240" spans="27:68" x14ac:dyDescent="0.45">
      <c r="AA240" s="257"/>
      <c r="AB240" s="257"/>
      <c r="AC240" s="257"/>
      <c r="AD240" s="257"/>
      <c r="AE240" s="257"/>
      <c r="AF240" s="257"/>
      <c r="AG240" s="257"/>
      <c r="AH240" s="257"/>
      <c r="AI240" s="257"/>
      <c r="AJ240" s="258"/>
      <c r="AK240" s="257"/>
      <c r="AL240" s="257"/>
      <c r="AM240" s="257"/>
      <c r="AN240" s="257"/>
      <c r="AO240" s="257"/>
      <c r="AP240" s="257"/>
      <c r="AQ240" s="257"/>
      <c r="AR240" s="257"/>
      <c r="AS240" s="257"/>
      <c r="AT240" s="257"/>
      <c r="AU240" s="257"/>
      <c r="AV240" s="258"/>
      <c r="AW240" s="258"/>
      <c r="AX240" s="258"/>
      <c r="AY240" s="258"/>
      <c r="AZ240" s="257"/>
      <c r="BA240" s="257"/>
      <c r="BB240" s="257"/>
      <c r="BC240" s="257"/>
      <c r="BD240" s="257"/>
      <c r="BE240" s="257"/>
      <c r="BF240" s="257"/>
      <c r="BG240" s="264"/>
      <c r="BH240" s="257"/>
      <c r="BI240" s="257"/>
      <c r="BJ240" s="257"/>
      <c r="BK240" s="257"/>
      <c r="BL240" s="257"/>
      <c r="BM240"/>
      <c r="BN240" s="257"/>
      <c r="BO240" s="257"/>
      <c r="BP240" s="257"/>
    </row>
    <row r="241" spans="27:68" x14ac:dyDescent="0.45">
      <c r="AA241" s="257"/>
      <c r="AB241" s="257"/>
      <c r="AC241" s="257"/>
      <c r="AD241" s="257"/>
      <c r="AE241" s="257"/>
      <c r="AF241" s="257"/>
      <c r="AG241" s="257"/>
      <c r="AH241" s="257"/>
      <c r="AI241" s="257"/>
      <c r="AJ241" s="258"/>
      <c r="AK241" s="257"/>
      <c r="AL241" s="257"/>
      <c r="AM241" s="257"/>
      <c r="AN241" s="257"/>
      <c r="AO241" s="257"/>
      <c r="AP241" s="257"/>
      <c r="AQ241" s="257"/>
      <c r="AR241" s="257"/>
      <c r="AS241" s="257"/>
      <c r="AT241" s="257"/>
      <c r="AU241" s="257"/>
      <c r="AV241" s="258"/>
      <c r="AW241" s="258"/>
      <c r="AX241" s="258"/>
      <c r="AY241" s="258"/>
      <c r="AZ241" s="257"/>
      <c r="BA241" s="257"/>
      <c r="BB241" s="257"/>
      <c r="BC241" s="257"/>
      <c r="BD241" s="257"/>
      <c r="BE241" s="257"/>
      <c r="BF241" s="257"/>
      <c r="BG241" s="264"/>
      <c r="BH241" s="257"/>
      <c r="BI241" s="257"/>
      <c r="BJ241" s="257"/>
      <c r="BK241" s="257"/>
      <c r="BL241" s="257"/>
      <c r="BM241"/>
      <c r="BN241" s="257"/>
      <c r="BO241" s="257"/>
      <c r="BP241" s="257"/>
    </row>
    <row r="242" spans="27:68" x14ac:dyDescent="0.45">
      <c r="AA242" s="257"/>
      <c r="AB242" s="257"/>
      <c r="AC242" s="257"/>
      <c r="AD242" s="257"/>
      <c r="AE242" s="257"/>
      <c r="AF242" s="257"/>
      <c r="AG242" s="257"/>
      <c r="AH242" s="257"/>
      <c r="AI242" s="257"/>
      <c r="AJ242" s="258"/>
      <c r="AK242" s="257"/>
      <c r="AL242" s="257"/>
      <c r="AM242" s="257"/>
      <c r="AN242" s="257"/>
      <c r="AO242" s="257"/>
      <c r="AP242" s="257"/>
      <c r="AQ242" s="257"/>
      <c r="AR242" s="257"/>
      <c r="AS242" s="257"/>
      <c r="AT242" s="257"/>
      <c r="AU242" s="257"/>
      <c r="AV242" s="258"/>
      <c r="AW242" s="258"/>
      <c r="AX242" s="258"/>
      <c r="AY242" s="258"/>
      <c r="AZ242" s="257"/>
      <c r="BA242" s="257"/>
      <c r="BB242" s="257"/>
      <c r="BC242" s="257"/>
      <c r="BD242" s="257"/>
      <c r="BE242" s="257"/>
      <c r="BF242" s="257"/>
      <c r="BG242" s="264"/>
      <c r="BH242" s="257"/>
      <c r="BI242" s="257"/>
      <c r="BJ242" s="257"/>
      <c r="BK242" s="257"/>
      <c r="BL242" s="257"/>
      <c r="BM242"/>
      <c r="BN242" s="257"/>
      <c r="BO242" s="257"/>
      <c r="BP242" s="257"/>
    </row>
    <row r="243" spans="27:68" x14ac:dyDescent="0.45">
      <c r="AA243" s="257"/>
      <c r="AB243" s="257"/>
      <c r="AC243" s="257"/>
      <c r="AD243" s="257"/>
      <c r="AE243" s="257"/>
      <c r="AF243" s="257"/>
      <c r="AG243" s="257"/>
      <c r="AH243" s="257"/>
      <c r="AI243" s="257"/>
      <c r="AJ243" s="258"/>
      <c r="AK243" s="257"/>
      <c r="AL243" s="257"/>
      <c r="AM243" s="257"/>
      <c r="AN243" s="257"/>
      <c r="AO243" s="257"/>
      <c r="AP243" s="257"/>
      <c r="AQ243" s="257"/>
      <c r="AR243" s="257"/>
      <c r="AS243" s="257"/>
      <c r="AT243" s="257"/>
      <c r="AU243" s="257"/>
      <c r="AV243" s="258"/>
      <c r="AW243" s="258"/>
      <c r="AX243" s="258"/>
      <c r="AY243" s="258"/>
      <c r="AZ243" s="257"/>
      <c r="BA243" s="257"/>
      <c r="BB243" s="257"/>
      <c r="BC243" s="257"/>
      <c r="BD243" s="257"/>
      <c r="BE243" s="257"/>
      <c r="BF243" s="257"/>
      <c r="BG243" s="264"/>
      <c r="BH243" s="257"/>
      <c r="BI243" s="257"/>
      <c r="BJ243" s="257"/>
      <c r="BK243" s="257"/>
      <c r="BL243" s="257"/>
      <c r="BM243"/>
      <c r="BN243" s="257"/>
      <c r="BO243" s="257"/>
      <c r="BP243" s="257"/>
    </row>
    <row r="244" spans="27:68" x14ac:dyDescent="0.45">
      <c r="AA244" s="257"/>
      <c r="AB244" s="257"/>
      <c r="AC244" s="257"/>
      <c r="AD244" s="257"/>
      <c r="AE244" s="257"/>
      <c r="AF244" s="257"/>
      <c r="AG244" s="257"/>
      <c r="AH244" s="257"/>
      <c r="AI244" s="257"/>
      <c r="AJ244" s="258"/>
      <c r="AK244" s="257"/>
      <c r="AL244" s="257"/>
      <c r="AM244" s="257"/>
      <c r="AN244" s="257"/>
      <c r="AO244" s="257"/>
      <c r="AP244" s="257"/>
      <c r="AQ244" s="257"/>
      <c r="AR244" s="257"/>
      <c r="AS244" s="257"/>
      <c r="AT244" s="257"/>
      <c r="AU244" s="257"/>
      <c r="AV244" s="258"/>
      <c r="AW244" s="258"/>
      <c r="AX244" s="258"/>
      <c r="AY244" s="258"/>
      <c r="AZ244" s="257"/>
      <c r="BA244" s="257"/>
      <c r="BB244" s="257"/>
      <c r="BC244" s="257"/>
      <c r="BD244" s="257"/>
      <c r="BE244" s="257"/>
      <c r="BF244" s="257"/>
      <c r="BG244" s="264"/>
      <c r="BH244" s="257"/>
      <c r="BI244" s="257"/>
      <c r="BJ244" s="257"/>
      <c r="BK244" s="257"/>
      <c r="BL244" s="257"/>
      <c r="BM244"/>
      <c r="BN244" s="257"/>
      <c r="BO244" s="257"/>
      <c r="BP244" s="257"/>
    </row>
    <row r="245" spans="27:68" x14ac:dyDescent="0.45">
      <c r="AA245" s="257"/>
      <c r="AB245" s="257"/>
      <c r="AC245" s="257"/>
      <c r="AD245" s="257"/>
      <c r="AE245" s="257"/>
      <c r="AF245" s="257"/>
      <c r="AG245" s="257"/>
      <c r="AH245" s="257"/>
      <c r="AI245" s="257"/>
      <c r="AJ245" s="258"/>
      <c r="AK245" s="257"/>
      <c r="AL245" s="257"/>
      <c r="AM245" s="257"/>
      <c r="AN245" s="257"/>
      <c r="AO245" s="257"/>
      <c r="AP245" s="257"/>
      <c r="AQ245" s="257"/>
      <c r="AR245" s="257"/>
      <c r="AS245" s="257"/>
      <c r="AT245" s="257"/>
      <c r="AU245" s="257"/>
      <c r="AV245" s="258"/>
      <c r="AW245" s="258"/>
      <c r="AX245" s="258"/>
      <c r="AY245" s="258"/>
      <c r="AZ245" s="257"/>
      <c r="BA245" s="257"/>
      <c r="BB245" s="257"/>
      <c r="BC245" s="257"/>
      <c r="BD245" s="257"/>
      <c r="BE245" s="257"/>
      <c r="BF245" s="257"/>
      <c r="BG245" s="264"/>
      <c r="BH245" s="257"/>
      <c r="BI245" s="257"/>
      <c r="BJ245" s="257"/>
      <c r="BK245" s="257"/>
      <c r="BL245" s="257"/>
      <c r="BM245"/>
      <c r="BN245" s="257"/>
      <c r="BO245" s="257"/>
      <c r="BP245" s="257"/>
    </row>
    <row r="246" spans="27:68" x14ac:dyDescent="0.45">
      <c r="AA246" s="257"/>
      <c r="AB246" s="257"/>
      <c r="AC246" s="257"/>
      <c r="AD246" s="257"/>
      <c r="AE246" s="257"/>
      <c r="AF246" s="257"/>
      <c r="AG246" s="257"/>
      <c r="AH246" s="257"/>
      <c r="AI246" s="257"/>
      <c r="AJ246" s="258"/>
      <c r="AK246" s="257"/>
      <c r="AL246" s="257"/>
      <c r="AM246" s="257"/>
      <c r="AN246" s="257"/>
      <c r="AO246" s="257"/>
      <c r="AP246" s="257"/>
      <c r="AQ246" s="257"/>
      <c r="AR246" s="257"/>
      <c r="AS246" s="257"/>
      <c r="AT246" s="257"/>
      <c r="AU246" s="257"/>
      <c r="AV246" s="258"/>
      <c r="AW246" s="258"/>
      <c r="AX246" s="258"/>
      <c r="AY246" s="258"/>
      <c r="AZ246" s="257"/>
      <c r="BA246" s="257"/>
      <c r="BB246" s="257"/>
      <c r="BC246" s="257"/>
      <c r="BD246" s="257"/>
      <c r="BE246" s="257"/>
      <c r="BF246" s="257"/>
      <c r="BG246" s="264"/>
      <c r="BH246" s="257"/>
      <c r="BI246" s="257"/>
      <c r="BJ246" s="257"/>
      <c r="BK246" s="257"/>
      <c r="BL246" s="257"/>
      <c r="BM246"/>
      <c r="BN246" s="257"/>
      <c r="BO246" s="257"/>
      <c r="BP246" s="257"/>
    </row>
    <row r="247" spans="27:68" x14ac:dyDescent="0.45">
      <c r="AA247" s="257"/>
      <c r="AB247" s="257"/>
      <c r="AC247" s="257"/>
      <c r="AD247" s="257"/>
      <c r="AE247" s="257"/>
      <c r="AF247" s="257"/>
      <c r="AG247" s="257"/>
      <c r="AH247" s="257"/>
      <c r="AI247" s="257"/>
      <c r="AJ247" s="258"/>
      <c r="AK247" s="257"/>
      <c r="AL247" s="257"/>
      <c r="AM247" s="257"/>
      <c r="AN247" s="257"/>
      <c r="AO247" s="257"/>
      <c r="AP247" s="257"/>
      <c r="AQ247" s="257"/>
      <c r="AR247" s="257"/>
      <c r="AS247" s="257"/>
      <c r="AT247" s="257"/>
      <c r="AU247" s="257"/>
      <c r="AV247" s="258"/>
      <c r="AW247" s="258"/>
      <c r="AX247" s="258"/>
      <c r="AY247" s="258"/>
      <c r="AZ247" s="257"/>
      <c r="BA247" s="257"/>
      <c r="BB247" s="257"/>
      <c r="BC247" s="257"/>
      <c r="BD247" s="257"/>
      <c r="BE247" s="257"/>
      <c r="BF247" s="257"/>
      <c r="BG247" s="264"/>
      <c r="BH247" s="257"/>
      <c r="BI247" s="257"/>
      <c r="BJ247" s="257"/>
      <c r="BK247" s="257"/>
      <c r="BL247" s="257"/>
      <c r="BM247"/>
      <c r="BN247" s="257"/>
      <c r="BO247" s="257"/>
      <c r="BP247" s="257"/>
    </row>
    <row r="248" spans="27:68" x14ac:dyDescent="0.45">
      <c r="AA248" s="257"/>
      <c r="AB248" s="257"/>
      <c r="AC248" s="257"/>
      <c r="AD248" s="257"/>
      <c r="AE248" s="257"/>
      <c r="AF248" s="257"/>
      <c r="AG248" s="257"/>
      <c r="AH248" s="257"/>
      <c r="AI248" s="257"/>
      <c r="AJ248" s="258"/>
      <c r="AK248" s="257"/>
      <c r="AL248" s="257"/>
      <c r="AM248" s="257"/>
      <c r="AN248" s="257"/>
      <c r="AO248" s="257"/>
      <c r="AP248" s="257"/>
      <c r="AQ248" s="257"/>
      <c r="AR248" s="257"/>
      <c r="AS248" s="257"/>
      <c r="AT248" s="257"/>
      <c r="AU248" s="257"/>
      <c r="AV248" s="258"/>
      <c r="AW248" s="258"/>
      <c r="AX248" s="258"/>
      <c r="AY248" s="258"/>
      <c r="AZ248" s="257"/>
      <c r="BA248" s="257"/>
      <c r="BB248" s="257"/>
      <c r="BC248" s="257"/>
      <c r="BD248" s="257"/>
      <c r="BE248" s="257"/>
      <c r="BF248" s="257"/>
      <c r="BG248" s="264"/>
      <c r="BH248" s="257"/>
      <c r="BI248" s="257"/>
      <c r="BJ248" s="257"/>
      <c r="BK248" s="257"/>
      <c r="BL248" s="257"/>
      <c r="BM248"/>
      <c r="BN248" s="257"/>
      <c r="BO248" s="257"/>
      <c r="BP248" s="257"/>
    </row>
    <row r="249" spans="27:68" x14ac:dyDescent="0.45">
      <c r="AA249" s="257"/>
      <c r="AB249" s="257"/>
      <c r="AC249" s="257"/>
      <c r="AD249" s="257"/>
      <c r="AE249" s="257"/>
      <c r="AF249" s="257"/>
      <c r="AG249" s="257"/>
      <c r="AH249" s="257"/>
      <c r="AI249" s="257"/>
      <c r="AJ249" s="258"/>
      <c r="AK249" s="257"/>
      <c r="AL249" s="257"/>
      <c r="AM249" s="257"/>
      <c r="AN249" s="257"/>
      <c r="AO249" s="257"/>
      <c r="AP249" s="257"/>
      <c r="AQ249" s="257"/>
      <c r="AR249" s="257"/>
      <c r="AS249" s="257"/>
      <c r="AT249" s="257"/>
      <c r="AU249" s="257"/>
      <c r="AV249" s="258"/>
      <c r="AW249" s="258"/>
      <c r="AX249" s="258"/>
      <c r="AY249" s="258"/>
      <c r="AZ249" s="257"/>
      <c r="BA249" s="257"/>
      <c r="BB249" s="257"/>
      <c r="BC249" s="257"/>
      <c r="BD249" s="257"/>
      <c r="BE249" s="257"/>
      <c r="BF249" s="257"/>
      <c r="BG249" s="264"/>
      <c r="BH249" s="257"/>
      <c r="BI249" s="257"/>
      <c r="BJ249" s="257"/>
      <c r="BK249" s="257"/>
      <c r="BL249" s="257"/>
      <c r="BM249"/>
      <c r="BN249" s="257"/>
      <c r="BO249" s="257"/>
      <c r="BP249" s="257"/>
    </row>
    <row r="250" spans="27:68" x14ac:dyDescent="0.45">
      <c r="AA250" s="257"/>
      <c r="AB250" s="257"/>
      <c r="AC250" s="257"/>
      <c r="AD250" s="257"/>
      <c r="AE250" s="257"/>
      <c r="AF250" s="257"/>
      <c r="AG250" s="257"/>
      <c r="AH250" s="257"/>
      <c r="AI250" s="257"/>
      <c r="AJ250" s="258"/>
      <c r="AK250" s="257"/>
      <c r="AL250" s="257"/>
      <c r="AM250" s="257"/>
      <c r="AN250" s="257"/>
      <c r="AO250" s="257"/>
      <c r="AP250" s="257"/>
      <c r="AQ250" s="257"/>
      <c r="AR250" s="257"/>
      <c r="AS250" s="257"/>
      <c r="AT250" s="257"/>
      <c r="AU250" s="257"/>
      <c r="AV250" s="258"/>
      <c r="AW250" s="258"/>
      <c r="AX250" s="258"/>
      <c r="AY250" s="258"/>
      <c r="AZ250" s="257"/>
      <c r="BA250" s="257"/>
      <c r="BB250" s="257"/>
      <c r="BC250" s="257"/>
      <c r="BD250" s="257"/>
      <c r="BE250" s="257"/>
      <c r="BF250" s="257"/>
      <c r="BG250" s="264"/>
      <c r="BH250" s="257"/>
      <c r="BI250" s="257"/>
      <c r="BJ250" s="257"/>
      <c r="BK250" s="257"/>
      <c r="BL250" s="257"/>
      <c r="BM250"/>
      <c r="BN250" s="257"/>
      <c r="BO250" s="257"/>
      <c r="BP250" s="257"/>
    </row>
    <row r="251" spans="27:68" x14ac:dyDescent="0.45">
      <c r="AA251" s="257"/>
      <c r="AB251" s="257"/>
      <c r="AC251" s="257"/>
      <c r="AD251" s="257"/>
      <c r="AE251" s="257"/>
      <c r="AF251" s="257"/>
      <c r="AG251" s="257"/>
      <c r="AH251" s="257"/>
      <c r="AI251" s="257"/>
      <c r="AJ251" s="258"/>
      <c r="AK251" s="257"/>
      <c r="AL251" s="257"/>
      <c r="AM251" s="257"/>
      <c r="AN251" s="257"/>
      <c r="AO251" s="257"/>
      <c r="AP251" s="257"/>
      <c r="AQ251" s="257"/>
      <c r="AR251" s="257"/>
      <c r="AS251" s="257"/>
      <c r="AT251" s="257"/>
      <c r="AU251" s="257"/>
      <c r="AV251" s="258"/>
      <c r="AW251" s="258"/>
      <c r="AX251" s="258"/>
      <c r="AY251" s="258"/>
      <c r="AZ251" s="257"/>
      <c r="BA251" s="257"/>
      <c r="BB251" s="257"/>
      <c r="BC251" s="257"/>
      <c r="BD251" s="257"/>
      <c r="BE251" s="257"/>
      <c r="BF251" s="257"/>
      <c r="BG251" s="264"/>
      <c r="BH251" s="257"/>
      <c r="BI251" s="257"/>
      <c r="BJ251" s="257"/>
      <c r="BK251" s="257"/>
      <c r="BL251" s="257"/>
      <c r="BM251"/>
      <c r="BN251" s="257"/>
      <c r="BO251" s="257"/>
      <c r="BP251" s="257"/>
    </row>
    <row r="252" spans="27:68" x14ac:dyDescent="0.45">
      <c r="AA252" s="257"/>
      <c r="AB252" s="257"/>
      <c r="AC252" s="257"/>
      <c r="AD252" s="257"/>
      <c r="AE252" s="257"/>
      <c r="AF252" s="257"/>
      <c r="AG252" s="257"/>
      <c r="AH252" s="257"/>
      <c r="AI252" s="257"/>
      <c r="AJ252" s="258"/>
      <c r="AK252" s="257"/>
      <c r="AL252" s="257"/>
      <c r="AM252" s="257"/>
      <c r="AN252" s="257"/>
      <c r="AO252" s="257"/>
      <c r="AP252" s="257"/>
      <c r="AQ252" s="257"/>
      <c r="AR252" s="257"/>
      <c r="AS252" s="257"/>
      <c r="AT252" s="257"/>
      <c r="AU252" s="257"/>
      <c r="AV252" s="258"/>
      <c r="AW252" s="258"/>
      <c r="AX252" s="258"/>
      <c r="AY252" s="258"/>
      <c r="AZ252" s="257"/>
      <c r="BA252" s="257"/>
      <c r="BB252" s="257"/>
      <c r="BC252" s="257"/>
      <c r="BD252" s="257"/>
      <c r="BE252" s="257"/>
      <c r="BF252" s="257"/>
      <c r="BG252" s="264"/>
      <c r="BH252" s="257"/>
      <c r="BI252" s="257"/>
      <c r="BJ252" s="257"/>
      <c r="BK252" s="257"/>
      <c r="BL252" s="257"/>
      <c r="BM252"/>
      <c r="BN252" s="257"/>
      <c r="BO252" s="257"/>
      <c r="BP252" s="257"/>
    </row>
    <row r="253" spans="27:68" x14ac:dyDescent="0.45">
      <c r="AA253" s="257"/>
      <c r="AB253" s="257"/>
      <c r="AC253" s="257"/>
      <c r="AD253" s="257"/>
      <c r="AE253" s="257"/>
      <c r="AF253" s="257"/>
      <c r="AG253" s="257"/>
      <c r="AH253" s="257"/>
      <c r="AI253" s="257"/>
      <c r="AJ253" s="258"/>
      <c r="AK253" s="257"/>
      <c r="AL253" s="257"/>
      <c r="AM253" s="257"/>
      <c r="AN253" s="257"/>
      <c r="AO253" s="257"/>
      <c r="AP253" s="257"/>
      <c r="AQ253" s="257"/>
      <c r="AR253" s="257"/>
      <c r="AS253" s="257"/>
      <c r="AT253" s="257"/>
      <c r="AU253" s="257"/>
      <c r="AV253" s="258"/>
      <c r="AW253" s="258"/>
      <c r="AX253" s="258"/>
      <c r="AY253" s="258"/>
      <c r="AZ253" s="257"/>
      <c r="BA253" s="257"/>
      <c r="BB253" s="257"/>
      <c r="BC253" s="257"/>
      <c r="BD253" s="257"/>
      <c r="BE253" s="257"/>
      <c r="BF253" s="257"/>
      <c r="BG253" s="264"/>
      <c r="BH253" s="257"/>
      <c r="BI253" s="257"/>
      <c r="BJ253" s="257"/>
      <c r="BK253" s="257"/>
      <c r="BL253" s="257"/>
      <c r="BM253"/>
      <c r="BN253" s="257"/>
      <c r="BO253" s="257"/>
      <c r="BP253" s="257"/>
    </row>
    <row r="254" spans="27:68" x14ac:dyDescent="0.45">
      <c r="AA254" s="257"/>
      <c r="AB254" s="257"/>
      <c r="AC254" s="257"/>
      <c r="AD254" s="257"/>
      <c r="AE254" s="257"/>
      <c r="AF254" s="257"/>
      <c r="AG254" s="257"/>
      <c r="AH254" s="257"/>
      <c r="AI254" s="257"/>
      <c r="AJ254" s="258"/>
      <c r="AK254" s="257"/>
      <c r="AL254" s="257"/>
      <c r="AM254" s="257"/>
      <c r="AN254" s="257"/>
      <c r="AO254" s="257"/>
      <c r="AP254" s="257"/>
      <c r="AQ254" s="257"/>
      <c r="AR254" s="257"/>
      <c r="AS254" s="257"/>
      <c r="AT254" s="257"/>
      <c r="AU254" s="257"/>
      <c r="AV254" s="258"/>
      <c r="AW254" s="258"/>
      <c r="AX254" s="258"/>
      <c r="AY254" s="258"/>
      <c r="AZ254" s="257"/>
      <c r="BA254" s="257"/>
      <c r="BB254" s="257"/>
      <c r="BC254" s="257"/>
      <c r="BD254" s="257"/>
      <c r="BE254" s="257"/>
      <c r="BF254" s="257"/>
      <c r="BG254" s="264"/>
      <c r="BH254" s="257"/>
      <c r="BI254" s="257"/>
      <c r="BJ254" s="257"/>
      <c r="BK254" s="257"/>
      <c r="BL254" s="257"/>
      <c r="BM254"/>
      <c r="BN254" s="257"/>
      <c r="BO254" s="257"/>
      <c r="BP254" s="257"/>
    </row>
    <row r="255" spans="27:68" x14ac:dyDescent="0.45">
      <c r="AA255" s="257"/>
      <c r="AB255" s="257"/>
      <c r="AC255" s="257"/>
      <c r="AD255" s="257"/>
      <c r="AE255" s="257"/>
      <c r="AF255" s="257"/>
      <c r="AG255" s="257"/>
      <c r="AH255" s="257"/>
      <c r="AI255" s="257"/>
      <c r="AJ255" s="258"/>
      <c r="AK255" s="257"/>
      <c r="AL255" s="257"/>
      <c r="AM255" s="257"/>
      <c r="AN255" s="257"/>
      <c r="AO255" s="257"/>
      <c r="AP255" s="257"/>
      <c r="AQ255" s="257"/>
      <c r="AR255" s="257"/>
      <c r="AS255" s="257"/>
      <c r="AT255" s="257"/>
      <c r="AU255" s="257"/>
      <c r="AV255" s="258"/>
      <c r="AW255" s="258"/>
      <c r="AX255" s="258"/>
      <c r="AY255" s="258"/>
      <c r="AZ255" s="257"/>
      <c r="BA255" s="257"/>
      <c r="BB255" s="257"/>
      <c r="BC255" s="257"/>
      <c r="BD255" s="257"/>
      <c r="BE255" s="257"/>
      <c r="BF255" s="257"/>
      <c r="BG255" s="264"/>
      <c r="BH255" s="257"/>
      <c r="BI255" s="257"/>
      <c r="BJ255" s="257"/>
      <c r="BK255" s="257"/>
      <c r="BL255" s="257"/>
      <c r="BM255"/>
      <c r="BN255" s="257"/>
      <c r="BO255" s="257"/>
      <c r="BP255" s="257"/>
    </row>
    <row r="256" spans="27:68" x14ac:dyDescent="0.45">
      <c r="AA256" s="257"/>
      <c r="AB256" s="257"/>
      <c r="AC256" s="257"/>
      <c r="AD256" s="257"/>
      <c r="AE256" s="257"/>
      <c r="AF256" s="257"/>
      <c r="AG256" s="257"/>
      <c r="AH256" s="257"/>
      <c r="AI256" s="257"/>
      <c r="AJ256" s="258"/>
      <c r="AK256" s="257"/>
      <c r="AL256" s="257"/>
      <c r="AM256" s="257"/>
      <c r="AN256" s="257"/>
      <c r="AO256" s="257"/>
      <c r="AP256" s="257"/>
      <c r="AQ256" s="257"/>
      <c r="AR256" s="257"/>
      <c r="AS256" s="257"/>
      <c r="AT256" s="257"/>
      <c r="AU256" s="257"/>
      <c r="AV256" s="258"/>
      <c r="AW256" s="258"/>
      <c r="AX256" s="258"/>
      <c r="AY256" s="258"/>
      <c r="AZ256" s="257"/>
      <c r="BA256" s="257"/>
      <c r="BB256" s="257"/>
      <c r="BC256" s="257"/>
      <c r="BD256" s="257"/>
      <c r="BE256" s="257"/>
      <c r="BF256" s="257"/>
      <c r="BG256" s="264"/>
      <c r="BH256" s="257"/>
      <c r="BI256" s="257"/>
      <c r="BJ256" s="257"/>
      <c r="BK256" s="257"/>
      <c r="BL256" s="257"/>
      <c r="BM256"/>
      <c r="BN256" s="257"/>
      <c r="BO256" s="257"/>
      <c r="BP256" s="257"/>
    </row>
    <row r="257" spans="27:68" x14ac:dyDescent="0.45">
      <c r="AA257" s="257"/>
      <c r="AB257" s="257"/>
      <c r="AC257" s="257"/>
      <c r="AD257" s="257"/>
      <c r="AE257" s="257"/>
      <c r="AF257" s="257"/>
      <c r="AG257" s="257"/>
      <c r="AH257" s="257"/>
      <c r="AI257" s="257"/>
      <c r="AJ257" s="258"/>
      <c r="AK257" s="257"/>
      <c r="AL257" s="257"/>
      <c r="AM257" s="257"/>
      <c r="AN257" s="257"/>
      <c r="AO257" s="257"/>
      <c r="AP257" s="257"/>
      <c r="AQ257" s="257"/>
      <c r="AR257" s="257"/>
      <c r="AS257" s="257"/>
      <c r="AT257" s="257"/>
      <c r="AU257" s="257"/>
      <c r="AV257" s="258"/>
      <c r="AW257" s="258"/>
      <c r="AX257" s="258"/>
      <c r="AY257" s="258"/>
      <c r="AZ257" s="257"/>
      <c r="BA257" s="257"/>
      <c r="BB257" s="257"/>
      <c r="BC257" s="257"/>
      <c r="BD257" s="257"/>
      <c r="BE257" s="257"/>
      <c r="BF257" s="257"/>
      <c r="BG257" s="264"/>
      <c r="BH257" s="257"/>
      <c r="BI257" s="257"/>
      <c r="BJ257" s="257"/>
      <c r="BK257" s="257"/>
      <c r="BL257" s="257"/>
      <c r="BM257"/>
      <c r="BN257" s="257"/>
      <c r="BO257" s="257"/>
      <c r="BP257" s="257"/>
    </row>
    <row r="258" spans="27:68" x14ac:dyDescent="0.45">
      <c r="AA258" s="257"/>
      <c r="AB258" s="257"/>
      <c r="AC258" s="257"/>
      <c r="AD258" s="257"/>
      <c r="AE258" s="257"/>
      <c r="AF258" s="257"/>
      <c r="AG258" s="257"/>
      <c r="AH258" s="257"/>
      <c r="AI258" s="257"/>
      <c r="AJ258" s="258"/>
      <c r="AK258" s="257"/>
      <c r="AL258" s="257"/>
      <c r="AM258" s="257"/>
      <c r="AN258" s="257"/>
      <c r="AO258" s="257"/>
      <c r="AP258" s="257"/>
      <c r="AQ258" s="257"/>
      <c r="AR258" s="257"/>
      <c r="AS258" s="257"/>
      <c r="AT258" s="257"/>
      <c r="AU258" s="257"/>
      <c r="AV258" s="258"/>
      <c r="AW258" s="258"/>
      <c r="AX258" s="258"/>
      <c r="AY258" s="258"/>
      <c r="AZ258" s="257"/>
      <c r="BA258" s="257"/>
      <c r="BB258" s="257"/>
      <c r="BC258" s="257"/>
      <c r="BD258" s="257"/>
      <c r="BE258" s="257"/>
      <c r="BF258" s="257"/>
      <c r="BG258" s="264"/>
      <c r="BH258" s="257"/>
      <c r="BI258" s="257"/>
      <c r="BJ258" s="257"/>
      <c r="BK258" s="257"/>
      <c r="BL258" s="257"/>
      <c r="BM258"/>
      <c r="BN258" s="257"/>
      <c r="BO258" s="257"/>
      <c r="BP258" s="257"/>
    </row>
    <row r="259" spans="27:68" x14ac:dyDescent="0.45">
      <c r="AA259" s="257"/>
      <c r="AB259" s="257"/>
      <c r="AC259" s="257"/>
      <c r="AD259" s="257"/>
      <c r="AE259" s="257"/>
      <c r="AF259" s="257"/>
      <c r="AG259" s="257"/>
      <c r="AH259" s="257"/>
      <c r="AI259" s="257"/>
      <c r="AJ259" s="258"/>
      <c r="AK259" s="257"/>
      <c r="AL259" s="257"/>
      <c r="AM259" s="257"/>
      <c r="AN259" s="257"/>
      <c r="AO259" s="257"/>
      <c r="AP259" s="257"/>
      <c r="AQ259" s="257"/>
      <c r="AR259" s="257"/>
      <c r="AS259" s="257"/>
      <c r="AT259" s="257"/>
      <c r="AU259" s="257"/>
      <c r="AV259" s="258"/>
      <c r="AW259" s="258"/>
      <c r="AX259" s="258"/>
      <c r="AY259" s="258"/>
      <c r="AZ259" s="257"/>
      <c r="BA259" s="257"/>
      <c r="BB259" s="257"/>
      <c r="BC259" s="257"/>
      <c r="BD259" s="257"/>
      <c r="BE259" s="257"/>
      <c r="BF259" s="257"/>
      <c r="BG259" s="264"/>
      <c r="BH259" s="257"/>
      <c r="BI259" s="257"/>
      <c r="BJ259" s="257"/>
      <c r="BK259" s="257"/>
      <c r="BL259" s="257"/>
      <c r="BM259"/>
      <c r="BN259" s="257"/>
      <c r="BO259" s="257"/>
      <c r="BP259" s="257"/>
    </row>
    <row r="260" spans="27:68" x14ac:dyDescent="0.45">
      <c r="AA260" s="257"/>
      <c r="AB260" s="257"/>
      <c r="AC260" s="257"/>
      <c r="AD260" s="257"/>
      <c r="AE260" s="257"/>
      <c r="AF260" s="257"/>
      <c r="AG260" s="257"/>
      <c r="AH260" s="257"/>
      <c r="AI260" s="257"/>
      <c r="AJ260" s="258"/>
      <c r="AK260" s="257"/>
      <c r="AL260" s="257"/>
      <c r="AM260" s="257"/>
      <c r="AN260" s="257"/>
      <c r="AO260" s="257"/>
      <c r="AP260" s="257"/>
      <c r="AQ260" s="257"/>
      <c r="AR260" s="257"/>
      <c r="AS260" s="257"/>
      <c r="AT260" s="257"/>
      <c r="AU260" s="257"/>
      <c r="AV260" s="258"/>
      <c r="AW260" s="258"/>
      <c r="AX260" s="258"/>
      <c r="AY260" s="258"/>
      <c r="AZ260" s="257"/>
      <c r="BA260" s="257"/>
      <c r="BB260" s="257"/>
      <c r="BC260" s="257"/>
      <c r="BD260" s="257"/>
      <c r="BE260" s="257"/>
      <c r="BF260" s="257"/>
      <c r="BG260" s="264"/>
      <c r="BH260" s="257"/>
      <c r="BI260" s="257"/>
      <c r="BJ260" s="257"/>
      <c r="BK260" s="257"/>
      <c r="BL260" s="257"/>
      <c r="BM260"/>
      <c r="BN260" s="257"/>
      <c r="BO260" s="257"/>
      <c r="BP260" s="257"/>
    </row>
    <row r="261" spans="27:68" x14ac:dyDescent="0.45">
      <c r="AA261" s="257"/>
      <c r="AB261" s="257"/>
      <c r="AC261" s="257"/>
      <c r="AD261" s="257"/>
      <c r="AE261" s="257"/>
      <c r="AF261" s="257"/>
      <c r="AG261" s="257"/>
      <c r="AH261" s="257"/>
      <c r="AI261" s="257"/>
      <c r="AJ261" s="258"/>
      <c r="AK261" s="257"/>
      <c r="AL261" s="257"/>
      <c r="AM261" s="257"/>
      <c r="AN261" s="257"/>
      <c r="AO261" s="257"/>
      <c r="AP261" s="257"/>
      <c r="AQ261" s="257"/>
      <c r="AR261" s="257"/>
      <c r="AS261" s="257"/>
      <c r="AT261" s="257"/>
      <c r="AU261" s="257"/>
      <c r="AV261" s="258"/>
      <c r="AW261" s="258"/>
      <c r="AX261" s="258"/>
      <c r="AY261" s="258"/>
      <c r="AZ261" s="257"/>
      <c r="BA261" s="257"/>
      <c r="BB261" s="257"/>
      <c r="BC261" s="257"/>
      <c r="BD261" s="257"/>
      <c r="BE261" s="257"/>
      <c r="BF261" s="257"/>
      <c r="BG261" s="264"/>
      <c r="BH261" s="257"/>
      <c r="BI261" s="257"/>
      <c r="BJ261" s="257"/>
      <c r="BK261" s="257"/>
      <c r="BL261" s="257"/>
      <c r="BM261"/>
      <c r="BN261" s="257"/>
      <c r="BO261" s="257"/>
      <c r="BP261" s="257"/>
    </row>
    <row r="262" spans="27:68" x14ac:dyDescent="0.45">
      <c r="AA262" s="257"/>
      <c r="AB262" s="257"/>
      <c r="AC262" s="257"/>
      <c r="AD262" s="257"/>
      <c r="AE262" s="257"/>
      <c r="AF262" s="257"/>
      <c r="AG262" s="257"/>
      <c r="AH262" s="257"/>
      <c r="AI262" s="257"/>
      <c r="AJ262" s="258"/>
      <c r="AK262" s="257"/>
      <c r="AL262" s="257"/>
      <c r="AM262" s="257"/>
      <c r="AN262" s="257"/>
      <c r="AO262" s="257"/>
      <c r="AP262" s="257"/>
      <c r="AQ262" s="257"/>
      <c r="AR262" s="257"/>
      <c r="AS262" s="257"/>
      <c r="AT262" s="257"/>
      <c r="AU262" s="257"/>
      <c r="AV262" s="258"/>
      <c r="AW262" s="258"/>
      <c r="AX262" s="258"/>
      <c r="AY262" s="258"/>
      <c r="AZ262" s="257"/>
      <c r="BA262" s="257"/>
      <c r="BB262" s="257"/>
      <c r="BC262" s="257"/>
      <c r="BD262" s="257"/>
      <c r="BE262" s="257"/>
      <c r="BF262" s="257"/>
      <c r="BG262" s="264"/>
      <c r="BH262" s="257"/>
      <c r="BI262" s="257"/>
      <c r="BJ262" s="257"/>
      <c r="BK262" s="257"/>
      <c r="BL262" s="257"/>
      <c r="BM262"/>
      <c r="BN262" s="257"/>
      <c r="BO262" s="257"/>
      <c r="BP262" s="257"/>
    </row>
    <row r="263" spans="27:68" x14ac:dyDescent="0.45">
      <c r="AA263" s="257"/>
      <c r="AB263" s="257"/>
      <c r="AC263" s="257"/>
      <c r="AD263" s="257"/>
      <c r="AE263" s="257"/>
      <c r="AF263" s="257"/>
      <c r="AG263" s="257"/>
      <c r="AH263" s="257"/>
      <c r="AI263" s="257"/>
      <c r="AJ263" s="258"/>
      <c r="AK263" s="257"/>
      <c r="AL263" s="257"/>
      <c r="AM263" s="257"/>
      <c r="AN263" s="257"/>
      <c r="AO263" s="257"/>
      <c r="AP263" s="257"/>
      <c r="AQ263" s="257"/>
      <c r="AR263" s="257"/>
      <c r="AS263" s="257"/>
      <c r="AT263" s="257"/>
      <c r="AU263" s="257"/>
      <c r="AV263" s="258"/>
      <c r="AW263" s="258"/>
      <c r="AX263" s="258"/>
      <c r="AY263" s="258"/>
      <c r="AZ263" s="257"/>
      <c r="BA263" s="257"/>
      <c r="BB263" s="257"/>
      <c r="BC263" s="257"/>
      <c r="BD263" s="257"/>
      <c r="BE263" s="257"/>
      <c r="BF263" s="257"/>
      <c r="BG263" s="264"/>
      <c r="BH263" s="257"/>
      <c r="BI263" s="257"/>
      <c r="BJ263" s="257"/>
      <c r="BK263" s="257"/>
      <c r="BL263" s="257"/>
      <c r="BM263"/>
      <c r="BN263" s="257"/>
      <c r="BO263" s="257"/>
      <c r="BP263" s="257"/>
    </row>
    <row r="264" spans="27:68" x14ac:dyDescent="0.45">
      <c r="AA264" s="257"/>
      <c r="AB264" s="257"/>
      <c r="AC264" s="257"/>
      <c r="AD264" s="257"/>
      <c r="AE264" s="257"/>
      <c r="AF264" s="257"/>
      <c r="AG264" s="257"/>
      <c r="AH264" s="257"/>
      <c r="AI264" s="257"/>
      <c r="AJ264" s="258"/>
      <c r="AK264" s="257"/>
      <c r="AL264" s="257"/>
      <c r="AM264" s="257"/>
      <c r="AN264" s="257"/>
      <c r="AO264" s="257"/>
      <c r="AP264" s="257"/>
      <c r="AQ264" s="257"/>
      <c r="AR264" s="257"/>
      <c r="AS264" s="257"/>
      <c r="AT264" s="257"/>
      <c r="AU264" s="257"/>
      <c r="AV264" s="258"/>
      <c r="AW264" s="258"/>
      <c r="AX264" s="258"/>
      <c r="AY264" s="258"/>
      <c r="AZ264" s="257"/>
      <c r="BA264" s="257"/>
      <c r="BB264" s="257"/>
      <c r="BC264" s="257"/>
      <c r="BD264" s="257"/>
      <c r="BE264" s="257"/>
      <c r="BF264" s="257"/>
      <c r="BG264" s="264"/>
      <c r="BH264" s="257"/>
      <c r="BI264" s="257"/>
      <c r="BJ264" s="257"/>
      <c r="BK264" s="257"/>
      <c r="BL264" s="257"/>
      <c r="BM264"/>
      <c r="BN264" s="257"/>
      <c r="BO264" s="257"/>
      <c r="BP264" s="257"/>
    </row>
    <row r="265" spans="27:68" x14ac:dyDescent="0.45">
      <c r="AA265" s="257"/>
      <c r="AB265" s="257"/>
      <c r="AC265" s="257"/>
      <c r="AD265" s="257"/>
      <c r="AE265" s="257"/>
      <c r="AF265" s="257"/>
      <c r="AG265" s="257"/>
      <c r="AH265" s="257"/>
      <c r="AI265" s="257"/>
      <c r="AJ265" s="258"/>
      <c r="AK265" s="257"/>
      <c r="AL265" s="257"/>
      <c r="AM265" s="257"/>
      <c r="AN265" s="257"/>
      <c r="AO265" s="257"/>
      <c r="AP265" s="257"/>
      <c r="AQ265" s="257"/>
      <c r="AR265" s="257"/>
      <c r="AS265" s="257"/>
      <c r="AT265" s="257"/>
      <c r="AU265" s="257"/>
      <c r="AV265" s="258"/>
      <c r="AW265" s="258"/>
      <c r="AX265" s="258"/>
      <c r="AY265" s="258"/>
      <c r="AZ265" s="257"/>
      <c r="BA265" s="257"/>
      <c r="BB265" s="257"/>
      <c r="BC265" s="257"/>
      <c r="BD265" s="257"/>
      <c r="BE265" s="257"/>
      <c r="BF265" s="257"/>
      <c r="BG265" s="264"/>
      <c r="BH265" s="257"/>
      <c r="BI265" s="257"/>
      <c r="BJ265" s="257"/>
      <c r="BK265" s="257"/>
      <c r="BL265" s="257"/>
      <c r="BM265"/>
      <c r="BN265" s="257"/>
      <c r="BO265" s="257"/>
      <c r="BP265" s="257"/>
    </row>
    <row r="266" spans="27:68" x14ac:dyDescent="0.45">
      <c r="AA266" s="257"/>
      <c r="AB266" s="257"/>
      <c r="AC266" s="257"/>
      <c r="AD266" s="257"/>
      <c r="AE266" s="257"/>
      <c r="AF266" s="257"/>
      <c r="AG266" s="257"/>
      <c r="AH266" s="257"/>
      <c r="AI266" s="257"/>
      <c r="AJ266" s="258"/>
      <c r="AK266" s="257"/>
      <c r="AL266" s="257"/>
      <c r="AM266" s="257"/>
      <c r="AN266" s="257"/>
      <c r="AO266" s="257"/>
      <c r="AP266" s="257"/>
      <c r="AQ266" s="257"/>
      <c r="AR266" s="257"/>
      <c r="AS266" s="257"/>
      <c r="AT266" s="257"/>
      <c r="AU266" s="257"/>
      <c r="AV266" s="258"/>
      <c r="AW266" s="258"/>
      <c r="AX266" s="258"/>
      <c r="AY266" s="258"/>
      <c r="AZ266" s="257"/>
      <c r="BA266" s="257"/>
      <c r="BB266" s="257"/>
      <c r="BC266" s="257"/>
      <c r="BD266" s="257"/>
      <c r="BE266" s="257"/>
      <c r="BF266" s="257"/>
      <c r="BG266" s="264"/>
      <c r="BH266" s="257"/>
      <c r="BI266" s="257"/>
      <c r="BJ266" s="257"/>
      <c r="BK266" s="257"/>
      <c r="BL266" s="257"/>
      <c r="BM266"/>
      <c r="BN266" s="257"/>
      <c r="BO266" s="257"/>
      <c r="BP266" s="257"/>
    </row>
    <row r="267" spans="27:68" x14ac:dyDescent="0.45">
      <c r="AA267" s="257"/>
      <c r="AB267" s="257"/>
      <c r="AC267" s="257"/>
      <c r="AD267" s="257"/>
      <c r="AE267" s="257"/>
      <c r="AF267" s="257"/>
      <c r="AG267" s="257"/>
      <c r="AH267" s="257"/>
      <c r="AI267" s="257"/>
      <c r="AJ267" s="258"/>
      <c r="AK267" s="257"/>
      <c r="AL267" s="257"/>
      <c r="AM267" s="257"/>
      <c r="AN267" s="257"/>
      <c r="AO267" s="257"/>
      <c r="AP267" s="257"/>
      <c r="AQ267" s="257"/>
      <c r="AR267" s="257"/>
      <c r="AS267" s="257"/>
      <c r="AT267" s="257"/>
      <c r="AU267" s="257"/>
      <c r="AV267" s="258"/>
      <c r="AW267" s="258"/>
      <c r="AX267" s="258"/>
      <c r="AY267" s="258"/>
      <c r="AZ267" s="257"/>
      <c r="BA267" s="257"/>
      <c r="BB267" s="257"/>
      <c r="BC267" s="257"/>
      <c r="BD267" s="257"/>
      <c r="BE267" s="257"/>
      <c r="BF267" s="257"/>
      <c r="BG267" s="264"/>
      <c r="BH267" s="257"/>
      <c r="BI267" s="257"/>
      <c r="BJ267" s="257"/>
      <c r="BK267" s="257"/>
      <c r="BL267" s="257"/>
      <c r="BM267"/>
      <c r="BN267" s="257"/>
      <c r="BO267" s="257"/>
      <c r="BP267" s="257"/>
    </row>
    <row r="268" spans="27:68" x14ac:dyDescent="0.45">
      <c r="AA268" s="257"/>
      <c r="AB268" s="257"/>
      <c r="AC268" s="257"/>
      <c r="AD268" s="257"/>
      <c r="AE268" s="257"/>
      <c r="AF268" s="257"/>
      <c r="AG268" s="257"/>
      <c r="AH268" s="257"/>
      <c r="AI268" s="257"/>
      <c r="AJ268" s="258"/>
      <c r="AK268" s="257"/>
      <c r="AL268" s="257"/>
      <c r="AM268" s="257"/>
      <c r="AN268" s="257"/>
      <c r="AO268" s="257"/>
      <c r="AP268" s="257"/>
      <c r="AQ268" s="257"/>
      <c r="AR268" s="257"/>
      <c r="AS268" s="257"/>
      <c r="AT268" s="257"/>
      <c r="AU268" s="257"/>
      <c r="AV268" s="258"/>
      <c r="AW268" s="258"/>
      <c r="AX268" s="258"/>
      <c r="AY268" s="258"/>
      <c r="AZ268" s="257"/>
      <c r="BA268" s="257"/>
      <c r="BB268" s="257"/>
      <c r="BC268" s="257"/>
      <c r="BD268" s="257"/>
      <c r="BE268" s="257"/>
      <c r="BF268" s="257"/>
      <c r="BG268" s="264"/>
      <c r="BH268" s="257"/>
      <c r="BI268" s="257"/>
      <c r="BJ268" s="257"/>
      <c r="BK268" s="257"/>
      <c r="BL268" s="257"/>
      <c r="BM268"/>
      <c r="BN268" s="257"/>
      <c r="BO268" s="257"/>
      <c r="BP268" s="257"/>
    </row>
    <row r="269" spans="27:68" x14ac:dyDescent="0.45">
      <c r="AA269" s="257"/>
      <c r="AB269" s="257"/>
      <c r="AC269" s="257"/>
      <c r="AD269" s="257"/>
      <c r="AE269" s="257"/>
      <c r="AF269" s="257"/>
      <c r="AG269" s="257"/>
      <c r="AH269" s="257"/>
      <c r="AI269" s="257"/>
      <c r="AJ269" s="258"/>
      <c r="AK269" s="257"/>
      <c r="AL269" s="257"/>
      <c r="AM269" s="257"/>
      <c r="AN269" s="257"/>
      <c r="AO269" s="257"/>
      <c r="AP269" s="257"/>
      <c r="AQ269" s="257"/>
      <c r="AR269" s="257"/>
      <c r="AS269" s="257"/>
      <c r="AT269" s="257"/>
      <c r="AU269" s="257"/>
      <c r="AV269" s="258"/>
      <c r="AW269" s="258"/>
      <c r="AX269" s="258"/>
      <c r="AY269" s="258"/>
      <c r="AZ269" s="257"/>
      <c r="BA269" s="257"/>
      <c r="BB269" s="257"/>
      <c r="BC269" s="257"/>
      <c r="BD269" s="257"/>
      <c r="BE269" s="257"/>
      <c r="BF269" s="257"/>
      <c r="BG269" s="264"/>
      <c r="BH269" s="257"/>
      <c r="BI269" s="257"/>
      <c r="BJ269" s="257"/>
      <c r="BK269" s="257"/>
      <c r="BL269" s="257"/>
      <c r="BM269"/>
      <c r="BN269" s="257"/>
      <c r="BO269" s="257"/>
      <c r="BP269" s="257"/>
    </row>
    <row r="270" spans="27:68" x14ac:dyDescent="0.45">
      <c r="AA270" s="257"/>
      <c r="AB270" s="257"/>
      <c r="AC270" s="257"/>
      <c r="AD270" s="257"/>
      <c r="AE270" s="257"/>
      <c r="AF270" s="257"/>
      <c r="AG270" s="257"/>
      <c r="AH270" s="257"/>
      <c r="AI270" s="257"/>
      <c r="AJ270" s="258"/>
      <c r="AK270" s="257"/>
      <c r="AL270" s="257"/>
      <c r="AM270" s="257"/>
      <c r="AN270" s="257"/>
      <c r="AO270" s="257"/>
      <c r="AP270" s="257"/>
      <c r="AQ270" s="257"/>
      <c r="AR270" s="257"/>
      <c r="AS270" s="257"/>
      <c r="AT270" s="257"/>
      <c r="AU270" s="257"/>
      <c r="AV270" s="258"/>
      <c r="AW270" s="258"/>
      <c r="AX270" s="258"/>
      <c r="AY270" s="258"/>
      <c r="AZ270" s="257"/>
      <c r="BA270" s="257"/>
      <c r="BB270" s="257"/>
      <c r="BC270" s="257"/>
      <c r="BD270" s="257"/>
      <c r="BE270" s="257"/>
      <c r="BF270" s="257"/>
      <c r="BG270" s="264"/>
      <c r="BH270" s="257"/>
      <c r="BI270" s="257"/>
      <c r="BJ270" s="257"/>
      <c r="BK270" s="257"/>
      <c r="BL270" s="257"/>
      <c r="BM270"/>
      <c r="BN270" s="257"/>
      <c r="BO270" s="257"/>
      <c r="BP270" s="257"/>
    </row>
    <row r="271" spans="27:68" x14ac:dyDescent="0.45">
      <c r="AA271" s="257"/>
      <c r="AB271" s="257"/>
      <c r="AC271" s="257"/>
      <c r="AD271" s="257"/>
      <c r="AE271" s="257"/>
      <c r="AF271" s="257"/>
      <c r="AG271" s="257"/>
      <c r="AH271" s="257"/>
      <c r="AI271" s="257"/>
      <c r="AJ271" s="258"/>
      <c r="AK271" s="257"/>
      <c r="AL271" s="257"/>
      <c r="AM271" s="257"/>
      <c r="AN271" s="257"/>
      <c r="AO271" s="257"/>
      <c r="AP271" s="257"/>
      <c r="AQ271" s="257"/>
      <c r="AR271" s="257"/>
      <c r="AS271" s="257"/>
      <c r="AT271" s="257"/>
      <c r="AU271" s="257"/>
      <c r="AV271" s="258"/>
      <c r="AW271" s="258"/>
      <c r="AX271" s="258"/>
      <c r="AY271" s="258"/>
      <c r="AZ271" s="257"/>
      <c r="BA271" s="257"/>
      <c r="BB271" s="257"/>
      <c r="BC271" s="257"/>
      <c r="BD271" s="257"/>
      <c r="BE271" s="257"/>
      <c r="BF271" s="257"/>
      <c r="BG271" s="264"/>
      <c r="BH271" s="257"/>
      <c r="BI271" s="257"/>
      <c r="BJ271" s="257"/>
      <c r="BK271" s="257"/>
      <c r="BL271" s="257"/>
      <c r="BM271"/>
      <c r="BN271" s="257"/>
      <c r="BO271" s="257"/>
      <c r="BP271" s="257"/>
    </row>
    <row r="272" spans="27:68" x14ac:dyDescent="0.45">
      <c r="AA272" s="257"/>
      <c r="AB272" s="257"/>
      <c r="AC272" s="257"/>
      <c r="AD272" s="257"/>
      <c r="AE272" s="257"/>
      <c r="AF272" s="257"/>
      <c r="AG272" s="257"/>
      <c r="AH272" s="257"/>
      <c r="AI272" s="257"/>
      <c r="AJ272" s="258"/>
      <c r="AK272" s="257"/>
      <c r="AL272" s="257"/>
      <c r="AM272" s="257"/>
      <c r="AN272" s="257"/>
      <c r="AO272" s="257"/>
      <c r="AP272" s="257"/>
      <c r="AQ272" s="257"/>
      <c r="AR272" s="257"/>
      <c r="AS272" s="257"/>
      <c r="AT272" s="257"/>
      <c r="AU272" s="257"/>
      <c r="AV272" s="258"/>
      <c r="AW272" s="258"/>
      <c r="AX272" s="258"/>
      <c r="AY272" s="258"/>
      <c r="AZ272" s="257"/>
      <c r="BA272" s="257"/>
      <c r="BB272" s="257"/>
      <c r="BC272" s="257"/>
      <c r="BD272" s="257"/>
      <c r="BE272" s="257"/>
      <c r="BF272" s="257"/>
      <c r="BG272" s="264"/>
      <c r="BH272" s="257"/>
      <c r="BI272" s="257"/>
      <c r="BJ272" s="257"/>
      <c r="BK272" s="257"/>
      <c r="BL272" s="257"/>
      <c r="BM272"/>
      <c r="BN272" s="257"/>
      <c r="BO272" s="257"/>
      <c r="BP272" s="257"/>
    </row>
    <row r="273" spans="27:68" x14ac:dyDescent="0.45">
      <c r="AA273" s="257"/>
      <c r="AB273" s="257"/>
      <c r="AC273" s="257"/>
      <c r="AD273" s="257"/>
      <c r="AE273" s="257"/>
      <c r="AF273" s="257"/>
      <c r="AG273" s="257"/>
      <c r="AH273" s="257"/>
      <c r="AI273" s="257"/>
      <c r="AJ273" s="258"/>
      <c r="AK273" s="257"/>
      <c r="AL273" s="257"/>
      <c r="AM273" s="257"/>
      <c r="AN273" s="257"/>
      <c r="AO273" s="257"/>
      <c r="AP273" s="257"/>
      <c r="AQ273" s="257"/>
      <c r="AR273" s="257"/>
      <c r="AS273" s="257"/>
      <c r="AT273" s="257"/>
      <c r="AU273" s="257"/>
      <c r="AV273" s="258"/>
      <c r="AW273" s="258"/>
      <c r="AX273" s="258"/>
      <c r="AY273" s="258"/>
      <c r="AZ273" s="257"/>
      <c r="BA273" s="257"/>
      <c r="BB273" s="257"/>
      <c r="BC273" s="257"/>
      <c r="BD273" s="257"/>
      <c r="BE273" s="257"/>
      <c r="BF273" s="257"/>
      <c r="BG273" s="264"/>
      <c r="BH273" s="257"/>
      <c r="BI273" s="257"/>
      <c r="BJ273" s="257"/>
      <c r="BK273" s="257"/>
      <c r="BL273" s="257"/>
      <c r="BM273"/>
      <c r="BN273" s="257"/>
      <c r="BO273" s="257"/>
      <c r="BP273" s="257"/>
    </row>
    <row r="274" spans="27:68" x14ac:dyDescent="0.45">
      <c r="AA274" s="257"/>
      <c r="AB274" s="257"/>
      <c r="AC274" s="257"/>
      <c r="AD274" s="257"/>
      <c r="AE274" s="257"/>
      <c r="AF274" s="257"/>
      <c r="AG274" s="257"/>
      <c r="AH274" s="257"/>
      <c r="AI274" s="257"/>
      <c r="AJ274" s="258"/>
      <c r="AK274" s="257"/>
      <c r="AL274" s="257"/>
      <c r="AM274" s="257"/>
      <c r="AN274" s="257"/>
      <c r="AO274" s="257"/>
      <c r="AP274" s="257"/>
      <c r="AQ274" s="257"/>
      <c r="AR274" s="257"/>
      <c r="AS274" s="257"/>
      <c r="AT274" s="257"/>
      <c r="AU274" s="257"/>
      <c r="AV274" s="258"/>
      <c r="AW274" s="258"/>
      <c r="AX274" s="258"/>
      <c r="AY274" s="258"/>
      <c r="AZ274" s="257"/>
      <c r="BA274" s="257"/>
      <c r="BB274" s="257"/>
      <c r="BC274" s="257"/>
      <c r="BD274" s="257"/>
      <c r="BE274" s="257"/>
      <c r="BF274" s="257"/>
      <c r="BG274" s="264"/>
      <c r="BH274" s="257"/>
      <c r="BI274" s="257"/>
      <c r="BJ274" s="257"/>
      <c r="BK274" s="257"/>
      <c r="BL274" s="257"/>
      <c r="BM274"/>
      <c r="BN274" s="257"/>
      <c r="BO274" s="257"/>
      <c r="BP274" s="257"/>
    </row>
    <row r="275" spans="27:68" x14ac:dyDescent="0.45">
      <c r="AA275" s="257"/>
      <c r="AB275" s="257"/>
      <c r="AC275" s="257"/>
      <c r="AD275" s="257"/>
      <c r="AE275" s="257"/>
      <c r="AF275" s="257"/>
      <c r="AG275" s="257"/>
      <c r="AH275" s="257"/>
      <c r="AI275" s="257"/>
      <c r="AJ275" s="258"/>
      <c r="AK275" s="257"/>
      <c r="AL275" s="257"/>
      <c r="AM275" s="257"/>
      <c r="AN275" s="257"/>
      <c r="AO275" s="257"/>
      <c r="AP275" s="257"/>
      <c r="AQ275" s="257"/>
      <c r="AR275" s="257"/>
      <c r="AS275" s="257"/>
      <c r="AT275" s="257"/>
      <c r="AU275" s="257"/>
      <c r="AV275" s="258"/>
      <c r="AW275" s="258"/>
      <c r="AX275" s="258"/>
      <c r="AY275" s="258"/>
      <c r="AZ275" s="257"/>
      <c r="BA275" s="257"/>
      <c r="BB275" s="257"/>
      <c r="BC275" s="257"/>
      <c r="BD275" s="257"/>
      <c r="BE275" s="257"/>
      <c r="BF275" s="257"/>
      <c r="BG275" s="264"/>
      <c r="BH275" s="257"/>
      <c r="BI275" s="257"/>
      <c r="BJ275" s="257"/>
      <c r="BK275" s="257"/>
      <c r="BL275" s="257"/>
      <c r="BM275"/>
      <c r="BN275" s="257"/>
      <c r="BO275" s="257"/>
      <c r="BP275" s="257"/>
    </row>
    <row r="276" spans="27:68" x14ac:dyDescent="0.45">
      <c r="AA276" s="257"/>
      <c r="AB276" s="257"/>
      <c r="AC276" s="257"/>
      <c r="AD276" s="257"/>
      <c r="AE276" s="257"/>
      <c r="AF276" s="257"/>
      <c r="AG276" s="257"/>
      <c r="AH276" s="257"/>
      <c r="AI276" s="257"/>
      <c r="AJ276" s="258"/>
      <c r="AK276" s="257"/>
      <c r="AL276" s="257"/>
      <c r="AM276" s="257"/>
      <c r="AN276" s="257"/>
      <c r="AO276" s="257"/>
      <c r="AP276" s="257"/>
      <c r="AQ276" s="257"/>
      <c r="AR276" s="257"/>
      <c r="AS276" s="257"/>
      <c r="AT276" s="257"/>
      <c r="AU276" s="257"/>
      <c r="AV276" s="258"/>
      <c r="AW276" s="258"/>
      <c r="AX276" s="258"/>
      <c r="AY276" s="258"/>
      <c r="AZ276" s="257"/>
      <c r="BA276" s="257"/>
      <c r="BB276" s="257"/>
      <c r="BC276" s="257"/>
      <c r="BD276" s="257"/>
      <c r="BE276" s="257"/>
      <c r="BF276" s="257"/>
      <c r="BG276" s="264"/>
      <c r="BH276" s="257"/>
      <c r="BI276" s="257"/>
      <c r="BJ276" s="257"/>
      <c r="BK276" s="257"/>
      <c r="BL276" s="257"/>
      <c r="BM276"/>
      <c r="BN276" s="257"/>
      <c r="BO276" s="257"/>
      <c r="BP276" s="257"/>
    </row>
    <row r="277" spans="27:68" x14ac:dyDescent="0.45">
      <c r="AA277" s="257"/>
      <c r="AB277" s="257"/>
      <c r="AC277" s="257"/>
      <c r="AD277" s="257"/>
      <c r="AE277" s="257"/>
      <c r="AF277" s="257"/>
      <c r="AG277" s="257"/>
      <c r="AH277" s="257"/>
      <c r="AI277" s="257"/>
      <c r="AJ277" s="258"/>
      <c r="AK277" s="257"/>
      <c r="AL277" s="257"/>
      <c r="AM277" s="257"/>
      <c r="AN277" s="257"/>
      <c r="AO277" s="257"/>
      <c r="AP277" s="257"/>
      <c r="AQ277" s="257"/>
      <c r="AR277" s="257"/>
      <c r="AS277" s="257"/>
      <c r="AT277" s="257"/>
      <c r="AU277" s="257"/>
      <c r="AV277" s="258"/>
      <c r="AW277" s="258"/>
      <c r="AX277" s="258"/>
      <c r="AY277" s="258"/>
      <c r="AZ277" s="257"/>
      <c r="BA277" s="257"/>
      <c r="BB277" s="257"/>
      <c r="BC277" s="257"/>
      <c r="BD277" s="257"/>
      <c r="BE277" s="257"/>
      <c r="BF277" s="257"/>
      <c r="BG277" s="264"/>
      <c r="BH277" s="257"/>
      <c r="BI277" s="257"/>
      <c r="BJ277" s="257"/>
      <c r="BK277" s="257"/>
      <c r="BL277" s="257"/>
      <c r="BM277"/>
      <c r="BN277" s="257"/>
      <c r="BO277" s="257"/>
      <c r="BP277" s="257"/>
    </row>
    <row r="278" spans="27:68" x14ac:dyDescent="0.45">
      <c r="AA278" s="257"/>
      <c r="AB278" s="257"/>
      <c r="AC278" s="257"/>
      <c r="AD278" s="257"/>
      <c r="AE278" s="257"/>
      <c r="AF278" s="257"/>
      <c r="AG278" s="257"/>
      <c r="AH278" s="257"/>
      <c r="AI278" s="257"/>
      <c r="AJ278" s="258"/>
      <c r="AK278" s="257"/>
      <c r="AL278" s="257"/>
      <c r="AM278" s="257"/>
      <c r="AN278" s="257"/>
      <c r="AO278" s="257"/>
      <c r="AP278" s="257"/>
      <c r="AQ278" s="257"/>
      <c r="AR278" s="257"/>
      <c r="AS278" s="257"/>
      <c r="AT278" s="257"/>
      <c r="AU278" s="257"/>
      <c r="AV278" s="258"/>
      <c r="AW278" s="258"/>
      <c r="AX278" s="258"/>
      <c r="AY278" s="258"/>
      <c r="AZ278" s="257"/>
      <c r="BA278" s="257"/>
      <c r="BB278" s="257"/>
      <c r="BC278" s="257"/>
      <c r="BD278" s="257"/>
      <c r="BE278" s="257"/>
      <c r="BF278" s="257"/>
      <c r="BG278" s="264"/>
      <c r="BH278" s="257"/>
      <c r="BI278" s="257"/>
      <c r="BJ278" s="257"/>
      <c r="BK278" s="257"/>
      <c r="BL278" s="257"/>
      <c r="BM278"/>
      <c r="BN278" s="257"/>
      <c r="BO278" s="257"/>
      <c r="BP278" s="257"/>
    </row>
    <row r="279" spans="27:68" x14ac:dyDescent="0.45">
      <c r="AA279" s="257"/>
      <c r="AB279" s="257"/>
      <c r="AC279" s="257"/>
      <c r="AD279" s="257"/>
      <c r="AE279" s="257"/>
      <c r="AF279" s="257"/>
      <c r="AG279" s="257"/>
      <c r="AH279" s="257"/>
      <c r="AI279" s="257"/>
      <c r="AJ279" s="258"/>
      <c r="AK279" s="257"/>
      <c r="AL279" s="257"/>
      <c r="AM279" s="257"/>
      <c r="AN279" s="257"/>
      <c r="AO279" s="257"/>
      <c r="AP279" s="257"/>
      <c r="AQ279" s="257"/>
      <c r="AR279" s="257"/>
      <c r="AS279" s="257"/>
      <c r="AT279" s="257"/>
      <c r="AU279" s="257"/>
      <c r="AV279" s="258"/>
      <c r="AW279" s="258"/>
      <c r="AX279" s="258"/>
      <c r="AY279" s="258"/>
      <c r="AZ279" s="257"/>
      <c r="BA279" s="257"/>
      <c r="BB279" s="257"/>
      <c r="BC279" s="257"/>
      <c r="BD279" s="257"/>
      <c r="BE279" s="257"/>
      <c r="BF279" s="257"/>
      <c r="BG279" s="264"/>
      <c r="BH279" s="257"/>
      <c r="BI279" s="257"/>
      <c r="BJ279" s="257"/>
      <c r="BK279" s="257"/>
      <c r="BL279" s="257"/>
      <c r="BM279"/>
      <c r="BN279" s="257"/>
      <c r="BO279" s="257"/>
      <c r="BP279" s="257"/>
    </row>
    <row r="280" spans="27:68" x14ac:dyDescent="0.45">
      <c r="AA280" s="257"/>
      <c r="AB280" s="257"/>
      <c r="AC280" s="257"/>
      <c r="AD280" s="257"/>
      <c r="AE280" s="257"/>
      <c r="AF280" s="257"/>
      <c r="AG280" s="257"/>
      <c r="AH280" s="257"/>
      <c r="AI280" s="257"/>
      <c r="AJ280" s="258"/>
      <c r="AK280" s="257"/>
      <c r="AL280" s="257"/>
      <c r="AM280" s="257"/>
      <c r="AN280" s="257"/>
      <c r="AO280" s="257"/>
      <c r="AP280" s="257"/>
      <c r="AQ280" s="257"/>
      <c r="AR280" s="257"/>
      <c r="AS280" s="257"/>
      <c r="AT280" s="257"/>
      <c r="AU280" s="257"/>
      <c r="AV280" s="258"/>
      <c r="AW280" s="258"/>
      <c r="AX280" s="258"/>
      <c r="AY280" s="258"/>
      <c r="AZ280" s="257"/>
      <c r="BA280" s="257"/>
      <c r="BB280" s="257"/>
      <c r="BC280" s="257"/>
      <c r="BD280" s="257"/>
      <c r="BE280" s="257"/>
      <c r="BF280" s="257"/>
      <c r="BG280" s="264"/>
      <c r="BH280" s="257"/>
      <c r="BI280" s="257"/>
      <c r="BJ280" s="257"/>
      <c r="BK280" s="257"/>
      <c r="BL280" s="257"/>
      <c r="BM280"/>
      <c r="BN280" s="257"/>
      <c r="BO280" s="257"/>
      <c r="BP280" s="257"/>
    </row>
    <row r="281" spans="27:68" x14ac:dyDescent="0.45">
      <c r="AA281" s="257"/>
      <c r="AB281" s="257"/>
      <c r="AC281" s="257"/>
      <c r="AD281" s="257"/>
      <c r="AE281" s="257"/>
      <c r="AF281" s="257"/>
      <c r="AG281" s="257"/>
      <c r="AH281" s="257"/>
      <c r="AI281" s="257"/>
      <c r="AJ281" s="258"/>
      <c r="AK281" s="257"/>
      <c r="AL281" s="257"/>
      <c r="AM281" s="257"/>
      <c r="AN281" s="257"/>
      <c r="AO281" s="257"/>
      <c r="AP281" s="257"/>
      <c r="AQ281" s="257"/>
      <c r="AR281" s="257"/>
      <c r="AS281" s="257"/>
      <c r="AT281" s="257"/>
      <c r="AU281" s="257"/>
      <c r="AV281" s="258"/>
      <c r="AW281" s="258"/>
      <c r="AX281" s="258"/>
      <c r="AY281" s="258"/>
      <c r="AZ281" s="257"/>
      <c r="BA281" s="257"/>
      <c r="BB281" s="257"/>
      <c r="BC281" s="257"/>
      <c r="BD281" s="257"/>
      <c r="BE281" s="257"/>
      <c r="BF281" s="257"/>
      <c r="BG281" s="264"/>
      <c r="BH281" s="257"/>
      <c r="BI281" s="257"/>
      <c r="BJ281" s="257"/>
      <c r="BK281" s="257"/>
      <c r="BL281" s="257"/>
      <c r="BM281"/>
      <c r="BN281" s="257"/>
      <c r="BO281" s="257"/>
      <c r="BP281" s="257"/>
    </row>
    <row r="282" spans="27:68" x14ac:dyDescent="0.45">
      <c r="AA282" s="257"/>
      <c r="AB282" s="257"/>
      <c r="AC282" s="257"/>
      <c r="AD282" s="257"/>
      <c r="AE282" s="257"/>
      <c r="AF282" s="257"/>
      <c r="AG282" s="257"/>
      <c r="AH282" s="257"/>
      <c r="AI282" s="257"/>
      <c r="AJ282" s="258"/>
      <c r="AK282" s="257"/>
      <c r="AL282" s="257"/>
      <c r="AM282" s="257"/>
      <c r="AN282" s="257"/>
      <c r="AO282" s="257"/>
      <c r="AP282" s="257"/>
      <c r="AQ282" s="257"/>
      <c r="AR282" s="257"/>
      <c r="AS282" s="257"/>
      <c r="AT282" s="257"/>
      <c r="AU282" s="257"/>
      <c r="AV282" s="258"/>
      <c r="AW282" s="258"/>
      <c r="AX282" s="258"/>
      <c r="AY282" s="258"/>
      <c r="AZ282" s="257"/>
    </row>
    <row r="283" spans="27:68" x14ac:dyDescent="0.45">
      <c r="AA283" s="257"/>
      <c r="AB283" s="257"/>
      <c r="AC283" s="257"/>
      <c r="AD283" s="257"/>
      <c r="AE283" s="257"/>
      <c r="AF283" s="257"/>
      <c r="AG283" s="257"/>
      <c r="AH283" s="257"/>
      <c r="AI283" s="257"/>
      <c r="AJ283" s="258"/>
      <c r="AK283" s="257"/>
      <c r="AL283" s="257"/>
      <c r="AM283" s="257"/>
      <c r="AN283" s="257"/>
      <c r="AO283" s="257"/>
      <c r="AP283" s="257"/>
      <c r="AQ283" s="257"/>
      <c r="AR283" s="257"/>
      <c r="AS283" s="257"/>
      <c r="AT283" s="257"/>
      <c r="AU283" s="257"/>
      <c r="AV283" s="258"/>
      <c r="AW283" s="258"/>
      <c r="AX283" s="258"/>
      <c r="AY283" s="258"/>
      <c r="AZ283" s="257"/>
    </row>
    <row r="284" spans="27:68" x14ac:dyDescent="0.45">
      <c r="AA284" s="257"/>
      <c r="AB284" s="257"/>
      <c r="AC284" s="257"/>
      <c r="AD284" s="257"/>
      <c r="AE284" s="257"/>
      <c r="AF284" s="257"/>
      <c r="AG284" s="257"/>
      <c r="AH284" s="257"/>
      <c r="AI284" s="257"/>
      <c r="AJ284" s="258"/>
      <c r="AK284" s="257"/>
      <c r="AL284" s="257"/>
      <c r="AM284" s="257"/>
      <c r="AN284" s="257"/>
      <c r="AO284" s="257"/>
      <c r="AP284" s="257"/>
      <c r="AQ284" s="257"/>
      <c r="AR284" s="257"/>
      <c r="AS284" s="257"/>
      <c r="AT284" s="257"/>
      <c r="AU284" s="257"/>
      <c r="AV284" s="258"/>
      <c r="AW284" s="258"/>
      <c r="AX284" s="258"/>
      <c r="AY284" s="258"/>
      <c r="AZ284" s="257"/>
    </row>
    <row r="285" spans="27:68" x14ac:dyDescent="0.45">
      <c r="AA285" s="257"/>
      <c r="AB285" s="257"/>
      <c r="AC285" s="257"/>
      <c r="AD285" s="257"/>
      <c r="AE285" s="257"/>
      <c r="AF285" s="257"/>
      <c r="AG285" s="257"/>
      <c r="AH285" s="257"/>
      <c r="AI285" s="257"/>
      <c r="AJ285" s="258"/>
      <c r="AK285" s="257"/>
      <c r="AL285" s="257"/>
      <c r="AM285" s="257"/>
      <c r="AN285" s="257"/>
      <c r="AO285" s="257"/>
      <c r="AP285" s="257"/>
      <c r="AQ285" s="257"/>
      <c r="AR285" s="257"/>
      <c r="AS285" s="257"/>
      <c r="AT285" s="257"/>
      <c r="AU285" s="257"/>
      <c r="AV285" s="258"/>
      <c r="AW285" s="258"/>
      <c r="AX285" s="258"/>
      <c r="AY285" s="258"/>
      <c r="AZ285" s="257"/>
    </row>
    <row r="286" spans="27:68" x14ac:dyDescent="0.45">
      <c r="AA286" s="257"/>
      <c r="AB286" s="257"/>
      <c r="AC286" s="257"/>
      <c r="AD286" s="257"/>
      <c r="AE286" s="257"/>
      <c r="AF286" s="257"/>
      <c r="AG286" s="257"/>
      <c r="AH286" s="257"/>
      <c r="AI286" s="257"/>
      <c r="AJ286" s="258"/>
      <c r="AK286" s="257"/>
      <c r="AL286" s="257"/>
      <c r="AM286" s="257"/>
      <c r="AN286" s="257"/>
      <c r="AO286" s="257"/>
      <c r="AP286" s="257"/>
      <c r="AQ286" s="257"/>
      <c r="AR286" s="257"/>
      <c r="AS286" s="257"/>
      <c r="AT286" s="257"/>
      <c r="AU286" s="257"/>
      <c r="AV286" s="258"/>
      <c r="AW286" s="258"/>
      <c r="AX286" s="258"/>
      <c r="AY286" s="258"/>
      <c r="AZ286" s="257"/>
    </row>
    <row r="287" spans="27:68" x14ac:dyDescent="0.45">
      <c r="AA287" s="257"/>
      <c r="AB287" s="257"/>
      <c r="AC287" s="257"/>
      <c r="AD287" s="257"/>
      <c r="AE287" s="257"/>
      <c r="AF287" s="257"/>
      <c r="AG287" s="257"/>
      <c r="AH287" s="257"/>
      <c r="AI287" s="257"/>
      <c r="AJ287" s="258"/>
      <c r="AK287" s="257"/>
      <c r="AL287" s="257"/>
      <c r="AM287" s="257"/>
      <c r="AN287" s="257"/>
      <c r="AO287" s="257"/>
      <c r="AP287" s="257"/>
      <c r="AQ287" s="257"/>
      <c r="AR287" s="257"/>
      <c r="AS287" s="257"/>
      <c r="AT287" s="257"/>
      <c r="AU287" s="257"/>
      <c r="AV287" s="258"/>
      <c r="AW287" s="258"/>
      <c r="AX287" s="258"/>
      <c r="AY287" s="258"/>
      <c r="AZ287" s="257"/>
    </row>
    <row r="288" spans="27:68" x14ac:dyDescent="0.45">
      <c r="AA288" s="257"/>
      <c r="AB288" s="257"/>
      <c r="AC288" s="257"/>
      <c r="AD288" s="257"/>
      <c r="AE288" s="257"/>
      <c r="AF288" s="257"/>
      <c r="AG288" s="257"/>
      <c r="AH288" s="257"/>
      <c r="AI288" s="257"/>
      <c r="AJ288" s="258"/>
      <c r="AK288" s="257"/>
      <c r="AL288" s="257"/>
      <c r="AM288" s="257"/>
      <c r="AN288" s="257"/>
      <c r="AO288" s="257"/>
      <c r="AP288" s="257"/>
      <c r="AQ288" s="257"/>
      <c r="AR288" s="257"/>
      <c r="AS288" s="257"/>
      <c r="AT288" s="257"/>
      <c r="AU288" s="257"/>
      <c r="AV288" s="258"/>
      <c r="AW288" s="258"/>
      <c r="AX288" s="258"/>
      <c r="AY288" s="258"/>
      <c r="AZ288" s="257"/>
    </row>
    <row r="289" spans="27:52" x14ac:dyDescent="0.45">
      <c r="AA289" s="257"/>
      <c r="AB289" s="257"/>
      <c r="AC289" s="257"/>
      <c r="AD289" s="257"/>
      <c r="AE289" s="257"/>
      <c r="AF289" s="257"/>
      <c r="AG289" s="257"/>
      <c r="AH289" s="257"/>
      <c r="AI289" s="257"/>
      <c r="AJ289" s="258"/>
      <c r="AK289" s="257"/>
      <c r="AL289" s="257"/>
      <c r="AM289" s="257"/>
      <c r="AN289" s="257"/>
      <c r="AO289" s="257"/>
      <c r="AP289" s="257"/>
      <c r="AQ289" s="257"/>
      <c r="AR289" s="257"/>
      <c r="AS289" s="257"/>
      <c r="AT289" s="257"/>
      <c r="AU289" s="257"/>
      <c r="AV289" s="258"/>
      <c r="AW289" s="258"/>
      <c r="AX289" s="258"/>
      <c r="AY289" s="258"/>
      <c r="AZ289" s="257"/>
    </row>
    <row r="290" spans="27:52" x14ac:dyDescent="0.45">
      <c r="AA290" s="257"/>
      <c r="AB290" s="257"/>
      <c r="AC290" s="257"/>
      <c r="AD290" s="257"/>
      <c r="AE290" s="257"/>
      <c r="AF290" s="257"/>
      <c r="AG290" s="257"/>
      <c r="AH290" s="257"/>
      <c r="AI290" s="257"/>
      <c r="AJ290" s="258"/>
      <c r="AK290" s="257"/>
      <c r="AL290" s="257"/>
      <c r="AM290" s="257"/>
      <c r="AN290" s="257"/>
      <c r="AO290" s="257"/>
      <c r="AP290" s="257"/>
      <c r="AQ290" s="257"/>
      <c r="AR290" s="257"/>
      <c r="AS290" s="257"/>
      <c r="AT290" s="257"/>
      <c r="AU290" s="257"/>
      <c r="AV290" s="258"/>
      <c r="AW290" s="258"/>
      <c r="AX290" s="258"/>
      <c r="AY290" s="258"/>
      <c r="AZ290" s="257"/>
    </row>
    <row r="291" spans="27:52" x14ac:dyDescent="0.45">
      <c r="AA291" s="257"/>
      <c r="AB291" s="257"/>
      <c r="AC291" s="257"/>
      <c r="AD291" s="257"/>
      <c r="AE291" s="257"/>
      <c r="AF291" s="257"/>
      <c r="AG291" s="257"/>
      <c r="AH291" s="257"/>
      <c r="AI291" s="257"/>
      <c r="AJ291" s="258"/>
      <c r="AK291" s="257"/>
      <c r="AL291" s="257"/>
      <c r="AM291" s="257"/>
      <c r="AN291" s="257"/>
      <c r="AO291" s="257"/>
      <c r="AP291" s="257"/>
      <c r="AQ291" s="257"/>
      <c r="AR291" s="257"/>
      <c r="AS291" s="257"/>
      <c r="AT291" s="257"/>
      <c r="AU291" s="257"/>
      <c r="AV291" s="258"/>
      <c r="AW291" s="258"/>
      <c r="AX291" s="258"/>
      <c r="AY291" s="258"/>
      <c r="AZ291" s="257"/>
    </row>
    <row r="292" spans="27:52" x14ac:dyDescent="0.45">
      <c r="AA292" s="257"/>
      <c r="AB292" s="257"/>
      <c r="AC292" s="257"/>
      <c r="AD292" s="257"/>
      <c r="AE292" s="257"/>
      <c r="AF292" s="257"/>
      <c r="AG292" s="257"/>
      <c r="AH292" s="257"/>
      <c r="AI292" s="257"/>
      <c r="AJ292" s="258"/>
      <c r="AK292" s="257"/>
      <c r="AL292" s="257"/>
      <c r="AM292" s="257"/>
      <c r="AN292" s="257"/>
      <c r="AO292" s="257"/>
      <c r="AP292" s="257"/>
      <c r="AQ292" s="257"/>
      <c r="AR292" s="257"/>
      <c r="AS292" s="257"/>
      <c r="AT292" s="257"/>
      <c r="AU292" s="257"/>
      <c r="AV292" s="258"/>
      <c r="AW292" s="258"/>
      <c r="AX292" s="258"/>
      <c r="AY292" s="258"/>
      <c r="AZ292" s="257"/>
    </row>
    <row r="293" spans="27:52" x14ac:dyDescent="0.45">
      <c r="AA293" s="257"/>
      <c r="AB293" s="257"/>
      <c r="AC293" s="257"/>
      <c r="AD293" s="257"/>
      <c r="AE293" s="257"/>
      <c r="AF293" s="257"/>
      <c r="AG293" s="257"/>
      <c r="AH293" s="257"/>
      <c r="AI293" s="257"/>
      <c r="AJ293" s="258"/>
      <c r="AK293" s="257"/>
      <c r="AL293" s="257"/>
      <c r="AM293" s="257"/>
      <c r="AN293" s="257"/>
      <c r="AO293" s="257"/>
      <c r="AP293" s="257"/>
      <c r="AQ293" s="257"/>
      <c r="AR293" s="257"/>
      <c r="AS293" s="257"/>
      <c r="AT293" s="257"/>
      <c r="AU293" s="257"/>
      <c r="AV293" s="258"/>
      <c r="AW293" s="258"/>
      <c r="AX293" s="258"/>
      <c r="AY293" s="258"/>
      <c r="AZ293" s="257"/>
    </row>
    <row r="294" spans="27:52" x14ac:dyDescent="0.45">
      <c r="AA294" s="257"/>
      <c r="AB294" s="257"/>
      <c r="AC294" s="257"/>
      <c r="AD294" s="257"/>
      <c r="AE294" s="257"/>
      <c r="AF294" s="257"/>
      <c r="AG294" s="257"/>
      <c r="AH294" s="257"/>
      <c r="AI294" s="257"/>
      <c r="AJ294" s="258"/>
      <c r="AK294" s="257"/>
      <c r="AL294" s="257"/>
      <c r="AM294" s="257"/>
      <c r="AN294" s="257"/>
      <c r="AO294" s="257"/>
      <c r="AP294" s="257"/>
      <c r="AQ294" s="257"/>
      <c r="AR294" s="257"/>
      <c r="AS294" s="257"/>
      <c r="AT294" s="257"/>
      <c r="AU294" s="257"/>
      <c r="AV294" s="258"/>
      <c r="AW294" s="258"/>
      <c r="AX294" s="258"/>
      <c r="AY294" s="258"/>
      <c r="AZ294" s="257"/>
    </row>
    <row r="295" spans="27:52" x14ac:dyDescent="0.45">
      <c r="AA295" s="257"/>
      <c r="AB295" s="257"/>
      <c r="AC295" s="257"/>
      <c r="AD295" s="257"/>
      <c r="AE295" s="257"/>
      <c r="AF295" s="257"/>
      <c r="AG295" s="257"/>
      <c r="AH295" s="257"/>
      <c r="AI295" s="257"/>
      <c r="AJ295" s="258"/>
      <c r="AK295" s="257"/>
      <c r="AL295" s="257"/>
      <c r="AM295" s="257"/>
      <c r="AN295" s="257"/>
      <c r="AO295" s="257"/>
      <c r="AP295" s="257"/>
      <c r="AQ295" s="257"/>
      <c r="AR295" s="257"/>
      <c r="AS295" s="257"/>
      <c r="AT295" s="257"/>
      <c r="AU295" s="257"/>
      <c r="AV295" s="258"/>
      <c r="AW295" s="258"/>
      <c r="AX295" s="258"/>
      <c r="AY295" s="258"/>
      <c r="AZ295" s="257"/>
    </row>
    <row r="296" spans="27:52" x14ac:dyDescent="0.45">
      <c r="AA296" s="257"/>
      <c r="AB296" s="257"/>
      <c r="AC296" s="257"/>
      <c r="AD296" s="257"/>
      <c r="AE296" s="257"/>
      <c r="AF296" s="257"/>
      <c r="AG296" s="257"/>
      <c r="AH296" s="257"/>
      <c r="AI296" s="257"/>
      <c r="AJ296" s="258"/>
      <c r="AK296" s="257"/>
      <c r="AL296" s="257"/>
      <c r="AM296" s="257"/>
      <c r="AN296" s="257"/>
      <c r="AO296" s="257"/>
      <c r="AP296" s="257"/>
      <c r="AQ296" s="257"/>
      <c r="AR296" s="257"/>
      <c r="AS296" s="257"/>
      <c r="AT296" s="257"/>
      <c r="AU296" s="257"/>
      <c r="AV296" s="258"/>
      <c r="AW296" s="258"/>
      <c r="AX296" s="258"/>
      <c r="AY296" s="258"/>
      <c r="AZ296" s="257"/>
    </row>
    <row r="297" spans="27:52" x14ac:dyDescent="0.45">
      <c r="AA297" s="257"/>
      <c r="AB297" s="257"/>
      <c r="AC297" s="257"/>
      <c r="AD297" s="257"/>
      <c r="AE297" s="257"/>
      <c r="AF297" s="257"/>
      <c r="AG297" s="257"/>
      <c r="AH297" s="257"/>
      <c r="AI297" s="257"/>
      <c r="AJ297" s="258"/>
      <c r="AK297" s="257"/>
      <c r="AL297" s="257"/>
      <c r="AM297" s="257"/>
      <c r="AN297" s="257"/>
      <c r="AO297" s="257"/>
      <c r="AP297" s="257"/>
      <c r="AQ297" s="257"/>
      <c r="AR297" s="257"/>
      <c r="AS297" s="257"/>
      <c r="AT297" s="257"/>
      <c r="AU297" s="257"/>
      <c r="AV297" s="258"/>
      <c r="AW297" s="258"/>
      <c r="AX297" s="258"/>
      <c r="AY297" s="258"/>
      <c r="AZ297" s="257"/>
    </row>
    <row r="298" spans="27:52" x14ac:dyDescent="0.45">
      <c r="AA298" s="257"/>
      <c r="AB298" s="257"/>
      <c r="AC298" s="257"/>
      <c r="AD298" s="257"/>
      <c r="AE298" s="257"/>
      <c r="AF298" s="257"/>
      <c r="AG298" s="257"/>
      <c r="AH298" s="257"/>
      <c r="AI298" s="257"/>
      <c r="AJ298" s="258"/>
      <c r="AK298" s="257"/>
      <c r="AL298" s="257"/>
      <c r="AM298" s="257"/>
      <c r="AN298" s="257"/>
      <c r="AO298" s="257"/>
      <c r="AP298" s="257"/>
      <c r="AQ298" s="257"/>
      <c r="AR298" s="257"/>
      <c r="AS298" s="257"/>
      <c r="AT298" s="257"/>
      <c r="AU298" s="257"/>
      <c r="AV298" s="258"/>
      <c r="AW298" s="258"/>
      <c r="AX298" s="258"/>
      <c r="AY298" s="258"/>
      <c r="AZ298" s="257"/>
    </row>
    <row r="299" spans="27:52" x14ac:dyDescent="0.45">
      <c r="AA299" s="257"/>
      <c r="AB299" s="257"/>
      <c r="AC299" s="257"/>
      <c r="AD299" s="257"/>
      <c r="AE299" s="257"/>
      <c r="AF299" s="257"/>
      <c r="AG299" s="257"/>
      <c r="AH299" s="257"/>
      <c r="AI299" s="257"/>
      <c r="AJ299" s="258"/>
      <c r="AK299" s="257"/>
      <c r="AL299" s="257"/>
      <c r="AM299" s="257"/>
      <c r="AN299" s="257"/>
      <c r="AO299" s="257"/>
      <c r="AP299" s="257"/>
      <c r="AQ299" s="257"/>
      <c r="AR299" s="257"/>
      <c r="AS299" s="257"/>
      <c r="AT299" s="257"/>
      <c r="AU299" s="257"/>
      <c r="AV299" s="258"/>
      <c r="AW299" s="258"/>
      <c r="AX299" s="258"/>
      <c r="AY299" s="258"/>
      <c r="AZ299" s="257"/>
    </row>
    <row r="300" spans="27:52" x14ac:dyDescent="0.45">
      <c r="AA300" s="257"/>
      <c r="AB300" s="257"/>
      <c r="AC300" s="257"/>
      <c r="AD300" s="257"/>
      <c r="AE300" s="257"/>
      <c r="AF300" s="257"/>
      <c r="AG300" s="257"/>
      <c r="AH300" s="257"/>
      <c r="AI300" s="257"/>
      <c r="AJ300" s="258"/>
      <c r="AK300" s="257"/>
      <c r="AL300" s="257"/>
      <c r="AM300" s="257"/>
      <c r="AN300" s="257"/>
      <c r="AO300" s="257"/>
      <c r="AP300" s="257"/>
      <c r="AQ300" s="257"/>
      <c r="AR300" s="257"/>
      <c r="AS300" s="257"/>
      <c r="AT300" s="257"/>
      <c r="AU300" s="257"/>
      <c r="AV300" s="258"/>
      <c r="AW300" s="258"/>
      <c r="AX300" s="258"/>
      <c r="AY300" s="258"/>
      <c r="AZ300" s="257"/>
    </row>
    <row r="301" spans="27:52" x14ac:dyDescent="0.45">
      <c r="AA301" s="257"/>
      <c r="AB301" s="257"/>
      <c r="AC301" s="257"/>
      <c r="AD301" s="257"/>
      <c r="AE301" s="257"/>
      <c r="AF301" s="257"/>
      <c r="AG301" s="257"/>
      <c r="AH301" s="257"/>
      <c r="AI301" s="257"/>
      <c r="AJ301" s="258"/>
      <c r="AK301" s="257"/>
      <c r="AL301" s="257"/>
      <c r="AM301" s="257"/>
      <c r="AN301" s="257"/>
      <c r="AO301" s="257"/>
      <c r="AP301" s="257"/>
      <c r="AQ301" s="257"/>
      <c r="AR301" s="257"/>
      <c r="AS301" s="257"/>
      <c r="AT301" s="257"/>
      <c r="AU301" s="257"/>
      <c r="AV301" s="258"/>
      <c r="AW301" s="258"/>
      <c r="AX301" s="258"/>
      <c r="AY301" s="258"/>
      <c r="AZ301" s="257"/>
    </row>
    <row r="302" spans="27:52" x14ac:dyDescent="0.45">
      <c r="AA302" s="257"/>
      <c r="AB302" s="257"/>
      <c r="AC302" s="257"/>
      <c r="AD302" s="257"/>
      <c r="AE302" s="257"/>
      <c r="AF302" s="257"/>
      <c r="AG302" s="257"/>
      <c r="AH302" s="257"/>
      <c r="AI302" s="257"/>
      <c r="AJ302" s="258"/>
      <c r="AK302" s="257"/>
      <c r="AL302" s="257"/>
      <c r="AM302" s="257"/>
      <c r="AN302" s="257"/>
      <c r="AO302" s="257"/>
      <c r="AP302" s="257"/>
      <c r="AQ302" s="257"/>
      <c r="AR302" s="257"/>
      <c r="AS302" s="257"/>
      <c r="AT302" s="257"/>
      <c r="AU302" s="257"/>
      <c r="AV302" s="258"/>
      <c r="AW302" s="258"/>
      <c r="AX302" s="258"/>
      <c r="AY302" s="258"/>
      <c r="AZ302" s="257"/>
    </row>
    <row r="303" spans="27:52" x14ac:dyDescent="0.45">
      <c r="AA303" s="257"/>
      <c r="AB303" s="257"/>
      <c r="AC303" s="257"/>
      <c r="AD303" s="257"/>
      <c r="AE303" s="257"/>
      <c r="AF303" s="257"/>
      <c r="AG303" s="257"/>
      <c r="AH303" s="257"/>
      <c r="AI303" s="257"/>
      <c r="AJ303" s="258"/>
      <c r="AK303" s="257"/>
      <c r="AL303" s="257"/>
      <c r="AM303" s="257"/>
      <c r="AN303" s="257"/>
      <c r="AO303" s="257"/>
      <c r="AP303" s="257"/>
      <c r="AQ303" s="257"/>
      <c r="AR303" s="257"/>
      <c r="AS303" s="257"/>
      <c r="AT303" s="257"/>
      <c r="AU303" s="257"/>
      <c r="AV303" s="258"/>
      <c r="AW303" s="258"/>
      <c r="AX303" s="258"/>
      <c r="AY303" s="258"/>
      <c r="AZ303" s="257"/>
    </row>
    <row r="304" spans="27:52" x14ac:dyDescent="0.45">
      <c r="AA304" s="257"/>
      <c r="AB304" s="257"/>
      <c r="AC304" s="257"/>
      <c r="AD304" s="257"/>
      <c r="AE304" s="257"/>
      <c r="AF304" s="257"/>
      <c r="AG304" s="257"/>
      <c r="AH304" s="257"/>
      <c r="AI304" s="257"/>
      <c r="AJ304" s="258"/>
      <c r="AK304" s="257"/>
      <c r="AL304" s="257"/>
      <c r="AM304" s="257"/>
      <c r="AN304" s="257"/>
      <c r="AO304" s="257"/>
      <c r="AP304" s="257"/>
      <c r="AQ304" s="257"/>
      <c r="AR304" s="257"/>
      <c r="AS304" s="257"/>
      <c r="AT304" s="257"/>
      <c r="AU304" s="257"/>
      <c r="AV304" s="258"/>
      <c r="AW304" s="258"/>
      <c r="AX304" s="258"/>
      <c r="AY304" s="258"/>
      <c r="AZ304" s="257"/>
    </row>
    <row r="305" spans="27:52" x14ac:dyDescent="0.45">
      <c r="AA305" s="257"/>
      <c r="AB305" s="257"/>
      <c r="AC305" s="257"/>
      <c r="AD305" s="257"/>
      <c r="AE305" s="257"/>
      <c r="AF305" s="257"/>
      <c r="AG305" s="257"/>
      <c r="AH305" s="257"/>
      <c r="AI305" s="257"/>
      <c r="AJ305" s="258"/>
      <c r="AK305" s="257"/>
      <c r="AL305" s="257"/>
      <c r="AM305" s="257"/>
      <c r="AN305" s="257"/>
      <c r="AO305" s="257"/>
      <c r="AP305" s="257"/>
      <c r="AQ305" s="257"/>
      <c r="AR305" s="257"/>
      <c r="AS305" s="257"/>
      <c r="AT305" s="257"/>
      <c r="AU305" s="257"/>
      <c r="AV305" s="258"/>
      <c r="AW305" s="258"/>
      <c r="AX305" s="258"/>
      <c r="AY305" s="258"/>
      <c r="AZ305" s="257"/>
    </row>
    <row r="306" spans="27:52" x14ac:dyDescent="0.45">
      <c r="AA306" s="257"/>
      <c r="AB306" s="257"/>
      <c r="AC306" s="257"/>
      <c r="AD306" s="257"/>
      <c r="AE306" s="257"/>
      <c r="AF306" s="257"/>
      <c r="AG306" s="257"/>
      <c r="AH306" s="257"/>
      <c r="AI306" s="257"/>
      <c r="AJ306" s="258"/>
      <c r="AK306" s="257"/>
      <c r="AL306" s="257"/>
      <c r="AM306" s="257"/>
      <c r="AN306" s="257"/>
      <c r="AO306" s="257"/>
      <c r="AP306" s="257"/>
      <c r="AQ306" s="257"/>
      <c r="AR306" s="257"/>
      <c r="AS306" s="257"/>
      <c r="AT306" s="257"/>
      <c r="AU306" s="257"/>
      <c r="AV306" s="258"/>
      <c r="AW306" s="258"/>
      <c r="AX306" s="258"/>
      <c r="AY306" s="258"/>
      <c r="AZ306" s="257"/>
    </row>
    <row r="307" spans="27:52" x14ac:dyDescent="0.45">
      <c r="AA307" s="257"/>
      <c r="AB307" s="257"/>
      <c r="AC307" s="257"/>
      <c r="AD307" s="257"/>
      <c r="AE307" s="257"/>
      <c r="AF307" s="257"/>
      <c r="AG307" s="257"/>
      <c r="AH307" s="257"/>
      <c r="AI307" s="257"/>
      <c r="AJ307" s="258"/>
      <c r="AK307" s="257"/>
      <c r="AL307" s="257"/>
      <c r="AM307" s="257"/>
      <c r="AN307" s="257"/>
      <c r="AO307" s="257"/>
      <c r="AP307" s="257"/>
      <c r="AQ307" s="257"/>
      <c r="AR307" s="257"/>
      <c r="AS307" s="257"/>
      <c r="AT307" s="257"/>
      <c r="AU307" s="257"/>
      <c r="AV307" s="258"/>
      <c r="AW307" s="258"/>
      <c r="AX307" s="258"/>
      <c r="AY307" s="258"/>
      <c r="AZ307" s="257"/>
    </row>
    <row r="308" spans="27:52" x14ac:dyDescent="0.45">
      <c r="AA308" s="257"/>
      <c r="AB308" s="257"/>
      <c r="AC308" s="257"/>
      <c r="AD308" s="257"/>
      <c r="AE308" s="257"/>
      <c r="AF308" s="257"/>
      <c r="AG308" s="257"/>
      <c r="AH308" s="257"/>
      <c r="AI308" s="257"/>
      <c r="AJ308" s="258"/>
      <c r="AK308" s="257"/>
      <c r="AL308" s="257"/>
      <c r="AM308" s="257"/>
      <c r="AN308" s="257"/>
      <c r="AO308" s="257"/>
      <c r="AP308" s="257"/>
      <c r="AQ308" s="257"/>
      <c r="AR308" s="257"/>
      <c r="AS308" s="257"/>
      <c r="AT308" s="257"/>
      <c r="AU308" s="257"/>
      <c r="AV308" s="258"/>
      <c r="AW308" s="258"/>
      <c r="AX308" s="258"/>
      <c r="AY308" s="258"/>
      <c r="AZ308" s="257"/>
    </row>
    <row r="309" spans="27:52" x14ac:dyDescent="0.45">
      <c r="AA309" s="257"/>
      <c r="AB309" s="257"/>
      <c r="AC309" s="257"/>
      <c r="AD309" s="257"/>
      <c r="AE309" s="257"/>
      <c r="AF309" s="257"/>
      <c r="AG309" s="257"/>
      <c r="AH309" s="257"/>
      <c r="AI309" s="257"/>
      <c r="AJ309" s="258"/>
      <c r="AK309" s="257"/>
      <c r="AL309" s="257"/>
      <c r="AM309" s="257"/>
      <c r="AN309" s="257"/>
      <c r="AO309" s="257"/>
      <c r="AP309" s="257"/>
      <c r="AQ309" s="257"/>
      <c r="AR309" s="257"/>
      <c r="AS309" s="257"/>
      <c r="AT309" s="257"/>
      <c r="AU309" s="257"/>
      <c r="AV309" s="258"/>
      <c r="AW309" s="258"/>
      <c r="AX309" s="258"/>
      <c r="AY309" s="258"/>
      <c r="AZ309" s="257"/>
    </row>
    <row r="310" spans="27:52" x14ac:dyDescent="0.45">
      <c r="AA310" s="257"/>
      <c r="AB310" s="257"/>
      <c r="AC310" s="257"/>
      <c r="AD310" s="257"/>
      <c r="AE310" s="257"/>
      <c r="AF310" s="257"/>
      <c r="AG310" s="257"/>
      <c r="AH310" s="257"/>
      <c r="AI310" s="257"/>
      <c r="AJ310" s="258"/>
      <c r="AK310" s="257"/>
      <c r="AL310" s="257"/>
      <c r="AM310" s="257"/>
      <c r="AN310" s="257"/>
      <c r="AO310" s="257"/>
      <c r="AP310" s="257"/>
      <c r="AQ310" s="257"/>
      <c r="AR310" s="257"/>
      <c r="AS310" s="257"/>
      <c r="AT310" s="257"/>
      <c r="AU310" s="257"/>
      <c r="AV310" s="258"/>
      <c r="AW310" s="258"/>
      <c r="AX310" s="258"/>
      <c r="AY310" s="258"/>
      <c r="AZ310" s="257"/>
    </row>
    <row r="311" spans="27:52" x14ac:dyDescent="0.45">
      <c r="AA311" s="257"/>
      <c r="AB311" s="257"/>
      <c r="AC311" s="257"/>
      <c r="AD311" s="257"/>
      <c r="AE311" s="257"/>
      <c r="AF311" s="257"/>
      <c r="AG311" s="257"/>
      <c r="AH311" s="257"/>
      <c r="AI311" s="257"/>
      <c r="AJ311" s="258"/>
      <c r="AK311" s="257"/>
      <c r="AL311" s="257"/>
      <c r="AM311" s="257"/>
      <c r="AN311" s="257"/>
      <c r="AO311" s="257"/>
      <c r="AP311" s="257"/>
      <c r="AQ311" s="257"/>
      <c r="AR311" s="257"/>
      <c r="AS311" s="257"/>
      <c r="AT311" s="257"/>
      <c r="AU311" s="257"/>
      <c r="AV311" s="258"/>
      <c r="AW311" s="258"/>
      <c r="AX311" s="258"/>
      <c r="AY311" s="258"/>
      <c r="AZ311" s="257"/>
    </row>
    <row r="312" spans="27:52" x14ac:dyDescent="0.45">
      <c r="AA312" s="257"/>
      <c r="AB312" s="257"/>
      <c r="AC312" s="257"/>
      <c r="AD312" s="257"/>
      <c r="AE312" s="257"/>
      <c r="AF312" s="257"/>
      <c r="AG312" s="257"/>
      <c r="AH312" s="257"/>
      <c r="AI312" s="257"/>
      <c r="AJ312" s="258"/>
      <c r="AK312" s="257"/>
      <c r="AL312" s="257"/>
      <c r="AM312" s="257"/>
      <c r="AN312" s="257"/>
      <c r="AO312" s="257"/>
      <c r="AP312" s="257"/>
      <c r="AQ312" s="257"/>
      <c r="AR312" s="257"/>
      <c r="AS312" s="257"/>
      <c r="AT312" s="257"/>
      <c r="AU312" s="257"/>
      <c r="AV312" s="258"/>
      <c r="AW312" s="258"/>
      <c r="AX312" s="258"/>
      <c r="AY312" s="258"/>
      <c r="AZ312" s="257"/>
    </row>
    <row r="313" spans="27:52" x14ac:dyDescent="0.45">
      <c r="AA313" s="257"/>
      <c r="AB313" s="257"/>
      <c r="AC313" s="257"/>
      <c r="AD313" s="257"/>
      <c r="AE313" s="257"/>
      <c r="AF313" s="257"/>
      <c r="AG313" s="257"/>
      <c r="AH313" s="257"/>
      <c r="AI313" s="257"/>
      <c r="AJ313" s="258"/>
      <c r="AK313" s="257"/>
      <c r="AL313" s="257"/>
      <c r="AM313" s="257"/>
      <c r="AN313" s="257"/>
      <c r="AO313" s="257"/>
      <c r="AP313" s="257"/>
      <c r="AQ313" s="257"/>
      <c r="AR313" s="257"/>
      <c r="AS313" s="257"/>
      <c r="AT313" s="257"/>
      <c r="AU313" s="257"/>
      <c r="AV313" s="258"/>
      <c r="AW313" s="258"/>
      <c r="AX313" s="258"/>
      <c r="AY313" s="258"/>
      <c r="AZ313" s="257"/>
    </row>
    <row r="314" spans="27:52" x14ac:dyDescent="0.45">
      <c r="AA314" s="257"/>
      <c r="AB314" s="257"/>
      <c r="AC314" s="257"/>
      <c r="AD314" s="257"/>
      <c r="AE314" s="257"/>
      <c r="AF314" s="257"/>
      <c r="AG314" s="257"/>
      <c r="AH314" s="257"/>
      <c r="AI314" s="257"/>
      <c r="AJ314" s="258"/>
      <c r="AK314" s="257"/>
      <c r="AL314" s="257"/>
      <c r="AM314" s="257"/>
      <c r="AN314" s="257"/>
      <c r="AO314" s="257"/>
      <c r="AP314" s="257"/>
      <c r="AQ314" s="257"/>
      <c r="AR314" s="257"/>
      <c r="AS314" s="257"/>
      <c r="AT314" s="257"/>
      <c r="AU314" s="257"/>
      <c r="AV314" s="258"/>
      <c r="AW314" s="258"/>
      <c r="AX314" s="258"/>
      <c r="AY314" s="258"/>
      <c r="AZ314" s="257"/>
    </row>
    <row r="315" spans="27:52" x14ac:dyDescent="0.45">
      <c r="AA315" s="257"/>
      <c r="AB315" s="257"/>
      <c r="AC315" s="257"/>
      <c r="AD315" s="257"/>
      <c r="AE315" s="257"/>
      <c r="AF315" s="257"/>
      <c r="AG315" s="257"/>
      <c r="AH315" s="257"/>
      <c r="AI315" s="257"/>
      <c r="AJ315" s="258"/>
      <c r="AK315" s="257"/>
      <c r="AL315" s="257"/>
      <c r="AM315" s="257"/>
      <c r="AN315" s="257"/>
      <c r="AO315" s="257"/>
      <c r="AP315" s="257"/>
      <c r="AQ315" s="257"/>
      <c r="AR315" s="257"/>
      <c r="AS315" s="257"/>
      <c r="AT315" s="257"/>
      <c r="AU315" s="257"/>
      <c r="AV315" s="258"/>
      <c r="AW315" s="258"/>
      <c r="AX315" s="258"/>
      <c r="AY315" s="258"/>
      <c r="AZ315" s="257"/>
    </row>
    <row r="316" spans="27:52" x14ac:dyDescent="0.45">
      <c r="AA316" s="257"/>
      <c r="AB316" s="257"/>
      <c r="AC316" s="257"/>
      <c r="AD316" s="257"/>
      <c r="AE316" s="257"/>
      <c r="AF316" s="257"/>
      <c r="AG316" s="257"/>
      <c r="AH316" s="257"/>
      <c r="AI316" s="257"/>
      <c r="AJ316" s="258"/>
      <c r="AK316" s="257"/>
      <c r="AL316" s="257"/>
      <c r="AM316" s="257"/>
      <c r="AN316" s="257"/>
      <c r="AO316" s="257"/>
      <c r="AP316" s="257"/>
      <c r="AQ316" s="257"/>
      <c r="AR316" s="257"/>
      <c r="AS316" s="257"/>
      <c r="AT316" s="257"/>
      <c r="AU316" s="257"/>
      <c r="AV316" s="258"/>
      <c r="AW316" s="258"/>
      <c r="AX316" s="258"/>
      <c r="AY316" s="258"/>
      <c r="AZ316" s="257"/>
    </row>
    <row r="317" spans="27:52" x14ac:dyDescent="0.45">
      <c r="AA317" s="257"/>
      <c r="AB317" s="257"/>
      <c r="AC317" s="257"/>
      <c r="AD317" s="257"/>
      <c r="AE317" s="257"/>
      <c r="AF317" s="257"/>
      <c r="AG317" s="257"/>
      <c r="AH317" s="257"/>
      <c r="AI317" s="257"/>
      <c r="AJ317" s="258"/>
      <c r="AK317" s="257"/>
      <c r="AL317" s="257"/>
      <c r="AM317" s="257"/>
      <c r="AN317" s="257"/>
      <c r="AO317" s="257"/>
      <c r="AP317" s="257"/>
      <c r="AQ317" s="257"/>
      <c r="AR317" s="257"/>
      <c r="AS317" s="257"/>
      <c r="AT317" s="257"/>
      <c r="AU317" s="257"/>
      <c r="AV317" s="258"/>
      <c r="AW317" s="258"/>
      <c r="AX317" s="258"/>
      <c r="AY317" s="258"/>
      <c r="AZ317" s="257"/>
    </row>
    <row r="318" spans="27:52" x14ac:dyDescent="0.45">
      <c r="AA318" s="257"/>
      <c r="AB318" s="257"/>
      <c r="AC318" s="257"/>
      <c r="AD318" s="257"/>
      <c r="AE318" s="257"/>
      <c r="AF318" s="257"/>
      <c r="AG318" s="257"/>
      <c r="AH318" s="257"/>
      <c r="AI318" s="257"/>
      <c r="AJ318" s="258"/>
      <c r="AK318" s="257"/>
      <c r="AL318" s="257"/>
      <c r="AM318" s="257"/>
      <c r="AN318" s="257"/>
      <c r="AO318" s="257"/>
      <c r="AP318" s="257"/>
      <c r="AQ318" s="257"/>
      <c r="AR318" s="257"/>
      <c r="AS318" s="257"/>
      <c r="AT318" s="257"/>
      <c r="AU318" s="257"/>
      <c r="AV318" s="258"/>
      <c r="AW318" s="258"/>
      <c r="AX318" s="258"/>
      <c r="AY318" s="258"/>
      <c r="AZ318" s="257"/>
    </row>
    <row r="319" spans="27:52" x14ac:dyDescent="0.45">
      <c r="AA319" s="257"/>
      <c r="AB319" s="257"/>
      <c r="AC319" s="257"/>
      <c r="AD319" s="257"/>
      <c r="AE319" s="257"/>
      <c r="AF319" s="257"/>
      <c r="AG319" s="257"/>
      <c r="AH319" s="257"/>
      <c r="AI319" s="257"/>
      <c r="AJ319" s="258"/>
      <c r="AK319" s="257"/>
      <c r="AL319" s="257"/>
      <c r="AM319" s="257"/>
      <c r="AN319" s="257"/>
      <c r="AO319" s="257"/>
      <c r="AP319" s="257"/>
      <c r="AQ319" s="257"/>
      <c r="AR319" s="257"/>
      <c r="AS319" s="257"/>
      <c r="AT319" s="257"/>
      <c r="AU319" s="257"/>
      <c r="AV319" s="258"/>
      <c r="AW319" s="258"/>
      <c r="AX319" s="258"/>
      <c r="AY319" s="258"/>
      <c r="AZ319" s="257"/>
    </row>
    <row r="320" spans="27:52" x14ac:dyDescent="0.45">
      <c r="AA320" s="257"/>
      <c r="AB320" s="257"/>
      <c r="AC320" s="257"/>
      <c r="AD320" s="257"/>
      <c r="AE320" s="257"/>
      <c r="AF320" s="257"/>
      <c r="AG320" s="257"/>
      <c r="AH320" s="257"/>
      <c r="AI320" s="257"/>
      <c r="AJ320" s="258"/>
      <c r="AK320" s="257"/>
      <c r="AL320" s="257"/>
      <c r="AM320" s="257"/>
      <c r="AN320" s="257"/>
      <c r="AO320" s="257"/>
      <c r="AP320" s="257"/>
      <c r="AQ320" s="257"/>
      <c r="AR320" s="257"/>
      <c r="AS320" s="257"/>
      <c r="AT320" s="257"/>
      <c r="AU320" s="257"/>
      <c r="AV320" s="258"/>
      <c r="AW320" s="258"/>
      <c r="AX320" s="258"/>
      <c r="AY320" s="258"/>
      <c r="AZ320" s="257"/>
    </row>
    <row r="321" spans="27:52" x14ac:dyDescent="0.45">
      <c r="AA321" s="257"/>
      <c r="AB321" s="257"/>
      <c r="AC321" s="257"/>
      <c r="AD321" s="257"/>
      <c r="AE321" s="257"/>
      <c r="AF321" s="257"/>
      <c r="AG321" s="257"/>
      <c r="AH321" s="257"/>
      <c r="AI321" s="257"/>
      <c r="AJ321" s="258"/>
      <c r="AK321" s="257"/>
      <c r="AL321" s="257"/>
      <c r="AM321" s="257"/>
      <c r="AN321" s="257"/>
      <c r="AO321" s="257"/>
      <c r="AP321" s="257"/>
      <c r="AQ321" s="257"/>
      <c r="AR321" s="257"/>
      <c r="AS321" s="257"/>
      <c r="AT321" s="257"/>
      <c r="AU321" s="257"/>
      <c r="AV321" s="258"/>
      <c r="AW321" s="258"/>
      <c r="AX321" s="258"/>
      <c r="AY321" s="258"/>
      <c r="AZ321" s="257"/>
    </row>
    <row r="322" spans="27:52" x14ac:dyDescent="0.45">
      <c r="AA322" s="257"/>
      <c r="AB322" s="257"/>
      <c r="AC322" s="257"/>
      <c r="AD322" s="257"/>
      <c r="AE322" s="257"/>
      <c r="AF322" s="257"/>
      <c r="AG322" s="257"/>
      <c r="AH322" s="257"/>
      <c r="AI322" s="257"/>
      <c r="AJ322" s="258"/>
      <c r="AK322" s="257"/>
      <c r="AL322" s="257"/>
      <c r="AM322" s="257"/>
      <c r="AN322" s="257"/>
      <c r="AO322" s="257"/>
      <c r="AP322" s="257"/>
      <c r="AQ322" s="257"/>
      <c r="AR322" s="257"/>
      <c r="AS322" s="257"/>
      <c r="AT322" s="257"/>
      <c r="AU322" s="257"/>
      <c r="AV322" s="258"/>
      <c r="AW322" s="258"/>
      <c r="AX322" s="258"/>
      <c r="AY322" s="258"/>
      <c r="AZ322" s="257"/>
    </row>
    <row r="323" spans="27:52" x14ac:dyDescent="0.45">
      <c r="AA323" s="257"/>
      <c r="AB323" s="257"/>
      <c r="AC323" s="257"/>
      <c r="AD323" s="257"/>
      <c r="AE323" s="257"/>
      <c r="AF323" s="257"/>
      <c r="AG323" s="257"/>
      <c r="AH323" s="257"/>
      <c r="AI323" s="257"/>
      <c r="AJ323" s="258"/>
      <c r="AK323" s="257"/>
      <c r="AL323" s="257"/>
      <c r="AM323" s="257"/>
      <c r="AN323" s="257"/>
      <c r="AO323" s="257"/>
      <c r="AP323" s="257"/>
      <c r="AQ323" s="257"/>
      <c r="AR323" s="257"/>
      <c r="AS323" s="257"/>
      <c r="AT323" s="257"/>
      <c r="AU323" s="257"/>
      <c r="AV323" s="258"/>
      <c r="AW323" s="258"/>
      <c r="AX323" s="258"/>
      <c r="AY323" s="258"/>
      <c r="AZ323" s="257"/>
    </row>
    <row r="324" spans="27:52" x14ac:dyDescent="0.45">
      <c r="AA324" s="257"/>
      <c r="AB324" s="257"/>
      <c r="AC324" s="257"/>
      <c r="AD324" s="257"/>
      <c r="AE324" s="257"/>
      <c r="AF324" s="257"/>
      <c r="AG324" s="257"/>
      <c r="AH324" s="257"/>
      <c r="AI324" s="257"/>
      <c r="AJ324" s="258"/>
      <c r="AK324" s="257"/>
      <c r="AL324" s="257"/>
      <c r="AM324" s="257"/>
      <c r="AN324" s="257"/>
      <c r="AO324" s="257"/>
      <c r="AP324" s="257"/>
      <c r="AQ324" s="257"/>
      <c r="AR324" s="257"/>
      <c r="AS324" s="257"/>
      <c r="AT324" s="257"/>
      <c r="AU324" s="257"/>
      <c r="AV324" s="258"/>
      <c r="AW324" s="258"/>
      <c r="AX324" s="258"/>
      <c r="AY324" s="258"/>
      <c r="AZ324" s="257"/>
    </row>
    <row r="325" spans="27:52" x14ac:dyDescent="0.45">
      <c r="AA325" s="257"/>
      <c r="AB325" s="257"/>
      <c r="AC325" s="257"/>
      <c r="AD325" s="257"/>
      <c r="AE325" s="257"/>
      <c r="AF325" s="257"/>
      <c r="AG325" s="257"/>
      <c r="AH325" s="257"/>
      <c r="AI325" s="257"/>
      <c r="AJ325" s="258"/>
      <c r="AK325" s="257"/>
      <c r="AL325" s="257"/>
      <c r="AM325" s="257"/>
      <c r="AN325" s="257"/>
      <c r="AO325" s="257"/>
      <c r="AP325" s="257"/>
      <c r="AQ325" s="257"/>
      <c r="AR325" s="257"/>
      <c r="AS325" s="257"/>
      <c r="AT325" s="257"/>
      <c r="AU325" s="257"/>
      <c r="AV325" s="258"/>
      <c r="AW325" s="258"/>
      <c r="AX325" s="258"/>
      <c r="AY325" s="258"/>
      <c r="AZ325" s="257"/>
    </row>
    <row r="326" spans="27:52" x14ac:dyDescent="0.45">
      <c r="AA326" s="257"/>
      <c r="AB326" s="257"/>
      <c r="AC326" s="257"/>
      <c r="AD326" s="257"/>
      <c r="AE326" s="257"/>
      <c r="AF326" s="257"/>
      <c r="AG326" s="257"/>
      <c r="AH326" s="257"/>
      <c r="AI326" s="257"/>
      <c r="AJ326" s="258"/>
      <c r="AK326" s="257"/>
      <c r="AL326" s="257"/>
      <c r="AM326" s="257"/>
      <c r="AN326" s="257"/>
      <c r="AO326" s="257"/>
      <c r="AP326" s="257"/>
      <c r="AQ326" s="257"/>
      <c r="AR326" s="257"/>
      <c r="AS326" s="257"/>
      <c r="AT326" s="257"/>
      <c r="AU326" s="257"/>
      <c r="AV326" s="258"/>
      <c r="AW326" s="258"/>
      <c r="AX326" s="258"/>
      <c r="AY326" s="258"/>
      <c r="AZ326" s="257"/>
    </row>
    <row r="327" spans="27:52" x14ac:dyDescent="0.45">
      <c r="AA327" s="257"/>
      <c r="AB327" s="257"/>
      <c r="AC327" s="257"/>
      <c r="AD327" s="257"/>
      <c r="AE327" s="257"/>
      <c r="AF327" s="257"/>
      <c r="AG327" s="257"/>
      <c r="AH327" s="257"/>
      <c r="AI327" s="257"/>
      <c r="AJ327" s="258"/>
      <c r="AK327" s="257"/>
      <c r="AL327" s="257"/>
      <c r="AM327" s="257"/>
      <c r="AN327" s="257"/>
      <c r="AO327" s="257"/>
      <c r="AP327" s="257"/>
      <c r="AQ327" s="257"/>
      <c r="AR327" s="257"/>
      <c r="AS327" s="257"/>
      <c r="AT327" s="257"/>
      <c r="AU327" s="257"/>
      <c r="AV327" s="258"/>
      <c r="AW327" s="258"/>
      <c r="AX327" s="258"/>
      <c r="AY327" s="258"/>
      <c r="AZ327" s="257"/>
    </row>
    <row r="328" spans="27:52" x14ac:dyDescent="0.45">
      <c r="AA328" s="257"/>
      <c r="AB328" s="257"/>
      <c r="AC328" s="257"/>
      <c r="AD328" s="257"/>
      <c r="AE328" s="257"/>
      <c r="AF328" s="257"/>
      <c r="AG328" s="257"/>
      <c r="AH328" s="257"/>
      <c r="AI328" s="257"/>
      <c r="AJ328" s="258"/>
      <c r="AK328" s="257"/>
      <c r="AL328" s="257"/>
      <c r="AM328" s="257"/>
      <c r="AN328" s="257"/>
      <c r="AO328" s="257"/>
      <c r="AP328" s="257"/>
      <c r="AQ328" s="257"/>
      <c r="AR328" s="257"/>
      <c r="AS328" s="257"/>
      <c r="AT328" s="257"/>
      <c r="AU328" s="257"/>
      <c r="AV328" s="258"/>
      <c r="AW328" s="258"/>
      <c r="AX328" s="258"/>
      <c r="AY328" s="258"/>
      <c r="AZ328" s="257"/>
    </row>
    <row r="329" spans="27:52" x14ac:dyDescent="0.45">
      <c r="AA329" s="257"/>
      <c r="AB329" s="257"/>
      <c r="AC329" s="257"/>
      <c r="AD329" s="257"/>
      <c r="AE329" s="257"/>
      <c r="AF329" s="257"/>
      <c r="AG329" s="257"/>
      <c r="AH329" s="257"/>
      <c r="AI329" s="257"/>
      <c r="AJ329" s="258"/>
      <c r="AK329" s="257"/>
      <c r="AL329" s="257"/>
      <c r="AM329" s="257"/>
      <c r="AN329" s="257"/>
      <c r="AO329" s="257"/>
      <c r="AP329" s="257"/>
      <c r="AQ329" s="257"/>
      <c r="AR329" s="257"/>
      <c r="AS329" s="257"/>
      <c r="AT329" s="257"/>
      <c r="AU329" s="257"/>
      <c r="AV329" s="258"/>
      <c r="AW329" s="258"/>
      <c r="AX329" s="258"/>
      <c r="AY329" s="258"/>
      <c r="AZ329" s="257"/>
    </row>
    <row r="330" spans="27:52" x14ac:dyDescent="0.45">
      <c r="AA330" s="257"/>
      <c r="AB330" s="257"/>
      <c r="AC330" s="257"/>
      <c r="AD330" s="257"/>
      <c r="AE330" s="257"/>
      <c r="AF330" s="257"/>
      <c r="AG330" s="257"/>
      <c r="AH330" s="257"/>
      <c r="AI330" s="257"/>
      <c r="AJ330" s="258"/>
      <c r="AK330" s="257"/>
      <c r="AL330" s="257"/>
      <c r="AM330" s="257"/>
      <c r="AN330" s="257"/>
      <c r="AO330" s="257"/>
      <c r="AP330" s="257"/>
      <c r="AQ330" s="257"/>
      <c r="AR330" s="257"/>
      <c r="AS330" s="257"/>
      <c r="AT330" s="257"/>
      <c r="AU330" s="257"/>
      <c r="AV330" s="258"/>
      <c r="AW330" s="258"/>
      <c r="AX330" s="258"/>
      <c r="AY330" s="258"/>
      <c r="AZ330" s="257"/>
    </row>
    <row r="331" spans="27:52" x14ac:dyDescent="0.45">
      <c r="AA331" s="257"/>
      <c r="AB331" s="257"/>
      <c r="AC331" s="257"/>
      <c r="AD331" s="257"/>
      <c r="AE331" s="257"/>
      <c r="AF331" s="257"/>
      <c r="AG331" s="257"/>
      <c r="AH331" s="257"/>
      <c r="AI331" s="257"/>
      <c r="AJ331" s="258"/>
      <c r="AK331" s="257"/>
      <c r="AL331" s="257"/>
      <c r="AM331" s="257"/>
      <c r="AN331" s="257"/>
      <c r="AO331" s="257"/>
      <c r="AP331" s="257"/>
      <c r="AQ331" s="257"/>
      <c r="AR331" s="257"/>
      <c r="AS331" s="257"/>
      <c r="AT331" s="257"/>
      <c r="AU331" s="257"/>
      <c r="AV331" s="258"/>
      <c r="AW331" s="258"/>
      <c r="AX331" s="258"/>
      <c r="AY331" s="258"/>
      <c r="AZ331" s="257"/>
    </row>
    <row r="332" spans="27:52" x14ac:dyDescent="0.45">
      <c r="AA332" s="257"/>
      <c r="AB332" s="257"/>
      <c r="AC332" s="257"/>
      <c r="AD332" s="257"/>
      <c r="AE332" s="257"/>
      <c r="AF332" s="257"/>
      <c r="AG332" s="257"/>
      <c r="AH332" s="257"/>
      <c r="AI332" s="257"/>
      <c r="AJ332" s="258"/>
      <c r="AK332" s="257"/>
      <c r="AL332" s="257"/>
      <c r="AM332" s="257"/>
      <c r="AN332" s="257"/>
      <c r="AO332" s="257"/>
      <c r="AP332" s="257"/>
      <c r="AQ332" s="257"/>
      <c r="AR332" s="257"/>
      <c r="AS332" s="257"/>
      <c r="AT332" s="257"/>
      <c r="AU332" s="257"/>
      <c r="AV332" s="258"/>
      <c r="AW332" s="258"/>
      <c r="AX332" s="258"/>
      <c r="AY332" s="258"/>
      <c r="AZ332" s="257"/>
    </row>
    <row r="333" spans="27:52" x14ac:dyDescent="0.45">
      <c r="AA333" s="257"/>
      <c r="AB333" s="257"/>
      <c r="AC333" s="257"/>
      <c r="AD333" s="257"/>
      <c r="AE333" s="257"/>
      <c r="AF333" s="257"/>
      <c r="AG333" s="257"/>
      <c r="AH333" s="257"/>
      <c r="AI333" s="257"/>
      <c r="AJ333" s="258"/>
      <c r="AK333" s="257"/>
      <c r="AL333" s="257"/>
      <c r="AM333" s="257"/>
      <c r="AN333" s="257"/>
      <c r="AO333" s="257"/>
      <c r="AP333" s="257"/>
      <c r="AQ333" s="257"/>
      <c r="AR333" s="257"/>
      <c r="AS333" s="257"/>
      <c r="AT333" s="257"/>
      <c r="AU333" s="257"/>
      <c r="AV333" s="258"/>
      <c r="AW333" s="258"/>
      <c r="AX333" s="258"/>
      <c r="AY333" s="258"/>
      <c r="AZ333" s="257"/>
    </row>
    <row r="334" spans="27:52" x14ac:dyDescent="0.45">
      <c r="AA334" s="257"/>
      <c r="AB334" s="257"/>
      <c r="AC334" s="257"/>
      <c r="AD334" s="257"/>
      <c r="AE334" s="257"/>
      <c r="AF334" s="257"/>
      <c r="AG334" s="257"/>
      <c r="AH334" s="257"/>
      <c r="AI334" s="257"/>
      <c r="AJ334" s="258"/>
      <c r="AK334" s="257"/>
      <c r="AL334" s="257"/>
      <c r="AM334" s="257"/>
      <c r="AN334" s="257"/>
      <c r="AO334" s="257"/>
      <c r="AP334" s="257"/>
      <c r="AQ334" s="257"/>
      <c r="AR334" s="257"/>
      <c r="AS334" s="257"/>
      <c r="AT334" s="257"/>
      <c r="AU334" s="257"/>
      <c r="AV334" s="258"/>
      <c r="AW334" s="258"/>
      <c r="AX334" s="258"/>
      <c r="AY334" s="258"/>
      <c r="AZ334" s="257"/>
    </row>
    <row r="335" spans="27:52" x14ac:dyDescent="0.45">
      <c r="AA335" s="257"/>
      <c r="AB335" s="257"/>
      <c r="AC335" s="257"/>
      <c r="AD335" s="257"/>
      <c r="AE335" s="257"/>
      <c r="AF335" s="257"/>
      <c r="AG335" s="257"/>
      <c r="AH335" s="257"/>
      <c r="AI335" s="257"/>
      <c r="AJ335" s="258"/>
      <c r="AK335" s="257"/>
      <c r="AL335" s="257"/>
      <c r="AM335" s="257"/>
      <c r="AN335" s="257"/>
      <c r="AO335" s="257"/>
      <c r="AP335" s="257"/>
      <c r="AQ335" s="257"/>
      <c r="AR335" s="257"/>
      <c r="AS335" s="257"/>
      <c r="AT335" s="257"/>
      <c r="AU335" s="257"/>
      <c r="AV335" s="258"/>
      <c r="AW335" s="258"/>
      <c r="AX335" s="258"/>
      <c r="AY335" s="258"/>
      <c r="AZ335" s="257"/>
    </row>
    <row r="336" spans="27:52" x14ac:dyDescent="0.45">
      <c r="AA336" s="257"/>
      <c r="AB336" s="257"/>
      <c r="AC336" s="257"/>
      <c r="AD336" s="257"/>
      <c r="AE336" s="257"/>
      <c r="AF336" s="257"/>
      <c r="AG336" s="257"/>
      <c r="AH336" s="257"/>
      <c r="AI336" s="257"/>
      <c r="AJ336" s="258"/>
      <c r="AK336" s="257"/>
      <c r="AL336" s="257"/>
      <c r="AM336" s="257"/>
      <c r="AN336" s="257"/>
      <c r="AO336" s="257"/>
      <c r="AP336" s="257"/>
      <c r="AQ336" s="257"/>
      <c r="AR336" s="257"/>
      <c r="AS336" s="257"/>
      <c r="AT336" s="257"/>
      <c r="AU336" s="257"/>
      <c r="AV336" s="258"/>
      <c r="AW336" s="258"/>
      <c r="AX336" s="258"/>
      <c r="AY336" s="258"/>
      <c r="AZ336" s="257"/>
    </row>
    <row r="337" spans="27:52" x14ac:dyDescent="0.45">
      <c r="AA337" s="257"/>
      <c r="AB337" s="257"/>
      <c r="AC337" s="257"/>
      <c r="AD337" s="257"/>
      <c r="AE337" s="257"/>
      <c r="AF337" s="257"/>
      <c r="AG337" s="257"/>
      <c r="AH337" s="257"/>
      <c r="AI337" s="257"/>
      <c r="AJ337" s="258"/>
      <c r="AK337" s="257"/>
      <c r="AL337" s="257"/>
      <c r="AM337" s="257"/>
      <c r="AN337" s="257"/>
      <c r="AO337" s="257"/>
      <c r="AP337" s="257"/>
      <c r="AQ337" s="257"/>
      <c r="AR337" s="257"/>
      <c r="AS337" s="257"/>
      <c r="AT337" s="257"/>
      <c r="AU337" s="257"/>
      <c r="AV337" s="258"/>
      <c r="AW337" s="258"/>
      <c r="AX337" s="258"/>
      <c r="AY337" s="258"/>
      <c r="AZ337" s="257"/>
    </row>
    <row r="338" spans="27:52" x14ac:dyDescent="0.45">
      <c r="AA338" s="257"/>
      <c r="AB338" s="257"/>
      <c r="AC338" s="257"/>
      <c r="AD338" s="257"/>
      <c r="AE338" s="257"/>
      <c r="AF338" s="257"/>
      <c r="AG338" s="257"/>
      <c r="AH338" s="257"/>
      <c r="AI338" s="257"/>
      <c r="AJ338" s="258"/>
      <c r="AK338" s="257"/>
      <c r="AL338" s="257"/>
      <c r="AM338" s="257"/>
      <c r="AN338" s="257"/>
      <c r="AO338" s="257"/>
      <c r="AP338" s="257"/>
      <c r="AQ338" s="257"/>
      <c r="AR338" s="257"/>
      <c r="AS338" s="257"/>
      <c r="AT338" s="257"/>
      <c r="AU338" s="257"/>
      <c r="AV338" s="258"/>
      <c r="AW338" s="258"/>
      <c r="AX338" s="258"/>
      <c r="AY338" s="258"/>
      <c r="AZ338" s="257"/>
    </row>
    <row r="339" spans="27:52" x14ac:dyDescent="0.45">
      <c r="AA339" s="257"/>
      <c r="AB339" s="257"/>
      <c r="AC339" s="257"/>
      <c r="AD339" s="257"/>
      <c r="AE339" s="257"/>
      <c r="AF339" s="257"/>
      <c r="AG339" s="257"/>
      <c r="AH339" s="257"/>
      <c r="AI339" s="257"/>
      <c r="AJ339" s="258"/>
      <c r="AK339" s="257"/>
      <c r="AL339" s="257"/>
      <c r="AM339" s="257"/>
      <c r="AN339" s="257"/>
      <c r="AO339" s="257"/>
      <c r="AP339" s="257"/>
      <c r="AQ339" s="257"/>
      <c r="AR339" s="257"/>
      <c r="AS339" s="257"/>
      <c r="AT339" s="257"/>
      <c r="AU339" s="257"/>
      <c r="AV339" s="258"/>
      <c r="AW339" s="258"/>
      <c r="AX339" s="258"/>
      <c r="AY339" s="258"/>
      <c r="AZ339" s="257"/>
    </row>
    <row r="340" spans="27:52" x14ac:dyDescent="0.45">
      <c r="AA340" s="257"/>
      <c r="AB340" s="257"/>
      <c r="AC340" s="257"/>
      <c r="AD340" s="257"/>
      <c r="AE340" s="257"/>
      <c r="AF340" s="257"/>
      <c r="AG340" s="257"/>
      <c r="AH340" s="257"/>
      <c r="AI340" s="257"/>
      <c r="AJ340" s="258"/>
      <c r="AK340" s="257"/>
      <c r="AL340" s="257"/>
      <c r="AM340" s="257"/>
      <c r="AN340" s="257"/>
      <c r="AO340" s="257"/>
      <c r="AP340" s="257"/>
      <c r="AQ340" s="257"/>
      <c r="AR340" s="257"/>
      <c r="AS340" s="257"/>
      <c r="AT340" s="257"/>
      <c r="AU340" s="257"/>
      <c r="AV340" s="258"/>
      <c r="AW340" s="258"/>
      <c r="AX340" s="258"/>
      <c r="AY340" s="258"/>
      <c r="AZ340" s="257"/>
    </row>
    <row r="341" spans="27:52" x14ac:dyDescent="0.45">
      <c r="AA341" s="257"/>
      <c r="AB341" s="257"/>
      <c r="AC341" s="257"/>
      <c r="AD341" s="257"/>
      <c r="AE341" s="257"/>
      <c r="AF341" s="257"/>
      <c r="AG341" s="257"/>
      <c r="AH341" s="257"/>
      <c r="AI341" s="257"/>
      <c r="AJ341" s="258"/>
      <c r="AK341" s="257"/>
      <c r="AL341" s="257"/>
      <c r="AM341" s="257"/>
      <c r="AN341" s="257"/>
      <c r="AO341" s="257"/>
      <c r="AP341" s="257"/>
      <c r="AQ341" s="257"/>
      <c r="AR341" s="257"/>
      <c r="AS341" s="257"/>
      <c r="AT341" s="257"/>
      <c r="AU341" s="257"/>
      <c r="AV341" s="258"/>
      <c r="AW341" s="258"/>
      <c r="AX341" s="258"/>
      <c r="AY341" s="258"/>
      <c r="AZ341" s="257"/>
    </row>
    <row r="342" spans="27:52" x14ac:dyDescent="0.45">
      <c r="AA342" s="257"/>
      <c r="AB342" s="257"/>
      <c r="AC342" s="257"/>
      <c r="AD342" s="257"/>
      <c r="AE342" s="257"/>
      <c r="AF342" s="257"/>
      <c r="AG342" s="257"/>
      <c r="AH342" s="257"/>
      <c r="AI342" s="257"/>
      <c r="AJ342" s="258"/>
      <c r="AK342" s="257"/>
      <c r="AL342" s="257"/>
      <c r="AM342" s="257"/>
      <c r="AN342" s="257"/>
      <c r="AO342" s="257"/>
      <c r="AP342" s="257"/>
      <c r="AQ342" s="257"/>
      <c r="AR342" s="257"/>
      <c r="AS342" s="257"/>
      <c r="AT342" s="257"/>
      <c r="AU342" s="257"/>
      <c r="AV342" s="258"/>
      <c r="AW342" s="258"/>
      <c r="AX342" s="258"/>
      <c r="AY342" s="258"/>
      <c r="AZ342" s="257"/>
    </row>
    <row r="343" spans="27:52" x14ac:dyDescent="0.45">
      <c r="AA343" s="257"/>
      <c r="AB343" s="257"/>
      <c r="AC343" s="257"/>
      <c r="AD343" s="257"/>
      <c r="AE343" s="257"/>
      <c r="AF343" s="257"/>
      <c r="AG343" s="257"/>
      <c r="AH343" s="257"/>
      <c r="AI343" s="257"/>
      <c r="AJ343" s="258"/>
      <c r="AK343" s="257"/>
      <c r="AL343" s="257"/>
      <c r="AM343" s="257"/>
      <c r="AN343" s="257"/>
      <c r="AO343" s="257"/>
      <c r="AP343" s="257"/>
      <c r="AQ343" s="257"/>
      <c r="AR343" s="257"/>
      <c r="AS343" s="257"/>
      <c r="AT343" s="257"/>
      <c r="AU343" s="257"/>
      <c r="AV343" s="258"/>
      <c r="AW343" s="258"/>
      <c r="AX343" s="258"/>
      <c r="AY343" s="258"/>
      <c r="AZ343" s="257"/>
    </row>
    <row r="344" spans="27:52" x14ac:dyDescent="0.45">
      <c r="AA344" s="257"/>
      <c r="AB344" s="257"/>
      <c r="AC344" s="257"/>
      <c r="AD344" s="257"/>
      <c r="AE344" s="257"/>
      <c r="AF344" s="257"/>
      <c r="AG344" s="257"/>
      <c r="AH344" s="257"/>
      <c r="AI344" s="257"/>
      <c r="AJ344" s="258"/>
      <c r="AK344" s="257"/>
      <c r="AL344" s="257"/>
      <c r="AM344" s="257"/>
      <c r="AN344" s="257"/>
      <c r="AO344" s="257"/>
      <c r="AP344" s="257"/>
      <c r="AQ344" s="257"/>
      <c r="AR344" s="257"/>
      <c r="AS344" s="257"/>
      <c r="AT344" s="257"/>
      <c r="AU344" s="257"/>
      <c r="AV344" s="258"/>
      <c r="AW344" s="258"/>
      <c r="AX344" s="258"/>
      <c r="AY344" s="258"/>
      <c r="AZ344" s="257"/>
    </row>
    <row r="345" spans="27:52" x14ac:dyDescent="0.45">
      <c r="AA345" s="257"/>
      <c r="AB345" s="257"/>
      <c r="AC345" s="257"/>
      <c r="AD345" s="257"/>
      <c r="AE345" s="257"/>
      <c r="AF345" s="257"/>
      <c r="AG345" s="257"/>
      <c r="AH345" s="257"/>
      <c r="AI345" s="257"/>
      <c r="AJ345" s="258"/>
      <c r="AK345" s="257"/>
      <c r="AL345" s="257"/>
      <c r="AM345" s="257"/>
      <c r="AN345" s="257"/>
      <c r="AO345" s="257"/>
      <c r="AP345" s="257"/>
      <c r="AQ345" s="257"/>
      <c r="AR345" s="257"/>
      <c r="AS345" s="257"/>
      <c r="AT345" s="257"/>
      <c r="AU345" s="257"/>
      <c r="AV345" s="258"/>
      <c r="AW345" s="258"/>
      <c r="AX345" s="258"/>
      <c r="AY345" s="258"/>
      <c r="AZ345" s="257"/>
    </row>
    <row r="346" spans="27:52" x14ac:dyDescent="0.45">
      <c r="AA346" s="257"/>
      <c r="AB346" s="257"/>
      <c r="AC346" s="257"/>
      <c r="AD346" s="257"/>
      <c r="AE346" s="257"/>
      <c r="AF346" s="257"/>
      <c r="AG346" s="257"/>
      <c r="AH346" s="257"/>
      <c r="AI346" s="257"/>
      <c r="AJ346" s="258"/>
      <c r="AK346" s="257"/>
      <c r="AL346" s="257"/>
      <c r="AM346" s="257"/>
      <c r="AN346" s="257"/>
      <c r="AO346" s="257"/>
      <c r="AP346" s="257"/>
      <c r="AQ346" s="257"/>
      <c r="AR346" s="257"/>
      <c r="AS346" s="257"/>
      <c r="AT346" s="257"/>
      <c r="AU346" s="257"/>
      <c r="AV346" s="258"/>
      <c r="AW346" s="258"/>
      <c r="AX346" s="258"/>
      <c r="AY346" s="258"/>
      <c r="AZ346" s="257"/>
    </row>
    <row r="347" spans="27:52" x14ac:dyDescent="0.45">
      <c r="AA347" s="257"/>
      <c r="AB347" s="257"/>
      <c r="AC347" s="257"/>
      <c r="AD347" s="257"/>
      <c r="AE347" s="257"/>
      <c r="AF347" s="257"/>
      <c r="AG347" s="257"/>
      <c r="AH347" s="257"/>
      <c r="AI347" s="257"/>
      <c r="AJ347" s="258"/>
      <c r="AK347" s="257"/>
      <c r="AL347" s="257"/>
      <c r="AM347" s="257"/>
      <c r="AN347" s="257"/>
      <c r="AO347" s="257"/>
      <c r="AP347" s="257"/>
      <c r="AQ347" s="257"/>
      <c r="AR347" s="257"/>
      <c r="AS347" s="257"/>
      <c r="AT347" s="257"/>
      <c r="AU347" s="257"/>
      <c r="AV347" s="258"/>
      <c r="AW347" s="258"/>
      <c r="AX347" s="258"/>
      <c r="AY347" s="258"/>
      <c r="AZ347" s="257"/>
    </row>
    <row r="348" spans="27:52" x14ac:dyDescent="0.45">
      <c r="AA348" s="257"/>
      <c r="AB348" s="257"/>
      <c r="AC348" s="257"/>
      <c r="AD348" s="257"/>
      <c r="AE348" s="257"/>
      <c r="AF348" s="257"/>
      <c r="AG348" s="257"/>
      <c r="AH348" s="257"/>
      <c r="AI348" s="257"/>
      <c r="AJ348" s="258"/>
      <c r="AK348" s="257"/>
      <c r="AL348" s="257"/>
      <c r="AM348" s="257"/>
      <c r="AN348" s="257"/>
      <c r="AO348" s="257"/>
      <c r="AP348" s="257"/>
      <c r="AQ348" s="257"/>
      <c r="AR348" s="257"/>
      <c r="AS348" s="257"/>
      <c r="AT348" s="257"/>
      <c r="AU348" s="257"/>
      <c r="AV348" s="258"/>
      <c r="AW348" s="258"/>
      <c r="AX348" s="258"/>
      <c r="AY348" s="258"/>
      <c r="AZ348" s="257"/>
    </row>
    <row r="349" spans="27:52" x14ac:dyDescent="0.45">
      <c r="AA349" s="257"/>
      <c r="AB349" s="257"/>
      <c r="AC349" s="257"/>
      <c r="AD349" s="257"/>
      <c r="AE349" s="257"/>
      <c r="AF349" s="257"/>
      <c r="AG349" s="257"/>
      <c r="AH349" s="257"/>
      <c r="AI349" s="257"/>
      <c r="AJ349" s="258"/>
      <c r="AK349" s="257"/>
      <c r="AL349" s="257"/>
      <c r="AM349" s="257"/>
      <c r="AN349" s="257"/>
      <c r="AO349" s="257"/>
      <c r="AP349" s="257"/>
      <c r="AQ349" s="257"/>
      <c r="AR349" s="257"/>
      <c r="AS349" s="257"/>
      <c r="AT349" s="257"/>
      <c r="AU349" s="257"/>
      <c r="AV349" s="258"/>
      <c r="AW349" s="258"/>
      <c r="AX349" s="258"/>
      <c r="AY349" s="258"/>
      <c r="AZ349" s="257"/>
    </row>
    <row r="350" spans="27:52" x14ac:dyDescent="0.45">
      <c r="AA350" s="257"/>
      <c r="AB350" s="257"/>
      <c r="AC350" s="257"/>
      <c r="AD350" s="257"/>
      <c r="AE350" s="257"/>
      <c r="AF350" s="257"/>
      <c r="AG350" s="257"/>
      <c r="AH350" s="257"/>
      <c r="AI350" s="257"/>
      <c r="AJ350" s="258"/>
      <c r="AK350" s="257"/>
      <c r="AL350" s="257"/>
      <c r="AM350" s="257"/>
      <c r="AN350" s="257"/>
      <c r="AO350" s="257"/>
      <c r="AP350" s="257"/>
      <c r="AQ350" s="257"/>
      <c r="AR350" s="257"/>
      <c r="AS350" s="257"/>
      <c r="AT350" s="257"/>
      <c r="AU350" s="257"/>
      <c r="AV350" s="258"/>
      <c r="AW350" s="258"/>
      <c r="AX350" s="258"/>
      <c r="AY350" s="258"/>
      <c r="AZ350" s="257"/>
    </row>
    <row r="351" spans="27:52" x14ac:dyDescent="0.45">
      <c r="AA351" s="257"/>
      <c r="AB351" s="257"/>
      <c r="AC351" s="257"/>
      <c r="AD351" s="257"/>
      <c r="AE351" s="257"/>
      <c r="AF351" s="257"/>
      <c r="AG351" s="257"/>
      <c r="AH351" s="257"/>
      <c r="AI351" s="257"/>
      <c r="AJ351" s="258"/>
      <c r="AK351" s="257"/>
      <c r="AL351" s="257"/>
      <c r="AM351" s="257"/>
      <c r="AN351" s="257"/>
      <c r="AO351" s="257"/>
      <c r="AP351" s="257"/>
      <c r="AQ351" s="257"/>
      <c r="AR351" s="257"/>
      <c r="AS351" s="257"/>
      <c r="AT351" s="257"/>
      <c r="AU351" s="257"/>
      <c r="AV351" s="258"/>
      <c r="AW351" s="258"/>
      <c r="AX351" s="258"/>
      <c r="AY351" s="258"/>
      <c r="AZ351" s="257"/>
    </row>
    <row r="352" spans="27:52" x14ac:dyDescent="0.45">
      <c r="AA352" s="257"/>
      <c r="AB352" s="257"/>
      <c r="AC352" s="257"/>
      <c r="AD352" s="257"/>
      <c r="AE352" s="257"/>
      <c r="AF352" s="257"/>
      <c r="AG352" s="257"/>
      <c r="AH352" s="257"/>
      <c r="AI352" s="257"/>
      <c r="AJ352" s="258"/>
      <c r="AK352" s="257"/>
      <c r="AL352" s="257"/>
      <c r="AM352" s="257"/>
      <c r="AN352" s="257"/>
      <c r="AO352" s="257"/>
      <c r="AP352" s="257"/>
      <c r="AQ352" s="257"/>
      <c r="AR352" s="257"/>
      <c r="AS352" s="257"/>
      <c r="AT352" s="257"/>
      <c r="AU352" s="257"/>
      <c r="AV352" s="258"/>
      <c r="AW352" s="258"/>
      <c r="AX352" s="258"/>
      <c r="AY352" s="258"/>
      <c r="AZ352" s="257"/>
    </row>
    <row r="353" spans="27:52" x14ac:dyDescent="0.45">
      <c r="AA353" s="257"/>
      <c r="AB353" s="257"/>
      <c r="AC353" s="257"/>
      <c r="AD353" s="257"/>
      <c r="AE353" s="257"/>
      <c r="AF353" s="257"/>
      <c r="AG353" s="257"/>
      <c r="AH353" s="257"/>
      <c r="AI353" s="257"/>
      <c r="AJ353" s="258"/>
      <c r="AK353" s="257"/>
      <c r="AL353" s="257"/>
      <c r="AM353" s="257"/>
      <c r="AN353" s="257"/>
      <c r="AO353" s="257"/>
      <c r="AP353" s="257"/>
      <c r="AQ353" s="257"/>
      <c r="AR353" s="257"/>
      <c r="AS353" s="257"/>
      <c r="AT353" s="257"/>
      <c r="AU353" s="257"/>
      <c r="AV353" s="258"/>
      <c r="AW353" s="258"/>
      <c r="AX353" s="258"/>
      <c r="AY353" s="258"/>
      <c r="AZ353" s="257"/>
    </row>
    <row r="354" spans="27:52" x14ac:dyDescent="0.45">
      <c r="AA354" s="257"/>
      <c r="AB354" s="257"/>
      <c r="AC354" s="257"/>
      <c r="AD354" s="257"/>
      <c r="AE354" s="257"/>
      <c r="AF354" s="257"/>
      <c r="AG354" s="257"/>
      <c r="AH354" s="257"/>
      <c r="AI354" s="257"/>
      <c r="AJ354" s="258"/>
      <c r="AK354" s="257"/>
      <c r="AL354" s="257"/>
      <c r="AM354" s="257"/>
      <c r="AN354" s="257"/>
      <c r="AO354" s="257"/>
      <c r="AP354" s="257"/>
      <c r="AQ354" s="257"/>
      <c r="AR354" s="257"/>
      <c r="AS354" s="257"/>
      <c r="AT354" s="257"/>
      <c r="AU354" s="257"/>
      <c r="AV354" s="258"/>
      <c r="AW354" s="258"/>
      <c r="AX354" s="258"/>
      <c r="AY354" s="258"/>
      <c r="AZ354" s="257"/>
    </row>
    <row r="355" spans="27:52" x14ac:dyDescent="0.45">
      <c r="AA355" s="257"/>
      <c r="AB355" s="257"/>
      <c r="AC355" s="257"/>
      <c r="AD355" s="257"/>
      <c r="AE355" s="257"/>
      <c r="AF355" s="257"/>
      <c r="AG355" s="257"/>
      <c r="AH355" s="257"/>
      <c r="AI355" s="257"/>
      <c r="AJ355" s="258"/>
      <c r="AK355" s="257"/>
      <c r="AL355" s="257"/>
      <c r="AM355" s="257"/>
      <c r="AN355" s="257"/>
      <c r="AO355" s="257"/>
      <c r="AP355" s="257"/>
      <c r="AQ355" s="257"/>
      <c r="AR355" s="257"/>
      <c r="AS355" s="257"/>
      <c r="AT355" s="257"/>
      <c r="AU355" s="257"/>
      <c r="AV355" s="258"/>
      <c r="AW355" s="258"/>
      <c r="AX355" s="258"/>
      <c r="AY355" s="258"/>
      <c r="AZ355" s="257"/>
    </row>
    <row r="356" spans="27:52" x14ac:dyDescent="0.45">
      <c r="AA356" s="257"/>
      <c r="AB356" s="257"/>
      <c r="AC356" s="257"/>
      <c r="AD356" s="257"/>
      <c r="AE356" s="257"/>
      <c r="AF356" s="257"/>
      <c r="AG356" s="257"/>
      <c r="AH356" s="257"/>
      <c r="AI356" s="257"/>
      <c r="AJ356" s="258"/>
      <c r="AK356" s="257"/>
      <c r="AL356" s="257"/>
      <c r="AM356" s="257"/>
      <c r="AN356" s="257"/>
      <c r="AO356" s="257"/>
      <c r="AP356" s="257"/>
      <c r="AQ356" s="257"/>
      <c r="AR356" s="257"/>
      <c r="AS356" s="257"/>
      <c r="AT356" s="257"/>
      <c r="AU356" s="257"/>
      <c r="AV356" s="258"/>
      <c r="AW356" s="258"/>
      <c r="AX356" s="258"/>
      <c r="AY356" s="258"/>
      <c r="AZ356" s="257"/>
    </row>
    <row r="357" spans="27:52" x14ac:dyDescent="0.45">
      <c r="AA357" s="257"/>
      <c r="AB357" s="257"/>
      <c r="AC357" s="257"/>
      <c r="AD357" s="257"/>
      <c r="AE357" s="257"/>
      <c r="AF357" s="257"/>
      <c r="AG357" s="257"/>
      <c r="AH357" s="257"/>
      <c r="AI357" s="257"/>
      <c r="AJ357" s="258"/>
      <c r="AK357" s="257"/>
      <c r="AL357" s="257"/>
      <c r="AM357" s="257"/>
      <c r="AN357" s="257"/>
      <c r="AO357" s="257"/>
      <c r="AP357" s="257"/>
      <c r="AQ357" s="257"/>
      <c r="AR357" s="257"/>
      <c r="AS357" s="257"/>
      <c r="AT357" s="257"/>
      <c r="AU357" s="257"/>
      <c r="AV357" s="258"/>
      <c r="AW357" s="258"/>
      <c r="AX357" s="258"/>
      <c r="AY357" s="258"/>
      <c r="AZ357" s="257"/>
    </row>
    <row r="358" spans="27:52" x14ac:dyDescent="0.45">
      <c r="AA358" s="257"/>
      <c r="AB358" s="257"/>
      <c r="AC358" s="257"/>
      <c r="AD358" s="257"/>
      <c r="AE358" s="257"/>
      <c r="AF358" s="257"/>
      <c r="AG358" s="257"/>
      <c r="AH358" s="257"/>
      <c r="AI358" s="257"/>
      <c r="AJ358" s="258"/>
      <c r="AK358" s="257"/>
      <c r="AL358" s="257"/>
      <c r="AM358" s="257"/>
      <c r="AN358" s="257"/>
      <c r="AO358" s="257"/>
      <c r="AP358" s="257"/>
      <c r="AQ358" s="257"/>
      <c r="AR358" s="257"/>
      <c r="AS358" s="257"/>
      <c r="AT358" s="257"/>
      <c r="AU358" s="257"/>
      <c r="AV358" s="258"/>
      <c r="AW358" s="258"/>
      <c r="AX358" s="258"/>
      <c r="AY358" s="258"/>
      <c r="AZ358" s="257"/>
    </row>
    <row r="359" spans="27:52" x14ac:dyDescent="0.45">
      <c r="AA359" s="257"/>
      <c r="AB359" s="257"/>
      <c r="AC359" s="257"/>
      <c r="AD359" s="257"/>
      <c r="AE359" s="257"/>
      <c r="AF359" s="257"/>
      <c r="AG359" s="257"/>
      <c r="AH359" s="257"/>
      <c r="AI359" s="257"/>
      <c r="AJ359" s="258"/>
      <c r="AK359" s="257"/>
      <c r="AL359" s="257"/>
      <c r="AM359" s="257"/>
      <c r="AN359" s="257"/>
      <c r="AO359" s="257"/>
      <c r="AP359" s="257"/>
      <c r="AQ359" s="257"/>
      <c r="AR359" s="257"/>
      <c r="AS359" s="257"/>
      <c r="AT359" s="257"/>
      <c r="AU359" s="257"/>
      <c r="AV359" s="258"/>
      <c r="AW359" s="258"/>
      <c r="AX359" s="258"/>
      <c r="AY359" s="258"/>
      <c r="AZ359" s="257"/>
    </row>
    <row r="360" spans="27:52" x14ac:dyDescent="0.45">
      <c r="AA360" s="257"/>
      <c r="AB360" s="257"/>
      <c r="AC360" s="257"/>
      <c r="AD360" s="257"/>
      <c r="AE360" s="257"/>
      <c r="AF360" s="257"/>
      <c r="AG360" s="257"/>
      <c r="AH360" s="257"/>
      <c r="AI360" s="257"/>
      <c r="AJ360" s="258"/>
      <c r="AK360" s="257"/>
      <c r="AL360" s="257"/>
      <c r="AM360" s="257"/>
      <c r="AN360" s="257"/>
      <c r="AO360" s="257"/>
      <c r="AP360" s="257"/>
      <c r="AQ360" s="257"/>
      <c r="AR360" s="257"/>
      <c r="AS360" s="257"/>
      <c r="AT360" s="257"/>
      <c r="AU360" s="257"/>
      <c r="AV360" s="258"/>
      <c r="AW360" s="258"/>
      <c r="AX360" s="258"/>
      <c r="AY360" s="258"/>
      <c r="AZ360" s="257"/>
    </row>
    <row r="361" spans="27:52" x14ac:dyDescent="0.45">
      <c r="AA361" s="257"/>
      <c r="AB361" s="257"/>
      <c r="AC361" s="257"/>
      <c r="AD361" s="257"/>
      <c r="AE361" s="257"/>
      <c r="AF361" s="257"/>
      <c r="AG361" s="257"/>
      <c r="AH361" s="257"/>
      <c r="AI361" s="257"/>
      <c r="AJ361" s="258"/>
      <c r="AK361" s="257"/>
      <c r="AL361" s="257"/>
      <c r="AM361" s="257"/>
      <c r="AN361" s="257"/>
      <c r="AO361" s="257"/>
      <c r="AP361" s="257"/>
      <c r="AQ361" s="257"/>
      <c r="AR361" s="257"/>
      <c r="AS361" s="257"/>
      <c r="AT361" s="257"/>
      <c r="AU361" s="257"/>
      <c r="AV361" s="258"/>
      <c r="AW361" s="258"/>
      <c r="AX361" s="258"/>
      <c r="AY361" s="258"/>
      <c r="AZ361" s="257"/>
    </row>
    <row r="362" spans="27:52" x14ac:dyDescent="0.45">
      <c r="AA362" s="257"/>
      <c r="AB362" s="257"/>
      <c r="AC362" s="257"/>
      <c r="AD362" s="257"/>
      <c r="AE362" s="257"/>
      <c r="AF362" s="257"/>
      <c r="AG362" s="257"/>
      <c r="AH362" s="257"/>
      <c r="AI362" s="257"/>
      <c r="AJ362" s="258"/>
      <c r="AK362" s="257"/>
      <c r="AL362" s="257"/>
      <c r="AM362" s="257"/>
      <c r="AN362" s="257"/>
      <c r="AO362" s="257"/>
      <c r="AP362" s="257"/>
      <c r="AQ362" s="257"/>
      <c r="AR362" s="257"/>
      <c r="AS362" s="257"/>
      <c r="AT362" s="257"/>
      <c r="AU362" s="257"/>
      <c r="AV362" s="258"/>
      <c r="AW362" s="258"/>
      <c r="AX362" s="258"/>
      <c r="AY362" s="258"/>
      <c r="AZ362" s="257"/>
    </row>
    <row r="363" spans="27:52" x14ac:dyDescent="0.45">
      <c r="AA363" s="257"/>
      <c r="AB363" s="257"/>
      <c r="AC363" s="257"/>
      <c r="AD363" s="257"/>
      <c r="AE363" s="257"/>
      <c r="AF363" s="257"/>
      <c r="AG363" s="257"/>
      <c r="AH363" s="257"/>
      <c r="AI363" s="257"/>
      <c r="AJ363" s="258"/>
      <c r="AK363" s="257"/>
      <c r="AL363" s="257"/>
      <c r="AM363" s="257"/>
      <c r="AN363" s="257"/>
      <c r="AO363" s="257"/>
      <c r="AP363" s="257"/>
      <c r="AQ363" s="257"/>
      <c r="AR363" s="257"/>
      <c r="AS363" s="257"/>
      <c r="AT363" s="257"/>
      <c r="AU363" s="257"/>
      <c r="AV363" s="258"/>
      <c r="AW363" s="258"/>
      <c r="AX363" s="258"/>
      <c r="AY363" s="258"/>
      <c r="AZ363" s="257"/>
    </row>
    <row r="364" spans="27:52" x14ac:dyDescent="0.45">
      <c r="AA364" s="257"/>
      <c r="AB364" s="257"/>
      <c r="AC364" s="257"/>
      <c r="AD364" s="257"/>
      <c r="AE364" s="257"/>
      <c r="AF364" s="257"/>
      <c r="AG364" s="257"/>
      <c r="AH364" s="257"/>
      <c r="AI364" s="257"/>
      <c r="AJ364" s="258"/>
      <c r="AK364" s="257"/>
      <c r="AL364" s="257"/>
      <c r="AM364" s="257"/>
      <c r="AN364" s="257"/>
      <c r="AO364" s="257"/>
      <c r="AP364" s="257"/>
      <c r="AQ364" s="257"/>
      <c r="AR364" s="257"/>
      <c r="AS364" s="257"/>
      <c r="AT364" s="257"/>
      <c r="AU364" s="257"/>
      <c r="AV364" s="258"/>
      <c r="AW364" s="258"/>
      <c r="AX364" s="258"/>
      <c r="AY364" s="258"/>
      <c r="AZ364" s="257"/>
    </row>
    <row r="365" spans="27:52" x14ac:dyDescent="0.45">
      <c r="AA365" s="257"/>
      <c r="AB365" s="257"/>
      <c r="AC365" s="257"/>
      <c r="AD365" s="257"/>
      <c r="AE365" s="257"/>
      <c r="AF365" s="257"/>
      <c r="AG365" s="257"/>
      <c r="AH365" s="257"/>
      <c r="AI365" s="257"/>
      <c r="AJ365" s="258"/>
      <c r="AK365" s="257"/>
      <c r="AL365" s="257"/>
      <c r="AM365" s="257"/>
      <c r="AN365" s="257"/>
      <c r="AO365" s="257"/>
      <c r="AP365" s="257"/>
      <c r="AQ365" s="257"/>
      <c r="AR365" s="257"/>
      <c r="AS365" s="257"/>
      <c r="AT365" s="257"/>
      <c r="AU365" s="257"/>
      <c r="AV365" s="258"/>
      <c r="AW365" s="258"/>
      <c r="AX365" s="258"/>
      <c r="AY365" s="258"/>
      <c r="AZ365" s="257"/>
    </row>
    <row r="366" spans="27:52" x14ac:dyDescent="0.45">
      <c r="AA366" s="257"/>
      <c r="AB366" s="257"/>
      <c r="AC366" s="257"/>
      <c r="AD366" s="257"/>
      <c r="AE366" s="257"/>
      <c r="AF366" s="257"/>
      <c r="AG366" s="257"/>
      <c r="AH366" s="257"/>
      <c r="AI366" s="257"/>
      <c r="AJ366" s="258"/>
      <c r="AK366" s="257"/>
      <c r="AL366" s="257"/>
      <c r="AM366" s="257"/>
      <c r="AN366" s="257"/>
      <c r="AO366" s="257"/>
      <c r="AP366" s="257"/>
      <c r="AQ366" s="257"/>
      <c r="AR366" s="257"/>
      <c r="AS366" s="257"/>
      <c r="AT366" s="257"/>
      <c r="AU366" s="257"/>
      <c r="AV366" s="258"/>
      <c r="AW366" s="258"/>
      <c r="AX366" s="258"/>
      <c r="AY366" s="258"/>
      <c r="AZ366" s="257"/>
    </row>
    <row r="367" spans="27:52" x14ac:dyDescent="0.45">
      <c r="AA367" s="257"/>
      <c r="AB367" s="257"/>
      <c r="AC367" s="257"/>
      <c r="AD367" s="257"/>
      <c r="AE367" s="257"/>
      <c r="AF367" s="257"/>
      <c r="AG367" s="257"/>
      <c r="AH367" s="257"/>
      <c r="AI367" s="257"/>
      <c r="AJ367" s="258"/>
      <c r="AK367" s="257"/>
      <c r="AL367" s="257"/>
      <c r="AM367" s="257"/>
      <c r="AN367" s="257"/>
      <c r="AO367" s="257"/>
      <c r="AP367" s="257"/>
      <c r="AQ367" s="257"/>
      <c r="AR367" s="257"/>
      <c r="AS367" s="257"/>
      <c r="AT367" s="257"/>
      <c r="AU367" s="257"/>
      <c r="AV367" s="258"/>
      <c r="AW367" s="258"/>
      <c r="AX367" s="258"/>
      <c r="AY367" s="258"/>
      <c r="AZ367" s="257"/>
    </row>
    <row r="368" spans="27:52" x14ac:dyDescent="0.45">
      <c r="AA368" s="257"/>
      <c r="AB368" s="257"/>
      <c r="AC368" s="257"/>
      <c r="AD368" s="257"/>
      <c r="AE368" s="257"/>
      <c r="AF368" s="257"/>
      <c r="AG368" s="257"/>
      <c r="AH368" s="257"/>
      <c r="AI368" s="257"/>
      <c r="AJ368" s="258"/>
      <c r="AK368" s="257"/>
      <c r="AL368" s="257"/>
      <c r="AM368" s="257"/>
      <c r="AN368" s="257"/>
      <c r="AO368" s="257"/>
      <c r="AP368" s="257"/>
      <c r="AQ368" s="257"/>
      <c r="AR368" s="257"/>
      <c r="AS368" s="257"/>
      <c r="AT368" s="257"/>
      <c r="AU368" s="257"/>
      <c r="AV368" s="258"/>
      <c r="AW368" s="258"/>
      <c r="AX368" s="258"/>
      <c r="AY368" s="258"/>
      <c r="AZ368" s="257"/>
    </row>
    <row r="369" spans="27:52" x14ac:dyDescent="0.45">
      <c r="AA369" s="257"/>
      <c r="AB369" s="257"/>
      <c r="AC369" s="257"/>
      <c r="AD369" s="257"/>
      <c r="AE369" s="257"/>
      <c r="AF369" s="257"/>
      <c r="AG369" s="257"/>
      <c r="AH369" s="257"/>
      <c r="AI369" s="257"/>
      <c r="AJ369" s="258"/>
      <c r="AK369" s="257"/>
      <c r="AL369" s="257"/>
      <c r="AM369" s="257"/>
      <c r="AN369" s="257"/>
      <c r="AO369" s="257"/>
      <c r="AP369" s="257"/>
      <c r="AQ369" s="257"/>
      <c r="AR369" s="257"/>
      <c r="AS369" s="257"/>
      <c r="AT369" s="257"/>
      <c r="AU369" s="257"/>
      <c r="AV369" s="258"/>
      <c r="AW369" s="258"/>
      <c r="AX369" s="258"/>
      <c r="AY369" s="258"/>
      <c r="AZ369" s="257"/>
    </row>
    <row r="370" spans="27:52" x14ac:dyDescent="0.45">
      <c r="AA370" s="257"/>
      <c r="AB370" s="257"/>
      <c r="AC370" s="257"/>
      <c r="AD370" s="257"/>
      <c r="AE370" s="257"/>
      <c r="AF370" s="257"/>
      <c r="AG370" s="257"/>
      <c r="AH370" s="257"/>
      <c r="AI370" s="257"/>
      <c r="AJ370" s="258"/>
      <c r="AK370" s="257"/>
      <c r="AL370" s="257"/>
      <c r="AM370" s="257"/>
      <c r="AN370" s="257"/>
      <c r="AO370" s="257"/>
      <c r="AP370" s="257"/>
      <c r="AQ370" s="257"/>
      <c r="AR370" s="257"/>
      <c r="AS370" s="257"/>
      <c r="AT370" s="257"/>
      <c r="AU370" s="257"/>
      <c r="AV370" s="258"/>
      <c r="AW370" s="258"/>
      <c r="AX370" s="258"/>
      <c r="AY370" s="258"/>
      <c r="AZ370" s="257"/>
    </row>
    <row r="371" spans="27:52" x14ac:dyDescent="0.45">
      <c r="AA371" s="257"/>
      <c r="AB371" s="257"/>
      <c r="AC371" s="257"/>
      <c r="AD371" s="257"/>
      <c r="AE371" s="257"/>
      <c r="AF371" s="257"/>
      <c r="AG371" s="257"/>
      <c r="AH371" s="257"/>
      <c r="AI371" s="257"/>
      <c r="AJ371" s="258"/>
      <c r="AK371" s="257"/>
      <c r="AL371" s="257"/>
      <c r="AM371" s="257"/>
      <c r="AN371" s="257"/>
      <c r="AO371" s="257"/>
      <c r="AP371" s="257"/>
      <c r="AQ371" s="257"/>
      <c r="AR371" s="257"/>
      <c r="AS371" s="257"/>
      <c r="AT371" s="257"/>
      <c r="AU371" s="257"/>
      <c r="AV371" s="258"/>
      <c r="AW371" s="258"/>
      <c r="AX371" s="258"/>
      <c r="AY371" s="258"/>
      <c r="AZ371" s="257"/>
    </row>
    <row r="372" spans="27:52" x14ac:dyDescent="0.45">
      <c r="AA372" s="257"/>
      <c r="AB372" s="257"/>
      <c r="AC372" s="257"/>
      <c r="AD372" s="257"/>
      <c r="AE372" s="257"/>
      <c r="AF372" s="257"/>
      <c r="AG372" s="257"/>
      <c r="AH372" s="257"/>
      <c r="AI372" s="257"/>
      <c r="AJ372" s="258"/>
      <c r="AK372" s="257"/>
      <c r="AL372" s="257"/>
      <c r="AM372" s="257"/>
      <c r="AN372" s="257"/>
      <c r="AO372" s="257"/>
      <c r="AP372" s="257"/>
      <c r="AQ372" s="257"/>
      <c r="AR372" s="257"/>
      <c r="AS372" s="257"/>
      <c r="AT372" s="257"/>
      <c r="AU372" s="257"/>
      <c r="AV372" s="258"/>
      <c r="AW372" s="258"/>
      <c r="AX372" s="258"/>
      <c r="AY372" s="258"/>
      <c r="AZ372" s="257"/>
    </row>
    <row r="373" spans="27:52" x14ac:dyDescent="0.45">
      <c r="AA373" s="257"/>
      <c r="AB373" s="257"/>
      <c r="AC373" s="257"/>
      <c r="AD373" s="257"/>
      <c r="AE373" s="257"/>
      <c r="AF373" s="257"/>
      <c r="AG373" s="257"/>
      <c r="AH373" s="257"/>
      <c r="AI373" s="257"/>
      <c r="AJ373" s="258"/>
      <c r="AK373" s="257"/>
      <c r="AL373" s="257"/>
      <c r="AM373" s="257"/>
      <c r="AN373" s="257"/>
      <c r="AO373" s="257"/>
      <c r="AP373" s="257"/>
      <c r="AQ373" s="257"/>
      <c r="AR373" s="257"/>
      <c r="AS373" s="257"/>
      <c r="AT373" s="257"/>
      <c r="AU373" s="257"/>
      <c r="AV373" s="258"/>
      <c r="AW373" s="258"/>
      <c r="AX373" s="258"/>
      <c r="AY373" s="258"/>
      <c r="AZ373" s="257"/>
    </row>
    <row r="374" spans="27:52" x14ac:dyDescent="0.45">
      <c r="AA374" s="257"/>
      <c r="AB374" s="257"/>
      <c r="AC374" s="257"/>
      <c r="AD374" s="257"/>
      <c r="AE374" s="257"/>
      <c r="AF374" s="257"/>
      <c r="AG374" s="257"/>
      <c r="AH374" s="257"/>
      <c r="AI374" s="257"/>
      <c r="AJ374" s="258"/>
      <c r="AK374" s="257"/>
      <c r="AL374" s="257"/>
      <c r="AM374" s="257"/>
      <c r="AN374" s="257"/>
      <c r="AO374" s="257"/>
      <c r="AP374" s="257"/>
      <c r="AQ374" s="257"/>
      <c r="AR374" s="257"/>
      <c r="AS374" s="257"/>
      <c r="AT374" s="257"/>
      <c r="AU374" s="257"/>
      <c r="AV374" s="258"/>
      <c r="AW374" s="258"/>
      <c r="AX374" s="258"/>
      <c r="AY374" s="258"/>
      <c r="AZ374" s="257"/>
    </row>
    <row r="375" spans="27:52" x14ac:dyDescent="0.45">
      <c r="AA375" s="257"/>
      <c r="AB375" s="257"/>
      <c r="AC375" s="257"/>
      <c r="AD375" s="257"/>
      <c r="AE375" s="257"/>
      <c r="AF375" s="257"/>
      <c r="AG375" s="257"/>
      <c r="AH375" s="257"/>
      <c r="AI375" s="257"/>
      <c r="AJ375" s="258"/>
      <c r="AK375" s="257"/>
      <c r="AL375" s="257"/>
      <c r="AM375" s="257"/>
      <c r="AN375" s="257"/>
      <c r="AO375" s="257"/>
      <c r="AP375" s="257"/>
      <c r="AQ375" s="257"/>
      <c r="AR375" s="257"/>
      <c r="AS375" s="257"/>
      <c r="AT375" s="257"/>
      <c r="AU375" s="257"/>
      <c r="AV375" s="258"/>
      <c r="AW375" s="258"/>
      <c r="AX375" s="258"/>
      <c r="AY375" s="258"/>
      <c r="AZ375" s="257"/>
    </row>
    <row r="376" spans="27:52" x14ac:dyDescent="0.45">
      <c r="AA376" s="257"/>
      <c r="AB376" s="257"/>
      <c r="AC376" s="257"/>
      <c r="AD376" s="257"/>
      <c r="AE376" s="257"/>
      <c r="AF376" s="257"/>
      <c r="AG376" s="257"/>
      <c r="AH376" s="257"/>
      <c r="AI376" s="257"/>
      <c r="AJ376" s="258"/>
      <c r="AK376" s="257"/>
      <c r="AL376" s="257"/>
      <c r="AM376" s="257"/>
      <c r="AN376" s="257"/>
      <c r="AO376" s="257"/>
      <c r="AP376" s="257"/>
      <c r="AQ376" s="257"/>
      <c r="AR376" s="257"/>
      <c r="AS376" s="257"/>
      <c r="AT376" s="257"/>
      <c r="AU376" s="257"/>
      <c r="AV376" s="258"/>
      <c r="AW376" s="258"/>
      <c r="AX376" s="258"/>
      <c r="AY376" s="258"/>
      <c r="AZ376" s="257"/>
    </row>
    <row r="377" spans="27:52" x14ac:dyDescent="0.45">
      <c r="AA377" s="257"/>
      <c r="AB377" s="257"/>
      <c r="AC377" s="257"/>
      <c r="AD377" s="257"/>
      <c r="AE377" s="257"/>
      <c r="AF377" s="257"/>
      <c r="AG377" s="257"/>
      <c r="AH377" s="257"/>
      <c r="AI377" s="257"/>
      <c r="AJ377" s="258"/>
      <c r="AK377" s="257"/>
      <c r="AL377" s="257"/>
      <c r="AM377" s="257"/>
      <c r="AN377" s="257"/>
      <c r="AO377" s="257"/>
      <c r="AP377" s="257"/>
      <c r="AQ377" s="257"/>
      <c r="AR377" s="257"/>
      <c r="AS377" s="257"/>
      <c r="AT377" s="257"/>
      <c r="AU377" s="257"/>
      <c r="AV377" s="258"/>
      <c r="AW377" s="258"/>
      <c r="AX377" s="258"/>
      <c r="AY377" s="258"/>
      <c r="AZ377" s="257"/>
    </row>
    <row r="378" spans="27:52" x14ac:dyDescent="0.45">
      <c r="AA378" s="257"/>
      <c r="AB378" s="257"/>
      <c r="AC378" s="257"/>
      <c r="AD378" s="257"/>
      <c r="AE378" s="257"/>
      <c r="AF378" s="257"/>
      <c r="AG378" s="257"/>
      <c r="AH378" s="257"/>
      <c r="AI378" s="257"/>
      <c r="AJ378" s="258"/>
      <c r="AK378" s="257"/>
      <c r="AL378" s="257"/>
      <c r="AM378" s="257"/>
      <c r="AN378" s="257"/>
      <c r="AO378" s="257"/>
      <c r="AP378" s="257"/>
      <c r="AQ378" s="257"/>
      <c r="AR378" s="257"/>
      <c r="AS378" s="257"/>
      <c r="AT378" s="257"/>
      <c r="AU378" s="257"/>
      <c r="AV378" s="258"/>
      <c r="AW378" s="258"/>
      <c r="AX378" s="258"/>
      <c r="AY378" s="258"/>
      <c r="AZ378" s="257"/>
    </row>
    <row r="379" spans="27:52" x14ac:dyDescent="0.45">
      <c r="AA379" s="257"/>
      <c r="AB379" s="257"/>
      <c r="AC379" s="257"/>
      <c r="AD379" s="257"/>
      <c r="AE379" s="257"/>
      <c r="AF379" s="257"/>
      <c r="AG379" s="257"/>
      <c r="AH379" s="257"/>
      <c r="AI379" s="257"/>
      <c r="AJ379" s="258"/>
      <c r="AK379" s="257"/>
      <c r="AL379" s="257"/>
      <c r="AM379" s="257"/>
      <c r="AN379" s="257"/>
      <c r="AO379" s="257"/>
      <c r="AP379" s="257"/>
      <c r="AQ379" s="257"/>
      <c r="AR379" s="257"/>
      <c r="AS379" s="257"/>
      <c r="AT379" s="257"/>
      <c r="AU379" s="257"/>
      <c r="AV379" s="258"/>
      <c r="AW379" s="258"/>
      <c r="AX379" s="258"/>
      <c r="AY379" s="258"/>
      <c r="AZ379" s="257"/>
    </row>
    <row r="380" spans="27:52" x14ac:dyDescent="0.45">
      <c r="AA380" s="257"/>
      <c r="AB380" s="257"/>
      <c r="AC380" s="257"/>
      <c r="AD380" s="257"/>
      <c r="AE380" s="257"/>
      <c r="AF380" s="257"/>
      <c r="AG380" s="257"/>
      <c r="AH380" s="257"/>
      <c r="AI380" s="257"/>
      <c r="AJ380" s="258"/>
      <c r="AK380" s="257"/>
      <c r="AL380" s="257"/>
      <c r="AM380" s="257"/>
      <c r="AN380" s="257"/>
      <c r="AO380" s="257"/>
      <c r="AP380" s="257"/>
      <c r="AQ380" s="257"/>
      <c r="AR380" s="257"/>
      <c r="AS380" s="257"/>
      <c r="AT380" s="257"/>
      <c r="AU380" s="257"/>
      <c r="AV380" s="258"/>
      <c r="AW380" s="258"/>
      <c r="AX380" s="258"/>
      <c r="AY380" s="258"/>
      <c r="AZ380" s="257"/>
    </row>
    <row r="381" spans="27:52" x14ac:dyDescent="0.45">
      <c r="AA381" s="257"/>
      <c r="AB381" s="257"/>
      <c r="AC381" s="257"/>
      <c r="AD381" s="257"/>
      <c r="AE381" s="257"/>
      <c r="AF381" s="257"/>
      <c r="AG381" s="257"/>
      <c r="AH381" s="257"/>
      <c r="AI381" s="257"/>
      <c r="AJ381" s="258"/>
      <c r="AK381" s="257"/>
      <c r="AL381" s="257"/>
      <c r="AM381" s="257"/>
      <c r="AN381" s="257"/>
      <c r="AO381" s="257"/>
      <c r="AP381" s="257"/>
      <c r="AQ381" s="257"/>
      <c r="AR381" s="257"/>
      <c r="AS381" s="257"/>
      <c r="AT381" s="257"/>
      <c r="AU381" s="257"/>
      <c r="AV381" s="258"/>
      <c r="AW381" s="258"/>
      <c r="AX381" s="258"/>
      <c r="AY381" s="258"/>
      <c r="AZ381" s="257"/>
    </row>
    <row r="382" spans="27:52" x14ac:dyDescent="0.45">
      <c r="AA382" s="257"/>
      <c r="AB382" s="257"/>
      <c r="AC382" s="257"/>
      <c r="AD382" s="257"/>
      <c r="AE382" s="257"/>
      <c r="AF382" s="257"/>
      <c r="AG382" s="257"/>
      <c r="AH382" s="257"/>
      <c r="AI382" s="257"/>
      <c r="AJ382" s="258"/>
      <c r="AK382" s="257"/>
      <c r="AL382" s="257"/>
      <c r="AM382" s="257"/>
      <c r="AN382" s="257"/>
      <c r="AO382" s="257"/>
      <c r="AP382" s="257"/>
      <c r="AQ382" s="257"/>
      <c r="AR382" s="257"/>
      <c r="AS382" s="257"/>
      <c r="AT382" s="257"/>
      <c r="AU382" s="257"/>
      <c r="AV382" s="258"/>
      <c r="AW382" s="258"/>
      <c r="AX382" s="258"/>
      <c r="AY382" s="258"/>
      <c r="AZ382" s="257"/>
    </row>
    <row r="383" spans="27:52" x14ac:dyDescent="0.45">
      <c r="AA383" s="257"/>
      <c r="AB383" s="257"/>
      <c r="AC383" s="257"/>
      <c r="AD383" s="257"/>
      <c r="AE383" s="257"/>
      <c r="AF383" s="257"/>
      <c r="AG383" s="257"/>
      <c r="AH383" s="257"/>
      <c r="AI383" s="257"/>
      <c r="AJ383" s="258"/>
      <c r="AK383" s="257"/>
      <c r="AL383" s="257"/>
      <c r="AM383" s="257"/>
      <c r="AN383" s="257"/>
      <c r="AO383" s="257"/>
      <c r="AP383" s="257"/>
      <c r="AQ383" s="257"/>
      <c r="AR383" s="257"/>
      <c r="AS383" s="257"/>
      <c r="AT383" s="257"/>
      <c r="AU383" s="257"/>
      <c r="AV383" s="258"/>
      <c r="AW383" s="258"/>
      <c r="AX383" s="258"/>
      <c r="AY383" s="258"/>
      <c r="AZ383" s="257"/>
    </row>
    <row r="384" spans="27:52" x14ac:dyDescent="0.45">
      <c r="AA384" s="257"/>
      <c r="AB384" s="257"/>
      <c r="AC384" s="257"/>
      <c r="AD384" s="257"/>
      <c r="AE384" s="257"/>
      <c r="AF384" s="257"/>
      <c r="AG384" s="257"/>
      <c r="AH384" s="257"/>
      <c r="AI384" s="257"/>
      <c r="AJ384" s="258"/>
      <c r="AK384" s="257"/>
      <c r="AL384" s="257"/>
      <c r="AM384" s="257"/>
      <c r="AN384" s="257"/>
      <c r="AO384" s="257"/>
      <c r="AP384" s="257"/>
      <c r="AQ384" s="257"/>
      <c r="AR384" s="257"/>
      <c r="AS384" s="257"/>
      <c r="AT384" s="257"/>
      <c r="AU384" s="257"/>
      <c r="AV384" s="258"/>
      <c r="AW384" s="258"/>
      <c r="AX384" s="258"/>
      <c r="AY384" s="258"/>
      <c r="AZ384" s="257"/>
    </row>
    <row r="385" spans="27:52" x14ac:dyDescent="0.45">
      <c r="AA385" s="257"/>
      <c r="AB385" s="257"/>
      <c r="AC385" s="257"/>
      <c r="AD385" s="257"/>
      <c r="AE385" s="257"/>
      <c r="AF385" s="257"/>
      <c r="AG385" s="257"/>
      <c r="AH385" s="257"/>
      <c r="AI385" s="257"/>
      <c r="AJ385" s="258"/>
      <c r="AK385" s="257"/>
      <c r="AL385" s="257"/>
      <c r="AM385" s="257"/>
      <c r="AN385" s="257"/>
      <c r="AO385" s="257"/>
      <c r="AP385" s="257"/>
      <c r="AQ385" s="257"/>
      <c r="AR385" s="257"/>
      <c r="AS385" s="257"/>
      <c r="AT385" s="257"/>
      <c r="AU385" s="257"/>
      <c r="AV385" s="258"/>
      <c r="AW385" s="258"/>
      <c r="AX385" s="258"/>
      <c r="AY385" s="258"/>
      <c r="AZ385" s="257"/>
    </row>
    <row r="386" spans="27:52" x14ac:dyDescent="0.45">
      <c r="AA386" s="257"/>
      <c r="AB386" s="257"/>
      <c r="AC386" s="257"/>
      <c r="AD386" s="257"/>
      <c r="AE386" s="257"/>
      <c r="AF386" s="257"/>
      <c r="AG386" s="257"/>
      <c r="AH386" s="257"/>
      <c r="AI386" s="257"/>
      <c r="AJ386" s="258"/>
      <c r="AK386" s="257"/>
      <c r="AL386" s="257"/>
      <c r="AM386" s="257"/>
      <c r="AN386" s="257"/>
      <c r="AO386" s="257"/>
      <c r="AP386" s="257"/>
      <c r="AQ386" s="257"/>
      <c r="AR386" s="257"/>
      <c r="AS386" s="257"/>
      <c r="AT386" s="257"/>
      <c r="AU386" s="257"/>
      <c r="AV386" s="258"/>
      <c r="AW386" s="258"/>
      <c r="AX386" s="258"/>
      <c r="AY386" s="258"/>
      <c r="AZ386" s="257"/>
    </row>
    <row r="387" spans="27:52" x14ac:dyDescent="0.45">
      <c r="AA387" s="257"/>
      <c r="AB387" s="257"/>
      <c r="AC387" s="257"/>
      <c r="AD387" s="257"/>
      <c r="AE387" s="257"/>
      <c r="AF387" s="257"/>
      <c r="AG387" s="257"/>
      <c r="AH387" s="257"/>
      <c r="AI387" s="257"/>
      <c r="AJ387" s="258"/>
      <c r="AK387" s="257"/>
      <c r="AL387" s="257"/>
      <c r="AM387" s="257"/>
      <c r="AN387" s="257"/>
      <c r="AO387" s="257"/>
      <c r="AP387" s="257"/>
      <c r="AQ387" s="257"/>
      <c r="AR387" s="257"/>
      <c r="AS387" s="257"/>
      <c r="AT387" s="257"/>
      <c r="AU387" s="257"/>
      <c r="AV387" s="258"/>
      <c r="AW387" s="258"/>
      <c r="AX387" s="258"/>
      <c r="AY387" s="258"/>
      <c r="AZ387" s="257"/>
    </row>
    <row r="388" spans="27:52" x14ac:dyDescent="0.45">
      <c r="AA388" s="257"/>
      <c r="AB388" s="257"/>
      <c r="AC388" s="257"/>
      <c r="AD388" s="257"/>
      <c r="AE388" s="257"/>
      <c r="AF388" s="257"/>
      <c r="AG388" s="257"/>
      <c r="AH388" s="257"/>
      <c r="AI388" s="257"/>
      <c r="AJ388" s="258"/>
      <c r="AK388" s="257"/>
      <c r="AL388" s="257"/>
      <c r="AM388" s="257"/>
      <c r="AN388" s="257"/>
      <c r="AO388" s="257"/>
      <c r="AP388" s="257"/>
      <c r="AQ388" s="257"/>
      <c r="AR388" s="257"/>
      <c r="AS388" s="257"/>
      <c r="AT388" s="257"/>
      <c r="AU388" s="257"/>
      <c r="AV388" s="258"/>
      <c r="AW388" s="258"/>
      <c r="AX388" s="258"/>
      <c r="AY388" s="258"/>
      <c r="AZ388" s="257"/>
    </row>
    <row r="389" spans="27:52" x14ac:dyDescent="0.45">
      <c r="AA389" s="257"/>
      <c r="AB389" s="257"/>
      <c r="AC389" s="257"/>
      <c r="AD389" s="257"/>
      <c r="AE389" s="257"/>
      <c r="AF389" s="257"/>
      <c r="AG389" s="257"/>
      <c r="AH389" s="257"/>
      <c r="AI389" s="257"/>
      <c r="AJ389" s="258"/>
      <c r="AK389" s="257"/>
      <c r="AL389" s="257"/>
      <c r="AM389" s="257"/>
      <c r="AN389" s="257"/>
      <c r="AO389" s="257"/>
      <c r="AP389" s="257"/>
      <c r="AQ389" s="257"/>
      <c r="AR389" s="257"/>
      <c r="AS389" s="257"/>
      <c r="AT389" s="257"/>
      <c r="AU389" s="257"/>
      <c r="AV389" s="258"/>
      <c r="AW389" s="258"/>
      <c r="AX389" s="258"/>
      <c r="AY389" s="258"/>
      <c r="AZ389" s="257"/>
    </row>
    <row r="390" spans="27:52" x14ac:dyDescent="0.45">
      <c r="AA390" s="257"/>
      <c r="AB390" s="257"/>
      <c r="AC390" s="257"/>
      <c r="AD390" s="257"/>
      <c r="AE390" s="257"/>
      <c r="AF390" s="257"/>
      <c r="AG390" s="257"/>
      <c r="AH390" s="257"/>
      <c r="AI390" s="257"/>
      <c r="AJ390" s="258"/>
      <c r="AK390" s="257"/>
      <c r="AL390" s="257"/>
      <c r="AM390" s="257"/>
      <c r="AN390" s="257"/>
      <c r="AO390" s="257"/>
      <c r="AP390" s="257"/>
      <c r="AQ390" s="257"/>
      <c r="AR390" s="257"/>
      <c r="AS390" s="257"/>
      <c r="AT390" s="257"/>
      <c r="AU390" s="257"/>
      <c r="AV390" s="258"/>
      <c r="AW390" s="258"/>
      <c r="AX390" s="258"/>
      <c r="AY390" s="258"/>
      <c r="AZ390" s="257"/>
    </row>
    <row r="391" spans="27:52" x14ac:dyDescent="0.45">
      <c r="AA391" s="257"/>
      <c r="AB391" s="257"/>
      <c r="AC391" s="257"/>
      <c r="AD391" s="257"/>
      <c r="AE391" s="257"/>
      <c r="AF391" s="257"/>
      <c r="AG391" s="257"/>
      <c r="AH391" s="257"/>
      <c r="AI391" s="257"/>
      <c r="AJ391" s="258"/>
      <c r="AK391" s="257"/>
      <c r="AL391" s="257"/>
      <c r="AM391" s="257"/>
      <c r="AN391" s="257"/>
      <c r="AO391" s="257"/>
      <c r="AP391" s="257"/>
      <c r="AQ391" s="257"/>
      <c r="AR391" s="257"/>
      <c r="AS391" s="257"/>
      <c r="AT391" s="257"/>
      <c r="AU391" s="257"/>
      <c r="AV391" s="258"/>
      <c r="AW391" s="258"/>
      <c r="AX391" s="258"/>
      <c r="AY391" s="258"/>
      <c r="AZ391" s="257"/>
    </row>
    <row r="392" spans="27:52" x14ac:dyDescent="0.45">
      <c r="AA392" s="257"/>
      <c r="AB392" s="257"/>
      <c r="AC392" s="257"/>
      <c r="AD392" s="257"/>
      <c r="AE392" s="257"/>
      <c r="AF392" s="257"/>
      <c r="AG392" s="257"/>
      <c r="AH392" s="257"/>
      <c r="AI392" s="257"/>
      <c r="AJ392" s="258"/>
      <c r="AK392" s="257"/>
      <c r="AL392" s="257"/>
      <c r="AM392" s="257"/>
      <c r="AN392" s="257"/>
      <c r="AO392" s="257"/>
      <c r="AP392" s="257"/>
      <c r="AQ392" s="257"/>
      <c r="AR392" s="257"/>
      <c r="AS392" s="257"/>
      <c r="AT392" s="257"/>
      <c r="AU392" s="257"/>
      <c r="AV392" s="258"/>
      <c r="AW392" s="258"/>
      <c r="AX392" s="258"/>
      <c r="AY392" s="258"/>
      <c r="AZ392" s="257"/>
    </row>
    <row r="393" spans="27:52" x14ac:dyDescent="0.45">
      <c r="AA393" s="257"/>
      <c r="AB393" s="257"/>
      <c r="AC393" s="257"/>
      <c r="AD393" s="257"/>
      <c r="AE393" s="257"/>
      <c r="AF393" s="257"/>
      <c r="AG393" s="257"/>
      <c r="AH393" s="257"/>
      <c r="AI393" s="257"/>
      <c r="AJ393" s="258"/>
      <c r="AK393" s="257"/>
      <c r="AL393" s="257"/>
      <c r="AM393" s="257"/>
      <c r="AN393" s="257"/>
      <c r="AO393" s="257"/>
      <c r="AP393" s="257"/>
      <c r="AQ393" s="257"/>
      <c r="AR393" s="257"/>
      <c r="AS393" s="257"/>
      <c r="AT393" s="257"/>
      <c r="AU393" s="257"/>
      <c r="AV393" s="258"/>
      <c r="AW393" s="258"/>
      <c r="AX393" s="258"/>
      <c r="AY393" s="258"/>
      <c r="AZ393" s="257"/>
    </row>
    <row r="394" spans="27:52" x14ac:dyDescent="0.45">
      <c r="AA394" s="257"/>
      <c r="AB394" s="257"/>
      <c r="AC394" s="257"/>
      <c r="AD394" s="257"/>
      <c r="AE394" s="257"/>
      <c r="AF394" s="257"/>
      <c r="AG394" s="257"/>
      <c r="AH394" s="257"/>
      <c r="AI394" s="257"/>
      <c r="AJ394" s="258"/>
      <c r="AK394" s="257"/>
      <c r="AL394" s="257"/>
      <c r="AM394" s="257"/>
      <c r="AN394" s="257"/>
      <c r="AO394" s="257"/>
      <c r="AP394" s="257"/>
      <c r="AQ394" s="257"/>
      <c r="AR394" s="257"/>
      <c r="AS394" s="257"/>
      <c r="AT394" s="257"/>
      <c r="AU394" s="257"/>
      <c r="AV394" s="258"/>
      <c r="AW394" s="258"/>
      <c r="AX394" s="258"/>
      <c r="AY394" s="258"/>
      <c r="AZ394" s="257"/>
    </row>
    <row r="395" spans="27:52" x14ac:dyDescent="0.45">
      <c r="AA395" s="257"/>
      <c r="AB395" s="257"/>
      <c r="AC395" s="257"/>
      <c r="AD395" s="257"/>
      <c r="AE395" s="257"/>
      <c r="AF395" s="257"/>
      <c r="AG395" s="257"/>
      <c r="AH395" s="257"/>
      <c r="AI395" s="257"/>
      <c r="AJ395" s="258"/>
      <c r="AK395" s="257"/>
      <c r="AL395" s="257"/>
      <c r="AM395" s="257"/>
      <c r="AN395" s="257"/>
      <c r="AO395" s="257"/>
      <c r="AP395" s="257"/>
      <c r="AQ395" s="257"/>
      <c r="AR395" s="257"/>
      <c r="AS395" s="257"/>
      <c r="AT395" s="257"/>
      <c r="AU395" s="257"/>
      <c r="AV395" s="258"/>
      <c r="AW395" s="258"/>
      <c r="AX395" s="258"/>
      <c r="AY395" s="258"/>
      <c r="AZ395" s="257"/>
    </row>
    <row r="396" spans="27:52" x14ac:dyDescent="0.45">
      <c r="AA396" s="257"/>
      <c r="AB396" s="257"/>
      <c r="AC396" s="257"/>
      <c r="AD396" s="257"/>
      <c r="AE396" s="257"/>
      <c r="AF396" s="257"/>
      <c r="AG396" s="257"/>
      <c r="AH396" s="257"/>
      <c r="AI396" s="257"/>
      <c r="AJ396" s="258"/>
      <c r="AK396" s="257"/>
      <c r="AL396" s="257"/>
      <c r="AM396" s="257"/>
      <c r="AN396" s="257"/>
      <c r="AO396" s="257"/>
      <c r="AP396" s="257"/>
      <c r="AQ396" s="257"/>
      <c r="AR396" s="257"/>
      <c r="AS396" s="257"/>
      <c r="AT396" s="257"/>
      <c r="AU396" s="257"/>
      <c r="AV396" s="258"/>
      <c r="AW396" s="258"/>
      <c r="AX396" s="258"/>
      <c r="AY396" s="258"/>
      <c r="AZ396" s="257"/>
    </row>
    <row r="397" spans="27:52" x14ac:dyDescent="0.45">
      <c r="AA397" s="257"/>
      <c r="AB397" s="257"/>
      <c r="AC397" s="257"/>
      <c r="AD397" s="257"/>
      <c r="AE397" s="257"/>
      <c r="AF397" s="257"/>
      <c r="AG397" s="257"/>
      <c r="AH397" s="257"/>
      <c r="AI397" s="257"/>
      <c r="AJ397" s="258"/>
      <c r="AK397" s="257"/>
      <c r="AL397" s="257"/>
      <c r="AM397" s="257"/>
      <c r="AN397" s="257"/>
      <c r="AO397" s="257"/>
      <c r="AP397" s="257"/>
      <c r="AQ397" s="257"/>
      <c r="AR397" s="257"/>
      <c r="AS397" s="257"/>
      <c r="AT397" s="257"/>
      <c r="AU397" s="257"/>
      <c r="AV397" s="258"/>
      <c r="AW397" s="258"/>
      <c r="AX397" s="258"/>
      <c r="AY397" s="258"/>
      <c r="AZ397" s="257"/>
    </row>
    <row r="398" spans="27:52" x14ac:dyDescent="0.45">
      <c r="AA398" s="257"/>
      <c r="AB398" s="257"/>
      <c r="AC398" s="257"/>
      <c r="AD398" s="257"/>
      <c r="AE398" s="257"/>
      <c r="AF398" s="257"/>
      <c r="AG398" s="257"/>
      <c r="AH398" s="257"/>
      <c r="AI398" s="257"/>
      <c r="AJ398" s="258"/>
      <c r="AK398" s="257"/>
      <c r="AL398" s="257"/>
      <c r="AM398" s="257"/>
      <c r="AN398" s="257"/>
      <c r="AO398" s="257"/>
      <c r="AP398" s="257"/>
      <c r="AQ398" s="257"/>
      <c r="AR398" s="257"/>
      <c r="AS398" s="257"/>
      <c r="AT398" s="257"/>
      <c r="AU398" s="257"/>
      <c r="AV398" s="258"/>
      <c r="AW398" s="258"/>
      <c r="AX398" s="258"/>
      <c r="AY398" s="258"/>
      <c r="AZ398" s="257"/>
    </row>
    <row r="399" spans="27:52" x14ac:dyDescent="0.45">
      <c r="AA399" s="257"/>
      <c r="AB399" s="257"/>
      <c r="AC399" s="257"/>
      <c r="AD399" s="257"/>
      <c r="AE399" s="257"/>
      <c r="AF399" s="257"/>
      <c r="AG399" s="257"/>
      <c r="AH399" s="257"/>
      <c r="AI399" s="257"/>
      <c r="AJ399" s="258"/>
      <c r="AK399" s="257"/>
      <c r="AL399" s="257"/>
      <c r="AM399" s="257"/>
      <c r="AN399" s="257"/>
      <c r="AO399" s="257"/>
      <c r="AP399" s="257"/>
      <c r="AQ399" s="257"/>
      <c r="AR399" s="257"/>
      <c r="AS399" s="257"/>
      <c r="AT399" s="257"/>
      <c r="AU399" s="257"/>
      <c r="AV399" s="258"/>
      <c r="AW399" s="258"/>
      <c r="AX399" s="258"/>
      <c r="AY399" s="258"/>
      <c r="AZ399" s="257"/>
    </row>
    <row r="400" spans="27:52" x14ac:dyDescent="0.45">
      <c r="AA400" s="257"/>
      <c r="AB400" s="257"/>
      <c r="AC400" s="257"/>
      <c r="AD400" s="257"/>
      <c r="AE400" s="257"/>
      <c r="AF400" s="257"/>
      <c r="AG400" s="257"/>
      <c r="AH400" s="257"/>
      <c r="AI400" s="257"/>
      <c r="AJ400" s="258"/>
      <c r="AK400" s="257"/>
      <c r="AL400" s="257"/>
      <c r="AM400" s="257"/>
      <c r="AN400" s="257"/>
      <c r="AO400" s="257"/>
      <c r="AP400" s="257"/>
      <c r="AQ400" s="257"/>
      <c r="AR400" s="257"/>
      <c r="AS400" s="257"/>
      <c r="AT400" s="257"/>
      <c r="AU400" s="257"/>
      <c r="AV400" s="258"/>
      <c r="AW400" s="258"/>
      <c r="AX400" s="258"/>
      <c r="AY400" s="258"/>
      <c r="AZ400" s="257"/>
    </row>
    <row r="401" spans="27:52" x14ac:dyDescent="0.45">
      <c r="AA401" s="257"/>
      <c r="AB401" s="257"/>
      <c r="AC401" s="257"/>
      <c r="AD401" s="257"/>
      <c r="AE401" s="257"/>
      <c r="AF401" s="257"/>
      <c r="AG401" s="257"/>
      <c r="AH401" s="257"/>
      <c r="AI401" s="257"/>
      <c r="AJ401" s="258"/>
      <c r="AK401" s="257"/>
      <c r="AL401" s="257"/>
      <c r="AM401" s="257"/>
      <c r="AN401" s="257"/>
      <c r="AO401" s="257"/>
      <c r="AP401" s="257"/>
      <c r="AQ401" s="257"/>
      <c r="AR401" s="257"/>
      <c r="AS401" s="257"/>
      <c r="AT401" s="257"/>
      <c r="AU401" s="257"/>
      <c r="AV401" s="258"/>
      <c r="AW401" s="258"/>
      <c r="AX401" s="258"/>
      <c r="AY401" s="258"/>
      <c r="AZ401" s="257"/>
    </row>
    <row r="402" spans="27:52" x14ac:dyDescent="0.45">
      <c r="AA402" s="257"/>
      <c r="AB402" s="257"/>
      <c r="AC402" s="257"/>
      <c r="AD402" s="257"/>
      <c r="AE402" s="257"/>
      <c r="AF402" s="257"/>
      <c r="AG402" s="257"/>
      <c r="AH402" s="257"/>
      <c r="AI402" s="257"/>
      <c r="AJ402" s="258"/>
      <c r="AK402" s="257"/>
      <c r="AL402" s="257"/>
      <c r="AM402" s="257"/>
      <c r="AN402" s="257"/>
      <c r="AO402" s="257"/>
      <c r="AP402" s="257"/>
      <c r="AQ402" s="257"/>
      <c r="AR402" s="257"/>
      <c r="AS402" s="257"/>
      <c r="AT402" s="257"/>
      <c r="AU402" s="257"/>
      <c r="AV402" s="258"/>
      <c r="AW402" s="258"/>
      <c r="AX402" s="258"/>
      <c r="AY402" s="258"/>
      <c r="AZ402" s="257"/>
    </row>
    <row r="403" spans="27:52" x14ac:dyDescent="0.45">
      <c r="AA403" s="257"/>
      <c r="AB403" s="257"/>
      <c r="AC403" s="257"/>
      <c r="AD403" s="257"/>
      <c r="AE403" s="257"/>
      <c r="AF403" s="257"/>
      <c r="AG403" s="257"/>
      <c r="AH403" s="257"/>
      <c r="AI403" s="257"/>
      <c r="AJ403" s="258"/>
      <c r="AK403" s="257"/>
      <c r="AL403" s="257"/>
      <c r="AM403" s="257"/>
      <c r="AN403" s="257"/>
      <c r="AO403" s="257"/>
      <c r="AP403" s="257"/>
      <c r="AQ403" s="257"/>
      <c r="AR403" s="257"/>
      <c r="AS403" s="257"/>
      <c r="AT403" s="257"/>
      <c r="AU403" s="257"/>
      <c r="AV403" s="258"/>
      <c r="AW403" s="258"/>
      <c r="AX403" s="258"/>
      <c r="AY403" s="258"/>
      <c r="AZ403" s="257"/>
    </row>
    <row r="404" spans="27:52" x14ac:dyDescent="0.45">
      <c r="AA404" s="257"/>
      <c r="AB404" s="257"/>
      <c r="AC404" s="257"/>
      <c r="AD404" s="257"/>
      <c r="AE404" s="257"/>
      <c r="AF404" s="257"/>
      <c r="AG404" s="257"/>
      <c r="AH404" s="257"/>
      <c r="AI404" s="257"/>
      <c r="AJ404" s="258"/>
      <c r="AK404" s="257"/>
      <c r="AL404" s="257"/>
      <c r="AM404" s="257"/>
      <c r="AN404" s="257"/>
      <c r="AO404" s="257"/>
      <c r="AP404" s="257"/>
      <c r="AQ404" s="257"/>
      <c r="AR404" s="257"/>
      <c r="AS404" s="257"/>
      <c r="AT404" s="257"/>
      <c r="AU404" s="257"/>
      <c r="AV404" s="258"/>
      <c r="AW404" s="258"/>
      <c r="AX404" s="258"/>
      <c r="AY404" s="258"/>
      <c r="AZ404" s="257"/>
    </row>
    <row r="405" spans="27:52" x14ac:dyDescent="0.45">
      <c r="AA405" s="257"/>
      <c r="AB405" s="257"/>
      <c r="AC405" s="257"/>
      <c r="AD405" s="257"/>
      <c r="AE405" s="257"/>
      <c r="AF405" s="257"/>
      <c r="AG405" s="257"/>
      <c r="AH405" s="257"/>
      <c r="AI405" s="257"/>
      <c r="AJ405" s="258"/>
      <c r="AK405" s="257"/>
      <c r="AL405" s="257"/>
      <c r="AM405" s="257"/>
      <c r="AN405" s="257"/>
      <c r="AO405" s="257"/>
      <c r="AP405" s="257"/>
      <c r="AQ405" s="257"/>
      <c r="AR405" s="257"/>
      <c r="AS405" s="257"/>
      <c r="AT405" s="257"/>
      <c r="AU405" s="257"/>
      <c r="AV405" s="258"/>
      <c r="AW405" s="258"/>
      <c r="AX405" s="258"/>
      <c r="AY405" s="258"/>
      <c r="AZ405" s="257"/>
    </row>
    <row r="406" spans="27:52" x14ac:dyDescent="0.45">
      <c r="AA406" s="257"/>
      <c r="AB406" s="257"/>
      <c r="AC406" s="257"/>
      <c r="AD406" s="257"/>
      <c r="AE406" s="257"/>
      <c r="AF406" s="257"/>
      <c r="AG406" s="257"/>
      <c r="AH406" s="257"/>
      <c r="AI406" s="257"/>
      <c r="AJ406" s="258"/>
      <c r="AK406" s="257"/>
      <c r="AL406" s="257"/>
      <c r="AM406" s="257"/>
      <c r="AN406" s="257"/>
      <c r="AO406" s="257"/>
      <c r="AP406" s="257"/>
      <c r="AQ406" s="257"/>
      <c r="AR406" s="257"/>
      <c r="AS406" s="257"/>
      <c r="AT406" s="257"/>
      <c r="AU406" s="257"/>
      <c r="AV406" s="258"/>
      <c r="AW406" s="258"/>
      <c r="AX406" s="258"/>
      <c r="AY406" s="258"/>
      <c r="AZ406" s="257"/>
    </row>
    <row r="407" spans="27:52" x14ac:dyDescent="0.45">
      <c r="AA407" s="257"/>
      <c r="AB407" s="257"/>
      <c r="AC407" s="257"/>
      <c r="AD407" s="257"/>
      <c r="AE407" s="257"/>
      <c r="AF407" s="257"/>
      <c r="AG407" s="257"/>
      <c r="AH407" s="257"/>
      <c r="AI407" s="257"/>
      <c r="AJ407" s="258"/>
      <c r="AK407" s="257"/>
      <c r="AL407" s="257"/>
      <c r="AM407" s="257"/>
      <c r="AN407" s="257"/>
      <c r="AO407" s="257"/>
      <c r="AP407" s="257"/>
      <c r="AQ407" s="257"/>
      <c r="AR407" s="257"/>
      <c r="AS407" s="257"/>
      <c r="AT407" s="257"/>
      <c r="AU407" s="257"/>
      <c r="AV407" s="258"/>
      <c r="AW407" s="258"/>
      <c r="AX407" s="258"/>
      <c r="AY407" s="258"/>
      <c r="AZ407" s="257"/>
    </row>
    <row r="408" spans="27:52" x14ac:dyDescent="0.45">
      <c r="AA408" s="257"/>
      <c r="AB408" s="257"/>
      <c r="AC408" s="257"/>
      <c r="AD408" s="257"/>
      <c r="AE408" s="257"/>
      <c r="AF408" s="257"/>
      <c r="AG408" s="257"/>
      <c r="AH408" s="257"/>
      <c r="AI408" s="257"/>
      <c r="AJ408" s="258"/>
      <c r="AK408" s="257"/>
      <c r="AL408" s="257"/>
      <c r="AM408" s="257"/>
      <c r="AN408" s="257"/>
      <c r="AO408" s="257"/>
      <c r="AP408" s="257"/>
      <c r="AQ408" s="257"/>
      <c r="AR408" s="257"/>
      <c r="AS408" s="257"/>
      <c r="AT408" s="257"/>
      <c r="AU408" s="257"/>
      <c r="AV408" s="258"/>
      <c r="AW408" s="258"/>
      <c r="AX408" s="258"/>
      <c r="AY408" s="258"/>
      <c r="AZ408" s="257"/>
    </row>
    <row r="409" spans="27:52" x14ac:dyDescent="0.45">
      <c r="AA409" s="257"/>
      <c r="AB409" s="257"/>
      <c r="AC409" s="257"/>
      <c r="AD409" s="257"/>
      <c r="AE409" s="257"/>
      <c r="AF409" s="257"/>
      <c r="AG409" s="257"/>
      <c r="AH409" s="257"/>
      <c r="AI409" s="257"/>
      <c r="AJ409" s="258"/>
      <c r="AK409" s="257"/>
      <c r="AL409" s="257"/>
      <c r="AM409" s="257"/>
      <c r="AN409" s="257"/>
      <c r="AO409" s="257"/>
      <c r="AP409" s="257"/>
      <c r="AQ409" s="257"/>
      <c r="AR409" s="257"/>
      <c r="AS409" s="257"/>
      <c r="AT409" s="257"/>
      <c r="AU409" s="257"/>
      <c r="AV409" s="258"/>
      <c r="AW409" s="258"/>
      <c r="AX409" s="258"/>
      <c r="AY409" s="258"/>
      <c r="AZ409" s="257"/>
    </row>
    <row r="410" spans="27:52" x14ac:dyDescent="0.45">
      <c r="AA410" s="257"/>
      <c r="AB410" s="257"/>
      <c r="AC410" s="257"/>
      <c r="AD410" s="257"/>
      <c r="AE410" s="257"/>
      <c r="AF410" s="257"/>
      <c r="AG410" s="257"/>
      <c r="AH410" s="257"/>
      <c r="AI410" s="257"/>
      <c r="AJ410" s="258"/>
      <c r="AK410" s="257"/>
      <c r="AL410" s="257"/>
      <c r="AM410" s="257"/>
      <c r="AN410" s="257"/>
      <c r="AO410" s="257"/>
      <c r="AP410" s="257"/>
      <c r="AQ410" s="257"/>
      <c r="AR410" s="257"/>
      <c r="AS410" s="257"/>
      <c r="AT410" s="257"/>
      <c r="AU410" s="257"/>
      <c r="AV410" s="258"/>
      <c r="AW410" s="258"/>
      <c r="AX410" s="258"/>
      <c r="AY410" s="258"/>
      <c r="AZ410" s="257"/>
    </row>
    <row r="411" spans="27:52" x14ac:dyDescent="0.45">
      <c r="AA411" s="257"/>
      <c r="AB411" s="257"/>
      <c r="AC411" s="257"/>
      <c r="AD411" s="257"/>
      <c r="AE411" s="257"/>
      <c r="AF411" s="257"/>
      <c r="AG411" s="257"/>
      <c r="AH411" s="257"/>
      <c r="AI411" s="257"/>
      <c r="AJ411" s="258"/>
      <c r="AK411" s="257"/>
      <c r="AL411" s="257"/>
      <c r="AM411" s="257"/>
      <c r="AN411" s="257"/>
      <c r="AO411" s="257"/>
      <c r="AP411" s="257"/>
      <c r="AQ411" s="257"/>
      <c r="AR411" s="257"/>
      <c r="AS411" s="257"/>
      <c r="AT411" s="257"/>
      <c r="AU411" s="257"/>
      <c r="AV411" s="258"/>
      <c r="AW411" s="258"/>
      <c r="AX411" s="258"/>
      <c r="AY411" s="258"/>
      <c r="AZ411" s="257"/>
    </row>
    <row r="412" spans="27:52" x14ac:dyDescent="0.45">
      <c r="AA412" s="257"/>
      <c r="AB412" s="257"/>
      <c r="AC412" s="257"/>
      <c r="AD412" s="257"/>
      <c r="AE412" s="257"/>
      <c r="AF412" s="257"/>
      <c r="AG412" s="257"/>
      <c r="AH412" s="257"/>
      <c r="AI412" s="257"/>
      <c r="AJ412" s="258"/>
      <c r="AK412" s="257"/>
      <c r="AL412" s="257"/>
      <c r="AM412" s="257"/>
      <c r="AN412" s="257"/>
      <c r="AO412" s="257"/>
      <c r="AP412" s="257"/>
      <c r="AQ412" s="257"/>
      <c r="AR412" s="257"/>
      <c r="AS412" s="257"/>
      <c r="AT412" s="257"/>
      <c r="AU412" s="257"/>
      <c r="AV412" s="258"/>
      <c r="AW412" s="258"/>
      <c r="AX412" s="258"/>
      <c r="AY412" s="258"/>
      <c r="AZ412" s="257"/>
    </row>
    <row r="413" spans="27:52" x14ac:dyDescent="0.45">
      <c r="AA413" s="257"/>
      <c r="AB413" s="257"/>
      <c r="AC413" s="257"/>
      <c r="AD413" s="257"/>
      <c r="AE413" s="257"/>
      <c r="AF413" s="257"/>
      <c r="AG413" s="257"/>
      <c r="AH413" s="257"/>
      <c r="AI413" s="257"/>
      <c r="AJ413" s="258"/>
      <c r="AK413" s="257"/>
      <c r="AL413" s="257"/>
      <c r="AM413" s="257"/>
      <c r="AN413" s="257"/>
      <c r="AO413" s="257"/>
      <c r="AP413" s="257"/>
      <c r="AQ413" s="257"/>
      <c r="AR413" s="257"/>
      <c r="AS413" s="257"/>
      <c r="AT413" s="257"/>
      <c r="AU413" s="257"/>
      <c r="AV413" s="258"/>
      <c r="AW413" s="258"/>
      <c r="AX413" s="258"/>
      <c r="AY413" s="258"/>
      <c r="AZ413" s="257"/>
    </row>
    <row r="414" spans="27:52" x14ac:dyDescent="0.45">
      <c r="AA414" s="257"/>
      <c r="AB414" s="257"/>
      <c r="AC414" s="257"/>
      <c r="AD414" s="257"/>
      <c r="AE414" s="257"/>
      <c r="AF414" s="257"/>
      <c r="AG414" s="257"/>
      <c r="AH414" s="257"/>
      <c r="AI414" s="257"/>
      <c r="AJ414" s="258"/>
      <c r="AK414" s="257"/>
      <c r="AL414" s="257"/>
      <c r="AM414" s="257"/>
      <c r="AN414" s="257"/>
      <c r="AO414" s="257"/>
      <c r="AP414" s="257"/>
      <c r="AQ414" s="257"/>
      <c r="AR414" s="257"/>
      <c r="AS414" s="257"/>
      <c r="AT414" s="257"/>
      <c r="AU414" s="257"/>
      <c r="AV414" s="258"/>
      <c r="AW414" s="258"/>
      <c r="AX414" s="258"/>
      <c r="AY414" s="258"/>
      <c r="AZ414" s="257"/>
    </row>
    <row r="415" spans="27:52" x14ac:dyDescent="0.45">
      <c r="AA415" s="257"/>
      <c r="AB415" s="257"/>
      <c r="AC415" s="257"/>
      <c r="AD415" s="257"/>
      <c r="AE415" s="257"/>
      <c r="AF415" s="257"/>
      <c r="AG415" s="257"/>
      <c r="AH415" s="257"/>
      <c r="AI415" s="257"/>
      <c r="AJ415" s="258"/>
      <c r="AK415" s="257"/>
      <c r="AL415" s="257"/>
      <c r="AM415" s="257"/>
      <c r="AN415" s="257"/>
      <c r="AO415" s="257"/>
      <c r="AP415" s="257"/>
      <c r="AQ415" s="257"/>
      <c r="AR415" s="257"/>
      <c r="AS415" s="257"/>
      <c r="AT415" s="257"/>
      <c r="AU415" s="257"/>
      <c r="AV415" s="258"/>
      <c r="AW415" s="258"/>
      <c r="AX415" s="258"/>
      <c r="AY415" s="258"/>
      <c r="AZ415" s="257"/>
    </row>
    <row r="416" spans="27:52" x14ac:dyDescent="0.45">
      <c r="AA416" s="257"/>
      <c r="AB416" s="257"/>
      <c r="AC416" s="257"/>
      <c r="AD416" s="257"/>
      <c r="AE416" s="257"/>
      <c r="AF416" s="257"/>
      <c r="AG416" s="257"/>
      <c r="AH416" s="257"/>
      <c r="AI416" s="257"/>
      <c r="AJ416" s="258"/>
      <c r="AK416" s="257"/>
      <c r="AL416" s="257"/>
      <c r="AM416" s="257"/>
      <c r="AN416" s="257"/>
      <c r="AO416" s="257"/>
      <c r="AP416" s="257"/>
      <c r="AQ416" s="257"/>
      <c r="AR416" s="257"/>
      <c r="AS416" s="257"/>
      <c r="AT416" s="257"/>
      <c r="AU416" s="257"/>
      <c r="AV416" s="258"/>
      <c r="AW416" s="258"/>
      <c r="AX416" s="258"/>
      <c r="AY416" s="258"/>
      <c r="AZ416" s="257"/>
    </row>
    <row r="417" spans="27:52" x14ac:dyDescent="0.45">
      <c r="AA417" s="257"/>
      <c r="AB417" s="257"/>
      <c r="AC417" s="257"/>
      <c r="AD417" s="257"/>
      <c r="AE417" s="257"/>
      <c r="AF417" s="257"/>
      <c r="AG417" s="257"/>
      <c r="AH417" s="257"/>
      <c r="AI417" s="257"/>
      <c r="AJ417" s="258"/>
      <c r="AK417" s="257"/>
      <c r="AL417" s="257"/>
      <c r="AM417" s="257"/>
      <c r="AN417" s="257"/>
      <c r="AO417" s="257"/>
      <c r="AP417" s="257"/>
      <c r="AQ417" s="257"/>
      <c r="AR417" s="257"/>
      <c r="AS417" s="257"/>
      <c r="AT417" s="257"/>
      <c r="AU417" s="257"/>
      <c r="AV417" s="258"/>
      <c r="AW417" s="258"/>
      <c r="AX417" s="258"/>
      <c r="AY417" s="258"/>
      <c r="AZ417" s="257"/>
    </row>
    <row r="418" spans="27:52" x14ac:dyDescent="0.45">
      <c r="AA418" s="257"/>
      <c r="AB418" s="257"/>
      <c r="AC418" s="257"/>
      <c r="AD418" s="257"/>
      <c r="AE418" s="257"/>
      <c r="AF418" s="257"/>
      <c r="AG418" s="257"/>
      <c r="AH418" s="257"/>
      <c r="AI418" s="257"/>
      <c r="AJ418" s="258"/>
      <c r="AK418" s="257"/>
      <c r="AL418" s="257"/>
      <c r="AM418" s="257"/>
      <c r="AN418" s="257"/>
      <c r="AO418" s="257"/>
      <c r="AP418" s="257"/>
      <c r="AQ418" s="257"/>
      <c r="AR418" s="257"/>
      <c r="AS418" s="257"/>
      <c r="AT418" s="257"/>
      <c r="AU418" s="257"/>
      <c r="AV418" s="258"/>
      <c r="AW418" s="258"/>
      <c r="AX418" s="258"/>
      <c r="AY418" s="258"/>
      <c r="AZ418" s="257"/>
    </row>
    <row r="419" spans="27:52" x14ac:dyDescent="0.45">
      <c r="AA419" s="257"/>
      <c r="AB419" s="257"/>
      <c r="AC419" s="257"/>
      <c r="AD419" s="257"/>
      <c r="AE419" s="257"/>
      <c r="AF419" s="257"/>
      <c r="AG419" s="257"/>
      <c r="AH419" s="257"/>
      <c r="AI419" s="257"/>
      <c r="AJ419" s="258"/>
      <c r="AK419" s="257"/>
      <c r="AL419" s="257"/>
      <c r="AM419" s="257"/>
      <c r="AN419" s="257"/>
      <c r="AO419" s="257"/>
      <c r="AP419" s="257"/>
      <c r="AQ419" s="257"/>
      <c r="AR419" s="257"/>
      <c r="AS419" s="257"/>
      <c r="AT419" s="257"/>
      <c r="AU419" s="257"/>
      <c r="AV419" s="258"/>
      <c r="AW419" s="258"/>
      <c r="AX419" s="258"/>
      <c r="AY419" s="258"/>
      <c r="AZ419" s="257"/>
    </row>
    <row r="420" spans="27:52" x14ac:dyDescent="0.45">
      <c r="AA420" s="257"/>
      <c r="AB420" s="257"/>
      <c r="AC420" s="257"/>
      <c r="AD420" s="257"/>
      <c r="AE420" s="257"/>
      <c r="AF420" s="257"/>
      <c r="AG420" s="257"/>
      <c r="AH420" s="257"/>
      <c r="AI420" s="257"/>
      <c r="AJ420" s="258"/>
      <c r="AK420" s="257"/>
      <c r="AL420" s="257"/>
      <c r="AM420" s="257"/>
      <c r="AN420" s="257"/>
      <c r="AO420" s="257"/>
      <c r="AP420" s="257"/>
      <c r="AQ420" s="257"/>
      <c r="AR420" s="257"/>
      <c r="AS420" s="257"/>
      <c r="AT420" s="257"/>
      <c r="AU420" s="257"/>
      <c r="AV420" s="258"/>
      <c r="AW420" s="258"/>
      <c r="AX420" s="258"/>
      <c r="AY420" s="258"/>
      <c r="AZ420" s="257"/>
    </row>
    <row r="421" spans="27:52" x14ac:dyDescent="0.45">
      <c r="AA421" s="257"/>
      <c r="AB421" s="257"/>
      <c r="AC421" s="257"/>
      <c r="AD421" s="257"/>
      <c r="AE421" s="257"/>
      <c r="AF421" s="257"/>
      <c r="AG421" s="257"/>
      <c r="AH421" s="257"/>
      <c r="AI421" s="257"/>
      <c r="AJ421" s="258"/>
      <c r="AK421" s="257"/>
      <c r="AL421" s="257"/>
      <c r="AM421" s="257"/>
      <c r="AN421" s="257"/>
      <c r="AO421" s="257"/>
      <c r="AP421" s="257"/>
      <c r="AQ421" s="257"/>
      <c r="AR421" s="257"/>
      <c r="AS421" s="257"/>
      <c r="AT421" s="257"/>
      <c r="AU421" s="257"/>
      <c r="AV421" s="258"/>
      <c r="AW421" s="258"/>
      <c r="AX421" s="258"/>
      <c r="AY421" s="258"/>
      <c r="AZ421" s="257"/>
    </row>
    <row r="422" spans="27:52" x14ac:dyDescent="0.45">
      <c r="AA422" s="257"/>
      <c r="AB422" s="257"/>
      <c r="AC422" s="257"/>
      <c r="AD422" s="257"/>
      <c r="AE422" s="257"/>
      <c r="AF422" s="257"/>
      <c r="AG422" s="257"/>
      <c r="AH422" s="257"/>
      <c r="AI422" s="257"/>
      <c r="AJ422" s="258"/>
      <c r="AK422" s="257"/>
      <c r="AL422" s="257"/>
      <c r="AM422" s="257"/>
      <c r="AN422" s="257"/>
      <c r="AO422" s="257"/>
      <c r="AP422" s="257"/>
      <c r="AQ422" s="257"/>
      <c r="AR422" s="257"/>
      <c r="AS422" s="257"/>
      <c r="AT422" s="257"/>
      <c r="AU422" s="257"/>
      <c r="AV422" s="258"/>
      <c r="AW422" s="258"/>
      <c r="AX422" s="258"/>
      <c r="AY422" s="258"/>
      <c r="AZ422" s="257"/>
    </row>
    <row r="423" spans="27:52" x14ac:dyDescent="0.45">
      <c r="AA423" s="257"/>
      <c r="AB423" s="257"/>
      <c r="AC423" s="257"/>
      <c r="AD423" s="257"/>
      <c r="AE423" s="257"/>
      <c r="AF423" s="257"/>
      <c r="AG423" s="257"/>
      <c r="AH423" s="257"/>
      <c r="AI423" s="257"/>
      <c r="AJ423" s="258"/>
      <c r="AK423" s="257"/>
      <c r="AL423" s="257"/>
      <c r="AM423" s="257"/>
      <c r="AN423" s="257"/>
      <c r="AO423" s="257"/>
      <c r="AP423" s="257"/>
      <c r="AQ423" s="257"/>
      <c r="AR423" s="257"/>
      <c r="AS423" s="257"/>
      <c r="AT423" s="257"/>
      <c r="AU423" s="257"/>
      <c r="AV423" s="258"/>
      <c r="AW423" s="258"/>
      <c r="AX423" s="258"/>
      <c r="AY423" s="258"/>
      <c r="AZ423" s="257"/>
    </row>
    <row r="424" spans="27:52" x14ac:dyDescent="0.45">
      <c r="AA424" s="257"/>
      <c r="AB424" s="257"/>
      <c r="AC424" s="257"/>
      <c r="AD424" s="257"/>
      <c r="AE424" s="257"/>
      <c r="AF424" s="257"/>
      <c r="AG424" s="257"/>
      <c r="AH424" s="257"/>
      <c r="AI424" s="257"/>
      <c r="AJ424" s="258"/>
      <c r="AK424" s="257"/>
      <c r="AL424" s="257"/>
      <c r="AM424" s="257"/>
      <c r="AN424" s="257"/>
      <c r="AO424" s="257"/>
      <c r="AP424" s="257"/>
      <c r="AQ424" s="257"/>
      <c r="AR424" s="257"/>
      <c r="AS424" s="257"/>
      <c r="AT424" s="257"/>
      <c r="AU424" s="257"/>
      <c r="AV424" s="258"/>
      <c r="AW424" s="258"/>
      <c r="AX424" s="258"/>
      <c r="AY424" s="258"/>
      <c r="AZ424" s="257"/>
    </row>
    <row r="425" spans="27:52" x14ac:dyDescent="0.45">
      <c r="AA425" s="257"/>
      <c r="AB425" s="257"/>
      <c r="AC425" s="257"/>
      <c r="AD425" s="257"/>
      <c r="AE425" s="257"/>
      <c r="AF425" s="257"/>
      <c r="AG425" s="257"/>
      <c r="AH425" s="257"/>
      <c r="AI425" s="257"/>
      <c r="AJ425" s="258"/>
      <c r="AK425" s="257"/>
      <c r="AL425" s="257"/>
      <c r="AM425" s="257"/>
      <c r="AN425" s="257"/>
      <c r="AO425" s="257"/>
      <c r="AP425" s="257"/>
      <c r="AQ425" s="257"/>
      <c r="AR425" s="257"/>
      <c r="AS425" s="257"/>
      <c r="AT425" s="257"/>
      <c r="AU425" s="257"/>
      <c r="AV425" s="258"/>
      <c r="AW425" s="258"/>
      <c r="AX425" s="258"/>
      <c r="AY425" s="258"/>
      <c r="AZ425" s="257"/>
    </row>
    <row r="426" spans="27:52" x14ac:dyDescent="0.45">
      <c r="AA426" s="257"/>
      <c r="AB426" s="257"/>
      <c r="AC426" s="257"/>
      <c r="AD426" s="257"/>
      <c r="AE426" s="257"/>
      <c r="AF426" s="257"/>
      <c r="AG426" s="257"/>
      <c r="AH426" s="257"/>
      <c r="AI426" s="257"/>
      <c r="AJ426" s="258"/>
      <c r="AK426" s="257"/>
      <c r="AL426" s="257"/>
      <c r="AM426" s="257"/>
      <c r="AN426" s="257"/>
      <c r="AO426" s="257"/>
      <c r="AP426" s="257"/>
      <c r="AQ426" s="257"/>
      <c r="AR426" s="257"/>
      <c r="AS426" s="257"/>
      <c r="AT426" s="257"/>
      <c r="AU426" s="257"/>
      <c r="AV426" s="258"/>
      <c r="AW426" s="258"/>
      <c r="AX426" s="258"/>
      <c r="AY426" s="258"/>
      <c r="AZ426" s="257"/>
    </row>
    <row r="427" spans="27:52" x14ac:dyDescent="0.45">
      <c r="AA427" s="257"/>
      <c r="AB427" s="257"/>
      <c r="AC427" s="257"/>
      <c r="AD427" s="257"/>
      <c r="AE427" s="257"/>
      <c r="AF427" s="257"/>
      <c r="AG427" s="257"/>
      <c r="AH427" s="257"/>
      <c r="AI427" s="257"/>
      <c r="AJ427" s="258"/>
      <c r="AK427" s="257"/>
      <c r="AL427" s="257"/>
      <c r="AM427" s="257"/>
      <c r="AN427" s="257"/>
      <c r="AO427" s="257"/>
      <c r="AP427" s="257"/>
      <c r="AQ427" s="257"/>
      <c r="AR427" s="257"/>
      <c r="AS427" s="257"/>
      <c r="AT427" s="257"/>
      <c r="AU427" s="257"/>
      <c r="AV427" s="258"/>
      <c r="AW427" s="258"/>
      <c r="AX427" s="258"/>
      <c r="AY427" s="258"/>
      <c r="AZ427" s="257"/>
    </row>
    <row r="428" spans="27:52" x14ac:dyDescent="0.45">
      <c r="AA428" s="257"/>
      <c r="AB428" s="257"/>
      <c r="AC428" s="257"/>
      <c r="AD428" s="257"/>
      <c r="AE428" s="257"/>
      <c r="AF428" s="257"/>
      <c r="AG428" s="257"/>
      <c r="AH428" s="257"/>
      <c r="AI428" s="257"/>
      <c r="AJ428" s="258"/>
      <c r="AK428" s="257"/>
      <c r="AL428" s="257"/>
      <c r="AM428" s="257"/>
      <c r="AN428" s="257"/>
      <c r="AO428" s="257"/>
      <c r="AP428" s="257"/>
      <c r="AQ428" s="257"/>
      <c r="AR428" s="257"/>
      <c r="AS428" s="257"/>
      <c r="AT428" s="257"/>
      <c r="AU428" s="257"/>
      <c r="AV428" s="258"/>
      <c r="AW428" s="258"/>
      <c r="AX428" s="258"/>
      <c r="AY428" s="258"/>
      <c r="AZ428" s="257"/>
    </row>
    <row r="429" spans="27:52" x14ac:dyDescent="0.45">
      <c r="AA429" s="257"/>
      <c r="AB429" s="257"/>
      <c r="AC429" s="257"/>
      <c r="AD429" s="257"/>
      <c r="AE429" s="257"/>
      <c r="AF429" s="257"/>
      <c r="AG429" s="257"/>
      <c r="AH429" s="257"/>
      <c r="AI429" s="257"/>
      <c r="AJ429" s="258"/>
      <c r="AK429" s="257"/>
      <c r="AL429" s="257"/>
      <c r="AM429" s="257"/>
      <c r="AN429" s="257"/>
      <c r="AO429" s="257"/>
      <c r="AP429" s="257"/>
      <c r="AQ429" s="257"/>
      <c r="AR429" s="257"/>
      <c r="AS429" s="257"/>
      <c r="AT429" s="257"/>
      <c r="AU429" s="257"/>
      <c r="AV429" s="258"/>
      <c r="AW429" s="258"/>
      <c r="AX429" s="258"/>
      <c r="AY429" s="258"/>
      <c r="AZ429" s="257"/>
    </row>
    <row r="430" spans="27:52" x14ac:dyDescent="0.45">
      <c r="AA430" s="257"/>
      <c r="AB430" s="257"/>
      <c r="AC430" s="257"/>
      <c r="AD430" s="257"/>
      <c r="AE430" s="257"/>
      <c r="AF430" s="257"/>
      <c r="AG430" s="257"/>
      <c r="AH430" s="257"/>
      <c r="AI430" s="257"/>
      <c r="AJ430" s="258"/>
      <c r="AK430" s="257"/>
      <c r="AL430" s="257"/>
      <c r="AM430" s="257"/>
      <c r="AN430" s="257"/>
      <c r="AO430" s="257"/>
      <c r="AP430" s="257"/>
      <c r="AQ430" s="257"/>
      <c r="AR430" s="257"/>
      <c r="AS430" s="257"/>
      <c r="AT430" s="257"/>
      <c r="AU430" s="257"/>
      <c r="AV430" s="258"/>
      <c r="AW430" s="258"/>
      <c r="AX430" s="258"/>
      <c r="AY430" s="258"/>
      <c r="AZ430" s="257"/>
    </row>
    <row r="431" spans="27:52" x14ac:dyDescent="0.45">
      <c r="AA431" s="257"/>
      <c r="AB431" s="257"/>
      <c r="AC431" s="257"/>
      <c r="AD431" s="257"/>
      <c r="AE431" s="257"/>
      <c r="AF431" s="257"/>
      <c r="AG431" s="257"/>
      <c r="AH431" s="257"/>
      <c r="AI431" s="257"/>
      <c r="AJ431" s="258"/>
      <c r="AK431" s="257"/>
      <c r="AL431" s="257"/>
      <c r="AM431" s="257"/>
      <c r="AN431" s="257"/>
      <c r="AO431" s="257"/>
      <c r="AP431" s="257"/>
      <c r="AQ431" s="257"/>
      <c r="AR431" s="257"/>
      <c r="AS431" s="257"/>
      <c r="AT431" s="257"/>
      <c r="AU431" s="257"/>
      <c r="AV431" s="258"/>
      <c r="AW431" s="258"/>
      <c r="AX431" s="258"/>
      <c r="AY431" s="258"/>
      <c r="AZ431" s="257"/>
    </row>
    <row r="432" spans="27:52" x14ac:dyDescent="0.45">
      <c r="AA432" s="257"/>
      <c r="AB432" s="257"/>
      <c r="AC432" s="257"/>
      <c r="AD432" s="257"/>
      <c r="AE432" s="257"/>
      <c r="AF432" s="257"/>
      <c r="AG432" s="257"/>
      <c r="AH432" s="257"/>
      <c r="AI432" s="257"/>
      <c r="AJ432" s="258"/>
      <c r="AK432" s="257"/>
      <c r="AL432" s="257"/>
      <c r="AM432" s="257"/>
      <c r="AN432" s="257"/>
      <c r="AO432" s="257"/>
      <c r="AP432" s="257"/>
      <c r="AQ432" s="257"/>
      <c r="AR432" s="257"/>
      <c r="AS432" s="257"/>
      <c r="AT432" s="257"/>
      <c r="AU432" s="257"/>
      <c r="AV432" s="258"/>
      <c r="AW432" s="258"/>
      <c r="AX432" s="258"/>
      <c r="AY432" s="258"/>
      <c r="AZ432" s="257"/>
    </row>
    <row r="433" spans="27:52" x14ac:dyDescent="0.45">
      <c r="AA433" s="257"/>
      <c r="AB433" s="257"/>
      <c r="AC433" s="257"/>
      <c r="AD433" s="257"/>
      <c r="AE433" s="257"/>
      <c r="AF433" s="257"/>
      <c r="AG433" s="257"/>
      <c r="AH433" s="257"/>
      <c r="AI433" s="257"/>
      <c r="AJ433" s="258"/>
      <c r="AK433" s="257"/>
      <c r="AL433" s="257"/>
      <c r="AM433" s="257"/>
      <c r="AN433" s="257"/>
      <c r="AO433" s="257"/>
      <c r="AP433" s="257"/>
      <c r="AQ433" s="257"/>
      <c r="AR433" s="257"/>
      <c r="AS433" s="257"/>
      <c r="AT433" s="257"/>
      <c r="AU433" s="257"/>
      <c r="AV433" s="258"/>
      <c r="AW433" s="258"/>
      <c r="AX433" s="258"/>
      <c r="AY433" s="258"/>
      <c r="AZ433" s="257"/>
    </row>
    <row r="434" spans="27:52" x14ac:dyDescent="0.45">
      <c r="AA434" s="257"/>
      <c r="AB434" s="257"/>
      <c r="AC434" s="257"/>
      <c r="AD434" s="257"/>
      <c r="AE434" s="257"/>
      <c r="AF434" s="257"/>
      <c r="AG434" s="257"/>
      <c r="AH434" s="257"/>
      <c r="AI434" s="257"/>
      <c r="AJ434" s="258"/>
      <c r="AK434" s="257"/>
      <c r="AL434" s="257"/>
      <c r="AM434" s="257"/>
      <c r="AN434" s="257"/>
      <c r="AO434" s="257"/>
      <c r="AP434" s="257"/>
      <c r="AQ434" s="257"/>
      <c r="AR434" s="257"/>
      <c r="AS434" s="257"/>
      <c r="AT434" s="257"/>
      <c r="AU434" s="257"/>
      <c r="AV434" s="258"/>
      <c r="AW434" s="258"/>
      <c r="AX434" s="258"/>
      <c r="AY434" s="258"/>
      <c r="AZ434" s="257"/>
    </row>
    <row r="435" spans="27:52" x14ac:dyDescent="0.45">
      <c r="AA435" s="257"/>
      <c r="AB435" s="257"/>
      <c r="AC435" s="257"/>
      <c r="AD435" s="257"/>
      <c r="AE435" s="257"/>
      <c r="AF435" s="257"/>
      <c r="AG435" s="257"/>
      <c r="AH435" s="257"/>
      <c r="AI435" s="257"/>
      <c r="AJ435" s="258"/>
      <c r="AK435" s="257"/>
      <c r="AL435" s="257"/>
      <c r="AM435" s="257"/>
      <c r="AN435" s="257"/>
      <c r="AO435" s="257"/>
      <c r="AP435" s="257"/>
      <c r="AQ435" s="257"/>
      <c r="AR435" s="257"/>
      <c r="AS435" s="257"/>
      <c r="AT435" s="257"/>
      <c r="AU435" s="257"/>
      <c r="AV435" s="258"/>
      <c r="AW435" s="258"/>
      <c r="AX435" s="258"/>
      <c r="AY435" s="258"/>
      <c r="AZ435" s="257"/>
    </row>
    <row r="436" spans="27:52" x14ac:dyDescent="0.45">
      <c r="AA436" s="257"/>
      <c r="AB436" s="257"/>
      <c r="AC436" s="257"/>
      <c r="AD436" s="257"/>
      <c r="AE436" s="257"/>
      <c r="AF436" s="257"/>
      <c r="AG436" s="257"/>
      <c r="AH436" s="257"/>
      <c r="AI436" s="257"/>
      <c r="AJ436" s="258"/>
      <c r="AK436" s="257"/>
      <c r="AL436" s="257"/>
      <c r="AM436" s="257"/>
      <c r="AN436" s="257"/>
      <c r="AO436" s="257"/>
      <c r="AP436" s="257"/>
      <c r="AQ436" s="257"/>
      <c r="AR436" s="257"/>
      <c r="AS436" s="257"/>
      <c r="AT436" s="257"/>
      <c r="AU436" s="257"/>
      <c r="AV436" s="258"/>
      <c r="AW436" s="258"/>
      <c r="AX436" s="258"/>
      <c r="AY436" s="258"/>
      <c r="AZ436" s="257"/>
    </row>
    <row r="437" spans="27:52" x14ac:dyDescent="0.45">
      <c r="AA437" s="257"/>
      <c r="AB437" s="257"/>
      <c r="AC437" s="257"/>
      <c r="AD437" s="257"/>
      <c r="AE437" s="257"/>
      <c r="AF437" s="257"/>
      <c r="AG437" s="257"/>
      <c r="AH437" s="257"/>
      <c r="AI437" s="257"/>
      <c r="AJ437" s="258"/>
      <c r="AK437" s="257"/>
      <c r="AL437" s="257"/>
      <c r="AM437" s="257"/>
      <c r="AN437" s="257"/>
      <c r="AO437" s="257"/>
      <c r="AP437" s="257"/>
      <c r="AQ437" s="257"/>
      <c r="AR437" s="257"/>
      <c r="AS437" s="257"/>
      <c r="AT437" s="257"/>
      <c r="AU437" s="257"/>
      <c r="AV437" s="258"/>
      <c r="AW437" s="258"/>
      <c r="AX437" s="258"/>
      <c r="AY437" s="258"/>
      <c r="AZ437" s="257"/>
    </row>
    <row r="438" spans="27:52" x14ac:dyDescent="0.45">
      <c r="AA438" s="257"/>
      <c r="AB438" s="257"/>
      <c r="AC438" s="257"/>
      <c r="AD438" s="257"/>
      <c r="AE438" s="257"/>
      <c r="AF438" s="257"/>
      <c r="AG438" s="257"/>
      <c r="AH438" s="257"/>
      <c r="AI438" s="257"/>
      <c r="AJ438" s="258"/>
      <c r="AK438" s="257"/>
      <c r="AL438" s="257"/>
      <c r="AM438" s="257"/>
      <c r="AN438" s="257"/>
      <c r="AO438" s="257"/>
      <c r="AP438" s="257"/>
      <c r="AQ438" s="257"/>
      <c r="AR438" s="257"/>
      <c r="AS438" s="257"/>
      <c r="AT438" s="257"/>
      <c r="AU438" s="257"/>
      <c r="AV438" s="258"/>
      <c r="AW438" s="258"/>
      <c r="AX438" s="258"/>
      <c r="AY438" s="258"/>
      <c r="AZ438" s="257"/>
    </row>
    <row r="439" spans="27:52" x14ac:dyDescent="0.45">
      <c r="AA439" s="257"/>
      <c r="AB439" s="257"/>
      <c r="AC439" s="257"/>
      <c r="AD439" s="257"/>
      <c r="AE439" s="257"/>
      <c r="AF439" s="257"/>
      <c r="AG439" s="257"/>
      <c r="AH439" s="257"/>
      <c r="AI439" s="257"/>
      <c r="AJ439" s="258"/>
      <c r="AK439" s="257"/>
      <c r="AL439" s="257"/>
      <c r="AM439" s="257"/>
      <c r="AN439" s="257"/>
      <c r="AO439" s="257"/>
      <c r="AP439" s="257"/>
      <c r="AQ439" s="257"/>
      <c r="AR439" s="257"/>
      <c r="AS439" s="257"/>
      <c r="AT439" s="257"/>
      <c r="AU439" s="257"/>
      <c r="AV439" s="258"/>
      <c r="AW439" s="258"/>
      <c r="AX439" s="258"/>
      <c r="AY439" s="258"/>
      <c r="AZ439" s="257"/>
    </row>
    <row r="440" spans="27:52" x14ac:dyDescent="0.45">
      <c r="AA440" s="257"/>
      <c r="AB440" s="257"/>
      <c r="AC440" s="257"/>
      <c r="AD440" s="257"/>
      <c r="AE440" s="257"/>
      <c r="AF440" s="257"/>
      <c r="AG440" s="257"/>
      <c r="AH440" s="257"/>
      <c r="AI440" s="257"/>
      <c r="AJ440" s="258"/>
      <c r="AK440" s="257"/>
      <c r="AL440" s="257"/>
      <c r="AM440" s="257"/>
      <c r="AN440" s="257"/>
      <c r="AO440" s="257"/>
      <c r="AP440" s="257"/>
      <c r="AQ440" s="257"/>
      <c r="AR440" s="257"/>
      <c r="AS440" s="257"/>
      <c r="AT440" s="257"/>
      <c r="AU440" s="257"/>
      <c r="AV440" s="258"/>
      <c r="AW440" s="258"/>
      <c r="AX440" s="258"/>
      <c r="AY440" s="258"/>
      <c r="AZ440" s="257"/>
    </row>
    <row r="441" spans="27:52" x14ac:dyDescent="0.45">
      <c r="AA441" s="257"/>
      <c r="AB441" s="257"/>
      <c r="AC441" s="257"/>
      <c r="AD441" s="257"/>
      <c r="AE441" s="257"/>
      <c r="AF441" s="257"/>
      <c r="AG441" s="257"/>
      <c r="AH441" s="257"/>
      <c r="AI441" s="257"/>
      <c r="AJ441" s="258"/>
      <c r="AK441" s="257"/>
      <c r="AL441" s="257"/>
      <c r="AM441" s="257"/>
      <c r="AN441" s="257"/>
      <c r="AO441" s="257"/>
      <c r="AP441" s="257"/>
      <c r="AQ441" s="257"/>
      <c r="AR441" s="257"/>
      <c r="AS441" s="257"/>
      <c r="AT441" s="257"/>
      <c r="AU441" s="257"/>
      <c r="AV441" s="258"/>
      <c r="AW441" s="258"/>
      <c r="AX441" s="258"/>
      <c r="AY441" s="258"/>
      <c r="AZ441" s="257"/>
    </row>
    <row r="442" spans="27:52" x14ac:dyDescent="0.45">
      <c r="AA442" s="257"/>
      <c r="AB442" s="257"/>
      <c r="AC442" s="257"/>
      <c r="AD442" s="257"/>
      <c r="AE442" s="257"/>
      <c r="AF442" s="257"/>
      <c r="AG442" s="257"/>
      <c r="AH442" s="257"/>
      <c r="AI442" s="257"/>
      <c r="AJ442" s="258"/>
      <c r="AK442" s="257"/>
      <c r="AL442" s="257"/>
      <c r="AM442" s="257"/>
      <c r="AN442" s="257"/>
      <c r="AO442" s="257"/>
      <c r="AP442" s="257"/>
      <c r="AQ442" s="257"/>
      <c r="AR442" s="257"/>
      <c r="AS442" s="257"/>
      <c r="AT442" s="257"/>
      <c r="AU442" s="257"/>
      <c r="AV442" s="258"/>
      <c r="AW442" s="258"/>
      <c r="AX442" s="258"/>
      <c r="AY442" s="258"/>
      <c r="AZ442" s="257"/>
    </row>
    <row r="443" spans="27:52" x14ac:dyDescent="0.45">
      <c r="AA443" s="257"/>
      <c r="AB443" s="257"/>
      <c r="AC443" s="257"/>
      <c r="AD443" s="257"/>
      <c r="AE443" s="257"/>
      <c r="AF443" s="257"/>
      <c r="AG443" s="257"/>
      <c r="AH443" s="257"/>
      <c r="AI443" s="257"/>
      <c r="AJ443" s="258"/>
      <c r="AK443" s="257"/>
      <c r="AL443" s="257"/>
      <c r="AM443" s="257"/>
      <c r="AN443" s="257"/>
      <c r="AO443" s="257"/>
      <c r="AP443" s="257"/>
      <c r="AQ443" s="257"/>
      <c r="AR443" s="257"/>
      <c r="AS443" s="257"/>
      <c r="AT443" s="257"/>
      <c r="AU443" s="257"/>
      <c r="AV443" s="258"/>
      <c r="AW443" s="258"/>
      <c r="AX443" s="258"/>
      <c r="AY443" s="258"/>
      <c r="AZ443" s="257"/>
    </row>
    <row r="444" spans="27:52" x14ac:dyDescent="0.45">
      <c r="AA444" s="257"/>
      <c r="AB444" s="257"/>
      <c r="AC444" s="257"/>
      <c r="AD444" s="257"/>
      <c r="AE444" s="257"/>
      <c r="AF444" s="257"/>
      <c r="AG444" s="257"/>
      <c r="AH444" s="257"/>
      <c r="AI444" s="257"/>
      <c r="AJ444" s="258"/>
      <c r="AK444" s="257"/>
      <c r="AL444" s="257"/>
      <c r="AM444" s="257"/>
      <c r="AN444" s="257"/>
      <c r="AO444" s="257"/>
      <c r="AP444" s="257"/>
      <c r="AQ444" s="257"/>
      <c r="AR444" s="257"/>
      <c r="AS444" s="257"/>
      <c r="AT444" s="257"/>
      <c r="AU444" s="257"/>
      <c r="AV444" s="258"/>
      <c r="AW444" s="258"/>
      <c r="AX444" s="258"/>
      <c r="AY444" s="258"/>
      <c r="AZ444" s="257"/>
    </row>
    <row r="445" spans="27:52" x14ac:dyDescent="0.45">
      <c r="AA445" s="257"/>
      <c r="AB445" s="257"/>
      <c r="AC445" s="257"/>
      <c r="AD445" s="257"/>
      <c r="AE445" s="257"/>
      <c r="AF445" s="257"/>
      <c r="AG445" s="257"/>
      <c r="AH445" s="257"/>
      <c r="AI445" s="257"/>
      <c r="AJ445" s="258"/>
      <c r="AK445" s="257"/>
      <c r="AL445" s="257"/>
      <c r="AM445" s="257"/>
      <c r="AN445" s="257"/>
      <c r="AO445" s="257"/>
      <c r="AP445" s="257"/>
      <c r="AQ445" s="257"/>
      <c r="AR445" s="257"/>
      <c r="AS445" s="257"/>
      <c r="AT445" s="257"/>
      <c r="AU445" s="257"/>
      <c r="AV445" s="258"/>
      <c r="AW445" s="258"/>
      <c r="AX445" s="258"/>
      <c r="AY445" s="258"/>
      <c r="AZ445" s="257"/>
    </row>
    <row r="446" spans="27:52" x14ac:dyDescent="0.45">
      <c r="AA446" s="257"/>
      <c r="AB446" s="257"/>
      <c r="AC446" s="257"/>
      <c r="AD446" s="257"/>
      <c r="AE446" s="257"/>
      <c r="AF446" s="257"/>
      <c r="AG446" s="257"/>
      <c r="AH446" s="257"/>
      <c r="AI446" s="257"/>
      <c r="AJ446" s="258"/>
      <c r="AK446" s="257"/>
      <c r="AL446" s="257"/>
      <c r="AM446" s="257"/>
      <c r="AN446" s="257"/>
      <c r="AO446" s="257"/>
      <c r="AP446" s="257"/>
      <c r="AQ446" s="257"/>
      <c r="AR446" s="257"/>
      <c r="AS446" s="257"/>
      <c r="AT446" s="257"/>
      <c r="AU446" s="257"/>
      <c r="AV446" s="258"/>
      <c r="AW446" s="258"/>
      <c r="AX446" s="258"/>
      <c r="AY446" s="258"/>
      <c r="AZ446" s="257"/>
    </row>
    <row r="447" spans="27:52" x14ac:dyDescent="0.45">
      <c r="AA447" s="257"/>
      <c r="AB447" s="257"/>
      <c r="AC447" s="257"/>
      <c r="AD447" s="257"/>
      <c r="AE447" s="257"/>
      <c r="AF447" s="257"/>
      <c r="AG447" s="257"/>
      <c r="AH447" s="257"/>
      <c r="AI447" s="257"/>
      <c r="AJ447" s="258"/>
      <c r="AK447" s="257"/>
      <c r="AL447" s="257"/>
      <c r="AM447" s="257"/>
      <c r="AN447" s="257"/>
      <c r="AO447" s="257"/>
      <c r="AP447" s="257"/>
      <c r="AQ447" s="257"/>
      <c r="AR447" s="257"/>
      <c r="AS447" s="257"/>
      <c r="AT447" s="257"/>
      <c r="AU447" s="257"/>
      <c r="AV447" s="258"/>
      <c r="AW447" s="258"/>
      <c r="AX447" s="258"/>
      <c r="AY447" s="258"/>
      <c r="AZ447" s="257"/>
    </row>
    <row r="448" spans="27:52" x14ac:dyDescent="0.45">
      <c r="AA448" s="257"/>
      <c r="AB448" s="257"/>
      <c r="AC448" s="257"/>
      <c r="AD448" s="257"/>
      <c r="AE448" s="257"/>
      <c r="AF448" s="257"/>
      <c r="AG448" s="257"/>
      <c r="AH448" s="257"/>
      <c r="AI448" s="257"/>
      <c r="AJ448" s="258"/>
      <c r="AK448" s="257"/>
      <c r="AL448" s="257"/>
      <c r="AM448" s="257"/>
      <c r="AN448" s="257"/>
      <c r="AO448" s="257"/>
      <c r="AP448" s="257"/>
      <c r="AQ448" s="257"/>
      <c r="AR448" s="257"/>
      <c r="AS448" s="257"/>
      <c r="AT448" s="257"/>
      <c r="AU448" s="257"/>
      <c r="AV448" s="258"/>
      <c r="AW448" s="258"/>
      <c r="AX448" s="258"/>
      <c r="AY448" s="258"/>
      <c r="AZ448" s="257"/>
    </row>
    <row r="449" spans="27:52" x14ac:dyDescent="0.45">
      <c r="AA449" s="257"/>
      <c r="AB449" s="257"/>
      <c r="AC449" s="257"/>
      <c r="AD449" s="257"/>
      <c r="AE449" s="257"/>
      <c r="AF449" s="257"/>
      <c r="AG449" s="257"/>
      <c r="AH449" s="257"/>
      <c r="AI449" s="257"/>
      <c r="AJ449" s="258"/>
      <c r="AK449" s="257"/>
      <c r="AL449" s="257"/>
      <c r="AM449" s="257"/>
      <c r="AN449" s="257"/>
      <c r="AO449" s="257"/>
      <c r="AP449" s="257"/>
      <c r="AQ449" s="257"/>
      <c r="AR449" s="257"/>
      <c r="AS449" s="257"/>
      <c r="AT449" s="257"/>
      <c r="AU449" s="257"/>
      <c r="AV449" s="258"/>
      <c r="AW449" s="258"/>
      <c r="AX449" s="258"/>
      <c r="AY449" s="258"/>
      <c r="AZ449" s="257"/>
    </row>
    <row r="450" spans="27:52" x14ac:dyDescent="0.45">
      <c r="AA450" s="257"/>
      <c r="AB450" s="257"/>
      <c r="AC450" s="257"/>
      <c r="AD450" s="257"/>
      <c r="AE450" s="257"/>
      <c r="AF450" s="257"/>
      <c r="AG450" s="257"/>
      <c r="AH450" s="257"/>
      <c r="AI450" s="257"/>
      <c r="AJ450" s="258"/>
      <c r="AK450" s="257"/>
      <c r="AL450" s="257"/>
      <c r="AM450" s="257"/>
      <c r="AN450" s="257"/>
      <c r="AO450" s="257"/>
      <c r="AP450" s="257"/>
      <c r="AQ450" s="257"/>
      <c r="AR450" s="257"/>
      <c r="AS450" s="257"/>
      <c r="AT450" s="257"/>
      <c r="AU450" s="257"/>
      <c r="AV450" s="258"/>
      <c r="AW450" s="258"/>
      <c r="AX450" s="258"/>
      <c r="AY450" s="258"/>
      <c r="AZ450" s="257"/>
    </row>
    <row r="451" spans="27:52" x14ac:dyDescent="0.45">
      <c r="AA451" s="257"/>
      <c r="AB451" s="257"/>
      <c r="AC451" s="257"/>
      <c r="AD451" s="257"/>
      <c r="AE451" s="257"/>
      <c r="AF451" s="257"/>
      <c r="AG451" s="257"/>
      <c r="AH451" s="257"/>
      <c r="AI451" s="257"/>
      <c r="AJ451" s="258"/>
      <c r="AK451" s="257"/>
      <c r="AL451" s="257"/>
      <c r="AM451" s="257"/>
      <c r="AN451" s="257"/>
      <c r="AO451" s="257"/>
      <c r="AP451" s="257"/>
      <c r="AQ451" s="257"/>
      <c r="AR451" s="257"/>
      <c r="AS451" s="257"/>
      <c r="AT451" s="257"/>
      <c r="AU451" s="257"/>
      <c r="AV451" s="258"/>
      <c r="AW451" s="258"/>
      <c r="AX451" s="258"/>
      <c r="AY451" s="258"/>
      <c r="AZ451" s="257"/>
    </row>
    <row r="452" spans="27:52" x14ac:dyDescent="0.45">
      <c r="AA452" s="257"/>
      <c r="AB452" s="257"/>
      <c r="AC452" s="257"/>
      <c r="AD452" s="257"/>
      <c r="AE452" s="257"/>
      <c r="AF452" s="257"/>
      <c r="AG452" s="257"/>
      <c r="AH452" s="257"/>
      <c r="AI452" s="257"/>
      <c r="AJ452" s="258"/>
      <c r="AK452" s="257"/>
      <c r="AL452" s="257"/>
      <c r="AM452" s="257"/>
      <c r="AN452" s="257"/>
      <c r="AO452" s="257"/>
      <c r="AP452" s="257"/>
      <c r="AQ452" s="257"/>
      <c r="AR452" s="257"/>
      <c r="AS452" s="257"/>
      <c r="AT452" s="257"/>
      <c r="AU452" s="257"/>
      <c r="AV452" s="258"/>
      <c r="AW452" s="258"/>
      <c r="AX452" s="258"/>
      <c r="AY452" s="258"/>
      <c r="AZ452" s="257"/>
    </row>
    <row r="453" spans="27:52" x14ac:dyDescent="0.45">
      <c r="AA453" s="257"/>
      <c r="AB453" s="257"/>
      <c r="AC453" s="257"/>
      <c r="AD453" s="257"/>
      <c r="AE453" s="257"/>
      <c r="AF453" s="257"/>
      <c r="AG453" s="257"/>
      <c r="AH453" s="257"/>
      <c r="AI453" s="257"/>
      <c r="AJ453" s="258"/>
      <c r="AK453" s="257"/>
      <c r="AL453" s="257"/>
      <c r="AM453" s="257"/>
      <c r="AN453" s="257"/>
      <c r="AO453" s="257"/>
      <c r="AP453" s="257"/>
      <c r="AQ453" s="257"/>
      <c r="AR453" s="257"/>
      <c r="AS453" s="257"/>
      <c r="AT453" s="257"/>
      <c r="AU453" s="257"/>
      <c r="AV453" s="258"/>
      <c r="AW453" s="258"/>
      <c r="AX453" s="258"/>
      <c r="AY453" s="258"/>
      <c r="AZ453" s="257"/>
    </row>
    <row r="454" spans="27:52" x14ac:dyDescent="0.45">
      <c r="AA454" s="257"/>
      <c r="AB454" s="257"/>
      <c r="AC454" s="257"/>
      <c r="AD454" s="257"/>
      <c r="AE454" s="257"/>
      <c r="AF454" s="257"/>
      <c r="AG454" s="257"/>
      <c r="AH454" s="257"/>
      <c r="AI454" s="257"/>
      <c r="AJ454" s="258"/>
      <c r="AK454" s="257"/>
      <c r="AL454" s="257"/>
      <c r="AM454" s="257"/>
      <c r="AN454" s="257"/>
      <c r="AO454" s="257"/>
      <c r="AP454" s="257"/>
      <c r="AQ454" s="257"/>
      <c r="AR454" s="257"/>
      <c r="AS454" s="257"/>
      <c r="AT454" s="257"/>
      <c r="AU454" s="257"/>
      <c r="AV454" s="258"/>
      <c r="AW454" s="258"/>
      <c r="AX454" s="258"/>
      <c r="AY454" s="258"/>
      <c r="AZ454" s="257"/>
    </row>
    <row r="455" spans="27:52" x14ac:dyDescent="0.45">
      <c r="AA455" s="257"/>
      <c r="AB455" s="257"/>
      <c r="AC455" s="257"/>
      <c r="AD455" s="257"/>
      <c r="AE455" s="257"/>
      <c r="AF455" s="257"/>
      <c r="AG455" s="257"/>
      <c r="AH455" s="257"/>
      <c r="AI455" s="257"/>
      <c r="AJ455" s="258"/>
      <c r="AK455" s="257"/>
      <c r="AL455" s="257"/>
      <c r="AM455" s="257"/>
      <c r="AN455" s="257"/>
      <c r="AO455" s="257"/>
      <c r="AP455" s="257"/>
      <c r="AQ455" s="257"/>
      <c r="AR455" s="257"/>
      <c r="AS455" s="257"/>
      <c r="AT455" s="257"/>
      <c r="AU455" s="257"/>
      <c r="AV455" s="258"/>
      <c r="AW455" s="258"/>
      <c r="AX455" s="258"/>
      <c r="AY455" s="258"/>
      <c r="AZ455" s="257"/>
    </row>
    <row r="456" spans="27:52" x14ac:dyDescent="0.45">
      <c r="AA456" s="257"/>
      <c r="AB456" s="257"/>
      <c r="AC456" s="257"/>
      <c r="AD456" s="257"/>
      <c r="AE456" s="257"/>
      <c r="AF456" s="257"/>
      <c r="AG456" s="257"/>
      <c r="AH456" s="257"/>
      <c r="AI456" s="257"/>
      <c r="AJ456" s="258"/>
      <c r="AK456" s="257"/>
      <c r="AL456" s="257"/>
      <c r="AM456" s="257"/>
      <c r="AN456" s="257"/>
      <c r="AO456" s="257"/>
      <c r="AP456" s="257"/>
      <c r="AQ456" s="257"/>
      <c r="AR456" s="257"/>
      <c r="AS456" s="257"/>
      <c r="AT456" s="257"/>
      <c r="AU456" s="257"/>
      <c r="AV456" s="258"/>
      <c r="AW456" s="258"/>
      <c r="AX456" s="258"/>
      <c r="AY456" s="258"/>
      <c r="AZ456" s="257"/>
    </row>
    <row r="457" spans="27:52" x14ac:dyDescent="0.45">
      <c r="AA457" s="257"/>
      <c r="AB457" s="257"/>
      <c r="AC457" s="257"/>
      <c r="AD457" s="257"/>
      <c r="AE457" s="257"/>
      <c r="AF457" s="257"/>
      <c r="AG457" s="257"/>
      <c r="AH457" s="257"/>
      <c r="AI457" s="257"/>
      <c r="AJ457" s="258"/>
      <c r="AK457" s="257"/>
      <c r="AL457" s="257"/>
      <c r="AM457" s="257"/>
      <c r="AN457" s="257"/>
      <c r="AO457" s="257"/>
      <c r="AP457" s="257"/>
      <c r="AQ457" s="257"/>
      <c r="AR457" s="257"/>
      <c r="AS457" s="257"/>
      <c r="AT457" s="257"/>
      <c r="AU457" s="257"/>
      <c r="AV457" s="258"/>
      <c r="AW457" s="258"/>
      <c r="AX457" s="258"/>
      <c r="AY457" s="258"/>
      <c r="AZ457" s="257"/>
    </row>
    <row r="458" spans="27:52" x14ac:dyDescent="0.45">
      <c r="AA458" s="257"/>
      <c r="AB458" s="257"/>
      <c r="AC458" s="257"/>
      <c r="AD458" s="257"/>
      <c r="AE458" s="257"/>
      <c r="AF458" s="257"/>
      <c r="AG458" s="257"/>
      <c r="AH458" s="257"/>
      <c r="AI458" s="257"/>
      <c r="AJ458" s="258"/>
      <c r="AK458" s="257"/>
      <c r="AL458" s="257"/>
      <c r="AM458" s="257"/>
      <c r="AN458" s="257"/>
      <c r="AO458" s="257"/>
      <c r="AP458" s="257"/>
      <c r="AQ458" s="257"/>
      <c r="AR458" s="257"/>
      <c r="AS458" s="257"/>
      <c r="AT458" s="257"/>
      <c r="AU458" s="257"/>
      <c r="AV458" s="258"/>
      <c r="AW458" s="258"/>
      <c r="AX458" s="258"/>
      <c r="AY458" s="258"/>
      <c r="AZ458" s="257"/>
    </row>
    <row r="459" spans="27:52" x14ac:dyDescent="0.45">
      <c r="AA459" s="257"/>
      <c r="AB459" s="257"/>
      <c r="AC459" s="257"/>
      <c r="AD459" s="257"/>
      <c r="AE459" s="257"/>
      <c r="AF459" s="257"/>
      <c r="AG459" s="257"/>
      <c r="AH459" s="257"/>
      <c r="AI459" s="257"/>
      <c r="AJ459" s="258"/>
      <c r="AK459" s="257"/>
      <c r="AL459" s="257"/>
      <c r="AM459" s="257"/>
      <c r="AN459" s="257"/>
      <c r="AO459" s="257"/>
      <c r="AP459" s="257"/>
      <c r="AQ459" s="257"/>
      <c r="AR459" s="257"/>
      <c r="AS459" s="257"/>
      <c r="AT459" s="257"/>
      <c r="AU459" s="257"/>
      <c r="AV459" s="258"/>
      <c r="AW459" s="258"/>
      <c r="AX459" s="258"/>
      <c r="AY459" s="258"/>
      <c r="AZ459" s="257"/>
    </row>
    <row r="460" spans="27:52" x14ac:dyDescent="0.45">
      <c r="AA460" s="257"/>
      <c r="AB460" s="257"/>
      <c r="AC460" s="257"/>
      <c r="AD460" s="257"/>
      <c r="AE460" s="257"/>
      <c r="AF460" s="257"/>
      <c r="AG460" s="257"/>
      <c r="AH460" s="257"/>
      <c r="AI460" s="257"/>
      <c r="AJ460" s="258"/>
      <c r="AK460" s="257"/>
      <c r="AL460" s="257"/>
      <c r="AM460" s="257"/>
      <c r="AN460" s="257"/>
      <c r="AO460" s="257"/>
      <c r="AP460" s="257"/>
      <c r="AQ460" s="257"/>
      <c r="AR460" s="257"/>
      <c r="AS460" s="257"/>
      <c r="AT460" s="257"/>
      <c r="AU460" s="257"/>
      <c r="AV460" s="258"/>
      <c r="AW460" s="258"/>
      <c r="AX460" s="258"/>
      <c r="AY460" s="258"/>
      <c r="AZ460" s="257"/>
    </row>
    <row r="461" spans="27:52" x14ac:dyDescent="0.45">
      <c r="AA461" s="257"/>
      <c r="AB461" s="257"/>
      <c r="AC461" s="257"/>
      <c r="AD461" s="257"/>
      <c r="AE461" s="257"/>
      <c r="AF461" s="257"/>
      <c r="AG461" s="257"/>
      <c r="AH461" s="257"/>
      <c r="AI461" s="257"/>
      <c r="AJ461" s="258"/>
      <c r="AK461" s="257"/>
      <c r="AL461" s="257"/>
      <c r="AM461" s="257"/>
      <c r="AN461" s="257"/>
      <c r="AO461" s="257"/>
      <c r="AP461" s="257"/>
      <c r="AQ461" s="257"/>
      <c r="AR461" s="257"/>
      <c r="AS461" s="257"/>
      <c r="AT461" s="257"/>
      <c r="AU461" s="257"/>
      <c r="AV461" s="258"/>
      <c r="AW461" s="258"/>
      <c r="AX461" s="258"/>
      <c r="AY461" s="258"/>
      <c r="AZ461" s="257"/>
    </row>
    <row r="462" spans="27:52" x14ac:dyDescent="0.45">
      <c r="AA462" s="257"/>
      <c r="AB462" s="257"/>
      <c r="AC462" s="257"/>
      <c r="AD462" s="257"/>
      <c r="AE462" s="257"/>
      <c r="AF462" s="257"/>
      <c r="AG462" s="257"/>
      <c r="AH462" s="257"/>
      <c r="AI462" s="257"/>
      <c r="AJ462" s="258"/>
      <c r="AK462" s="257"/>
      <c r="AL462" s="257"/>
      <c r="AM462" s="257"/>
      <c r="AN462" s="257"/>
      <c r="AO462" s="257"/>
      <c r="AP462" s="257"/>
      <c r="AQ462" s="257"/>
      <c r="AR462" s="257"/>
      <c r="AS462" s="257"/>
      <c r="AT462" s="257"/>
      <c r="AU462" s="257"/>
      <c r="AV462" s="258"/>
      <c r="AW462" s="258"/>
      <c r="AX462" s="258"/>
      <c r="AY462" s="258"/>
      <c r="AZ462" s="257"/>
    </row>
    <row r="463" spans="27:52" x14ac:dyDescent="0.45">
      <c r="AA463" s="257"/>
      <c r="AB463" s="257"/>
      <c r="AC463" s="257"/>
      <c r="AD463" s="257"/>
      <c r="AE463" s="257"/>
      <c r="AF463" s="257"/>
      <c r="AG463" s="257"/>
      <c r="AH463" s="257"/>
      <c r="AI463" s="257"/>
      <c r="AJ463" s="258"/>
      <c r="AK463" s="257"/>
      <c r="AL463" s="257"/>
      <c r="AM463" s="257"/>
      <c r="AN463" s="257"/>
      <c r="AO463" s="257"/>
      <c r="AP463" s="257"/>
      <c r="AQ463" s="257"/>
      <c r="AR463" s="257"/>
      <c r="AS463" s="257"/>
      <c r="AT463" s="257"/>
      <c r="AU463" s="257"/>
      <c r="AV463" s="258"/>
      <c r="AW463" s="258"/>
      <c r="AX463" s="258"/>
      <c r="AY463" s="258"/>
      <c r="AZ463" s="257"/>
    </row>
    <row r="464" spans="27:52" x14ac:dyDescent="0.45">
      <c r="AA464" s="257"/>
      <c r="AB464" s="257"/>
      <c r="AC464" s="257"/>
      <c r="AD464" s="257"/>
      <c r="AE464" s="257"/>
      <c r="AF464" s="257"/>
      <c r="AG464" s="257"/>
      <c r="AH464" s="257"/>
      <c r="AI464" s="257"/>
      <c r="AJ464" s="258"/>
      <c r="AK464" s="257"/>
      <c r="AL464" s="257"/>
      <c r="AM464" s="257"/>
      <c r="AN464" s="257"/>
      <c r="AO464" s="257"/>
      <c r="AP464" s="257"/>
      <c r="AQ464" s="257"/>
      <c r="AR464" s="257"/>
      <c r="AS464" s="257"/>
      <c r="AT464" s="257"/>
      <c r="AU464" s="257"/>
      <c r="AV464" s="258"/>
      <c r="AW464" s="258"/>
      <c r="AX464" s="258"/>
      <c r="AY464" s="258"/>
      <c r="AZ464" s="257"/>
    </row>
    <row r="465" spans="27:52" x14ac:dyDescent="0.45">
      <c r="AA465" s="257"/>
      <c r="AB465" s="257"/>
      <c r="AC465" s="257"/>
      <c r="AD465" s="257"/>
      <c r="AE465" s="257"/>
      <c r="AF465" s="257"/>
      <c r="AG465" s="257"/>
      <c r="AH465" s="257"/>
      <c r="AI465" s="257"/>
      <c r="AJ465" s="258"/>
      <c r="AK465" s="257"/>
      <c r="AL465" s="257"/>
      <c r="AM465" s="257"/>
      <c r="AN465" s="257"/>
      <c r="AO465" s="257"/>
      <c r="AP465" s="257"/>
      <c r="AQ465" s="257"/>
      <c r="AR465" s="257"/>
      <c r="AS465" s="257"/>
      <c r="AT465" s="257"/>
      <c r="AU465" s="257"/>
      <c r="AV465" s="258"/>
      <c r="AW465" s="258"/>
      <c r="AX465" s="258"/>
      <c r="AY465" s="258"/>
      <c r="AZ465" s="257"/>
    </row>
    <row r="466" spans="27:52" x14ac:dyDescent="0.45">
      <c r="AA466" s="257"/>
      <c r="AB466" s="257"/>
      <c r="AC466" s="257"/>
      <c r="AD466" s="257"/>
      <c r="AE466" s="257"/>
      <c r="AF466" s="257"/>
      <c r="AG466" s="257"/>
      <c r="AH466" s="257"/>
      <c r="AI466" s="257"/>
      <c r="AJ466" s="258"/>
      <c r="AK466" s="257"/>
      <c r="AL466" s="257"/>
      <c r="AM466" s="257"/>
      <c r="AN466" s="257"/>
      <c r="AO466" s="257"/>
      <c r="AP466" s="257"/>
      <c r="AQ466" s="257"/>
      <c r="AR466" s="257"/>
      <c r="AS466" s="257"/>
      <c r="AT466" s="257"/>
      <c r="AU466" s="257"/>
      <c r="AV466" s="258"/>
      <c r="AW466" s="258"/>
      <c r="AX466" s="258"/>
      <c r="AY466" s="258"/>
      <c r="AZ466" s="257"/>
    </row>
  </sheetData>
  <mergeCells count="9">
    <mergeCell ref="BF5:BN5"/>
    <mergeCell ref="BG6:BM6"/>
    <mergeCell ref="CC5:CF5"/>
    <mergeCell ref="B5:G5"/>
    <mergeCell ref="P5:R5"/>
    <mergeCell ref="T5:W5"/>
    <mergeCell ref="AB5:AH5"/>
    <mergeCell ref="AN5:AO5"/>
    <mergeCell ref="AQ5:AU5"/>
  </mergeCells>
  <hyperlinks>
    <hyperlink ref="C3" r:id="rId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01"/>
  <sheetViews>
    <sheetView zoomScaleNormal="100" workbookViewId="0">
      <pane xSplit="1" ySplit="9" topLeftCell="B10" activePane="bottomRight" state="frozen"/>
      <selection pane="topRight" activeCell="B1" sqref="B1"/>
      <selection pane="bottomLeft" activeCell="A10" sqref="A10"/>
      <selection pane="bottomRight" activeCell="B8" sqref="B8"/>
    </sheetView>
  </sheetViews>
  <sheetFormatPr defaultColWidth="9.19921875" defaultRowHeight="14.25" x14ac:dyDescent="0.45"/>
  <cols>
    <col min="1" max="1" width="18.73046875" style="257" customWidth="1"/>
    <col min="2" max="16384" width="9.19921875" style="259"/>
  </cols>
  <sheetData>
    <row r="1" spans="1:12" ht="20.25" customHeight="1" x14ac:dyDescent="0.5">
      <c r="A1" s="1093" t="s">
        <v>2486</v>
      </c>
      <c r="B1" s="257"/>
      <c r="C1" s="264"/>
      <c r="D1" s="257"/>
      <c r="E1" s="257"/>
      <c r="F1" s="257"/>
      <c r="G1" s="257"/>
      <c r="H1" s="257"/>
      <c r="I1"/>
      <c r="J1" s="257"/>
      <c r="K1" s="257"/>
      <c r="L1" s="257"/>
    </row>
    <row r="2" spans="1:12" ht="20.25" customHeight="1" x14ac:dyDescent="0.45">
      <c r="A2" s="260"/>
      <c r="B2" s="1182"/>
      <c r="C2" s="1186"/>
      <c r="D2" s="1182"/>
      <c r="E2" s="1182"/>
      <c r="F2" s="257"/>
      <c r="G2" s="257"/>
      <c r="H2" s="257"/>
      <c r="I2" s="257"/>
      <c r="J2" s="257"/>
      <c r="K2" s="257"/>
      <c r="L2" s="257"/>
    </row>
    <row r="3" spans="1:12" ht="18" customHeight="1" x14ac:dyDescent="0.45">
      <c r="A3" s="262"/>
      <c r="B3" s="1091" t="s">
        <v>992</v>
      </c>
      <c r="C3" s="1136" t="s">
        <v>1231</v>
      </c>
      <c r="D3" s="1185"/>
      <c r="E3" s="1182"/>
      <c r="F3" s="257"/>
      <c r="G3" s="257"/>
      <c r="H3" s="257"/>
      <c r="I3" s="257"/>
      <c r="J3" s="257"/>
      <c r="K3" s="257"/>
      <c r="L3" s="257"/>
    </row>
    <row r="4" spans="1:12" ht="14.65" thickBot="1" x14ac:dyDescent="0.5">
      <c r="A4" s="262"/>
      <c r="B4" s="306"/>
      <c r="C4" s="391"/>
      <c r="D4" s="306"/>
      <c r="E4" s="306"/>
      <c r="F4" s="306"/>
      <c r="G4" s="306"/>
      <c r="H4" s="306"/>
      <c r="I4" s="306"/>
      <c r="J4" s="391" t="s">
        <v>812</v>
      </c>
      <c r="K4" s="306"/>
      <c r="L4" s="306"/>
    </row>
    <row r="5" spans="1:12" s="275" customFormat="1" ht="52.5" customHeight="1" thickTop="1" thickBot="1" x14ac:dyDescent="0.4">
      <c r="A5" s="265"/>
      <c r="B5" s="1375" t="s">
        <v>948</v>
      </c>
      <c r="C5" s="1376"/>
      <c r="D5" s="1376"/>
      <c r="E5" s="1376"/>
      <c r="F5" s="1376"/>
      <c r="G5" s="1376"/>
      <c r="H5" s="1376"/>
      <c r="I5" s="1376"/>
      <c r="J5" s="1377"/>
      <c r="K5" s="306"/>
      <c r="L5" s="306"/>
    </row>
    <row r="6" spans="1:12" s="275" customFormat="1" ht="48" customHeight="1" thickTop="1" x14ac:dyDescent="0.4">
      <c r="A6" s="276"/>
      <c r="B6" s="435" t="s">
        <v>925</v>
      </c>
      <c r="C6" s="1378" t="s">
        <v>926</v>
      </c>
      <c r="D6" s="1379"/>
      <c r="E6" s="1379"/>
      <c r="F6" s="1379"/>
      <c r="G6" s="1379"/>
      <c r="H6" s="1379"/>
      <c r="I6" s="1380"/>
      <c r="J6" s="436" t="s">
        <v>215</v>
      </c>
      <c r="K6" s="306"/>
      <c r="L6" s="306"/>
    </row>
    <row r="7" spans="1:12" s="275" customFormat="1" ht="38.65" thickBot="1" x14ac:dyDescent="0.4">
      <c r="A7" s="292"/>
      <c r="B7" s="438"/>
      <c r="C7" s="439" t="s">
        <v>211</v>
      </c>
      <c r="D7" s="440" t="s">
        <v>927</v>
      </c>
      <c r="E7" s="278" t="s">
        <v>928</v>
      </c>
      <c r="F7" s="278" t="s">
        <v>929</v>
      </c>
      <c r="G7" s="278" t="s">
        <v>16</v>
      </c>
      <c r="H7" s="278" t="s">
        <v>930</v>
      </c>
      <c r="I7" s="279" t="s">
        <v>931</v>
      </c>
      <c r="J7" s="441"/>
      <c r="K7" s="274"/>
      <c r="L7" s="274"/>
    </row>
    <row r="8" spans="1:12" s="275" customFormat="1" ht="12.75" x14ac:dyDescent="0.35">
      <c r="A8" s="292"/>
      <c r="B8" s="606"/>
      <c r="C8" s="607"/>
      <c r="D8" s="608"/>
      <c r="E8" s="609"/>
      <c r="F8" s="609"/>
      <c r="G8" s="609"/>
      <c r="H8" s="609"/>
      <c r="I8" s="610"/>
      <c r="J8" s="611"/>
      <c r="K8" s="274"/>
      <c r="L8" s="274"/>
    </row>
    <row r="9" spans="1:12" s="275" customFormat="1" ht="12.75" x14ac:dyDescent="0.35">
      <c r="A9" s="292"/>
      <c r="B9" s="606"/>
      <c r="C9" s="607"/>
      <c r="D9" s="608"/>
      <c r="E9" s="609"/>
      <c r="F9" s="609"/>
      <c r="G9" s="609"/>
      <c r="H9" s="609"/>
      <c r="I9" s="610"/>
      <c r="J9" s="611"/>
      <c r="K9" s="274"/>
      <c r="L9" s="274"/>
    </row>
    <row r="10" spans="1:12" s="275" customFormat="1" ht="12.75" x14ac:dyDescent="0.35">
      <c r="A10" s="309">
        <v>1900</v>
      </c>
      <c r="B10" s="606"/>
      <c r="C10" s="338">
        <f t="shared" ref="C10" si="0">+D10+E10+F10+I10</f>
        <v>15057.12</v>
      </c>
      <c r="D10" s="954">
        <v>555.75200000000007</v>
      </c>
      <c r="E10" s="954">
        <v>9227.3120000000017</v>
      </c>
      <c r="F10" s="954">
        <v>4536.4399999999996</v>
      </c>
      <c r="G10" s="943"/>
      <c r="H10" s="943"/>
      <c r="I10" s="954">
        <v>737.61599999999999</v>
      </c>
      <c r="J10" s="611"/>
      <c r="K10" s="274"/>
      <c r="L10" s="274"/>
    </row>
    <row r="11" spans="1:12" s="275" customFormat="1" ht="12.75" x14ac:dyDescent="0.35">
      <c r="A11" s="309">
        <v>1901</v>
      </c>
      <c r="B11" s="606"/>
      <c r="C11" s="338">
        <f t="shared" ref="C11:C48" si="1">+D11+E11+F11+I11</f>
        <v>13542.264000000001</v>
      </c>
      <c r="D11" s="954">
        <v>532.38400000000013</v>
      </c>
      <c r="E11" s="954">
        <v>7845.5520000000006</v>
      </c>
      <c r="F11" s="954">
        <v>4460.24</v>
      </c>
      <c r="G11" s="943"/>
      <c r="H11" s="943"/>
      <c r="I11" s="954">
        <v>704.08799999999997</v>
      </c>
      <c r="J11" s="611"/>
      <c r="K11" s="274"/>
      <c r="L11" s="274"/>
    </row>
    <row r="12" spans="1:12" s="275" customFormat="1" ht="12.75" x14ac:dyDescent="0.35">
      <c r="A12" s="309">
        <v>1902</v>
      </c>
      <c r="B12" s="606"/>
      <c r="C12" s="338">
        <f t="shared" si="1"/>
        <v>14926.056000000002</v>
      </c>
      <c r="D12" s="954">
        <v>701.04</v>
      </c>
      <c r="E12" s="954">
        <v>8584.1840000000011</v>
      </c>
      <c r="F12" s="954">
        <v>4541.5200000000004</v>
      </c>
      <c r="G12" s="943"/>
      <c r="H12" s="943"/>
      <c r="I12" s="954">
        <v>1099.3120000000001</v>
      </c>
      <c r="J12" s="611"/>
      <c r="K12" s="274"/>
      <c r="L12" s="274"/>
    </row>
    <row r="13" spans="1:12" s="275" customFormat="1" ht="12.75" x14ac:dyDescent="0.35">
      <c r="A13" s="309">
        <v>1903</v>
      </c>
      <c r="B13" s="606"/>
      <c r="C13" s="338">
        <f t="shared" si="1"/>
        <v>15521.432000000001</v>
      </c>
      <c r="D13" s="954">
        <v>809.75200000000007</v>
      </c>
      <c r="E13" s="954">
        <v>8990.5840000000007</v>
      </c>
      <c r="F13" s="954">
        <v>4536.4399999999996</v>
      </c>
      <c r="G13" s="943"/>
      <c r="H13" s="943"/>
      <c r="I13" s="954">
        <v>1184.6559999999999</v>
      </c>
      <c r="J13" s="611"/>
      <c r="K13" s="274"/>
      <c r="L13" s="274"/>
    </row>
    <row r="14" spans="1:12" s="275" customFormat="1" ht="12.75" x14ac:dyDescent="0.35">
      <c r="A14" s="309">
        <v>1904</v>
      </c>
      <c r="B14" s="606"/>
      <c r="C14" s="338">
        <f t="shared" si="1"/>
        <v>15304.007999999998</v>
      </c>
      <c r="D14" s="954">
        <v>921.51199999999994</v>
      </c>
      <c r="E14" s="954">
        <v>8523.2239999999983</v>
      </c>
      <c r="F14" s="954">
        <v>4511.04</v>
      </c>
      <c r="G14" s="943"/>
      <c r="H14" s="943"/>
      <c r="I14" s="954">
        <v>1348.232</v>
      </c>
      <c r="J14" s="611"/>
      <c r="K14" s="274"/>
      <c r="L14" s="274"/>
    </row>
    <row r="15" spans="1:12" s="275" customFormat="1" ht="12.75" x14ac:dyDescent="0.35">
      <c r="A15" s="309">
        <v>1905</v>
      </c>
      <c r="B15" s="606"/>
      <c r="C15" s="338">
        <f t="shared" si="1"/>
        <v>16454.12</v>
      </c>
      <c r="D15" s="954">
        <v>853.43999999999994</v>
      </c>
      <c r="E15" s="954">
        <v>9551.4159999999993</v>
      </c>
      <c r="F15" s="954">
        <v>4801.616</v>
      </c>
      <c r="G15" s="943"/>
      <c r="H15" s="943"/>
      <c r="I15" s="954">
        <v>1247.6480000000001</v>
      </c>
      <c r="J15" s="611"/>
      <c r="K15" s="274"/>
      <c r="L15" s="274"/>
    </row>
    <row r="16" spans="1:12" s="275" customFormat="1" ht="12.75" x14ac:dyDescent="0.35">
      <c r="A16" s="309">
        <v>1906</v>
      </c>
      <c r="B16" s="606"/>
      <c r="C16" s="338">
        <f t="shared" si="1"/>
        <v>18275.808000000001</v>
      </c>
      <c r="D16" s="954">
        <v>1115.5680000000002</v>
      </c>
      <c r="E16" s="954">
        <v>10518.648000000001</v>
      </c>
      <c r="F16" s="954">
        <v>5009.8960000000006</v>
      </c>
      <c r="G16" s="943"/>
      <c r="H16" s="943"/>
      <c r="I16" s="954">
        <v>1631.6960000000001</v>
      </c>
      <c r="J16" s="611"/>
      <c r="K16" s="274"/>
      <c r="L16" s="274"/>
    </row>
    <row r="17" spans="1:12" s="275" customFormat="1" ht="12.75" x14ac:dyDescent="0.35">
      <c r="A17" s="309">
        <v>1907</v>
      </c>
      <c r="B17" s="606"/>
      <c r="C17" s="338">
        <f t="shared" si="1"/>
        <v>18990.056</v>
      </c>
      <c r="D17" s="954">
        <v>1301.4960000000001</v>
      </c>
      <c r="E17" s="954">
        <v>10682.224</v>
      </c>
      <c r="F17" s="954">
        <v>5103.3679999999995</v>
      </c>
      <c r="G17" s="943"/>
      <c r="H17" s="943"/>
      <c r="I17" s="954">
        <v>1902.9680000000001</v>
      </c>
      <c r="J17" s="611"/>
      <c r="K17" s="274"/>
      <c r="L17" s="274"/>
    </row>
    <row r="18" spans="1:12" s="275" customFormat="1" ht="12.75" x14ac:dyDescent="0.35">
      <c r="A18" s="309">
        <v>1908</v>
      </c>
      <c r="B18" s="606"/>
      <c r="C18" s="338">
        <f t="shared" si="1"/>
        <v>17624.552</v>
      </c>
      <c r="D18" s="954">
        <v>1432.56</v>
      </c>
      <c r="E18" s="954">
        <v>9434.5759999999991</v>
      </c>
      <c r="F18" s="954">
        <v>4661.4079999999994</v>
      </c>
      <c r="G18" s="943"/>
      <c r="H18" s="943"/>
      <c r="I18" s="954">
        <v>2096.0080000000003</v>
      </c>
      <c r="J18" s="611"/>
      <c r="K18" s="274"/>
      <c r="L18" s="274"/>
    </row>
    <row r="19" spans="1:12" s="275" customFormat="1" ht="12.75" x14ac:dyDescent="0.35">
      <c r="A19" s="309">
        <v>1909</v>
      </c>
      <c r="B19" s="606"/>
      <c r="C19" s="338">
        <f t="shared" si="1"/>
        <v>17992.343999999997</v>
      </c>
      <c r="D19" s="954">
        <v>1411.2239999999999</v>
      </c>
      <c r="E19" s="954">
        <v>9760.7119999999995</v>
      </c>
      <c r="F19" s="954">
        <v>4755.8959999999997</v>
      </c>
      <c r="G19" s="943"/>
      <c r="H19" s="943"/>
      <c r="I19" s="954">
        <v>2064.5120000000002</v>
      </c>
      <c r="J19" s="611"/>
      <c r="K19" s="274"/>
      <c r="L19" s="274"/>
    </row>
    <row r="20" spans="1:12" s="275" customFormat="1" ht="12.75" x14ac:dyDescent="0.35">
      <c r="A20" s="309">
        <v>1910</v>
      </c>
      <c r="B20" s="606"/>
      <c r="C20" s="338">
        <f t="shared" si="1"/>
        <v>18680.175999999999</v>
      </c>
      <c r="D20" s="954">
        <v>1441.7040000000002</v>
      </c>
      <c r="E20" s="954">
        <v>10363.199999999999</v>
      </c>
      <c r="F20" s="954">
        <v>4766.0559999999996</v>
      </c>
      <c r="G20" s="943"/>
      <c r="H20" s="943"/>
      <c r="I20" s="954">
        <v>2109.2159999999999</v>
      </c>
      <c r="J20" s="611"/>
      <c r="K20" s="274"/>
      <c r="L20" s="274"/>
    </row>
    <row r="21" spans="1:12" s="275" customFormat="1" ht="12.75" x14ac:dyDescent="0.35">
      <c r="A21" s="309">
        <v>1911</v>
      </c>
      <c r="B21" s="606"/>
      <c r="C21" s="338">
        <f t="shared" si="1"/>
        <v>18321.527999999998</v>
      </c>
      <c r="D21" s="954">
        <v>1531.1119999999999</v>
      </c>
      <c r="E21" s="954">
        <v>9655.0480000000007</v>
      </c>
      <c r="F21" s="954">
        <v>4897.12</v>
      </c>
      <c r="G21" s="943"/>
      <c r="H21" s="943"/>
      <c r="I21" s="954">
        <v>2238.248</v>
      </c>
      <c r="J21" s="611"/>
      <c r="K21" s="274"/>
      <c r="L21" s="274"/>
    </row>
    <row r="22" spans="1:12" s="275" customFormat="1" ht="12.75" x14ac:dyDescent="0.35">
      <c r="A22" s="309">
        <v>1912</v>
      </c>
      <c r="B22" s="606"/>
      <c r="C22" s="338">
        <f t="shared" si="1"/>
        <v>17646.904000000002</v>
      </c>
      <c r="D22" s="954">
        <v>1504.6960000000001</v>
      </c>
      <c r="E22" s="954">
        <v>9135.8720000000012</v>
      </c>
      <c r="F22" s="954">
        <v>4806.6959999999999</v>
      </c>
      <c r="G22" s="943"/>
      <c r="H22" s="943"/>
      <c r="I22" s="954">
        <v>2199.64</v>
      </c>
      <c r="J22" s="611"/>
      <c r="K22" s="274"/>
      <c r="L22" s="274"/>
    </row>
    <row r="23" spans="1:12" s="275" customFormat="1" ht="12.75" x14ac:dyDescent="0.35">
      <c r="A23" s="309">
        <v>1913</v>
      </c>
      <c r="B23" s="606"/>
      <c r="C23" s="338">
        <f t="shared" si="1"/>
        <v>19721.576000000001</v>
      </c>
      <c r="D23" s="954">
        <v>1439.672</v>
      </c>
      <c r="E23" s="954">
        <v>10965.688</v>
      </c>
      <c r="F23" s="954">
        <v>5211.0639999999994</v>
      </c>
      <c r="G23" s="943"/>
      <c r="H23" s="943"/>
      <c r="I23" s="954">
        <v>2105.152</v>
      </c>
      <c r="J23" s="611"/>
      <c r="K23" s="274"/>
      <c r="L23" s="274"/>
    </row>
    <row r="24" spans="1:12" s="275" customFormat="1" ht="12.75" x14ac:dyDescent="0.35">
      <c r="A24" s="309">
        <v>1914</v>
      </c>
      <c r="B24" s="606"/>
      <c r="C24" s="338">
        <f t="shared" si="1"/>
        <v>18130.520000000004</v>
      </c>
      <c r="D24" s="954">
        <v>1407.1599999999999</v>
      </c>
      <c r="E24" s="954">
        <v>9530.0800000000017</v>
      </c>
      <c r="F24" s="954">
        <v>5210.0480000000007</v>
      </c>
      <c r="G24" s="943"/>
      <c r="H24" s="943"/>
      <c r="I24" s="954">
        <v>1983.232</v>
      </c>
      <c r="J24" s="611"/>
      <c r="K24" s="274"/>
      <c r="L24" s="274"/>
    </row>
    <row r="25" spans="1:12" s="275" customFormat="1" ht="12.75" x14ac:dyDescent="0.35">
      <c r="A25" s="309">
        <v>1915</v>
      </c>
      <c r="B25" s="606"/>
      <c r="C25" s="338">
        <f t="shared" si="1"/>
        <v>19161.760000000002</v>
      </c>
      <c r="D25" s="954">
        <v>1648.9680000000001</v>
      </c>
      <c r="E25" s="954">
        <v>9902.9520000000011</v>
      </c>
      <c r="F25" s="954">
        <v>5050.5360000000001</v>
      </c>
      <c r="G25" s="943"/>
      <c r="H25" s="943"/>
      <c r="I25" s="954">
        <v>2559.3040000000001</v>
      </c>
      <c r="J25" s="611"/>
      <c r="K25" s="274"/>
      <c r="L25" s="274"/>
    </row>
    <row r="26" spans="1:12" s="275" customFormat="1" ht="12.75" x14ac:dyDescent="0.35">
      <c r="A26" s="309">
        <v>1916</v>
      </c>
      <c r="B26" s="606"/>
      <c r="C26" s="338">
        <f t="shared" si="1"/>
        <v>20426.68</v>
      </c>
      <c r="D26" s="954">
        <v>1636.7760000000001</v>
      </c>
      <c r="E26" s="954">
        <v>10465.816000000001</v>
      </c>
      <c r="F26" s="954">
        <v>5856.2240000000002</v>
      </c>
      <c r="G26" s="943"/>
      <c r="H26" s="943"/>
      <c r="I26" s="954">
        <v>2467.864</v>
      </c>
      <c r="J26" s="611"/>
      <c r="K26" s="274"/>
      <c r="L26" s="274"/>
    </row>
    <row r="27" spans="1:12" s="275" customFormat="1" ht="12.75" x14ac:dyDescent="0.35">
      <c r="A27" s="309">
        <v>1917</v>
      </c>
      <c r="B27" s="606"/>
      <c r="C27" s="338">
        <f t="shared" si="1"/>
        <v>21068.792000000001</v>
      </c>
      <c r="D27" s="954">
        <v>1541.2719999999999</v>
      </c>
      <c r="E27" s="954">
        <v>11137.392</v>
      </c>
      <c r="F27" s="954">
        <v>6136.6399999999994</v>
      </c>
      <c r="G27" s="943"/>
      <c r="H27" s="943"/>
      <c r="I27" s="954">
        <v>2253.4879999999998</v>
      </c>
      <c r="J27" s="611"/>
      <c r="K27" s="274"/>
      <c r="L27" s="274"/>
    </row>
    <row r="28" spans="1:12" s="275" customFormat="1" ht="12.75" x14ac:dyDescent="0.35">
      <c r="A28" s="309">
        <v>1918</v>
      </c>
      <c r="B28" s="606"/>
      <c r="C28" s="338">
        <f t="shared" si="1"/>
        <v>20624.800000000003</v>
      </c>
      <c r="D28" s="954">
        <v>1245.616</v>
      </c>
      <c r="E28" s="954">
        <v>11467.592000000002</v>
      </c>
      <c r="F28" s="954">
        <v>6313.424</v>
      </c>
      <c r="G28" s="943"/>
      <c r="H28" s="943"/>
      <c r="I28" s="954">
        <v>1598.1680000000001</v>
      </c>
      <c r="J28" s="611"/>
      <c r="K28" s="274"/>
      <c r="L28" s="274"/>
    </row>
    <row r="29" spans="1:12" s="275" customFormat="1" ht="12.75" x14ac:dyDescent="0.35">
      <c r="A29" s="309">
        <v>1919</v>
      </c>
      <c r="B29" s="606"/>
      <c r="C29" s="338">
        <f t="shared" si="1"/>
        <v>18204.688000000002</v>
      </c>
      <c r="D29" s="954">
        <v>1216.152</v>
      </c>
      <c r="E29" s="954">
        <v>9534.1440000000021</v>
      </c>
      <c r="F29" s="954">
        <v>5676.3919999999998</v>
      </c>
      <c r="G29" s="943"/>
      <c r="H29" s="943"/>
      <c r="I29" s="954">
        <v>1778</v>
      </c>
      <c r="J29" s="611"/>
      <c r="K29" s="274"/>
      <c r="L29" s="274"/>
    </row>
    <row r="30" spans="1:12" s="275" customFormat="1" ht="12.75" x14ac:dyDescent="0.35">
      <c r="A30" s="309">
        <v>1920</v>
      </c>
      <c r="B30" s="445"/>
      <c r="C30" s="338">
        <f t="shared" si="1"/>
        <v>19720.559999999998</v>
      </c>
      <c r="D30" s="954">
        <v>1209.04</v>
      </c>
      <c r="E30" s="954">
        <v>10861.039999999999</v>
      </c>
      <c r="F30" s="954">
        <v>5577.84</v>
      </c>
      <c r="G30" s="943"/>
      <c r="H30" s="943"/>
      <c r="I30" s="954">
        <v>2072.6400000000003</v>
      </c>
      <c r="J30" s="450"/>
      <c r="K30" s="414"/>
      <c r="L30" s="306"/>
    </row>
    <row r="31" spans="1:12" s="275" customFormat="1" ht="12.75" x14ac:dyDescent="0.35">
      <c r="A31" s="309">
        <v>1921</v>
      </c>
      <c r="B31" s="404" t="s">
        <v>54</v>
      </c>
      <c r="C31" s="338">
        <f t="shared" si="1"/>
        <v>11023.599999999999</v>
      </c>
      <c r="D31" s="954">
        <v>1137.92</v>
      </c>
      <c r="E31" s="954">
        <v>3332.48</v>
      </c>
      <c r="F31" s="954">
        <v>4612.6399999999994</v>
      </c>
      <c r="G31" s="943"/>
      <c r="H31" s="943"/>
      <c r="I31" s="954">
        <v>1940.56</v>
      </c>
      <c r="J31" s="451" t="s">
        <v>54</v>
      </c>
      <c r="K31" s="414"/>
      <c r="L31" s="306"/>
    </row>
    <row r="32" spans="1:12" s="275" customFormat="1" ht="12.75" x14ac:dyDescent="0.35">
      <c r="A32" s="309">
        <v>1922</v>
      </c>
      <c r="B32" s="404" t="s">
        <v>54</v>
      </c>
      <c r="C32" s="338">
        <f t="shared" si="1"/>
        <v>13848.08</v>
      </c>
      <c r="D32" s="954">
        <v>1198.8799999999999</v>
      </c>
      <c r="E32" s="954">
        <v>6299.2</v>
      </c>
      <c r="F32" s="954">
        <v>4307.84</v>
      </c>
      <c r="G32" s="943"/>
      <c r="H32" s="943"/>
      <c r="I32" s="954">
        <v>2042.16</v>
      </c>
      <c r="J32" s="451" t="s">
        <v>54</v>
      </c>
      <c r="K32" s="414"/>
      <c r="L32" s="306"/>
    </row>
    <row r="33" spans="1:12" s="275" customFormat="1" ht="12.75" x14ac:dyDescent="0.35">
      <c r="A33" s="309">
        <v>1923</v>
      </c>
      <c r="B33" s="404" t="s">
        <v>54</v>
      </c>
      <c r="C33" s="338">
        <f t="shared" si="1"/>
        <v>16469.36</v>
      </c>
      <c r="D33" s="954">
        <v>1209.04</v>
      </c>
      <c r="E33" s="954">
        <v>9357.3600000000024</v>
      </c>
      <c r="F33" s="954">
        <v>3840.48</v>
      </c>
      <c r="G33" s="943"/>
      <c r="H33" s="943"/>
      <c r="I33" s="954">
        <v>2062.48</v>
      </c>
      <c r="J33" s="451" t="s">
        <v>54</v>
      </c>
      <c r="K33" s="414"/>
      <c r="L33" s="306"/>
    </row>
    <row r="34" spans="1:12" s="275" customFormat="1" ht="12.75" x14ac:dyDescent="0.35">
      <c r="A34" s="309">
        <v>1924</v>
      </c>
      <c r="B34" s="404" t="s">
        <v>54</v>
      </c>
      <c r="C34" s="338">
        <f t="shared" si="1"/>
        <v>16774.16</v>
      </c>
      <c r="D34" s="954">
        <v>1351.28</v>
      </c>
      <c r="E34" s="954">
        <v>9326.8799999999992</v>
      </c>
      <c r="F34" s="954">
        <v>3779.5200000000004</v>
      </c>
      <c r="G34" s="943"/>
      <c r="H34" s="943"/>
      <c r="I34" s="954">
        <v>2316.48</v>
      </c>
      <c r="J34" s="451" t="s">
        <v>54</v>
      </c>
      <c r="K34" s="414"/>
      <c r="L34" s="306"/>
    </row>
    <row r="35" spans="1:12" s="275" customFormat="1" ht="12.75" x14ac:dyDescent="0.35">
      <c r="A35" s="309">
        <v>1925</v>
      </c>
      <c r="B35" s="404" t="s">
        <v>54</v>
      </c>
      <c r="C35" s="338">
        <f t="shared" si="1"/>
        <v>15869.92</v>
      </c>
      <c r="D35" s="954">
        <v>1493.52</v>
      </c>
      <c r="E35" s="954">
        <v>8077.2</v>
      </c>
      <c r="F35" s="954">
        <v>3738.8800000000006</v>
      </c>
      <c r="G35" s="943"/>
      <c r="H35" s="943"/>
      <c r="I35" s="954">
        <v>2560.3199999999997</v>
      </c>
      <c r="J35" s="451" t="s">
        <v>54</v>
      </c>
      <c r="K35" s="414"/>
      <c r="L35" s="306"/>
    </row>
    <row r="36" spans="1:12" s="275" customFormat="1" ht="12.75" x14ac:dyDescent="0.35">
      <c r="A36" s="309">
        <v>1926</v>
      </c>
      <c r="B36" s="404" t="s">
        <v>54</v>
      </c>
      <c r="C36" s="338">
        <f t="shared" si="1"/>
        <v>10952.48</v>
      </c>
      <c r="D36" s="954">
        <v>1574.8</v>
      </c>
      <c r="E36" s="954">
        <v>3200.4</v>
      </c>
      <c r="F36" s="954">
        <v>3484.8800000000006</v>
      </c>
      <c r="G36" s="943"/>
      <c r="H36" s="943"/>
      <c r="I36" s="954">
        <v>2692.4</v>
      </c>
      <c r="J36" s="451" t="s">
        <v>54</v>
      </c>
      <c r="K36" s="414"/>
      <c r="L36" s="306"/>
    </row>
    <row r="37" spans="1:12" s="275" customFormat="1" ht="12.75" x14ac:dyDescent="0.35">
      <c r="A37" s="309">
        <v>1927</v>
      </c>
      <c r="B37" s="404" t="s">
        <v>54</v>
      </c>
      <c r="C37" s="338">
        <f t="shared" si="1"/>
        <v>17200.88</v>
      </c>
      <c r="D37" s="954">
        <v>1737.3600000000001</v>
      </c>
      <c r="E37" s="954">
        <v>9093.1999999999989</v>
      </c>
      <c r="F37" s="954">
        <v>3403.6</v>
      </c>
      <c r="G37" s="943"/>
      <c r="H37" s="943"/>
      <c r="I37" s="954">
        <v>2966.72</v>
      </c>
      <c r="J37" s="451" t="s">
        <v>54</v>
      </c>
      <c r="K37" s="414"/>
      <c r="L37" s="306"/>
    </row>
    <row r="38" spans="1:12" s="275" customFormat="1" ht="12.75" x14ac:dyDescent="0.35">
      <c r="A38" s="309">
        <v>1928</v>
      </c>
      <c r="B38" s="404" t="s">
        <v>54</v>
      </c>
      <c r="C38" s="338">
        <f t="shared" si="1"/>
        <v>16479.519999999997</v>
      </c>
      <c r="D38" s="954">
        <v>1828.8</v>
      </c>
      <c r="E38" s="954">
        <v>8331.1999999999989</v>
      </c>
      <c r="F38" s="954">
        <v>3180.08</v>
      </c>
      <c r="G38" s="943"/>
      <c r="H38" s="943"/>
      <c r="I38" s="954">
        <v>3139.44</v>
      </c>
      <c r="J38" s="451" t="s">
        <v>54</v>
      </c>
      <c r="K38" s="414"/>
      <c r="L38" s="306"/>
    </row>
    <row r="39" spans="1:12" s="275" customFormat="1" ht="12.75" x14ac:dyDescent="0.35">
      <c r="A39" s="309">
        <v>1929</v>
      </c>
      <c r="B39" s="404" t="s">
        <v>54</v>
      </c>
      <c r="C39" s="338">
        <f t="shared" si="1"/>
        <v>18054.32</v>
      </c>
      <c r="D39" s="954">
        <v>1960.8799999999999</v>
      </c>
      <c r="E39" s="954">
        <v>9753.6</v>
      </c>
      <c r="F39" s="954">
        <v>2987.04</v>
      </c>
      <c r="G39" s="943"/>
      <c r="H39" s="943"/>
      <c r="I39" s="954">
        <v>3352.7999999999997</v>
      </c>
      <c r="J39" s="451" t="s">
        <v>54</v>
      </c>
      <c r="K39" s="414"/>
      <c r="L39" s="306"/>
    </row>
    <row r="40" spans="1:12" s="275" customFormat="1" ht="12.75" x14ac:dyDescent="0.35">
      <c r="A40" s="309">
        <v>1930</v>
      </c>
      <c r="B40" s="404" t="s">
        <v>54</v>
      </c>
      <c r="C40" s="338">
        <f t="shared" si="1"/>
        <v>16631.920000000002</v>
      </c>
      <c r="D40" s="954">
        <v>2133.6</v>
      </c>
      <c r="E40" s="954">
        <v>7985.7600000000011</v>
      </c>
      <c r="F40" s="954">
        <v>2875.28</v>
      </c>
      <c r="G40" s="943"/>
      <c r="H40" s="943"/>
      <c r="I40" s="954">
        <v>3637.28</v>
      </c>
      <c r="J40" s="451" t="s">
        <v>54</v>
      </c>
      <c r="K40" s="414"/>
      <c r="L40" s="306"/>
    </row>
    <row r="41" spans="1:12" s="275" customFormat="1" ht="12.75" x14ac:dyDescent="0.35">
      <c r="A41" s="309">
        <v>1931</v>
      </c>
      <c r="B41" s="404" t="s">
        <v>54</v>
      </c>
      <c r="C41" s="338">
        <f t="shared" si="1"/>
        <v>13167.359999999999</v>
      </c>
      <c r="D41" s="954">
        <v>2032</v>
      </c>
      <c r="E41" s="954">
        <v>4958.08</v>
      </c>
      <c r="F41" s="954">
        <v>2712.72</v>
      </c>
      <c r="G41" s="943"/>
      <c r="H41" s="943"/>
      <c r="I41" s="954">
        <v>3464.56</v>
      </c>
      <c r="J41" s="451" t="s">
        <v>54</v>
      </c>
      <c r="K41" s="414"/>
      <c r="L41" s="306"/>
    </row>
    <row r="42" spans="1:12" s="275" customFormat="1" ht="12.75" x14ac:dyDescent="0.35">
      <c r="A42" s="309">
        <v>1932</v>
      </c>
      <c r="B42" s="404" t="s">
        <v>54</v>
      </c>
      <c r="C42" s="338">
        <f t="shared" si="1"/>
        <v>13136.880000000001</v>
      </c>
      <c r="D42" s="954">
        <v>2123.44</v>
      </c>
      <c r="E42" s="954">
        <v>4572</v>
      </c>
      <c r="F42" s="954">
        <v>2824.48</v>
      </c>
      <c r="G42" s="943"/>
      <c r="H42" s="943"/>
      <c r="I42" s="954">
        <v>3616.96</v>
      </c>
      <c r="J42" s="451" t="s">
        <v>54</v>
      </c>
      <c r="K42" s="414"/>
      <c r="L42" s="306"/>
    </row>
    <row r="43" spans="1:12" s="275" customFormat="1" ht="12.75" x14ac:dyDescent="0.35">
      <c r="A43" s="309">
        <v>1933</v>
      </c>
      <c r="B43" s="404" t="s">
        <v>54</v>
      </c>
      <c r="C43" s="338">
        <f t="shared" si="1"/>
        <v>13319.760000000002</v>
      </c>
      <c r="D43" s="954">
        <v>2042.16</v>
      </c>
      <c r="E43" s="954">
        <v>5049.5200000000004</v>
      </c>
      <c r="F43" s="954">
        <v>2733.04</v>
      </c>
      <c r="G43" s="943"/>
      <c r="H43" s="943"/>
      <c r="I43" s="954">
        <v>3495.04</v>
      </c>
      <c r="J43" s="451" t="s">
        <v>54</v>
      </c>
      <c r="K43" s="414"/>
      <c r="L43" s="306"/>
    </row>
    <row r="44" spans="1:12" s="275" customFormat="1" ht="12.75" x14ac:dyDescent="0.35">
      <c r="A44" s="309">
        <v>1934</v>
      </c>
      <c r="B44" s="404" t="s">
        <v>54</v>
      </c>
      <c r="C44" s="338">
        <f t="shared" si="1"/>
        <v>16550.64</v>
      </c>
      <c r="D44" s="954">
        <v>2326.6400000000003</v>
      </c>
      <c r="E44" s="954">
        <v>7142.48</v>
      </c>
      <c r="F44" s="954">
        <v>3108.96</v>
      </c>
      <c r="G44" s="943"/>
      <c r="H44" s="943"/>
      <c r="I44" s="954">
        <v>3972.56</v>
      </c>
      <c r="J44" s="451" t="s">
        <v>54</v>
      </c>
      <c r="K44" s="414"/>
      <c r="L44" s="306"/>
    </row>
    <row r="45" spans="1:12" s="275" customFormat="1" ht="12.75" x14ac:dyDescent="0.35">
      <c r="A45" s="309">
        <v>1935</v>
      </c>
      <c r="B45" s="404" t="s">
        <v>54</v>
      </c>
      <c r="C45" s="338">
        <f t="shared" si="1"/>
        <v>17160.239999999998</v>
      </c>
      <c r="D45" s="954">
        <v>2387.6</v>
      </c>
      <c r="E45" s="954">
        <v>7426.9599999999991</v>
      </c>
      <c r="F45" s="954">
        <v>3271.52</v>
      </c>
      <c r="G45" s="943"/>
      <c r="H45" s="943"/>
      <c r="I45" s="954">
        <v>4074.16</v>
      </c>
      <c r="J45" s="451" t="s">
        <v>54</v>
      </c>
      <c r="K45" s="414"/>
      <c r="L45" s="306"/>
    </row>
    <row r="46" spans="1:12" s="275" customFormat="1" ht="12.75" x14ac:dyDescent="0.35">
      <c r="A46" s="309">
        <v>1936</v>
      </c>
      <c r="B46" s="404" t="s">
        <v>54</v>
      </c>
      <c r="C46" s="338">
        <f t="shared" si="1"/>
        <v>19629.120000000003</v>
      </c>
      <c r="D46" s="954">
        <v>2621.2800000000002</v>
      </c>
      <c r="E46" s="954">
        <v>9011.92</v>
      </c>
      <c r="F46" s="954">
        <v>3505.2000000000003</v>
      </c>
      <c r="G46" s="943"/>
      <c r="H46" s="943"/>
      <c r="I46" s="954">
        <v>4490.7199999999993</v>
      </c>
      <c r="J46" s="451" t="s">
        <v>54</v>
      </c>
      <c r="K46" s="414"/>
      <c r="L46" s="306"/>
    </row>
    <row r="47" spans="1:12" s="275" customFormat="1" ht="12.75" x14ac:dyDescent="0.35">
      <c r="A47" s="309">
        <v>1937</v>
      </c>
      <c r="B47" s="404" t="s">
        <v>54</v>
      </c>
      <c r="C47" s="338">
        <f t="shared" si="1"/>
        <v>20634.96</v>
      </c>
      <c r="D47" s="954">
        <v>2611.12</v>
      </c>
      <c r="E47" s="954">
        <v>10088.879999999999</v>
      </c>
      <c r="F47" s="954">
        <v>3484.8800000000006</v>
      </c>
      <c r="G47" s="943"/>
      <c r="H47" s="943"/>
      <c r="I47" s="954">
        <v>4450.08</v>
      </c>
      <c r="J47" s="451" t="s">
        <v>54</v>
      </c>
      <c r="K47" s="414"/>
      <c r="L47" s="306"/>
    </row>
    <row r="48" spans="1:12" s="275" customFormat="1" ht="12.75" x14ac:dyDescent="0.35">
      <c r="A48" s="309">
        <v>1938</v>
      </c>
      <c r="B48" s="404" t="s">
        <v>54</v>
      </c>
      <c r="C48" s="338">
        <f t="shared" si="1"/>
        <v>18491.199999999997</v>
      </c>
      <c r="D48" s="954">
        <v>2377.44</v>
      </c>
      <c r="E48" s="954">
        <v>7945.12</v>
      </c>
      <c r="F48" s="954">
        <v>4104.6399999999994</v>
      </c>
      <c r="G48" s="954">
        <v>100</v>
      </c>
      <c r="H48" s="943"/>
      <c r="I48" s="954">
        <v>4064</v>
      </c>
      <c r="J48" s="451" t="s">
        <v>54</v>
      </c>
      <c r="K48" s="414"/>
      <c r="L48" s="306"/>
    </row>
    <row r="49" spans="1:12" s="275" customFormat="1" ht="12.75" x14ac:dyDescent="0.35">
      <c r="A49" s="309">
        <v>1939</v>
      </c>
      <c r="B49" s="404" t="s">
        <v>54</v>
      </c>
      <c r="C49" s="338">
        <f t="shared" ref="C49:C59" si="2">D49+E49+F49+G49+I49</f>
        <v>19500.8</v>
      </c>
      <c r="D49" s="929">
        <f>D48+(D$51-D$48)/3</f>
        <v>2438.2933333333335</v>
      </c>
      <c r="E49" s="929">
        <f t="shared" ref="E49:I50" si="3">E48+(E$51-E$48)/3</f>
        <v>9083.4133333333339</v>
      </c>
      <c r="F49" s="929">
        <f t="shared" si="3"/>
        <v>3536.4266666666663</v>
      </c>
      <c r="G49" s="929">
        <f t="shared" si="3"/>
        <v>100</v>
      </c>
      <c r="H49" s="929">
        <f t="shared" si="3"/>
        <v>0</v>
      </c>
      <c r="I49" s="929">
        <f t="shared" si="3"/>
        <v>4342.666666666667</v>
      </c>
      <c r="J49" s="451" t="s">
        <v>54</v>
      </c>
      <c r="K49" s="414"/>
      <c r="L49" s="306"/>
    </row>
    <row r="50" spans="1:12" s="275" customFormat="1" ht="12.75" x14ac:dyDescent="0.35">
      <c r="A50" s="309">
        <v>1940</v>
      </c>
      <c r="B50" s="404" t="s">
        <v>54</v>
      </c>
      <c r="C50" s="338">
        <f t="shared" si="2"/>
        <v>20410.400000000001</v>
      </c>
      <c r="D50" s="929">
        <f>D49+(D$51-D$48)/3</f>
        <v>2499.146666666667</v>
      </c>
      <c r="E50" s="929">
        <f t="shared" si="3"/>
        <v>10221.706666666667</v>
      </c>
      <c r="F50" s="929">
        <f t="shared" si="3"/>
        <v>2968.2133333333331</v>
      </c>
      <c r="G50" s="929">
        <f t="shared" si="3"/>
        <v>100</v>
      </c>
      <c r="H50" s="929">
        <f t="shared" si="3"/>
        <v>0</v>
      </c>
      <c r="I50" s="929">
        <f t="shared" si="3"/>
        <v>4621.3333333333339</v>
      </c>
      <c r="J50" s="451" t="s">
        <v>54</v>
      </c>
      <c r="K50" s="414"/>
      <c r="L50" s="306"/>
    </row>
    <row r="51" spans="1:12" s="275" customFormat="1" ht="12.75" x14ac:dyDescent="0.35">
      <c r="A51" s="309">
        <v>1941</v>
      </c>
      <c r="B51" s="404" t="s">
        <v>54</v>
      </c>
      <c r="C51" s="338">
        <f t="shared" si="2"/>
        <v>21320</v>
      </c>
      <c r="D51" s="341">
        <v>2560</v>
      </c>
      <c r="E51" s="448">
        <v>11360</v>
      </c>
      <c r="F51" s="448">
        <v>2400</v>
      </c>
      <c r="G51" s="341">
        <v>100</v>
      </c>
      <c r="H51" s="341"/>
      <c r="I51" s="342">
        <v>4900</v>
      </c>
      <c r="J51" s="451" t="s">
        <v>54</v>
      </c>
      <c r="K51" s="414"/>
      <c r="L51" s="306"/>
    </row>
    <row r="52" spans="1:12" s="275" customFormat="1" ht="12.75" x14ac:dyDescent="0.35">
      <c r="A52" s="309">
        <v>1942</v>
      </c>
      <c r="B52" s="404" t="s">
        <v>54</v>
      </c>
      <c r="C52" s="338">
        <f t="shared" si="2"/>
        <v>22060</v>
      </c>
      <c r="D52" s="341">
        <v>2900</v>
      </c>
      <c r="E52" s="448">
        <v>11910</v>
      </c>
      <c r="F52" s="448">
        <v>2440</v>
      </c>
      <c r="G52" s="341">
        <v>130</v>
      </c>
      <c r="H52" s="341" t="s">
        <v>54</v>
      </c>
      <c r="I52" s="342">
        <v>4680</v>
      </c>
      <c r="J52" s="451" t="s">
        <v>54</v>
      </c>
      <c r="K52" s="415"/>
      <c r="L52" s="297"/>
    </row>
    <row r="53" spans="1:12" s="275" customFormat="1" ht="12.75" x14ac:dyDescent="0.35">
      <c r="A53" s="309">
        <v>1943</v>
      </c>
      <c r="B53" s="404" t="s">
        <v>54</v>
      </c>
      <c r="C53" s="338">
        <f t="shared" si="2"/>
        <v>20280</v>
      </c>
      <c r="D53" s="341">
        <v>3190</v>
      </c>
      <c r="E53" s="448">
        <v>10200.000000000002</v>
      </c>
      <c r="F53" s="448">
        <v>2640</v>
      </c>
      <c r="G53" s="341">
        <v>170</v>
      </c>
      <c r="H53" s="341" t="s">
        <v>54</v>
      </c>
      <c r="I53" s="342">
        <v>4080</v>
      </c>
      <c r="J53" s="451" t="s">
        <v>54</v>
      </c>
      <c r="K53" s="414"/>
      <c r="L53" s="306"/>
    </row>
    <row r="54" spans="1:12" s="275" customFormat="1" ht="12.75" x14ac:dyDescent="0.35">
      <c r="A54" s="309">
        <v>1944</v>
      </c>
      <c r="B54" s="404" t="s">
        <v>54</v>
      </c>
      <c r="C54" s="338">
        <f t="shared" si="2"/>
        <v>21180</v>
      </c>
      <c r="D54" s="341">
        <v>3260</v>
      </c>
      <c r="E54" s="448">
        <v>9500</v>
      </c>
      <c r="F54" s="448">
        <v>2970</v>
      </c>
      <c r="G54" s="341">
        <v>220</v>
      </c>
      <c r="H54" s="341" t="s">
        <v>54</v>
      </c>
      <c r="I54" s="342">
        <v>5230</v>
      </c>
      <c r="J54" s="451" t="s">
        <v>54</v>
      </c>
      <c r="K54" s="414"/>
      <c r="L54" s="306"/>
    </row>
    <row r="55" spans="1:12" s="275" customFormat="1" ht="12.75" x14ac:dyDescent="0.35">
      <c r="A55" s="309">
        <v>1945</v>
      </c>
      <c r="B55" s="404" t="s">
        <v>54</v>
      </c>
      <c r="C55" s="338">
        <f t="shared" si="2"/>
        <v>20270</v>
      </c>
      <c r="D55" s="341">
        <v>3300</v>
      </c>
      <c r="E55" s="448">
        <v>9120.0000000000018</v>
      </c>
      <c r="F55" s="448">
        <v>2540</v>
      </c>
      <c r="G55" s="341">
        <v>190</v>
      </c>
      <c r="H55" s="341" t="s">
        <v>54</v>
      </c>
      <c r="I55" s="342">
        <v>5120</v>
      </c>
      <c r="J55" s="451" t="s">
        <v>54</v>
      </c>
      <c r="K55" s="414"/>
      <c r="L55" s="306"/>
    </row>
    <row r="56" spans="1:12" s="275" customFormat="1" ht="12.75" x14ac:dyDescent="0.35">
      <c r="A56" s="309">
        <v>1946</v>
      </c>
      <c r="B56" s="404" t="s">
        <v>54</v>
      </c>
      <c r="C56" s="338">
        <f t="shared" si="2"/>
        <v>20910</v>
      </c>
      <c r="D56" s="341">
        <v>3760</v>
      </c>
      <c r="E56" s="448">
        <v>9630</v>
      </c>
      <c r="F56" s="448">
        <v>2510</v>
      </c>
      <c r="G56" s="341">
        <v>180</v>
      </c>
      <c r="H56" s="341" t="s">
        <v>54</v>
      </c>
      <c r="I56" s="342">
        <v>4830</v>
      </c>
      <c r="J56" s="451" t="s">
        <v>54</v>
      </c>
      <c r="K56" s="414"/>
      <c r="L56" s="306"/>
    </row>
    <row r="57" spans="1:12" s="275" customFormat="1" ht="12.75" x14ac:dyDescent="0.35">
      <c r="A57" s="309">
        <v>1947</v>
      </c>
      <c r="B57" s="404" t="s">
        <v>54</v>
      </c>
      <c r="C57" s="338">
        <f t="shared" si="2"/>
        <v>20370</v>
      </c>
      <c r="D57" s="341">
        <v>3380</v>
      </c>
      <c r="E57" s="448">
        <v>9530.0000000000018</v>
      </c>
      <c r="F57" s="448">
        <v>2440</v>
      </c>
      <c r="G57" s="341">
        <v>150</v>
      </c>
      <c r="H57" s="341" t="s">
        <v>54</v>
      </c>
      <c r="I57" s="342">
        <v>4870</v>
      </c>
      <c r="J57" s="451" t="s">
        <v>54</v>
      </c>
      <c r="K57" s="414"/>
      <c r="L57" s="306"/>
    </row>
    <row r="58" spans="1:12" s="275" customFormat="1" ht="12.75" x14ac:dyDescent="0.35">
      <c r="A58" s="309">
        <v>1948</v>
      </c>
      <c r="B58" s="404">
        <v>8589.2639999999992</v>
      </c>
      <c r="C58" s="338">
        <f t="shared" si="2"/>
        <v>20343.8</v>
      </c>
      <c r="D58" s="447">
        <f>2336.8+960</f>
        <v>3296.8</v>
      </c>
      <c r="E58" s="448">
        <v>9987</v>
      </c>
      <c r="F58" s="448">
        <v>2670</v>
      </c>
      <c r="G58" s="341">
        <v>150</v>
      </c>
      <c r="H58" s="341" t="s">
        <v>54</v>
      </c>
      <c r="I58" s="449">
        <f>3340+900</f>
        <v>4240</v>
      </c>
      <c r="J58" s="450"/>
      <c r="K58" s="414"/>
      <c r="L58" s="306"/>
    </row>
    <row r="59" spans="1:12" s="275" customFormat="1" ht="12.75" x14ac:dyDescent="0.35">
      <c r="A59" s="309">
        <v>1949</v>
      </c>
      <c r="B59" s="404">
        <v>9324.848</v>
      </c>
      <c r="C59" s="338">
        <f t="shared" si="2"/>
        <v>20742.400000000001</v>
      </c>
      <c r="D59" s="447">
        <f>2438.4+900</f>
        <v>3338.4</v>
      </c>
      <c r="E59" s="448">
        <v>9914</v>
      </c>
      <c r="F59" s="448">
        <v>2679.9999999999995</v>
      </c>
      <c r="G59" s="341">
        <v>140</v>
      </c>
      <c r="H59" s="341" t="s">
        <v>54</v>
      </c>
      <c r="I59" s="449">
        <f>3950+720</f>
        <v>4670</v>
      </c>
      <c r="J59" s="450"/>
      <c r="K59" s="414"/>
      <c r="L59" s="306"/>
    </row>
    <row r="60" spans="1:12" s="275" customFormat="1" ht="12.75" x14ac:dyDescent="0.35">
      <c r="A60" s="309">
        <v>1950</v>
      </c>
      <c r="B60" s="404">
        <v>10481.056</v>
      </c>
      <c r="C60" s="338">
        <f>D60+E60+F60+G60+I60</f>
        <v>21742</v>
      </c>
      <c r="D60" s="447">
        <f>2540+920</f>
        <v>3460</v>
      </c>
      <c r="E60" s="448">
        <v>9802</v>
      </c>
      <c r="F60" s="448">
        <v>2780.0000000000005</v>
      </c>
      <c r="G60" s="341">
        <v>140</v>
      </c>
      <c r="H60" s="341" t="s">
        <v>54</v>
      </c>
      <c r="I60" s="449">
        <f>4690+870</f>
        <v>5560</v>
      </c>
      <c r="J60" s="450"/>
      <c r="K60" s="414"/>
      <c r="L60" s="306"/>
    </row>
    <row r="61" spans="1:12" s="275" customFormat="1" ht="12.75" x14ac:dyDescent="0.35">
      <c r="A61" s="309">
        <v>1951</v>
      </c>
      <c r="B61" s="404"/>
      <c r="C61" s="338"/>
      <c r="D61" s="447"/>
      <c r="E61" s="448"/>
      <c r="F61" s="448"/>
      <c r="G61" s="341"/>
      <c r="H61" s="341"/>
      <c r="I61" s="449"/>
      <c r="J61" s="450"/>
      <c r="K61" s="414"/>
      <c r="L61" s="306"/>
    </row>
    <row r="62" spans="1:12" s="275" customFormat="1" ht="12.75" x14ac:dyDescent="0.35">
      <c r="A62" s="309">
        <v>1952</v>
      </c>
      <c r="B62" s="404"/>
      <c r="C62" s="338"/>
      <c r="D62" s="447"/>
      <c r="E62" s="448"/>
      <c r="F62" s="448"/>
      <c r="G62" s="341"/>
      <c r="H62" s="341"/>
      <c r="I62" s="449"/>
      <c r="J62" s="450"/>
      <c r="K62" s="414"/>
      <c r="L62" s="306"/>
    </row>
    <row r="63" spans="1:12" s="275" customFormat="1" ht="12.75" x14ac:dyDescent="0.35">
      <c r="A63" s="309">
        <v>1953</v>
      </c>
      <c r="B63" s="404"/>
      <c r="C63" s="338"/>
      <c r="D63" s="447"/>
      <c r="E63" s="448"/>
      <c r="F63" s="448"/>
      <c r="G63" s="341"/>
      <c r="H63" s="341"/>
      <c r="I63" s="449"/>
      <c r="J63" s="450"/>
      <c r="K63" s="414"/>
      <c r="L63" s="306"/>
    </row>
    <row r="64" spans="1:12" s="275" customFormat="1" ht="12.75" x14ac:dyDescent="0.35">
      <c r="A64" s="309">
        <v>1954</v>
      </c>
      <c r="B64" s="404"/>
      <c r="C64" s="338"/>
      <c r="D64" s="447"/>
      <c r="E64" s="448"/>
      <c r="F64" s="448"/>
      <c r="G64" s="341"/>
      <c r="H64" s="341"/>
      <c r="I64" s="449"/>
      <c r="J64" s="450"/>
      <c r="K64" s="414"/>
      <c r="L64" s="306"/>
    </row>
    <row r="65" spans="1:12" s="275" customFormat="1" ht="12.75" x14ac:dyDescent="0.35">
      <c r="A65" s="309">
        <v>1955</v>
      </c>
      <c r="B65" s="404"/>
      <c r="C65" s="338"/>
      <c r="D65" s="447"/>
      <c r="E65" s="448"/>
      <c r="F65" s="448"/>
      <c r="G65" s="341"/>
      <c r="H65" s="341"/>
      <c r="I65" s="449"/>
      <c r="J65" s="450"/>
      <c r="K65" s="414"/>
      <c r="L65" s="306"/>
    </row>
    <row r="66" spans="1:12" s="275" customFormat="1" ht="12.75" x14ac:dyDescent="0.35">
      <c r="A66" s="309">
        <v>1956</v>
      </c>
      <c r="B66" s="404"/>
      <c r="C66" s="338"/>
      <c r="D66" s="447"/>
      <c r="E66" s="448"/>
      <c r="F66" s="448"/>
      <c r="G66" s="341"/>
      <c r="H66" s="341"/>
      <c r="I66" s="449"/>
      <c r="J66" s="450"/>
      <c r="K66" s="414"/>
      <c r="L66" s="306"/>
    </row>
    <row r="67" spans="1:12" s="275" customFormat="1" ht="12.75" x14ac:dyDescent="0.35">
      <c r="A67" s="309">
        <v>1957</v>
      </c>
      <c r="B67" s="404"/>
      <c r="C67" s="338"/>
      <c r="D67" s="447"/>
      <c r="E67" s="448"/>
      <c r="F67" s="448"/>
      <c r="G67" s="341"/>
      <c r="H67" s="341"/>
      <c r="I67" s="449"/>
      <c r="J67" s="450"/>
      <c r="K67" s="414"/>
      <c r="L67" s="306"/>
    </row>
    <row r="68" spans="1:12" s="275" customFormat="1" ht="12.75" x14ac:dyDescent="0.35">
      <c r="A68" s="309">
        <v>1958</v>
      </c>
      <c r="B68" s="404"/>
      <c r="C68" s="338"/>
      <c r="D68" s="447"/>
      <c r="E68" s="448"/>
      <c r="F68" s="448"/>
      <c r="G68" s="341"/>
      <c r="H68" s="341"/>
      <c r="I68" s="449"/>
      <c r="J68" s="450"/>
      <c r="K68" s="414"/>
      <c r="L68" s="306"/>
    </row>
    <row r="69" spans="1:12" s="275" customFormat="1" ht="12.75" x14ac:dyDescent="0.35">
      <c r="A69" s="309">
        <v>1959</v>
      </c>
      <c r="B69" s="404"/>
      <c r="C69" s="338"/>
      <c r="D69" s="448"/>
      <c r="E69" s="448"/>
      <c r="F69" s="448"/>
      <c r="G69" s="341"/>
      <c r="H69" s="341"/>
      <c r="I69" s="449"/>
      <c r="J69" s="450"/>
      <c r="K69" s="414"/>
      <c r="L69" s="306"/>
    </row>
    <row r="70" spans="1:12" s="275" customFormat="1" ht="12.75" x14ac:dyDescent="0.35">
      <c r="A70" s="309">
        <v>1960</v>
      </c>
      <c r="B70" s="404"/>
      <c r="C70" s="338"/>
      <c r="D70" s="447"/>
      <c r="E70" s="448"/>
      <c r="F70" s="448"/>
      <c r="G70" s="341"/>
      <c r="H70" s="341"/>
      <c r="I70" s="449"/>
      <c r="J70" s="450"/>
      <c r="K70" s="414"/>
      <c r="L70" s="306"/>
    </row>
    <row r="71" spans="1:12" s="275" customFormat="1" ht="12.75" x14ac:dyDescent="0.35">
      <c r="A71" s="347">
        <v>1961</v>
      </c>
      <c r="B71" s="404"/>
      <c r="C71" s="338"/>
      <c r="D71" s="447"/>
      <c r="E71" s="448"/>
      <c r="F71" s="341"/>
      <c r="G71" s="341"/>
      <c r="H71" s="341"/>
      <c r="I71" s="449"/>
      <c r="J71" s="450"/>
      <c r="K71" s="414"/>
      <c r="L71" s="306"/>
    </row>
    <row r="72" spans="1:12" s="275" customFormat="1" ht="12.75" x14ac:dyDescent="0.35">
      <c r="A72" s="347">
        <v>1962</v>
      </c>
      <c r="B72" s="404"/>
      <c r="C72" s="338"/>
      <c r="D72" s="447"/>
      <c r="E72" s="448"/>
      <c r="F72" s="341"/>
      <c r="G72" s="341"/>
      <c r="H72" s="341"/>
      <c r="I72" s="449"/>
      <c r="J72" s="450"/>
      <c r="K72" s="414"/>
      <c r="L72" s="306"/>
    </row>
    <row r="73" spans="1:12" s="275" customFormat="1" ht="12.75" x14ac:dyDescent="0.35">
      <c r="A73" s="309">
        <v>1963</v>
      </c>
      <c r="B73" s="404"/>
      <c r="C73" s="338"/>
      <c r="D73" s="447"/>
      <c r="E73" s="341"/>
      <c r="F73" s="341"/>
      <c r="G73" s="341"/>
      <c r="H73" s="341"/>
      <c r="I73" s="449"/>
      <c r="J73" s="450"/>
      <c r="K73" s="414"/>
      <c r="L73" s="306"/>
    </row>
    <row r="74" spans="1:12" s="275" customFormat="1" ht="12.75" x14ac:dyDescent="0.35">
      <c r="A74" s="309">
        <v>1964</v>
      </c>
      <c r="B74" s="404"/>
      <c r="C74" s="338"/>
      <c r="D74" s="447"/>
      <c r="E74" s="341"/>
      <c r="F74" s="341"/>
      <c r="G74" s="341"/>
      <c r="H74" s="341"/>
      <c r="I74" s="449"/>
      <c r="J74" s="450"/>
      <c r="K74" s="414"/>
      <c r="L74" s="306"/>
    </row>
    <row r="75" spans="1:12" s="275" customFormat="1" ht="12.75" x14ac:dyDescent="0.35">
      <c r="A75" s="309">
        <v>1965</v>
      </c>
      <c r="B75" s="404"/>
      <c r="C75" s="338"/>
      <c r="D75" s="447"/>
      <c r="E75" s="448"/>
      <c r="F75" s="448"/>
      <c r="G75" s="448"/>
      <c r="H75" s="448"/>
      <c r="I75" s="449"/>
      <c r="J75" s="450"/>
      <c r="K75" s="414"/>
      <c r="L75" s="306"/>
    </row>
    <row r="76" spans="1:12" s="275" customFormat="1" ht="12.75" x14ac:dyDescent="0.35">
      <c r="A76" s="309">
        <v>1966</v>
      </c>
      <c r="B76" s="404"/>
      <c r="C76" s="338"/>
      <c r="D76" s="447"/>
      <c r="E76" s="448"/>
      <c r="F76" s="448"/>
      <c r="G76" s="448"/>
      <c r="H76" s="448"/>
      <c r="I76" s="449"/>
      <c r="J76" s="450"/>
      <c r="K76" s="414"/>
      <c r="L76" s="306"/>
    </row>
    <row r="77" spans="1:12" s="275" customFormat="1" ht="12.75" x14ac:dyDescent="0.35">
      <c r="A77" s="309">
        <v>1967</v>
      </c>
      <c r="B77" s="404"/>
      <c r="C77" s="338"/>
      <c r="D77" s="447"/>
      <c r="E77" s="448"/>
      <c r="F77" s="448"/>
      <c r="G77" s="448"/>
      <c r="H77" s="448"/>
      <c r="I77" s="449"/>
      <c r="J77" s="450"/>
      <c r="K77" s="414"/>
      <c r="L77" s="306"/>
    </row>
    <row r="78" spans="1:12" s="275" customFormat="1" ht="12.75" x14ac:dyDescent="0.35">
      <c r="A78" s="309">
        <v>1968</v>
      </c>
      <c r="B78" s="404"/>
      <c r="C78" s="338"/>
      <c r="D78" s="447"/>
      <c r="E78" s="448"/>
      <c r="F78" s="448"/>
      <c r="G78" s="448"/>
      <c r="H78" s="448"/>
      <c r="I78" s="449"/>
      <c r="J78" s="450"/>
      <c r="K78" s="414"/>
      <c r="L78" s="306"/>
    </row>
    <row r="79" spans="1:12" s="275" customFormat="1" ht="12.75" x14ac:dyDescent="0.35">
      <c r="A79" s="309">
        <v>1969</v>
      </c>
      <c r="B79" s="404"/>
      <c r="C79" s="338"/>
      <c r="D79" s="447"/>
      <c r="E79" s="448"/>
      <c r="F79" s="448"/>
      <c r="G79" s="448"/>
      <c r="H79" s="448"/>
      <c r="I79" s="449"/>
      <c r="J79" s="450"/>
      <c r="K79" s="414"/>
      <c r="L79" s="306"/>
    </row>
    <row r="80" spans="1:12" s="275" customFormat="1" ht="12.75" x14ac:dyDescent="0.35">
      <c r="A80" s="309">
        <v>1970</v>
      </c>
      <c r="B80" s="404"/>
      <c r="C80" s="338"/>
      <c r="D80" s="447"/>
      <c r="E80" s="448"/>
      <c r="F80" s="448"/>
      <c r="G80" s="448"/>
      <c r="H80" s="448"/>
      <c r="I80" s="449"/>
      <c r="J80" s="450"/>
      <c r="K80" s="414"/>
      <c r="L80" s="306"/>
    </row>
    <row r="81" spans="1:12" s="275" customFormat="1" ht="12.75" x14ac:dyDescent="0.35">
      <c r="A81" s="309">
        <v>1971</v>
      </c>
      <c r="B81" s="404"/>
      <c r="C81" s="338"/>
      <c r="D81" s="447"/>
      <c r="E81" s="341"/>
      <c r="F81" s="448"/>
      <c r="G81" s="448"/>
      <c r="H81" s="448"/>
      <c r="I81" s="449"/>
      <c r="J81" s="450"/>
      <c r="K81" s="414"/>
      <c r="L81" s="306"/>
    </row>
    <row r="82" spans="1:12" s="275" customFormat="1" ht="12.75" x14ac:dyDescent="0.35">
      <c r="A82" s="309">
        <v>1972</v>
      </c>
      <c r="B82" s="404"/>
      <c r="C82" s="338"/>
      <c r="D82" s="453"/>
      <c r="E82" s="341"/>
      <c r="F82" s="448"/>
      <c r="G82" s="341"/>
      <c r="H82" s="448"/>
      <c r="I82" s="449"/>
      <c r="J82" s="454"/>
      <c r="K82" s="414"/>
      <c r="L82" s="306"/>
    </row>
    <row r="83" spans="1:12" s="275" customFormat="1" ht="12.75" x14ac:dyDescent="0.35">
      <c r="A83" s="309">
        <v>1973</v>
      </c>
      <c r="B83" s="404"/>
      <c r="C83" s="338"/>
      <c r="D83" s="453"/>
      <c r="E83" s="341"/>
      <c r="F83" s="448"/>
      <c r="G83" s="341"/>
      <c r="H83" s="448"/>
      <c r="I83" s="449"/>
      <c r="J83" s="454"/>
      <c r="K83" s="464"/>
      <c r="L83" s="465"/>
    </row>
    <row r="84" spans="1:12" s="275" customFormat="1" ht="12.75" x14ac:dyDescent="0.35">
      <c r="A84" s="309">
        <v>1974</v>
      </c>
      <c r="B84" s="404"/>
      <c r="C84" s="338"/>
      <c r="D84" s="453"/>
      <c r="E84" s="341"/>
      <c r="F84" s="448"/>
      <c r="G84" s="341"/>
      <c r="H84" s="448"/>
      <c r="I84" s="449"/>
      <c r="J84" s="454"/>
      <c r="K84" s="415"/>
      <c r="L84" s="306"/>
    </row>
    <row r="85" spans="1:12" s="275" customFormat="1" ht="12.75" x14ac:dyDescent="0.35">
      <c r="A85" s="309">
        <v>1975</v>
      </c>
      <c r="B85" s="404"/>
      <c r="C85" s="338"/>
      <c r="D85" s="453"/>
      <c r="E85" s="341"/>
      <c r="F85" s="448"/>
      <c r="G85" s="341"/>
      <c r="H85" s="448"/>
      <c r="I85" s="449"/>
      <c r="J85" s="454"/>
      <c r="K85" s="306"/>
      <c r="L85" s="306"/>
    </row>
    <row r="86" spans="1:12" s="275" customFormat="1" ht="12.75" x14ac:dyDescent="0.35">
      <c r="A86" s="309">
        <v>1976</v>
      </c>
      <c r="B86" s="404"/>
      <c r="C86" s="338"/>
      <c r="D86" s="453"/>
      <c r="E86" s="341"/>
      <c r="F86" s="448"/>
      <c r="G86" s="341"/>
      <c r="H86" s="448"/>
      <c r="I86" s="449"/>
      <c r="J86" s="454"/>
      <c r="L86" s="306"/>
    </row>
    <row r="87" spans="1:12" s="275" customFormat="1" ht="12.75" x14ac:dyDescent="0.35">
      <c r="A87" s="309">
        <v>1977</v>
      </c>
      <c r="B87" s="404"/>
      <c r="C87" s="338"/>
      <c r="D87" s="453"/>
      <c r="E87" s="341"/>
      <c r="F87" s="448"/>
      <c r="G87" s="341"/>
      <c r="H87" s="448"/>
      <c r="I87" s="449"/>
      <c r="J87" s="454"/>
      <c r="L87" s="306"/>
    </row>
    <row r="88" spans="1:12" s="275" customFormat="1" ht="12.75" x14ac:dyDescent="0.35">
      <c r="A88" s="309">
        <v>1978</v>
      </c>
      <c r="B88" s="404"/>
      <c r="C88" s="338"/>
      <c r="D88" s="453"/>
      <c r="E88" s="341"/>
      <c r="F88" s="448"/>
      <c r="G88" s="341"/>
      <c r="H88" s="448"/>
      <c r="I88" s="449"/>
      <c r="J88" s="454"/>
      <c r="L88" s="306"/>
    </row>
    <row r="89" spans="1:12" s="275" customFormat="1" ht="12.75" x14ac:dyDescent="0.35">
      <c r="A89" s="309">
        <v>1979</v>
      </c>
      <c r="B89" s="404"/>
      <c r="C89" s="338"/>
      <c r="D89" s="453"/>
      <c r="E89" s="341"/>
      <c r="F89" s="448"/>
      <c r="G89" s="341"/>
      <c r="H89" s="448"/>
      <c r="I89" s="449"/>
      <c r="J89" s="454"/>
      <c r="L89" s="306"/>
    </row>
    <row r="90" spans="1:12" s="275" customFormat="1" ht="12.75" x14ac:dyDescent="0.35">
      <c r="A90" s="309">
        <v>1980</v>
      </c>
      <c r="B90" s="404"/>
      <c r="C90" s="338"/>
      <c r="D90" s="453"/>
      <c r="E90" s="341"/>
      <c r="F90" s="448"/>
      <c r="G90" s="341"/>
      <c r="H90" s="448"/>
      <c r="I90" s="449"/>
      <c r="J90" s="454"/>
      <c r="L90" s="306"/>
    </row>
    <row r="91" spans="1:12" s="275" customFormat="1" ht="12.75" x14ac:dyDescent="0.35">
      <c r="A91" s="309">
        <v>1981</v>
      </c>
      <c r="B91" s="404"/>
      <c r="C91" s="338"/>
      <c r="D91" s="453"/>
      <c r="E91" s="341"/>
      <c r="F91" s="448"/>
      <c r="G91" s="341"/>
      <c r="H91" s="448"/>
      <c r="I91" s="449"/>
      <c r="J91" s="454"/>
      <c r="L91" s="306"/>
    </row>
    <row r="92" spans="1:12" s="275" customFormat="1" ht="12.75" x14ac:dyDescent="0.35">
      <c r="A92" s="309">
        <v>1982</v>
      </c>
      <c r="B92" s="404"/>
      <c r="C92" s="338"/>
      <c r="D92" s="453"/>
      <c r="E92" s="341"/>
      <c r="F92" s="448"/>
      <c r="G92" s="341"/>
      <c r="H92" s="448"/>
      <c r="I92" s="449"/>
      <c r="J92" s="454"/>
      <c r="K92" s="306"/>
      <c r="L92" s="306"/>
    </row>
    <row r="93" spans="1:12" s="275" customFormat="1" ht="12.75" x14ac:dyDescent="0.35">
      <c r="A93" s="309">
        <v>1983</v>
      </c>
      <c r="B93" s="404"/>
      <c r="C93" s="338"/>
      <c r="D93" s="453"/>
      <c r="E93" s="341"/>
      <c r="F93" s="448"/>
      <c r="G93" s="341"/>
      <c r="H93" s="448"/>
      <c r="I93" s="449"/>
      <c r="J93" s="454"/>
      <c r="K93" s="306"/>
      <c r="L93" s="306"/>
    </row>
    <row r="94" spans="1:12" s="275" customFormat="1" ht="12.75" x14ac:dyDescent="0.35">
      <c r="A94" s="309">
        <v>1984</v>
      </c>
      <c r="B94" s="404"/>
      <c r="C94" s="338"/>
      <c r="D94" s="453"/>
      <c r="E94" s="341"/>
      <c r="F94" s="448"/>
      <c r="G94" s="341"/>
      <c r="H94" s="448"/>
      <c r="I94" s="449"/>
      <c r="J94" s="454"/>
      <c r="K94" s="306"/>
      <c r="L94" s="306"/>
    </row>
    <row r="95" spans="1:12" s="275" customFormat="1" ht="12.75" x14ac:dyDescent="0.35">
      <c r="A95" s="309">
        <v>1985</v>
      </c>
      <c r="B95" s="404"/>
      <c r="C95" s="338"/>
      <c r="D95" s="453"/>
      <c r="E95" s="341"/>
      <c r="F95" s="448"/>
      <c r="G95" s="341"/>
      <c r="H95" s="448"/>
      <c r="I95" s="449"/>
      <c r="J95" s="454"/>
      <c r="K95" s="306"/>
      <c r="L95" s="306"/>
    </row>
    <row r="96" spans="1:12" s="275" customFormat="1" ht="12.75" x14ac:dyDescent="0.35">
      <c r="A96" s="309">
        <v>1986</v>
      </c>
      <c r="B96" s="404"/>
      <c r="C96" s="338"/>
      <c r="D96" s="453"/>
      <c r="E96" s="341"/>
      <c r="F96" s="448"/>
      <c r="G96" s="341"/>
      <c r="H96" s="448"/>
      <c r="I96" s="449"/>
      <c r="J96" s="454"/>
      <c r="K96" s="306"/>
      <c r="L96" s="306"/>
    </row>
    <row r="97" spans="1:12" s="275" customFormat="1" ht="12.75" x14ac:dyDescent="0.35">
      <c r="A97" s="309">
        <v>1987</v>
      </c>
      <c r="B97" s="404"/>
      <c r="C97" s="338"/>
      <c r="D97" s="453"/>
      <c r="E97" s="341"/>
      <c r="F97" s="448"/>
      <c r="G97" s="341"/>
      <c r="H97" s="448"/>
      <c r="I97" s="449"/>
      <c r="J97" s="454"/>
      <c r="K97" s="306"/>
      <c r="L97" s="306"/>
    </row>
    <row r="98" spans="1:12" s="275" customFormat="1" ht="12.75" x14ac:dyDescent="0.35">
      <c r="A98" s="309">
        <v>1988</v>
      </c>
      <c r="B98" s="404"/>
      <c r="C98" s="338"/>
      <c r="D98" s="453"/>
      <c r="E98" s="341"/>
      <c r="F98" s="448"/>
      <c r="G98" s="341"/>
      <c r="H98" s="448"/>
      <c r="I98" s="449"/>
      <c r="J98" s="454"/>
      <c r="K98" s="306"/>
      <c r="L98" s="306"/>
    </row>
    <row r="99" spans="1:12" s="275" customFormat="1" ht="12.75" x14ac:dyDescent="0.35">
      <c r="A99" s="309">
        <v>1989</v>
      </c>
      <c r="B99" s="404"/>
      <c r="C99" s="338"/>
      <c r="D99" s="453"/>
      <c r="E99" s="341"/>
      <c r="F99" s="448"/>
      <c r="G99" s="341"/>
      <c r="H99" s="448"/>
      <c r="I99" s="449"/>
      <c r="J99" s="454"/>
      <c r="K99" s="306"/>
      <c r="L99" s="306"/>
    </row>
    <row r="100" spans="1:12" s="275" customFormat="1" ht="12.75" x14ac:dyDescent="0.35">
      <c r="A100" s="309">
        <v>1990</v>
      </c>
      <c r="B100" s="404"/>
      <c r="C100" s="338"/>
      <c r="D100" s="453"/>
      <c r="E100" s="341"/>
      <c r="F100" s="448"/>
      <c r="G100" s="341"/>
      <c r="H100" s="448"/>
      <c r="I100" s="449"/>
      <c r="J100" s="454"/>
      <c r="K100" s="306"/>
      <c r="L100" s="306"/>
    </row>
    <row r="101" spans="1:12" s="275" customFormat="1" ht="12.75" x14ac:dyDescent="0.35">
      <c r="A101" s="309">
        <v>1991</v>
      </c>
      <c r="B101" s="404"/>
      <c r="C101" s="338"/>
      <c r="D101" s="453"/>
      <c r="E101" s="341"/>
      <c r="F101" s="448"/>
      <c r="G101" s="341"/>
      <c r="H101" s="448"/>
      <c r="I101" s="449"/>
      <c r="J101" s="454"/>
      <c r="K101" s="306"/>
      <c r="L101" s="306"/>
    </row>
    <row r="102" spans="1:12" s="275" customFormat="1" ht="12.75" x14ac:dyDescent="0.35">
      <c r="A102" s="309">
        <v>1992</v>
      </c>
      <c r="B102" s="404"/>
      <c r="C102" s="338"/>
      <c r="D102" s="453"/>
      <c r="E102" s="341"/>
      <c r="F102" s="448"/>
      <c r="G102" s="341"/>
      <c r="H102" s="448"/>
      <c r="I102" s="449"/>
      <c r="J102" s="454"/>
      <c r="K102" s="306"/>
      <c r="L102" s="306"/>
    </row>
    <row r="103" spans="1:12" s="275" customFormat="1" ht="12.75" x14ac:dyDescent="0.35">
      <c r="A103" s="309">
        <v>1993</v>
      </c>
      <c r="B103" s="404"/>
      <c r="C103" s="338"/>
      <c r="D103" s="453"/>
      <c r="E103" s="341"/>
      <c r="F103" s="448"/>
      <c r="G103" s="341"/>
      <c r="H103" s="448"/>
      <c r="I103" s="449"/>
      <c r="J103" s="454"/>
      <c r="K103" s="306"/>
      <c r="L103" s="306"/>
    </row>
    <row r="104" spans="1:12" s="275" customFormat="1" ht="12.75" x14ac:dyDescent="0.35">
      <c r="A104" s="309">
        <v>1994</v>
      </c>
      <c r="B104" s="404"/>
      <c r="C104" s="338"/>
      <c r="D104" s="453"/>
      <c r="E104" s="341"/>
      <c r="F104" s="448"/>
      <c r="G104" s="341"/>
      <c r="H104" s="448"/>
      <c r="I104" s="449"/>
      <c r="J104" s="454"/>
      <c r="K104" s="306"/>
      <c r="L104" s="306"/>
    </row>
    <row r="105" spans="1:12" s="275" customFormat="1" ht="12.75" x14ac:dyDescent="0.35">
      <c r="A105" s="309">
        <v>1995</v>
      </c>
      <c r="B105" s="404"/>
      <c r="C105" s="338"/>
      <c r="D105" s="453"/>
      <c r="E105" s="341"/>
      <c r="F105" s="448"/>
      <c r="G105" s="341"/>
      <c r="H105" s="448"/>
      <c r="I105" s="449"/>
      <c r="J105" s="454"/>
      <c r="K105" s="306"/>
      <c r="L105" s="306"/>
    </row>
    <row r="106" spans="1:12" s="275" customFormat="1" ht="12.75" x14ac:dyDescent="0.35">
      <c r="A106" s="309">
        <v>1996</v>
      </c>
      <c r="B106" s="404"/>
      <c r="C106" s="338"/>
      <c r="D106" s="453"/>
      <c r="E106" s="341"/>
      <c r="F106" s="448"/>
      <c r="G106" s="341"/>
      <c r="H106" s="448"/>
      <c r="I106" s="449"/>
      <c r="J106" s="454"/>
      <c r="K106" s="306"/>
      <c r="L106" s="306"/>
    </row>
    <row r="107" spans="1:12" s="275" customFormat="1" ht="12.75" x14ac:dyDescent="0.35">
      <c r="A107" s="309">
        <v>1997</v>
      </c>
      <c r="B107" s="404"/>
      <c r="C107" s="338"/>
      <c r="D107" s="453"/>
      <c r="E107" s="341"/>
      <c r="F107" s="448"/>
      <c r="G107" s="341"/>
      <c r="H107" s="448"/>
      <c r="I107" s="449"/>
      <c r="J107" s="454"/>
      <c r="K107" s="306"/>
      <c r="L107" s="306"/>
    </row>
    <row r="108" spans="1:12" s="275" customFormat="1" ht="12.75" x14ac:dyDescent="0.35">
      <c r="A108" s="309">
        <v>1998</v>
      </c>
      <c r="B108" s="404"/>
      <c r="C108" s="338"/>
      <c r="D108" s="453"/>
      <c r="E108" s="341"/>
      <c r="F108" s="448"/>
      <c r="G108" s="341"/>
      <c r="H108" s="448"/>
      <c r="I108" s="449"/>
      <c r="J108" s="454"/>
      <c r="K108" s="306"/>
      <c r="L108" s="306"/>
    </row>
    <row r="109" spans="1:12" s="275" customFormat="1" ht="12.75" x14ac:dyDescent="0.35">
      <c r="A109" s="309">
        <v>1999</v>
      </c>
      <c r="B109" s="404"/>
      <c r="C109" s="338"/>
      <c r="D109" s="453"/>
      <c r="E109" s="341"/>
      <c r="F109" s="448"/>
      <c r="G109" s="341"/>
      <c r="H109" s="448"/>
      <c r="I109" s="449"/>
      <c r="J109" s="454"/>
      <c r="K109" s="306"/>
      <c r="L109" s="306"/>
    </row>
    <row r="110" spans="1:12" s="275" customFormat="1" x14ac:dyDescent="0.45">
      <c r="A110" s="309">
        <v>2000</v>
      </c>
      <c r="B110" s="404"/>
      <c r="C110" s="338"/>
      <c r="D110" s="453"/>
      <c r="E110" s="341"/>
      <c r="F110" s="448"/>
      <c r="G110" s="341"/>
      <c r="H110" s="448"/>
      <c r="I110" s="449"/>
      <c r="J110" s="454"/>
      <c r="K110" s="257"/>
      <c r="L110" s="257"/>
    </row>
    <row r="111" spans="1:12" s="275" customFormat="1" x14ac:dyDescent="0.45">
      <c r="A111" s="309">
        <v>2001</v>
      </c>
      <c r="B111" s="404"/>
      <c r="C111" s="338"/>
      <c r="D111" s="453"/>
      <c r="E111" s="341"/>
      <c r="F111" s="448"/>
      <c r="G111" s="341"/>
      <c r="H111" s="448"/>
      <c r="I111" s="449"/>
      <c r="J111" s="454"/>
      <c r="K111" s="257"/>
      <c r="L111" s="257"/>
    </row>
    <row r="112" spans="1:12" s="275" customFormat="1" x14ac:dyDescent="0.45">
      <c r="A112" s="309">
        <v>2002</v>
      </c>
      <c r="B112" s="404"/>
      <c r="C112" s="338"/>
      <c r="D112" s="453"/>
      <c r="E112" s="341"/>
      <c r="F112" s="448"/>
      <c r="G112" s="341"/>
      <c r="H112" s="448"/>
      <c r="I112" s="449"/>
      <c r="J112" s="454"/>
      <c r="K112" s="257"/>
      <c r="L112" s="257"/>
    </row>
    <row r="113" spans="1:12" s="275" customFormat="1" x14ac:dyDescent="0.45">
      <c r="A113" s="309">
        <v>2003</v>
      </c>
      <c r="B113" s="404"/>
      <c r="C113" s="338"/>
      <c r="D113" s="453"/>
      <c r="E113" s="341"/>
      <c r="F113" s="448"/>
      <c r="G113" s="341"/>
      <c r="H113" s="448"/>
      <c r="I113" s="449"/>
      <c r="J113" s="454"/>
      <c r="K113" s="257"/>
      <c r="L113" s="257"/>
    </row>
    <row r="114" spans="1:12" s="275" customFormat="1" x14ac:dyDescent="0.45">
      <c r="A114" s="309">
        <v>2004</v>
      </c>
      <c r="B114" s="404"/>
      <c r="C114" s="338"/>
      <c r="D114" s="453"/>
      <c r="E114" s="341"/>
      <c r="F114" s="448"/>
      <c r="G114" s="341"/>
      <c r="H114" s="448"/>
      <c r="I114" s="449"/>
      <c r="J114" s="454"/>
      <c r="K114" s="257"/>
      <c r="L114" s="257"/>
    </row>
    <row r="115" spans="1:12" s="275" customFormat="1" x14ac:dyDescent="0.45">
      <c r="A115" s="309">
        <v>2005</v>
      </c>
      <c r="B115" s="404"/>
      <c r="C115" s="338"/>
      <c r="D115" s="453"/>
      <c r="E115" s="341"/>
      <c r="F115" s="448"/>
      <c r="G115" s="341"/>
      <c r="H115" s="448"/>
      <c r="I115" s="449"/>
      <c r="J115" s="454"/>
      <c r="K115" s="257"/>
      <c r="L115" s="257"/>
    </row>
    <row r="116" spans="1:12" s="275" customFormat="1" x14ac:dyDescent="0.45">
      <c r="A116" s="309">
        <v>2006</v>
      </c>
      <c r="B116" s="404"/>
      <c r="C116" s="338"/>
      <c r="D116" s="453"/>
      <c r="E116" s="341"/>
      <c r="F116" s="448"/>
      <c r="G116" s="341"/>
      <c r="H116" s="448"/>
      <c r="I116" s="449"/>
      <c r="J116" s="454"/>
      <c r="K116" s="257"/>
      <c r="L116" s="257"/>
    </row>
    <row r="117" spans="1:12" s="275" customFormat="1" x14ac:dyDescent="0.45">
      <c r="A117" s="359">
        <v>2007</v>
      </c>
      <c r="B117" s="404"/>
      <c r="C117" s="338"/>
      <c r="D117" s="453"/>
      <c r="E117" s="341"/>
      <c r="F117" s="448"/>
      <c r="G117" s="341"/>
      <c r="H117" s="448"/>
      <c r="I117" s="449"/>
      <c r="J117" s="454"/>
      <c r="K117" s="257"/>
      <c r="L117" s="257"/>
    </row>
    <row r="118" spans="1:12" s="275" customFormat="1" x14ac:dyDescent="0.45">
      <c r="A118" s="361">
        <v>2008</v>
      </c>
      <c r="B118" s="404"/>
      <c r="C118" s="338"/>
      <c r="D118" s="453"/>
      <c r="E118" s="341"/>
      <c r="F118" s="448"/>
      <c r="G118" s="341"/>
      <c r="H118" s="448"/>
      <c r="I118" s="449"/>
      <c r="J118" s="454"/>
      <c r="K118" s="257"/>
      <c r="L118" s="257"/>
    </row>
    <row r="119" spans="1:12" s="275" customFormat="1" x14ac:dyDescent="0.45">
      <c r="A119" s="361">
        <v>2009</v>
      </c>
      <c r="B119" s="404"/>
      <c r="C119" s="338"/>
      <c r="D119" s="453"/>
      <c r="E119" s="341"/>
      <c r="F119" s="448"/>
      <c r="G119" s="341"/>
      <c r="H119" s="448"/>
      <c r="I119" s="449"/>
      <c r="J119" s="454"/>
      <c r="K119" s="257"/>
      <c r="L119" s="257"/>
    </row>
    <row r="120" spans="1:12" s="275" customFormat="1" x14ac:dyDescent="0.45">
      <c r="A120" s="361">
        <v>2010</v>
      </c>
      <c r="B120" s="404"/>
      <c r="C120" s="338"/>
      <c r="D120" s="453"/>
      <c r="E120" s="341"/>
      <c r="F120" s="448"/>
      <c r="G120" s="341"/>
      <c r="H120" s="448"/>
      <c r="I120" s="449"/>
      <c r="J120" s="454"/>
      <c r="K120" s="257"/>
      <c r="L120" s="257"/>
    </row>
    <row r="121" spans="1:12" s="275" customFormat="1" x14ac:dyDescent="0.45">
      <c r="A121" s="361">
        <v>2011</v>
      </c>
      <c r="B121" s="404"/>
      <c r="C121" s="338"/>
      <c r="D121" s="453"/>
      <c r="E121" s="341"/>
      <c r="F121" s="448"/>
      <c r="G121" s="341"/>
      <c r="H121" s="448"/>
      <c r="I121" s="449"/>
      <c r="J121" s="454"/>
      <c r="K121" s="257"/>
      <c r="L121" s="257"/>
    </row>
    <row r="122" spans="1:12" s="275" customFormat="1" x14ac:dyDescent="0.45">
      <c r="A122" s="361">
        <v>2012</v>
      </c>
      <c r="B122" s="404"/>
      <c r="C122" s="338"/>
      <c r="D122" s="453"/>
      <c r="E122" s="341"/>
      <c r="F122" s="448"/>
      <c r="G122" s="341"/>
      <c r="H122" s="448"/>
      <c r="I122" s="449"/>
      <c r="J122" s="454"/>
      <c r="K122" s="257"/>
      <c r="L122" s="257"/>
    </row>
    <row r="123" spans="1:12" s="275" customFormat="1" x14ac:dyDescent="0.45">
      <c r="A123" s="361">
        <v>2013</v>
      </c>
      <c r="B123" s="404"/>
      <c r="C123" s="338"/>
      <c r="D123" s="453"/>
      <c r="E123" s="341"/>
      <c r="F123" s="448"/>
      <c r="G123" s="341"/>
      <c r="H123" s="448"/>
      <c r="I123" s="449"/>
      <c r="J123" s="454"/>
      <c r="K123" s="257"/>
      <c r="L123" s="257"/>
    </row>
    <row r="124" spans="1:12" s="275" customFormat="1" x14ac:dyDescent="0.45">
      <c r="A124" s="361">
        <v>2014</v>
      </c>
      <c r="B124" s="404"/>
      <c r="C124" s="338"/>
      <c r="D124" s="453"/>
      <c r="E124" s="341"/>
      <c r="F124" s="448"/>
      <c r="G124" s="341"/>
      <c r="H124" s="448"/>
      <c r="I124" s="449"/>
      <c r="J124" s="454"/>
      <c r="K124" s="257"/>
      <c r="L124" s="257"/>
    </row>
    <row r="125" spans="1:12" s="275" customFormat="1" x14ac:dyDescent="0.45">
      <c r="A125" s="361">
        <v>2015</v>
      </c>
      <c r="B125" s="404"/>
      <c r="C125" s="338"/>
      <c r="D125" s="453"/>
      <c r="E125" s="341"/>
      <c r="F125" s="448"/>
      <c r="G125" s="341"/>
      <c r="H125" s="448"/>
      <c r="I125" s="449"/>
      <c r="J125" s="454"/>
      <c r="K125" s="257"/>
      <c r="L125" s="257"/>
    </row>
    <row r="126" spans="1:12" s="275" customFormat="1" x14ac:dyDescent="0.45">
      <c r="A126" s="361">
        <v>2016</v>
      </c>
      <c r="B126" s="404"/>
      <c r="C126" s="338"/>
      <c r="D126" s="453"/>
      <c r="E126" s="341"/>
      <c r="F126" s="448"/>
      <c r="G126" s="341"/>
      <c r="H126" s="448"/>
      <c r="I126" s="449"/>
      <c r="J126" s="454"/>
      <c r="K126" s="257"/>
      <c r="L126" s="257"/>
    </row>
    <row r="127" spans="1:12" s="275" customFormat="1" x14ac:dyDescent="0.45">
      <c r="A127" s="361">
        <v>2017</v>
      </c>
      <c r="B127" s="404"/>
      <c r="C127" s="338"/>
      <c r="D127" s="453"/>
      <c r="E127" s="341"/>
      <c r="F127" s="448"/>
      <c r="G127" s="341"/>
      <c r="H127" s="448"/>
      <c r="I127" s="449"/>
      <c r="J127" s="454"/>
      <c r="K127" s="257"/>
      <c r="L127" s="257"/>
    </row>
    <row r="128" spans="1:12" s="275" customFormat="1" ht="14.65" thickBot="1" x14ac:dyDescent="0.5">
      <c r="A128" s="367">
        <v>2018</v>
      </c>
      <c r="B128" s="404"/>
      <c r="C128" s="338"/>
      <c r="D128" s="453"/>
      <c r="E128" s="341"/>
      <c r="F128" s="448"/>
      <c r="G128" s="341"/>
      <c r="H128" s="448"/>
      <c r="I128" s="449"/>
      <c r="J128" s="454"/>
      <c r="K128" s="257"/>
      <c r="L128" s="257"/>
    </row>
    <row r="129" spans="1:12" s="275" customFormat="1" x14ac:dyDescent="0.45">
      <c r="A129" s="359"/>
      <c r="B129" s="257"/>
      <c r="C129" s="264"/>
      <c r="D129" s="257"/>
      <c r="E129" s="257"/>
      <c r="F129" s="257"/>
      <c r="G129" s="257"/>
      <c r="H129" s="257"/>
      <c r="I129"/>
      <c r="J129" s="257"/>
      <c r="K129" s="257"/>
      <c r="L129" s="257"/>
    </row>
    <row r="130" spans="1:12" s="384" customFormat="1" ht="12.75" customHeight="1" x14ac:dyDescent="0.45">
      <c r="A130" s="381"/>
      <c r="B130" s="257"/>
      <c r="C130" s="264"/>
      <c r="D130" s="257"/>
      <c r="E130" s="257"/>
      <c r="F130" s="257"/>
      <c r="G130" s="257"/>
      <c r="H130" s="257"/>
      <c r="I130"/>
      <c r="J130" s="257"/>
      <c r="K130" s="257"/>
      <c r="L130" s="257"/>
    </row>
    <row r="131" spans="1:12" s="384" customFormat="1" x14ac:dyDescent="0.45">
      <c r="A131" s="383"/>
      <c r="B131" s="257"/>
      <c r="C131" s="264"/>
      <c r="D131" s="257"/>
      <c r="E131" s="257"/>
      <c r="F131" s="257"/>
      <c r="G131" s="257"/>
      <c r="H131" s="257"/>
      <c r="I131"/>
      <c r="J131" s="257"/>
      <c r="K131" s="257"/>
      <c r="L131" s="257"/>
    </row>
    <row r="132" spans="1:12" s="384" customFormat="1" x14ac:dyDescent="0.45">
      <c r="A132" s="383"/>
      <c r="B132" s="257"/>
      <c r="C132" s="427" t="s">
        <v>833</v>
      </c>
      <c r="D132" s="306"/>
      <c r="E132" s="306"/>
      <c r="F132" s="306"/>
      <c r="G132" s="306"/>
      <c r="H132" s="306"/>
      <c r="I132"/>
      <c r="J132" s="257"/>
      <c r="K132" s="257"/>
      <c r="L132" s="257"/>
    </row>
    <row r="133" spans="1:12" s="384" customFormat="1" x14ac:dyDescent="0.45">
      <c r="A133" s="383"/>
      <c r="B133" s="257"/>
      <c r="C133" s="306" t="s">
        <v>934</v>
      </c>
      <c r="D133" s="306"/>
      <c r="E133" s="306"/>
      <c r="F133" s="306"/>
      <c r="G133" s="306"/>
      <c r="H133" s="306"/>
      <c r="I133"/>
      <c r="J133" s="257"/>
      <c r="K133" s="257"/>
      <c r="L133" s="257"/>
    </row>
    <row r="134" spans="1:12" s="384" customFormat="1" x14ac:dyDescent="0.45">
      <c r="A134" s="383"/>
      <c r="B134" s="257"/>
      <c r="C134" s="465" t="s">
        <v>936</v>
      </c>
      <c r="D134" s="306"/>
      <c r="E134" s="306"/>
      <c r="F134" s="306"/>
      <c r="G134" s="306"/>
      <c r="H134" s="306"/>
      <c r="I134"/>
      <c r="J134" s="257"/>
      <c r="K134" s="257"/>
      <c r="L134" s="257"/>
    </row>
    <row r="135" spans="1:12" s="384" customFormat="1" x14ac:dyDescent="0.45">
      <c r="A135" s="383"/>
      <c r="B135" s="257"/>
      <c r="C135" s="306" t="s">
        <v>938</v>
      </c>
      <c r="D135" s="306"/>
      <c r="E135" s="306"/>
      <c r="F135" s="306"/>
      <c r="G135" s="306"/>
      <c r="H135" s="306"/>
      <c r="I135"/>
      <c r="J135" s="257"/>
      <c r="K135" s="257"/>
      <c r="L135" s="257"/>
    </row>
    <row r="136" spans="1:12" s="384" customFormat="1" x14ac:dyDescent="0.45">
      <c r="A136" s="383"/>
      <c r="B136" s="257"/>
      <c r="C136" s="465" t="s">
        <v>940</v>
      </c>
      <c r="D136" s="306"/>
      <c r="E136" s="306"/>
      <c r="F136" s="306"/>
      <c r="G136" s="306"/>
      <c r="H136" s="306"/>
      <c r="I136"/>
      <c r="J136" s="257"/>
      <c r="K136" s="257"/>
      <c r="L136" s="257"/>
    </row>
    <row r="137" spans="1:12" s="384" customFormat="1" x14ac:dyDescent="0.45">
      <c r="A137" s="383"/>
      <c r="B137" s="257"/>
      <c r="C137" s="465" t="s">
        <v>942</v>
      </c>
      <c r="D137" s="306"/>
      <c r="E137" s="306"/>
      <c r="F137" s="306"/>
      <c r="G137" s="306"/>
      <c r="H137" s="306"/>
      <c r="I137"/>
      <c r="J137" s="257"/>
      <c r="K137" s="257"/>
      <c r="L137" s="257"/>
    </row>
    <row r="138" spans="1:12" s="384" customFormat="1" x14ac:dyDescent="0.45">
      <c r="A138" s="383"/>
      <c r="B138" s="257"/>
      <c r="C138" s="264"/>
      <c r="D138" s="257"/>
      <c r="E138" s="257"/>
      <c r="F138" s="257"/>
      <c r="G138" s="257"/>
      <c r="H138" s="257"/>
      <c r="I138"/>
      <c r="J138" s="257"/>
      <c r="K138" s="257"/>
      <c r="L138" s="257"/>
    </row>
    <row r="139" spans="1:12" s="384" customFormat="1" x14ac:dyDescent="0.45">
      <c r="A139" s="381"/>
      <c r="B139" s="257"/>
      <c r="C139" s="264"/>
      <c r="D139" s="257"/>
      <c r="E139" s="257"/>
      <c r="F139" s="257"/>
      <c r="G139" s="257"/>
      <c r="H139" s="257"/>
      <c r="I139"/>
      <c r="J139" s="257"/>
      <c r="K139" s="257"/>
      <c r="L139" s="257"/>
    </row>
    <row r="140" spans="1:12" s="384" customFormat="1" x14ac:dyDescent="0.45">
      <c r="A140" s="381"/>
      <c r="B140" s="257"/>
      <c r="C140" s="264"/>
      <c r="D140" s="257"/>
      <c r="E140" s="257"/>
      <c r="F140" s="257"/>
      <c r="G140" s="257"/>
      <c r="H140" s="257"/>
      <c r="I140"/>
      <c r="J140" s="257"/>
      <c r="K140" s="257"/>
      <c r="L140" s="257"/>
    </row>
    <row r="141" spans="1:12" s="384" customFormat="1" x14ac:dyDescent="0.45">
      <c r="A141" s="381"/>
      <c r="B141" s="257"/>
      <c r="C141" s="264"/>
      <c r="D141" s="257"/>
      <c r="E141" s="257"/>
      <c r="F141" s="257"/>
      <c r="G141" s="257"/>
      <c r="H141" s="257"/>
      <c r="I141"/>
      <c r="J141" s="257"/>
      <c r="K141" s="257"/>
      <c r="L141" s="257"/>
    </row>
    <row r="142" spans="1:12" s="384" customFormat="1" x14ac:dyDescent="0.45">
      <c r="A142" s="381"/>
      <c r="B142" s="257"/>
      <c r="C142" s="264"/>
      <c r="D142" s="257"/>
      <c r="E142" s="257"/>
      <c r="F142" s="257"/>
      <c r="G142" s="257"/>
      <c r="H142" s="257"/>
      <c r="I142"/>
      <c r="J142" s="257"/>
      <c r="K142" s="257"/>
      <c r="L142" s="257"/>
    </row>
    <row r="143" spans="1:12" s="384" customFormat="1" x14ac:dyDescent="0.45">
      <c r="A143" s="381"/>
      <c r="B143" s="257"/>
      <c r="C143" s="264"/>
      <c r="D143" s="257"/>
      <c r="E143" s="257"/>
      <c r="F143" s="257"/>
      <c r="G143" s="257"/>
      <c r="H143" s="257"/>
      <c r="I143"/>
      <c r="J143" s="257"/>
      <c r="K143" s="257"/>
      <c r="L143" s="257"/>
    </row>
    <row r="144" spans="1:12" s="384" customFormat="1" x14ac:dyDescent="0.45">
      <c r="A144" s="381"/>
      <c r="B144" s="257"/>
      <c r="C144" s="264"/>
      <c r="D144" s="257"/>
      <c r="E144" s="257"/>
      <c r="F144" s="257"/>
      <c r="G144" s="257"/>
      <c r="H144" s="257"/>
      <c r="I144"/>
      <c r="J144" s="257"/>
      <c r="K144" s="257"/>
      <c r="L144" s="257"/>
    </row>
    <row r="145" spans="1:12" s="384" customFormat="1" x14ac:dyDescent="0.45">
      <c r="A145" s="381"/>
      <c r="B145" s="257"/>
      <c r="C145" s="264"/>
      <c r="D145" s="257"/>
      <c r="E145" s="257"/>
      <c r="F145" s="257"/>
      <c r="G145" s="257"/>
      <c r="H145" s="257"/>
      <c r="I145"/>
      <c r="J145" s="257"/>
      <c r="K145" s="257"/>
      <c r="L145" s="257"/>
    </row>
    <row r="146" spans="1:12" s="384" customFormat="1" x14ac:dyDescent="0.45">
      <c r="A146" s="383"/>
      <c r="B146" s="257"/>
      <c r="C146" s="264"/>
      <c r="D146" s="257"/>
      <c r="E146" s="257"/>
      <c r="F146" s="257"/>
      <c r="G146" s="257"/>
      <c r="H146" s="257"/>
      <c r="I146"/>
      <c r="J146" s="257"/>
      <c r="K146" s="257"/>
      <c r="L146" s="257"/>
    </row>
    <row r="147" spans="1:12" s="384" customFormat="1" x14ac:dyDescent="0.45">
      <c r="A147" s="383"/>
      <c r="B147" s="257"/>
      <c r="C147" s="264"/>
      <c r="D147" s="257"/>
      <c r="E147" s="257"/>
      <c r="F147" s="257"/>
      <c r="G147" s="257"/>
      <c r="H147" s="257"/>
      <c r="I147"/>
      <c r="J147" s="257"/>
      <c r="K147" s="257"/>
      <c r="L147" s="257"/>
    </row>
    <row r="148" spans="1:12" s="384" customFormat="1" x14ac:dyDescent="0.45">
      <c r="A148" s="383"/>
      <c r="B148" s="257"/>
      <c r="C148" s="264"/>
      <c r="D148" s="257"/>
      <c r="E148" s="257"/>
      <c r="F148" s="257"/>
      <c r="G148" s="257"/>
      <c r="H148" s="257"/>
      <c r="I148"/>
      <c r="J148" s="257"/>
      <c r="K148" s="257"/>
      <c r="L148" s="257"/>
    </row>
    <row r="149" spans="1:12" s="384" customFormat="1" x14ac:dyDescent="0.45">
      <c r="A149" s="383"/>
      <c r="B149" s="257"/>
      <c r="C149" s="264"/>
      <c r="D149" s="257"/>
      <c r="E149" s="257"/>
      <c r="F149" s="257"/>
      <c r="G149" s="257"/>
      <c r="H149" s="257"/>
      <c r="I149"/>
      <c r="J149" s="257"/>
      <c r="K149" s="257"/>
      <c r="L149" s="257"/>
    </row>
    <row r="150" spans="1:12" s="384" customFormat="1" x14ac:dyDescent="0.45">
      <c r="A150" s="381"/>
      <c r="B150" s="257"/>
      <c r="C150" s="264"/>
      <c r="D150" s="257"/>
      <c r="E150" s="257"/>
      <c r="F150" s="257"/>
      <c r="G150" s="257"/>
      <c r="H150" s="257"/>
      <c r="I150"/>
      <c r="J150" s="257"/>
      <c r="K150" s="257"/>
      <c r="L150" s="257"/>
    </row>
    <row r="151" spans="1:12" s="384" customFormat="1" x14ac:dyDescent="0.45">
      <c r="A151" s="381"/>
      <c r="B151" s="257"/>
      <c r="C151" s="264"/>
      <c r="D151" s="257"/>
      <c r="E151" s="257"/>
      <c r="F151" s="257"/>
      <c r="G151" s="257"/>
      <c r="H151" s="257"/>
      <c r="I151"/>
      <c r="J151" s="257"/>
      <c r="K151" s="257"/>
      <c r="L151" s="257"/>
    </row>
    <row r="152" spans="1:12" s="384" customFormat="1" x14ac:dyDescent="0.45">
      <c r="A152" s="381"/>
      <c r="B152" s="257"/>
      <c r="C152" s="264"/>
      <c r="D152" s="257"/>
      <c r="E152" s="257"/>
      <c r="F152" s="257"/>
      <c r="G152" s="257"/>
      <c r="H152" s="257"/>
      <c r="I152"/>
      <c r="J152" s="257"/>
      <c r="K152" s="257"/>
      <c r="L152" s="257"/>
    </row>
    <row r="153" spans="1:12" s="384" customFormat="1" x14ac:dyDescent="0.45">
      <c r="A153" s="381"/>
      <c r="B153" s="257"/>
      <c r="C153" s="264"/>
      <c r="D153" s="257"/>
      <c r="E153" s="257"/>
      <c r="F153" s="257"/>
      <c r="G153" s="257"/>
      <c r="H153" s="257"/>
      <c r="I153"/>
      <c r="J153" s="257"/>
      <c r="K153" s="257"/>
      <c r="L153" s="257"/>
    </row>
    <row r="154" spans="1:12" s="384" customFormat="1" x14ac:dyDescent="0.45">
      <c r="A154" s="381"/>
      <c r="B154" s="257"/>
      <c r="C154" s="264"/>
      <c r="D154" s="257"/>
      <c r="E154" s="257"/>
      <c r="F154" s="257"/>
      <c r="G154" s="257"/>
      <c r="H154" s="257"/>
      <c r="I154"/>
      <c r="J154" s="257"/>
      <c r="K154" s="257"/>
      <c r="L154" s="257"/>
    </row>
    <row r="155" spans="1:12" s="384" customFormat="1" x14ac:dyDescent="0.45">
      <c r="A155" s="381"/>
      <c r="B155" s="257"/>
      <c r="C155" s="264"/>
      <c r="D155" s="257"/>
      <c r="E155" s="257"/>
      <c r="F155" s="257"/>
      <c r="G155" s="257"/>
      <c r="H155" s="257"/>
      <c r="I155"/>
      <c r="J155" s="257"/>
      <c r="K155" s="257"/>
      <c r="L155" s="257"/>
    </row>
    <row r="156" spans="1:12" s="384" customFormat="1" x14ac:dyDescent="0.45">
      <c r="A156" s="381"/>
      <c r="B156" s="257"/>
      <c r="C156" s="264"/>
      <c r="D156" s="257"/>
      <c r="E156" s="257"/>
      <c r="F156" s="257"/>
      <c r="G156" s="257"/>
      <c r="H156" s="257"/>
      <c r="I156"/>
      <c r="J156" s="257"/>
      <c r="K156" s="257"/>
      <c r="L156" s="257"/>
    </row>
    <row r="157" spans="1:12" s="384" customFormat="1" x14ac:dyDescent="0.45">
      <c r="A157" s="381"/>
      <c r="B157" s="257"/>
      <c r="C157" s="264"/>
      <c r="D157" s="257"/>
      <c r="E157" s="257"/>
      <c r="F157" s="257"/>
      <c r="G157" s="257"/>
      <c r="H157" s="257"/>
      <c r="I157"/>
      <c r="J157" s="257"/>
      <c r="K157" s="257"/>
      <c r="L157" s="257"/>
    </row>
    <row r="158" spans="1:12" s="384" customFormat="1" x14ac:dyDescent="0.45">
      <c r="A158" s="381"/>
      <c r="B158" s="257"/>
      <c r="C158" s="264"/>
      <c r="D158" s="257"/>
      <c r="E158" s="257"/>
      <c r="F158" s="257"/>
      <c r="G158" s="257"/>
      <c r="H158" s="257"/>
      <c r="I158"/>
      <c r="J158" s="257"/>
      <c r="K158" s="257"/>
      <c r="L158" s="257"/>
    </row>
    <row r="159" spans="1:12" s="384" customFormat="1" x14ac:dyDescent="0.45">
      <c r="A159" s="381"/>
      <c r="B159" s="257"/>
      <c r="C159" s="264"/>
      <c r="D159" s="257"/>
      <c r="E159" s="257"/>
      <c r="F159" s="257"/>
      <c r="G159" s="257"/>
      <c r="H159" s="257"/>
      <c r="I159"/>
      <c r="J159" s="257"/>
      <c r="K159" s="257"/>
      <c r="L159" s="257"/>
    </row>
    <row r="160" spans="1:12" s="384" customFormat="1" x14ac:dyDescent="0.45">
      <c r="A160" s="381"/>
      <c r="B160" s="257"/>
      <c r="C160" s="264"/>
      <c r="D160" s="257"/>
      <c r="E160" s="257"/>
      <c r="F160" s="257"/>
      <c r="G160" s="257"/>
      <c r="H160" s="257"/>
      <c r="I160"/>
      <c r="J160" s="257"/>
      <c r="K160" s="257"/>
      <c r="L160" s="257"/>
    </row>
    <row r="161" spans="1:12" s="384" customFormat="1" x14ac:dyDescent="0.45">
      <c r="A161" s="381"/>
      <c r="B161" s="257"/>
      <c r="C161" s="264"/>
      <c r="D161" s="257"/>
      <c r="E161" s="257"/>
      <c r="F161" s="257"/>
      <c r="G161" s="257"/>
      <c r="H161" s="257"/>
      <c r="I161"/>
      <c r="J161" s="257"/>
      <c r="K161" s="257"/>
      <c r="L161" s="257"/>
    </row>
    <row r="162" spans="1:12" s="390" customFormat="1" ht="15.4" x14ac:dyDescent="0.45">
      <c r="A162" s="387"/>
      <c r="B162" s="257"/>
      <c r="C162" s="264"/>
      <c r="D162" s="257"/>
      <c r="E162" s="257"/>
      <c r="F162" s="257"/>
      <c r="G162" s="257"/>
      <c r="H162" s="257"/>
      <c r="I162"/>
      <c r="J162" s="257"/>
      <c r="K162" s="257"/>
      <c r="L162" s="257"/>
    </row>
    <row r="163" spans="1:12" s="390" customFormat="1" ht="15.4" x14ac:dyDescent="0.45">
      <c r="A163" s="387"/>
      <c r="B163" s="257"/>
      <c r="C163" s="264"/>
      <c r="D163" s="257"/>
      <c r="E163" s="257"/>
      <c r="F163" s="257"/>
      <c r="G163" s="257"/>
      <c r="H163" s="257"/>
      <c r="I163"/>
      <c r="J163" s="257"/>
      <c r="K163" s="257"/>
      <c r="L163" s="257"/>
    </row>
    <row r="164" spans="1:12" s="390" customFormat="1" ht="15.4" x14ac:dyDescent="0.45">
      <c r="A164" s="387"/>
      <c r="B164" s="257"/>
      <c r="C164" s="264"/>
      <c r="D164" s="257"/>
      <c r="E164" s="257"/>
      <c r="F164" s="257"/>
      <c r="G164" s="257"/>
      <c r="H164" s="257"/>
      <c r="I164"/>
      <c r="J164" s="257"/>
      <c r="K164" s="257"/>
      <c r="L164" s="257"/>
    </row>
    <row r="165" spans="1:12" x14ac:dyDescent="0.45">
      <c r="B165" s="257"/>
      <c r="C165" s="264"/>
      <c r="D165" s="257"/>
      <c r="E165" s="257"/>
      <c r="F165" s="257"/>
      <c r="G165" s="257"/>
      <c r="H165" s="257"/>
      <c r="I165"/>
      <c r="J165" s="257"/>
      <c r="K165" s="257"/>
      <c r="L165" s="257"/>
    </row>
    <row r="166" spans="1:12" x14ac:dyDescent="0.45">
      <c r="B166" s="257"/>
      <c r="C166" s="264"/>
      <c r="D166" s="257"/>
      <c r="E166" s="257"/>
      <c r="F166" s="257"/>
      <c r="G166" s="257"/>
      <c r="H166" s="257"/>
      <c r="I166"/>
      <c r="J166" s="257"/>
      <c r="K166" s="257"/>
      <c r="L166" s="257"/>
    </row>
    <row r="167" spans="1:12" x14ac:dyDescent="0.45">
      <c r="B167" s="257"/>
      <c r="C167" s="264"/>
      <c r="D167" s="257"/>
      <c r="E167" s="257"/>
      <c r="F167" s="257"/>
      <c r="G167" s="257"/>
      <c r="H167" s="257"/>
      <c r="I167"/>
      <c r="J167" s="257"/>
      <c r="K167" s="257"/>
      <c r="L167" s="257"/>
    </row>
    <row r="168" spans="1:12" x14ac:dyDescent="0.45">
      <c r="B168" s="257"/>
      <c r="C168" s="264"/>
      <c r="D168" s="257"/>
      <c r="E168" s="257"/>
      <c r="F168" s="257"/>
      <c r="G168" s="257"/>
      <c r="H168" s="257"/>
      <c r="I168"/>
      <c r="J168" s="257"/>
      <c r="K168" s="257"/>
      <c r="L168" s="257"/>
    </row>
    <row r="169" spans="1:12" x14ac:dyDescent="0.45">
      <c r="B169" s="257"/>
      <c r="C169" s="264"/>
      <c r="D169" s="257"/>
      <c r="E169" s="257"/>
      <c r="F169" s="257"/>
      <c r="G169" s="257"/>
      <c r="H169" s="257"/>
      <c r="I169"/>
      <c r="J169" s="257"/>
      <c r="K169" s="257"/>
      <c r="L169" s="257"/>
    </row>
    <row r="170" spans="1:12" x14ac:dyDescent="0.45">
      <c r="B170" s="257"/>
      <c r="C170" s="264"/>
      <c r="D170" s="257"/>
      <c r="E170" s="257"/>
      <c r="F170" s="257"/>
      <c r="G170" s="257"/>
      <c r="H170" s="257"/>
      <c r="I170"/>
      <c r="J170" s="257"/>
      <c r="K170" s="257"/>
      <c r="L170" s="257"/>
    </row>
    <row r="171" spans="1:12" x14ac:dyDescent="0.45">
      <c r="B171" s="257"/>
      <c r="C171" s="264"/>
      <c r="D171" s="257"/>
      <c r="E171" s="257"/>
      <c r="F171" s="257"/>
      <c r="G171" s="257"/>
      <c r="H171" s="257"/>
      <c r="I171"/>
      <c r="J171" s="257"/>
      <c r="K171" s="257"/>
      <c r="L171" s="257"/>
    </row>
    <row r="172" spans="1:12" x14ac:dyDescent="0.45">
      <c r="B172" s="257"/>
      <c r="C172" s="264"/>
      <c r="D172" s="257"/>
      <c r="E172" s="257"/>
      <c r="F172" s="257"/>
      <c r="G172" s="257"/>
      <c r="H172" s="257"/>
      <c r="I172"/>
      <c r="J172" s="257"/>
      <c r="K172" s="257"/>
      <c r="L172" s="257"/>
    </row>
    <row r="173" spans="1:12" x14ac:dyDescent="0.45">
      <c r="B173" s="257"/>
      <c r="C173" s="264"/>
      <c r="D173" s="257"/>
      <c r="E173" s="257"/>
      <c r="F173" s="257"/>
      <c r="G173" s="257"/>
      <c r="H173" s="257"/>
      <c r="I173"/>
      <c r="J173" s="257"/>
      <c r="K173" s="257"/>
      <c r="L173" s="257"/>
    </row>
    <row r="174" spans="1:12" x14ac:dyDescent="0.45">
      <c r="B174" s="257"/>
      <c r="C174" s="264"/>
      <c r="D174" s="257"/>
      <c r="E174" s="257"/>
      <c r="F174" s="257"/>
      <c r="G174" s="257"/>
      <c r="H174" s="257"/>
      <c r="I174"/>
      <c r="J174" s="257"/>
      <c r="K174" s="257"/>
      <c r="L174" s="257"/>
    </row>
    <row r="175" spans="1:12" x14ac:dyDescent="0.45">
      <c r="B175" s="257"/>
      <c r="C175" s="264"/>
      <c r="D175" s="257"/>
      <c r="E175" s="257"/>
      <c r="F175" s="257"/>
      <c r="G175" s="257"/>
      <c r="H175" s="257"/>
      <c r="I175"/>
      <c r="J175" s="257"/>
      <c r="K175" s="257"/>
      <c r="L175" s="257"/>
    </row>
    <row r="176" spans="1:12" x14ac:dyDescent="0.45">
      <c r="B176" s="257"/>
      <c r="C176" s="264"/>
      <c r="D176" s="257"/>
      <c r="E176" s="257"/>
      <c r="F176" s="257"/>
      <c r="G176" s="257"/>
      <c r="H176" s="257"/>
      <c r="I176"/>
      <c r="J176" s="257"/>
      <c r="K176" s="257"/>
      <c r="L176" s="257"/>
    </row>
    <row r="177" spans="2:12" x14ac:dyDescent="0.45">
      <c r="B177" s="257"/>
      <c r="C177" s="264"/>
      <c r="D177" s="257"/>
      <c r="E177" s="257"/>
      <c r="F177" s="257"/>
      <c r="G177" s="257"/>
      <c r="H177" s="257"/>
      <c r="I177"/>
      <c r="J177" s="257"/>
      <c r="K177" s="257"/>
      <c r="L177" s="257"/>
    </row>
    <row r="178" spans="2:12" x14ac:dyDescent="0.45">
      <c r="B178" s="257"/>
      <c r="C178" s="264"/>
      <c r="D178" s="257"/>
      <c r="E178" s="257"/>
      <c r="F178" s="257"/>
      <c r="G178" s="257"/>
      <c r="H178" s="257"/>
      <c r="I178"/>
      <c r="J178" s="257"/>
      <c r="K178" s="257"/>
      <c r="L178" s="257"/>
    </row>
    <row r="179" spans="2:12" x14ac:dyDescent="0.45">
      <c r="B179" s="257"/>
      <c r="C179" s="264"/>
      <c r="D179" s="257"/>
      <c r="E179" s="257"/>
      <c r="F179" s="257"/>
      <c r="G179" s="257"/>
      <c r="H179" s="257"/>
      <c r="I179"/>
      <c r="J179" s="257"/>
      <c r="K179" s="257"/>
      <c r="L179" s="257"/>
    </row>
    <row r="180" spans="2:12" x14ac:dyDescent="0.45">
      <c r="B180" s="257"/>
      <c r="C180" s="264"/>
      <c r="D180" s="257"/>
      <c r="E180" s="257"/>
      <c r="F180" s="257"/>
      <c r="G180" s="257"/>
      <c r="H180" s="257"/>
      <c r="I180"/>
      <c r="J180" s="257"/>
      <c r="K180" s="257"/>
      <c r="L180" s="257"/>
    </row>
    <row r="181" spans="2:12" x14ac:dyDescent="0.45">
      <c r="B181" s="257"/>
      <c r="C181" s="264"/>
      <c r="D181" s="257"/>
      <c r="E181" s="257"/>
      <c r="F181" s="257"/>
      <c r="G181" s="257"/>
      <c r="H181" s="257"/>
      <c r="I181"/>
      <c r="J181" s="257"/>
      <c r="K181" s="257"/>
      <c r="L181" s="257"/>
    </row>
    <row r="182" spans="2:12" x14ac:dyDescent="0.45">
      <c r="B182" s="257"/>
      <c r="C182" s="264"/>
      <c r="D182" s="257"/>
      <c r="E182" s="257"/>
      <c r="F182" s="257"/>
      <c r="G182" s="257"/>
      <c r="H182" s="257"/>
      <c r="I182"/>
      <c r="J182" s="257"/>
      <c r="K182" s="257"/>
      <c r="L182" s="257"/>
    </row>
    <row r="183" spans="2:12" x14ac:dyDescent="0.45">
      <c r="B183" s="257"/>
      <c r="C183" s="264"/>
      <c r="D183" s="257"/>
      <c r="E183" s="257"/>
      <c r="F183" s="257"/>
      <c r="G183" s="257"/>
      <c r="H183" s="257"/>
      <c r="I183"/>
      <c r="J183" s="257"/>
      <c r="K183" s="257"/>
      <c r="L183" s="257"/>
    </row>
    <row r="184" spans="2:12" x14ac:dyDescent="0.45">
      <c r="B184" s="257"/>
      <c r="C184" s="264"/>
      <c r="D184" s="257"/>
      <c r="E184" s="257"/>
      <c r="F184" s="257"/>
      <c r="G184" s="257"/>
      <c r="H184" s="257"/>
      <c r="I184"/>
      <c r="J184" s="257"/>
      <c r="K184" s="257"/>
      <c r="L184" s="257"/>
    </row>
    <row r="185" spans="2:12" x14ac:dyDescent="0.45">
      <c r="B185" s="257"/>
      <c r="C185" s="264"/>
      <c r="D185" s="257"/>
      <c r="E185" s="257"/>
      <c r="F185" s="257"/>
      <c r="G185" s="257"/>
      <c r="H185" s="257"/>
      <c r="I185"/>
      <c r="J185" s="257"/>
      <c r="K185" s="257"/>
      <c r="L185" s="257"/>
    </row>
    <row r="186" spans="2:12" x14ac:dyDescent="0.45">
      <c r="B186" s="257"/>
      <c r="C186" s="264"/>
      <c r="D186" s="257"/>
      <c r="E186" s="257"/>
      <c r="F186" s="257"/>
      <c r="G186" s="257"/>
      <c r="H186" s="257"/>
      <c r="I186"/>
      <c r="J186" s="257"/>
      <c r="K186" s="257"/>
      <c r="L186" s="257"/>
    </row>
    <row r="187" spans="2:12" x14ac:dyDescent="0.45">
      <c r="B187" s="257"/>
      <c r="C187" s="264"/>
      <c r="D187" s="257"/>
      <c r="E187" s="257"/>
      <c r="F187" s="257"/>
      <c r="G187" s="257"/>
      <c r="H187" s="257"/>
      <c r="I187"/>
      <c r="J187" s="257"/>
      <c r="K187" s="257"/>
      <c r="L187" s="257"/>
    </row>
    <row r="188" spans="2:12" x14ac:dyDescent="0.45">
      <c r="B188" s="257"/>
      <c r="C188" s="264"/>
      <c r="D188" s="257"/>
      <c r="E188" s="257"/>
      <c r="F188" s="257"/>
      <c r="G188" s="257"/>
      <c r="H188" s="257"/>
      <c r="I188"/>
      <c r="J188" s="257"/>
      <c r="K188" s="257"/>
      <c r="L188" s="257"/>
    </row>
    <row r="189" spans="2:12" x14ac:dyDescent="0.45">
      <c r="B189" s="257"/>
      <c r="C189" s="264"/>
      <c r="D189" s="257"/>
      <c r="E189" s="257"/>
      <c r="F189" s="257"/>
      <c r="G189" s="257"/>
      <c r="H189" s="257"/>
      <c r="I189"/>
      <c r="J189" s="257"/>
      <c r="K189" s="257"/>
      <c r="L189" s="257"/>
    </row>
    <row r="190" spans="2:12" x14ac:dyDescent="0.45">
      <c r="B190" s="257"/>
      <c r="C190" s="264"/>
      <c r="D190" s="257"/>
      <c r="E190" s="257"/>
      <c r="F190" s="257"/>
      <c r="G190" s="257"/>
      <c r="H190" s="257"/>
      <c r="I190"/>
      <c r="J190" s="257"/>
      <c r="K190" s="257"/>
      <c r="L190" s="257"/>
    </row>
    <row r="191" spans="2:12" x14ac:dyDescent="0.45">
      <c r="B191" s="257"/>
      <c r="C191" s="264"/>
      <c r="D191" s="257"/>
      <c r="E191" s="257"/>
      <c r="F191" s="257"/>
      <c r="G191" s="257"/>
      <c r="H191" s="257"/>
      <c r="I191"/>
      <c r="J191" s="257"/>
      <c r="K191" s="257"/>
      <c r="L191" s="257"/>
    </row>
    <row r="192" spans="2:12" x14ac:dyDescent="0.45">
      <c r="B192" s="257"/>
      <c r="C192" s="264"/>
      <c r="D192" s="257"/>
      <c r="E192" s="257"/>
      <c r="F192" s="257"/>
      <c r="G192" s="257"/>
      <c r="H192" s="257"/>
      <c r="I192"/>
      <c r="J192" s="257"/>
      <c r="K192" s="257"/>
      <c r="L192" s="257"/>
    </row>
    <row r="193" spans="2:12" x14ac:dyDescent="0.45">
      <c r="B193" s="257"/>
      <c r="C193" s="264"/>
      <c r="D193" s="257"/>
      <c r="E193" s="257"/>
      <c r="F193" s="257"/>
      <c r="G193" s="257"/>
      <c r="H193" s="257"/>
      <c r="I193"/>
      <c r="J193" s="257"/>
      <c r="K193" s="257"/>
      <c r="L193" s="257"/>
    </row>
    <row r="194" spans="2:12" x14ac:dyDescent="0.45">
      <c r="B194" s="257"/>
      <c r="C194" s="264"/>
      <c r="D194" s="257"/>
      <c r="E194" s="257"/>
      <c r="F194" s="257"/>
      <c r="G194" s="257"/>
      <c r="H194" s="257"/>
      <c r="I194"/>
      <c r="J194" s="257"/>
      <c r="K194" s="257"/>
      <c r="L194" s="257"/>
    </row>
    <row r="195" spans="2:12" x14ac:dyDescent="0.45">
      <c r="B195" s="257"/>
      <c r="C195" s="264"/>
      <c r="D195" s="257"/>
      <c r="E195" s="257"/>
      <c r="F195" s="257"/>
      <c r="G195" s="257"/>
      <c r="H195" s="257"/>
      <c r="I195"/>
      <c r="J195" s="257"/>
      <c r="K195" s="257"/>
      <c r="L195" s="257"/>
    </row>
    <row r="196" spans="2:12" x14ac:dyDescent="0.45">
      <c r="B196" s="257"/>
      <c r="C196" s="264"/>
      <c r="D196" s="257"/>
      <c r="E196" s="257"/>
      <c r="F196" s="257"/>
      <c r="G196" s="257"/>
      <c r="H196" s="257"/>
      <c r="I196"/>
      <c r="J196" s="257"/>
      <c r="K196" s="257"/>
      <c r="L196" s="257"/>
    </row>
    <row r="197" spans="2:12" x14ac:dyDescent="0.45">
      <c r="B197" s="257"/>
      <c r="C197" s="264"/>
      <c r="D197" s="257"/>
      <c r="E197" s="257"/>
      <c r="F197" s="257"/>
      <c r="G197" s="257"/>
      <c r="H197" s="257"/>
      <c r="I197"/>
      <c r="J197" s="257"/>
      <c r="K197" s="257"/>
      <c r="L197" s="257"/>
    </row>
    <row r="198" spans="2:12" x14ac:dyDescent="0.45">
      <c r="B198" s="257"/>
      <c r="C198" s="264"/>
      <c r="D198" s="257"/>
      <c r="E198" s="257"/>
      <c r="F198" s="257"/>
      <c r="G198" s="257"/>
      <c r="H198" s="257"/>
      <c r="I198"/>
      <c r="J198" s="257"/>
      <c r="K198" s="257"/>
      <c r="L198" s="257"/>
    </row>
    <row r="199" spans="2:12" x14ac:dyDescent="0.45">
      <c r="B199" s="257"/>
      <c r="C199" s="264"/>
      <c r="D199" s="257"/>
      <c r="E199" s="257"/>
      <c r="F199" s="257"/>
      <c r="G199" s="257"/>
      <c r="H199" s="257"/>
      <c r="I199"/>
      <c r="J199" s="257"/>
      <c r="K199" s="257"/>
      <c r="L199" s="257"/>
    </row>
    <row r="200" spans="2:12" x14ac:dyDescent="0.45">
      <c r="B200" s="257"/>
      <c r="C200" s="264"/>
      <c r="D200" s="257"/>
      <c r="E200" s="257"/>
      <c r="F200" s="257"/>
      <c r="G200" s="257"/>
      <c r="H200" s="257"/>
      <c r="I200"/>
      <c r="J200" s="257"/>
      <c r="K200" s="257"/>
      <c r="L200" s="257"/>
    </row>
    <row r="201" spans="2:12" x14ac:dyDescent="0.45">
      <c r="B201" s="257"/>
      <c r="C201" s="264"/>
      <c r="D201" s="257"/>
      <c r="E201" s="257"/>
      <c r="F201" s="257"/>
      <c r="G201" s="257"/>
      <c r="H201" s="257"/>
      <c r="I201"/>
      <c r="J201" s="257"/>
      <c r="K201" s="257"/>
      <c r="L201" s="257"/>
    </row>
    <row r="202" spans="2:12" x14ac:dyDescent="0.45">
      <c r="B202" s="257"/>
      <c r="C202" s="264"/>
      <c r="D202" s="257"/>
      <c r="E202" s="257"/>
      <c r="F202" s="257"/>
      <c r="G202" s="257"/>
      <c r="H202" s="257"/>
      <c r="I202"/>
      <c r="J202" s="257"/>
      <c r="K202" s="257"/>
      <c r="L202" s="257"/>
    </row>
    <row r="203" spans="2:12" x14ac:dyDescent="0.45">
      <c r="B203" s="257"/>
      <c r="C203" s="264"/>
      <c r="D203" s="257"/>
      <c r="E203" s="257"/>
      <c r="F203" s="257"/>
      <c r="G203" s="257"/>
      <c r="H203" s="257"/>
      <c r="I203"/>
      <c r="J203" s="257"/>
      <c r="K203" s="257"/>
      <c r="L203" s="257"/>
    </row>
    <row r="204" spans="2:12" x14ac:dyDescent="0.45">
      <c r="B204" s="257"/>
      <c r="C204" s="264"/>
      <c r="D204" s="257"/>
      <c r="E204" s="257"/>
      <c r="F204" s="257"/>
      <c r="G204" s="257"/>
      <c r="H204" s="257"/>
      <c r="I204"/>
      <c r="J204" s="257"/>
      <c r="K204" s="257"/>
      <c r="L204" s="257"/>
    </row>
    <row r="205" spans="2:12" x14ac:dyDescent="0.45">
      <c r="B205" s="257"/>
      <c r="C205" s="264"/>
      <c r="D205" s="257"/>
      <c r="E205" s="257"/>
      <c r="F205" s="257"/>
      <c r="G205" s="257"/>
      <c r="H205" s="257"/>
      <c r="I205"/>
      <c r="J205" s="257"/>
      <c r="K205" s="257"/>
      <c r="L205" s="257"/>
    </row>
    <row r="206" spans="2:12" x14ac:dyDescent="0.45">
      <c r="B206" s="257"/>
      <c r="C206" s="264"/>
      <c r="D206" s="257"/>
      <c r="E206" s="257"/>
      <c r="F206" s="257"/>
      <c r="G206" s="257"/>
      <c r="H206" s="257"/>
      <c r="I206"/>
      <c r="J206" s="257"/>
      <c r="K206" s="257"/>
      <c r="L206" s="257"/>
    </row>
    <row r="207" spans="2:12" x14ac:dyDescent="0.45">
      <c r="B207" s="257"/>
      <c r="C207" s="264"/>
      <c r="D207" s="257"/>
      <c r="E207" s="257"/>
      <c r="F207" s="257"/>
      <c r="G207" s="257"/>
      <c r="H207" s="257"/>
      <c r="I207"/>
      <c r="J207" s="257"/>
      <c r="K207" s="257"/>
      <c r="L207" s="257"/>
    </row>
    <row r="208" spans="2:12" x14ac:dyDescent="0.45">
      <c r="B208" s="257"/>
      <c r="C208" s="264"/>
      <c r="D208" s="257"/>
      <c r="E208" s="257"/>
      <c r="F208" s="257"/>
      <c r="G208" s="257"/>
      <c r="H208" s="257"/>
      <c r="I208"/>
      <c r="J208" s="257"/>
      <c r="K208" s="257"/>
      <c r="L208" s="257"/>
    </row>
    <row r="209" spans="2:12" x14ac:dyDescent="0.45">
      <c r="B209" s="257"/>
      <c r="C209" s="264"/>
      <c r="D209" s="257"/>
      <c r="E209" s="257"/>
      <c r="F209" s="257"/>
      <c r="G209" s="257"/>
      <c r="H209" s="257"/>
      <c r="I209"/>
      <c r="J209" s="257"/>
      <c r="K209" s="257"/>
      <c r="L209" s="257"/>
    </row>
    <row r="210" spans="2:12" x14ac:dyDescent="0.45">
      <c r="B210" s="257"/>
      <c r="C210" s="264"/>
      <c r="D210" s="257"/>
      <c r="E210" s="257"/>
      <c r="F210" s="257"/>
      <c r="G210" s="257"/>
      <c r="H210" s="257"/>
      <c r="I210"/>
      <c r="J210" s="257"/>
      <c r="K210" s="257"/>
      <c r="L210" s="257"/>
    </row>
    <row r="211" spans="2:12" x14ac:dyDescent="0.45">
      <c r="B211" s="257"/>
      <c r="C211" s="264"/>
      <c r="D211" s="257"/>
      <c r="E211" s="257"/>
      <c r="F211" s="257"/>
      <c r="G211" s="257"/>
      <c r="H211" s="257"/>
      <c r="I211"/>
      <c r="J211" s="257"/>
      <c r="K211" s="257"/>
      <c r="L211" s="257"/>
    </row>
    <row r="212" spans="2:12" x14ac:dyDescent="0.45">
      <c r="B212" s="257"/>
      <c r="C212" s="264"/>
      <c r="D212" s="257"/>
      <c r="E212" s="257"/>
      <c r="F212" s="257"/>
      <c r="G212" s="257"/>
      <c r="H212" s="257"/>
      <c r="I212"/>
      <c r="J212" s="257"/>
      <c r="K212" s="257"/>
      <c r="L212" s="257"/>
    </row>
    <row r="213" spans="2:12" x14ac:dyDescent="0.45">
      <c r="B213" s="257"/>
      <c r="C213" s="264"/>
      <c r="D213" s="257"/>
      <c r="E213" s="257"/>
      <c r="F213" s="257"/>
      <c r="G213" s="257"/>
      <c r="H213" s="257"/>
      <c r="I213"/>
      <c r="J213" s="257"/>
      <c r="K213" s="257"/>
      <c r="L213" s="257"/>
    </row>
    <row r="214" spans="2:12" x14ac:dyDescent="0.45">
      <c r="B214" s="257"/>
      <c r="C214" s="264"/>
      <c r="D214" s="257"/>
      <c r="E214" s="257"/>
      <c r="F214" s="257"/>
      <c r="G214" s="257"/>
      <c r="H214" s="257"/>
      <c r="I214"/>
      <c r="J214" s="257"/>
      <c r="K214" s="257"/>
      <c r="L214" s="257"/>
    </row>
    <row r="215" spans="2:12" x14ac:dyDescent="0.45">
      <c r="B215" s="257"/>
      <c r="C215" s="264"/>
      <c r="D215" s="257"/>
      <c r="E215" s="257"/>
      <c r="F215" s="257"/>
      <c r="G215" s="257"/>
      <c r="H215" s="257"/>
      <c r="I215"/>
      <c r="J215" s="257"/>
      <c r="K215" s="257"/>
      <c r="L215" s="257"/>
    </row>
    <row r="216" spans="2:12" x14ac:dyDescent="0.45">
      <c r="B216" s="257"/>
      <c r="C216" s="264"/>
      <c r="D216" s="257"/>
      <c r="E216" s="257"/>
      <c r="F216" s="257"/>
      <c r="G216" s="257"/>
      <c r="H216" s="257"/>
      <c r="I216"/>
      <c r="J216" s="257"/>
      <c r="K216" s="257"/>
      <c r="L216" s="257"/>
    </row>
    <row r="217" spans="2:12" x14ac:dyDescent="0.45">
      <c r="B217" s="257"/>
      <c r="C217" s="264"/>
      <c r="D217" s="257"/>
      <c r="E217" s="257"/>
      <c r="F217" s="257"/>
      <c r="G217" s="257"/>
      <c r="H217" s="257"/>
      <c r="I217"/>
      <c r="J217" s="257"/>
      <c r="K217" s="257"/>
      <c r="L217" s="257"/>
    </row>
    <row r="218" spans="2:12" x14ac:dyDescent="0.45">
      <c r="B218" s="257"/>
      <c r="C218" s="264"/>
      <c r="D218" s="257"/>
      <c r="E218" s="257"/>
      <c r="F218" s="257"/>
      <c r="G218" s="257"/>
      <c r="H218" s="257"/>
      <c r="I218"/>
      <c r="J218" s="257"/>
      <c r="K218" s="257"/>
      <c r="L218" s="257"/>
    </row>
    <row r="219" spans="2:12" x14ac:dyDescent="0.45">
      <c r="B219" s="257"/>
      <c r="C219" s="264"/>
      <c r="D219" s="257"/>
      <c r="E219" s="257"/>
      <c r="F219" s="257"/>
      <c r="G219" s="257"/>
      <c r="H219" s="257"/>
      <c r="I219"/>
      <c r="J219" s="257"/>
      <c r="K219" s="257"/>
      <c r="L219" s="257"/>
    </row>
    <row r="220" spans="2:12" x14ac:dyDescent="0.45">
      <c r="B220" s="257"/>
      <c r="C220" s="264"/>
      <c r="D220" s="257"/>
      <c r="E220" s="257"/>
      <c r="F220" s="257"/>
      <c r="G220" s="257"/>
      <c r="H220" s="257"/>
      <c r="I220"/>
      <c r="J220" s="257"/>
      <c r="K220" s="257"/>
      <c r="L220" s="257"/>
    </row>
    <row r="221" spans="2:12" x14ac:dyDescent="0.45">
      <c r="B221" s="257"/>
      <c r="C221" s="264"/>
      <c r="D221" s="257"/>
      <c r="E221" s="257"/>
      <c r="F221" s="257"/>
      <c r="G221" s="257"/>
      <c r="H221" s="257"/>
      <c r="I221"/>
      <c r="J221" s="257"/>
      <c r="K221" s="257"/>
      <c r="L221" s="257"/>
    </row>
    <row r="222" spans="2:12" x14ac:dyDescent="0.45">
      <c r="B222" s="257"/>
      <c r="C222" s="264"/>
      <c r="D222" s="257"/>
      <c r="E222" s="257"/>
      <c r="F222" s="257"/>
      <c r="G222" s="257"/>
      <c r="H222" s="257"/>
      <c r="I222"/>
      <c r="J222" s="257"/>
      <c r="K222" s="257"/>
      <c r="L222" s="257"/>
    </row>
    <row r="223" spans="2:12" x14ac:dyDescent="0.45">
      <c r="B223" s="257"/>
      <c r="C223" s="264"/>
      <c r="D223" s="257"/>
      <c r="E223" s="257"/>
      <c r="F223" s="257"/>
      <c r="G223" s="257"/>
      <c r="H223" s="257"/>
      <c r="I223"/>
      <c r="J223" s="257"/>
      <c r="K223" s="257"/>
      <c r="L223" s="257"/>
    </row>
    <row r="224" spans="2:12" x14ac:dyDescent="0.45">
      <c r="B224" s="257"/>
      <c r="C224" s="264"/>
      <c r="D224" s="257"/>
      <c r="E224" s="257"/>
      <c r="F224" s="257"/>
      <c r="G224" s="257"/>
      <c r="H224" s="257"/>
      <c r="I224"/>
      <c r="J224" s="257"/>
      <c r="K224" s="257"/>
      <c r="L224" s="257"/>
    </row>
    <row r="225" spans="2:12" x14ac:dyDescent="0.45">
      <c r="B225" s="257"/>
      <c r="C225" s="264"/>
      <c r="D225" s="257"/>
      <c r="E225" s="257"/>
      <c r="F225" s="257"/>
      <c r="G225" s="257"/>
      <c r="H225" s="257"/>
      <c r="I225"/>
      <c r="J225" s="257"/>
      <c r="K225" s="257"/>
      <c r="L225" s="257"/>
    </row>
    <row r="226" spans="2:12" x14ac:dyDescent="0.45">
      <c r="B226" s="257"/>
      <c r="C226" s="264"/>
      <c r="D226" s="257"/>
      <c r="E226" s="257"/>
      <c r="F226" s="257"/>
      <c r="G226" s="257"/>
      <c r="H226" s="257"/>
      <c r="I226"/>
      <c r="J226" s="257"/>
      <c r="K226" s="257"/>
      <c r="L226" s="257"/>
    </row>
    <row r="227" spans="2:12" x14ac:dyDescent="0.45">
      <c r="B227" s="257"/>
      <c r="C227" s="264"/>
      <c r="D227" s="257"/>
      <c r="E227" s="257"/>
      <c r="F227" s="257"/>
      <c r="G227" s="257"/>
      <c r="H227" s="257"/>
      <c r="I227"/>
      <c r="J227" s="257"/>
      <c r="K227" s="257"/>
      <c r="L227" s="257"/>
    </row>
    <row r="228" spans="2:12" x14ac:dyDescent="0.45">
      <c r="B228" s="257"/>
      <c r="C228" s="264"/>
      <c r="D228" s="257"/>
      <c r="E228" s="257"/>
      <c r="F228" s="257"/>
      <c r="G228" s="257"/>
      <c r="H228" s="257"/>
      <c r="I228"/>
      <c r="J228" s="257"/>
      <c r="K228" s="257"/>
      <c r="L228" s="257"/>
    </row>
    <row r="229" spans="2:12" x14ac:dyDescent="0.45">
      <c r="B229" s="257"/>
      <c r="C229" s="264"/>
      <c r="D229" s="257"/>
      <c r="E229" s="257"/>
      <c r="F229" s="257"/>
      <c r="G229" s="257"/>
      <c r="H229" s="257"/>
      <c r="I229"/>
      <c r="J229" s="257"/>
      <c r="K229" s="257"/>
      <c r="L229" s="257"/>
    </row>
    <row r="230" spans="2:12" x14ac:dyDescent="0.45">
      <c r="B230" s="257"/>
      <c r="C230" s="264"/>
      <c r="D230" s="257"/>
      <c r="E230" s="257"/>
      <c r="F230" s="257"/>
      <c r="G230" s="257"/>
      <c r="H230" s="257"/>
      <c r="I230"/>
      <c r="J230" s="257"/>
      <c r="K230" s="257"/>
      <c r="L230" s="257"/>
    </row>
    <row r="231" spans="2:12" x14ac:dyDescent="0.45">
      <c r="B231" s="257"/>
      <c r="C231" s="264"/>
      <c r="D231" s="257"/>
      <c r="E231" s="257"/>
      <c r="F231" s="257"/>
      <c r="G231" s="257"/>
      <c r="H231" s="257"/>
      <c r="I231"/>
      <c r="J231" s="257"/>
      <c r="K231" s="257"/>
      <c r="L231" s="257"/>
    </row>
    <row r="232" spans="2:12" x14ac:dyDescent="0.45">
      <c r="B232" s="257"/>
      <c r="C232" s="264"/>
      <c r="D232" s="257"/>
      <c r="E232" s="257"/>
      <c r="F232" s="257"/>
      <c r="G232" s="257"/>
      <c r="H232" s="257"/>
      <c r="I232"/>
      <c r="J232" s="257"/>
      <c r="K232" s="257"/>
      <c r="L232" s="257"/>
    </row>
    <row r="233" spans="2:12" x14ac:dyDescent="0.45">
      <c r="B233" s="257"/>
      <c r="C233" s="264"/>
      <c r="D233" s="257"/>
      <c r="E233" s="257"/>
      <c r="F233" s="257"/>
      <c r="G233" s="257"/>
      <c r="H233" s="257"/>
      <c r="I233"/>
      <c r="J233" s="257"/>
      <c r="K233" s="257"/>
      <c r="L233" s="257"/>
    </row>
    <row r="234" spans="2:12" x14ac:dyDescent="0.45">
      <c r="B234" s="257"/>
      <c r="C234" s="264"/>
      <c r="D234" s="257"/>
      <c r="E234" s="257"/>
      <c r="F234" s="257"/>
      <c r="G234" s="257"/>
      <c r="H234" s="257"/>
      <c r="I234"/>
      <c r="J234" s="257"/>
      <c r="K234" s="257"/>
      <c r="L234" s="257"/>
    </row>
    <row r="235" spans="2:12" x14ac:dyDescent="0.45">
      <c r="B235" s="257"/>
      <c r="C235" s="264"/>
      <c r="D235" s="257"/>
      <c r="E235" s="257"/>
      <c r="F235" s="257"/>
      <c r="G235" s="257"/>
      <c r="H235" s="257"/>
      <c r="I235"/>
      <c r="J235" s="257"/>
      <c r="K235" s="257"/>
      <c r="L235" s="257"/>
    </row>
    <row r="236" spans="2:12" x14ac:dyDescent="0.45">
      <c r="B236" s="257"/>
      <c r="C236" s="264"/>
      <c r="D236" s="257"/>
      <c r="E236" s="257"/>
      <c r="F236" s="257"/>
      <c r="G236" s="257"/>
      <c r="H236" s="257"/>
      <c r="I236"/>
      <c r="J236" s="257"/>
      <c r="K236" s="257"/>
      <c r="L236" s="257"/>
    </row>
    <row r="237" spans="2:12" x14ac:dyDescent="0.45">
      <c r="B237" s="257"/>
      <c r="C237" s="264"/>
      <c r="D237" s="257"/>
      <c r="E237" s="257"/>
      <c r="F237" s="257"/>
      <c r="G237" s="257"/>
      <c r="H237" s="257"/>
      <c r="I237"/>
      <c r="J237" s="257"/>
      <c r="K237" s="257"/>
      <c r="L237" s="257"/>
    </row>
    <row r="238" spans="2:12" x14ac:dyDescent="0.45">
      <c r="B238" s="257"/>
      <c r="C238" s="264"/>
      <c r="D238" s="257"/>
      <c r="E238" s="257"/>
      <c r="F238" s="257"/>
      <c r="G238" s="257"/>
      <c r="H238" s="257"/>
      <c r="I238"/>
      <c r="J238" s="257"/>
      <c r="K238" s="257"/>
      <c r="L238" s="257"/>
    </row>
    <row r="239" spans="2:12" x14ac:dyDescent="0.45">
      <c r="B239" s="257"/>
      <c r="C239" s="264"/>
      <c r="D239" s="257"/>
      <c r="E239" s="257"/>
      <c r="F239" s="257"/>
      <c r="G239" s="257"/>
      <c r="H239" s="257"/>
      <c r="I239"/>
      <c r="J239" s="257"/>
      <c r="K239" s="257"/>
      <c r="L239" s="257"/>
    </row>
    <row r="240" spans="2:12" x14ac:dyDescent="0.45">
      <c r="B240" s="257"/>
      <c r="C240" s="264"/>
      <c r="D240" s="257"/>
      <c r="E240" s="257"/>
      <c r="F240" s="257"/>
      <c r="G240" s="257"/>
      <c r="H240" s="257"/>
      <c r="I240"/>
      <c r="J240" s="257"/>
      <c r="K240" s="257"/>
      <c r="L240" s="257"/>
    </row>
    <row r="241" spans="2:12" x14ac:dyDescent="0.45">
      <c r="B241" s="257"/>
      <c r="C241" s="264"/>
      <c r="D241" s="257"/>
      <c r="E241" s="257"/>
      <c r="F241" s="257"/>
      <c r="G241" s="257"/>
      <c r="H241" s="257"/>
      <c r="I241"/>
      <c r="J241" s="257"/>
      <c r="K241" s="257"/>
      <c r="L241" s="257"/>
    </row>
    <row r="242" spans="2:12" x14ac:dyDescent="0.45">
      <c r="B242" s="257"/>
      <c r="C242" s="264"/>
      <c r="D242" s="257"/>
      <c r="E242" s="257"/>
      <c r="F242" s="257"/>
      <c r="G242" s="257"/>
      <c r="H242" s="257"/>
      <c r="I242"/>
      <c r="J242" s="257"/>
      <c r="K242" s="257"/>
      <c r="L242" s="257"/>
    </row>
    <row r="243" spans="2:12" x14ac:dyDescent="0.45">
      <c r="B243" s="257"/>
      <c r="C243" s="264"/>
      <c r="D243" s="257"/>
      <c r="E243" s="257"/>
      <c r="F243" s="257"/>
      <c r="G243" s="257"/>
      <c r="H243" s="257"/>
      <c r="I243"/>
      <c r="J243" s="257"/>
      <c r="K243" s="257"/>
      <c r="L243" s="257"/>
    </row>
    <row r="244" spans="2:12" x14ac:dyDescent="0.45">
      <c r="B244" s="257"/>
      <c r="C244" s="264"/>
      <c r="D244" s="257"/>
      <c r="E244" s="257"/>
      <c r="F244" s="257"/>
      <c r="G244" s="257"/>
      <c r="H244" s="257"/>
      <c r="I244"/>
      <c r="J244" s="257"/>
      <c r="K244" s="257"/>
      <c r="L244" s="257"/>
    </row>
    <row r="245" spans="2:12" x14ac:dyDescent="0.45">
      <c r="B245" s="257"/>
      <c r="C245" s="264"/>
      <c r="D245" s="257"/>
      <c r="E245" s="257"/>
      <c r="F245" s="257"/>
      <c r="G245" s="257"/>
      <c r="H245" s="257"/>
      <c r="I245"/>
      <c r="J245" s="257"/>
      <c r="K245" s="257"/>
      <c r="L245" s="257"/>
    </row>
    <row r="246" spans="2:12" x14ac:dyDescent="0.45">
      <c r="B246" s="257"/>
      <c r="C246" s="264"/>
      <c r="D246" s="257"/>
      <c r="E246" s="257"/>
      <c r="F246" s="257"/>
      <c r="G246" s="257"/>
      <c r="H246" s="257"/>
      <c r="I246"/>
      <c r="J246" s="257"/>
      <c r="K246" s="257"/>
      <c r="L246" s="257"/>
    </row>
    <row r="247" spans="2:12" x14ac:dyDescent="0.45">
      <c r="B247" s="257"/>
      <c r="C247" s="264"/>
      <c r="D247" s="257"/>
      <c r="E247" s="257"/>
      <c r="F247" s="257"/>
      <c r="G247" s="257"/>
      <c r="H247" s="257"/>
      <c r="I247"/>
      <c r="J247" s="257"/>
      <c r="K247" s="257"/>
      <c r="L247" s="257"/>
    </row>
    <row r="248" spans="2:12" x14ac:dyDescent="0.45">
      <c r="B248" s="257"/>
      <c r="C248" s="264"/>
      <c r="D248" s="257"/>
      <c r="E248" s="257"/>
      <c r="F248" s="257"/>
      <c r="G248" s="257"/>
      <c r="H248" s="257"/>
      <c r="I248"/>
      <c r="J248" s="257"/>
      <c r="K248" s="257"/>
      <c r="L248" s="257"/>
    </row>
    <row r="249" spans="2:12" x14ac:dyDescent="0.45">
      <c r="B249" s="257"/>
      <c r="C249" s="264"/>
      <c r="D249" s="257"/>
      <c r="E249" s="257"/>
      <c r="F249" s="257"/>
      <c r="G249" s="257"/>
      <c r="H249" s="257"/>
      <c r="I249"/>
      <c r="J249" s="257"/>
      <c r="K249" s="257"/>
      <c r="L249" s="257"/>
    </row>
    <row r="250" spans="2:12" x14ac:dyDescent="0.45">
      <c r="B250" s="257"/>
      <c r="C250" s="264"/>
      <c r="D250" s="257"/>
      <c r="E250" s="257"/>
      <c r="F250" s="257"/>
      <c r="G250" s="257"/>
      <c r="H250" s="257"/>
      <c r="I250"/>
      <c r="J250" s="257"/>
      <c r="K250" s="257"/>
      <c r="L250" s="257"/>
    </row>
    <row r="251" spans="2:12" x14ac:dyDescent="0.45">
      <c r="B251" s="257"/>
      <c r="C251" s="264"/>
      <c r="D251" s="257"/>
      <c r="E251" s="257"/>
      <c r="F251" s="257"/>
      <c r="G251" s="257"/>
      <c r="H251" s="257"/>
      <c r="I251"/>
      <c r="J251" s="257"/>
      <c r="K251" s="257"/>
      <c r="L251" s="257"/>
    </row>
    <row r="252" spans="2:12" x14ac:dyDescent="0.45">
      <c r="B252" s="257"/>
      <c r="C252" s="264"/>
      <c r="D252" s="257"/>
      <c r="E252" s="257"/>
      <c r="F252" s="257"/>
      <c r="G252" s="257"/>
      <c r="H252" s="257"/>
      <c r="I252"/>
      <c r="J252" s="257"/>
      <c r="K252" s="257"/>
      <c r="L252" s="257"/>
    </row>
    <row r="253" spans="2:12" x14ac:dyDescent="0.45">
      <c r="B253" s="257"/>
      <c r="C253" s="264"/>
      <c r="D253" s="257"/>
      <c r="E253" s="257"/>
      <c r="F253" s="257"/>
      <c r="G253" s="257"/>
      <c r="H253" s="257"/>
      <c r="I253"/>
      <c r="J253" s="257"/>
      <c r="K253" s="257"/>
      <c r="L253" s="257"/>
    </row>
    <row r="254" spans="2:12" x14ac:dyDescent="0.45">
      <c r="B254" s="257"/>
      <c r="C254" s="264"/>
      <c r="D254" s="257"/>
      <c r="E254" s="257"/>
      <c r="F254" s="257"/>
      <c r="G254" s="257"/>
      <c r="H254" s="257"/>
      <c r="I254"/>
      <c r="J254" s="257"/>
      <c r="K254" s="257"/>
      <c r="L254" s="257"/>
    </row>
    <row r="255" spans="2:12" x14ac:dyDescent="0.45">
      <c r="B255" s="257"/>
      <c r="C255" s="264"/>
      <c r="D255" s="257"/>
      <c r="E255" s="257"/>
      <c r="F255" s="257"/>
      <c r="G255" s="257"/>
      <c r="H255" s="257"/>
      <c r="I255"/>
      <c r="J255" s="257"/>
      <c r="K255" s="257"/>
      <c r="L255" s="257"/>
    </row>
    <row r="256" spans="2:12" x14ac:dyDescent="0.45">
      <c r="B256" s="257"/>
      <c r="C256" s="264"/>
      <c r="D256" s="257"/>
      <c r="E256" s="257"/>
      <c r="F256" s="257"/>
      <c r="G256" s="257"/>
      <c r="H256" s="257"/>
      <c r="I256"/>
      <c r="J256" s="257"/>
      <c r="K256" s="257"/>
      <c r="L256" s="257"/>
    </row>
    <row r="257" spans="2:12" x14ac:dyDescent="0.45">
      <c r="B257" s="257"/>
      <c r="C257" s="264"/>
      <c r="D257" s="257"/>
      <c r="E257" s="257"/>
      <c r="F257" s="257"/>
      <c r="G257" s="257"/>
      <c r="H257" s="257"/>
      <c r="I257"/>
      <c r="J257" s="257"/>
      <c r="K257" s="257"/>
      <c r="L257" s="257"/>
    </row>
    <row r="258" spans="2:12" x14ac:dyDescent="0.45">
      <c r="B258" s="257"/>
      <c r="C258" s="264"/>
      <c r="D258" s="257"/>
      <c r="E258" s="257"/>
      <c r="F258" s="257"/>
      <c r="G258" s="257"/>
      <c r="H258" s="257"/>
      <c r="I258"/>
      <c r="J258" s="257"/>
      <c r="K258" s="257"/>
      <c r="L258" s="257"/>
    </row>
    <row r="259" spans="2:12" x14ac:dyDescent="0.45">
      <c r="B259" s="257"/>
      <c r="C259" s="264"/>
      <c r="D259" s="257"/>
      <c r="E259" s="257"/>
      <c r="F259" s="257"/>
      <c r="G259" s="257"/>
      <c r="H259" s="257"/>
      <c r="I259"/>
      <c r="J259" s="257"/>
      <c r="K259" s="257"/>
      <c r="L259" s="257"/>
    </row>
    <row r="260" spans="2:12" x14ac:dyDescent="0.45">
      <c r="B260" s="257"/>
      <c r="C260" s="264"/>
      <c r="D260" s="257"/>
      <c r="E260" s="257"/>
      <c r="F260" s="257"/>
      <c r="G260" s="257"/>
      <c r="H260" s="257"/>
      <c r="I260"/>
      <c r="J260" s="257"/>
      <c r="K260" s="257"/>
      <c r="L260" s="257"/>
    </row>
    <row r="261" spans="2:12" x14ac:dyDescent="0.45">
      <c r="B261" s="257"/>
      <c r="C261" s="264"/>
      <c r="D261" s="257"/>
      <c r="E261" s="257"/>
      <c r="F261" s="257"/>
      <c r="G261" s="257"/>
      <c r="H261" s="257"/>
      <c r="I261"/>
      <c r="J261" s="257"/>
      <c r="K261" s="257"/>
      <c r="L261" s="257"/>
    </row>
    <row r="262" spans="2:12" x14ac:dyDescent="0.45">
      <c r="B262" s="257"/>
      <c r="C262" s="264"/>
      <c r="D262" s="257"/>
      <c r="E262" s="257"/>
      <c r="F262" s="257"/>
      <c r="G262" s="257"/>
      <c r="H262" s="257"/>
      <c r="I262"/>
      <c r="J262" s="257"/>
      <c r="K262" s="257"/>
      <c r="L262" s="257"/>
    </row>
    <row r="263" spans="2:12" x14ac:dyDescent="0.45">
      <c r="B263" s="257"/>
      <c r="C263" s="264"/>
      <c r="D263" s="257"/>
      <c r="E263" s="257"/>
      <c r="F263" s="257"/>
      <c r="G263" s="257"/>
      <c r="H263" s="257"/>
      <c r="I263"/>
      <c r="J263" s="257"/>
      <c r="K263" s="257"/>
      <c r="L263" s="257"/>
    </row>
    <row r="264" spans="2:12" x14ac:dyDescent="0.45">
      <c r="B264" s="257"/>
      <c r="C264" s="264"/>
      <c r="D264" s="257"/>
      <c r="E264" s="257"/>
      <c r="F264" s="257"/>
      <c r="G264" s="257"/>
      <c r="H264" s="257"/>
      <c r="I264"/>
      <c r="J264" s="257"/>
      <c r="K264" s="257"/>
      <c r="L264" s="257"/>
    </row>
    <row r="265" spans="2:12" x14ac:dyDescent="0.45">
      <c r="B265" s="257"/>
      <c r="C265" s="264"/>
      <c r="D265" s="257"/>
      <c r="E265" s="257"/>
      <c r="F265" s="257"/>
      <c r="G265" s="257"/>
      <c r="H265" s="257"/>
      <c r="I265"/>
      <c r="J265" s="257"/>
      <c r="K265" s="257"/>
      <c r="L265" s="257"/>
    </row>
    <row r="266" spans="2:12" x14ac:dyDescent="0.45">
      <c r="B266" s="257"/>
      <c r="C266" s="264"/>
      <c r="D266" s="257"/>
      <c r="E266" s="257"/>
      <c r="F266" s="257"/>
      <c r="G266" s="257"/>
      <c r="H266" s="257"/>
      <c r="I266"/>
      <c r="J266" s="257"/>
      <c r="K266" s="257"/>
      <c r="L266" s="257"/>
    </row>
    <row r="267" spans="2:12" x14ac:dyDescent="0.45">
      <c r="B267" s="257"/>
      <c r="C267" s="264"/>
      <c r="D267" s="257"/>
      <c r="E267" s="257"/>
      <c r="F267" s="257"/>
      <c r="G267" s="257"/>
      <c r="H267" s="257"/>
      <c r="I267"/>
      <c r="J267" s="257"/>
      <c r="K267" s="257"/>
      <c r="L267" s="257"/>
    </row>
    <row r="268" spans="2:12" x14ac:dyDescent="0.45">
      <c r="B268" s="257"/>
      <c r="C268" s="264"/>
      <c r="D268" s="257"/>
      <c r="E268" s="257"/>
      <c r="F268" s="257"/>
      <c r="G268" s="257"/>
      <c r="H268" s="257"/>
      <c r="I268"/>
      <c r="J268" s="257"/>
      <c r="K268" s="257"/>
      <c r="L268" s="257"/>
    </row>
    <row r="269" spans="2:12" x14ac:dyDescent="0.45">
      <c r="B269" s="257"/>
      <c r="C269" s="264"/>
      <c r="D269" s="257"/>
      <c r="E269" s="257"/>
      <c r="F269" s="257"/>
      <c r="G269" s="257"/>
      <c r="H269" s="257"/>
      <c r="I269"/>
      <c r="J269" s="257"/>
      <c r="K269" s="257"/>
      <c r="L269" s="257"/>
    </row>
    <row r="270" spans="2:12" x14ac:dyDescent="0.45">
      <c r="B270" s="257"/>
      <c r="C270" s="264"/>
      <c r="D270" s="257"/>
      <c r="E270" s="257"/>
      <c r="F270" s="257"/>
      <c r="G270" s="257"/>
      <c r="H270" s="257"/>
      <c r="I270"/>
      <c r="J270" s="257"/>
      <c r="K270" s="257"/>
      <c r="L270" s="257"/>
    </row>
    <row r="271" spans="2:12" x14ac:dyDescent="0.45">
      <c r="B271" s="257"/>
      <c r="C271" s="264"/>
      <c r="D271" s="257"/>
      <c r="E271" s="257"/>
      <c r="F271" s="257"/>
      <c r="G271" s="257"/>
      <c r="H271" s="257"/>
      <c r="I271"/>
      <c r="J271" s="257"/>
      <c r="K271" s="257"/>
      <c r="L271" s="257"/>
    </row>
    <row r="272" spans="2:12" x14ac:dyDescent="0.45">
      <c r="B272" s="257"/>
      <c r="C272" s="264"/>
      <c r="D272" s="257"/>
      <c r="E272" s="257"/>
      <c r="F272" s="257"/>
      <c r="G272" s="257"/>
      <c r="H272" s="257"/>
      <c r="I272"/>
      <c r="J272" s="257"/>
      <c r="K272" s="257"/>
      <c r="L272" s="257"/>
    </row>
    <row r="273" spans="2:12" x14ac:dyDescent="0.45">
      <c r="B273" s="257"/>
      <c r="C273" s="264"/>
      <c r="D273" s="257"/>
      <c r="E273" s="257"/>
      <c r="F273" s="257"/>
      <c r="G273" s="257"/>
      <c r="H273" s="257"/>
      <c r="I273"/>
      <c r="J273" s="257"/>
      <c r="K273" s="257"/>
      <c r="L273" s="257"/>
    </row>
    <row r="274" spans="2:12" x14ac:dyDescent="0.45">
      <c r="B274" s="257"/>
      <c r="C274" s="264"/>
      <c r="D274" s="257"/>
      <c r="E274" s="257"/>
      <c r="F274" s="257"/>
      <c r="G274" s="257"/>
      <c r="H274" s="257"/>
      <c r="I274"/>
      <c r="J274" s="257"/>
      <c r="K274" s="257"/>
      <c r="L274" s="257"/>
    </row>
    <row r="275" spans="2:12" x14ac:dyDescent="0.45">
      <c r="B275" s="257"/>
      <c r="C275" s="264"/>
      <c r="D275" s="257"/>
      <c r="E275" s="257"/>
      <c r="F275" s="257"/>
      <c r="G275" s="257"/>
      <c r="H275" s="257"/>
      <c r="I275"/>
      <c r="J275" s="257"/>
      <c r="K275" s="257"/>
      <c r="L275" s="257"/>
    </row>
    <row r="276" spans="2:12" x14ac:dyDescent="0.45">
      <c r="B276" s="257"/>
      <c r="C276" s="264"/>
      <c r="D276" s="257"/>
      <c r="E276" s="257"/>
      <c r="F276" s="257"/>
      <c r="G276" s="257"/>
      <c r="H276" s="257"/>
      <c r="I276"/>
      <c r="J276" s="257"/>
      <c r="K276" s="257"/>
      <c r="L276" s="257"/>
    </row>
    <row r="277" spans="2:12" x14ac:dyDescent="0.45">
      <c r="B277" s="257"/>
      <c r="C277" s="264"/>
      <c r="D277" s="257"/>
      <c r="E277" s="257"/>
      <c r="F277" s="257"/>
      <c r="G277" s="257"/>
      <c r="H277" s="257"/>
      <c r="I277"/>
      <c r="J277" s="257"/>
      <c r="K277" s="257"/>
      <c r="L277" s="257"/>
    </row>
    <row r="278" spans="2:12" x14ac:dyDescent="0.45">
      <c r="B278" s="257"/>
      <c r="C278" s="264"/>
      <c r="D278" s="257"/>
      <c r="E278" s="257"/>
      <c r="F278" s="257"/>
      <c r="G278" s="257"/>
      <c r="H278" s="257"/>
      <c r="I278"/>
      <c r="J278" s="257"/>
      <c r="K278" s="257"/>
      <c r="L278" s="257"/>
    </row>
    <row r="279" spans="2:12" x14ac:dyDescent="0.45">
      <c r="B279" s="257"/>
      <c r="C279" s="264"/>
      <c r="D279" s="257"/>
      <c r="E279" s="257"/>
      <c r="F279" s="257"/>
      <c r="G279" s="257"/>
      <c r="H279" s="257"/>
      <c r="I279"/>
      <c r="J279" s="257"/>
      <c r="K279" s="257"/>
      <c r="L279" s="257"/>
    </row>
    <row r="280" spans="2:12" x14ac:dyDescent="0.45">
      <c r="B280" s="257"/>
      <c r="C280" s="264"/>
      <c r="D280" s="257"/>
      <c r="E280" s="257"/>
      <c r="F280" s="257"/>
      <c r="G280" s="257"/>
      <c r="H280" s="257"/>
      <c r="I280"/>
      <c r="J280" s="257"/>
      <c r="K280" s="257"/>
      <c r="L280" s="257"/>
    </row>
    <row r="281" spans="2:12" x14ac:dyDescent="0.45">
      <c r="B281" s="257"/>
      <c r="C281" s="264"/>
      <c r="D281" s="257"/>
      <c r="E281" s="257"/>
      <c r="F281" s="257"/>
      <c r="G281" s="257"/>
      <c r="H281" s="257"/>
      <c r="I281"/>
      <c r="J281" s="257"/>
      <c r="K281" s="257"/>
      <c r="L281" s="257"/>
    </row>
    <row r="282" spans="2:12" x14ac:dyDescent="0.45">
      <c r="B282" s="257"/>
      <c r="C282" s="264"/>
      <c r="D282" s="257"/>
      <c r="E282" s="257"/>
      <c r="F282" s="257"/>
      <c r="G282" s="257"/>
      <c r="H282" s="257"/>
      <c r="I282"/>
      <c r="J282" s="257"/>
      <c r="K282" s="257"/>
      <c r="L282" s="257"/>
    </row>
    <row r="283" spans="2:12" x14ac:dyDescent="0.45">
      <c r="B283" s="257"/>
      <c r="C283" s="264"/>
      <c r="D283" s="257"/>
      <c r="E283" s="257"/>
      <c r="F283" s="257"/>
      <c r="G283" s="257"/>
      <c r="H283" s="257"/>
      <c r="I283"/>
      <c r="J283" s="257"/>
      <c r="K283" s="257"/>
      <c r="L283" s="257"/>
    </row>
    <row r="284" spans="2:12" x14ac:dyDescent="0.45">
      <c r="B284" s="257"/>
      <c r="C284" s="264"/>
      <c r="D284" s="257"/>
      <c r="E284" s="257"/>
      <c r="F284" s="257"/>
      <c r="G284" s="257"/>
      <c r="H284" s="257"/>
      <c r="I284"/>
      <c r="J284" s="257"/>
      <c r="K284" s="257"/>
      <c r="L284" s="257"/>
    </row>
    <row r="285" spans="2:12" x14ac:dyDescent="0.45">
      <c r="B285" s="257"/>
      <c r="C285" s="264"/>
      <c r="D285" s="257"/>
      <c r="E285" s="257"/>
      <c r="F285" s="257"/>
      <c r="G285" s="257"/>
      <c r="H285" s="257"/>
      <c r="I285"/>
      <c r="J285" s="257"/>
      <c r="K285" s="257"/>
      <c r="L285" s="257"/>
    </row>
    <row r="286" spans="2:12" x14ac:dyDescent="0.45">
      <c r="B286" s="257"/>
      <c r="C286" s="264"/>
      <c r="D286" s="257"/>
      <c r="E286" s="257"/>
      <c r="F286" s="257"/>
      <c r="G286" s="257"/>
      <c r="H286" s="257"/>
      <c r="I286"/>
      <c r="J286" s="257"/>
      <c r="K286" s="257"/>
      <c r="L286" s="257"/>
    </row>
    <row r="287" spans="2:12" x14ac:dyDescent="0.45">
      <c r="B287" s="257"/>
      <c r="C287" s="264"/>
      <c r="D287" s="257"/>
      <c r="E287" s="257"/>
      <c r="F287" s="257"/>
      <c r="G287" s="257"/>
      <c r="H287" s="257"/>
      <c r="I287"/>
      <c r="J287" s="257"/>
      <c r="K287" s="257"/>
      <c r="L287" s="257"/>
    </row>
    <row r="288" spans="2:12" x14ac:dyDescent="0.45">
      <c r="B288" s="257"/>
      <c r="C288" s="264"/>
      <c r="D288" s="257"/>
      <c r="E288" s="257"/>
      <c r="F288" s="257"/>
      <c r="G288" s="257"/>
      <c r="H288" s="257"/>
      <c r="I288"/>
      <c r="J288" s="257"/>
      <c r="K288" s="257"/>
      <c r="L288" s="257"/>
    </row>
    <row r="289" spans="2:12" x14ac:dyDescent="0.45">
      <c r="B289" s="257"/>
      <c r="C289" s="264"/>
      <c r="D289" s="257"/>
      <c r="E289" s="257"/>
      <c r="F289" s="257"/>
      <c r="G289" s="257"/>
      <c r="H289" s="257"/>
      <c r="I289"/>
      <c r="J289" s="257"/>
      <c r="K289" s="257"/>
      <c r="L289" s="257"/>
    </row>
    <row r="290" spans="2:12" x14ac:dyDescent="0.45">
      <c r="B290" s="257"/>
      <c r="C290" s="264"/>
      <c r="D290" s="257"/>
      <c r="E290" s="257"/>
      <c r="F290" s="257"/>
      <c r="G290" s="257"/>
      <c r="H290" s="257"/>
      <c r="I290"/>
      <c r="J290" s="257"/>
      <c r="K290" s="257"/>
      <c r="L290" s="257"/>
    </row>
    <row r="291" spans="2:12" x14ac:dyDescent="0.45">
      <c r="B291" s="257"/>
      <c r="C291" s="264"/>
      <c r="D291" s="257"/>
      <c r="E291" s="257"/>
      <c r="F291" s="257"/>
      <c r="G291" s="257"/>
      <c r="H291" s="257"/>
      <c r="I291"/>
      <c r="J291" s="257"/>
      <c r="K291" s="257"/>
      <c r="L291" s="257"/>
    </row>
    <row r="292" spans="2:12" x14ac:dyDescent="0.45">
      <c r="B292" s="257"/>
      <c r="C292" s="264"/>
      <c r="D292" s="257"/>
      <c r="E292" s="257"/>
      <c r="F292" s="257"/>
      <c r="G292" s="257"/>
      <c r="H292" s="257"/>
      <c r="I292"/>
      <c r="J292" s="257"/>
      <c r="K292" s="257"/>
      <c r="L292" s="257"/>
    </row>
    <row r="293" spans="2:12" x14ac:dyDescent="0.45">
      <c r="B293" s="257"/>
      <c r="C293" s="264"/>
      <c r="D293" s="257"/>
      <c r="E293" s="257"/>
      <c r="F293" s="257"/>
      <c r="G293" s="257"/>
      <c r="H293" s="257"/>
      <c r="I293"/>
      <c r="J293" s="257"/>
      <c r="K293" s="257"/>
      <c r="L293" s="257"/>
    </row>
    <row r="294" spans="2:12" x14ac:dyDescent="0.45">
      <c r="B294" s="257"/>
      <c r="C294" s="264"/>
      <c r="D294" s="257"/>
      <c r="E294" s="257"/>
      <c r="F294" s="257"/>
      <c r="G294" s="257"/>
      <c r="H294" s="257"/>
      <c r="I294"/>
      <c r="J294" s="257"/>
      <c r="K294" s="257"/>
      <c r="L294" s="257"/>
    </row>
    <row r="295" spans="2:12" x14ac:dyDescent="0.45">
      <c r="B295" s="257"/>
      <c r="C295" s="264"/>
      <c r="D295" s="257"/>
      <c r="E295" s="257"/>
      <c r="F295" s="257"/>
      <c r="G295" s="257"/>
      <c r="H295" s="257"/>
      <c r="I295"/>
      <c r="J295" s="257"/>
      <c r="K295" s="257"/>
      <c r="L295" s="257"/>
    </row>
    <row r="296" spans="2:12" x14ac:dyDescent="0.45">
      <c r="B296" s="257"/>
      <c r="C296" s="264"/>
      <c r="D296" s="257"/>
      <c r="E296" s="257"/>
      <c r="F296" s="257"/>
      <c r="G296" s="257"/>
      <c r="H296" s="257"/>
      <c r="I296"/>
      <c r="J296" s="257"/>
      <c r="K296" s="257"/>
      <c r="L296" s="257"/>
    </row>
    <row r="297" spans="2:12" x14ac:dyDescent="0.45">
      <c r="B297" s="257"/>
      <c r="C297" s="264"/>
      <c r="D297" s="257"/>
      <c r="E297" s="257"/>
      <c r="F297" s="257"/>
      <c r="G297" s="257"/>
      <c r="H297" s="257"/>
      <c r="I297"/>
      <c r="J297" s="257"/>
      <c r="K297" s="257"/>
      <c r="L297" s="257"/>
    </row>
    <row r="298" spans="2:12" x14ac:dyDescent="0.45">
      <c r="B298" s="257"/>
      <c r="C298" s="264"/>
      <c r="D298" s="257"/>
      <c r="E298" s="257"/>
      <c r="F298" s="257"/>
      <c r="G298" s="257"/>
      <c r="H298" s="257"/>
      <c r="I298"/>
      <c r="J298" s="257"/>
      <c r="K298" s="257"/>
      <c r="L298" s="257"/>
    </row>
    <row r="299" spans="2:12" x14ac:dyDescent="0.45">
      <c r="B299" s="257"/>
      <c r="C299" s="264"/>
      <c r="D299" s="257"/>
      <c r="E299" s="257"/>
      <c r="F299" s="257"/>
      <c r="G299" s="257"/>
      <c r="H299" s="257"/>
      <c r="I299"/>
      <c r="J299" s="257"/>
      <c r="K299" s="257"/>
      <c r="L299" s="257"/>
    </row>
    <row r="300" spans="2:12" x14ac:dyDescent="0.45">
      <c r="B300" s="257"/>
      <c r="C300" s="264"/>
      <c r="D300" s="257"/>
      <c r="E300" s="257"/>
      <c r="F300" s="257"/>
      <c r="G300" s="257"/>
      <c r="H300" s="257"/>
      <c r="I300"/>
      <c r="J300" s="257"/>
      <c r="K300" s="257"/>
      <c r="L300" s="257"/>
    </row>
    <row r="301" spans="2:12" x14ac:dyDescent="0.45">
      <c r="B301" s="257"/>
      <c r="C301" s="264"/>
      <c r="D301" s="257"/>
      <c r="E301" s="257"/>
      <c r="F301" s="257"/>
      <c r="G301" s="257"/>
      <c r="H301" s="257"/>
      <c r="I301"/>
      <c r="J301" s="257"/>
      <c r="K301" s="257"/>
      <c r="L301" s="257"/>
    </row>
  </sheetData>
  <mergeCells count="2">
    <mergeCell ref="B5:J5"/>
    <mergeCell ref="C6:I6"/>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250"/>
  <sheetViews>
    <sheetView zoomScaleNormal="100" workbookViewId="0">
      <pane xSplit="1" ySplit="8" topLeftCell="B9" activePane="bottomRight" state="frozen"/>
      <selection pane="topRight" activeCell="B1" sqref="B1"/>
      <selection pane="bottomLeft" activeCell="A9" sqref="A9"/>
      <selection pane="bottomRight" activeCell="C2" sqref="C2"/>
    </sheetView>
  </sheetViews>
  <sheetFormatPr defaultColWidth="9" defaultRowHeight="13.15" x14ac:dyDescent="0.4"/>
  <cols>
    <col min="1" max="1" width="32.19921875" style="86" customWidth="1"/>
    <col min="2" max="2" width="16" style="87" customWidth="1"/>
    <col min="3" max="3" width="8.73046875" style="88" customWidth="1"/>
    <col min="4" max="4" width="10" style="88" customWidth="1"/>
    <col min="5" max="5" width="2.53125" style="88" customWidth="1"/>
    <col min="6" max="9" width="8.73046875" style="88" customWidth="1"/>
    <col min="10" max="10" width="2.53125" style="86" customWidth="1"/>
    <col min="11" max="11" width="8.46484375" style="89" customWidth="1"/>
    <col min="12" max="13" width="8.46484375" style="88" customWidth="1"/>
    <col min="14" max="14" width="1.796875" style="88" customWidth="1"/>
    <col min="15" max="17" width="8.46484375" style="88" customWidth="1"/>
    <col min="18" max="18" width="2" style="88" customWidth="1"/>
    <col min="19" max="19" width="7" style="88" customWidth="1"/>
    <col min="20" max="21" width="9" style="88" customWidth="1"/>
    <col min="22" max="22" width="2.53125" style="88" customWidth="1"/>
    <col min="23" max="23" width="8.46484375" style="88" customWidth="1"/>
    <col min="24" max="24" width="7.19921875" style="88" customWidth="1"/>
    <col min="25" max="25" width="7.73046875" style="88" customWidth="1"/>
    <col min="26" max="27" width="8.46484375" style="88" customWidth="1"/>
    <col min="28" max="31" width="9" style="88" customWidth="1"/>
    <col min="32" max="32" width="12.796875" style="88" customWidth="1"/>
    <col min="33" max="33" width="9" style="88" customWidth="1"/>
    <col min="34" max="34" width="12.19921875" style="88" customWidth="1"/>
    <col min="35" max="256" width="9" style="88"/>
    <col min="257" max="257" width="32.19921875" style="88" customWidth="1"/>
    <col min="258" max="258" width="4.46484375" style="88" customWidth="1"/>
    <col min="259" max="259" width="8.73046875" style="88" customWidth="1"/>
    <col min="260" max="260" width="10" style="88" customWidth="1"/>
    <col min="261" max="261" width="2.53125" style="88" customWidth="1"/>
    <col min="262" max="265" width="8.73046875" style="88" customWidth="1"/>
    <col min="266" max="266" width="2.53125" style="88" customWidth="1"/>
    <col min="267" max="269" width="8.46484375" style="88" customWidth="1"/>
    <col min="270" max="270" width="1.796875" style="88" customWidth="1"/>
    <col min="271" max="273" width="8.46484375" style="88" customWidth="1"/>
    <col min="274" max="274" width="2" style="88" customWidth="1"/>
    <col min="275" max="275" width="7" style="88" customWidth="1"/>
    <col min="276" max="277" width="9" style="88" customWidth="1"/>
    <col min="278" max="278" width="2.53125" style="88" customWidth="1"/>
    <col min="279" max="279" width="8.46484375" style="88" customWidth="1"/>
    <col min="280" max="280" width="7.19921875" style="88" customWidth="1"/>
    <col min="281" max="281" width="7.73046875" style="88" customWidth="1"/>
    <col min="282" max="283" width="8.46484375" style="88" customWidth="1"/>
    <col min="284" max="287" width="9" style="88" customWidth="1"/>
    <col min="288" max="288" width="12.796875" style="88" customWidth="1"/>
    <col min="289" max="289" width="9" style="88" customWidth="1"/>
    <col min="290" max="290" width="12.19921875" style="88" customWidth="1"/>
    <col min="291" max="512" width="9" style="88"/>
    <col min="513" max="513" width="32.19921875" style="88" customWidth="1"/>
    <col min="514" max="514" width="4.46484375" style="88" customWidth="1"/>
    <col min="515" max="515" width="8.73046875" style="88" customWidth="1"/>
    <col min="516" max="516" width="10" style="88" customWidth="1"/>
    <col min="517" max="517" width="2.53125" style="88" customWidth="1"/>
    <col min="518" max="521" width="8.73046875" style="88" customWidth="1"/>
    <col min="522" max="522" width="2.53125" style="88" customWidth="1"/>
    <col min="523" max="525" width="8.46484375" style="88" customWidth="1"/>
    <col min="526" max="526" width="1.796875" style="88" customWidth="1"/>
    <col min="527" max="529" width="8.46484375" style="88" customWidth="1"/>
    <col min="530" max="530" width="2" style="88" customWidth="1"/>
    <col min="531" max="531" width="7" style="88" customWidth="1"/>
    <col min="532" max="533" width="9" style="88" customWidth="1"/>
    <col min="534" max="534" width="2.53125" style="88" customWidth="1"/>
    <col min="535" max="535" width="8.46484375" style="88" customWidth="1"/>
    <col min="536" max="536" width="7.19921875" style="88" customWidth="1"/>
    <col min="537" max="537" width="7.73046875" style="88" customWidth="1"/>
    <col min="538" max="539" width="8.46484375" style="88" customWidth="1"/>
    <col min="540" max="543" width="9" style="88" customWidth="1"/>
    <col min="544" max="544" width="12.796875" style="88" customWidth="1"/>
    <col min="545" max="545" width="9" style="88" customWidth="1"/>
    <col min="546" max="546" width="12.19921875" style="88" customWidth="1"/>
    <col min="547" max="768" width="9" style="88"/>
    <col min="769" max="769" width="32.19921875" style="88" customWidth="1"/>
    <col min="770" max="770" width="4.46484375" style="88" customWidth="1"/>
    <col min="771" max="771" width="8.73046875" style="88" customWidth="1"/>
    <col min="772" max="772" width="10" style="88" customWidth="1"/>
    <col min="773" max="773" width="2.53125" style="88" customWidth="1"/>
    <col min="774" max="777" width="8.73046875" style="88" customWidth="1"/>
    <col min="778" max="778" width="2.53125" style="88" customWidth="1"/>
    <col min="779" max="781" width="8.46484375" style="88" customWidth="1"/>
    <col min="782" max="782" width="1.796875" style="88" customWidth="1"/>
    <col min="783" max="785" width="8.46484375" style="88" customWidth="1"/>
    <col min="786" max="786" width="2" style="88" customWidth="1"/>
    <col min="787" max="787" width="7" style="88" customWidth="1"/>
    <col min="788" max="789" width="9" style="88" customWidth="1"/>
    <col min="790" max="790" width="2.53125" style="88" customWidth="1"/>
    <col min="791" max="791" width="8.46484375" style="88" customWidth="1"/>
    <col min="792" max="792" width="7.19921875" style="88" customWidth="1"/>
    <col min="793" max="793" width="7.73046875" style="88" customWidth="1"/>
    <col min="794" max="795" width="8.46484375" style="88" customWidth="1"/>
    <col min="796" max="799" width="9" style="88" customWidth="1"/>
    <col min="800" max="800" width="12.796875" style="88" customWidth="1"/>
    <col min="801" max="801" width="9" style="88" customWidth="1"/>
    <col min="802" max="802" width="12.19921875" style="88" customWidth="1"/>
    <col min="803" max="1024" width="9" style="88"/>
    <col min="1025" max="1025" width="32.19921875" style="88" customWidth="1"/>
    <col min="1026" max="1026" width="4.46484375" style="88" customWidth="1"/>
    <col min="1027" max="1027" width="8.73046875" style="88" customWidth="1"/>
    <col min="1028" max="1028" width="10" style="88" customWidth="1"/>
    <col min="1029" max="1029" width="2.53125" style="88" customWidth="1"/>
    <col min="1030" max="1033" width="8.73046875" style="88" customWidth="1"/>
    <col min="1034" max="1034" width="2.53125" style="88" customWidth="1"/>
    <col min="1035" max="1037" width="8.46484375" style="88" customWidth="1"/>
    <col min="1038" max="1038" width="1.796875" style="88" customWidth="1"/>
    <col min="1039" max="1041" width="8.46484375" style="88" customWidth="1"/>
    <col min="1042" max="1042" width="2" style="88" customWidth="1"/>
    <col min="1043" max="1043" width="7" style="88" customWidth="1"/>
    <col min="1044" max="1045" width="9" style="88" customWidth="1"/>
    <col min="1046" max="1046" width="2.53125" style="88" customWidth="1"/>
    <col min="1047" max="1047" width="8.46484375" style="88" customWidth="1"/>
    <col min="1048" max="1048" width="7.19921875" style="88" customWidth="1"/>
    <col min="1049" max="1049" width="7.73046875" style="88" customWidth="1"/>
    <col min="1050" max="1051" width="8.46484375" style="88" customWidth="1"/>
    <col min="1052" max="1055" width="9" style="88" customWidth="1"/>
    <col min="1056" max="1056" width="12.796875" style="88" customWidth="1"/>
    <col min="1057" max="1057" width="9" style="88" customWidth="1"/>
    <col min="1058" max="1058" width="12.19921875" style="88" customWidth="1"/>
    <col min="1059" max="1280" width="9" style="88"/>
    <col min="1281" max="1281" width="32.19921875" style="88" customWidth="1"/>
    <col min="1282" max="1282" width="4.46484375" style="88" customWidth="1"/>
    <col min="1283" max="1283" width="8.73046875" style="88" customWidth="1"/>
    <col min="1284" max="1284" width="10" style="88" customWidth="1"/>
    <col min="1285" max="1285" width="2.53125" style="88" customWidth="1"/>
    <col min="1286" max="1289" width="8.73046875" style="88" customWidth="1"/>
    <col min="1290" max="1290" width="2.53125" style="88" customWidth="1"/>
    <col min="1291" max="1293" width="8.46484375" style="88" customWidth="1"/>
    <col min="1294" max="1294" width="1.796875" style="88" customWidth="1"/>
    <col min="1295" max="1297" width="8.46484375" style="88" customWidth="1"/>
    <col min="1298" max="1298" width="2" style="88" customWidth="1"/>
    <col min="1299" max="1299" width="7" style="88" customWidth="1"/>
    <col min="1300" max="1301" width="9" style="88" customWidth="1"/>
    <col min="1302" max="1302" width="2.53125" style="88" customWidth="1"/>
    <col min="1303" max="1303" width="8.46484375" style="88" customWidth="1"/>
    <col min="1304" max="1304" width="7.19921875" style="88" customWidth="1"/>
    <col min="1305" max="1305" width="7.73046875" style="88" customWidth="1"/>
    <col min="1306" max="1307" width="8.46484375" style="88" customWidth="1"/>
    <col min="1308" max="1311" width="9" style="88" customWidth="1"/>
    <col min="1312" max="1312" width="12.796875" style="88" customWidth="1"/>
    <col min="1313" max="1313" width="9" style="88" customWidth="1"/>
    <col min="1314" max="1314" width="12.19921875" style="88" customWidth="1"/>
    <col min="1315" max="1536" width="9" style="88"/>
    <col min="1537" max="1537" width="32.19921875" style="88" customWidth="1"/>
    <col min="1538" max="1538" width="4.46484375" style="88" customWidth="1"/>
    <col min="1539" max="1539" width="8.73046875" style="88" customWidth="1"/>
    <col min="1540" max="1540" width="10" style="88" customWidth="1"/>
    <col min="1541" max="1541" width="2.53125" style="88" customWidth="1"/>
    <col min="1542" max="1545" width="8.73046875" style="88" customWidth="1"/>
    <col min="1546" max="1546" width="2.53125" style="88" customWidth="1"/>
    <col min="1547" max="1549" width="8.46484375" style="88" customWidth="1"/>
    <col min="1550" max="1550" width="1.796875" style="88" customWidth="1"/>
    <col min="1551" max="1553" width="8.46484375" style="88" customWidth="1"/>
    <col min="1554" max="1554" width="2" style="88" customWidth="1"/>
    <col min="1555" max="1555" width="7" style="88" customWidth="1"/>
    <col min="1556" max="1557" width="9" style="88" customWidth="1"/>
    <col min="1558" max="1558" width="2.53125" style="88" customWidth="1"/>
    <col min="1559" max="1559" width="8.46484375" style="88" customWidth="1"/>
    <col min="1560" max="1560" width="7.19921875" style="88" customWidth="1"/>
    <col min="1561" max="1561" width="7.73046875" style="88" customWidth="1"/>
    <col min="1562" max="1563" width="8.46484375" style="88" customWidth="1"/>
    <col min="1564" max="1567" width="9" style="88" customWidth="1"/>
    <col min="1568" max="1568" width="12.796875" style="88" customWidth="1"/>
    <col min="1569" max="1569" width="9" style="88" customWidth="1"/>
    <col min="1570" max="1570" width="12.19921875" style="88" customWidth="1"/>
    <col min="1571" max="1792" width="9" style="88"/>
    <col min="1793" max="1793" width="32.19921875" style="88" customWidth="1"/>
    <col min="1794" max="1794" width="4.46484375" style="88" customWidth="1"/>
    <col min="1795" max="1795" width="8.73046875" style="88" customWidth="1"/>
    <col min="1796" max="1796" width="10" style="88" customWidth="1"/>
    <col min="1797" max="1797" width="2.53125" style="88" customWidth="1"/>
    <col min="1798" max="1801" width="8.73046875" style="88" customWidth="1"/>
    <col min="1802" max="1802" width="2.53125" style="88" customWidth="1"/>
    <col min="1803" max="1805" width="8.46484375" style="88" customWidth="1"/>
    <col min="1806" max="1806" width="1.796875" style="88" customWidth="1"/>
    <col min="1807" max="1809" width="8.46484375" style="88" customWidth="1"/>
    <col min="1810" max="1810" width="2" style="88" customWidth="1"/>
    <col min="1811" max="1811" width="7" style="88" customWidth="1"/>
    <col min="1812" max="1813" width="9" style="88" customWidth="1"/>
    <col min="1814" max="1814" width="2.53125" style="88" customWidth="1"/>
    <col min="1815" max="1815" width="8.46484375" style="88" customWidth="1"/>
    <col min="1816" max="1816" width="7.19921875" style="88" customWidth="1"/>
    <col min="1817" max="1817" width="7.73046875" style="88" customWidth="1"/>
    <col min="1818" max="1819" width="8.46484375" style="88" customWidth="1"/>
    <col min="1820" max="1823" width="9" style="88" customWidth="1"/>
    <col min="1824" max="1824" width="12.796875" style="88" customWidth="1"/>
    <col min="1825" max="1825" width="9" style="88" customWidth="1"/>
    <col min="1826" max="1826" width="12.19921875" style="88" customWidth="1"/>
    <col min="1827" max="2048" width="9" style="88"/>
    <col min="2049" max="2049" width="32.19921875" style="88" customWidth="1"/>
    <col min="2050" max="2050" width="4.46484375" style="88" customWidth="1"/>
    <col min="2051" max="2051" width="8.73046875" style="88" customWidth="1"/>
    <col min="2052" max="2052" width="10" style="88" customWidth="1"/>
    <col min="2053" max="2053" width="2.53125" style="88" customWidth="1"/>
    <col min="2054" max="2057" width="8.73046875" style="88" customWidth="1"/>
    <col min="2058" max="2058" width="2.53125" style="88" customWidth="1"/>
    <col min="2059" max="2061" width="8.46484375" style="88" customWidth="1"/>
    <col min="2062" max="2062" width="1.796875" style="88" customWidth="1"/>
    <col min="2063" max="2065" width="8.46484375" style="88" customWidth="1"/>
    <col min="2066" max="2066" width="2" style="88" customWidth="1"/>
    <col min="2067" max="2067" width="7" style="88" customWidth="1"/>
    <col min="2068" max="2069" width="9" style="88" customWidth="1"/>
    <col min="2070" max="2070" width="2.53125" style="88" customWidth="1"/>
    <col min="2071" max="2071" width="8.46484375" style="88" customWidth="1"/>
    <col min="2072" max="2072" width="7.19921875" style="88" customWidth="1"/>
    <col min="2073" max="2073" width="7.73046875" style="88" customWidth="1"/>
    <col min="2074" max="2075" width="8.46484375" style="88" customWidth="1"/>
    <col min="2076" max="2079" width="9" style="88" customWidth="1"/>
    <col min="2080" max="2080" width="12.796875" style="88" customWidth="1"/>
    <col min="2081" max="2081" width="9" style="88" customWidth="1"/>
    <col min="2082" max="2082" width="12.19921875" style="88" customWidth="1"/>
    <col min="2083" max="2304" width="9" style="88"/>
    <col min="2305" max="2305" width="32.19921875" style="88" customWidth="1"/>
    <col min="2306" max="2306" width="4.46484375" style="88" customWidth="1"/>
    <col min="2307" max="2307" width="8.73046875" style="88" customWidth="1"/>
    <col min="2308" max="2308" width="10" style="88" customWidth="1"/>
    <col min="2309" max="2309" width="2.53125" style="88" customWidth="1"/>
    <col min="2310" max="2313" width="8.73046875" style="88" customWidth="1"/>
    <col min="2314" max="2314" width="2.53125" style="88" customWidth="1"/>
    <col min="2315" max="2317" width="8.46484375" style="88" customWidth="1"/>
    <col min="2318" max="2318" width="1.796875" style="88" customWidth="1"/>
    <col min="2319" max="2321" width="8.46484375" style="88" customWidth="1"/>
    <col min="2322" max="2322" width="2" style="88" customWidth="1"/>
    <col min="2323" max="2323" width="7" style="88" customWidth="1"/>
    <col min="2324" max="2325" width="9" style="88" customWidth="1"/>
    <col min="2326" max="2326" width="2.53125" style="88" customWidth="1"/>
    <col min="2327" max="2327" width="8.46484375" style="88" customWidth="1"/>
    <col min="2328" max="2328" width="7.19921875" style="88" customWidth="1"/>
    <col min="2329" max="2329" width="7.73046875" style="88" customWidth="1"/>
    <col min="2330" max="2331" width="8.46484375" style="88" customWidth="1"/>
    <col min="2332" max="2335" width="9" style="88" customWidth="1"/>
    <col min="2336" max="2336" width="12.796875" style="88" customWidth="1"/>
    <col min="2337" max="2337" width="9" style="88" customWidth="1"/>
    <col min="2338" max="2338" width="12.19921875" style="88" customWidth="1"/>
    <col min="2339" max="2560" width="9" style="88"/>
    <col min="2561" max="2561" width="32.19921875" style="88" customWidth="1"/>
    <col min="2562" max="2562" width="4.46484375" style="88" customWidth="1"/>
    <col min="2563" max="2563" width="8.73046875" style="88" customWidth="1"/>
    <col min="2564" max="2564" width="10" style="88" customWidth="1"/>
    <col min="2565" max="2565" width="2.53125" style="88" customWidth="1"/>
    <col min="2566" max="2569" width="8.73046875" style="88" customWidth="1"/>
    <col min="2570" max="2570" width="2.53125" style="88" customWidth="1"/>
    <col min="2571" max="2573" width="8.46484375" style="88" customWidth="1"/>
    <col min="2574" max="2574" width="1.796875" style="88" customWidth="1"/>
    <col min="2575" max="2577" width="8.46484375" style="88" customWidth="1"/>
    <col min="2578" max="2578" width="2" style="88" customWidth="1"/>
    <col min="2579" max="2579" width="7" style="88" customWidth="1"/>
    <col min="2580" max="2581" width="9" style="88" customWidth="1"/>
    <col min="2582" max="2582" width="2.53125" style="88" customWidth="1"/>
    <col min="2583" max="2583" width="8.46484375" style="88" customWidth="1"/>
    <col min="2584" max="2584" width="7.19921875" style="88" customWidth="1"/>
    <col min="2585" max="2585" width="7.73046875" style="88" customWidth="1"/>
    <col min="2586" max="2587" width="8.46484375" style="88" customWidth="1"/>
    <col min="2588" max="2591" width="9" style="88" customWidth="1"/>
    <col min="2592" max="2592" width="12.796875" style="88" customWidth="1"/>
    <col min="2593" max="2593" width="9" style="88" customWidth="1"/>
    <col min="2594" max="2594" width="12.19921875" style="88" customWidth="1"/>
    <col min="2595" max="2816" width="9" style="88"/>
    <col min="2817" max="2817" width="32.19921875" style="88" customWidth="1"/>
    <col min="2818" max="2818" width="4.46484375" style="88" customWidth="1"/>
    <col min="2819" max="2819" width="8.73046875" style="88" customWidth="1"/>
    <col min="2820" max="2820" width="10" style="88" customWidth="1"/>
    <col min="2821" max="2821" width="2.53125" style="88" customWidth="1"/>
    <col min="2822" max="2825" width="8.73046875" style="88" customWidth="1"/>
    <col min="2826" max="2826" width="2.53125" style="88" customWidth="1"/>
    <col min="2827" max="2829" width="8.46484375" style="88" customWidth="1"/>
    <col min="2830" max="2830" width="1.796875" style="88" customWidth="1"/>
    <col min="2831" max="2833" width="8.46484375" style="88" customWidth="1"/>
    <col min="2834" max="2834" width="2" style="88" customWidth="1"/>
    <col min="2835" max="2835" width="7" style="88" customWidth="1"/>
    <col min="2836" max="2837" width="9" style="88" customWidth="1"/>
    <col min="2838" max="2838" width="2.53125" style="88" customWidth="1"/>
    <col min="2839" max="2839" width="8.46484375" style="88" customWidth="1"/>
    <col min="2840" max="2840" width="7.19921875" style="88" customWidth="1"/>
    <col min="2841" max="2841" width="7.73046875" style="88" customWidth="1"/>
    <col min="2842" max="2843" width="8.46484375" style="88" customWidth="1"/>
    <col min="2844" max="2847" width="9" style="88" customWidth="1"/>
    <col min="2848" max="2848" width="12.796875" style="88" customWidth="1"/>
    <col min="2849" max="2849" width="9" style="88" customWidth="1"/>
    <col min="2850" max="2850" width="12.19921875" style="88" customWidth="1"/>
    <col min="2851" max="3072" width="9" style="88"/>
    <col min="3073" max="3073" width="32.19921875" style="88" customWidth="1"/>
    <col min="3074" max="3074" width="4.46484375" style="88" customWidth="1"/>
    <col min="3075" max="3075" width="8.73046875" style="88" customWidth="1"/>
    <col min="3076" max="3076" width="10" style="88" customWidth="1"/>
    <col min="3077" max="3077" width="2.53125" style="88" customWidth="1"/>
    <col min="3078" max="3081" width="8.73046875" style="88" customWidth="1"/>
    <col min="3082" max="3082" width="2.53125" style="88" customWidth="1"/>
    <col min="3083" max="3085" width="8.46484375" style="88" customWidth="1"/>
    <col min="3086" max="3086" width="1.796875" style="88" customWidth="1"/>
    <col min="3087" max="3089" width="8.46484375" style="88" customWidth="1"/>
    <col min="3090" max="3090" width="2" style="88" customWidth="1"/>
    <col min="3091" max="3091" width="7" style="88" customWidth="1"/>
    <col min="3092" max="3093" width="9" style="88" customWidth="1"/>
    <col min="3094" max="3094" width="2.53125" style="88" customWidth="1"/>
    <col min="3095" max="3095" width="8.46484375" style="88" customWidth="1"/>
    <col min="3096" max="3096" width="7.19921875" style="88" customWidth="1"/>
    <col min="3097" max="3097" width="7.73046875" style="88" customWidth="1"/>
    <col min="3098" max="3099" width="8.46484375" style="88" customWidth="1"/>
    <col min="3100" max="3103" width="9" style="88" customWidth="1"/>
    <col min="3104" max="3104" width="12.796875" style="88" customWidth="1"/>
    <col min="3105" max="3105" width="9" style="88" customWidth="1"/>
    <col min="3106" max="3106" width="12.19921875" style="88" customWidth="1"/>
    <col min="3107" max="3328" width="9" style="88"/>
    <col min="3329" max="3329" width="32.19921875" style="88" customWidth="1"/>
    <col min="3330" max="3330" width="4.46484375" style="88" customWidth="1"/>
    <col min="3331" max="3331" width="8.73046875" style="88" customWidth="1"/>
    <col min="3332" max="3332" width="10" style="88" customWidth="1"/>
    <col min="3333" max="3333" width="2.53125" style="88" customWidth="1"/>
    <col min="3334" max="3337" width="8.73046875" style="88" customWidth="1"/>
    <col min="3338" max="3338" width="2.53125" style="88" customWidth="1"/>
    <col min="3339" max="3341" width="8.46484375" style="88" customWidth="1"/>
    <col min="3342" max="3342" width="1.796875" style="88" customWidth="1"/>
    <col min="3343" max="3345" width="8.46484375" style="88" customWidth="1"/>
    <col min="3346" max="3346" width="2" style="88" customWidth="1"/>
    <col min="3347" max="3347" width="7" style="88" customWidth="1"/>
    <col min="3348" max="3349" width="9" style="88" customWidth="1"/>
    <col min="3350" max="3350" width="2.53125" style="88" customWidth="1"/>
    <col min="3351" max="3351" width="8.46484375" style="88" customWidth="1"/>
    <col min="3352" max="3352" width="7.19921875" style="88" customWidth="1"/>
    <col min="3353" max="3353" width="7.73046875" style="88" customWidth="1"/>
    <col min="3354" max="3355" width="8.46484375" style="88" customWidth="1"/>
    <col min="3356" max="3359" width="9" style="88" customWidth="1"/>
    <col min="3360" max="3360" width="12.796875" style="88" customWidth="1"/>
    <col min="3361" max="3361" width="9" style="88" customWidth="1"/>
    <col min="3362" max="3362" width="12.19921875" style="88" customWidth="1"/>
    <col min="3363" max="3584" width="9" style="88"/>
    <col min="3585" max="3585" width="32.19921875" style="88" customWidth="1"/>
    <col min="3586" max="3586" width="4.46484375" style="88" customWidth="1"/>
    <col min="3587" max="3587" width="8.73046875" style="88" customWidth="1"/>
    <col min="3588" max="3588" width="10" style="88" customWidth="1"/>
    <col min="3589" max="3589" width="2.53125" style="88" customWidth="1"/>
    <col min="3590" max="3593" width="8.73046875" style="88" customWidth="1"/>
    <col min="3594" max="3594" width="2.53125" style="88" customWidth="1"/>
    <col min="3595" max="3597" width="8.46484375" style="88" customWidth="1"/>
    <col min="3598" max="3598" width="1.796875" style="88" customWidth="1"/>
    <col min="3599" max="3601" width="8.46484375" style="88" customWidth="1"/>
    <col min="3602" max="3602" width="2" style="88" customWidth="1"/>
    <col min="3603" max="3603" width="7" style="88" customWidth="1"/>
    <col min="3604" max="3605" width="9" style="88" customWidth="1"/>
    <col min="3606" max="3606" width="2.53125" style="88" customWidth="1"/>
    <col min="3607" max="3607" width="8.46484375" style="88" customWidth="1"/>
    <col min="3608" max="3608" width="7.19921875" style="88" customWidth="1"/>
    <col min="3609" max="3609" width="7.73046875" style="88" customWidth="1"/>
    <col min="3610" max="3611" width="8.46484375" style="88" customWidth="1"/>
    <col min="3612" max="3615" width="9" style="88" customWidth="1"/>
    <col min="3616" max="3616" width="12.796875" style="88" customWidth="1"/>
    <col min="3617" max="3617" width="9" style="88" customWidth="1"/>
    <col min="3618" max="3618" width="12.19921875" style="88" customWidth="1"/>
    <col min="3619" max="3840" width="9" style="88"/>
    <col min="3841" max="3841" width="32.19921875" style="88" customWidth="1"/>
    <col min="3842" max="3842" width="4.46484375" style="88" customWidth="1"/>
    <col min="3843" max="3843" width="8.73046875" style="88" customWidth="1"/>
    <col min="3844" max="3844" width="10" style="88" customWidth="1"/>
    <col min="3845" max="3845" width="2.53125" style="88" customWidth="1"/>
    <col min="3846" max="3849" width="8.73046875" style="88" customWidth="1"/>
    <col min="3850" max="3850" width="2.53125" style="88" customWidth="1"/>
    <col min="3851" max="3853" width="8.46484375" style="88" customWidth="1"/>
    <col min="3854" max="3854" width="1.796875" style="88" customWidth="1"/>
    <col min="3855" max="3857" width="8.46484375" style="88" customWidth="1"/>
    <col min="3858" max="3858" width="2" style="88" customWidth="1"/>
    <col min="3859" max="3859" width="7" style="88" customWidth="1"/>
    <col min="3860" max="3861" width="9" style="88" customWidth="1"/>
    <col min="3862" max="3862" width="2.53125" style="88" customWidth="1"/>
    <col min="3863" max="3863" width="8.46484375" style="88" customWidth="1"/>
    <col min="3864" max="3864" width="7.19921875" style="88" customWidth="1"/>
    <col min="3865" max="3865" width="7.73046875" style="88" customWidth="1"/>
    <col min="3866" max="3867" width="8.46484375" style="88" customWidth="1"/>
    <col min="3868" max="3871" width="9" style="88" customWidth="1"/>
    <col min="3872" max="3872" width="12.796875" style="88" customWidth="1"/>
    <col min="3873" max="3873" width="9" style="88" customWidth="1"/>
    <col min="3874" max="3874" width="12.19921875" style="88" customWidth="1"/>
    <col min="3875" max="4096" width="9" style="88"/>
    <col min="4097" max="4097" width="32.19921875" style="88" customWidth="1"/>
    <col min="4098" max="4098" width="4.46484375" style="88" customWidth="1"/>
    <col min="4099" max="4099" width="8.73046875" style="88" customWidth="1"/>
    <col min="4100" max="4100" width="10" style="88" customWidth="1"/>
    <col min="4101" max="4101" width="2.53125" style="88" customWidth="1"/>
    <col min="4102" max="4105" width="8.73046875" style="88" customWidth="1"/>
    <col min="4106" max="4106" width="2.53125" style="88" customWidth="1"/>
    <col min="4107" max="4109" width="8.46484375" style="88" customWidth="1"/>
    <col min="4110" max="4110" width="1.796875" style="88" customWidth="1"/>
    <col min="4111" max="4113" width="8.46484375" style="88" customWidth="1"/>
    <col min="4114" max="4114" width="2" style="88" customWidth="1"/>
    <col min="4115" max="4115" width="7" style="88" customWidth="1"/>
    <col min="4116" max="4117" width="9" style="88" customWidth="1"/>
    <col min="4118" max="4118" width="2.53125" style="88" customWidth="1"/>
    <col min="4119" max="4119" width="8.46484375" style="88" customWidth="1"/>
    <col min="4120" max="4120" width="7.19921875" style="88" customWidth="1"/>
    <col min="4121" max="4121" width="7.73046875" style="88" customWidth="1"/>
    <col min="4122" max="4123" width="8.46484375" style="88" customWidth="1"/>
    <col min="4124" max="4127" width="9" style="88" customWidth="1"/>
    <col min="4128" max="4128" width="12.796875" style="88" customWidth="1"/>
    <col min="4129" max="4129" width="9" style="88" customWidth="1"/>
    <col min="4130" max="4130" width="12.19921875" style="88" customWidth="1"/>
    <col min="4131" max="4352" width="9" style="88"/>
    <col min="4353" max="4353" width="32.19921875" style="88" customWidth="1"/>
    <col min="4354" max="4354" width="4.46484375" style="88" customWidth="1"/>
    <col min="4355" max="4355" width="8.73046875" style="88" customWidth="1"/>
    <col min="4356" max="4356" width="10" style="88" customWidth="1"/>
    <col min="4357" max="4357" width="2.53125" style="88" customWidth="1"/>
    <col min="4358" max="4361" width="8.73046875" style="88" customWidth="1"/>
    <col min="4362" max="4362" width="2.53125" style="88" customWidth="1"/>
    <col min="4363" max="4365" width="8.46484375" style="88" customWidth="1"/>
    <col min="4366" max="4366" width="1.796875" style="88" customWidth="1"/>
    <col min="4367" max="4369" width="8.46484375" style="88" customWidth="1"/>
    <col min="4370" max="4370" width="2" style="88" customWidth="1"/>
    <col min="4371" max="4371" width="7" style="88" customWidth="1"/>
    <col min="4372" max="4373" width="9" style="88" customWidth="1"/>
    <col min="4374" max="4374" width="2.53125" style="88" customWidth="1"/>
    <col min="4375" max="4375" width="8.46484375" style="88" customWidth="1"/>
    <col min="4376" max="4376" width="7.19921875" style="88" customWidth="1"/>
    <col min="4377" max="4377" width="7.73046875" style="88" customWidth="1"/>
    <col min="4378" max="4379" width="8.46484375" style="88" customWidth="1"/>
    <col min="4380" max="4383" width="9" style="88" customWidth="1"/>
    <col min="4384" max="4384" width="12.796875" style="88" customWidth="1"/>
    <col min="4385" max="4385" width="9" style="88" customWidth="1"/>
    <col min="4386" max="4386" width="12.19921875" style="88" customWidth="1"/>
    <col min="4387" max="4608" width="9" style="88"/>
    <col min="4609" max="4609" width="32.19921875" style="88" customWidth="1"/>
    <col min="4610" max="4610" width="4.46484375" style="88" customWidth="1"/>
    <col min="4611" max="4611" width="8.73046875" style="88" customWidth="1"/>
    <col min="4612" max="4612" width="10" style="88" customWidth="1"/>
    <col min="4613" max="4613" width="2.53125" style="88" customWidth="1"/>
    <col min="4614" max="4617" width="8.73046875" style="88" customWidth="1"/>
    <col min="4618" max="4618" width="2.53125" style="88" customWidth="1"/>
    <col min="4619" max="4621" width="8.46484375" style="88" customWidth="1"/>
    <col min="4622" max="4622" width="1.796875" style="88" customWidth="1"/>
    <col min="4623" max="4625" width="8.46484375" style="88" customWidth="1"/>
    <col min="4626" max="4626" width="2" style="88" customWidth="1"/>
    <col min="4627" max="4627" width="7" style="88" customWidth="1"/>
    <col min="4628" max="4629" width="9" style="88" customWidth="1"/>
    <col min="4630" max="4630" width="2.53125" style="88" customWidth="1"/>
    <col min="4631" max="4631" width="8.46484375" style="88" customWidth="1"/>
    <col min="4632" max="4632" width="7.19921875" style="88" customWidth="1"/>
    <col min="4633" max="4633" width="7.73046875" style="88" customWidth="1"/>
    <col min="4634" max="4635" width="8.46484375" style="88" customWidth="1"/>
    <col min="4636" max="4639" width="9" style="88" customWidth="1"/>
    <col min="4640" max="4640" width="12.796875" style="88" customWidth="1"/>
    <col min="4641" max="4641" width="9" style="88" customWidth="1"/>
    <col min="4642" max="4642" width="12.19921875" style="88" customWidth="1"/>
    <col min="4643" max="4864" width="9" style="88"/>
    <col min="4865" max="4865" width="32.19921875" style="88" customWidth="1"/>
    <col min="4866" max="4866" width="4.46484375" style="88" customWidth="1"/>
    <col min="4867" max="4867" width="8.73046875" style="88" customWidth="1"/>
    <col min="4868" max="4868" width="10" style="88" customWidth="1"/>
    <col min="4869" max="4869" width="2.53125" style="88" customWidth="1"/>
    <col min="4870" max="4873" width="8.73046875" style="88" customWidth="1"/>
    <col min="4874" max="4874" width="2.53125" style="88" customWidth="1"/>
    <col min="4875" max="4877" width="8.46484375" style="88" customWidth="1"/>
    <col min="4878" max="4878" width="1.796875" style="88" customWidth="1"/>
    <col min="4879" max="4881" width="8.46484375" style="88" customWidth="1"/>
    <col min="4882" max="4882" width="2" style="88" customWidth="1"/>
    <col min="4883" max="4883" width="7" style="88" customWidth="1"/>
    <col min="4884" max="4885" width="9" style="88" customWidth="1"/>
    <col min="4886" max="4886" width="2.53125" style="88" customWidth="1"/>
    <col min="4887" max="4887" width="8.46484375" style="88" customWidth="1"/>
    <col min="4888" max="4888" width="7.19921875" style="88" customWidth="1"/>
    <col min="4889" max="4889" width="7.73046875" style="88" customWidth="1"/>
    <col min="4890" max="4891" width="8.46484375" style="88" customWidth="1"/>
    <col min="4892" max="4895" width="9" style="88" customWidth="1"/>
    <col min="4896" max="4896" width="12.796875" style="88" customWidth="1"/>
    <col min="4897" max="4897" width="9" style="88" customWidth="1"/>
    <col min="4898" max="4898" width="12.19921875" style="88" customWidth="1"/>
    <col min="4899" max="5120" width="9" style="88"/>
    <col min="5121" max="5121" width="32.19921875" style="88" customWidth="1"/>
    <col min="5122" max="5122" width="4.46484375" style="88" customWidth="1"/>
    <col min="5123" max="5123" width="8.73046875" style="88" customWidth="1"/>
    <col min="5124" max="5124" width="10" style="88" customWidth="1"/>
    <col min="5125" max="5125" width="2.53125" style="88" customWidth="1"/>
    <col min="5126" max="5129" width="8.73046875" style="88" customWidth="1"/>
    <col min="5130" max="5130" width="2.53125" style="88" customWidth="1"/>
    <col min="5131" max="5133" width="8.46484375" style="88" customWidth="1"/>
    <col min="5134" max="5134" width="1.796875" style="88" customWidth="1"/>
    <col min="5135" max="5137" width="8.46484375" style="88" customWidth="1"/>
    <col min="5138" max="5138" width="2" style="88" customWidth="1"/>
    <col min="5139" max="5139" width="7" style="88" customWidth="1"/>
    <col min="5140" max="5141" width="9" style="88" customWidth="1"/>
    <col min="5142" max="5142" width="2.53125" style="88" customWidth="1"/>
    <col min="5143" max="5143" width="8.46484375" style="88" customWidth="1"/>
    <col min="5144" max="5144" width="7.19921875" style="88" customWidth="1"/>
    <col min="5145" max="5145" width="7.73046875" style="88" customWidth="1"/>
    <col min="5146" max="5147" width="8.46484375" style="88" customWidth="1"/>
    <col min="5148" max="5151" width="9" style="88" customWidth="1"/>
    <col min="5152" max="5152" width="12.796875" style="88" customWidth="1"/>
    <col min="5153" max="5153" width="9" style="88" customWidth="1"/>
    <col min="5154" max="5154" width="12.19921875" style="88" customWidth="1"/>
    <col min="5155" max="5376" width="9" style="88"/>
    <col min="5377" max="5377" width="32.19921875" style="88" customWidth="1"/>
    <col min="5378" max="5378" width="4.46484375" style="88" customWidth="1"/>
    <col min="5379" max="5379" width="8.73046875" style="88" customWidth="1"/>
    <col min="5380" max="5380" width="10" style="88" customWidth="1"/>
    <col min="5381" max="5381" width="2.53125" style="88" customWidth="1"/>
    <col min="5382" max="5385" width="8.73046875" style="88" customWidth="1"/>
    <col min="5386" max="5386" width="2.53125" style="88" customWidth="1"/>
    <col min="5387" max="5389" width="8.46484375" style="88" customWidth="1"/>
    <col min="5390" max="5390" width="1.796875" style="88" customWidth="1"/>
    <col min="5391" max="5393" width="8.46484375" style="88" customWidth="1"/>
    <col min="5394" max="5394" width="2" style="88" customWidth="1"/>
    <col min="5395" max="5395" width="7" style="88" customWidth="1"/>
    <col min="5396" max="5397" width="9" style="88" customWidth="1"/>
    <col min="5398" max="5398" width="2.53125" style="88" customWidth="1"/>
    <col min="5399" max="5399" width="8.46484375" style="88" customWidth="1"/>
    <col min="5400" max="5400" width="7.19921875" style="88" customWidth="1"/>
    <col min="5401" max="5401" width="7.73046875" style="88" customWidth="1"/>
    <col min="5402" max="5403" width="8.46484375" style="88" customWidth="1"/>
    <col min="5404" max="5407" width="9" style="88" customWidth="1"/>
    <col min="5408" max="5408" width="12.796875" style="88" customWidth="1"/>
    <col min="5409" max="5409" width="9" style="88" customWidth="1"/>
    <col min="5410" max="5410" width="12.19921875" style="88" customWidth="1"/>
    <col min="5411" max="5632" width="9" style="88"/>
    <col min="5633" max="5633" width="32.19921875" style="88" customWidth="1"/>
    <col min="5634" max="5634" width="4.46484375" style="88" customWidth="1"/>
    <col min="5635" max="5635" width="8.73046875" style="88" customWidth="1"/>
    <col min="5636" max="5636" width="10" style="88" customWidth="1"/>
    <col min="5637" max="5637" width="2.53125" style="88" customWidth="1"/>
    <col min="5638" max="5641" width="8.73046875" style="88" customWidth="1"/>
    <col min="5642" max="5642" width="2.53125" style="88" customWidth="1"/>
    <col min="5643" max="5645" width="8.46484375" style="88" customWidth="1"/>
    <col min="5646" max="5646" width="1.796875" style="88" customWidth="1"/>
    <col min="5647" max="5649" width="8.46484375" style="88" customWidth="1"/>
    <col min="5650" max="5650" width="2" style="88" customWidth="1"/>
    <col min="5651" max="5651" width="7" style="88" customWidth="1"/>
    <col min="5652" max="5653" width="9" style="88" customWidth="1"/>
    <col min="5654" max="5654" width="2.53125" style="88" customWidth="1"/>
    <col min="5655" max="5655" width="8.46484375" style="88" customWidth="1"/>
    <col min="5656" max="5656" width="7.19921875" style="88" customWidth="1"/>
    <col min="5657" max="5657" width="7.73046875" style="88" customWidth="1"/>
    <col min="5658" max="5659" width="8.46484375" style="88" customWidth="1"/>
    <col min="5660" max="5663" width="9" style="88" customWidth="1"/>
    <col min="5664" max="5664" width="12.796875" style="88" customWidth="1"/>
    <col min="5665" max="5665" width="9" style="88" customWidth="1"/>
    <col min="5666" max="5666" width="12.19921875" style="88" customWidth="1"/>
    <col min="5667" max="5888" width="9" style="88"/>
    <col min="5889" max="5889" width="32.19921875" style="88" customWidth="1"/>
    <col min="5890" max="5890" width="4.46484375" style="88" customWidth="1"/>
    <col min="5891" max="5891" width="8.73046875" style="88" customWidth="1"/>
    <col min="5892" max="5892" width="10" style="88" customWidth="1"/>
    <col min="5893" max="5893" width="2.53125" style="88" customWidth="1"/>
    <col min="5894" max="5897" width="8.73046875" style="88" customWidth="1"/>
    <col min="5898" max="5898" width="2.53125" style="88" customWidth="1"/>
    <col min="5899" max="5901" width="8.46484375" style="88" customWidth="1"/>
    <col min="5902" max="5902" width="1.796875" style="88" customWidth="1"/>
    <col min="5903" max="5905" width="8.46484375" style="88" customWidth="1"/>
    <col min="5906" max="5906" width="2" style="88" customWidth="1"/>
    <col min="5907" max="5907" width="7" style="88" customWidth="1"/>
    <col min="5908" max="5909" width="9" style="88" customWidth="1"/>
    <col min="5910" max="5910" width="2.53125" style="88" customWidth="1"/>
    <col min="5911" max="5911" width="8.46484375" style="88" customWidth="1"/>
    <col min="5912" max="5912" width="7.19921875" style="88" customWidth="1"/>
    <col min="5913" max="5913" width="7.73046875" style="88" customWidth="1"/>
    <col min="5914" max="5915" width="8.46484375" style="88" customWidth="1"/>
    <col min="5916" max="5919" width="9" style="88" customWidth="1"/>
    <col min="5920" max="5920" width="12.796875" style="88" customWidth="1"/>
    <col min="5921" max="5921" width="9" style="88" customWidth="1"/>
    <col min="5922" max="5922" width="12.19921875" style="88" customWidth="1"/>
    <col min="5923" max="6144" width="9" style="88"/>
    <col min="6145" max="6145" width="32.19921875" style="88" customWidth="1"/>
    <col min="6146" max="6146" width="4.46484375" style="88" customWidth="1"/>
    <col min="6147" max="6147" width="8.73046875" style="88" customWidth="1"/>
    <col min="6148" max="6148" width="10" style="88" customWidth="1"/>
    <col min="6149" max="6149" width="2.53125" style="88" customWidth="1"/>
    <col min="6150" max="6153" width="8.73046875" style="88" customWidth="1"/>
    <col min="6154" max="6154" width="2.53125" style="88" customWidth="1"/>
    <col min="6155" max="6157" width="8.46484375" style="88" customWidth="1"/>
    <col min="6158" max="6158" width="1.796875" style="88" customWidth="1"/>
    <col min="6159" max="6161" width="8.46484375" style="88" customWidth="1"/>
    <col min="6162" max="6162" width="2" style="88" customWidth="1"/>
    <col min="6163" max="6163" width="7" style="88" customWidth="1"/>
    <col min="6164" max="6165" width="9" style="88" customWidth="1"/>
    <col min="6166" max="6166" width="2.53125" style="88" customWidth="1"/>
    <col min="6167" max="6167" width="8.46484375" style="88" customWidth="1"/>
    <col min="6168" max="6168" width="7.19921875" style="88" customWidth="1"/>
    <col min="6169" max="6169" width="7.73046875" style="88" customWidth="1"/>
    <col min="6170" max="6171" width="8.46484375" style="88" customWidth="1"/>
    <col min="6172" max="6175" width="9" style="88" customWidth="1"/>
    <col min="6176" max="6176" width="12.796875" style="88" customWidth="1"/>
    <col min="6177" max="6177" width="9" style="88" customWidth="1"/>
    <col min="6178" max="6178" width="12.19921875" style="88" customWidth="1"/>
    <col min="6179" max="6400" width="9" style="88"/>
    <col min="6401" max="6401" width="32.19921875" style="88" customWidth="1"/>
    <col min="6402" max="6402" width="4.46484375" style="88" customWidth="1"/>
    <col min="6403" max="6403" width="8.73046875" style="88" customWidth="1"/>
    <col min="6404" max="6404" width="10" style="88" customWidth="1"/>
    <col min="6405" max="6405" width="2.53125" style="88" customWidth="1"/>
    <col min="6406" max="6409" width="8.73046875" style="88" customWidth="1"/>
    <col min="6410" max="6410" width="2.53125" style="88" customWidth="1"/>
    <col min="6411" max="6413" width="8.46484375" style="88" customWidth="1"/>
    <col min="6414" max="6414" width="1.796875" style="88" customWidth="1"/>
    <col min="6415" max="6417" width="8.46484375" style="88" customWidth="1"/>
    <col min="6418" max="6418" width="2" style="88" customWidth="1"/>
    <col min="6419" max="6419" width="7" style="88" customWidth="1"/>
    <col min="6420" max="6421" width="9" style="88" customWidth="1"/>
    <col min="6422" max="6422" width="2.53125" style="88" customWidth="1"/>
    <col min="6423" max="6423" width="8.46484375" style="88" customWidth="1"/>
    <col min="6424" max="6424" width="7.19921875" style="88" customWidth="1"/>
    <col min="6425" max="6425" width="7.73046875" style="88" customWidth="1"/>
    <col min="6426" max="6427" width="8.46484375" style="88" customWidth="1"/>
    <col min="6428" max="6431" width="9" style="88" customWidth="1"/>
    <col min="6432" max="6432" width="12.796875" style="88" customWidth="1"/>
    <col min="6433" max="6433" width="9" style="88" customWidth="1"/>
    <col min="6434" max="6434" width="12.19921875" style="88" customWidth="1"/>
    <col min="6435" max="6656" width="9" style="88"/>
    <col min="6657" max="6657" width="32.19921875" style="88" customWidth="1"/>
    <col min="6658" max="6658" width="4.46484375" style="88" customWidth="1"/>
    <col min="6659" max="6659" width="8.73046875" style="88" customWidth="1"/>
    <col min="6660" max="6660" width="10" style="88" customWidth="1"/>
    <col min="6661" max="6661" width="2.53125" style="88" customWidth="1"/>
    <col min="6662" max="6665" width="8.73046875" style="88" customWidth="1"/>
    <col min="6666" max="6666" width="2.53125" style="88" customWidth="1"/>
    <col min="6667" max="6669" width="8.46484375" style="88" customWidth="1"/>
    <col min="6670" max="6670" width="1.796875" style="88" customWidth="1"/>
    <col min="6671" max="6673" width="8.46484375" style="88" customWidth="1"/>
    <col min="6674" max="6674" width="2" style="88" customWidth="1"/>
    <col min="6675" max="6675" width="7" style="88" customWidth="1"/>
    <col min="6676" max="6677" width="9" style="88" customWidth="1"/>
    <col min="6678" max="6678" width="2.53125" style="88" customWidth="1"/>
    <col min="6679" max="6679" width="8.46484375" style="88" customWidth="1"/>
    <col min="6680" max="6680" width="7.19921875" style="88" customWidth="1"/>
    <col min="6681" max="6681" width="7.73046875" style="88" customWidth="1"/>
    <col min="6682" max="6683" width="8.46484375" style="88" customWidth="1"/>
    <col min="6684" max="6687" width="9" style="88" customWidth="1"/>
    <col min="6688" max="6688" width="12.796875" style="88" customWidth="1"/>
    <col min="6689" max="6689" width="9" style="88" customWidth="1"/>
    <col min="6690" max="6690" width="12.19921875" style="88" customWidth="1"/>
    <col min="6691" max="6912" width="9" style="88"/>
    <col min="6913" max="6913" width="32.19921875" style="88" customWidth="1"/>
    <col min="6914" max="6914" width="4.46484375" style="88" customWidth="1"/>
    <col min="6915" max="6915" width="8.73046875" style="88" customWidth="1"/>
    <col min="6916" max="6916" width="10" style="88" customWidth="1"/>
    <col min="6917" max="6917" width="2.53125" style="88" customWidth="1"/>
    <col min="6918" max="6921" width="8.73046875" style="88" customWidth="1"/>
    <col min="6922" max="6922" width="2.53125" style="88" customWidth="1"/>
    <col min="6923" max="6925" width="8.46484375" style="88" customWidth="1"/>
    <col min="6926" max="6926" width="1.796875" style="88" customWidth="1"/>
    <col min="6927" max="6929" width="8.46484375" style="88" customWidth="1"/>
    <col min="6930" max="6930" width="2" style="88" customWidth="1"/>
    <col min="6931" max="6931" width="7" style="88" customWidth="1"/>
    <col min="6932" max="6933" width="9" style="88" customWidth="1"/>
    <col min="6934" max="6934" width="2.53125" style="88" customWidth="1"/>
    <col min="6935" max="6935" width="8.46484375" style="88" customWidth="1"/>
    <col min="6936" max="6936" width="7.19921875" style="88" customWidth="1"/>
    <col min="6937" max="6937" width="7.73046875" style="88" customWidth="1"/>
    <col min="6938" max="6939" width="8.46484375" style="88" customWidth="1"/>
    <col min="6940" max="6943" width="9" style="88" customWidth="1"/>
    <col min="6944" max="6944" width="12.796875" style="88" customWidth="1"/>
    <col min="6945" max="6945" width="9" style="88" customWidth="1"/>
    <col min="6946" max="6946" width="12.19921875" style="88" customWidth="1"/>
    <col min="6947" max="7168" width="9" style="88"/>
    <col min="7169" max="7169" width="32.19921875" style="88" customWidth="1"/>
    <col min="7170" max="7170" width="4.46484375" style="88" customWidth="1"/>
    <col min="7171" max="7171" width="8.73046875" style="88" customWidth="1"/>
    <col min="7172" max="7172" width="10" style="88" customWidth="1"/>
    <col min="7173" max="7173" width="2.53125" style="88" customWidth="1"/>
    <col min="7174" max="7177" width="8.73046875" style="88" customWidth="1"/>
    <col min="7178" max="7178" width="2.53125" style="88" customWidth="1"/>
    <col min="7179" max="7181" width="8.46484375" style="88" customWidth="1"/>
    <col min="7182" max="7182" width="1.796875" style="88" customWidth="1"/>
    <col min="7183" max="7185" width="8.46484375" style="88" customWidth="1"/>
    <col min="7186" max="7186" width="2" style="88" customWidth="1"/>
    <col min="7187" max="7187" width="7" style="88" customWidth="1"/>
    <col min="7188" max="7189" width="9" style="88" customWidth="1"/>
    <col min="7190" max="7190" width="2.53125" style="88" customWidth="1"/>
    <col min="7191" max="7191" width="8.46484375" style="88" customWidth="1"/>
    <col min="7192" max="7192" width="7.19921875" style="88" customWidth="1"/>
    <col min="7193" max="7193" width="7.73046875" style="88" customWidth="1"/>
    <col min="7194" max="7195" width="8.46484375" style="88" customWidth="1"/>
    <col min="7196" max="7199" width="9" style="88" customWidth="1"/>
    <col min="7200" max="7200" width="12.796875" style="88" customWidth="1"/>
    <col min="7201" max="7201" width="9" style="88" customWidth="1"/>
    <col min="7202" max="7202" width="12.19921875" style="88" customWidth="1"/>
    <col min="7203" max="7424" width="9" style="88"/>
    <col min="7425" max="7425" width="32.19921875" style="88" customWidth="1"/>
    <col min="7426" max="7426" width="4.46484375" style="88" customWidth="1"/>
    <col min="7427" max="7427" width="8.73046875" style="88" customWidth="1"/>
    <col min="7428" max="7428" width="10" style="88" customWidth="1"/>
    <col min="7429" max="7429" width="2.53125" style="88" customWidth="1"/>
    <col min="7430" max="7433" width="8.73046875" style="88" customWidth="1"/>
    <col min="7434" max="7434" width="2.53125" style="88" customWidth="1"/>
    <col min="7435" max="7437" width="8.46484375" style="88" customWidth="1"/>
    <col min="7438" max="7438" width="1.796875" style="88" customWidth="1"/>
    <col min="7439" max="7441" width="8.46484375" style="88" customWidth="1"/>
    <col min="7442" max="7442" width="2" style="88" customWidth="1"/>
    <col min="7443" max="7443" width="7" style="88" customWidth="1"/>
    <col min="7444" max="7445" width="9" style="88" customWidth="1"/>
    <col min="7446" max="7446" width="2.53125" style="88" customWidth="1"/>
    <col min="7447" max="7447" width="8.46484375" style="88" customWidth="1"/>
    <col min="7448" max="7448" width="7.19921875" style="88" customWidth="1"/>
    <col min="7449" max="7449" width="7.73046875" style="88" customWidth="1"/>
    <col min="7450" max="7451" width="8.46484375" style="88" customWidth="1"/>
    <col min="7452" max="7455" width="9" style="88" customWidth="1"/>
    <col min="7456" max="7456" width="12.796875" style="88" customWidth="1"/>
    <col min="7457" max="7457" width="9" style="88" customWidth="1"/>
    <col min="7458" max="7458" width="12.19921875" style="88" customWidth="1"/>
    <col min="7459" max="7680" width="9" style="88"/>
    <col min="7681" max="7681" width="32.19921875" style="88" customWidth="1"/>
    <col min="7682" max="7682" width="4.46484375" style="88" customWidth="1"/>
    <col min="7683" max="7683" width="8.73046875" style="88" customWidth="1"/>
    <col min="7684" max="7684" width="10" style="88" customWidth="1"/>
    <col min="7685" max="7685" width="2.53125" style="88" customWidth="1"/>
    <col min="7686" max="7689" width="8.73046875" style="88" customWidth="1"/>
    <col min="7690" max="7690" width="2.53125" style="88" customWidth="1"/>
    <col min="7691" max="7693" width="8.46484375" style="88" customWidth="1"/>
    <col min="7694" max="7694" width="1.796875" style="88" customWidth="1"/>
    <col min="7695" max="7697" width="8.46484375" style="88" customWidth="1"/>
    <col min="7698" max="7698" width="2" style="88" customWidth="1"/>
    <col min="7699" max="7699" width="7" style="88" customWidth="1"/>
    <col min="7700" max="7701" width="9" style="88" customWidth="1"/>
    <col min="7702" max="7702" width="2.53125" style="88" customWidth="1"/>
    <col min="7703" max="7703" width="8.46484375" style="88" customWidth="1"/>
    <col min="7704" max="7704" width="7.19921875" style="88" customWidth="1"/>
    <col min="7705" max="7705" width="7.73046875" style="88" customWidth="1"/>
    <col min="7706" max="7707" width="8.46484375" style="88" customWidth="1"/>
    <col min="7708" max="7711" width="9" style="88" customWidth="1"/>
    <col min="7712" max="7712" width="12.796875" style="88" customWidth="1"/>
    <col min="7713" max="7713" width="9" style="88" customWidth="1"/>
    <col min="7714" max="7714" width="12.19921875" style="88" customWidth="1"/>
    <col min="7715" max="7936" width="9" style="88"/>
    <col min="7937" max="7937" width="32.19921875" style="88" customWidth="1"/>
    <col min="7938" max="7938" width="4.46484375" style="88" customWidth="1"/>
    <col min="7939" max="7939" width="8.73046875" style="88" customWidth="1"/>
    <col min="7940" max="7940" width="10" style="88" customWidth="1"/>
    <col min="7941" max="7941" width="2.53125" style="88" customWidth="1"/>
    <col min="7942" max="7945" width="8.73046875" style="88" customWidth="1"/>
    <col min="7946" max="7946" width="2.53125" style="88" customWidth="1"/>
    <col min="7947" max="7949" width="8.46484375" style="88" customWidth="1"/>
    <col min="7950" max="7950" width="1.796875" style="88" customWidth="1"/>
    <col min="7951" max="7953" width="8.46484375" style="88" customWidth="1"/>
    <col min="7954" max="7954" width="2" style="88" customWidth="1"/>
    <col min="7955" max="7955" width="7" style="88" customWidth="1"/>
    <col min="7956" max="7957" width="9" style="88" customWidth="1"/>
    <col min="7958" max="7958" width="2.53125" style="88" customWidth="1"/>
    <col min="7959" max="7959" width="8.46484375" style="88" customWidth="1"/>
    <col min="7960" max="7960" width="7.19921875" style="88" customWidth="1"/>
    <col min="7961" max="7961" width="7.73046875" style="88" customWidth="1"/>
    <col min="7962" max="7963" width="8.46484375" style="88" customWidth="1"/>
    <col min="7964" max="7967" width="9" style="88" customWidth="1"/>
    <col min="7968" max="7968" width="12.796875" style="88" customWidth="1"/>
    <col min="7969" max="7969" width="9" style="88" customWidth="1"/>
    <col min="7970" max="7970" width="12.19921875" style="88" customWidth="1"/>
    <col min="7971" max="8192" width="9" style="88"/>
    <col min="8193" max="8193" width="32.19921875" style="88" customWidth="1"/>
    <col min="8194" max="8194" width="4.46484375" style="88" customWidth="1"/>
    <col min="8195" max="8195" width="8.73046875" style="88" customWidth="1"/>
    <col min="8196" max="8196" width="10" style="88" customWidth="1"/>
    <col min="8197" max="8197" width="2.53125" style="88" customWidth="1"/>
    <col min="8198" max="8201" width="8.73046875" style="88" customWidth="1"/>
    <col min="8202" max="8202" width="2.53125" style="88" customWidth="1"/>
    <col min="8203" max="8205" width="8.46484375" style="88" customWidth="1"/>
    <col min="8206" max="8206" width="1.796875" style="88" customWidth="1"/>
    <col min="8207" max="8209" width="8.46484375" style="88" customWidth="1"/>
    <col min="8210" max="8210" width="2" style="88" customWidth="1"/>
    <col min="8211" max="8211" width="7" style="88" customWidth="1"/>
    <col min="8212" max="8213" width="9" style="88" customWidth="1"/>
    <col min="8214" max="8214" width="2.53125" style="88" customWidth="1"/>
    <col min="8215" max="8215" width="8.46484375" style="88" customWidth="1"/>
    <col min="8216" max="8216" width="7.19921875" style="88" customWidth="1"/>
    <col min="8217" max="8217" width="7.73046875" style="88" customWidth="1"/>
    <col min="8218" max="8219" width="8.46484375" style="88" customWidth="1"/>
    <col min="8220" max="8223" width="9" style="88" customWidth="1"/>
    <col min="8224" max="8224" width="12.796875" style="88" customWidth="1"/>
    <col min="8225" max="8225" width="9" style="88" customWidth="1"/>
    <col min="8226" max="8226" width="12.19921875" style="88" customWidth="1"/>
    <col min="8227" max="8448" width="9" style="88"/>
    <col min="8449" max="8449" width="32.19921875" style="88" customWidth="1"/>
    <col min="8450" max="8450" width="4.46484375" style="88" customWidth="1"/>
    <col min="8451" max="8451" width="8.73046875" style="88" customWidth="1"/>
    <col min="8452" max="8452" width="10" style="88" customWidth="1"/>
    <col min="8453" max="8453" width="2.53125" style="88" customWidth="1"/>
    <col min="8454" max="8457" width="8.73046875" style="88" customWidth="1"/>
    <col min="8458" max="8458" width="2.53125" style="88" customWidth="1"/>
    <col min="8459" max="8461" width="8.46484375" style="88" customWidth="1"/>
    <col min="8462" max="8462" width="1.796875" style="88" customWidth="1"/>
    <col min="8463" max="8465" width="8.46484375" style="88" customWidth="1"/>
    <col min="8466" max="8466" width="2" style="88" customWidth="1"/>
    <col min="8467" max="8467" width="7" style="88" customWidth="1"/>
    <col min="8468" max="8469" width="9" style="88" customWidth="1"/>
    <col min="8470" max="8470" width="2.53125" style="88" customWidth="1"/>
    <col min="8471" max="8471" width="8.46484375" style="88" customWidth="1"/>
    <col min="8472" max="8472" width="7.19921875" style="88" customWidth="1"/>
    <col min="8473" max="8473" width="7.73046875" style="88" customWidth="1"/>
    <col min="8474" max="8475" width="8.46484375" style="88" customWidth="1"/>
    <col min="8476" max="8479" width="9" style="88" customWidth="1"/>
    <col min="8480" max="8480" width="12.796875" style="88" customWidth="1"/>
    <col min="8481" max="8481" width="9" style="88" customWidth="1"/>
    <col min="8482" max="8482" width="12.19921875" style="88" customWidth="1"/>
    <col min="8483" max="8704" width="9" style="88"/>
    <col min="8705" max="8705" width="32.19921875" style="88" customWidth="1"/>
    <col min="8706" max="8706" width="4.46484375" style="88" customWidth="1"/>
    <col min="8707" max="8707" width="8.73046875" style="88" customWidth="1"/>
    <col min="8708" max="8708" width="10" style="88" customWidth="1"/>
    <col min="8709" max="8709" width="2.53125" style="88" customWidth="1"/>
    <col min="8710" max="8713" width="8.73046875" style="88" customWidth="1"/>
    <col min="8714" max="8714" width="2.53125" style="88" customWidth="1"/>
    <col min="8715" max="8717" width="8.46484375" style="88" customWidth="1"/>
    <col min="8718" max="8718" width="1.796875" style="88" customWidth="1"/>
    <col min="8719" max="8721" width="8.46484375" style="88" customWidth="1"/>
    <col min="8722" max="8722" width="2" style="88" customWidth="1"/>
    <col min="8723" max="8723" width="7" style="88" customWidth="1"/>
    <col min="8724" max="8725" width="9" style="88" customWidth="1"/>
    <col min="8726" max="8726" width="2.53125" style="88" customWidth="1"/>
    <col min="8727" max="8727" width="8.46484375" style="88" customWidth="1"/>
    <col min="8728" max="8728" width="7.19921875" style="88" customWidth="1"/>
    <col min="8729" max="8729" width="7.73046875" style="88" customWidth="1"/>
    <col min="8730" max="8731" width="8.46484375" style="88" customWidth="1"/>
    <col min="8732" max="8735" width="9" style="88" customWidth="1"/>
    <col min="8736" max="8736" width="12.796875" style="88" customWidth="1"/>
    <col min="8737" max="8737" width="9" style="88" customWidth="1"/>
    <col min="8738" max="8738" width="12.19921875" style="88" customWidth="1"/>
    <col min="8739" max="8960" width="9" style="88"/>
    <col min="8961" max="8961" width="32.19921875" style="88" customWidth="1"/>
    <col min="8962" max="8962" width="4.46484375" style="88" customWidth="1"/>
    <col min="8963" max="8963" width="8.73046875" style="88" customWidth="1"/>
    <col min="8964" max="8964" width="10" style="88" customWidth="1"/>
    <col min="8965" max="8965" width="2.53125" style="88" customWidth="1"/>
    <col min="8966" max="8969" width="8.73046875" style="88" customWidth="1"/>
    <col min="8970" max="8970" width="2.53125" style="88" customWidth="1"/>
    <col min="8971" max="8973" width="8.46484375" style="88" customWidth="1"/>
    <col min="8974" max="8974" width="1.796875" style="88" customWidth="1"/>
    <col min="8975" max="8977" width="8.46484375" style="88" customWidth="1"/>
    <col min="8978" max="8978" width="2" style="88" customWidth="1"/>
    <col min="8979" max="8979" width="7" style="88" customWidth="1"/>
    <col min="8980" max="8981" width="9" style="88" customWidth="1"/>
    <col min="8982" max="8982" width="2.53125" style="88" customWidth="1"/>
    <col min="8983" max="8983" width="8.46484375" style="88" customWidth="1"/>
    <col min="8984" max="8984" width="7.19921875" style="88" customWidth="1"/>
    <col min="8985" max="8985" width="7.73046875" style="88" customWidth="1"/>
    <col min="8986" max="8987" width="8.46484375" style="88" customWidth="1"/>
    <col min="8988" max="8991" width="9" style="88" customWidth="1"/>
    <col min="8992" max="8992" width="12.796875" style="88" customWidth="1"/>
    <col min="8993" max="8993" width="9" style="88" customWidth="1"/>
    <col min="8994" max="8994" width="12.19921875" style="88" customWidth="1"/>
    <col min="8995" max="9216" width="9" style="88"/>
    <col min="9217" max="9217" width="32.19921875" style="88" customWidth="1"/>
    <col min="9218" max="9218" width="4.46484375" style="88" customWidth="1"/>
    <col min="9219" max="9219" width="8.73046875" style="88" customWidth="1"/>
    <col min="9220" max="9220" width="10" style="88" customWidth="1"/>
    <col min="9221" max="9221" width="2.53125" style="88" customWidth="1"/>
    <col min="9222" max="9225" width="8.73046875" style="88" customWidth="1"/>
    <col min="9226" max="9226" width="2.53125" style="88" customWidth="1"/>
    <col min="9227" max="9229" width="8.46484375" style="88" customWidth="1"/>
    <col min="9230" max="9230" width="1.796875" style="88" customWidth="1"/>
    <col min="9231" max="9233" width="8.46484375" style="88" customWidth="1"/>
    <col min="9234" max="9234" width="2" style="88" customWidth="1"/>
    <col min="9235" max="9235" width="7" style="88" customWidth="1"/>
    <col min="9236" max="9237" width="9" style="88" customWidth="1"/>
    <col min="9238" max="9238" width="2.53125" style="88" customWidth="1"/>
    <col min="9239" max="9239" width="8.46484375" style="88" customWidth="1"/>
    <col min="9240" max="9240" width="7.19921875" style="88" customWidth="1"/>
    <col min="9241" max="9241" width="7.73046875" style="88" customWidth="1"/>
    <col min="9242" max="9243" width="8.46484375" style="88" customWidth="1"/>
    <col min="9244" max="9247" width="9" style="88" customWidth="1"/>
    <col min="9248" max="9248" width="12.796875" style="88" customWidth="1"/>
    <col min="9249" max="9249" width="9" style="88" customWidth="1"/>
    <col min="9250" max="9250" width="12.19921875" style="88" customWidth="1"/>
    <col min="9251" max="9472" width="9" style="88"/>
    <col min="9473" max="9473" width="32.19921875" style="88" customWidth="1"/>
    <col min="9474" max="9474" width="4.46484375" style="88" customWidth="1"/>
    <col min="9475" max="9475" width="8.73046875" style="88" customWidth="1"/>
    <col min="9476" max="9476" width="10" style="88" customWidth="1"/>
    <col min="9477" max="9477" width="2.53125" style="88" customWidth="1"/>
    <col min="9478" max="9481" width="8.73046875" style="88" customWidth="1"/>
    <col min="9482" max="9482" width="2.53125" style="88" customWidth="1"/>
    <col min="9483" max="9485" width="8.46484375" style="88" customWidth="1"/>
    <col min="9486" max="9486" width="1.796875" style="88" customWidth="1"/>
    <col min="9487" max="9489" width="8.46484375" style="88" customWidth="1"/>
    <col min="9490" max="9490" width="2" style="88" customWidth="1"/>
    <col min="9491" max="9491" width="7" style="88" customWidth="1"/>
    <col min="9492" max="9493" width="9" style="88" customWidth="1"/>
    <col min="9494" max="9494" width="2.53125" style="88" customWidth="1"/>
    <col min="9495" max="9495" width="8.46484375" style="88" customWidth="1"/>
    <col min="9496" max="9496" width="7.19921875" style="88" customWidth="1"/>
    <col min="9497" max="9497" width="7.73046875" style="88" customWidth="1"/>
    <col min="9498" max="9499" width="8.46484375" style="88" customWidth="1"/>
    <col min="9500" max="9503" width="9" style="88" customWidth="1"/>
    <col min="9504" max="9504" width="12.796875" style="88" customWidth="1"/>
    <col min="9505" max="9505" width="9" style="88" customWidth="1"/>
    <col min="9506" max="9506" width="12.19921875" style="88" customWidth="1"/>
    <col min="9507" max="9728" width="9" style="88"/>
    <col min="9729" max="9729" width="32.19921875" style="88" customWidth="1"/>
    <col min="9730" max="9730" width="4.46484375" style="88" customWidth="1"/>
    <col min="9731" max="9731" width="8.73046875" style="88" customWidth="1"/>
    <col min="9732" max="9732" width="10" style="88" customWidth="1"/>
    <col min="9733" max="9733" width="2.53125" style="88" customWidth="1"/>
    <col min="9734" max="9737" width="8.73046875" style="88" customWidth="1"/>
    <col min="9738" max="9738" width="2.53125" style="88" customWidth="1"/>
    <col min="9739" max="9741" width="8.46484375" style="88" customWidth="1"/>
    <col min="9742" max="9742" width="1.796875" style="88" customWidth="1"/>
    <col min="9743" max="9745" width="8.46484375" style="88" customWidth="1"/>
    <col min="9746" max="9746" width="2" style="88" customWidth="1"/>
    <col min="9747" max="9747" width="7" style="88" customWidth="1"/>
    <col min="9748" max="9749" width="9" style="88" customWidth="1"/>
    <col min="9750" max="9750" width="2.53125" style="88" customWidth="1"/>
    <col min="9751" max="9751" width="8.46484375" style="88" customWidth="1"/>
    <col min="9752" max="9752" width="7.19921875" style="88" customWidth="1"/>
    <col min="9753" max="9753" width="7.73046875" style="88" customWidth="1"/>
    <col min="9754" max="9755" width="8.46484375" style="88" customWidth="1"/>
    <col min="9756" max="9759" width="9" style="88" customWidth="1"/>
    <col min="9760" max="9760" width="12.796875" style="88" customWidth="1"/>
    <col min="9761" max="9761" width="9" style="88" customWidth="1"/>
    <col min="9762" max="9762" width="12.19921875" style="88" customWidth="1"/>
    <col min="9763" max="9984" width="9" style="88"/>
    <col min="9985" max="9985" width="32.19921875" style="88" customWidth="1"/>
    <col min="9986" max="9986" width="4.46484375" style="88" customWidth="1"/>
    <col min="9987" max="9987" width="8.73046875" style="88" customWidth="1"/>
    <col min="9988" max="9988" width="10" style="88" customWidth="1"/>
    <col min="9989" max="9989" width="2.53125" style="88" customWidth="1"/>
    <col min="9990" max="9993" width="8.73046875" style="88" customWidth="1"/>
    <col min="9994" max="9994" width="2.53125" style="88" customWidth="1"/>
    <col min="9995" max="9997" width="8.46484375" style="88" customWidth="1"/>
    <col min="9998" max="9998" width="1.796875" style="88" customWidth="1"/>
    <col min="9999" max="10001" width="8.46484375" style="88" customWidth="1"/>
    <col min="10002" max="10002" width="2" style="88" customWidth="1"/>
    <col min="10003" max="10003" width="7" style="88" customWidth="1"/>
    <col min="10004" max="10005" width="9" style="88" customWidth="1"/>
    <col min="10006" max="10006" width="2.53125" style="88" customWidth="1"/>
    <col min="10007" max="10007" width="8.46484375" style="88" customWidth="1"/>
    <col min="10008" max="10008" width="7.19921875" style="88" customWidth="1"/>
    <col min="10009" max="10009" width="7.73046875" style="88" customWidth="1"/>
    <col min="10010" max="10011" width="8.46484375" style="88" customWidth="1"/>
    <col min="10012" max="10015" width="9" style="88" customWidth="1"/>
    <col min="10016" max="10016" width="12.796875" style="88" customWidth="1"/>
    <col min="10017" max="10017" width="9" style="88" customWidth="1"/>
    <col min="10018" max="10018" width="12.19921875" style="88" customWidth="1"/>
    <col min="10019" max="10240" width="9" style="88"/>
    <col min="10241" max="10241" width="32.19921875" style="88" customWidth="1"/>
    <col min="10242" max="10242" width="4.46484375" style="88" customWidth="1"/>
    <col min="10243" max="10243" width="8.73046875" style="88" customWidth="1"/>
    <col min="10244" max="10244" width="10" style="88" customWidth="1"/>
    <col min="10245" max="10245" width="2.53125" style="88" customWidth="1"/>
    <col min="10246" max="10249" width="8.73046875" style="88" customWidth="1"/>
    <col min="10250" max="10250" width="2.53125" style="88" customWidth="1"/>
    <col min="10251" max="10253" width="8.46484375" style="88" customWidth="1"/>
    <col min="10254" max="10254" width="1.796875" style="88" customWidth="1"/>
    <col min="10255" max="10257" width="8.46484375" style="88" customWidth="1"/>
    <col min="10258" max="10258" width="2" style="88" customWidth="1"/>
    <col min="10259" max="10259" width="7" style="88" customWidth="1"/>
    <col min="10260" max="10261" width="9" style="88" customWidth="1"/>
    <col min="10262" max="10262" width="2.53125" style="88" customWidth="1"/>
    <col min="10263" max="10263" width="8.46484375" style="88" customWidth="1"/>
    <col min="10264" max="10264" width="7.19921875" style="88" customWidth="1"/>
    <col min="10265" max="10265" width="7.73046875" style="88" customWidth="1"/>
    <col min="10266" max="10267" width="8.46484375" style="88" customWidth="1"/>
    <col min="10268" max="10271" width="9" style="88" customWidth="1"/>
    <col min="10272" max="10272" width="12.796875" style="88" customWidth="1"/>
    <col min="10273" max="10273" width="9" style="88" customWidth="1"/>
    <col min="10274" max="10274" width="12.19921875" style="88" customWidth="1"/>
    <col min="10275" max="10496" width="9" style="88"/>
    <col min="10497" max="10497" width="32.19921875" style="88" customWidth="1"/>
    <col min="10498" max="10498" width="4.46484375" style="88" customWidth="1"/>
    <col min="10499" max="10499" width="8.73046875" style="88" customWidth="1"/>
    <col min="10500" max="10500" width="10" style="88" customWidth="1"/>
    <col min="10501" max="10501" width="2.53125" style="88" customWidth="1"/>
    <col min="10502" max="10505" width="8.73046875" style="88" customWidth="1"/>
    <col min="10506" max="10506" width="2.53125" style="88" customWidth="1"/>
    <col min="10507" max="10509" width="8.46484375" style="88" customWidth="1"/>
    <col min="10510" max="10510" width="1.796875" style="88" customWidth="1"/>
    <col min="10511" max="10513" width="8.46484375" style="88" customWidth="1"/>
    <col min="10514" max="10514" width="2" style="88" customWidth="1"/>
    <col min="10515" max="10515" width="7" style="88" customWidth="1"/>
    <col min="10516" max="10517" width="9" style="88" customWidth="1"/>
    <col min="10518" max="10518" width="2.53125" style="88" customWidth="1"/>
    <col min="10519" max="10519" width="8.46484375" style="88" customWidth="1"/>
    <col min="10520" max="10520" width="7.19921875" style="88" customWidth="1"/>
    <col min="10521" max="10521" width="7.73046875" style="88" customWidth="1"/>
    <col min="10522" max="10523" width="8.46484375" style="88" customWidth="1"/>
    <col min="10524" max="10527" width="9" style="88" customWidth="1"/>
    <col min="10528" max="10528" width="12.796875" style="88" customWidth="1"/>
    <col min="10529" max="10529" width="9" style="88" customWidth="1"/>
    <col min="10530" max="10530" width="12.19921875" style="88" customWidth="1"/>
    <col min="10531" max="10752" width="9" style="88"/>
    <col min="10753" max="10753" width="32.19921875" style="88" customWidth="1"/>
    <col min="10754" max="10754" width="4.46484375" style="88" customWidth="1"/>
    <col min="10755" max="10755" width="8.73046875" style="88" customWidth="1"/>
    <col min="10756" max="10756" width="10" style="88" customWidth="1"/>
    <col min="10757" max="10757" width="2.53125" style="88" customWidth="1"/>
    <col min="10758" max="10761" width="8.73046875" style="88" customWidth="1"/>
    <col min="10762" max="10762" width="2.53125" style="88" customWidth="1"/>
    <col min="10763" max="10765" width="8.46484375" style="88" customWidth="1"/>
    <col min="10766" max="10766" width="1.796875" style="88" customWidth="1"/>
    <col min="10767" max="10769" width="8.46484375" style="88" customWidth="1"/>
    <col min="10770" max="10770" width="2" style="88" customWidth="1"/>
    <col min="10771" max="10771" width="7" style="88" customWidth="1"/>
    <col min="10772" max="10773" width="9" style="88" customWidth="1"/>
    <col min="10774" max="10774" width="2.53125" style="88" customWidth="1"/>
    <col min="10775" max="10775" width="8.46484375" style="88" customWidth="1"/>
    <col min="10776" max="10776" width="7.19921875" style="88" customWidth="1"/>
    <col min="10777" max="10777" width="7.73046875" style="88" customWidth="1"/>
    <col min="10778" max="10779" width="8.46484375" style="88" customWidth="1"/>
    <col min="10780" max="10783" width="9" style="88" customWidth="1"/>
    <col min="10784" max="10784" width="12.796875" style="88" customWidth="1"/>
    <col min="10785" max="10785" width="9" style="88" customWidth="1"/>
    <col min="10786" max="10786" width="12.19921875" style="88" customWidth="1"/>
    <col min="10787" max="11008" width="9" style="88"/>
    <col min="11009" max="11009" width="32.19921875" style="88" customWidth="1"/>
    <col min="11010" max="11010" width="4.46484375" style="88" customWidth="1"/>
    <col min="11011" max="11011" width="8.73046875" style="88" customWidth="1"/>
    <col min="11012" max="11012" width="10" style="88" customWidth="1"/>
    <col min="11013" max="11013" width="2.53125" style="88" customWidth="1"/>
    <col min="11014" max="11017" width="8.73046875" style="88" customWidth="1"/>
    <col min="11018" max="11018" width="2.53125" style="88" customWidth="1"/>
    <col min="11019" max="11021" width="8.46484375" style="88" customWidth="1"/>
    <col min="11022" max="11022" width="1.796875" style="88" customWidth="1"/>
    <col min="11023" max="11025" width="8.46484375" style="88" customWidth="1"/>
    <col min="11026" max="11026" width="2" style="88" customWidth="1"/>
    <col min="11027" max="11027" width="7" style="88" customWidth="1"/>
    <col min="11028" max="11029" width="9" style="88" customWidth="1"/>
    <col min="11030" max="11030" width="2.53125" style="88" customWidth="1"/>
    <col min="11031" max="11031" width="8.46484375" style="88" customWidth="1"/>
    <col min="11032" max="11032" width="7.19921875" style="88" customWidth="1"/>
    <col min="11033" max="11033" width="7.73046875" style="88" customWidth="1"/>
    <col min="11034" max="11035" width="8.46484375" style="88" customWidth="1"/>
    <col min="11036" max="11039" width="9" style="88" customWidth="1"/>
    <col min="11040" max="11040" width="12.796875" style="88" customWidth="1"/>
    <col min="11041" max="11041" width="9" style="88" customWidth="1"/>
    <col min="11042" max="11042" width="12.19921875" style="88" customWidth="1"/>
    <col min="11043" max="11264" width="9" style="88"/>
    <col min="11265" max="11265" width="32.19921875" style="88" customWidth="1"/>
    <col min="11266" max="11266" width="4.46484375" style="88" customWidth="1"/>
    <col min="11267" max="11267" width="8.73046875" style="88" customWidth="1"/>
    <col min="11268" max="11268" width="10" style="88" customWidth="1"/>
    <col min="11269" max="11269" width="2.53125" style="88" customWidth="1"/>
    <col min="11270" max="11273" width="8.73046875" style="88" customWidth="1"/>
    <col min="11274" max="11274" width="2.53125" style="88" customWidth="1"/>
    <col min="11275" max="11277" width="8.46484375" style="88" customWidth="1"/>
    <col min="11278" max="11278" width="1.796875" style="88" customWidth="1"/>
    <col min="11279" max="11281" width="8.46484375" style="88" customWidth="1"/>
    <col min="11282" max="11282" width="2" style="88" customWidth="1"/>
    <col min="11283" max="11283" width="7" style="88" customWidth="1"/>
    <col min="11284" max="11285" width="9" style="88" customWidth="1"/>
    <col min="11286" max="11286" width="2.53125" style="88" customWidth="1"/>
    <col min="11287" max="11287" width="8.46484375" style="88" customWidth="1"/>
    <col min="11288" max="11288" width="7.19921875" style="88" customWidth="1"/>
    <col min="11289" max="11289" width="7.73046875" style="88" customWidth="1"/>
    <col min="11290" max="11291" width="8.46484375" style="88" customWidth="1"/>
    <col min="11292" max="11295" width="9" style="88" customWidth="1"/>
    <col min="11296" max="11296" width="12.796875" style="88" customWidth="1"/>
    <col min="11297" max="11297" width="9" style="88" customWidth="1"/>
    <col min="11298" max="11298" width="12.19921875" style="88" customWidth="1"/>
    <col min="11299" max="11520" width="9" style="88"/>
    <col min="11521" max="11521" width="32.19921875" style="88" customWidth="1"/>
    <col min="11522" max="11522" width="4.46484375" style="88" customWidth="1"/>
    <col min="11523" max="11523" width="8.73046875" style="88" customWidth="1"/>
    <col min="11524" max="11524" width="10" style="88" customWidth="1"/>
    <col min="11525" max="11525" width="2.53125" style="88" customWidth="1"/>
    <col min="11526" max="11529" width="8.73046875" style="88" customWidth="1"/>
    <col min="11530" max="11530" width="2.53125" style="88" customWidth="1"/>
    <col min="11531" max="11533" width="8.46484375" style="88" customWidth="1"/>
    <col min="11534" max="11534" width="1.796875" style="88" customWidth="1"/>
    <col min="11535" max="11537" width="8.46484375" style="88" customWidth="1"/>
    <col min="11538" max="11538" width="2" style="88" customWidth="1"/>
    <col min="11539" max="11539" width="7" style="88" customWidth="1"/>
    <col min="11540" max="11541" width="9" style="88" customWidth="1"/>
    <col min="11542" max="11542" width="2.53125" style="88" customWidth="1"/>
    <col min="11543" max="11543" width="8.46484375" style="88" customWidth="1"/>
    <col min="11544" max="11544" width="7.19921875" style="88" customWidth="1"/>
    <col min="11545" max="11545" width="7.73046875" style="88" customWidth="1"/>
    <col min="11546" max="11547" width="8.46484375" style="88" customWidth="1"/>
    <col min="11548" max="11551" width="9" style="88" customWidth="1"/>
    <col min="11552" max="11552" width="12.796875" style="88" customWidth="1"/>
    <col min="11553" max="11553" width="9" style="88" customWidth="1"/>
    <col min="11554" max="11554" width="12.19921875" style="88" customWidth="1"/>
    <col min="11555" max="11776" width="9" style="88"/>
    <col min="11777" max="11777" width="32.19921875" style="88" customWidth="1"/>
    <col min="11778" max="11778" width="4.46484375" style="88" customWidth="1"/>
    <col min="11779" max="11779" width="8.73046875" style="88" customWidth="1"/>
    <col min="11780" max="11780" width="10" style="88" customWidth="1"/>
    <col min="11781" max="11781" width="2.53125" style="88" customWidth="1"/>
    <col min="11782" max="11785" width="8.73046875" style="88" customWidth="1"/>
    <col min="11786" max="11786" width="2.53125" style="88" customWidth="1"/>
    <col min="11787" max="11789" width="8.46484375" style="88" customWidth="1"/>
    <col min="11790" max="11790" width="1.796875" style="88" customWidth="1"/>
    <col min="11791" max="11793" width="8.46484375" style="88" customWidth="1"/>
    <col min="11794" max="11794" width="2" style="88" customWidth="1"/>
    <col min="11795" max="11795" width="7" style="88" customWidth="1"/>
    <col min="11796" max="11797" width="9" style="88" customWidth="1"/>
    <col min="11798" max="11798" width="2.53125" style="88" customWidth="1"/>
    <col min="11799" max="11799" width="8.46484375" style="88" customWidth="1"/>
    <col min="11800" max="11800" width="7.19921875" style="88" customWidth="1"/>
    <col min="11801" max="11801" width="7.73046875" style="88" customWidth="1"/>
    <col min="11802" max="11803" width="8.46484375" style="88" customWidth="1"/>
    <col min="11804" max="11807" width="9" style="88" customWidth="1"/>
    <col min="11808" max="11808" width="12.796875" style="88" customWidth="1"/>
    <col min="11809" max="11809" width="9" style="88" customWidth="1"/>
    <col min="11810" max="11810" width="12.19921875" style="88" customWidth="1"/>
    <col min="11811" max="12032" width="9" style="88"/>
    <col min="12033" max="12033" width="32.19921875" style="88" customWidth="1"/>
    <col min="12034" max="12034" width="4.46484375" style="88" customWidth="1"/>
    <col min="12035" max="12035" width="8.73046875" style="88" customWidth="1"/>
    <col min="12036" max="12036" width="10" style="88" customWidth="1"/>
    <col min="12037" max="12037" width="2.53125" style="88" customWidth="1"/>
    <col min="12038" max="12041" width="8.73046875" style="88" customWidth="1"/>
    <col min="12042" max="12042" width="2.53125" style="88" customWidth="1"/>
    <col min="12043" max="12045" width="8.46484375" style="88" customWidth="1"/>
    <col min="12046" max="12046" width="1.796875" style="88" customWidth="1"/>
    <col min="12047" max="12049" width="8.46484375" style="88" customWidth="1"/>
    <col min="12050" max="12050" width="2" style="88" customWidth="1"/>
    <col min="12051" max="12051" width="7" style="88" customWidth="1"/>
    <col min="12052" max="12053" width="9" style="88" customWidth="1"/>
    <col min="12054" max="12054" width="2.53125" style="88" customWidth="1"/>
    <col min="12055" max="12055" width="8.46484375" style="88" customWidth="1"/>
    <col min="12056" max="12056" width="7.19921875" style="88" customWidth="1"/>
    <col min="12057" max="12057" width="7.73046875" style="88" customWidth="1"/>
    <col min="12058" max="12059" width="8.46484375" style="88" customWidth="1"/>
    <col min="12060" max="12063" width="9" style="88" customWidth="1"/>
    <col min="12064" max="12064" width="12.796875" style="88" customWidth="1"/>
    <col min="12065" max="12065" width="9" style="88" customWidth="1"/>
    <col min="12066" max="12066" width="12.19921875" style="88" customWidth="1"/>
    <col min="12067" max="12288" width="9" style="88"/>
    <col min="12289" max="12289" width="32.19921875" style="88" customWidth="1"/>
    <col min="12290" max="12290" width="4.46484375" style="88" customWidth="1"/>
    <col min="12291" max="12291" width="8.73046875" style="88" customWidth="1"/>
    <col min="12292" max="12292" width="10" style="88" customWidth="1"/>
    <col min="12293" max="12293" width="2.53125" style="88" customWidth="1"/>
    <col min="12294" max="12297" width="8.73046875" style="88" customWidth="1"/>
    <col min="12298" max="12298" width="2.53125" style="88" customWidth="1"/>
    <col min="12299" max="12301" width="8.46484375" style="88" customWidth="1"/>
    <col min="12302" max="12302" width="1.796875" style="88" customWidth="1"/>
    <col min="12303" max="12305" width="8.46484375" style="88" customWidth="1"/>
    <col min="12306" max="12306" width="2" style="88" customWidth="1"/>
    <col min="12307" max="12307" width="7" style="88" customWidth="1"/>
    <col min="12308" max="12309" width="9" style="88" customWidth="1"/>
    <col min="12310" max="12310" width="2.53125" style="88" customWidth="1"/>
    <col min="12311" max="12311" width="8.46484375" style="88" customWidth="1"/>
    <col min="12312" max="12312" width="7.19921875" style="88" customWidth="1"/>
    <col min="12313" max="12313" width="7.73046875" style="88" customWidth="1"/>
    <col min="12314" max="12315" width="8.46484375" style="88" customWidth="1"/>
    <col min="12316" max="12319" width="9" style="88" customWidth="1"/>
    <col min="12320" max="12320" width="12.796875" style="88" customWidth="1"/>
    <col min="12321" max="12321" width="9" style="88" customWidth="1"/>
    <col min="12322" max="12322" width="12.19921875" style="88" customWidth="1"/>
    <col min="12323" max="12544" width="9" style="88"/>
    <col min="12545" max="12545" width="32.19921875" style="88" customWidth="1"/>
    <col min="12546" max="12546" width="4.46484375" style="88" customWidth="1"/>
    <col min="12547" max="12547" width="8.73046875" style="88" customWidth="1"/>
    <col min="12548" max="12548" width="10" style="88" customWidth="1"/>
    <col min="12549" max="12549" width="2.53125" style="88" customWidth="1"/>
    <col min="12550" max="12553" width="8.73046875" style="88" customWidth="1"/>
    <col min="12554" max="12554" width="2.53125" style="88" customWidth="1"/>
    <col min="12555" max="12557" width="8.46484375" style="88" customWidth="1"/>
    <col min="12558" max="12558" width="1.796875" style="88" customWidth="1"/>
    <col min="12559" max="12561" width="8.46484375" style="88" customWidth="1"/>
    <col min="12562" max="12562" width="2" style="88" customWidth="1"/>
    <col min="12563" max="12563" width="7" style="88" customWidth="1"/>
    <col min="12564" max="12565" width="9" style="88" customWidth="1"/>
    <col min="12566" max="12566" width="2.53125" style="88" customWidth="1"/>
    <col min="12567" max="12567" width="8.46484375" style="88" customWidth="1"/>
    <col min="12568" max="12568" width="7.19921875" style="88" customWidth="1"/>
    <col min="12569" max="12569" width="7.73046875" style="88" customWidth="1"/>
    <col min="12570" max="12571" width="8.46484375" style="88" customWidth="1"/>
    <col min="12572" max="12575" width="9" style="88" customWidth="1"/>
    <col min="12576" max="12576" width="12.796875" style="88" customWidth="1"/>
    <col min="12577" max="12577" width="9" style="88" customWidth="1"/>
    <col min="12578" max="12578" width="12.19921875" style="88" customWidth="1"/>
    <col min="12579" max="12800" width="9" style="88"/>
    <col min="12801" max="12801" width="32.19921875" style="88" customWidth="1"/>
    <col min="12802" max="12802" width="4.46484375" style="88" customWidth="1"/>
    <col min="12803" max="12803" width="8.73046875" style="88" customWidth="1"/>
    <col min="12804" max="12804" width="10" style="88" customWidth="1"/>
    <col min="12805" max="12805" width="2.53125" style="88" customWidth="1"/>
    <col min="12806" max="12809" width="8.73046875" style="88" customWidth="1"/>
    <col min="12810" max="12810" width="2.53125" style="88" customWidth="1"/>
    <col min="12811" max="12813" width="8.46484375" style="88" customWidth="1"/>
    <col min="12814" max="12814" width="1.796875" style="88" customWidth="1"/>
    <col min="12815" max="12817" width="8.46484375" style="88" customWidth="1"/>
    <col min="12818" max="12818" width="2" style="88" customWidth="1"/>
    <col min="12819" max="12819" width="7" style="88" customWidth="1"/>
    <col min="12820" max="12821" width="9" style="88" customWidth="1"/>
    <col min="12822" max="12822" width="2.53125" style="88" customWidth="1"/>
    <col min="12823" max="12823" width="8.46484375" style="88" customWidth="1"/>
    <col min="12824" max="12824" width="7.19921875" style="88" customWidth="1"/>
    <col min="12825" max="12825" width="7.73046875" style="88" customWidth="1"/>
    <col min="12826" max="12827" width="8.46484375" style="88" customWidth="1"/>
    <col min="12828" max="12831" width="9" style="88" customWidth="1"/>
    <col min="12832" max="12832" width="12.796875" style="88" customWidth="1"/>
    <col min="12833" max="12833" width="9" style="88" customWidth="1"/>
    <col min="12834" max="12834" width="12.19921875" style="88" customWidth="1"/>
    <col min="12835" max="13056" width="9" style="88"/>
    <col min="13057" max="13057" width="32.19921875" style="88" customWidth="1"/>
    <col min="13058" max="13058" width="4.46484375" style="88" customWidth="1"/>
    <col min="13059" max="13059" width="8.73046875" style="88" customWidth="1"/>
    <col min="13060" max="13060" width="10" style="88" customWidth="1"/>
    <col min="13061" max="13061" width="2.53125" style="88" customWidth="1"/>
    <col min="13062" max="13065" width="8.73046875" style="88" customWidth="1"/>
    <col min="13066" max="13066" width="2.53125" style="88" customWidth="1"/>
    <col min="13067" max="13069" width="8.46484375" style="88" customWidth="1"/>
    <col min="13070" max="13070" width="1.796875" style="88" customWidth="1"/>
    <col min="13071" max="13073" width="8.46484375" style="88" customWidth="1"/>
    <col min="13074" max="13074" width="2" style="88" customWidth="1"/>
    <col min="13075" max="13075" width="7" style="88" customWidth="1"/>
    <col min="13076" max="13077" width="9" style="88" customWidth="1"/>
    <col min="13078" max="13078" width="2.53125" style="88" customWidth="1"/>
    <col min="13079" max="13079" width="8.46484375" style="88" customWidth="1"/>
    <col min="13080" max="13080" width="7.19921875" style="88" customWidth="1"/>
    <col min="13081" max="13081" width="7.73046875" style="88" customWidth="1"/>
    <col min="13082" max="13083" width="8.46484375" style="88" customWidth="1"/>
    <col min="13084" max="13087" width="9" style="88" customWidth="1"/>
    <col min="13088" max="13088" width="12.796875" style="88" customWidth="1"/>
    <col min="13089" max="13089" width="9" style="88" customWidth="1"/>
    <col min="13090" max="13090" width="12.19921875" style="88" customWidth="1"/>
    <col min="13091" max="13312" width="9" style="88"/>
    <col min="13313" max="13313" width="32.19921875" style="88" customWidth="1"/>
    <col min="13314" max="13314" width="4.46484375" style="88" customWidth="1"/>
    <col min="13315" max="13315" width="8.73046875" style="88" customWidth="1"/>
    <col min="13316" max="13316" width="10" style="88" customWidth="1"/>
    <col min="13317" max="13317" width="2.53125" style="88" customWidth="1"/>
    <col min="13318" max="13321" width="8.73046875" style="88" customWidth="1"/>
    <col min="13322" max="13322" width="2.53125" style="88" customWidth="1"/>
    <col min="13323" max="13325" width="8.46484375" style="88" customWidth="1"/>
    <col min="13326" max="13326" width="1.796875" style="88" customWidth="1"/>
    <col min="13327" max="13329" width="8.46484375" style="88" customWidth="1"/>
    <col min="13330" max="13330" width="2" style="88" customWidth="1"/>
    <col min="13331" max="13331" width="7" style="88" customWidth="1"/>
    <col min="13332" max="13333" width="9" style="88" customWidth="1"/>
    <col min="13334" max="13334" width="2.53125" style="88" customWidth="1"/>
    <col min="13335" max="13335" width="8.46484375" style="88" customWidth="1"/>
    <col min="13336" max="13336" width="7.19921875" style="88" customWidth="1"/>
    <col min="13337" max="13337" width="7.73046875" style="88" customWidth="1"/>
    <col min="13338" max="13339" width="8.46484375" style="88" customWidth="1"/>
    <col min="13340" max="13343" width="9" style="88" customWidth="1"/>
    <col min="13344" max="13344" width="12.796875" style="88" customWidth="1"/>
    <col min="13345" max="13345" width="9" style="88" customWidth="1"/>
    <col min="13346" max="13346" width="12.19921875" style="88" customWidth="1"/>
    <col min="13347" max="13568" width="9" style="88"/>
    <col min="13569" max="13569" width="32.19921875" style="88" customWidth="1"/>
    <col min="13570" max="13570" width="4.46484375" style="88" customWidth="1"/>
    <col min="13571" max="13571" width="8.73046875" style="88" customWidth="1"/>
    <col min="13572" max="13572" width="10" style="88" customWidth="1"/>
    <col min="13573" max="13573" width="2.53125" style="88" customWidth="1"/>
    <col min="13574" max="13577" width="8.73046875" style="88" customWidth="1"/>
    <col min="13578" max="13578" width="2.53125" style="88" customWidth="1"/>
    <col min="13579" max="13581" width="8.46484375" style="88" customWidth="1"/>
    <col min="13582" max="13582" width="1.796875" style="88" customWidth="1"/>
    <col min="13583" max="13585" width="8.46484375" style="88" customWidth="1"/>
    <col min="13586" max="13586" width="2" style="88" customWidth="1"/>
    <col min="13587" max="13587" width="7" style="88" customWidth="1"/>
    <col min="13588" max="13589" width="9" style="88" customWidth="1"/>
    <col min="13590" max="13590" width="2.53125" style="88" customWidth="1"/>
    <col min="13591" max="13591" width="8.46484375" style="88" customWidth="1"/>
    <col min="13592" max="13592" width="7.19921875" style="88" customWidth="1"/>
    <col min="13593" max="13593" width="7.73046875" style="88" customWidth="1"/>
    <col min="13594" max="13595" width="8.46484375" style="88" customWidth="1"/>
    <col min="13596" max="13599" width="9" style="88" customWidth="1"/>
    <col min="13600" max="13600" width="12.796875" style="88" customWidth="1"/>
    <col min="13601" max="13601" width="9" style="88" customWidth="1"/>
    <col min="13602" max="13602" width="12.19921875" style="88" customWidth="1"/>
    <col min="13603" max="13824" width="9" style="88"/>
    <col min="13825" max="13825" width="32.19921875" style="88" customWidth="1"/>
    <col min="13826" max="13826" width="4.46484375" style="88" customWidth="1"/>
    <col min="13827" max="13827" width="8.73046875" style="88" customWidth="1"/>
    <col min="13828" max="13828" width="10" style="88" customWidth="1"/>
    <col min="13829" max="13829" width="2.53125" style="88" customWidth="1"/>
    <col min="13830" max="13833" width="8.73046875" style="88" customWidth="1"/>
    <col min="13834" max="13834" width="2.53125" style="88" customWidth="1"/>
    <col min="13835" max="13837" width="8.46484375" style="88" customWidth="1"/>
    <col min="13838" max="13838" width="1.796875" style="88" customWidth="1"/>
    <col min="13839" max="13841" width="8.46484375" style="88" customWidth="1"/>
    <col min="13842" max="13842" width="2" style="88" customWidth="1"/>
    <col min="13843" max="13843" width="7" style="88" customWidth="1"/>
    <col min="13844" max="13845" width="9" style="88" customWidth="1"/>
    <col min="13846" max="13846" width="2.53125" style="88" customWidth="1"/>
    <col min="13847" max="13847" width="8.46484375" style="88" customWidth="1"/>
    <col min="13848" max="13848" width="7.19921875" style="88" customWidth="1"/>
    <col min="13849" max="13849" width="7.73046875" style="88" customWidth="1"/>
    <col min="13850" max="13851" width="8.46484375" style="88" customWidth="1"/>
    <col min="13852" max="13855" width="9" style="88" customWidth="1"/>
    <col min="13856" max="13856" width="12.796875" style="88" customWidth="1"/>
    <col min="13857" max="13857" width="9" style="88" customWidth="1"/>
    <col min="13858" max="13858" width="12.19921875" style="88" customWidth="1"/>
    <col min="13859" max="14080" width="9" style="88"/>
    <col min="14081" max="14081" width="32.19921875" style="88" customWidth="1"/>
    <col min="14082" max="14082" width="4.46484375" style="88" customWidth="1"/>
    <col min="14083" max="14083" width="8.73046875" style="88" customWidth="1"/>
    <col min="14084" max="14084" width="10" style="88" customWidth="1"/>
    <col min="14085" max="14085" width="2.53125" style="88" customWidth="1"/>
    <col min="14086" max="14089" width="8.73046875" style="88" customWidth="1"/>
    <col min="14090" max="14090" width="2.53125" style="88" customWidth="1"/>
    <col min="14091" max="14093" width="8.46484375" style="88" customWidth="1"/>
    <col min="14094" max="14094" width="1.796875" style="88" customWidth="1"/>
    <col min="14095" max="14097" width="8.46484375" style="88" customWidth="1"/>
    <col min="14098" max="14098" width="2" style="88" customWidth="1"/>
    <col min="14099" max="14099" width="7" style="88" customWidth="1"/>
    <col min="14100" max="14101" width="9" style="88" customWidth="1"/>
    <col min="14102" max="14102" width="2.53125" style="88" customWidth="1"/>
    <col min="14103" max="14103" width="8.46484375" style="88" customWidth="1"/>
    <col min="14104" max="14104" width="7.19921875" style="88" customWidth="1"/>
    <col min="14105" max="14105" width="7.73046875" style="88" customWidth="1"/>
    <col min="14106" max="14107" width="8.46484375" style="88" customWidth="1"/>
    <col min="14108" max="14111" width="9" style="88" customWidth="1"/>
    <col min="14112" max="14112" width="12.796875" style="88" customWidth="1"/>
    <col min="14113" max="14113" width="9" style="88" customWidth="1"/>
    <col min="14114" max="14114" width="12.19921875" style="88" customWidth="1"/>
    <col min="14115" max="14336" width="9" style="88"/>
    <col min="14337" max="14337" width="32.19921875" style="88" customWidth="1"/>
    <col min="14338" max="14338" width="4.46484375" style="88" customWidth="1"/>
    <col min="14339" max="14339" width="8.73046875" style="88" customWidth="1"/>
    <col min="14340" max="14340" width="10" style="88" customWidth="1"/>
    <col min="14341" max="14341" width="2.53125" style="88" customWidth="1"/>
    <col min="14342" max="14345" width="8.73046875" style="88" customWidth="1"/>
    <col min="14346" max="14346" width="2.53125" style="88" customWidth="1"/>
    <col min="14347" max="14349" width="8.46484375" style="88" customWidth="1"/>
    <col min="14350" max="14350" width="1.796875" style="88" customWidth="1"/>
    <col min="14351" max="14353" width="8.46484375" style="88" customWidth="1"/>
    <col min="14354" max="14354" width="2" style="88" customWidth="1"/>
    <col min="14355" max="14355" width="7" style="88" customWidth="1"/>
    <col min="14356" max="14357" width="9" style="88" customWidth="1"/>
    <col min="14358" max="14358" width="2.53125" style="88" customWidth="1"/>
    <col min="14359" max="14359" width="8.46484375" style="88" customWidth="1"/>
    <col min="14360" max="14360" width="7.19921875" style="88" customWidth="1"/>
    <col min="14361" max="14361" width="7.73046875" style="88" customWidth="1"/>
    <col min="14362" max="14363" width="8.46484375" style="88" customWidth="1"/>
    <col min="14364" max="14367" width="9" style="88" customWidth="1"/>
    <col min="14368" max="14368" width="12.796875" style="88" customWidth="1"/>
    <col min="14369" max="14369" width="9" style="88" customWidth="1"/>
    <col min="14370" max="14370" width="12.19921875" style="88" customWidth="1"/>
    <col min="14371" max="14592" width="9" style="88"/>
    <col min="14593" max="14593" width="32.19921875" style="88" customWidth="1"/>
    <col min="14594" max="14594" width="4.46484375" style="88" customWidth="1"/>
    <col min="14595" max="14595" width="8.73046875" style="88" customWidth="1"/>
    <col min="14596" max="14596" width="10" style="88" customWidth="1"/>
    <col min="14597" max="14597" width="2.53125" style="88" customWidth="1"/>
    <col min="14598" max="14601" width="8.73046875" style="88" customWidth="1"/>
    <col min="14602" max="14602" width="2.53125" style="88" customWidth="1"/>
    <col min="14603" max="14605" width="8.46484375" style="88" customWidth="1"/>
    <col min="14606" max="14606" width="1.796875" style="88" customWidth="1"/>
    <col min="14607" max="14609" width="8.46484375" style="88" customWidth="1"/>
    <col min="14610" max="14610" width="2" style="88" customWidth="1"/>
    <col min="14611" max="14611" width="7" style="88" customWidth="1"/>
    <col min="14612" max="14613" width="9" style="88" customWidth="1"/>
    <col min="14614" max="14614" width="2.53125" style="88" customWidth="1"/>
    <col min="14615" max="14615" width="8.46484375" style="88" customWidth="1"/>
    <col min="14616" max="14616" width="7.19921875" style="88" customWidth="1"/>
    <col min="14617" max="14617" width="7.73046875" style="88" customWidth="1"/>
    <col min="14618" max="14619" width="8.46484375" style="88" customWidth="1"/>
    <col min="14620" max="14623" width="9" style="88" customWidth="1"/>
    <col min="14624" max="14624" width="12.796875" style="88" customWidth="1"/>
    <col min="14625" max="14625" width="9" style="88" customWidth="1"/>
    <col min="14626" max="14626" width="12.19921875" style="88" customWidth="1"/>
    <col min="14627" max="14848" width="9" style="88"/>
    <col min="14849" max="14849" width="32.19921875" style="88" customWidth="1"/>
    <col min="14850" max="14850" width="4.46484375" style="88" customWidth="1"/>
    <col min="14851" max="14851" width="8.73046875" style="88" customWidth="1"/>
    <col min="14852" max="14852" width="10" style="88" customWidth="1"/>
    <col min="14853" max="14853" width="2.53125" style="88" customWidth="1"/>
    <col min="14854" max="14857" width="8.73046875" style="88" customWidth="1"/>
    <col min="14858" max="14858" width="2.53125" style="88" customWidth="1"/>
    <col min="14859" max="14861" width="8.46484375" style="88" customWidth="1"/>
    <col min="14862" max="14862" width="1.796875" style="88" customWidth="1"/>
    <col min="14863" max="14865" width="8.46484375" style="88" customWidth="1"/>
    <col min="14866" max="14866" width="2" style="88" customWidth="1"/>
    <col min="14867" max="14867" width="7" style="88" customWidth="1"/>
    <col min="14868" max="14869" width="9" style="88" customWidth="1"/>
    <col min="14870" max="14870" width="2.53125" style="88" customWidth="1"/>
    <col min="14871" max="14871" width="8.46484375" style="88" customWidth="1"/>
    <col min="14872" max="14872" width="7.19921875" style="88" customWidth="1"/>
    <col min="14873" max="14873" width="7.73046875" style="88" customWidth="1"/>
    <col min="14874" max="14875" width="8.46484375" style="88" customWidth="1"/>
    <col min="14876" max="14879" width="9" style="88" customWidth="1"/>
    <col min="14880" max="14880" width="12.796875" style="88" customWidth="1"/>
    <col min="14881" max="14881" width="9" style="88" customWidth="1"/>
    <col min="14882" max="14882" width="12.19921875" style="88" customWidth="1"/>
    <col min="14883" max="15104" width="9" style="88"/>
    <col min="15105" max="15105" width="32.19921875" style="88" customWidth="1"/>
    <col min="15106" max="15106" width="4.46484375" style="88" customWidth="1"/>
    <col min="15107" max="15107" width="8.73046875" style="88" customWidth="1"/>
    <col min="15108" max="15108" width="10" style="88" customWidth="1"/>
    <col min="15109" max="15109" width="2.53125" style="88" customWidth="1"/>
    <col min="15110" max="15113" width="8.73046875" style="88" customWidth="1"/>
    <col min="15114" max="15114" width="2.53125" style="88" customWidth="1"/>
    <col min="15115" max="15117" width="8.46484375" style="88" customWidth="1"/>
    <col min="15118" max="15118" width="1.796875" style="88" customWidth="1"/>
    <col min="15119" max="15121" width="8.46484375" style="88" customWidth="1"/>
    <col min="15122" max="15122" width="2" style="88" customWidth="1"/>
    <col min="15123" max="15123" width="7" style="88" customWidth="1"/>
    <col min="15124" max="15125" width="9" style="88" customWidth="1"/>
    <col min="15126" max="15126" width="2.53125" style="88" customWidth="1"/>
    <col min="15127" max="15127" width="8.46484375" style="88" customWidth="1"/>
    <col min="15128" max="15128" width="7.19921875" style="88" customWidth="1"/>
    <col min="15129" max="15129" width="7.73046875" style="88" customWidth="1"/>
    <col min="15130" max="15131" width="8.46484375" style="88" customWidth="1"/>
    <col min="15132" max="15135" width="9" style="88" customWidth="1"/>
    <col min="15136" max="15136" width="12.796875" style="88" customWidth="1"/>
    <col min="15137" max="15137" width="9" style="88" customWidth="1"/>
    <col min="15138" max="15138" width="12.19921875" style="88" customWidth="1"/>
    <col min="15139" max="15360" width="9" style="88"/>
    <col min="15361" max="15361" width="32.19921875" style="88" customWidth="1"/>
    <col min="15362" max="15362" width="4.46484375" style="88" customWidth="1"/>
    <col min="15363" max="15363" width="8.73046875" style="88" customWidth="1"/>
    <col min="15364" max="15364" width="10" style="88" customWidth="1"/>
    <col min="15365" max="15365" width="2.53125" style="88" customWidth="1"/>
    <col min="15366" max="15369" width="8.73046875" style="88" customWidth="1"/>
    <col min="15370" max="15370" width="2.53125" style="88" customWidth="1"/>
    <col min="15371" max="15373" width="8.46484375" style="88" customWidth="1"/>
    <col min="15374" max="15374" width="1.796875" style="88" customWidth="1"/>
    <col min="15375" max="15377" width="8.46484375" style="88" customWidth="1"/>
    <col min="15378" max="15378" width="2" style="88" customWidth="1"/>
    <col min="15379" max="15379" width="7" style="88" customWidth="1"/>
    <col min="15380" max="15381" width="9" style="88" customWidth="1"/>
    <col min="15382" max="15382" width="2.53125" style="88" customWidth="1"/>
    <col min="15383" max="15383" width="8.46484375" style="88" customWidth="1"/>
    <col min="15384" max="15384" width="7.19921875" style="88" customWidth="1"/>
    <col min="15385" max="15385" width="7.73046875" style="88" customWidth="1"/>
    <col min="15386" max="15387" width="8.46484375" style="88" customWidth="1"/>
    <col min="15388" max="15391" width="9" style="88" customWidth="1"/>
    <col min="15392" max="15392" width="12.796875" style="88" customWidth="1"/>
    <col min="15393" max="15393" width="9" style="88" customWidth="1"/>
    <col min="15394" max="15394" width="12.19921875" style="88" customWidth="1"/>
    <col min="15395" max="15616" width="9" style="88"/>
    <col min="15617" max="15617" width="32.19921875" style="88" customWidth="1"/>
    <col min="15618" max="15618" width="4.46484375" style="88" customWidth="1"/>
    <col min="15619" max="15619" width="8.73046875" style="88" customWidth="1"/>
    <col min="15620" max="15620" width="10" style="88" customWidth="1"/>
    <col min="15621" max="15621" width="2.53125" style="88" customWidth="1"/>
    <col min="15622" max="15625" width="8.73046875" style="88" customWidth="1"/>
    <col min="15626" max="15626" width="2.53125" style="88" customWidth="1"/>
    <col min="15627" max="15629" width="8.46484375" style="88" customWidth="1"/>
    <col min="15630" max="15630" width="1.796875" style="88" customWidth="1"/>
    <col min="15631" max="15633" width="8.46484375" style="88" customWidth="1"/>
    <col min="15634" max="15634" width="2" style="88" customWidth="1"/>
    <col min="15635" max="15635" width="7" style="88" customWidth="1"/>
    <col min="15636" max="15637" width="9" style="88" customWidth="1"/>
    <col min="15638" max="15638" width="2.53125" style="88" customWidth="1"/>
    <col min="15639" max="15639" width="8.46484375" style="88" customWidth="1"/>
    <col min="15640" max="15640" width="7.19921875" style="88" customWidth="1"/>
    <col min="15641" max="15641" width="7.73046875" style="88" customWidth="1"/>
    <col min="15642" max="15643" width="8.46484375" style="88" customWidth="1"/>
    <col min="15644" max="15647" width="9" style="88" customWidth="1"/>
    <col min="15648" max="15648" width="12.796875" style="88" customWidth="1"/>
    <col min="15649" max="15649" width="9" style="88" customWidth="1"/>
    <col min="15650" max="15650" width="12.19921875" style="88" customWidth="1"/>
    <col min="15651" max="15872" width="9" style="88"/>
    <col min="15873" max="15873" width="32.19921875" style="88" customWidth="1"/>
    <col min="15874" max="15874" width="4.46484375" style="88" customWidth="1"/>
    <col min="15875" max="15875" width="8.73046875" style="88" customWidth="1"/>
    <col min="15876" max="15876" width="10" style="88" customWidth="1"/>
    <col min="15877" max="15877" width="2.53125" style="88" customWidth="1"/>
    <col min="15878" max="15881" width="8.73046875" style="88" customWidth="1"/>
    <col min="15882" max="15882" width="2.53125" style="88" customWidth="1"/>
    <col min="15883" max="15885" width="8.46484375" style="88" customWidth="1"/>
    <col min="15886" max="15886" width="1.796875" style="88" customWidth="1"/>
    <col min="15887" max="15889" width="8.46484375" style="88" customWidth="1"/>
    <col min="15890" max="15890" width="2" style="88" customWidth="1"/>
    <col min="15891" max="15891" width="7" style="88" customWidth="1"/>
    <col min="15892" max="15893" width="9" style="88" customWidth="1"/>
    <col min="15894" max="15894" width="2.53125" style="88" customWidth="1"/>
    <col min="15895" max="15895" width="8.46484375" style="88" customWidth="1"/>
    <col min="15896" max="15896" width="7.19921875" style="88" customWidth="1"/>
    <col min="15897" max="15897" width="7.73046875" style="88" customWidth="1"/>
    <col min="15898" max="15899" width="8.46484375" style="88" customWidth="1"/>
    <col min="15900" max="15903" width="9" style="88" customWidth="1"/>
    <col min="15904" max="15904" width="12.796875" style="88" customWidth="1"/>
    <col min="15905" max="15905" width="9" style="88" customWidth="1"/>
    <col min="15906" max="15906" width="12.19921875" style="88" customWidth="1"/>
    <col min="15907" max="16128" width="9" style="88"/>
    <col min="16129" max="16129" width="32.19921875" style="88" customWidth="1"/>
    <col min="16130" max="16130" width="4.46484375" style="88" customWidth="1"/>
    <col min="16131" max="16131" width="8.73046875" style="88" customWidth="1"/>
    <col min="16132" max="16132" width="10" style="88" customWidth="1"/>
    <col min="16133" max="16133" width="2.53125" style="88" customWidth="1"/>
    <col min="16134" max="16137" width="8.73046875" style="88" customWidth="1"/>
    <col min="16138" max="16138" width="2.53125" style="88" customWidth="1"/>
    <col min="16139" max="16141" width="8.46484375" style="88" customWidth="1"/>
    <col min="16142" max="16142" width="1.796875" style="88" customWidth="1"/>
    <col min="16143" max="16145" width="8.46484375" style="88" customWidth="1"/>
    <col min="16146" max="16146" width="2" style="88" customWidth="1"/>
    <col min="16147" max="16147" width="7" style="88" customWidth="1"/>
    <col min="16148" max="16149" width="9" style="88" customWidth="1"/>
    <col min="16150" max="16150" width="2.53125" style="88" customWidth="1"/>
    <col min="16151" max="16151" width="8.46484375" style="88" customWidth="1"/>
    <col min="16152" max="16152" width="7.19921875" style="88" customWidth="1"/>
    <col min="16153" max="16153" width="7.73046875" style="88" customWidth="1"/>
    <col min="16154" max="16155" width="8.46484375" style="88" customWidth="1"/>
    <col min="16156" max="16159" width="9" style="88" customWidth="1"/>
    <col min="16160" max="16160" width="12.796875" style="88" customWidth="1"/>
    <col min="16161" max="16161" width="9" style="88" customWidth="1"/>
    <col min="16162" max="16162" width="12.19921875" style="88" customWidth="1"/>
    <col min="16163" max="16384" width="9" style="88"/>
  </cols>
  <sheetData>
    <row r="1" spans="1:36" s="85" customFormat="1" ht="15.75" customHeight="1" x14ac:dyDescent="0.6">
      <c r="A1" s="1094" t="s">
        <v>2294</v>
      </c>
      <c r="B1" s="83"/>
      <c r="C1" s="84"/>
      <c r="J1" s="84"/>
      <c r="M1" s="84"/>
      <c r="N1" s="84"/>
      <c r="U1" s="84"/>
    </row>
    <row r="2" spans="1:36" s="85" customFormat="1" ht="15.75" customHeight="1" x14ac:dyDescent="0.6">
      <c r="A2" s="84"/>
      <c r="B2" s="1187" t="s">
        <v>992</v>
      </c>
      <c r="C2" s="1187" t="s">
        <v>2357</v>
      </c>
      <c r="D2" s="1188"/>
      <c r="E2" s="1188"/>
      <c r="F2" s="1188"/>
      <c r="G2" s="1188"/>
      <c r="H2" s="1188"/>
      <c r="I2" s="1188"/>
      <c r="J2" s="1189"/>
      <c r="K2" s="1188"/>
      <c r="M2" s="84"/>
      <c r="N2" s="84"/>
    </row>
    <row r="3" spans="1:36" ht="15.75" customHeight="1" x14ac:dyDescent="0.4">
      <c r="B3" s="1190"/>
      <c r="C3" s="1191" t="s">
        <v>2346</v>
      </c>
      <c r="D3" s="1192"/>
      <c r="E3" s="1192"/>
      <c r="F3" s="1192"/>
      <c r="G3" s="1192"/>
      <c r="H3" s="1192"/>
      <c r="I3" s="1192"/>
      <c r="J3" s="1193"/>
      <c r="K3" s="1192"/>
      <c r="AI3" s="87"/>
    </row>
    <row r="4" spans="1:36" ht="13.5" thickBot="1" x14ac:dyDescent="0.45">
      <c r="A4" s="90"/>
      <c r="B4" s="91"/>
      <c r="C4" s="91"/>
      <c r="D4" s="91"/>
      <c r="E4" s="91"/>
      <c r="F4" s="91"/>
      <c r="G4" s="91"/>
      <c r="H4" s="91"/>
      <c r="I4" s="91"/>
      <c r="J4" s="92"/>
      <c r="K4" s="93"/>
      <c r="L4" s="91"/>
      <c r="M4" s="91"/>
      <c r="N4" s="91"/>
      <c r="O4" s="91"/>
      <c r="P4" s="91"/>
      <c r="Q4" s="91"/>
      <c r="R4" s="91"/>
      <c r="S4" s="91"/>
      <c r="T4" s="91"/>
      <c r="U4" s="91"/>
      <c r="V4" s="91"/>
      <c r="W4" s="94"/>
      <c r="X4" s="94"/>
      <c r="Y4" s="91"/>
      <c r="Z4" s="91"/>
      <c r="AA4" s="91"/>
      <c r="AB4" s="91"/>
      <c r="AC4" s="91"/>
      <c r="AD4" s="91"/>
      <c r="AE4" s="91"/>
      <c r="AF4" s="91"/>
      <c r="AG4" s="91"/>
      <c r="AH4" s="604" t="s">
        <v>1034</v>
      </c>
      <c r="AI4" s="87"/>
    </row>
    <row r="5" spans="1:36" s="96" customFormat="1" ht="15.75" customHeight="1" thickTop="1" x14ac:dyDescent="0.4">
      <c r="A5" s="95"/>
      <c r="B5" s="574"/>
      <c r="C5" s="1388" t="s">
        <v>160</v>
      </c>
      <c r="D5" s="1388"/>
      <c r="E5" s="523"/>
      <c r="F5" s="1388" t="s">
        <v>161</v>
      </c>
      <c r="G5" s="1388"/>
      <c r="H5" s="1388"/>
      <c r="I5" s="1388"/>
      <c r="J5" s="523"/>
      <c r="K5" s="524"/>
      <c r="L5" s="524"/>
      <c r="M5" s="1392"/>
      <c r="N5" s="1392"/>
      <c r="O5" s="1392"/>
      <c r="P5" s="1392"/>
      <c r="Q5" s="1392"/>
      <c r="R5" s="524"/>
      <c r="S5" s="1388" t="s">
        <v>162</v>
      </c>
      <c r="T5" s="1388"/>
      <c r="U5" s="1388"/>
      <c r="V5" s="523"/>
      <c r="W5" s="523"/>
      <c r="X5" s="525"/>
      <c r="Y5" s="524"/>
      <c r="Z5" s="524"/>
      <c r="AA5" s="524"/>
      <c r="AB5" s="524"/>
      <c r="AC5" s="524"/>
      <c r="AD5" s="524"/>
      <c r="AE5" s="524"/>
      <c r="AF5" s="524"/>
      <c r="AG5" s="524"/>
      <c r="AH5" s="526"/>
      <c r="AI5" s="527"/>
      <c r="AJ5" s="89"/>
    </row>
    <row r="6" spans="1:36" s="98" customFormat="1" ht="13.5" customHeight="1" x14ac:dyDescent="0.4">
      <c r="A6" s="97"/>
      <c r="B6" s="598"/>
      <c r="C6" s="525"/>
      <c r="D6" s="525" t="s">
        <v>22</v>
      </c>
      <c r="E6" s="525"/>
      <c r="F6" s="525"/>
      <c r="G6" s="528"/>
      <c r="H6" s="525"/>
      <c r="I6" s="525"/>
      <c r="J6" s="529"/>
      <c r="K6" s="525" t="s">
        <v>163</v>
      </c>
      <c r="L6" s="525"/>
      <c r="M6" s="525"/>
      <c r="N6" s="525"/>
      <c r="O6" s="525"/>
      <c r="P6" s="525"/>
      <c r="Q6" s="525"/>
      <c r="R6" s="525"/>
      <c r="S6" s="525" t="s">
        <v>164</v>
      </c>
      <c r="T6" s="525"/>
      <c r="U6" s="525"/>
      <c r="V6" s="525"/>
      <c r="W6" s="525"/>
      <c r="X6" s="524"/>
      <c r="Y6" s="524" t="s">
        <v>165</v>
      </c>
      <c r="Z6" s="524"/>
      <c r="AA6" s="524"/>
      <c r="AB6" s="524"/>
      <c r="AC6" s="524"/>
      <c r="AD6" s="524"/>
      <c r="AE6" s="524"/>
      <c r="AF6" s="524"/>
      <c r="AG6" s="524"/>
      <c r="AH6" s="530" t="s">
        <v>166</v>
      </c>
      <c r="AI6" s="531"/>
      <c r="AJ6" s="521"/>
    </row>
    <row r="7" spans="1:36" s="98" customFormat="1" ht="14.25" customHeight="1" x14ac:dyDescent="0.4">
      <c r="A7" s="97"/>
      <c r="B7" s="598"/>
      <c r="C7" s="525" t="s">
        <v>167</v>
      </c>
      <c r="D7" s="525" t="s">
        <v>168</v>
      </c>
      <c r="E7" s="524"/>
      <c r="F7" s="524"/>
      <c r="G7" s="524" t="s">
        <v>163</v>
      </c>
      <c r="H7" s="524" t="s">
        <v>22</v>
      </c>
      <c r="I7" s="524"/>
      <c r="J7" s="532"/>
      <c r="K7" s="524" t="s">
        <v>169</v>
      </c>
      <c r="L7" s="524" t="s">
        <v>164</v>
      </c>
      <c r="M7" s="524" t="s">
        <v>170</v>
      </c>
      <c r="N7" s="524"/>
      <c r="O7" s="524" t="s">
        <v>171</v>
      </c>
      <c r="P7" s="524" t="s">
        <v>172</v>
      </c>
      <c r="Q7" s="524" t="s">
        <v>173</v>
      </c>
      <c r="R7" s="524"/>
      <c r="S7" s="524" t="s">
        <v>174</v>
      </c>
      <c r="T7" s="524" t="s">
        <v>175</v>
      </c>
      <c r="U7" s="524" t="s">
        <v>176</v>
      </c>
      <c r="V7" s="524"/>
      <c r="W7" s="524" t="s">
        <v>177</v>
      </c>
      <c r="X7" s="524" t="s">
        <v>178</v>
      </c>
      <c r="Y7" s="524" t="s">
        <v>179</v>
      </c>
      <c r="Z7" s="524" t="s">
        <v>180</v>
      </c>
      <c r="AA7" s="524" t="s">
        <v>181</v>
      </c>
      <c r="AB7" s="524"/>
      <c r="AC7" s="524" t="s">
        <v>182</v>
      </c>
      <c r="AD7" s="524" t="s">
        <v>168</v>
      </c>
      <c r="AE7" s="524" t="s">
        <v>183</v>
      </c>
      <c r="AF7" s="532" t="s">
        <v>166</v>
      </c>
      <c r="AG7" s="533" t="s">
        <v>184</v>
      </c>
      <c r="AH7" s="530" t="s">
        <v>185</v>
      </c>
      <c r="AI7" s="531"/>
      <c r="AJ7" s="521"/>
    </row>
    <row r="8" spans="1:36" s="98" customFormat="1" ht="15" customHeight="1" x14ac:dyDescent="0.4">
      <c r="A8" s="99"/>
      <c r="B8" s="599"/>
      <c r="C8" s="534" t="s">
        <v>186</v>
      </c>
      <c r="D8" s="534" t="s">
        <v>160</v>
      </c>
      <c r="E8" s="534"/>
      <c r="F8" s="534" t="s">
        <v>160</v>
      </c>
      <c r="G8" s="535" t="s">
        <v>187</v>
      </c>
      <c r="H8" s="535" t="s">
        <v>188</v>
      </c>
      <c r="I8" s="536" t="s">
        <v>995</v>
      </c>
      <c r="J8" s="536"/>
      <c r="K8" s="534" t="s">
        <v>189</v>
      </c>
      <c r="L8" s="534" t="s">
        <v>190</v>
      </c>
      <c r="M8" s="534" t="s">
        <v>191</v>
      </c>
      <c r="N8" s="534"/>
      <c r="O8" s="534" t="s">
        <v>190</v>
      </c>
      <c r="P8" s="534" t="s">
        <v>190</v>
      </c>
      <c r="Q8" s="535" t="s">
        <v>190</v>
      </c>
      <c r="R8" s="534"/>
      <c r="S8" s="534" t="s">
        <v>180</v>
      </c>
      <c r="T8" s="534" t="s">
        <v>192</v>
      </c>
      <c r="U8" s="534" t="s">
        <v>192</v>
      </c>
      <c r="V8" s="534"/>
      <c r="W8" s="534" t="s">
        <v>180</v>
      </c>
      <c r="X8" s="534" t="s">
        <v>192</v>
      </c>
      <c r="Y8" s="534" t="s">
        <v>192</v>
      </c>
      <c r="Z8" s="534" t="s">
        <v>192</v>
      </c>
      <c r="AA8" s="534" t="s">
        <v>192</v>
      </c>
      <c r="AB8" s="534" t="s">
        <v>193</v>
      </c>
      <c r="AC8" s="534" t="s">
        <v>194</v>
      </c>
      <c r="AD8" s="534" t="s">
        <v>195</v>
      </c>
      <c r="AE8" s="534" t="s">
        <v>188</v>
      </c>
      <c r="AF8" s="537" t="s">
        <v>196</v>
      </c>
      <c r="AG8" s="538" t="s">
        <v>180</v>
      </c>
      <c r="AH8" s="539" t="s">
        <v>197</v>
      </c>
      <c r="AI8" s="531"/>
      <c r="AJ8" s="521"/>
    </row>
    <row r="9" spans="1:36" s="98" customFormat="1" x14ac:dyDescent="0.4">
      <c r="A9" s="97"/>
      <c r="B9" s="598"/>
      <c r="C9" s="525"/>
      <c r="D9" s="525"/>
      <c r="E9" s="525"/>
      <c r="F9" s="525"/>
      <c r="G9" s="540"/>
      <c r="H9" s="540"/>
      <c r="I9" s="541"/>
      <c r="J9" s="541"/>
      <c r="K9" s="525"/>
      <c r="L9" s="525"/>
      <c r="M9" s="525"/>
      <c r="N9" s="525"/>
      <c r="O9" s="525"/>
      <c r="P9" s="525"/>
      <c r="Q9" s="540"/>
      <c r="R9" s="525"/>
      <c r="S9" s="525"/>
      <c r="T9" s="525"/>
      <c r="U9" s="525"/>
      <c r="V9" s="525"/>
      <c r="W9" s="525"/>
      <c r="X9" s="525"/>
      <c r="Y9" s="525"/>
      <c r="Z9" s="525"/>
      <c r="AA9" s="525"/>
      <c r="AB9" s="525"/>
      <c r="AC9" s="525"/>
      <c r="AD9" s="525"/>
      <c r="AE9" s="525"/>
      <c r="AF9" s="529"/>
      <c r="AG9" s="542"/>
      <c r="AH9" s="530"/>
      <c r="AI9" s="531"/>
      <c r="AJ9" s="521"/>
    </row>
    <row r="10" spans="1:36" s="98" customFormat="1" x14ac:dyDescent="0.4">
      <c r="A10" s="512">
        <v>1870</v>
      </c>
      <c r="B10" s="598"/>
      <c r="C10" s="525"/>
      <c r="D10" s="525"/>
      <c r="E10" s="525"/>
      <c r="F10" s="525"/>
      <c r="G10" s="540"/>
      <c r="H10" s="540"/>
      <c r="I10" s="541"/>
      <c r="J10" s="541"/>
      <c r="K10" s="525"/>
      <c r="L10" s="543"/>
      <c r="M10" s="544"/>
      <c r="N10" s="545"/>
      <c r="O10" s="543"/>
      <c r="P10" s="545"/>
      <c r="Q10" s="546"/>
      <c r="R10" s="525"/>
      <c r="S10" s="1393"/>
      <c r="T10" s="1394"/>
      <c r="U10" s="1395"/>
      <c r="V10" s="525"/>
      <c r="W10" s="1393"/>
      <c r="X10" s="1394"/>
      <c r="Y10" s="1395"/>
      <c r="Z10" s="547"/>
      <c r="AA10" s="525"/>
      <c r="AB10" s="525"/>
      <c r="AC10" s="525"/>
      <c r="AD10" s="525"/>
      <c r="AE10" s="547"/>
      <c r="AF10" s="548">
        <v>28.449313480000001</v>
      </c>
      <c r="AG10" s="542"/>
      <c r="AH10" s="549">
        <v>28.449313480000001</v>
      </c>
      <c r="AI10" s="550">
        <v>1870</v>
      </c>
      <c r="AJ10" s="521"/>
    </row>
    <row r="11" spans="1:36" s="98" customFormat="1" x14ac:dyDescent="0.4">
      <c r="A11" s="513">
        <v>1871</v>
      </c>
      <c r="B11" s="598"/>
      <c r="C11" s="525"/>
      <c r="D11" s="525"/>
      <c r="E11" s="525"/>
      <c r="F11" s="525"/>
      <c r="G11" s="540"/>
      <c r="H11" s="540"/>
      <c r="I11" s="541"/>
      <c r="J11" s="541"/>
      <c r="K11" s="525"/>
      <c r="L11" s="551"/>
      <c r="M11" s="552"/>
      <c r="N11" s="525"/>
      <c r="O11" s="1389"/>
      <c r="P11" s="1390"/>
      <c r="Q11" s="1391"/>
      <c r="R11" s="525"/>
      <c r="S11" s="1389"/>
      <c r="T11" s="1390"/>
      <c r="U11" s="1391"/>
      <c r="V11" s="525"/>
      <c r="W11" s="1389"/>
      <c r="X11" s="1390"/>
      <c r="Y11" s="1391"/>
      <c r="Z11" s="547"/>
      <c r="AA11" s="525"/>
      <c r="AB11" s="525"/>
      <c r="AC11" s="525"/>
      <c r="AD11" s="525"/>
      <c r="AE11" s="547"/>
      <c r="AF11" s="548">
        <v>36.577688760000001</v>
      </c>
      <c r="AG11" s="542"/>
      <c r="AH11" s="549">
        <v>36.577688760000001</v>
      </c>
      <c r="AI11" s="553">
        <v>1871</v>
      </c>
      <c r="AJ11" s="521"/>
    </row>
    <row r="12" spans="1:36" s="98" customFormat="1" x14ac:dyDescent="0.4">
      <c r="A12" s="513">
        <v>1872</v>
      </c>
      <c r="B12" s="598"/>
      <c r="C12" s="525"/>
      <c r="D12" s="525"/>
      <c r="E12" s="525"/>
      <c r="F12" s="525"/>
      <c r="G12" s="540"/>
      <c r="H12" s="540"/>
      <c r="I12" s="541"/>
      <c r="J12" s="541"/>
      <c r="K12" s="525"/>
      <c r="L12" s="551"/>
      <c r="M12" s="552"/>
      <c r="N12" s="525"/>
      <c r="O12" s="1389"/>
      <c r="P12" s="1390"/>
      <c r="Q12" s="1391"/>
      <c r="R12" s="525"/>
      <c r="S12" s="1389"/>
      <c r="T12" s="1390"/>
      <c r="U12" s="1391"/>
      <c r="V12" s="525"/>
      <c r="W12" s="1389"/>
      <c r="X12" s="1390"/>
      <c r="Y12" s="1391"/>
      <c r="Z12" s="547"/>
      <c r="AA12" s="525"/>
      <c r="AB12" s="525"/>
      <c r="AC12" s="525"/>
      <c r="AD12" s="525"/>
      <c r="AE12" s="547"/>
      <c r="AF12" s="548">
        <v>26.417219660000001</v>
      </c>
      <c r="AG12" s="542"/>
      <c r="AH12" s="549">
        <v>26.417219660000001</v>
      </c>
      <c r="AI12" s="553">
        <v>1872</v>
      </c>
      <c r="AJ12" s="521"/>
    </row>
    <row r="13" spans="1:36" s="98" customFormat="1" x14ac:dyDescent="0.4">
      <c r="A13" s="513">
        <v>1873</v>
      </c>
      <c r="B13" s="598"/>
      <c r="C13" s="525"/>
      <c r="D13" s="525"/>
      <c r="E13" s="525"/>
      <c r="F13" s="525"/>
      <c r="G13" s="540"/>
      <c r="H13" s="540"/>
      <c r="I13" s="541"/>
      <c r="J13" s="541"/>
      <c r="K13" s="525"/>
      <c r="L13" s="551"/>
      <c r="M13" s="552"/>
      <c r="N13" s="525"/>
      <c r="O13" s="1389"/>
      <c r="P13" s="1390"/>
      <c r="Q13" s="1391"/>
      <c r="R13" s="525"/>
      <c r="S13" s="1389"/>
      <c r="T13" s="1390"/>
      <c r="U13" s="1391"/>
      <c r="V13" s="525"/>
      <c r="W13" s="1389"/>
      <c r="X13" s="1390"/>
      <c r="Y13" s="1391"/>
      <c r="Z13" s="547"/>
      <c r="AA13" s="525"/>
      <c r="AB13" s="525"/>
      <c r="AC13" s="525"/>
      <c r="AD13" s="525"/>
      <c r="AE13" s="547"/>
      <c r="AF13" s="548">
        <v>69.091189880000002</v>
      </c>
      <c r="AG13" s="542"/>
      <c r="AH13" s="549">
        <v>69.091189880000002</v>
      </c>
      <c r="AI13" s="553">
        <v>1873</v>
      </c>
      <c r="AJ13" s="521"/>
    </row>
    <row r="14" spans="1:36" s="98" customFormat="1" x14ac:dyDescent="0.4">
      <c r="A14" s="513">
        <v>1874</v>
      </c>
      <c r="B14" s="598"/>
      <c r="C14" s="525"/>
      <c r="D14" s="525"/>
      <c r="E14" s="525"/>
      <c r="F14" s="525"/>
      <c r="G14" s="540"/>
      <c r="H14" s="540"/>
      <c r="I14" s="541"/>
      <c r="J14" s="541"/>
      <c r="K14" s="525"/>
      <c r="L14" s="551"/>
      <c r="M14" s="552"/>
      <c r="N14" s="525"/>
      <c r="O14" s="1389"/>
      <c r="P14" s="1390"/>
      <c r="Q14" s="1391"/>
      <c r="R14" s="525"/>
      <c r="S14" s="1389"/>
      <c r="T14" s="1390"/>
      <c r="U14" s="1391"/>
      <c r="V14" s="525"/>
      <c r="W14" s="1389"/>
      <c r="X14" s="1390"/>
      <c r="Y14" s="1391"/>
      <c r="Z14" s="547"/>
      <c r="AA14" s="525"/>
      <c r="AB14" s="525"/>
      <c r="AC14" s="525"/>
      <c r="AD14" s="525"/>
      <c r="AE14" s="547"/>
      <c r="AF14" s="548">
        <v>88.396081170000002</v>
      </c>
      <c r="AG14" s="542"/>
      <c r="AH14" s="549">
        <v>88.396081170000002</v>
      </c>
      <c r="AI14" s="553">
        <v>1874</v>
      </c>
      <c r="AJ14" s="521"/>
    </row>
    <row r="15" spans="1:36" s="98" customFormat="1" x14ac:dyDescent="0.4">
      <c r="A15" s="513">
        <v>1875</v>
      </c>
      <c r="B15" s="598"/>
      <c r="C15" s="525"/>
      <c r="D15" s="525"/>
      <c r="E15" s="525"/>
      <c r="F15" s="525"/>
      <c r="G15" s="540"/>
      <c r="H15" s="540"/>
      <c r="I15" s="541"/>
      <c r="J15" s="541"/>
      <c r="K15" s="525"/>
      <c r="L15" s="551"/>
      <c r="M15" s="552"/>
      <c r="N15" s="525"/>
      <c r="O15" s="1389"/>
      <c r="P15" s="1390"/>
      <c r="Q15" s="1391"/>
      <c r="R15" s="525"/>
      <c r="S15" s="1389"/>
      <c r="T15" s="1390"/>
      <c r="U15" s="1391"/>
      <c r="V15" s="525"/>
      <c r="W15" s="1389"/>
      <c r="X15" s="1390"/>
      <c r="Y15" s="1391"/>
      <c r="Z15" s="547"/>
      <c r="AA15" s="525"/>
      <c r="AB15" s="525"/>
      <c r="AC15" s="525"/>
      <c r="AD15" s="525"/>
      <c r="AE15" s="547"/>
      <c r="AF15" s="548">
        <v>80.267705890000002</v>
      </c>
      <c r="AG15" s="542"/>
      <c r="AH15" s="549">
        <v>80.267705890000002</v>
      </c>
      <c r="AI15" s="553">
        <v>1875</v>
      </c>
      <c r="AJ15" s="521"/>
    </row>
    <row r="16" spans="1:36" s="98" customFormat="1" x14ac:dyDescent="0.4">
      <c r="A16" s="513">
        <v>1876</v>
      </c>
      <c r="B16" s="598"/>
      <c r="C16" s="525"/>
      <c r="D16" s="525"/>
      <c r="E16" s="525"/>
      <c r="F16" s="525"/>
      <c r="G16" s="540"/>
      <c r="H16" s="540"/>
      <c r="I16" s="541"/>
      <c r="J16" s="541"/>
      <c r="K16" s="525"/>
      <c r="L16" s="551"/>
      <c r="M16" s="552"/>
      <c r="N16" s="525"/>
      <c r="O16" s="1389"/>
      <c r="P16" s="1390"/>
      <c r="Q16" s="1391"/>
      <c r="R16" s="525"/>
      <c r="S16" s="1389"/>
      <c r="T16" s="1390"/>
      <c r="U16" s="1391"/>
      <c r="V16" s="525"/>
      <c r="W16" s="1389"/>
      <c r="X16" s="1390"/>
      <c r="Y16" s="1391"/>
      <c r="Z16" s="547"/>
      <c r="AA16" s="525"/>
      <c r="AB16" s="525"/>
      <c r="AC16" s="525"/>
      <c r="AD16" s="525"/>
      <c r="AE16" s="547"/>
      <c r="AF16" s="548">
        <v>104.65283173</v>
      </c>
      <c r="AG16" s="542"/>
      <c r="AH16" s="549">
        <v>104.65283173</v>
      </c>
      <c r="AI16" s="553">
        <v>1876</v>
      </c>
      <c r="AJ16" s="521"/>
    </row>
    <row r="17" spans="1:36" s="98" customFormat="1" x14ac:dyDescent="0.4">
      <c r="A17" s="513">
        <v>1877</v>
      </c>
      <c r="B17" s="598"/>
      <c r="C17" s="525"/>
      <c r="D17" s="525"/>
      <c r="E17" s="525"/>
      <c r="F17" s="525"/>
      <c r="G17" s="540"/>
      <c r="H17" s="540"/>
      <c r="I17" s="541"/>
      <c r="J17" s="541"/>
      <c r="K17" s="525"/>
      <c r="L17" s="551"/>
      <c r="M17" s="552"/>
      <c r="N17" s="525"/>
      <c r="O17" s="1389"/>
      <c r="P17" s="1390"/>
      <c r="Q17" s="1391"/>
      <c r="R17" s="525"/>
      <c r="S17" s="1389"/>
      <c r="T17" s="1390"/>
      <c r="U17" s="1391"/>
      <c r="V17" s="525"/>
      <c r="W17" s="1389"/>
      <c r="X17" s="1390"/>
      <c r="Y17" s="1391"/>
      <c r="Z17" s="547"/>
      <c r="AA17" s="525"/>
      <c r="AB17" s="525"/>
      <c r="AC17" s="525"/>
      <c r="AD17" s="525"/>
      <c r="AE17" s="547"/>
      <c r="AF17" s="548">
        <v>139.19842667</v>
      </c>
      <c r="AG17" s="542"/>
      <c r="AH17" s="549">
        <v>139.19842667</v>
      </c>
      <c r="AI17" s="553">
        <v>1877</v>
      </c>
      <c r="AJ17" s="521"/>
    </row>
    <row r="18" spans="1:36" s="98" customFormat="1" x14ac:dyDescent="0.4">
      <c r="A18" s="513">
        <v>1878</v>
      </c>
      <c r="B18" s="598"/>
      <c r="C18" s="525"/>
      <c r="D18" s="525"/>
      <c r="E18" s="525"/>
      <c r="F18" s="525"/>
      <c r="G18" s="540"/>
      <c r="H18" s="540"/>
      <c r="I18" s="541"/>
      <c r="J18" s="541"/>
      <c r="K18" s="525"/>
      <c r="L18" s="551"/>
      <c r="M18" s="552"/>
      <c r="N18" s="525"/>
      <c r="O18" s="1389"/>
      <c r="P18" s="1390"/>
      <c r="Q18" s="1391"/>
      <c r="R18" s="525"/>
      <c r="S18" s="1389"/>
      <c r="T18" s="1390"/>
      <c r="U18" s="1391"/>
      <c r="V18" s="525"/>
      <c r="W18" s="1389"/>
      <c r="X18" s="1390"/>
      <c r="Y18" s="1391"/>
      <c r="Z18" s="547"/>
      <c r="AA18" s="525"/>
      <c r="AB18" s="525"/>
      <c r="AC18" s="525"/>
      <c r="AD18" s="525"/>
      <c r="AE18" s="547"/>
      <c r="AF18" s="548">
        <v>124.97376993</v>
      </c>
      <c r="AG18" s="542"/>
      <c r="AH18" s="549">
        <v>124.97376993</v>
      </c>
      <c r="AI18" s="553">
        <v>1878</v>
      </c>
      <c r="AJ18" s="521"/>
    </row>
    <row r="19" spans="1:36" s="98" customFormat="1" x14ac:dyDescent="0.4">
      <c r="A19" s="513">
        <v>1879</v>
      </c>
      <c r="B19" s="598"/>
      <c r="C19" s="525"/>
      <c r="D19" s="525"/>
      <c r="E19" s="525"/>
      <c r="F19" s="525"/>
      <c r="G19" s="540"/>
      <c r="H19" s="540"/>
      <c r="I19" s="541"/>
      <c r="J19" s="541"/>
      <c r="K19" s="525"/>
      <c r="L19" s="551"/>
      <c r="M19" s="552"/>
      <c r="N19" s="525"/>
      <c r="O19" s="1389"/>
      <c r="P19" s="1390"/>
      <c r="Q19" s="1391"/>
      <c r="R19" s="525"/>
      <c r="S19" s="1389"/>
      <c r="T19" s="1390"/>
      <c r="U19" s="1391"/>
      <c r="V19" s="525"/>
      <c r="W19" s="1389"/>
      <c r="X19" s="1390"/>
      <c r="Y19" s="1391"/>
      <c r="Z19" s="547"/>
      <c r="AA19" s="525"/>
      <c r="AB19" s="525"/>
      <c r="AC19" s="525"/>
      <c r="AD19" s="525"/>
      <c r="AE19" s="547"/>
      <c r="AF19" s="548">
        <v>178.82425616</v>
      </c>
      <c r="AG19" s="542"/>
      <c r="AH19" s="549">
        <v>178.82425616</v>
      </c>
      <c r="AI19" s="553">
        <v>1879</v>
      </c>
      <c r="AJ19" s="521"/>
    </row>
    <row r="20" spans="1:36" s="98" customFormat="1" x14ac:dyDescent="0.4">
      <c r="A20" s="513">
        <v>1880</v>
      </c>
      <c r="B20" s="598"/>
      <c r="C20" s="525"/>
      <c r="D20" s="525"/>
      <c r="E20" s="525"/>
      <c r="F20" s="525"/>
      <c r="G20" s="540"/>
      <c r="H20" s="540"/>
      <c r="I20" s="541"/>
      <c r="J20" s="541"/>
      <c r="K20" s="525"/>
      <c r="L20" s="551"/>
      <c r="M20" s="552"/>
      <c r="N20" s="525"/>
      <c r="O20" s="1389"/>
      <c r="P20" s="1390"/>
      <c r="Q20" s="1391"/>
      <c r="R20" s="525"/>
      <c r="S20" s="1389"/>
      <c r="T20" s="1390"/>
      <c r="U20" s="1391"/>
      <c r="V20" s="525"/>
      <c r="W20" s="1389"/>
      <c r="X20" s="1390"/>
      <c r="Y20" s="1391"/>
      <c r="Z20" s="547"/>
      <c r="AA20" s="525"/>
      <c r="AB20" s="525"/>
      <c r="AC20" s="525"/>
      <c r="AD20" s="525"/>
      <c r="AE20" s="547"/>
      <c r="AF20" s="548">
        <v>157.48727105</v>
      </c>
      <c r="AG20" s="542"/>
      <c r="AH20" s="549">
        <v>157.48727105</v>
      </c>
      <c r="AI20" s="553">
        <v>1880</v>
      </c>
      <c r="AJ20" s="521"/>
    </row>
    <row r="21" spans="1:36" s="98" customFormat="1" x14ac:dyDescent="0.4">
      <c r="A21" s="513">
        <v>1881</v>
      </c>
      <c r="B21" s="598"/>
      <c r="C21" s="525"/>
      <c r="D21" s="525"/>
      <c r="E21" s="525"/>
      <c r="F21" s="525"/>
      <c r="G21" s="540"/>
      <c r="H21" s="540"/>
      <c r="I21" s="541"/>
      <c r="J21" s="541"/>
      <c r="K21" s="525"/>
      <c r="L21" s="551"/>
      <c r="M21" s="552"/>
      <c r="N21" s="525"/>
      <c r="O21" s="1389"/>
      <c r="P21" s="1390"/>
      <c r="Q21" s="1391"/>
      <c r="R21" s="525"/>
      <c r="S21" s="1389"/>
      <c r="T21" s="1390"/>
      <c r="U21" s="1391"/>
      <c r="V21" s="525"/>
      <c r="W21" s="1389"/>
      <c r="X21" s="1390"/>
      <c r="Y21" s="1391"/>
      <c r="Z21" s="547"/>
      <c r="AA21" s="525"/>
      <c r="AB21" s="525"/>
      <c r="AC21" s="525"/>
      <c r="AD21" s="525"/>
      <c r="AE21" s="547"/>
      <c r="AF21" s="548">
        <v>243.85125840000001</v>
      </c>
      <c r="AG21" s="542"/>
      <c r="AH21" s="549">
        <v>243.85125840000001</v>
      </c>
      <c r="AI21" s="553">
        <v>1881</v>
      </c>
      <c r="AJ21" s="521"/>
    </row>
    <row r="22" spans="1:36" s="98" customFormat="1" x14ac:dyDescent="0.4">
      <c r="A22" s="513">
        <v>1882</v>
      </c>
      <c r="B22" s="598"/>
      <c r="C22" s="525"/>
      <c r="D22" s="525"/>
      <c r="E22" s="525"/>
      <c r="F22" s="525"/>
      <c r="G22" s="540"/>
      <c r="H22" s="540"/>
      <c r="I22" s="541"/>
      <c r="J22" s="541"/>
      <c r="K22" s="525"/>
      <c r="L22" s="551"/>
      <c r="M22" s="552"/>
      <c r="N22" s="525"/>
      <c r="O22" s="1389"/>
      <c r="P22" s="1390"/>
      <c r="Q22" s="1391"/>
      <c r="R22" s="525"/>
      <c r="S22" s="1389"/>
      <c r="T22" s="1390"/>
      <c r="U22" s="1391"/>
      <c r="V22" s="525"/>
      <c r="W22" s="1389"/>
      <c r="X22" s="1390"/>
      <c r="Y22" s="1391"/>
      <c r="Z22" s="547"/>
      <c r="AA22" s="525"/>
      <c r="AB22" s="525"/>
      <c r="AC22" s="525"/>
      <c r="AD22" s="525"/>
      <c r="AE22" s="547"/>
      <c r="AF22" s="548">
        <v>248.93149295000001</v>
      </c>
      <c r="AG22" s="542"/>
      <c r="AH22" s="549">
        <v>248.93149295000001</v>
      </c>
      <c r="AI22" s="553">
        <v>1882</v>
      </c>
      <c r="AJ22" s="521"/>
    </row>
    <row r="23" spans="1:36" s="98" customFormat="1" x14ac:dyDescent="0.4">
      <c r="A23" s="513">
        <v>1883</v>
      </c>
      <c r="B23" s="598"/>
      <c r="C23" s="525"/>
      <c r="D23" s="525"/>
      <c r="E23" s="525"/>
      <c r="F23" s="525"/>
      <c r="G23" s="540"/>
      <c r="H23" s="540"/>
      <c r="I23" s="541"/>
      <c r="J23" s="541"/>
      <c r="K23" s="525"/>
      <c r="L23" s="551"/>
      <c r="M23" s="552"/>
      <c r="N23" s="525"/>
      <c r="O23" s="1389"/>
      <c r="P23" s="1390"/>
      <c r="Q23" s="1391"/>
      <c r="R23" s="525"/>
      <c r="S23" s="1389"/>
      <c r="T23" s="1390"/>
      <c r="U23" s="1391"/>
      <c r="V23" s="525"/>
      <c r="W23" s="1389"/>
      <c r="X23" s="1390"/>
      <c r="Y23" s="1391"/>
      <c r="Z23" s="547"/>
      <c r="AA23" s="525"/>
      <c r="AB23" s="525"/>
      <c r="AC23" s="525"/>
      <c r="AD23" s="525"/>
      <c r="AE23" s="547"/>
      <c r="AF23" s="548">
        <v>288.55732244000001</v>
      </c>
      <c r="AG23" s="542"/>
      <c r="AH23" s="549">
        <v>288.55732244000001</v>
      </c>
      <c r="AI23" s="553">
        <v>1883</v>
      </c>
      <c r="AJ23" s="521"/>
    </row>
    <row r="24" spans="1:36" s="98" customFormat="1" x14ac:dyDescent="0.4">
      <c r="A24" s="513">
        <v>1884</v>
      </c>
      <c r="B24" s="598"/>
      <c r="C24" s="525"/>
      <c r="D24" s="525"/>
      <c r="E24" s="525"/>
      <c r="F24" s="525"/>
      <c r="G24" s="540"/>
      <c r="H24" s="540"/>
      <c r="I24" s="541"/>
      <c r="J24" s="541"/>
      <c r="K24" s="525"/>
      <c r="L24" s="551"/>
      <c r="M24" s="552"/>
      <c r="N24" s="525"/>
      <c r="O24" s="1389"/>
      <c r="P24" s="1390"/>
      <c r="Q24" s="1391"/>
      <c r="R24" s="525"/>
      <c r="S24" s="1389"/>
      <c r="T24" s="1390"/>
      <c r="U24" s="1391"/>
      <c r="V24" s="525"/>
      <c r="W24" s="1389"/>
      <c r="X24" s="1390"/>
      <c r="Y24" s="1391"/>
      <c r="Z24" s="547"/>
      <c r="AA24" s="525"/>
      <c r="AB24" s="525"/>
      <c r="AC24" s="525"/>
      <c r="AD24" s="525"/>
      <c r="AE24" s="547"/>
      <c r="AF24" s="548">
        <v>217.43403874000001</v>
      </c>
      <c r="AG24" s="542"/>
      <c r="AH24" s="549">
        <v>217.43403874000001</v>
      </c>
      <c r="AI24" s="553">
        <v>1884</v>
      </c>
      <c r="AJ24" s="521"/>
    </row>
    <row r="25" spans="1:36" s="98" customFormat="1" x14ac:dyDescent="0.4">
      <c r="A25" s="513">
        <v>1885</v>
      </c>
      <c r="B25" s="598"/>
      <c r="C25" s="525"/>
      <c r="D25" s="525"/>
      <c r="E25" s="525"/>
      <c r="F25" s="525"/>
      <c r="G25" s="540"/>
      <c r="H25" s="540"/>
      <c r="I25" s="541"/>
      <c r="J25" s="541"/>
      <c r="K25" s="525"/>
      <c r="L25" s="551"/>
      <c r="M25" s="552"/>
      <c r="N25" s="525"/>
      <c r="O25" s="1389"/>
      <c r="P25" s="1390"/>
      <c r="Q25" s="1391"/>
      <c r="R25" s="525"/>
      <c r="S25" s="1389"/>
      <c r="T25" s="1390"/>
      <c r="U25" s="1391"/>
      <c r="V25" s="525"/>
      <c r="W25" s="1389"/>
      <c r="X25" s="1390"/>
      <c r="Y25" s="1391"/>
      <c r="Z25" s="547"/>
      <c r="AA25" s="525"/>
      <c r="AB25" s="525"/>
      <c r="AC25" s="525"/>
      <c r="AD25" s="525"/>
      <c r="AE25" s="547"/>
      <c r="AF25" s="548">
        <v>304.81407300000001</v>
      </c>
      <c r="AG25" s="542"/>
      <c r="AH25" s="549">
        <v>304.81407300000001</v>
      </c>
      <c r="AI25" s="553">
        <v>1885</v>
      </c>
      <c r="AJ25" s="521"/>
    </row>
    <row r="26" spans="1:36" s="98" customFormat="1" x14ac:dyDescent="0.4">
      <c r="A26" s="513">
        <v>1886</v>
      </c>
      <c r="B26" s="598"/>
      <c r="C26" s="525"/>
      <c r="D26" s="525"/>
      <c r="E26" s="525"/>
      <c r="F26" s="525"/>
      <c r="G26" s="540"/>
      <c r="H26" s="540"/>
      <c r="I26" s="541"/>
      <c r="J26" s="541"/>
      <c r="K26" s="525"/>
      <c r="L26" s="551"/>
      <c r="M26" s="552"/>
      <c r="N26" s="525"/>
      <c r="O26" s="1389"/>
      <c r="P26" s="1390"/>
      <c r="Q26" s="1391"/>
      <c r="R26" s="525"/>
      <c r="S26" s="1389"/>
      <c r="T26" s="1390"/>
      <c r="U26" s="1391"/>
      <c r="V26" s="525"/>
      <c r="W26" s="1389"/>
      <c r="X26" s="1390"/>
      <c r="Y26" s="1391"/>
      <c r="Z26" s="547"/>
      <c r="AA26" s="525"/>
      <c r="AB26" s="525"/>
      <c r="AC26" s="525"/>
      <c r="AD26" s="525"/>
      <c r="AE26" s="547"/>
      <c r="AF26" s="548">
        <v>297.70174463000001</v>
      </c>
      <c r="AG26" s="542"/>
      <c r="AH26" s="549">
        <v>297.70174463000001</v>
      </c>
      <c r="AI26" s="553">
        <v>1886</v>
      </c>
      <c r="AJ26" s="521"/>
    </row>
    <row r="27" spans="1:36" s="98" customFormat="1" x14ac:dyDescent="0.4">
      <c r="A27" s="513">
        <v>1887</v>
      </c>
      <c r="B27" s="598"/>
      <c r="C27" s="525"/>
      <c r="D27" s="525"/>
      <c r="E27" s="525"/>
      <c r="F27" s="525"/>
      <c r="G27" s="540"/>
      <c r="H27" s="540"/>
      <c r="I27" s="541"/>
      <c r="J27" s="541"/>
      <c r="K27" s="525"/>
      <c r="L27" s="551"/>
      <c r="M27" s="552"/>
      <c r="N27" s="525"/>
      <c r="O27" s="1389"/>
      <c r="P27" s="1390"/>
      <c r="Q27" s="1391"/>
      <c r="R27" s="525"/>
      <c r="S27" s="1389"/>
      <c r="T27" s="1390"/>
      <c r="U27" s="1391"/>
      <c r="V27" s="525"/>
      <c r="W27" s="1389"/>
      <c r="X27" s="1390"/>
      <c r="Y27" s="1391"/>
      <c r="Z27" s="547"/>
      <c r="AA27" s="525"/>
      <c r="AB27" s="525"/>
      <c r="AC27" s="525"/>
      <c r="AD27" s="525"/>
      <c r="AE27" s="547"/>
      <c r="AF27" s="548">
        <v>328.18315193000001</v>
      </c>
      <c r="AG27" s="542"/>
      <c r="AH27" s="549">
        <v>328.18315193000001</v>
      </c>
      <c r="AI27" s="553">
        <v>1887</v>
      </c>
      <c r="AJ27" s="521"/>
    </row>
    <row r="28" spans="1:36" s="98" customFormat="1" x14ac:dyDescent="0.4">
      <c r="A28" s="513">
        <v>1888</v>
      </c>
      <c r="B28" s="598"/>
      <c r="C28" s="525"/>
      <c r="D28" s="525"/>
      <c r="E28" s="525"/>
      <c r="F28" s="525"/>
      <c r="G28" s="540"/>
      <c r="H28" s="540"/>
      <c r="I28" s="541"/>
      <c r="J28" s="541"/>
      <c r="K28" s="525"/>
      <c r="L28" s="551"/>
      <c r="M28" s="552"/>
      <c r="N28" s="525"/>
      <c r="O28" s="1389"/>
      <c r="P28" s="1390"/>
      <c r="Q28" s="1391"/>
      <c r="R28" s="525"/>
      <c r="S28" s="1389"/>
      <c r="T28" s="1390"/>
      <c r="U28" s="1391"/>
      <c r="V28" s="525"/>
      <c r="W28" s="1389"/>
      <c r="X28" s="1390"/>
      <c r="Y28" s="1391"/>
      <c r="Z28" s="547"/>
      <c r="AA28" s="525"/>
      <c r="AB28" s="525"/>
      <c r="AC28" s="525"/>
      <c r="AD28" s="525"/>
      <c r="AE28" s="547"/>
      <c r="AF28" s="548">
        <v>396.25829490000001</v>
      </c>
      <c r="AG28" s="542"/>
      <c r="AH28" s="549">
        <v>396.25829490000001</v>
      </c>
      <c r="AI28" s="553">
        <v>1888</v>
      </c>
      <c r="AJ28" s="521"/>
    </row>
    <row r="29" spans="1:36" s="98" customFormat="1" x14ac:dyDescent="0.4">
      <c r="A29" s="513">
        <v>1889</v>
      </c>
      <c r="B29" s="598"/>
      <c r="C29" s="525"/>
      <c r="D29" s="525"/>
      <c r="E29" s="525"/>
      <c r="F29" s="525"/>
      <c r="G29" s="540"/>
      <c r="H29" s="540"/>
      <c r="I29" s="541"/>
      <c r="J29" s="541"/>
      <c r="K29" s="525"/>
      <c r="L29" s="551"/>
      <c r="M29" s="552"/>
      <c r="N29" s="525"/>
      <c r="O29" s="1389"/>
      <c r="P29" s="1390"/>
      <c r="Q29" s="1391"/>
      <c r="R29" s="525"/>
      <c r="S29" s="1389"/>
      <c r="T29" s="1390"/>
      <c r="U29" s="1391"/>
      <c r="V29" s="525"/>
      <c r="W29" s="1389"/>
      <c r="X29" s="1390"/>
      <c r="Y29" s="1391"/>
      <c r="Z29" s="547"/>
      <c r="AA29" s="525"/>
      <c r="AB29" s="525"/>
      <c r="AC29" s="525"/>
      <c r="AD29" s="525"/>
      <c r="AE29" s="547"/>
      <c r="AF29" s="548">
        <v>426.73970220000001</v>
      </c>
      <c r="AG29" s="542"/>
      <c r="AH29" s="549">
        <v>426.73970220000001</v>
      </c>
      <c r="AI29" s="553">
        <v>1889</v>
      </c>
      <c r="AJ29" s="521"/>
    </row>
    <row r="30" spans="1:36" s="98" customFormat="1" x14ac:dyDescent="0.4">
      <c r="A30" s="513">
        <v>1890</v>
      </c>
      <c r="B30" s="598"/>
      <c r="C30" s="525"/>
      <c r="D30" s="525"/>
      <c r="E30" s="525"/>
      <c r="F30" s="525"/>
      <c r="G30" s="540"/>
      <c r="H30" s="540"/>
      <c r="I30" s="541"/>
      <c r="J30" s="541"/>
      <c r="K30" s="525"/>
      <c r="L30" s="551"/>
      <c r="M30" s="552"/>
      <c r="N30" s="525"/>
      <c r="O30" s="1389"/>
      <c r="P30" s="1390"/>
      <c r="Q30" s="1391"/>
      <c r="R30" s="525"/>
      <c r="S30" s="1389"/>
      <c r="T30" s="1390"/>
      <c r="U30" s="1391"/>
      <c r="V30" s="525"/>
      <c r="W30" s="1389"/>
      <c r="X30" s="1390"/>
      <c r="Y30" s="1391"/>
      <c r="Z30" s="547"/>
      <c r="AA30" s="525"/>
      <c r="AB30" s="525"/>
      <c r="AC30" s="525"/>
      <c r="AD30" s="525"/>
      <c r="AE30" s="547"/>
      <c r="AF30" s="548">
        <v>445.02854658000001</v>
      </c>
      <c r="AG30" s="542"/>
      <c r="AH30" s="549">
        <v>445.02854658000001</v>
      </c>
      <c r="AI30" s="553">
        <v>1890</v>
      </c>
      <c r="AJ30" s="521"/>
    </row>
    <row r="31" spans="1:36" s="98" customFormat="1" x14ac:dyDescent="0.4">
      <c r="A31" s="513">
        <v>1891</v>
      </c>
      <c r="B31" s="598"/>
      <c r="C31" s="525"/>
      <c r="D31" s="525"/>
      <c r="E31" s="525"/>
      <c r="F31" s="525"/>
      <c r="G31" s="540"/>
      <c r="H31" s="540"/>
      <c r="I31" s="541"/>
      <c r="J31" s="541"/>
      <c r="K31" s="525"/>
      <c r="L31" s="551"/>
      <c r="M31" s="552"/>
      <c r="N31" s="525"/>
      <c r="O31" s="1389"/>
      <c r="P31" s="1390"/>
      <c r="Q31" s="1391"/>
      <c r="R31" s="525"/>
      <c r="S31" s="1389"/>
      <c r="T31" s="1390"/>
      <c r="U31" s="1391"/>
      <c r="V31" s="525"/>
      <c r="W31" s="1389"/>
      <c r="X31" s="1390"/>
      <c r="Y31" s="1391"/>
      <c r="Z31" s="547"/>
      <c r="AA31" s="525"/>
      <c r="AB31" s="525"/>
      <c r="AC31" s="525"/>
      <c r="AD31" s="525"/>
      <c r="AE31" s="547"/>
      <c r="AF31" s="548">
        <v>553.74556595000001</v>
      </c>
      <c r="AG31" s="542"/>
      <c r="AH31" s="549">
        <v>553.74556595000001</v>
      </c>
      <c r="AI31" s="553">
        <v>1891</v>
      </c>
      <c r="AJ31" s="521"/>
    </row>
    <row r="32" spans="1:36" s="98" customFormat="1" x14ac:dyDescent="0.4">
      <c r="A32" s="513">
        <v>1892</v>
      </c>
      <c r="B32" s="598"/>
      <c r="C32" s="525"/>
      <c r="D32" s="525"/>
      <c r="E32" s="525"/>
      <c r="F32" s="525"/>
      <c r="G32" s="540"/>
      <c r="H32" s="540"/>
      <c r="I32" s="541"/>
      <c r="J32" s="541"/>
      <c r="K32" s="525"/>
      <c r="L32" s="551"/>
      <c r="M32" s="552"/>
      <c r="N32" s="525"/>
      <c r="O32" s="1389"/>
      <c r="P32" s="1390"/>
      <c r="Q32" s="1391"/>
      <c r="R32" s="525"/>
      <c r="S32" s="1389"/>
      <c r="T32" s="1390"/>
      <c r="U32" s="1391"/>
      <c r="V32" s="525"/>
      <c r="W32" s="1389"/>
      <c r="X32" s="1390"/>
      <c r="Y32" s="1391"/>
      <c r="Z32" s="547"/>
      <c r="AA32" s="525"/>
      <c r="AB32" s="525"/>
      <c r="AC32" s="525"/>
      <c r="AD32" s="525"/>
      <c r="AE32" s="547"/>
      <c r="AF32" s="548">
        <v>546.63323758000001</v>
      </c>
      <c r="AG32" s="542"/>
      <c r="AH32" s="549">
        <v>546.63323758000001</v>
      </c>
      <c r="AI32" s="553">
        <v>1892</v>
      </c>
      <c r="AJ32" s="521"/>
    </row>
    <row r="33" spans="1:36" s="98" customFormat="1" x14ac:dyDescent="0.4">
      <c r="A33" s="513">
        <v>1893</v>
      </c>
      <c r="B33" s="598"/>
      <c r="C33" s="525"/>
      <c r="D33" s="525"/>
      <c r="E33" s="525"/>
      <c r="F33" s="525"/>
      <c r="G33" s="540"/>
      <c r="H33" s="540"/>
      <c r="I33" s="541"/>
      <c r="J33" s="541"/>
      <c r="K33" s="525"/>
      <c r="L33" s="551"/>
      <c r="M33" s="552"/>
      <c r="N33" s="525"/>
      <c r="O33" s="1389"/>
      <c r="P33" s="1390"/>
      <c r="Q33" s="1391"/>
      <c r="R33" s="525"/>
      <c r="S33" s="1389"/>
      <c r="T33" s="1390"/>
      <c r="U33" s="1391"/>
      <c r="V33" s="525"/>
      <c r="W33" s="1389"/>
      <c r="X33" s="1390"/>
      <c r="Y33" s="1391"/>
      <c r="Z33" s="547"/>
      <c r="AA33" s="525"/>
      <c r="AB33" s="525"/>
      <c r="AC33" s="525"/>
      <c r="AD33" s="525"/>
      <c r="AE33" s="547"/>
      <c r="AF33" s="548">
        <v>660.43049150000002</v>
      </c>
      <c r="AG33" s="542"/>
      <c r="AH33" s="549">
        <v>660.43049150000002</v>
      </c>
      <c r="AI33" s="553">
        <v>1893</v>
      </c>
      <c r="AJ33" s="521"/>
    </row>
    <row r="34" spans="1:36" s="98" customFormat="1" x14ac:dyDescent="0.4">
      <c r="A34" s="513">
        <v>1894</v>
      </c>
      <c r="B34" s="598"/>
      <c r="C34" s="525"/>
      <c r="D34" s="525"/>
      <c r="E34" s="525"/>
      <c r="F34" s="525"/>
      <c r="G34" s="540"/>
      <c r="H34" s="540"/>
      <c r="I34" s="541"/>
      <c r="J34" s="541"/>
      <c r="K34" s="525"/>
      <c r="L34" s="551"/>
      <c r="M34" s="552"/>
      <c r="N34" s="525"/>
      <c r="O34" s="1389"/>
      <c r="P34" s="1390"/>
      <c r="Q34" s="1391"/>
      <c r="R34" s="525"/>
      <c r="S34" s="1389"/>
      <c r="T34" s="1390"/>
      <c r="U34" s="1391"/>
      <c r="V34" s="525"/>
      <c r="W34" s="1389"/>
      <c r="X34" s="1390"/>
      <c r="Y34" s="1391"/>
      <c r="Z34" s="547"/>
      <c r="AA34" s="525"/>
      <c r="AB34" s="525"/>
      <c r="AC34" s="525"/>
      <c r="AD34" s="525"/>
      <c r="AE34" s="547"/>
      <c r="AF34" s="548">
        <v>684.81561734000002</v>
      </c>
      <c r="AG34" s="542"/>
      <c r="AH34" s="549">
        <v>684.81561734000002</v>
      </c>
      <c r="AI34" s="553">
        <v>1894</v>
      </c>
      <c r="AJ34" s="521"/>
    </row>
    <row r="35" spans="1:36" s="98" customFormat="1" x14ac:dyDescent="0.4">
      <c r="A35" s="513">
        <v>1895</v>
      </c>
      <c r="B35" s="598"/>
      <c r="C35" s="525"/>
      <c r="D35" s="525"/>
      <c r="E35" s="525"/>
      <c r="F35" s="525"/>
      <c r="G35" s="540"/>
      <c r="H35" s="540"/>
      <c r="I35" s="541"/>
      <c r="J35" s="541"/>
      <c r="K35" s="525"/>
      <c r="L35" s="551"/>
      <c r="M35" s="552"/>
      <c r="N35" s="525"/>
      <c r="O35" s="1389"/>
      <c r="P35" s="1390"/>
      <c r="Q35" s="1391"/>
      <c r="R35" s="525"/>
      <c r="S35" s="1389"/>
      <c r="T35" s="1390"/>
      <c r="U35" s="1391"/>
      <c r="V35" s="525"/>
      <c r="W35" s="1389"/>
      <c r="X35" s="1390"/>
      <c r="Y35" s="1391"/>
      <c r="Z35" s="547"/>
      <c r="AA35" s="525"/>
      <c r="AB35" s="525"/>
      <c r="AC35" s="525"/>
      <c r="AD35" s="525"/>
      <c r="AE35" s="547"/>
      <c r="AF35" s="548">
        <v>748.82657267000002</v>
      </c>
      <c r="AG35" s="542"/>
      <c r="AH35" s="549">
        <v>748.82657267000002</v>
      </c>
      <c r="AI35" s="553">
        <v>1895</v>
      </c>
      <c r="AJ35" s="521"/>
    </row>
    <row r="36" spans="1:36" s="98" customFormat="1" x14ac:dyDescent="0.4">
      <c r="A36" s="513">
        <v>1896</v>
      </c>
      <c r="B36" s="598"/>
      <c r="C36" s="525"/>
      <c r="D36" s="525"/>
      <c r="E36" s="525"/>
      <c r="F36" s="525"/>
      <c r="G36" s="540"/>
      <c r="H36" s="540"/>
      <c r="I36" s="541"/>
      <c r="J36" s="541"/>
      <c r="K36" s="525"/>
      <c r="L36" s="551"/>
      <c r="M36" s="552"/>
      <c r="N36" s="525"/>
      <c r="O36" s="1389"/>
      <c r="P36" s="1390"/>
      <c r="Q36" s="1391"/>
      <c r="R36" s="525"/>
      <c r="S36" s="1389"/>
      <c r="T36" s="1390"/>
      <c r="U36" s="1391"/>
      <c r="V36" s="525"/>
      <c r="W36" s="1389"/>
      <c r="X36" s="1390"/>
      <c r="Y36" s="1391"/>
      <c r="Z36" s="547"/>
      <c r="AA36" s="525"/>
      <c r="AB36" s="525"/>
      <c r="AC36" s="525"/>
      <c r="AD36" s="525"/>
      <c r="AE36" s="547"/>
      <c r="AF36" s="548">
        <v>797.59682435000002</v>
      </c>
      <c r="AG36" s="542"/>
      <c r="AH36" s="549">
        <v>797.59682435000002</v>
      </c>
      <c r="AI36" s="553">
        <v>1896</v>
      </c>
      <c r="AJ36" s="521"/>
    </row>
    <row r="37" spans="1:36" s="98" customFormat="1" x14ac:dyDescent="0.4">
      <c r="A37" s="513">
        <v>1897</v>
      </c>
      <c r="B37" s="598"/>
      <c r="C37" s="525"/>
      <c r="D37" s="525"/>
      <c r="E37" s="525"/>
      <c r="F37" s="525"/>
      <c r="G37" s="540"/>
      <c r="H37" s="540"/>
      <c r="I37" s="541"/>
      <c r="J37" s="541"/>
      <c r="K37" s="525"/>
      <c r="L37" s="551"/>
      <c r="M37" s="552"/>
      <c r="N37" s="525"/>
      <c r="O37" s="1389"/>
      <c r="P37" s="1390"/>
      <c r="Q37" s="1391"/>
      <c r="R37" s="525"/>
      <c r="S37" s="1396"/>
      <c r="T37" s="1396"/>
      <c r="U37" s="1396"/>
      <c r="V37" s="525"/>
      <c r="W37" s="1389"/>
      <c r="X37" s="1390"/>
      <c r="Y37" s="1391"/>
      <c r="Z37" s="547"/>
      <c r="AA37" s="525"/>
      <c r="AB37" s="525"/>
      <c r="AC37" s="525"/>
      <c r="AD37" s="525"/>
      <c r="AE37" s="547"/>
      <c r="AF37" s="548">
        <v>786.42030834000002</v>
      </c>
      <c r="AG37" s="542"/>
      <c r="AH37" s="549">
        <v>786.42030834000002</v>
      </c>
      <c r="AI37" s="553">
        <v>1897</v>
      </c>
      <c r="AJ37" s="521"/>
    </row>
    <row r="38" spans="1:36" s="98" customFormat="1" x14ac:dyDescent="0.4">
      <c r="A38" s="513">
        <v>1898</v>
      </c>
      <c r="B38" s="598"/>
      <c r="C38" s="525"/>
      <c r="D38" s="525"/>
      <c r="E38" s="525"/>
      <c r="F38" s="525"/>
      <c r="G38" s="540"/>
      <c r="H38" s="540"/>
      <c r="I38" s="541"/>
      <c r="J38" s="541"/>
      <c r="K38" s="525"/>
      <c r="L38" s="551"/>
      <c r="M38" s="552"/>
      <c r="N38" s="525"/>
      <c r="O38" s="1389"/>
      <c r="P38" s="1390"/>
      <c r="Q38" s="1391"/>
      <c r="R38" s="525"/>
      <c r="S38" s="1396"/>
      <c r="T38" s="1396"/>
      <c r="U38" s="1396"/>
      <c r="V38" s="525"/>
      <c r="W38" s="1389"/>
      <c r="X38" s="1390"/>
      <c r="Y38" s="1391"/>
      <c r="Z38" s="547"/>
      <c r="AA38" s="525"/>
      <c r="AB38" s="525"/>
      <c r="AC38" s="525"/>
      <c r="AD38" s="525"/>
      <c r="AE38" s="547"/>
      <c r="AF38" s="548">
        <v>932.73106338000002</v>
      </c>
      <c r="AG38" s="542"/>
      <c r="AH38" s="549">
        <v>932.73106338000002</v>
      </c>
      <c r="AI38" s="553">
        <v>1898</v>
      </c>
      <c r="AJ38" s="521"/>
    </row>
    <row r="39" spans="1:36" s="98" customFormat="1" x14ac:dyDescent="0.4">
      <c r="A39" s="513">
        <v>1899</v>
      </c>
      <c r="B39" s="598"/>
      <c r="C39" s="525"/>
      <c r="D39" s="525"/>
      <c r="E39" s="525"/>
      <c r="F39" s="525"/>
      <c r="G39" s="540"/>
      <c r="H39" s="540"/>
      <c r="I39" s="541"/>
      <c r="J39" s="541"/>
      <c r="K39" s="525"/>
      <c r="L39" s="551"/>
      <c r="M39" s="552"/>
      <c r="N39" s="525"/>
      <c r="O39" s="1389"/>
      <c r="P39" s="1390"/>
      <c r="Q39" s="1391"/>
      <c r="R39" s="525"/>
      <c r="S39" s="1396">
        <v>735.61796284000002</v>
      </c>
      <c r="T39" s="1396"/>
      <c r="U39" s="1396"/>
      <c r="V39" s="525"/>
      <c r="W39" s="1389"/>
      <c r="X39" s="1390"/>
      <c r="Y39" s="1391"/>
      <c r="Z39" s="547"/>
      <c r="AA39" s="525"/>
      <c r="AB39" s="525"/>
      <c r="AC39" s="525"/>
      <c r="AD39" s="525"/>
      <c r="AE39" s="547">
        <v>144.27866122</v>
      </c>
      <c r="AF39" s="548">
        <v>879.89662406000002</v>
      </c>
      <c r="AG39" s="542"/>
      <c r="AH39" s="549">
        <v>879.89662406000002</v>
      </c>
      <c r="AI39" s="553">
        <v>1899</v>
      </c>
      <c r="AJ39" s="521"/>
    </row>
    <row r="40" spans="1:36" s="98" customFormat="1" x14ac:dyDescent="0.4">
      <c r="A40" s="513">
        <v>1900</v>
      </c>
      <c r="B40" s="598"/>
      <c r="C40" s="525"/>
      <c r="D40" s="525"/>
      <c r="E40" s="525"/>
      <c r="F40" s="525"/>
      <c r="G40" s="540"/>
      <c r="H40" s="540"/>
      <c r="I40" s="541"/>
      <c r="J40" s="541"/>
      <c r="K40" s="525"/>
      <c r="L40" s="551"/>
      <c r="M40" s="552"/>
      <c r="N40" s="525"/>
      <c r="O40" s="1389"/>
      <c r="P40" s="1390"/>
      <c r="Q40" s="1391"/>
      <c r="R40" s="525"/>
      <c r="S40" s="1396">
        <v>778.29193306000002</v>
      </c>
      <c r="T40" s="1396"/>
      <c r="U40" s="1396"/>
      <c r="V40" s="525"/>
      <c r="W40" s="1389"/>
      <c r="X40" s="1390"/>
      <c r="Y40" s="1391"/>
      <c r="Z40" s="547"/>
      <c r="AA40" s="525"/>
      <c r="AB40" s="525"/>
      <c r="AC40" s="525"/>
      <c r="AD40" s="525"/>
      <c r="AE40" s="547">
        <v>155.45517723</v>
      </c>
      <c r="AF40" s="548">
        <v>933.74711029000002</v>
      </c>
      <c r="AG40" s="542"/>
      <c r="AH40" s="549">
        <v>933.74711029000002</v>
      </c>
      <c r="AI40" s="553">
        <v>1900</v>
      </c>
      <c r="AJ40" s="521"/>
    </row>
    <row r="41" spans="1:36" s="98" customFormat="1" x14ac:dyDescent="0.4">
      <c r="A41" s="513">
        <v>1901</v>
      </c>
      <c r="B41" s="598"/>
      <c r="C41" s="525"/>
      <c r="D41" s="525"/>
      <c r="E41" s="525"/>
      <c r="F41" s="525"/>
      <c r="G41" s="540"/>
      <c r="H41" s="540"/>
      <c r="I41" s="541"/>
      <c r="J41" s="541"/>
      <c r="K41" s="525"/>
      <c r="L41" s="551"/>
      <c r="M41" s="552"/>
      <c r="N41" s="525"/>
      <c r="O41" s="1396"/>
      <c r="P41" s="1396"/>
      <c r="Q41" s="1396"/>
      <c r="R41" s="525"/>
      <c r="S41" s="1396">
        <v>783.37216761000002</v>
      </c>
      <c r="T41" s="1396"/>
      <c r="U41" s="1396"/>
      <c r="V41" s="525"/>
      <c r="W41" s="1396"/>
      <c r="X41" s="1396"/>
      <c r="Y41" s="1396"/>
      <c r="Z41" s="547"/>
      <c r="AA41" s="525"/>
      <c r="AB41" s="525"/>
      <c r="AC41" s="525"/>
      <c r="AD41" s="525"/>
      <c r="AE41" s="547">
        <v>182.8884438</v>
      </c>
      <c r="AF41" s="548">
        <v>966.26061141000002</v>
      </c>
      <c r="AG41" s="542"/>
      <c r="AH41" s="549">
        <v>966.26061141000002</v>
      </c>
      <c r="AI41" s="553">
        <v>1901</v>
      </c>
      <c r="AJ41" s="521"/>
    </row>
    <row r="42" spans="1:36" s="98" customFormat="1" x14ac:dyDescent="0.4">
      <c r="A42" s="513">
        <v>1902</v>
      </c>
      <c r="B42" s="598"/>
      <c r="C42" s="525"/>
      <c r="D42" s="525"/>
      <c r="E42" s="525"/>
      <c r="F42" s="525"/>
      <c r="G42" s="540"/>
      <c r="H42" s="540"/>
      <c r="I42" s="541"/>
      <c r="J42" s="541"/>
      <c r="K42" s="525"/>
      <c r="L42" s="551"/>
      <c r="M42" s="552"/>
      <c r="N42" s="525"/>
      <c r="O42" s="1396"/>
      <c r="P42" s="1396"/>
      <c r="Q42" s="1396"/>
      <c r="R42" s="525"/>
      <c r="S42" s="1396">
        <v>883.96081170000002</v>
      </c>
      <c r="T42" s="1396"/>
      <c r="U42" s="1396"/>
      <c r="V42" s="525"/>
      <c r="W42" s="1396"/>
      <c r="X42" s="1396"/>
      <c r="Y42" s="1396"/>
      <c r="Z42" s="547"/>
      <c r="AA42" s="525"/>
      <c r="AB42" s="525"/>
      <c r="AC42" s="525"/>
      <c r="AD42" s="525"/>
      <c r="AE42" s="547">
        <v>203.20938200000001</v>
      </c>
      <c r="AF42" s="548">
        <v>1087.1701937</v>
      </c>
      <c r="AG42" s="542"/>
      <c r="AH42" s="549">
        <v>1087.1701937</v>
      </c>
      <c r="AI42" s="553">
        <v>1902</v>
      </c>
      <c r="AJ42" s="521"/>
    </row>
    <row r="43" spans="1:36" s="98" customFormat="1" x14ac:dyDescent="0.4">
      <c r="A43" s="513">
        <v>1903</v>
      </c>
      <c r="B43" s="598"/>
      <c r="C43" s="525"/>
      <c r="D43" s="525"/>
      <c r="E43" s="525"/>
      <c r="F43" s="525"/>
      <c r="G43" s="540"/>
      <c r="H43" s="540"/>
      <c r="I43" s="541"/>
      <c r="J43" s="541"/>
      <c r="K43" s="525"/>
      <c r="L43" s="551"/>
      <c r="M43" s="552"/>
      <c r="N43" s="525"/>
      <c r="O43" s="1396">
        <v>33.529548030000001</v>
      </c>
      <c r="P43" s="1396"/>
      <c r="Q43" s="1396"/>
      <c r="R43" s="525"/>
      <c r="S43" s="1396">
        <v>605.56395836000002</v>
      </c>
      <c r="T43" s="1396"/>
      <c r="U43" s="1396"/>
      <c r="V43" s="525"/>
      <c r="W43" s="1396">
        <v>215.40194492000001</v>
      </c>
      <c r="X43" s="1396"/>
      <c r="Y43" s="1396"/>
      <c r="Z43" s="547">
        <v>18.28884438</v>
      </c>
      <c r="AA43" s="525"/>
      <c r="AB43" s="525"/>
      <c r="AC43" s="525"/>
      <c r="AD43" s="525"/>
      <c r="AE43" s="547">
        <v>211.33775728000001</v>
      </c>
      <c r="AF43" s="548">
        <v>1084.1220529699999</v>
      </c>
      <c r="AG43" s="542"/>
      <c r="AH43" s="549">
        <v>1084.1220529699999</v>
      </c>
      <c r="AI43" s="553">
        <v>1903</v>
      </c>
      <c r="AJ43" s="521"/>
    </row>
    <row r="44" spans="1:36" s="98" customFormat="1" x14ac:dyDescent="0.4">
      <c r="A44" s="513">
        <v>1904</v>
      </c>
      <c r="B44" s="598"/>
      <c r="C44" s="525"/>
      <c r="D44" s="525"/>
      <c r="E44" s="525"/>
      <c r="F44" s="525"/>
      <c r="G44" s="540"/>
      <c r="H44" s="540"/>
      <c r="I44" s="541"/>
      <c r="J44" s="541"/>
      <c r="K44" s="525"/>
      <c r="L44" s="551"/>
      <c r="M44" s="552"/>
      <c r="N44" s="525"/>
      <c r="O44" s="1396">
        <v>34.545594940000001</v>
      </c>
      <c r="P44" s="1396"/>
      <c r="Q44" s="1396"/>
      <c r="R44" s="525"/>
      <c r="S44" s="1396">
        <v>634.01327184000002</v>
      </c>
      <c r="T44" s="1396"/>
      <c r="U44" s="1396"/>
      <c r="V44" s="525"/>
      <c r="W44" s="1396">
        <v>236.73893003000001</v>
      </c>
      <c r="X44" s="1396"/>
      <c r="Y44" s="1396"/>
      <c r="Z44" s="547">
        <v>32.513501120000001</v>
      </c>
      <c r="AA44" s="525"/>
      <c r="AB44" s="525"/>
      <c r="AC44" s="525"/>
      <c r="AD44" s="525"/>
      <c r="AE44" s="547">
        <v>205.24147582000001</v>
      </c>
      <c r="AF44" s="548">
        <v>1143.0527737500001</v>
      </c>
      <c r="AG44" s="542"/>
      <c r="AH44" s="549">
        <v>1143.0527737500001</v>
      </c>
      <c r="AI44" s="553">
        <v>1904</v>
      </c>
      <c r="AJ44" s="521"/>
    </row>
    <row r="45" spans="1:36" s="98" customFormat="1" x14ac:dyDescent="0.4">
      <c r="A45" s="513">
        <v>1905</v>
      </c>
      <c r="B45" s="598"/>
      <c r="C45" s="525"/>
      <c r="D45" s="525"/>
      <c r="E45" s="525"/>
      <c r="F45" s="525"/>
      <c r="G45" s="540"/>
      <c r="H45" s="540"/>
      <c r="I45" s="541"/>
      <c r="J45" s="541"/>
      <c r="K45" s="525"/>
      <c r="L45" s="551"/>
      <c r="M45" s="552"/>
      <c r="N45" s="525"/>
      <c r="O45" s="1396">
        <v>56.898626960000001</v>
      </c>
      <c r="P45" s="1396"/>
      <c r="Q45" s="1396"/>
      <c r="R45" s="525"/>
      <c r="S45" s="1396">
        <v>566.95417578000001</v>
      </c>
      <c r="T45" s="1396"/>
      <c r="U45" s="1396"/>
      <c r="V45" s="525"/>
      <c r="W45" s="1396">
        <v>250.96358677000001</v>
      </c>
      <c r="X45" s="1396"/>
      <c r="Y45" s="1396"/>
      <c r="Z45" s="547">
        <v>49.786298590000001</v>
      </c>
      <c r="AA45" s="525"/>
      <c r="AB45" s="525"/>
      <c r="AC45" s="525"/>
      <c r="AD45" s="525"/>
      <c r="AE45" s="547">
        <v>212.35380419000001</v>
      </c>
      <c r="AF45" s="548">
        <v>1136.9564922899999</v>
      </c>
      <c r="AG45" s="542"/>
      <c r="AH45" s="549">
        <v>1136.9564922899999</v>
      </c>
      <c r="AI45" s="553">
        <v>1905</v>
      </c>
      <c r="AJ45" s="521"/>
    </row>
    <row r="46" spans="1:36" s="98" customFormat="1" x14ac:dyDescent="0.4">
      <c r="A46" s="513">
        <v>1906</v>
      </c>
      <c r="B46" s="598"/>
      <c r="C46" s="525"/>
      <c r="D46" s="525"/>
      <c r="E46" s="525"/>
      <c r="F46" s="525"/>
      <c r="G46" s="540"/>
      <c r="H46" s="540"/>
      <c r="I46" s="541"/>
      <c r="J46" s="541"/>
      <c r="K46" s="525"/>
      <c r="L46" s="551"/>
      <c r="M46" s="552"/>
      <c r="N46" s="525"/>
      <c r="O46" s="1396">
        <v>83.315846620000002</v>
      </c>
      <c r="P46" s="1396"/>
      <c r="Q46" s="1396"/>
      <c r="R46" s="525"/>
      <c r="S46" s="1396">
        <v>544.60114376000001</v>
      </c>
      <c r="T46" s="1396"/>
      <c r="U46" s="1396"/>
      <c r="V46" s="525"/>
      <c r="W46" s="1396">
        <v>226.57846093000001</v>
      </c>
      <c r="X46" s="1396"/>
      <c r="Y46" s="1396"/>
      <c r="Z46" s="547">
        <v>55.882580050000001</v>
      </c>
      <c r="AA46" s="525"/>
      <c r="AB46" s="525"/>
      <c r="AC46" s="525"/>
      <c r="AD46" s="525"/>
      <c r="AE46" s="547">
        <v>227.59450784000001</v>
      </c>
      <c r="AF46" s="548">
        <v>1137.9725392</v>
      </c>
      <c r="AG46" s="542"/>
      <c r="AH46" s="549">
        <v>1137.9725392</v>
      </c>
      <c r="AI46" s="553">
        <v>1906</v>
      </c>
      <c r="AJ46" s="521"/>
    </row>
    <row r="47" spans="1:36" s="98" customFormat="1" x14ac:dyDescent="0.4">
      <c r="A47" s="513">
        <v>1907</v>
      </c>
      <c r="B47" s="598"/>
      <c r="C47" s="525"/>
      <c r="D47" s="525"/>
      <c r="E47" s="525"/>
      <c r="F47" s="525"/>
      <c r="G47" s="540"/>
      <c r="H47" s="540"/>
      <c r="I47" s="541"/>
      <c r="J47" s="541"/>
      <c r="K47" s="525"/>
      <c r="L47" s="551"/>
      <c r="M47" s="552"/>
      <c r="N47" s="525"/>
      <c r="O47" s="1396">
        <v>112.78120701</v>
      </c>
      <c r="P47" s="1396"/>
      <c r="Q47" s="1396"/>
      <c r="R47" s="525"/>
      <c r="S47" s="1396">
        <v>538.50486230000001</v>
      </c>
      <c r="T47" s="1396"/>
      <c r="U47" s="1396"/>
      <c r="V47" s="525"/>
      <c r="W47" s="1396">
        <v>245.88335222000001</v>
      </c>
      <c r="X47" s="1396"/>
      <c r="Y47" s="1396"/>
      <c r="Z47" s="547">
        <v>35.561641850000001</v>
      </c>
      <c r="AA47" s="525"/>
      <c r="AB47" s="525"/>
      <c r="AC47" s="525"/>
      <c r="AD47" s="525"/>
      <c r="AE47" s="547">
        <v>232.67474239000001</v>
      </c>
      <c r="AF47" s="548">
        <v>1165.4058057699999</v>
      </c>
      <c r="AG47" s="542"/>
      <c r="AH47" s="549">
        <v>1165.4058057699999</v>
      </c>
      <c r="AI47" s="553">
        <v>1907</v>
      </c>
      <c r="AJ47" s="521"/>
    </row>
    <row r="48" spans="1:36" s="98" customFormat="1" x14ac:dyDescent="0.4">
      <c r="A48" s="513">
        <v>1908</v>
      </c>
      <c r="B48" s="598"/>
      <c r="C48" s="525"/>
      <c r="D48" s="525"/>
      <c r="E48" s="525"/>
      <c r="F48" s="525"/>
      <c r="G48" s="540"/>
      <c r="H48" s="540"/>
      <c r="I48" s="541"/>
      <c r="J48" s="541"/>
      <c r="K48" s="525"/>
      <c r="L48" s="551"/>
      <c r="M48" s="552"/>
      <c r="N48" s="525"/>
      <c r="O48" s="1396">
        <v>139.19842667</v>
      </c>
      <c r="P48" s="1396"/>
      <c r="Q48" s="1396"/>
      <c r="R48" s="525"/>
      <c r="S48" s="1396">
        <v>605.56395836000002</v>
      </c>
      <c r="T48" s="1396"/>
      <c r="U48" s="1396"/>
      <c r="V48" s="525"/>
      <c r="W48" s="1396">
        <v>264.17219660000001</v>
      </c>
      <c r="X48" s="1396"/>
      <c r="Y48" s="1396"/>
      <c r="Z48" s="547">
        <v>60.962814600000002</v>
      </c>
      <c r="AA48" s="525"/>
      <c r="AB48" s="525"/>
      <c r="AC48" s="525"/>
      <c r="AD48" s="525"/>
      <c r="AE48" s="547">
        <v>235.72288312000001</v>
      </c>
      <c r="AF48" s="548">
        <v>1305.6202793500001</v>
      </c>
      <c r="AG48" s="542"/>
      <c r="AH48" s="549">
        <v>1305.6202793500001</v>
      </c>
      <c r="AI48" s="553">
        <v>1908</v>
      </c>
      <c r="AJ48" s="521"/>
    </row>
    <row r="49" spans="1:36" s="98" customFormat="1" x14ac:dyDescent="0.4">
      <c r="A49" s="513">
        <v>1909</v>
      </c>
      <c r="B49" s="598"/>
      <c r="C49" s="525"/>
      <c r="D49" s="525"/>
      <c r="E49" s="525"/>
      <c r="F49" s="525"/>
      <c r="G49" s="540"/>
      <c r="H49" s="540"/>
      <c r="I49" s="541"/>
      <c r="J49" s="541"/>
      <c r="K49" s="525"/>
      <c r="L49" s="551"/>
      <c r="M49" s="552"/>
      <c r="N49" s="525"/>
      <c r="O49" s="1396">
        <v>172.7279747</v>
      </c>
      <c r="P49" s="1396"/>
      <c r="Q49" s="1396"/>
      <c r="R49" s="525"/>
      <c r="S49" s="1396">
        <v>528.34439320000001</v>
      </c>
      <c r="T49" s="1396"/>
      <c r="U49" s="1396"/>
      <c r="V49" s="525"/>
      <c r="W49" s="1396">
        <v>286.52522862000001</v>
      </c>
      <c r="X49" s="1396"/>
      <c r="Y49" s="1396"/>
      <c r="Z49" s="547">
        <v>132.0860983</v>
      </c>
      <c r="AA49" s="525"/>
      <c r="AB49" s="525"/>
      <c r="AC49" s="525"/>
      <c r="AD49" s="525"/>
      <c r="AE49" s="547">
        <v>247.91544604000001</v>
      </c>
      <c r="AF49" s="548">
        <v>1367.59914086</v>
      </c>
      <c r="AG49" s="542"/>
      <c r="AH49" s="549">
        <v>1367.59914086</v>
      </c>
      <c r="AI49" s="553">
        <v>1909</v>
      </c>
      <c r="AJ49" s="521"/>
    </row>
    <row r="50" spans="1:36" s="98" customFormat="1" x14ac:dyDescent="0.4">
      <c r="A50" s="513">
        <v>1910</v>
      </c>
      <c r="B50" s="598"/>
      <c r="C50" s="525"/>
      <c r="D50" s="525"/>
      <c r="E50" s="525"/>
      <c r="F50" s="525"/>
      <c r="G50" s="540"/>
      <c r="H50" s="540"/>
      <c r="I50" s="541"/>
      <c r="J50" s="541"/>
      <c r="K50" s="525"/>
      <c r="L50" s="551"/>
      <c r="M50" s="552"/>
      <c r="N50" s="525"/>
      <c r="O50" s="1396">
        <v>182.8884438</v>
      </c>
      <c r="P50" s="1396"/>
      <c r="Q50" s="1396"/>
      <c r="R50" s="525"/>
      <c r="S50" s="1396">
        <v>496.84693899000001</v>
      </c>
      <c r="T50" s="1396"/>
      <c r="U50" s="1396"/>
      <c r="V50" s="525"/>
      <c r="W50" s="1396">
        <v>228.61055475000001</v>
      </c>
      <c r="X50" s="1396"/>
      <c r="Y50" s="1396"/>
      <c r="Z50" s="547">
        <v>139.19842667</v>
      </c>
      <c r="AA50" s="525"/>
      <c r="AB50" s="525"/>
      <c r="AC50" s="525"/>
      <c r="AD50" s="525"/>
      <c r="AE50" s="547">
        <v>272.30057188000001</v>
      </c>
      <c r="AF50" s="548">
        <v>1319.8449360899999</v>
      </c>
      <c r="AG50" s="542"/>
      <c r="AH50" s="549">
        <v>1319.8449360899999</v>
      </c>
      <c r="AI50" s="553">
        <v>1910</v>
      </c>
      <c r="AJ50" s="521"/>
    </row>
    <row r="51" spans="1:36" s="98" customFormat="1" x14ac:dyDescent="0.4">
      <c r="A51" s="513">
        <v>1911</v>
      </c>
      <c r="B51" s="598"/>
      <c r="C51" s="525"/>
      <c r="D51" s="525"/>
      <c r="E51" s="525"/>
      <c r="F51" s="525"/>
      <c r="G51" s="540"/>
      <c r="H51" s="540"/>
      <c r="I51" s="541"/>
      <c r="J51" s="541"/>
      <c r="K51" s="525"/>
      <c r="L51" s="551"/>
      <c r="M51" s="552"/>
      <c r="N51" s="525"/>
      <c r="O51" s="1396">
        <v>217.43403874000001</v>
      </c>
      <c r="P51" s="1396"/>
      <c r="Q51" s="1396"/>
      <c r="R51" s="525"/>
      <c r="S51" s="1396">
        <v>515.13578337000001</v>
      </c>
      <c r="T51" s="1396"/>
      <c r="U51" s="1396"/>
      <c r="V51" s="525"/>
      <c r="W51" s="1396">
        <v>231.65869548000001</v>
      </c>
      <c r="X51" s="1396"/>
      <c r="Y51" s="1396"/>
      <c r="Z51" s="547">
        <v>132.0860983</v>
      </c>
      <c r="AA51" s="525"/>
      <c r="AB51" s="525"/>
      <c r="AC51" s="525"/>
      <c r="AD51" s="525"/>
      <c r="AE51" s="547">
        <v>289.57336935000001</v>
      </c>
      <c r="AF51" s="548">
        <v>1385.88798524</v>
      </c>
      <c r="AG51" s="542"/>
      <c r="AH51" s="549">
        <v>1385.88798524</v>
      </c>
      <c r="AI51" s="553">
        <v>1911</v>
      </c>
      <c r="AJ51" s="521"/>
    </row>
    <row r="52" spans="1:36" s="98" customFormat="1" x14ac:dyDescent="0.4">
      <c r="A52" s="513">
        <v>1912</v>
      </c>
      <c r="B52" s="598"/>
      <c r="C52" s="525"/>
      <c r="D52" s="525"/>
      <c r="E52" s="525"/>
      <c r="F52" s="525"/>
      <c r="G52" s="540"/>
      <c r="H52" s="540"/>
      <c r="I52" s="541"/>
      <c r="J52" s="541"/>
      <c r="K52" s="525"/>
      <c r="L52" s="551"/>
      <c r="M52" s="552"/>
      <c r="N52" s="525"/>
      <c r="O52" s="1396">
        <v>260.10800896000001</v>
      </c>
      <c r="P52" s="1396"/>
      <c r="Q52" s="1396"/>
      <c r="R52" s="525"/>
      <c r="S52" s="1396">
        <v>527.32834629000001</v>
      </c>
      <c r="T52" s="1396"/>
      <c r="U52" s="1396"/>
      <c r="V52" s="525"/>
      <c r="W52" s="1396">
        <v>292.62151008000001</v>
      </c>
      <c r="X52" s="1396"/>
      <c r="Y52" s="1396"/>
      <c r="Z52" s="547">
        <v>194.06495981</v>
      </c>
      <c r="AA52" s="525"/>
      <c r="AB52" s="525"/>
      <c r="AC52" s="525"/>
      <c r="AD52" s="525"/>
      <c r="AE52" s="547">
        <v>318.02268283000001</v>
      </c>
      <c r="AF52" s="548">
        <v>1592.1455079699999</v>
      </c>
      <c r="AG52" s="542"/>
      <c r="AH52" s="549">
        <v>1592.1455079699999</v>
      </c>
      <c r="AI52" s="553">
        <v>1912</v>
      </c>
      <c r="AJ52" s="521"/>
    </row>
    <row r="53" spans="1:36" s="98" customFormat="1" x14ac:dyDescent="0.4">
      <c r="A53" s="513">
        <v>1913</v>
      </c>
      <c r="B53" s="598"/>
      <c r="C53" s="525"/>
      <c r="D53" s="525"/>
      <c r="E53" s="525"/>
      <c r="F53" s="525"/>
      <c r="G53" s="540"/>
      <c r="H53" s="540"/>
      <c r="I53" s="541"/>
      <c r="J53" s="541"/>
      <c r="K53" s="525"/>
      <c r="L53" s="551"/>
      <c r="M53" s="552"/>
      <c r="N53" s="525"/>
      <c r="O53" s="1396">
        <v>339.35966794000001</v>
      </c>
      <c r="P53" s="1396"/>
      <c r="Q53" s="1396"/>
      <c r="R53" s="525"/>
      <c r="S53" s="1396">
        <v>567.97022269000001</v>
      </c>
      <c r="T53" s="1396"/>
      <c r="U53" s="1396"/>
      <c r="V53" s="525"/>
      <c r="W53" s="1396">
        <v>265.18824351000001</v>
      </c>
      <c r="X53" s="1396"/>
      <c r="Y53" s="1396"/>
      <c r="Z53" s="547">
        <v>382.03363816000001</v>
      </c>
      <c r="AA53" s="525"/>
      <c r="AB53" s="525"/>
      <c r="AC53" s="525"/>
      <c r="AD53" s="525"/>
      <c r="AE53" s="547">
        <v>308.87826064000001</v>
      </c>
      <c r="AF53" s="548">
        <v>1863.43003294</v>
      </c>
      <c r="AG53" s="542"/>
      <c r="AH53" s="549">
        <v>1863.43003294</v>
      </c>
      <c r="AI53" s="553">
        <v>1913</v>
      </c>
      <c r="AJ53" s="521"/>
    </row>
    <row r="54" spans="1:36" s="98" customFormat="1" x14ac:dyDescent="0.4">
      <c r="A54" s="513">
        <v>1914</v>
      </c>
      <c r="B54" s="598"/>
      <c r="C54" s="525"/>
      <c r="D54" s="525"/>
      <c r="E54" s="525"/>
      <c r="F54" s="525"/>
      <c r="G54" s="540"/>
      <c r="H54" s="540"/>
      <c r="I54" s="541"/>
      <c r="J54" s="541"/>
      <c r="K54" s="525"/>
      <c r="L54" s="551"/>
      <c r="M54" s="552"/>
      <c r="N54" s="525"/>
      <c r="O54" s="1396">
        <v>401.33852945000001</v>
      </c>
      <c r="P54" s="1396"/>
      <c r="Q54" s="1396"/>
      <c r="R54" s="525"/>
      <c r="S54" s="1396">
        <v>541.55300303000001</v>
      </c>
      <c r="T54" s="1396"/>
      <c r="U54" s="1396"/>
      <c r="V54" s="525"/>
      <c r="W54" s="1396">
        <v>329.19919884000001</v>
      </c>
      <c r="X54" s="1396"/>
      <c r="Y54" s="1396"/>
      <c r="Z54" s="547">
        <v>861.60777968000002</v>
      </c>
      <c r="AA54" s="525"/>
      <c r="AB54" s="525"/>
      <c r="AC54" s="525"/>
      <c r="AD54" s="525"/>
      <c r="AE54" s="547">
        <v>300.74988536000001</v>
      </c>
      <c r="AF54" s="548">
        <v>2434.4483963600001</v>
      </c>
      <c r="AG54" s="542"/>
      <c r="AH54" s="549">
        <v>2434.4483963600001</v>
      </c>
      <c r="AI54" s="553">
        <v>1914</v>
      </c>
      <c r="AJ54" s="521"/>
    </row>
    <row r="55" spans="1:36" s="98" customFormat="1" x14ac:dyDescent="0.4">
      <c r="A55" s="513">
        <v>1915</v>
      </c>
      <c r="B55" s="598"/>
      <c r="C55" s="525"/>
      <c r="D55" s="525"/>
      <c r="E55" s="525"/>
      <c r="F55" s="525"/>
      <c r="G55" s="540"/>
      <c r="H55" s="540"/>
      <c r="I55" s="541"/>
      <c r="J55" s="541"/>
      <c r="K55" s="525"/>
      <c r="L55" s="551"/>
      <c r="M55" s="552"/>
      <c r="N55" s="525"/>
      <c r="O55" s="1396">
        <v>472.46181315000001</v>
      </c>
      <c r="P55" s="1396"/>
      <c r="Q55" s="1396"/>
      <c r="R55" s="525"/>
      <c r="S55" s="1396">
        <v>511.07159573000001</v>
      </c>
      <c r="T55" s="1396"/>
      <c r="U55" s="1396"/>
      <c r="V55" s="525"/>
      <c r="W55" s="1396">
        <v>356.63246541000001</v>
      </c>
      <c r="X55" s="1396"/>
      <c r="Y55" s="1396"/>
      <c r="Z55" s="547">
        <v>534.44067466000001</v>
      </c>
      <c r="AA55" s="525"/>
      <c r="AB55" s="525"/>
      <c r="AC55" s="525"/>
      <c r="AD55" s="525"/>
      <c r="AE55" s="547">
        <v>373.90526288000001</v>
      </c>
      <c r="AF55" s="548">
        <v>2248.5118118299997</v>
      </c>
      <c r="AG55" s="542"/>
      <c r="AH55" s="549">
        <v>2248.5118118299997</v>
      </c>
      <c r="AI55" s="553">
        <v>1915</v>
      </c>
      <c r="AJ55" s="521"/>
    </row>
    <row r="56" spans="1:36" s="98" customFormat="1" x14ac:dyDescent="0.4">
      <c r="A56" s="513">
        <v>1916</v>
      </c>
      <c r="B56" s="598"/>
      <c r="C56" s="525"/>
      <c r="D56" s="525"/>
      <c r="E56" s="525"/>
      <c r="F56" s="525"/>
      <c r="G56" s="540"/>
      <c r="H56" s="540"/>
      <c r="I56" s="541"/>
      <c r="J56" s="541"/>
      <c r="K56" s="525"/>
      <c r="L56" s="551"/>
      <c r="M56" s="552"/>
      <c r="N56" s="525"/>
      <c r="O56" s="1396">
        <v>535.45672157000001</v>
      </c>
      <c r="P56" s="1396"/>
      <c r="Q56" s="1396"/>
      <c r="R56" s="525"/>
      <c r="S56" s="1396">
        <v>457.22110950000001</v>
      </c>
      <c r="T56" s="1396"/>
      <c r="U56" s="1396"/>
      <c r="V56" s="525"/>
      <c r="W56" s="1396">
        <v>231.65869548000001</v>
      </c>
      <c r="X56" s="1396"/>
      <c r="Y56" s="1396"/>
      <c r="Z56" s="547">
        <v>86.363987350000002</v>
      </c>
      <c r="AA56" s="525"/>
      <c r="AB56" s="525"/>
      <c r="AC56" s="525"/>
      <c r="AD56" s="525"/>
      <c r="AE56" s="547">
        <v>391.17806035000001</v>
      </c>
      <c r="AF56" s="548">
        <v>1701.8785742500004</v>
      </c>
      <c r="AG56" s="542"/>
      <c r="AH56" s="549">
        <v>1701.8785742500004</v>
      </c>
      <c r="AI56" s="553">
        <v>1916</v>
      </c>
      <c r="AJ56" s="521"/>
    </row>
    <row r="57" spans="1:36" s="98" customFormat="1" x14ac:dyDescent="0.4">
      <c r="A57" s="513">
        <v>1917</v>
      </c>
      <c r="B57" s="598"/>
      <c r="C57" s="525"/>
      <c r="D57" s="525"/>
      <c r="E57" s="525"/>
      <c r="F57" s="525"/>
      <c r="G57" s="540"/>
      <c r="H57" s="540"/>
      <c r="I57" s="541"/>
      <c r="J57" s="541"/>
      <c r="K57" s="525"/>
      <c r="L57" s="551"/>
      <c r="M57" s="552"/>
      <c r="N57" s="525"/>
      <c r="O57" s="1396">
        <v>460.26925023000001</v>
      </c>
      <c r="P57" s="1396"/>
      <c r="Q57" s="1396"/>
      <c r="R57" s="525"/>
      <c r="S57" s="1396">
        <v>462.30134405000001</v>
      </c>
      <c r="T57" s="1396"/>
      <c r="U57" s="1396"/>
      <c r="V57" s="525"/>
      <c r="W57" s="1396">
        <v>127.00586375</v>
      </c>
      <c r="X57" s="1396"/>
      <c r="Y57" s="1396"/>
      <c r="Z57" s="547">
        <v>1789.2586085100002</v>
      </c>
      <c r="AA57" s="525"/>
      <c r="AB57" s="525"/>
      <c r="AC57" s="525"/>
      <c r="AD57" s="525"/>
      <c r="AE57" s="547">
        <v>412.51504546000001</v>
      </c>
      <c r="AF57" s="548">
        <v>3251.3501120000001</v>
      </c>
      <c r="AG57" s="542"/>
      <c r="AH57" s="549">
        <v>3251.3501120000001</v>
      </c>
      <c r="AI57" s="553">
        <v>1917</v>
      </c>
      <c r="AJ57" s="521"/>
    </row>
    <row r="58" spans="1:36" s="98" customFormat="1" x14ac:dyDescent="0.4">
      <c r="A58" s="513">
        <v>1918</v>
      </c>
      <c r="B58" s="598"/>
      <c r="C58" s="525"/>
      <c r="D58" s="525"/>
      <c r="E58" s="525"/>
      <c r="F58" s="525"/>
      <c r="G58" s="540"/>
      <c r="H58" s="540"/>
      <c r="I58" s="541"/>
      <c r="J58" s="541"/>
      <c r="K58" s="525"/>
      <c r="L58" s="551"/>
      <c r="M58" s="552"/>
      <c r="N58" s="525"/>
      <c r="O58" s="1396">
        <v>652.30211622000002</v>
      </c>
      <c r="P58" s="1396"/>
      <c r="Q58" s="1396"/>
      <c r="R58" s="525"/>
      <c r="S58" s="1396">
        <v>535.45672157000001</v>
      </c>
      <c r="T58" s="1396"/>
      <c r="U58" s="1396"/>
      <c r="V58" s="525"/>
      <c r="W58" s="1396">
        <v>157.48727105</v>
      </c>
      <c r="X58" s="1396"/>
      <c r="Y58" s="1396"/>
      <c r="Z58" s="547">
        <v>3423.0620397900002</v>
      </c>
      <c r="AA58" s="525"/>
      <c r="AB58" s="525"/>
      <c r="AC58" s="525"/>
      <c r="AD58" s="525"/>
      <c r="AE58" s="547">
        <v>469.41367242000001</v>
      </c>
      <c r="AF58" s="548">
        <v>5237.7218210499996</v>
      </c>
      <c r="AG58" s="542"/>
      <c r="AH58" s="549">
        <v>5237.7218210499996</v>
      </c>
      <c r="AI58" s="553">
        <v>1918</v>
      </c>
      <c r="AJ58" s="521"/>
    </row>
    <row r="59" spans="1:36" s="98" customFormat="1" x14ac:dyDescent="0.4">
      <c r="A59" s="513">
        <v>1919</v>
      </c>
      <c r="B59" s="598"/>
      <c r="C59" s="525"/>
      <c r="D59" s="525"/>
      <c r="E59" s="525"/>
      <c r="F59" s="525"/>
      <c r="G59" s="540"/>
      <c r="H59" s="540"/>
      <c r="I59" s="541"/>
      <c r="J59" s="541"/>
      <c r="K59" s="525"/>
      <c r="L59" s="551"/>
      <c r="M59" s="552"/>
      <c r="N59" s="525"/>
      <c r="O59" s="1396">
        <v>652.30211622000002</v>
      </c>
      <c r="P59" s="1396"/>
      <c r="Q59" s="1396"/>
      <c r="R59" s="525"/>
      <c r="S59" s="1396">
        <v>515.13578337000001</v>
      </c>
      <c r="T59" s="1396"/>
      <c r="U59" s="1396"/>
      <c r="V59" s="525"/>
      <c r="W59" s="1396">
        <v>109.73306628</v>
      </c>
      <c r="X59" s="1396"/>
      <c r="Y59" s="1396"/>
      <c r="Z59" s="547">
        <v>1062.78506786</v>
      </c>
      <c r="AA59" s="525"/>
      <c r="AB59" s="525"/>
      <c r="AC59" s="525"/>
      <c r="AD59" s="525"/>
      <c r="AE59" s="547">
        <v>298.71779154000001</v>
      </c>
      <c r="AF59" s="548">
        <v>2638.6738252699997</v>
      </c>
      <c r="AG59" s="542"/>
      <c r="AH59" s="549">
        <v>2638.6738252699997</v>
      </c>
      <c r="AI59" s="553">
        <v>1919</v>
      </c>
      <c r="AJ59" s="521"/>
    </row>
    <row r="60" spans="1:36" s="96" customFormat="1" x14ac:dyDescent="0.4">
      <c r="A60" s="514">
        <v>1920</v>
      </c>
      <c r="B60" s="574"/>
      <c r="C60" s="555"/>
      <c r="D60" s="555"/>
      <c r="E60" s="556"/>
      <c r="F60" s="556"/>
      <c r="G60" s="556"/>
      <c r="H60" s="556"/>
      <c r="I60" s="557"/>
      <c r="J60" s="557"/>
      <c r="K60" s="556"/>
      <c r="L60" s="558"/>
      <c r="M60" s="559"/>
      <c r="N60" s="555"/>
      <c r="O60" s="1396">
        <v>632.99722493000002</v>
      </c>
      <c r="P60" s="1396"/>
      <c r="Q60" s="1396"/>
      <c r="R60" s="556"/>
      <c r="S60" s="1396">
        <v>583.21092634000001</v>
      </c>
      <c r="T60" s="1396"/>
      <c r="U60" s="1396"/>
      <c r="V60" s="556"/>
      <c r="W60" s="1396">
        <v>241.81916458000001</v>
      </c>
      <c r="X60" s="1396"/>
      <c r="Y60" s="1396"/>
      <c r="Z60" s="547">
        <v>1422.465674</v>
      </c>
      <c r="AA60" s="560"/>
      <c r="AB60" s="560"/>
      <c r="AC60" s="560"/>
      <c r="AD60" s="560"/>
      <c r="AE60" s="547">
        <v>393.21015417000001</v>
      </c>
      <c r="AF60" s="548">
        <v>3273.7031440200003</v>
      </c>
      <c r="AG60" s="560"/>
      <c r="AH60" s="549">
        <v>3273.7031440200003</v>
      </c>
      <c r="AI60" s="561">
        <v>1920</v>
      </c>
      <c r="AJ60" s="89"/>
    </row>
    <row r="61" spans="1:36" s="96" customFormat="1" x14ac:dyDescent="0.4">
      <c r="A61" s="514">
        <v>1921</v>
      </c>
      <c r="B61" s="574"/>
      <c r="C61" s="555"/>
      <c r="D61" s="555"/>
      <c r="E61" s="556"/>
      <c r="F61" s="556"/>
      <c r="G61" s="556"/>
      <c r="H61" s="556"/>
      <c r="I61" s="557"/>
      <c r="J61" s="557"/>
      <c r="K61" s="556"/>
      <c r="L61" s="558"/>
      <c r="M61" s="559"/>
      <c r="N61" s="555"/>
      <c r="O61" s="1396">
        <v>923.58664119000002</v>
      </c>
      <c r="P61" s="1396"/>
      <c r="Q61" s="1396"/>
      <c r="R61" s="556"/>
      <c r="S61" s="1396">
        <v>604.54791145000002</v>
      </c>
      <c r="T61" s="1396"/>
      <c r="U61" s="1396"/>
      <c r="V61" s="556"/>
      <c r="W61" s="1396">
        <v>349.52013704000001</v>
      </c>
      <c r="X61" s="1396"/>
      <c r="Y61" s="1396"/>
      <c r="Z61" s="547">
        <v>2374.5016286700002</v>
      </c>
      <c r="AA61" s="560"/>
      <c r="AB61" s="560"/>
      <c r="AC61" s="560"/>
      <c r="AD61" s="560"/>
      <c r="AE61" s="547">
        <v>193.0489129</v>
      </c>
      <c r="AF61" s="548">
        <v>4445.20523125</v>
      </c>
      <c r="AG61" s="560"/>
      <c r="AH61" s="549">
        <v>4445.20523125</v>
      </c>
      <c r="AI61" s="561">
        <v>1921</v>
      </c>
      <c r="AJ61" s="89"/>
    </row>
    <row r="62" spans="1:36" s="96" customFormat="1" x14ac:dyDescent="0.4">
      <c r="A62" s="514">
        <v>1922</v>
      </c>
      <c r="B62" s="574"/>
      <c r="C62" s="555"/>
      <c r="D62" s="555"/>
      <c r="E62" s="556"/>
      <c r="F62" s="556"/>
      <c r="G62" s="556"/>
      <c r="H62" s="556"/>
      <c r="I62" s="557"/>
      <c r="J62" s="557"/>
      <c r="K62" s="556"/>
      <c r="L62" s="558"/>
      <c r="M62" s="559"/>
      <c r="N62" s="555"/>
      <c r="O62" s="1396">
        <v>1197.9193068899999</v>
      </c>
      <c r="P62" s="1396"/>
      <c r="Q62" s="1396"/>
      <c r="R62" s="556"/>
      <c r="S62" s="1396">
        <v>661.44653841000002</v>
      </c>
      <c r="T62" s="1396"/>
      <c r="U62" s="1396"/>
      <c r="V62" s="556"/>
      <c r="W62" s="1396">
        <v>345.45594940000001</v>
      </c>
      <c r="X62" s="1396"/>
      <c r="Y62" s="1396"/>
      <c r="Z62" s="547">
        <v>1304.60423244</v>
      </c>
      <c r="AA62" s="560"/>
      <c r="AB62" s="560"/>
      <c r="AC62" s="560"/>
      <c r="AD62" s="560"/>
      <c r="AE62" s="547">
        <v>280.42894716000001</v>
      </c>
      <c r="AF62" s="548">
        <v>3789.8549742999999</v>
      </c>
      <c r="AG62" s="560"/>
      <c r="AH62" s="549">
        <v>3789.8549742999999</v>
      </c>
      <c r="AI62" s="561">
        <v>1922</v>
      </c>
      <c r="AJ62" s="89"/>
    </row>
    <row r="63" spans="1:36" s="96" customFormat="1" x14ac:dyDescent="0.4">
      <c r="A63" s="514">
        <v>1923</v>
      </c>
      <c r="B63" s="574"/>
      <c r="C63" s="555"/>
      <c r="D63" s="555"/>
      <c r="E63" s="556"/>
      <c r="F63" s="556"/>
      <c r="G63" s="556"/>
      <c r="H63" s="556"/>
      <c r="I63" s="557"/>
      <c r="J63" s="557"/>
      <c r="K63" s="556"/>
      <c r="L63" s="558"/>
      <c r="M63" s="559"/>
      <c r="N63" s="555"/>
      <c r="O63" s="1396">
        <v>1319.8449360899999</v>
      </c>
      <c r="P63" s="1396"/>
      <c r="Q63" s="1396"/>
      <c r="R63" s="556"/>
      <c r="S63" s="1396">
        <v>651.28606931000002</v>
      </c>
      <c r="T63" s="1396"/>
      <c r="U63" s="1396"/>
      <c r="V63" s="556"/>
      <c r="W63" s="1396">
        <v>360.69665305000001</v>
      </c>
      <c r="X63" s="1396"/>
      <c r="Y63" s="1396"/>
      <c r="Z63" s="547">
        <v>1088.1862406099999</v>
      </c>
      <c r="AA63" s="560"/>
      <c r="AB63" s="560"/>
      <c r="AC63" s="560"/>
      <c r="AD63" s="560"/>
      <c r="AE63" s="547">
        <v>324.11896429000001</v>
      </c>
      <c r="AF63" s="548">
        <v>3744.1328633499998</v>
      </c>
      <c r="AG63" s="560"/>
      <c r="AH63" s="549">
        <v>3744.1328633499998</v>
      </c>
      <c r="AI63" s="561">
        <v>1923</v>
      </c>
      <c r="AJ63" s="89"/>
    </row>
    <row r="64" spans="1:36" s="96" customFormat="1" x14ac:dyDescent="0.4">
      <c r="A64" s="514">
        <v>1924</v>
      </c>
      <c r="B64" s="574"/>
      <c r="C64" s="555"/>
      <c r="D64" s="555"/>
      <c r="E64" s="556"/>
      <c r="F64" s="556"/>
      <c r="G64" s="556"/>
      <c r="H64" s="556"/>
      <c r="I64" s="557"/>
      <c r="J64" s="557"/>
      <c r="K64" s="556"/>
      <c r="L64" s="558"/>
      <c r="M64" s="559"/>
      <c r="N64" s="555"/>
      <c r="O64" s="1396">
        <v>1682.57368296</v>
      </c>
      <c r="P64" s="1396"/>
      <c r="Q64" s="1396"/>
      <c r="R64" s="556"/>
      <c r="S64" s="1396">
        <v>571.01836342000001</v>
      </c>
      <c r="T64" s="1396"/>
      <c r="U64" s="1396"/>
      <c r="V64" s="556"/>
      <c r="W64" s="1396">
        <v>369.84107524000001</v>
      </c>
      <c r="X64" s="1396"/>
      <c r="Y64" s="1396"/>
      <c r="Z64" s="547">
        <v>1346.2621557500001</v>
      </c>
      <c r="AA64" s="560"/>
      <c r="AB64" s="560"/>
      <c r="AC64" s="560"/>
      <c r="AD64" s="560"/>
      <c r="AE64" s="547">
        <v>414.54713928000001</v>
      </c>
      <c r="AF64" s="548">
        <v>4384.2424166500005</v>
      </c>
      <c r="AG64" s="560"/>
      <c r="AH64" s="549">
        <v>4384.2424166500005</v>
      </c>
      <c r="AI64" s="561">
        <v>1924</v>
      </c>
      <c r="AJ64" s="89"/>
    </row>
    <row r="65" spans="1:36" s="96" customFormat="1" x14ac:dyDescent="0.4">
      <c r="A65" s="514">
        <v>1925</v>
      </c>
      <c r="B65" s="574"/>
      <c r="C65" s="555"/>
      <c r="D65" s="555"/>
      <c r="E65" s="556"/>
      <c r="F65" s="556"/>
      <c r="G65" s="556"/>
      <c r="H65" s="556"/>
      <c r="I65" s="557"/>
      <c r="J65" s="557"/>
      <c r="K65" s="556"/>
      <c r="L65" s="558"/>
      <c r="M65" s="559"/>
      <c r="N65" s="555"/>
      <c r="O65" s="1396">
        <v>1771.98581104</v>
      </c>
      <c r="P65" s="1396"/>
      <c r="Q65" s="1396"/>
      <c r="R65" s="556"/>
      <c r="S65" s="1396">
        <v>595.40348926000001</v>
      </c>
      <c r="T65" s="1396"/>
      <c r="U65" s="1396"/>
      <c r="V65" s="556"/>
      <c r="W65" s="1396">
        <v>396.25829490000001</v>
      </c>
      <c r="X65" s="1396"/>
      <c r="Y65" s="1396"/>
      <c r="Z65" s="547">
        <v>915.45826591000002</v>
      </c>
      <c r="AA65" s="560"/>
      <c r="AB65" s="560"/>
      <c r="AC65" s="560"/>
      <c r="AD65" s="560"/>
      <c r="AE65" s="547">
        <v>331.23129266000001</v>
      </c>
      <c r="AF65" s="548">
        <v>4010.3371537700004</v>
      </c>
      <c r="AG65" s="560"/>
      <c r="AH65" s="549">
        <v>4010.3371537700004</v>
      </c>
      <c r="AI65" s="561">
        <v>1925</v>
      </c>
      <c r="AJ65" s="89"/>
    </row>
    <row r="66" spans="1:36" s="96" customFormat="1" x14ac:dyDescent="0.4">
      <c r="A66" s="514">
        <v>1926</v>
      </c>
      <c r="B66" s="574"/>
      <c r="C66" s="555"/>
      <c r="D66" s="555"/>
      <c r="E66" s="556"/>
      <c r="F66" s="556"/>
      <c r="G66" s="556"/>
      <c r="H66" s="556"/>
      <c r="I66" s="557"/>
      <c r="J66" s="557"/>
      <c r="K66" s="556"/>
      <c r="L66" s="558"/>
      <c r="M66" s="559"/>
      <c r="N66" s="555"/>
      <c r="O66" s="1396">
        <v>2350.1165028300002</v>
      </c>
      <c r="P66" s="1396"/>
      <c r="Q66" s="1396"/>
      <c r="R66" s="556"/>
      <c r="S66" s="1396">
        <v>738.66610357000002</v>
      </c>
      <c r="T66" s="1396"/>
      <c r="U66" s="1396"/>
      <c r="V66" s="556"/>
      <c r="W66" s="1396">
        <v>576.09859797000001</v>
      </c>
      <c r="X66" s="1396"/>
      <c r="Y66" s="1396"/>
      <c r="Z66" s="547">
        <v>1460.0594096700002</v>
      </c>
      <c r="AA66" s="560"/>
      <c r="AB66" s="560"/>
      <c r="AC66" s="560"/>
      <c r="AD66" s="560"/>
      <c r="AE66" s="547">
        <v>364.76084069000001</v>
      </c>
      <c r="AF66" s="548">
        <v>5489.7014547300005</v>
      </c>
      <c r="AG66" s="560"/>
      <c r="AH66" s="549">
        <v>5489.7014547300005</v>
      </c>
      <c r="AI66" s="561">
        <v>1926</v>
      </c>
      <c r="AJ66" s="89"/>
    </row>
    <row r="67" spans="1:36" s="96" customFormat="1" x14ac:dyDescent="0.4">
      <c r="A67" s="514">
        <v>1927</v>
      </c>
      <c r="B67" s="574"/>
      <c r="C67" s="555"/>
      <c r="D67" s="555"/>
      <c r="E67" s="556"/>
      <c r="F67" s="556"/>
      <c r="G67" s="556"/>
      <c r="H67" s="556"/>
      <c r="I67" s="557"/>
      <c r="J67" s="557"/>
      <c r="K67" s="556"/>
      <c r="L67" s="558"/>
      <c r="M67" s="559"/>
      <c r="N67" s="555"/>
      <c r="O67" s="1396">
        <v>2402.9509421500002</v>
      </c>
      <c r="P67" s="1396"/>
      <c r="Q67" s="1396"/>
      <c r="R67" s="556"/>
      <c r="S67" s="1396">
        <v>789.46844907000002</v>
      </c>
      <c r="T67" s="1396"/>
      <c r="U67" s="1396"/>
      <c r="V67" s="556"/>
      <c r="W67" s="1396">
        <v>511.07159573000001</v>
      </c>
      <c r="X67" s="1396"/>
      <c r="Y67" s="1396"/>
      <c r="Z67" s="547">
        <v>1732.3599815500002</v>
      </c>
      <c r="AA67" s="560"/>
      <c r="AB67" s="560"/>
      <c r="AC67" s="560"/>
      <c r="AD67" s="560"/>
      <c r="AE67" s="547">
        <v>358.66455923000001</v>
      </c>
      <c r="AF67" s="548">
        <v>5794.5155277300009</v>
      </c>
      <c r="AG67" s="560"/>
      <c r="AH67" s="549">
        <v>5794.5155277300009</v>
      </c>
      <c r="AI67" s="561">
        <v>1927</v>
      </c>
      <c r="AJ67" s="89"/>
    </row>
    <row r="68" spans="1:36" s="96" customFormat="1" x14ac:dyDescent="0.4">
      <c r="A68" s="514">
        <v>1928</v>
      </c>
      <c r="B68" s="574"/>
      <c r="C68" s="555"/>
      <c r="D68" s="555"/>
      <c r="E68" s="556"/>
      <c r="F68" s="556"/>
      <c r="G68" s="556"/>
      <c r="H68" s="556"/>
      <c r="I68" s="557"/>
      <c r="J68" s="557"/>
      <c r="K68" s="556"/>
      <c r="L68" s="558"/>
      <c r="M68" s="559"/>
      <c r="N68" s="555"/>
      <c r="O68" s="1396">
        <v>2862.2041454700002</v>
      </c>
      <c r="P68" s="1396"/>
      <c r="Q68" s="1396"/>
      <c r="R68" s="556"/>
      <c r="S68" s="1396">
        <v>672.62305442000002</v>
      </c>
      <c r="T68" s="1396"/>
      <c r="U68" s="1396"/>
      <c r="V68" s="556"/>
      <c r="W68" s="1396">
        <v>532.40858084000001</v>
      </c>
      <c r="X68" s="1396"/>
      <c r="Y68" s="1396"/>
      <c r="Z68" s="547">
        <v>1476.3161602300002</v>
      </c>
      <c r="AA68" s="560"/>
      <c r="AB68" s="560"/>
      <c r="AC68" s="560"/>
      <c r="AD68" s="560"/>
      <c r="AE68" s="547">
        <v>415.56318619000001</v>
      </c>
      <c r="AF68" s="548">
        <v>5959.1151271500003</v>
      </c>
      <c r="AG68" s="560"/>
      <c r="AH68" s="549">
        <v>5959.1151271500003</v>
      </c>
      <c r="AI68" s="561">
        <v>1928</v>
      </c>
      <c r="AJ68" s="89"/>
    </row>
    <row r="69" spans="1:36" s="96" customFormat="1" x14ac:dyDescent="0.4">
      <c r="A69" s="514">
        <v>1929</v>
      </c>
      <c r="B69" s="574"/>
      <c r="C69" s="555"/>
      <c r="D69" s="555"/>
      <c r="E69" s="556"/>
      <c r="F69" s="556"/>
      <c r="G69" s="556"/>
      <c r="H69" s="556"/>
      <c r="I69" s="557"/>
      <c r="J69" s="557"/>
      <c r="K69" s="556"/>
      <c r="L69" s="558"/>
      <c r="M69" s="559"/>
      <c r="N69" s="555"/>
      <c r="O69" s="1396">
        <v>3013.5951350599998</v>
      </c>
      <c r="P69" s="1396"/>
      <c r="Q69" s="1396"/>
      <c r="R69" s="556"/>
      <c r="S69" s="1396">
        <v>840.27079457000002</v>
      </c>
      <c r="T69" s="1396"/>
      <c r="U69" s="1396"/>
      <c r="V69" s="556"/>
      <c r="W69" s="1396">
        <v>474.49390697000001</v>
      </c>
      <c r="X69" s="1396"/>
      <c r="Y69" s="1396"/>
      <c r="Z69" s="547">
        <v>2381.6139570400001</v>
      </c>
      <c r="AA69" s="560"/>
      <c r="AB69" s="560"/>
      <c r="AC69" s="560"/>
      <c r="AD69" s="560"/>
      <c r="AE69" s="547">
        <v>415.56318619000001</v>
      </c>
      <c r="AF69" s="548">
        <v>7125.5369798299998</v>
      </c>
      <c r="AG69" s="560"/>
      <c r="AH69" s="549">
        <v>7125.5369798299998</v>
      </c>
      <c r="AI69" s="561">
        <v>1929</v>
      </c>
      <c r="AJ69" s="89"/>
    </row>
    <row r="70" spans="1:36" s="96" customFormat="1" x14ac:dyDescent="0.4">
      <c r="A70" s="514">
        <v>1930</v>
      </c>
      <c r="B70" s="574"/>
      <c r="C70" s="555"/>
      <c r="D70" s="555"/>
      <c r="E70" s="556"/>
      <c r="F70" s="556"/>
      <c r="G70" s="556"/>
      <c r="H70" s="556"/>
      <c r="I70" s="557"/>
      <c r="J70" s="557"/>
      <c r="K70" s="556"/>
      <c r="L70" s="558"/>
      <c r="M70" s="559"/>
      <c r="N70" s="555"/>
      <c r="O70" s="1396">
        <v>3613.0628119600001</v>
      </c>
      <c r="P70" s="1396"/>
      <c r="Q70" s="1396"/>
      <c r="R70" s="556"/>
      <c r="S70" s="1396">
        <v>724.44144683000002</v>
      </c>
      <c r="T70" s="1396"/>
      <c r="U70" s="1396"/>
      <c r="V70" s="556"/>
      <c r="W70" s="1396">
        <v>534.44067466000001</v>
      </c>
      <c r="X70" s="1396"/>
      <c r="Y70" s="1396"/>
      <c r="Z70" s="547">
        <v>2641.7219660000001</v>
      </c>
      <c r="AA70" s="560"/>
      <c r="AB70" s="560"/>
      <c r="AC70" s="560"/>
      <c r="AD70" s="560"/>
      <c r="AE70" s="547">
        <v>442.99645276000001</v>
      </c>
      <c r="AF70" s="548">
        <v>7956.6633522100001</v>
      </c>
      <c r="AG70" s="560"/>
      <c r="AH70" s="549">
        <v>7956.6633522100001</v>
      </c>
      <c r="AI70" s="561">
        <v>1930</v>
      </c>
      <c r="AJ70" s="89"/>
    </row>
    <row r="71" spans="1:36" s="96" customFormat="1" x14ac:dyDescent="0.4">
      <c r="A71" s="514">
        <v>1931</v>
      </c>
      <c r="B71" s="574"/>
      <c r="C71" s="555"/>
      <c r="D71" s="555"/>
      <c r="E71" s="556"/>
      <c r="F71" s="556"/>
      <c r="G71" s="556"/>
      <c r="H71" s="556"/>
      <c r="I71" s="557"/>
      <c r="J71" s="557"/>
      <c r="K71" s="556"/>
      <c r="L71" s="560"/>
      <c r="M71" s="556"/>
      <c r="N71" s="556"/>
      <c r="O71" s="1396">
        <v>3450.4953063600001</v>
      </c>
      <c r="P71" s="1396"/>
      <c r="Q71" s="1396"/>
      <c r="R71" s="556"/>
      <c r="S71" s="1396">
        <v>833.15846620000002</v>
      </c>
      <c r="T71" s="1396"/>
      <c r="U71" s="1396"/>
      <c r="V71" s="556"/>
      <c r="W71" s="1396">
        <v>366.79293451000001</v>
      </c>
      <c r="X71" s="1396"/>
      <c r="Y71" s="1396"/>
      <c r="Z71" s="547">
        <v>2411.0793174300002</v>
      </c>
      <c r="AA71" s="560"/>
      <c r="AB71" s="560"/>
      <c r="AC71" s="560"/>
      <c r="AD71" s="560"/>
      <c r="AE71" s="547">
        <v>411.49899855000001</v>
      </c>
      <c r="AF71" s="548">
        <v>7473.0250230500005</v>
      </c>
      <c r="AG71" s="560"/>
      <c r="AH71" s="549">
        <v>7473.0250230500005</v>
      </c>
      <c r="AI71" s="561">
        <v>1931</v>
      </c>
      <c r="AJ71" s="89"/>
    </row>
    <row r="72" spans="1:36" s="96" customFormat="1" x14ac:dyDescent="0.4">
      <c r="A72" s="514">
        <v>1932</v>
      </c>
      <c r="B72" s="574"/>
      <c r="C72" s="555"/>
      <c r="D72" s="555"/>
      <c r="E72" s="556"/>
      <c r="F72" s="556"/>
      <c r="G72" s="556"/>
      <c r="H72" s="556"/>
      <c r="I72" s="557"/>
      <c r="J72" s="557"/>
      <c r="K72" s="556"/>
      <c r="L72" s="560"/>
      <c r="M72" s="556"/>
      <c r="N72" s="556"/>
      <c r="O72" s="1396">
        <v>3598.8381552199999</v>
      </c>
      <c r="P72" s="1396"/>
      <c r="Q72" s="1396"/>
      <c r="R72" s="556"/>
      <c r="S72" s="1396">
        <v>685.83166425000002</v>
      </c>
      <c r="T72" s="1396"/>
      <c r="U72" s="1396"/>
      <c r="V72" s="556"/>
      <c r="W72" s="1396">
        <v>463.31739096000001</v>
      </c>
      <c r="X72" s="1396"/>
      <c r="Y72" s="1396"/>
      <c r="Z72" s="547">
        <v>2388.7262854099999</v>
      </c>
      <c r="AA72" s="560"/>
      <c r="AB72" s="560"/>
      <c r="AC72" s="560"/>
      <c r="AD72" s="560"/>
      <c r="AE72" s="547">
        <v>358.66455923000001</v>
      </c>
      <c r="AF72" s="548">
        <v>7495.3780550700003</v>
      </c>
      <c r="AG72" s="560"/>
      <c r="AH72" s="549">
        <v>7495.3780550700003</v>
      </c>
      <c r="AI72" s="561">
        <v>1932</v>
      </c>
      <c r="AJ72" s="89"/>
    </row>
    <row r="73" spans="1:36" s="96" customFormat="1" x14ac:dyDescent="0.4">
      <c r="A73" s="514">
        <v>1933</v>
      </c>
      <c r="B73" s="574"/>
      <c r="C73" s="555"/>
      <c r="D73" s="555"/>
      <c r="E73" s="556"/>
      <c r="F73" s="556"/>
      <c r="G73" s="556"/>
      <c r="H73" s="556"/>
      <c r="I73" s="557"/>
      <c r="J73" s="557"/>
      <c r="K73" s="556"/>
      <c r="L73" s="1396">
        <v>10.1604691</v>
      </c>
      <c r="M73" s="1396"/>
      <c r="N73" s="547"/>
      <c r="O73" s="1396">
        <v>3931.0854947900002</v>
      </c>
      <c r="P73" s="1396"/>
      <c r="Q73" s="1396"/>
      <c r="R73" s="556"/>
      <c r="S73" s="1396">
        <v>709.20074318000002</v>
      </c>
      <c r="T73" s="1396"/>
      <c r="U73" s="1396"/>
      <c r="V73" s="556"/>
      <c r="W73" s="1396">
        <v>535.45672157000001</v>
      </c>
      <c r="X73" s="1396"/>
      <c r="Y73" s="1396"/>
      <c r="Z73" s="547">
        <v>2665.09104493</v>
      </c>
      <c r="AA73" s="560"/>
      <c r="AB73" s="560"/>
      <c r="AC73" s="560"/>
      <c r="AD73" s="560"/>
      <c r="AE73" s="547">
        <v>449.09273422000001</v>
      </c>
      <c r="AF73" s="548">
        <v>8300.0872077900003</v>
      </c>
      <c r="AG73" s="560"/>
      <c r="AH73" s="549">
        <v>8300.0872077900003</v>
      </c>
      <c r="AI73" s="561">
        <v>1933</v>
      </c>
      <c r="AJ73" s="89"/>
    </row>
    <row r="74" spans="1:36" s="96" customFormat="1" x14ac:dyDescent="0.4">
      <c r="A74" s="514">
        <v>1934</v>
      </c>
      <c r="B74" s="574"/>
      <c r="C74" s="555"/>
      <c r="D74" s="555"/>
      <c r="E74" s="556"/>
      <c r="F74" s="556"/>
      <c r="G74" s="556"/>
      <c r="H74" s="556"/>
      <c r="I74" s="557"/>
      <c r="J74" s="557"/>
      <c r="K74" s="556"/>
      <c r="L74" s="1396">
        <v>25.401172750000001</v>
      </c>
      <c r="M74" s="1396"/>
      <c r="N74" s="547"/>
      <c r="O74" s="1396">
        <v>4057.0753116300002</v>
      </c>
      <c r="P74" s="1396"/>
      <c r="Q74" s="1396"/>
      <c r="R74" s="556"/>
      <c r="S74" s="1396">
        <v>843.31893530000002</v>
      </c>
      <c r="T74" s="1396"/>
      <c r="U74" s="1396"/>
      <c r="V74" s="556"/>
      <c r="W74" s="1396">
        <v>597.43558308000001</v>
      </c>
      <c r="X74" s="1396"/>
      <c r="Y74" s="1396"/>
      <c r="Z74" s="547">
        <v>3322.4733956999999</v>
      </c>
      <c r="AA74" s="560"/>
      <c r="AB74" s="560"/>
      <c r="AC74" s="560"/>
      <c r="AD74" s="560"/>
      <c r="AE74" s="547">
        <v>464.33343787000001</v>
      </c>
      <c r="AF74" s="548">
        <v>9310.0378363299988</v>
      </c>
      <c r="AG74" s="560"/>
      <c r="AH74" s="549">
        <v>9310.0378363299988</v>
      </c>
      <c r="AI74" s="561">
        <v>1934</v>
      </c>
      <c r="AJ74" s="89"/>
    </row>
    <row r="75" spans="1:36" s="96" customFormat="1" x14ac:dyDescent="0.4">
      <c r="A75" s="514">
        <v>1935</v>
      </c>
      <c r="B75" s="574"/>
      <c r="C75" s="555"/>
      <c r="D75" s="555"/>
      <c r="E75" s="556"/>
      <c r="F75" s="556"/>
      <c r="G75" s="556"/>
      <c r="H75" s="556"/>
      <c r="I75" s="557"/>
      <c r="J75" s="557"/>
      <c r="K75" s="556"/>
      <c r="L75" s="1396">
        <v>50.802345500000001</v>
      </c>
      <c r="M75" s="1396"/>
      <c r="N75" s="547"/>
      <c r="O75" s="1396">
        <v>4282.63772565</v>
      </c>
      <c r="P75" s="1396"/>
      <c r="Q75" s="1396"/>
      <c r="R75" s="556"/>
      <c r="S75" s="1396">
        <v>756.95494795000002</v>
      </c>
      <c r="T75" s="1396"/>
      <c r="U75" s="1396"/>
      <c r="V75" s="556"/>
      <c r="W75" s="1396">
        <v>510.05554882000001</v>
      </c>
      <c r="X75" s="1396"/>
      <c r="Y75" s="1396"/>
      <c r="Z75" s="547">
        <v>3262.52662801</v>
      </c>
      <c r="AA75" s="560"/>
      <c r="AB75" s="560"/>
      <c r="AC75" s="560"/>
      <c r="AD75" s="560"/>
      <c r="AE75" s="547">
        <v>458.23715641000001</v>
      </c>
      <c r="AF75" s="548">
        <v>9321.2143523399991</v>
      </c>
      <c r="AG75" s="560"/>
      <c r="AH75" s="549">
        <v>9321.2143523399991</v>
      </c>
      <c r="AI75" s="561">
        <v>1935</v>
      </c>
      <c r="AJ75" s="89"/>
    </row>
    <row r="76" spans="1:36" s="96" customFormat="1" x14ac:dyDescent="0.4">
      <c r="A76" s="514">
        <v>1936</v>
      </c>
      <c r="B76" s="574"/>
      <c r="C76" s="555"/>
      <c r="D76" s="555"/>
      <c r="E76" s="556"/>
      <c r="F76" s="556"/>
      <c r="G76" s="556"/>
      <c r="H76" s="556"/>
      <c r="I76" s="557"/>
      <c r="J76" s="557"/>
      <c r="K76" s="556"/>
      <c r="L76" s="1396">
        <v>71.123283700000002</v>
      </c>
      <c r="M76" s="1396"/>
      <c r="N76" s="547"/>
      <c r="O76" s="1396">
        <v>4476.7026854599999</v>
      </c>
      <c r="P76" s="1396"/>
      <c r="Q76" s="1396"/>
      <c r="R76" s="556"/>
      <c r="S76" s="1396">
        <v>802.67705890000002</v>
      </c>
      <c r="T76" s="1396"/>
      <c r="U76" s="1396"/>
      <c r="V76" s="556"/>
      <c r="W76" s="1396">
        <v>558.82580050000001</v>
      </c>
      <c r="X76" s="1396"/>
      <c r="Y76" s="1396"/>
      <c r="Z76" s="547">
        <v>3319.42525497</v>
      </c>
      <c r="AA76" s="560"/>
      <c r="AB76" s="560"/>
      <c r="AC76" s="560"/>
      <c r="AD76" s="560"/>
      <c r="AE76" s="547">
        <v>526.31229938000001</v>
      </c>
      <c r="AF76" s="548">
        <v>9755.0663829099994</v>
      </c>
      <c r="AG76" s="560"/>
      <c r="AH76" s="549">
        <v>9755.0663829099994</v>
      </c>
      <c r="AI76" s="561">
        <v>1936</v>
      </c>
      <c r="AJ76" s="89"/>
    </row>
    <row r="77" spans="1:36" s="96" customFormat="1" x14ac:dyDescent="0.4">
      <c r="A77" s="514">
        <v>1937</v>
      </c>
      <c r="B77" s="574"/>
      <c r="C77" s="554"/>
      <c r="D77" s="554"/>
      <c r="E77" s="556"/>
      <c r="F77" s="547"/>
      <c r="G77" s="547"/>
      <c r="H77" s="547"/>
      <c r="I77" s="548"/>
      <c r="J77" s="548"/>
      <c r="K77" s="547"/>
      <c r="L77" s="1396">
        <v>91.444221900000002</v>
      </c>
      <c r="M77" s="1396"/>
      <c r="N77" s="547"/>
      <c r="O77" s="1396">
        <v>4696.1688180199999</v>
      </c>
      <c r="P77" s="1396"/>
      <c r="Q77" s="1396"/>
      <c r="R77" s="547"/>
      <c r="S77" s="1396">
        <v>816.90171564000002</v>
      </c>
      <c r="T77" s="1396"/>
      <c r="U77" s="1396"/>
      <c r="V77" s="547"/>
      <c r="W77" s="1396">
        <v>579.14673870000001</v>
      </c>
      <c r="X77" s="1396"/>
      <c r="Y77" s="1396"/>
      <c r="Z77" s="547">
        <v>3641.5121254400001</v>
      </c>
      <c r="AA77" s="547"/>
      <c r="AB77" s="547"/>
      <c r="AC77" s="547"/>
      <c r="AD77" s="547"/>
      <c r="AE77" s="547">
        <v>549.68137831000001</v>
      </c>
      <c r="AF77" s="548">
        <v>10374.85499801</v>
      </c>
      <c r="AG77" s="547"/>
      <c r="AH77" s="549">
        <v>10374.85499801</v>
      </c>
      <c r="AI77" s="561">
        <v>1937</v>
      </c>
      <c r="AJ77" s="89"/>
    </row>
    <row r="78" spans="1:36" s="96" customFormat="1" ht="21.75" customHeight="1" x14ac:dyDescent="0.4">
      <c r="A78" s="514">
        <v>1938</v>
      </c>
      <c r="B78" s="574"/>
      <c r="C78" s="554">
        <v>2</v>
      </c>
      <c r="D78" s="554">
        <v>0</v>
      </c>
      <c r="E78" s="556"/>
      <c r="F78" s="547"/>
      <c r="G78" s="547"/>
      <c r="H78" s="547"/>
      <c r="I78" s="548"/>
      <c r="J78" s="548"/>
      <c r="K78" s="547">
        <v>132</v>
      </c>
      <c r="L78" s="1396">
        <v>115</v>
      </c>
      <c r="M78" s="1396"/>
      <c r="N78" s="547"/>
      <c r="O78" s="547">
        <v>4909</v>
      </c>
      <c r="P78" s="547">
        <v>39</v>
      </c>
      <c r="Q78" s="547">
        <v>73</v>
      </c>
      <c r="R78" s="547"/>
      <c r="S78" s="547">
        <v>0</v>
      </c>
      <c r="T78" s="547">
        <v>552</v>
      </c>
      <c r="U78" s="547">
        <v>181</v>
      </c>
      <c r="V78" s="547"/>
      <c r="W78" s="547">
        <v>393</v>
      </c>
      <c r="X78" s="1396">
        <v>810</v>
      </c>
      <c r="Y78" s="1396"/>
      <c r="Z78" s="547">
        <v>638</v>
      </c>
      <c r="AA78" s="547">
        <v>569</v>
      </c>
      <c r="AB78" s="547">
        <v>617</v>
      </c>
      <c r="AC78" s="547">
        <v>49</v>
      </c>
      <c r="AD78" s="547"/>
      <c r="AE78" s="547"/>
      <c r="AF78" s="548">
        <v>9079</v>
      </c>
      <c r="AG78" s="547">
        <v>186</v>
      </c>
      <c r="AH78" s="549">
        <v>9265</v>
      </c>
      <c r="AI78" s="561">
        <v>1938</v>
      </c>
      <c r="AJ78" s="89"/>
    </row>
    <row r="79" spans="1:36" s="96" customFormat="1" ht="19.5" customHeight="1" x14ac:dyDescent="0.4">
      <c r="A79" s="514">
        <v>1939</v>
      </c>
      <c r="B79" s="574"/>
      <c r="C79" s="554"/>
      <c r="D79" s="554"/>
      <c r="E79" s="556"/>
      <c r="F79" s="547"/>
      <c r="G79" s="547"/>
      <c r="H79" s="547"/>
      <c r="I79" s="548"/>
      <c r="J79" s="548"/>
      <c r="K79" s="547"/>
      <c r="L79" s="1396">
        <v>4844</v>
      </c>
      <c r="M79" s="1396"/>
      <c r="N79" s="1396"/>
      <c r="O79" s="1396"/>
      <c r="P79" s="1396"/>
      <c r="Q79" s="1396"/>
      <c r="R79" s="547"/>
      <c r="S79" s="1396">
        <v>805</v>
      </c>
      <c r="T79" s="1396"/>
      <c r="U79" s="1396"/>
      <c r="V79" s="547"/>
      <c r="W79" s="547">
        <v>523</v>
      </c>
      <c r="X79" s="1397" t="s">
        <v>198</v>
      </c>
      <c r="Y79" s="1396"/>
      <c r="Z79" s="1396"/>
      <c r="AA79" s="547">
        <v>512</v>
      </c>
      <c r="AB79" s="547"/>
      <c r="AC79" s="547"/>
      <c r="AD79" s="547"/>
      <c r="AE79" s="547"/>
      <c r="AF79" s="548">
        <v>8231</v>
      </c>
      <c r="AG79" s="547"/>
      <c r="AH79" s="549">
        <v>8231</v>
      </c>
      <c r="AI79" s="561">
        <v>1939</v>
      </c>
      <c r="AJ79" s="89"/>
    </row>
    <row r="80" spans="1:36" s="96" customFormat="1" x14ac:dyDescent="0.4">
      <c r="A80" s="514">
        <v>1940</v>
      </c>
      <c r="B80" s="574"/>
      <c r="C80" s="554">
        <v>3</v>
      </c>
      <c r="D80" s="554">
        <v>0</v>
      </c>
      <c r="E80" s="556"/>
      <c r="F80" s="547"/>
      <c r="G80" s="547"/>
      <c r="H80" s="547"/>
      <c r="I80" s="548"/>
      <c r="J80" s="548"/>
      <c r="K80" s="547">
        <v>168</v>
      </c>
      <c r="L80" s="1396">
        <v>3799</v>
      </c>
      <c r="M80" s="1396"/>
      <c r="N80" s="1396"/>
      <c r="O80" s="1396"/>
      <c r="P80" s="547">
        <v>48</v>
      </c>
      <c r="Q80" s="547">
        <v>83</v>
      </c>
      <c r="R80" s="547"/>
      <c r="S80" s="1396">
        <v>888</v>
      </c>
      <c r="T80" s="1396"/>
      <c r="U80" s="1396"/>
      <c r="V80" s="547"/>
      <c r="W80" s="547">
        <v>436</v>
      </c>
      <c r="X80" s="1396">
        <v>815</v>
      </c>
      <c r="Y80" s="1396"/>
      <c r="Z80" s="547">
        <v>605</v>
      </c>
      <c r="AA80" s="547">
        <v>525</v>
      </c>
      <c r="AB80" s="547">
        <v>386</v>
      </c>
      <c r="AC80" s="547">
        <v>58</v>
      </c>
      <c r="AD80" s="563"/>
      <c r="AE80" s="563"/>
      <c r="AF80" s="548">
        <v>7814</v>
      </c>
      <c r="AG80" s="547">
        <v>178</v>
      </c>
      <c r="AH80" s="549">
        <v>7992</v>
      </c>
      <c r="AI80" s="561">
        <v>1940</v>
      </c>
      <c r="AJ80" s="89"/>
    </row>
    <row r="81" spans="1:36" s="96" customFormat="1" x14ac:dyDescent="0.4">
      <c r="A81" s="514">
        <v>1941</v>
      </c>
      <c r="B81" s="574"/>
      <c r="C81" s="554">
        <v>3</v>
      </c>
      <c r="D81" s="554">
        <v>0</v>
      </c>
      <c r="E81" s="556"/>
      <c r="F81" s="547"/>
      <c r="G81" s="547"/>
      <c r="H81" s="547"/>
      <c r="I81" s="548"/>
      <c r="J81" s="548"/>
      <c r="K81" s="547">
        <v>200</v>
      </c>
      <c r="L81" s="1396">
        <v>4444</v>
      </c>
      <c r="M81" s="1396"/>
      <c r="N81" s="1396"/>
      <c r="O81" s="1396"/>
      <c r="P81" s="547">
        <v>60</v>
      </c>
      <c r="Q81" s="547">
        <v>91</v>
      </c>
      <c r="R81" s="547"/>
      <c r="S81" s="1396">
        <v>958</v>
      </c>
      <c r="T81" s="1396"/>
      <c r="U81" s="1396"/>
      <c r="V81" s="547"/>
      <c r="W81" s="547">
        <v>474</v>
      </c>
      <c r="X81" s="1396">
        <v>909</v>
      </c>
      <c r="Y81" s="1396"/>
      <c r="Z81" s="547">
        <v>499</v>
      </c>
      <c r="AA81" s="547">
        <v>657</v>
      </c>
      <c r="AB81" s="547">
        <v>354</v>
      </c>
      <c r="AC81" s="547">
        <v>60</v>
      </c>
      <c r="AD81" s="563"/>
      <c r="AE81" s="563"/>
      <c r="AF81" s="548">
        <v>8709</v>
      </c>
      <c r="AG81" s="547">
        <v>170</v>
      </c>
      <c r="AH81" s="549">
        <v>8879</v>
      </c>
      <c r="AI81" s="561">
        <v>1941</v>
      </c>
      <c r="AJ81" s="89"/>
    </row>
    <row r="82" spans="1:36" s="96" customFormat="1" x14ac:dyDescent="0.4">
      <c r="A82" s="514">
        <v>1942</v>
      </c>
      <c r="B82" s="574"/>
      <c r="C82" s="554">
        <v>4</v>
      </c>
      <c r="D82" s="554">
        <v>0</v>
      </c>
      <c r="E82" s="556"/>
      <c r="F82" s="547"/>
      <c r="G82" s="547"/>
      <c r="H82" s="547"/>
      <c r="I82" s="548"/>
      <c r="J82" s="548"/>
      <c r="K82" s="547">
        <v>204</v>
      </c>
      <c r="L82" s="1396">
        <v>4377</v>
      </c>
      <c r="M82" s="1396"/>
      <c r="N82" s="1396"/>
      <c r="O82" s="1396"/>
      <c r="P82" s="547">
        <v>60</v>
      </c>
      <c r="Q82" s="547">
        <v>103</v>
      </c>
      <c r="R82" s="547"/>
      <c r="S82" s="1396">
        <v>1028</v>
      </c>
      <c r="T82" s="1396"/>
      <c r="U82" s="1396"/>
      <c r="V82" s="547"/>
      <c r="W82" s="547">
        <v>481</v>
      </c>
      <c r="X82" s="1396">
        <v>846</v>
      </c>
      <c r="Y82" s="1396"/>
      <c r="Z82" s="547">
        <v>453</v>
      </c>
      <c r="AA82" s="547">
        <v>638</v>
      </c>
      <c r="AB82" s="547">
        <v>252</v>
      </c>
      <c r="AC82" s="547">
        <v>54</v>
      </c>
      <c r="AD82" s="563"/>
      <c r="AE82" s="563"/>
      <c r="AF82" s="548">
        <v>8500</v>
      </c>
      <c r="AG82" s="547">
        <v>137</v>
      </c>
      <c r="AH82" s="549">
        <v>8637</v>
      </c>
      <c r="AI82" s="561">
        <v>1942</v>
      </c>
      <c r="AJ82" s="89"/>
    </row>
    <row r="83" spans="1:36" s="96" customFormat="1" x14ac:dyDescent="0.4">
      <c r="A83" s="514">
        <v>1943</v>
      </c>
      <c r="B83" s="574"/>
      <c r="C83" s="554">
        <v>4</v>
      </c>
      <c r="D83" s="554">
        <v>0</v>
      </c>
      <c r="E83" s="556"/>
      <c r="F83" s="547"/>
      <c r="G83" s="547"/>
      <c r="H83" s="547"/>
      <c r="I83" s="548"/>
      <c r="J83" s="548"/>
      <c r="K83" s="547">
        <v>228</v>
      </c>
      <c r="L83" s="1396">
        <v>5091</v>
      </c>
      <c r="M83" s="1396"/>
      <c r="N83" s="1396"/>
      <c r="O83" s="1396"/>
      <c r="P83" s="547">
        <v>59</v>
      </c>
      <c r="Q83" s="547">
        <v>94</v>
      </c>
      <c r="R83" s="547"/>
      <c r="S83" s="1396">
        <v>1084</v>
      </c>
      <c r="T83" s="1396"/>
      <c r="U83" s="1396"/>
      <c r="V83" s="547"/>
      <c r="W83" s="547">
        <v>459</v>
      </c>
      <c r="X83" s="1396">
        <v>852</v>
      </c>
      <c r="Y83" s="1396"/>
      <c r="Z83" s="547">
        <v>308</v>
      </c>
      <c r="AA83" s="547">
        <v>601</v>
      </c>
      <c r="AB83" s="547">
        <v>180</v>
      </c>
      <c r="AC83" s="547">
        <v>50</v>
      </c>
      <c r="AD83" s="563"/>
      <c r="AE83" s="563"/>
      <c r="AF83" s="548">
        <v>9010</v>
      </c>
      <c r="AG83" s="547">
        <v>101</v>
      </c>
      <c r="AH83" s="549">
        <v>9111</v>
      </c>
      <c r="AI83" s="561">
        <v>1943</v>
      </c>
      <c r="AJ83" s="89"/>
    </row>
    <row r="84" spans="1:36" s="96" customFormat="1" x14ac:dyDescent="0.4">
      <c r="A84" s="514">
        <v>1944</v>
      </c>
      <c r="B84" s="574"/>
      <c r="C84" s="554">
        <v>4</v>
      </c>
      <c r="D84" s="554">
        <v>0</v>
      </c>
      <c r="E84" s="556"/>
      <c r="F84" s="547"/>
      <c r="G84" s="547"/>
      <c r="H84" s="547"/>
      <c r="I84" s="548"/>
      <c r="J84" s="548"/>
      <c r="K84" s="547">
        <v>384</v>
      </c>
      <c r="L84" s="1396">
        <v>8583</v>
      </c>
      <c r="M84" s="1396"/>
      <c r="N84" s="1396"/>
      <c r="O84" s="1396"/>
      <c r="P84" s="547">
        <v>73</v>
      </c>
      <c r="Q84" s="547">
        <v>108</v>
      </c>
      <c r="R84" s="547"/>
      <c r="S84" s="1396">
        <v>1152</v>
      </c>
      <c r="T84" s="1396"/>
      <c r="U84" s="1396"/>
      <c r="V84" s="547"/>
      <c r="W84" s="547">
        <v>507</v>
      </c>
      <c r="X84" s="1396">
        <v>995</v>
      </c>
      <c r="Y84" s="1396"/>
      <c r="Z84" s="547">
        <v>251</v>
      </c>
      <c r="AA84" s="547">
        <v>710</v>
      </c>
      <c r="AB84" s="547">
        <v>267</v>
      </c>
      <c r="AC84" s="547">
        <v>54</v>
      </c>
      <c r="AD84" s="563"/>
      <c r="AE84" s="563"/>
      <c r="AF84" s="548">
        <v>13088</v>
      </c>
      <c r="AG84" s="547">
        <v>190</v>
      </c>
      <c r="AH84" s="549">
        <v>13278</v>
      </c>
      <c r="AI84" s="561">
        <v>1944</v>
      </c>
      <c r="AJ84" s="89"/>
    </row>
    <row r="85" spans="1:36" s="96" customFormat="1" x14ac:dyDescent="0.4">
      <c r="A85" s="514">
        <v>1945</v>
      </c>
      <c r="B85" s="574"/>
      <c r="C85" s="554">
        <v>5</v>
      </c>
      <c r="D85" s="554">
        <v>0</v>
      </c>
      <c r="E85" s="556"/>
      <c r="F85" s="547"/>
      <c r="G85" s="547"/>
      <c r="H85" s="547"/>
      <c r="I85" s="548"/>
      <c r="J85" s="548"/>
      <c r="K85" s="547">
        <v>437</v>
      </c>
      <c r="L85" s="1396">
        <v>6060</v>
      </c>
      <c r="M85" s="1396"/>
      <c r="N85" s="1396"/>
      <c r="O85" s="1396"/>
      <c r="P85" s="547">
        <v>59</v>
      </c>
      <c r="Q85" s="547">
        <v>115</v>
      </c>
      <c r="R85" s="547"/>
      <c r="S85" s="1396">
        <v>1283</v>
      </c>
      <c r="T85" s="1396"/>
      <c r="U85" s="1396"/>
      <c r="V85" s="547"/>
      <c r="W85" s="547">
        <v>519</v>
      </c>
      <c r="X85" s="1396">
        <v>1006</v>
      </c>
      <c r="Y85" s="1396"/>
      <c r="Z85" s="547">
        <v>231</v>
      </c>
      <c r="AA85" s="547">
        <v>562</v>
      </c>
      <c r="AB85" s="547">
        <v>247</v>
      </c>
      <c r="AC85" s="547">
        <v>48</v>
      </c>
      <c r="AD85" s="563"/>
      <c r="AE85" s="563"/>
      <c r="AF85" s="548">
        <v>10572</v>
      </c>
      <c r="AG85" s="547">
        <v>152</v>
      </c>
      <c r="AH85" s="549">
        <v>10724</v>
      </c>
      <c r="AI85" s="561">
        <v>1945</v>
      </c>
      <c r="AJ85" s="89"/>
    </row>
    <row r="86" spans="1:36" s="100" customFormat="1" ht="21" customHeight="1" x14ac:dyDescent="0.4">
      <c r="A86" s="515">
        <v>1946</v>
      </c>
      <c r="B86" s="600"/>
      <c r="C86" s="564">
        <v>9</v>
      </c>
      <c r="D86" s="564">
        <v>0</v>
      </c>
      <c r="E86" s="565"/>
      <c r="F86" s="566"/>
      <c r="G86" s="566"/>
      <c r="H86" s="566"/>
      <c r="I86" s="567"/>
      <c r="J86" s="567"/>
      <c r="K86" s="566">
        <v>544</v>
      </c>
      <c r="L86" s="1398">
        <v>4478</v>
      </c>
      <c r="M86" s="1398"/>
      <c r="N86" s="1398"/>
      <c r="O86" s="1398"/>
      <c r="P86" s="566">
        <v>57</v>
      </c>
      <c r="Q86" s="566">
        <v>125</v>
      </c>
      <c r="R86" s="566"/>
      <c r="S86" s="1398">
        <v>1314</v>
      </c>
      <c r="T86" s="1398"/>
      <c r="U86" s="1398"/>
      <c r="V86" s="566"/>
      <c r="W86" s="566">
        <v>621</v>
      </c>
      <c r="X86" s="1398">
        <v>1166</v>
      </c>
      <c r="Y86" s="1398"/>
      <c r="Z86" s="566">
        <v>606</v>
      </c>
      <c r="AA86" s="566">
        <v>624</v>
      </c>
      <c r="AB86" s="566">
        <v>382</v>
      </c>
      <c r="AC86" s="566">
        <v>43</v>
      </c>
      <c r="AD86" s="563"/>
      <c r="AE86" s="563"/>
      <c r="AF86" s="567">
        <v>9969</v>
      </c>
      <c r="AG86" s="566">
        <v>307</v>
      </c>
      <c r="AH86" s="568">
        <v>10276</v>
      </c>
      <c r="AI86" s="569">
        <v>1946</v>
      </c>
      <c r="AJ86" s="522"/>
    </row>
    <row r="87" spans="1:36" s="96" customFormat="1" x14ac:dyDescent="0.4">
      <c r="A87" s="514">
        <v>1947</v>
      </c>
      <c r="B87" s="574"/>
      <c r="C87" s="554">
        <v>18</v>
      </c>
      <c r="D87" s="554">
        <v>0</v>
      </c>
      <c r="E87" s="556"/>
      <c r="F87" s="563"/>
      <c r="G87" s="563"/>
      <c r="H87" s="563"/>
      <c r="I87" s="548">
        <v>12</v>
      </c>
      <c r="J87" s="548"/>
      <c r="K87" s="547">
        <v>0</v>
      </c>
      <c r="L87" s="1396">
        <v>248</v>
      </c>
      <c r="M87" s="1396"/>
      <c r="N87" s="547"/>
      <c r="O87" s="547">
        <v>4668</v>
      </c>
      <c r="P87" s="547">
        <v>58</v>
      </c>
      <c r="Q87" s="547">
        <v>135</v>
      </c>
      <c r="R87" s="547"/>
      <c r="S87" s="547">
        <v>40</v>
      </c>
      <c r="T87" s="547">
        <v>624</v>
      </c>
      <c r="U87" s="547">
        <v>857</v>
      </c>
      <c r="V87" s="547"/>
      <c r="W87" s="547">
        <v>712</v>
      </c>
      <c r="X87" s="1396">
        <v>1489</v>
      </c>
      <c r="Y87" s="1396"/>
      <c r="Z87" s="547">
        <v>1967</v>
      </c>
      <c r="AA87" s="547">
        <v>676</v>
      </c>
      <c r="AB87" s="547">
        <v>431</v>
      </c>
      <c r="AC87" s="547">
        <v>39</v>
      </c>
      <c r="AD87" s="563"/>
      <c r="AE87" s="563"/>
      <c r="AF87" s="548">
        <v>11974</v>
      </c>
      <c r="AG87" s="547">
        <v>349</v>
      </c>
      <c r="AH87" s="549">
        <v>12323</v>
      </c>
      <c r="AI87" s="561">
        <v>1947</v>
      </c>
      <c r="AJ87" s="89"/>
    </row>
    <row r="88" spans="1:36" s="96" customFormat="1" x14ac:dyDescent="0.4">
      <c r="A88" s="514">
        <v>1948</v>
      </c>
      <c r="B88" s="574"/>
      <c r="C88" s="554">
        <v>19</v>
      </c>
      <c r="D88" s="554">
        <v>0</v>
      </c>
      <c r="E88" s="556"/>
      <c r="F88" s="563"/>
      <c r="G88" s="563"/>
      <c r="H88" s="563"/>
      <c r="I88" s="548">
        <v>24</v>
      </c>
      <c r="J88" s="548"/>
      <c r="K88" s="547">
        <v>0</v>
      </c>
      <c r="L88" s="1396">
        <v>277</v>
      </c>
      <c r="M88" s="1396"/>
      <c r="N88" s="547"/>
      <c r="O88" s="547">
        <v>4333</v>
      </c>
      <c r="P88" s="547">
        <v>67</v>
      </c>
      <c r="Q88" s="547">
        <v>144</v>
      </c>
      <c r="R88" s="547"/>
      <c r="S88" s="547">
        <v>71</v>
      </c>
      <c r="T88" s="547">
        <v>567</v>
      </c>
      <c r="U88" s="547">
        <v>824</v>
      </c>
      <c r="V88" s="547"/>
      <c r="W88" s="547">
        <v>830</v>
      </c>
      <c r="X88" s="1396">
        <v>1390</v>
      </c>
      <c r="Y88" s="1396"/>
      <c r="Z88" s="547">
        <v>2786</v>
      </c>
      <c r="AA88" s="547">
        <v>663</v>
      </c>
      <c r="AB88" s="547">
        <v>501</v>
      </c>
      <c r="AC88" s="547">
        <v>44</v>
      </c>
      <c r="AD88" s="563"/>
      <c r="AE88" s="563"/>
      <c r="AF88" s="548">
        <v>12540</v>
      </c>
      <c r="AG88" s="547">
        <v>429</v>
      </c>
      <c r="AH88" s="549">
        <v>12969</v>
      </c>
      <c r="AI88" s="561">
        <v>1948</v>
      </c>
      <c r="AJ88" s="89"/>
    </row>
    <row r="89" spans="1:36" s="96" customFormat="1" x14ac:dyDescent="0.4">
      <c r="A89" s="514">
        <v>1949</v>
      </c>
      <c r="B89" s="574"/>
      <c r="C89" s="554">
        <v>23</v>
      </c>
      <c r="D89" s="554">
        <v>1</v>
      </c>
      <c r="E89" s="556"/>
      <c r="F89" s="563"/>
      <c r="G89" s="563"/>
      <c r="H89" s="563"/>
      <c r="I89" s="548">
        <v>114</v>
      </c>
      <c r="J89" s="548"/>
      <c r="K89" s="547">
        <v>0</v>
      </c>
      <c r="L89" s="1396">
        <v>293</v>
      </c>
      <c r="M89" s="1396"/>
      <c r="N89" s="547"/>
      <c r="O89" s="547">
        <v>4746</v>
      </c>
      <c r="P89" s="547">
        <v>66</v>
      </c>
      <c r="Q89" s="547">
        <v>150</v>
      </c>
      <c r="R89" s="547"/>
      <c r="S89" s="547">
        <v>112</v>
      </c>
      <c r="T89" s="547">
        <v>564</v>
      </c>
      <c r="U89" s="547">
        <v>874</v>
      </c>
      <c r="V89" s="547"/>
      <c r="W89" s="547">
        <v>939</v>
      </c>
      <c r="X89" s="1396">
        <v>1512</v>
      </c>
      <c r="Y89" s="1396"/>
      <c r="Z89" s="547">
        <v>2840</v>
      </c>
      <c r="AA89" s="547">
        <v>725</v>
      </c>
      <c r="AB89" s="547">
        <v>554</v>
      </c>
      <c r="AC89" s="547">
        <v>41</v>
      </c>
      <c r="AD89" s="563"/>
      <c r="AE89" s="563"/>
      <c r="AF89" s="548">
        <v>13554</v>
      </c>
      <c r="AG89" s="547">
        <v>507</v>
      </c>
      <c r="AH89" s="549">
        <v>14061</v>
      </c>
      <c r="AI89" s="561">
        <v>1949</v>
      </c>
      <c r="AJ89" s="89"/>
    </row>
    <row r="90" spans="1:36" s="96" customFormat="1" x14ac:dyDescent="0.4">
      <c r="A90" s="514">
        <v>1950</v>
      </c>
      <c r="B90" s="574"/>
      <c r="C90" s="554">
        <v>30</v>
      </c>
      <c r="D90" s="554">
        <v>1</v>
      </c>
      <c r="E90" s="556"/>
      <c r="F90" s="563"/>
      <c r="G90" s="563"/>
      <c r="H90" s="563"/>
      <c r="I90" s="548">
        <v>218</v>
      </c>
      <c r="J90" s="548"/>
      <c r="K90" s="547">
        <v>0</v>
      </c>
      <c r="L90" s="1396">
        <v>287</v>
      </c>
      <c r="M90" s="1396"/>
      <c r="N90" s="547"/>
      <c r="O90" s="547">
        <v>5278</v>
      </c>
      <c r="P90" s="547">
        <v>82</v>
      </c>
      <c r="Q90" s="547">
        <v>151</v>
      </c>
      <c r="R90" s="547"/>
      <c r="S90" s="547">
        <v>179</v>
      </c>
      <c r="T90" s="547">
        <v>571</v>
      </c>
      <c r="U90" s="547">
        <v>814</v>
      </c>
      <c r="V90" s="547"/>
      <c r="W90" s="547">
        <v>1051</v>
      </c>
      <c r="X90" s="1396">
        <v>1621</v>
      </c>
      <c r="Y90" s="1396"/>
      <c r="Z90" s="547">
        <v>3143</v>
      </c>
      <c r="AA90" s="547">
        <v>761</v>
      </c>
      <c r="AB90" s="547">
        <v>631</v>
      </c>
      <c r="AC90" s="547">
        <v>44</v>
      </c>
      <c r="AD90" s="563"/>
      <c r="AE90" s="563"/>
      <c r="AF90" s="548">
        <v>14862</v>
      </c>
      <c r="AG90" s="547">
        <v>660</v>
      </c>
      <c r="AH90" s="549">
        <v>15522</v>
      </c>
      <c r="AI90" s="561">
        <v>1950</v>
      </c>
      <c r="AJ90" s="89"/>
    </row>
    <row r="91" spans="1:36" s="96" customFormat="1" x14ac:dyDescent="0.4">
      <c r="A91" s="514">
        <v>1951</v>
      </c>
      <c r="B91" s="574"/>
      <c r="C91" s="554">
        <v>38</v>
      </c>
      <c r="D91" s="554">
        <v>1</v>
      </c>
      <c r="E91" s="556"/>
      <c r="F91" s="563"/>
      <c r="G91" s="563"/>
      <c r="H91" s="563"/>
      <c r="I91" s="548">
        <v>323</v>
      </c>
      <c r="J91" s="548"/>
      <c r="K91" s="547">
        <v>0</v>
      </c>
      <c r="L91" s="1396">
        <v>340</v>
      </c>
      <c r="M91" s="1396"/>
      <c r="N91" s="547"/>
      <c r="O91" s="547">
        <v>5542</v>
      </c>
      <c r="P91" s="547">
        <v>100</v>
      </c>
      <c r="Q91" s="547">
        <v>152</v>
      </c>
      <c r="R91" s="547"/>
      <c r="S91" s="547">
        <v>345</v>
      </c>
      <c r="T91" s="547">
        <v>596</v>
      </c>
      <c r="U91" s="547">
        <v>863</v>
      </c>
      <c r="V91" s="547"/>
      <c r="W91" s="547">
        <v>1144</v>
      </c>
      <c r="X91" s="1396">
        <v>1739</v>
      </c>
      <c r="Y91" s="1396"/>
      <c r="Z91" s="547">
        <v>3473</v>
      </c>
      <c r="AA91" s="547">
        <v>810</v>
      </c>
      <c r="AB91" s="547">
        <v>758</v>
      </c>
      <c r="AC91" s="547">
        <v>51</v>
      </c>
      <c r="AD91" s="563"/>
      <c r="AE91" s="563"/>
      <c r="AF91" s="548">
        <v>16275</v>
      </c>
      <c r="AG91" s="547">
        <v>885</v>
      </c>
      <c r="AH91" s="549">
        <v>17160</v>
      </c>
      <c r="AI91" s="561">
        <v>1951</v>
      </c>
      <c r="AJ91" s="89"/>
    </row>
    <row r="92" spans="1:36" s="96" customFormat="1" x14ac:dyDescent="0.4">
      <c r="A92" s="514">
        <v>1952</v>
      </c>
      <c r="B92" s="574"/>
      <c r="C92" s="554">
        <v>50</v>
      </c>
      <c r="D92" s="554">
        <v>0</v>
      </c>
      <c r="E92" s="556"/>
      <c r="F92" s="563"/>
      <c r="G92" s="563"/>
      <c r="H92" s="563"/>
      <c r="I92" s="548">
        <v>367</v>
      </c>
      <c r="J92" s="548"/>
      <c r="K92" s="547">
        <v>0</v>
      </c>
      <c r="L92" s="1396">
        <v>610</v>
      </c>
      <c r="M92" s="1396"/>
      <c r="N92" s="547"/>
      <c r="O92" s="547">
        <v>5528</v>
      </c>
      <c r="P92" s="547">
        <v>80</v>
      </c>
      <c r="Q92" s="547">
        <v>139</v>
      </c>
      <c r="R92" s="547"/>
      <c r="S92" s="547">
        <v>367</v>
      </c>
      <c r="T92" s="547">
        <v>586</v>
      </c>
      <c r="U92" s="547">
        <v>880</v>
      </c>
      <c r="V92" s="547"/>
      <c r="W92" s="547">
        <v>1200</v>
      </c>
      <c r="X92" s="1396">
        <v>1667</v>
      </c>
      <c r="Y92" s="1396"/>
      <c r="Z92" s="547">
        <v>3512</v>
      </c>
      <c r="AA92" s="547">
        <v>764</v>
      </c>
      <c r="AB92" s="547">
        <v>734</v>
      </c>
      <c r="AC92" s="547">
        <v>30</v>
      </c>
      <c r="AD92" s="563"/>
      <c r="AE92" s="563"/>
      <c r="AF92" s="548">
        <v>16514</v>
      </c>
      <c r="AG92" s="547">
        <v>1276</v>
      </c>
      <c r="AH92" s="549">
        <v>17790</v>
      </c>
      <c r="AI92" s="561">
        <v>1952</v>
      </c>
      <c r="AJ92" s="89"/>
    </row>
    <row r="93" spans="1:36" s="96" customFormat="1" x14ac:dyDescent="0.4">
      <c r="A93" s="514">
        <v>1953</v>
      </c>
      <c r="B93" s="574"/>
      <c r="C93" s="554">
        <v>55</v>
      </c>
      <c r="D93" s="554">
        <v>0</v>
      </c>
      <c r="E93" s="556"/>
      <c r="F93" s="563"/>
      <c r="G93" s="563"/>
      <c r="H93" s="563"/>
      <c r="I93" s="548">
        <v>515</v>
      </c>
      <c r="J93" s="548"/>
      <c r="K93" s="547">
        <v>0</v>
      </c>
      <c r="L93" s="1396">
        <v>900</v>
      </c>
      <c r="M93" s="1396"/>
      <c r="N93" s="547"/>
      <c r="O93" s="547">
        <v>5832</v>
      </c>
      <c r="P93" s="547">
        <v>103</v>
      </c>
      <c r="Q93" s="547">
        <v>143</v>
      </c>
      <c r="R93" s="547"/>
      <c r="S93" s="547">
        <v>303</v>
      </c>
      <c r="T93" s="547">
        <v>556</v>
      </c>
      <c r="U93" s="547">
        <v>846</v>
      </c>
      <c r="V93" s="547"/>
      <c r="W93" s="547">
        <v>1291</v>
      </c>
      <c r="X93" s="1396">
        <v>1745</v>
      </c>
      <c r="Y93" s="1396"/>
      <c r="Z93" s="547">
        <v>3876</v>
      </c>
      <c r="AA93" s="547">
        <v>807</v>
      </c>
      <c r="AB93" s="547">
        <v>762</v>
      </c>
      <c r="AC93" s="547">
        <v>41</v>
      </c>
      <c r="AD93" s="563"/>
      <c r="AE93" s="563"/>
      <c r="AF93" s="548">
        <v>17775</v>
      </c>
      <c r="AG93" s="547">
        <v>1533</v>
      </c>
      <c r="AH93" s="549">
        <v>19308</v>
      </c>
      <c r="AI93" s="561">
        <v>1953</v>
      </c>
      <c r="AJ93" s="89"/>
    </row>
    <row r="94" spans="1:36" s="96" customFormat="1" x14ac:dyDescent="0.4">
      <c r="A94" s="514">
        <v>1954</v>
      </c>
      <c r="B94" s="574"/>
      <c r="C94" s="554">
        <v>59</v>
      </c>
      <c r="D94" s="554">
        <v>1</v>
      </c>
      <c r="E94" s="556"/>
      <c r="F94" s="563"/>
      <c r="G94" s="563"/>
      <c r="H94" s="563"/>
      <c r="I94" s="548">
        <v>617</v>
      </c>
      <c r="J94" s="548"/>
      <c r="K94" s="547">
        <v>0</v>
      </c>
      <c r="L94" s="1396">
        <v>1113</v>
      </c>
      <c r="M94" s="1396"/>
      <c r="N94" s="547"/>
      <c r="O94" s="547">
        <v>6017</v>
      </c>
      <c r="P94" s="547">
        <v>123</v>
      </c>
      <c r="Q94" s="547">
        <v>150</v>
      </c>
      <c r="R94" s="547"/>
      <c r="S94" s="547">
        <v>399</v>
      </c>
      <c r="T94" s="547">
        <v>614</v>
      </c>
      <c r="U94" s="547">
        <v>718</v>
      </c>
      <c r="V94" s="547"/>
      <c r="W94" s="547">
        <v>1436</v>
      </c>
      <c r="X94" s="1396">
        <v>1968</v>
      </c>
      <c r="Y94" s="1396"/>
      <c r="Z94" s="547">
        <v>4487</v>
      </c>
      <c r="AA94" s="547">
        <v>859</v>
      </c>
      <c r="AB94" s="547">
        <v>821</v>
      </c>
      <c r="AC94" s="547">
        <v>47</v>
      </c>
      <c r="AD94" s="563"/>
      <c r="AE94" s="563"/>
      <c r="AF94" s="548">
        <v>19429</v>
      </c>
      <c r="AG94" s="547">
        <v>1954</v>
      </c>
      <c r="AH94" s="549">
        <v>21383</v>
      </c>
      <c r="AI94" s="561">
        <v>1954</v>
      </c>
      <c r="AJ94" s="89"/>
    </row>
    <row r="95" spans="1:36" s="96" customFormat="1" x14ac:dyDescent="0.4">
      <c r="A95" s="514">
        <v>1955</v>
      </c>
      <c r="B95" s="574"/>
      <c r="C95" s="554">
        <v>64</v>
      </c>
      <c r="D95" s="554">
        <v>1</v>
      </c>
      <c r="E95" s="556"/>
      <c r="F95" s="563"/>
      <c r="G95" s="563"/>
      <c r="H95" s="563"/>
      <c r="I95" s="548">
        <v>575</v>
      </c>
      <c r="J95" s="548"/>
      <c r="K95" s="547">
        <v>0</v>
      </c>
      <c r="L95" s="1396">
        <v>1158</v>
      </c>
      <c r="M95" s="1396"/>
      <c r="N95" s="547"/>
      <c r="O95" s="547">
        <v>6340</v>
      </c>
      <c r="P95" s="547">
        <v>136</v>
      </c>
      <c r="Q95" s="547">
        <v>151</v>
      </c>
      <c r="R95" s="547"/>
      <c r="S95" s="547">
        <v>567</v>
      </c>
      <c r="T95" s="547">
        <v>703</v>
      </c>
      <c r="U95" s="547">
        <v>700</v>
      </c>
      <c r="V95" s="547"/>
      <c r="W95" s="547">
        <v>1627</v>
      </c>
      <c r="X95" s="1396">
        <v>2195</v>
      </c>
      <c r="Y95" s="1396"/>
      <c r="Z95" s="547">
        <v>5470</v>
      </c>
      <c r="AA95" s="547">
        <v>903</v>
      </c>
      <c r="AB95" s="547">
        <v>879</v>
      </c>
      <c r="AC95" s="547">
        <v>47</v>
      </c>
      <c r="AD95" s="563"/>
      <c r="AE95" s="563"/>
      <c r="AF95" s="548">
        <v>21516</v>
      </c>
      <c r="AG95" s="547">
        <v>2093</v>
      </c>
      <c r="AH95" s="549">
        <v>23609</v>
      </c>
      <c r="AI95" s="561">
        <v>1955</v>
      </c>
      <c r="AJ95" s="89"/>
    </row>
    <row r="96" spans="1:36" s="96" customFormat="1" x14ac:dyDescent="0.4">
      <c r="A96" s="514">
        <v>1956</v>
      </c>
      <c r="B96" s="574"/>
      <c r="C96" s="554">
        <v>69</v>
      </c>
      <c r="D96" s="554">
        <v>2</v>
      </c>
      <c r="E96" s="556"/>
      <c r="F96" s="563"/>
      <c r="G96" s="563"/>
      <c r="H96" s="563"/>
      <c r="I96" s="548">
        <v>677</v>
      </c>
      <c r="J96" s="548"/>
      <c r="K96" s="547">
        <v>0</v>
      </c>
      <c r="L96" s="1396">
        <v>1178</v>
      </c>
      <c r="M96" s="1396"/>
      <c r="N96" s="547"/>
      <c r="O96" s="547">
        <v>6425</v>
      </c>
      <c r="P96" s="547">
        <v>150</v>
      </c>
      <c r="Q96" s="547">
        <v>159</v>
      </c>
      <c r="R96" s="547"/>
      <c r="S96" s="547">
        <v>605</v>
      </c>
      <c r="T96" s="547">
        <v>844</v>
      </c>
      <c r="U96" s="547">
        <v>583</v>
      </c>
      <c r="V96" s="547"/>
      <c r="W96" s="547">
        <v>1826</v>
      </c>
      <c r="X96" s="1396">
        <v>2426</v>
      </c>
      <c r="Y96" s="1396"/>
      <c r="Z96" s="547">
        <v>6575</v>
      </c>
      <c r="AA96" s="547">
        <v>908</v>
      </c>
      <c r="AB96" s="547">
        <v>956</v>
      </c>
      <c r="AC96" s="547">
        <v>53</v>
      </c>
      <c r="AD96" s="563"/>
      <c r="AE96" s="563"/>
      <c r="AF96" s="548">
        <v>23436</v>
      </c>
      <c r="AG96" s="547">
        <v>2192</v>
      </c>
      <c r="AH96" s="549">
        <v>25628</v>
      </c>
      <c r="AI96" s="561">
        <v>1956</v>
      </c>
      <c r="AJ96" s="89"/>
    </row>
    <row r="97" spans="1:36" s="96" customFormat="1" x14ac:dyDescent="0.4">
      <c r="A97" s="514">
        <v>1957</v>
      </c>
      <c r="B97" s="574"/>
      <c r="C97" s="554">
        <v>74</v>
      </c>
      <c r="D97" s="554">
        <v>1</v>
      </c>
      <c r="E97" s="556"/>
      <c r="F97" s="563"/>
      <c r="G97" s="563"/>
      <c r="H97" s="563"/>
      <c r="I97" s="548">
        <v>806</v>
      </c>
      <c r="J97" s="548"/>
      <c r="K97" s="547">
        <v>0</v>
      </c>
      <c r="L97" s="1396">
        <v>1124</v>
      </c>
      <c r="M97" s="1396"/>
      <c r="N97" s="547"/>
      <c r="O97" s="547">
        <v>5837</v>
      </c>
      <c r="P97" s="547">
        <v>174</v>
      </c>
      <c r="Q97" s="547">
        <v>151</v>
      </c>
      <c r="R97" s="547"/>
      <c r="S97" s="547">
        <v>532</v>
      </c>
      <c r="T97" s="547">
        <v>809</v>
      </c>
      <c r="U97" s="547">
        <v>528</v>
      </c>
      <c r="V97" s="547"/>
      <c r="W97" s="547">
        <v>1824</v>
      </c>
      <c r="X97" s="1396">
        <v>2379</v>
      </c>
      <c r="Y97" s="1396"/>
      <c r="Z97" s="547">
        <v>7042</v>
      </c>
      <c r="AA97" s="547">
        <v>839</v>
      </c>
      <c r="AB97" s="547">
        <v>862</v>
      </c>
      <c r="AC97" s="547">
        <v>50</v>
      </c>
      <c r="AD97" s="563"/>
      <c r="AE97" s="563"/>
      <c r="AF97" s="548">
        <v>23032</v>
      </c>
      <c r="AG97" s="547">
        <v>2151</v>
      </c>
      <c r="AH97" s="549">
        <v>25183</v>
      </c>
      <c r="AI97" s="561">
        <v>1957</v>
      </c>
      <c r="AJ97" s="89"/>
    </row>
    <row r="98" spans="1:36" s="96" customFormat="1" x14ac:dyDescent="0.4">
      <c r="A98" s="514">
        <v>1958</v>
      </c>
      <c r="B98" s="574"/>
      <c r="C98" s="554">
        <v>90</v>
      </c>
      <c r="D98" s="554">
        <v>73</v>
      </c>
      <c r="E98" s="556"/>
      <c r="F98" s="563"/>
      <c r="G98" s="563"/>
      <c r="H98" s="563"/>
      <c r="I98" s="548">
        <v>844</v>
      </c>
      <c r="J98" s="548"/>
      <c r="K98" s="547">
        <v>42</v>
      </c>
      <c r="L98" s="1396">
        <v>1081</v>
      </c>
      <c r="M98" s="1396"/>
      <c r="N98" s="547"/>
      <c r="O98" s="547">
        <v>6730</v>
      </c>
      <c r="P98" s="547">
        <v>185</v>
      </c>
      <c r="Q98" s="547">
        <v>153</v>
      </c>
      <c r="R98" s="547"/>
      <c r="S98" s="547">
        <v>509</v>
      </c>
      <c r="T98" s="547">
        <v>1142</v>
      </c>
      <c r="U98" s="547">
        <v>452</v>
      </c>
      <c r="V98" s="547"/>
      <c r="W98" s="547">
        <v>2082</v>
      </c>
      <c r="X98" s="1396">
        <v>3035</v>
      </c>
      <c r="Y98" s="1396"/>
      <c r="Z98" s="547">
        <v>10752</v>
      </c>
      <c r="AA98" s="547">
        <v>886</v>
      </c>
      <c r="AB98" s="547">
        <v>882</v>
      </c>
      <c r="AC98" s="547">
        <v>53</v>
      </c>
      <c r="AD98" s="563"/>
      <c r="AE98" s="563"/>
      <c r="AF98" s="548">
        <v>28991</v>
      </c>
      <c r="AG98" s="547">
        <v>2573</v>
      </c>
      <c r="AH98" s="549">
        <v>31564</v>
      </c>
      <c r="AI98" s="561">
        <v>1958</v>
      </c>
      <c r="AJ98" s="89"/>
    </row>
    <row r="99" spans="1:36" s="96" customFormat="1" x14ac:dyDescent="0.4">
      <c r="A99" s="514">
        <v>1959</v>
      </c>
      <c r="B99" s="574"/>
      <c r="C99" s="554">
        <v>128</v>
      </c>
      <c r="D99" s="554">
        <v>151</v>
      </c>
      <c r="E99" s="556"/>
      <c r="F99" s="563"/>
      <c r="G99" s="563"/>
      <c r="H99" s="563"/>
      <c r="I99" s="548">
        <v>1084</v>
      </c>
      <c r="J99" s="548"/>
      <c r="K99" s="547">
        <v>229</v>
      </c>
      <c r="L99" s="1396">
        <v>988</v>
      </c>
      <c r="M99" s="1396"/>
      <c r="N99" s="547"/>
      <c r="O99" s="547">
        <v>7238</v>
      </c>
      <c r="P99" s="547">
        <v>210</v>
      </c>
      <c r="Q99" s="547">
        <v>159</v>
      </c>
      <c r="R99" s="547"/>
      <c r="S99" s="547">
        <v>667</v>
      </c>
      <c r="T99" s="547">
        <v>1222</v>
      </c>
      <c r="U99" s="547">
        <v>375</v>
      </c>
      <c r="V99" s="547"/>
      <c r="W99" s="547">
        <v>2313</v>
      </c>
      <c r="X99" s="1396">
        <v>3174</v>
      </c>
      <c r="Y99" s="1396"/>
      <c r="Z99" s="547">
        <v>14034</v>
      </c>
      <c r="AA99" s="547">
        <v>843</v>
      </c>
      <c r="AB99" s="547">
        <v>1007</v>
      </c>
      <c r="AC99" s="547">
        <v>52</v>
      </c>
      <c r="AD99" s="563"/>
      <c r="AE99" s="563"/>
      <c r="AF99" s="548">
        <v>33874</v>
      </c>
      <c r="AG99" s="547">
        <v>3127</v>
      </c>
      <c r="AH99" s="549">
        <v>37001</v>
      </c>
      <c r="AI99" s="561">
        <v>1959</v>
      </c>
      <c r="AJ99" s="89"/>
    </row>
    <row r="100" spans="1:36" s="96" customFormat="1" x14ac:dyDescent="0.4">
      <c r="A100" s="514">
        <v>1960</v>
      </c>
      <c r="B100" s="574"/>
      <c r="C100" s="554">
        <v>156</v>
      </c>
      <c r="D100" s="554">
        <v>243</v>
      </c>
      <c r="E100" s="556"/>
      <c r="F100" s="563"/>
      <c r="G100" s="563"/>
      <c r="H100" s="563"/>
      <c r="I100" s="548">
        <v>1587</v>
      </c>
      <c r="J100" s="548"/>
      <c r="K100" s="547">
        <v>406</v>
      </c>
      <c r="L100" s="547">
        <v>267</v>
      </c>
      <c r="M100" s="547">
        <v>733</v>
      </c>
      <c r="N100" s="547"/>
      <c r="O100" s="547">
        <v>7747</v>
      </c>
      <c r="P100" s="547">
        <v>234</v>
      </c>
      <c r="Q100" s="547">
        <v>155</v>
      </c>
      <c r="R100" s="547"/>
      <c r="S100" s="547">
        <v>793</v>
      </c>
      <c r="T100" s="547">
        <v>1316</v>
      </c>
      <c r="U100" s="547">
        <v>294</v>
      </c>
      <c r="V100" s="547"/>
      <c r="W100" s="547">
        <v>2623</v>
      </c>
      <c r="X100" s="547">
        <v>3410</v>
      </c>
      <c r="Y100" s="547">
        <v>187</v>
      </c>
      <c r="Z100" s="547">
        <v>17718</v>
      </c>
      <c r="AA100" s="547">
        <v>980</v>
      </c>
      <c r="AB100" s="547">
        <v>1079</v>
      </c>
      <c r="AC100" s="547">
        <v>55</v>
      </c>
      <c r="AD100" s="563"/>
      <c r="AE100" s="563"/>
      <c r="AF100" s="548">
        <v>39983</v>
      </c>
      <c r="AG100" s="547">
        <v>3397</v>
      </c>
      <c r="AH100" s="549">
        <v>43380</v>
      </c>
      <c r="AI100" s="561">
        <v>1960</v>
      </c>
      <c r="AJ100" s="89"/>
    </row>
    <row r="101" spans="1:36" s="96" customFormat="1" x14ac:dyDescent="0.4">
      <c r="A101" s="514">
        <v>1961</v>
      </c>
      <c r="B101" s="574"/>
      <c r="C101" s="554">
        <v>209</v>
      </c>
      <c r="D101" s="554">
        <v>272</v>
      </c>
      <c r="E101" s="556"/>
      <c r="F101" s="547">
        <v>157</v>
      </c>
      <c r="G101" s="547">
        <v>1161</v>
      </c>
      <c r="H101" s="547">
        <v>284</v>
      </c>
      <c r="I101" s="548">
        <v>1602</v>
      </c>
      <c r="J101" s="548"/>
      <c r="K101" s="547">
        <v>505</v>
      </c>
      <c r="L101" s="547">
        <v>272</v>
      </c>
      <c r="M101" s="547">
        <v>1026</v>
      </c>
      <c r="N101" s="547"/>
      <c r="O101" s="547">
        <v>8274</v>
      </c>
      <c r="P101" s="547">
        <v>212</v>
      </c>
      <c r="Q101" s="547">
        <v>152</v>
      </c>
      <c r="R101" s="547"/>
      <c r="S101" s="547">
        <v>892</v>
      </c>
      <c r="T101" s="547">
        <v>1251</v>
      </c>
      <c r="U101" s="547">
        <v>265</v>
      </c>
      <c r="V101" s="547"/>
      <c r="W101" s="547">
        <v>2884</v>
      </c>
      <c r="X101" s="547">
        <v>3801</v>
      </c>
      <c r="Y101" s="547">
        <v>210</v>
      </c>
      <c r="Z101" s="547">
        <v>19119</v>
      </c>
      <c r="AA101" s="547">
        <v>996</v>
      </c>
      <c r="AB101" s="547">
        <v>1185</v>
      </c>
      <c r="AC101" s="547">
        <v>53</v>
      </c>
      <c r="AD101" s="563"/>
      <c r="AE101" s="563"/>
      <c r="AF101" s="548">
        <v>43180</v>
      </c>
      <c r="AG101" s="547">
        <v>3571</v>
      </c>
      <c r="AH101" s="549">
        <v>46751</v>
      </c>
      <c r="AI101" s="561">
        <v>1961</v>
      </c>
      <c r="AJ101" s="89"/>
    </row>
    <row r="102" spans="1:36" s="96" customFormat="1" x14ac:dyDescent="0.4">
      <c r="A102" s="514">
        <v>1962</v>
      </c>
      <c r="B102" s="574"/>
      <c r="C102" s="554">
        <v>299</v>
      </c>
      <c r="D102" s="554">
        <v>350</v>
      </c>
      <c r="E102" s="556"/>
      <c r="F102" s="547">
        <v>147</v>
      </c>
      <c r="G102" s="547">
        <v>1575</v>
      </c>
      <c r="H102" s="547">
        <v>258</v>
      </c>
      <c r="I102" s="548">
        <v>1980</v>
      </c>
      <c r="J102" s="548"/>
      <c r="K102" s="547">
        <v>726</v>
      </c>
      <c r="L102" s="547">
        <v>226</v>
      </c>
      <c r="M102" s="547">
        <v>820</v>
      </c>
      <c r="N102" s="547"/>
      <c r="O102" s="547">
        <v>8702</v>
      </c>
      <c r="P102" s="547">
        <v>196</v>
      </c>
      <c r="Q102" s="547">
        <v>145</v>
      </c>
      <c r="R102" s="547"/>
      <c r="S102" s="547">
        <v>1096</v>
      </c>
      <c r="T102" s="547">
        <v>1454</v>
      </c>
      <c r="U102" s="547">
        <v>215</v>
      </c>
      <c r="V102" s="547"/>
      <c r="W102" s="547">
        <v>3090</v>
      </c>
      <c r="X102" s="547">
        <v>4381</v>
      </c>
      <c r="Y102" s="547">
        <v>312</v>
      </c>
      <c r="Z102" s="547">
        <v>21671</v>
      </c>
      <c r="AA102" s="547">
        <v>984</v>
      </c>
      <c r="AB102" s="547">
        <v>1258</v>
      </c>
      <c r="AC102" s="547">
        <v>53</v>
      </c>
      <c r="AD102" s="563"/>
      <c r="AE102" s="563"/>
      <c r="AF102" s="548">
        <v>47958</v>
      </c>
      <c r="AG102" s="547">
        <v>3758</v>
      </c>
      <c r="AH102" s="549">
        <v>51716</v>
      </c>
      <c r="AI102" s="561">
        <v>1962</v>
      </c>
      <c r="AJ102" s="89"/>
    </row>
    <row r="103" spans="1:36" s="96" customFormat="1" x14ac:dyDescent="0.4">
      <c r="A103" s="514">
        <v>1963</v>
      </c>
      <c r="B103" s="574"/>
      <c r="C103" s="554">
        <v>479</v>
      </c>
      <c r="D103" s="554">
        <v>433</v>
      </c>
      <c r="E103" s="556"/>
      <c r="F103" s="547">
        <v>142</v>
      </c>
      <c r="G103" s="547">
        <v>2273</v>
      </c>
      <c r="H103" s="547">
        <v>334</v>
      </c>
      <c r="I103" s="548">
        <v>2749</v>
      </c>
      <c r="J103" s="548"/>
      <c r="K103" s="547">
        <v>914</v>
      </c>
      <c r="L103" s="547">
        <v>244</v>
      </c>
      <c r="M103" s="547">
        <v>523</v>
      </c>
      <c r="N103" s="547"/>
      <c r="O103" s="547">
        <v>9189</v>
      </c>
      <c r="P103" s="547">
        <v>203</v>
      </c>
      <c r="Q103" s="547">
        <v>142</v>
      </c>
      <c r="R103" s="547"/>
      <c r="S103" s="547">
        <v>1508</v>
      </c>
      <c r="T103" s="547">
        <v>1700</v>
      </c>
      <c r="U103" s="547">
        <v>187</v>
      </c>
      <c r="V103" s="547"/>
      <c r="W103" s="547">
        <v>3358</v>
      </c>
      <c r="X103" s="547">
        <v>5035</v>
      </c>
      <c r="Y103" s="547">
        <v>506</v>
      </c>
      <c r="Z103" s="547">
        <v>23068</v>
      </c>
      <c r="AA103" s="547">
        <v>1019</v>
      </c>
      <c r="AB103" s="547">
        <v>1336</v>
      </c>
      <c r="AC103" s="547">
        <v>54</v>
      </c>
      <c r="AD103" s="563"/>
      <c r="AE103" s="563"/>
      <c r="AF103" s="548">
        <v>52647</v>
      </c>
      <c r="AG103" s="547">
        <v>3938</v>
      </c>
      <c r="AH103" s="549">
        <v>56585</v>
      </c>
      <c r="AI103" s="561">
        <v>1963</v>
      </c>
      <c r="AJ103" s="89"/>
    </row>
    <row r="104" spans="1:36" s="96" customFormat="1" x14ac:dyDescent="0.4">
      <c r="A104" s="514">
        <v>1964</v>
      </c>
      <c r="B104" s="574"/>
      <c r="C104" s="554">
        <v>781</v>
      </c>
      <c r="D104" s="554">
        <v>491</v>
      </c>
      <c r="E104" s="556"/>
      <c r="F104" s="547">
        <v>157</v>
      </c>
      <c r="G104" s="547">
        <v>2740</v>
      </c>
      <c r="H104" s="547">
        <v>279</v>
      </c>
      <c r="I104" s="548">
        <v>3176</v>
      </c>
      <c r="J104" s="548"/>
      <c r="K104" s="547">
        <v>1369</v>
      </c>
      <c r="L104" s="547">
        <v>196</v>
      </c>
      <c r="M104" s="547">
        <v>458</v>
      </c>
      <c r="N104" s="547"/>
      <c r="O104" s="547">
        <v>10173</v>
      </c>
      <c r="P104" s="547">
        <v>234</v>
      </c>
      <c r="Q104" s="547">
        <v>145</v>
      </c>
      <c r="R104" s="547"/>
      <c r="S104" s="547">
        <v>1686</v>
      </c>
      <c r="T104" s="547">
        <v>1492</v>
      </c>
      <c r="U104" s="547">
        <v>150</v>
      </c>
      <c r="V104" s="547"/>
      <c r="W104" s="547">
        <v>3694</v>
      </c>
      <c r="X104" s="547">
        <v>5564</v>
      </c>
      <c r="Y104" s="547">
        <v>533</v>
      </c>
      <c r="Z104" s="547">
        <v>25203</v>
      </c>
      <c r="AA104" s="547">
        <v>1098</v>
      </c>
      <c r="AB104" s="547">
        <v>1515</v>
      </c>
      <c r="AC104" s="547">
        <v>60</v>
      </c>
      <c r="AD104" s="563"/>
      <c r="AE104" s="563"/>
      <c r="AF104" s="548">
        <v>58018</v>
      </c>
      <c r="AG104" s="547">
        <v>4083</v>
      </c>
      <c r="AH104" s="549">
        <v>62101</v>
      </c>
      <c r="AI104" s="561">
        <v>1964</v>
      </c>
      <c r="AJ104" s="89"/>
    </row>
    <row r="105" spans="1:36" s="96" customFormat="1" x14ac:dyDescent="0.4">
      <c r="A105" s="514">
        <v>1965</v>
      </c>
      <c r="B105" s="574"/>
      <c r="C105" s="554">
        <v>1021</v>
      </c>
      <c r="D105" s="554">
        <v>532</v>
      </c>
      <c r="E105" s="556"/>
      <c r="F105" s="547">
        <v>157</v>
      </c>
      <c r="G105" s="547">
        <v>2900</v>
      </c>
      <c r="H105" s="547">
        <v>325</v>
      </c>
      <c r="I105" s="548">
        <v>3382</v>
      </c>
      <c r="J105" s="548"/>
      <c r="K105" s="547">
        <v>2098</v>
      </c>
      <c r="L105" s="547">
        <v>170</v>
      </c>
      <c r="M105" s="547">
        <v>326</v>
      </c>
      <c r="N105" s="547"/>
      <c r="O105" s="547">
        <v>10911</v>
      </c>
      <c r="P105" s="547">
        <v>238</v>
      </c>
      <c r="Q105" s="547">
        <v>150</v>
      </c>
      <c r="R105" s="547"/>
      <c r="S105" s="547">
        <v>1929</v>
      </c>
      <c r="T105" s="547">
        <v>1610</v>
      </c>
      <c r="U105" s="547">
        <v>122</v>
      </c>
      <c r="V105" s="547"/>
      <c r="W105" s="547">
        <v>3906</v>
      </c>
      <c r="X105" s="547">
        <v>6331</v>
      </c>
      <c r="Y105" s="547">
        <v>635</v>
      </c>
      <c r="Z105" s="547">
        <v>27734</v>
      </c>
      <c r="AA105" s="547">
        <v>1124</v>
      </c>
      <c r="AB105" s="547">
        <v>1483</v>
      </c>
      <c r="AC105" s="547">
        <v>57</v>
      </c>
      <c r="AD105" s="563"/>
      <c r="AE105" s="563"/>
      <c r="AF105" s="548">
        <v>63759</v>
      </c>
      <c r="AG105" s="547">
        <v>4234</v>
      </c>
      <c r="AH105" s="549">
        <v>67993</v>
      </c>
      <c r="AI105" s="561">
        <v>1965</v>
      </c>
      <c r="AJ105" s="89"/>
    </row>
    <row r="106" spans="1:36" s="96" customFormat="1" x14ac:dyDescent="0.4">
      <c r="A106" s="514">
        <v>1966</v>
      </c>
      <c r="B106" s="574"/>
      <c r="C106" s="554">
        <v>1330</v>
      </c>
      <c r="D106" s="554">
        <v>574</v>
      </c>
      <c r="E106" s="556"/>
      <c r="F106" s="547">
        <v>137</v>
      </c>
      <c r="G106" s="547">
        <v>3206</v>
      </c>
      <c r="H106" s="547">
        <v>342</v>
      </c>
      <c r="I106" s="548">
        <v>3685</v>
      </c>
      <c r="J106" s="548"/>
      <c r="K106" s="547">
        <v>3041</v>
      </c>
      <c r="L106" s="547">
        <v>149</v>
      </c>
      <c r="M106" s="547">
        <v>283</v>
      </c>
      <c r="N106" s="547"/>
      <c r="O106" s="547">
        <v>11504</v>
      </c>
      <c r="P106" s="547">
        <v>210</v>
      </c>
      <c r="Q106" s="547">
        <v>146</v>
      </c>
      <c r="R106" s="547"/>
      <c r="S106" s="547">
        <v>2191</v>
      </c>
      <c r="T106" s="547">
        <v>1676</v>
      </c>
      <c r="U106" s="547">
        <v>101</v>
      </c>
      <c r="V106" s="547"/>
      <c r="W106" s="547">
        <v>4106</v>
      </c>
      <c r="X106" s="547">
        <v>7046</v>
      </c>
      <c r="Y106" s="547">
        <v>661</v>
      </c>
      <c r="Z106" s="547">
        <v>29562</v>
      </c>
      <c r="AA106" s="547">
        <v>1156</v>
      </c>
      <c r="AB106" s="547">
        <v>1564</v>
      </c>
      <c r="AC106" s="547">
        <v>56</v>
      </c>
      <c r="AD106" s="563"/>
      <c r="AE106" s="563"/>
      <c r="AF106" s="548">
        <v>69041</v>
      </c>
      <c r="AG106" s="547">
        <v>4640</v>
      </c>
      <c r="AH106" s="549">
        <v>73681</v>
      </c>
      <c r="AI106" s="561">
        <v>1966</v>
      </c>
      <c r="AJ106" s="89"/>
    </row>
    <row r="107" spans="1:36" s="96" customFormat="1" x14ac:dyDescent="0.4">
      <c r="A107" s="514">
        <v>1967</v>
      </c>
      <c r="B107" s="574"/>
      <c r="C107" s="554">
        <v>1277</v>
      </c>
      <c r="D107" s="554">
        <v>590</v>
      </c>
      <c r="E107" s="556"/>
      <c r="F107" s="547">
        <v>239</v>
      </c>
      <c r="G107" s="547">
        <v>4207</v>
      </c>
      <c r="H107" s="547">
        <v>239</v>
      </c>
      <c r="I107" s="548">
        <v>4685</v>
      </c>
      <c r="J107" s="548"/>
      <c r="K107" s="547">
        <v>4035</v>
      </c>
      <c r="L107" s="547">
        <v>130</v>
      </c>
      <c r="M107" s="547">
        <v>311</v>
      </c>
      <c r="N107" s="547"/>
      <c r="O107" s="547">
        <v>12278</v>
      </c>
      <c r="P107" s="547">
        <v>178</v>
      </c>
      <c r="Q107" s="547">
        <v>147</v>
      </c>
      <c r="R107" s="547"/>
      <c r="S107" s="547">
        <v>2517</v>
      </c>
      <c r="T107" s="547">
        <v>1776</v>
      </c>
      <c r="U107" s="547">
        <v>89</v>
      </c>
      <c r="V107" s="547"/>
      <c r="W107" s="547">
        <v>4355</v>
      </c>
      <c r="X107" s="547">
        <v>7766</v>
      </c>
      <c r="Y107" s="547">
        <v>437</v>
      </c>
      <c r="Z107" s="547">
        <v>31099</v>
      </c>
      <c r="AA107" s="547">
        <v>1118</v>
      </c>
      <c r="AB107" s="547">
        <v>1789</v>
      </c>
      <c r="AC107" s="547">
        <v>54</v>
      </c>
      <c r="AD107" s="563"/>
      <c r="AE107" s="563"/>
      <c r="AF107" s="548">
        <v>74631</v>
      </c>
      <c r="AG107" s="547">
        <v>4766</v>
      </c>
      <c r="AH107" s="549">
        <v>79397</v>
      </c>
      <c r="AI107" s="561">
        <v>1967</v>
      </c>
      <c r="AJ107" s="89"/>
    </row>
    <row r="108" spans="1:36" s="96" customFormat="1" x14ac:dyDescent="0.4">
      <c r="A108" s="514">
        <v>1968</v>
      </c>
      <c r="B108" s="574"/>
      <c r="C108" s="554">
        <v>1186</v>
      </c>
      <c r="D108" s="554">
        <v>546</v>
      </c>
      <c r="E108" s="556"/>
      <c r="F108" s="547">
        <v>113</v>
      </c>
      <c r="G108" s="547">
        <v>5071</v>
      </c>
      <c r="H108" s="547">
        <v>244</v>
      </c>
      <c r="I108" s="548">
        <v>5428</v>
      </c>
      <c r="J108" s="548"/>
      <c r="K108" s="547">
        <v>5176</v>
      </c>
      <c r="L108" s="547">
        <v>105</v>
      </c>
      <c r="M108" s="547">
        <v>347</v>
      </c>
      <c r="N108" s="547"/>
      <c r="O108" s="547">
        <v>13014</v>
      </c>
      <c r="P108" s="547">
        <v>219</v>
      </c>
      <c r="Q108" s="547">
        <v>147</v>
      </c>
      <c r="R108" s="547"/>
      <c r="S108" s="547">
        <v>2765</v>
      </c>
      <c r="T108" s="547">
        <v>1999</v>
      </c>
      <c r="U108" s="547">
        <v>75</v>
      </c>
      <c r="V108" s="547"/>
      <c r="W108" s="547">
        <v>4650</v>
      </c>
      <c r="X108" s="547">
        <v>8781</v>
      </c>
      <c r="Y108" s="547">
        <v>389</v>
      </c>
      <c r="Z108" s="547">
        <v>31102</v>
      </c>
      <c r="AA108" s="547">
        <v>1152</v>
      </c>
      <c r="AB108" s="547">
        <v>1857</v>
      </c>
      <c r="AC108" s="547">
        <v>56</v>
      </c>
      <c r="AD108" s="563"/>
      <c r="AE108" s="563"/>
      <c r="AF108" s="548">
        <v>78994</v>
      </c>
      <c r="AG108" s="547">
        <v>5165</v>
      </c>
      <c r="AH108" s="549">
        <v>84159</v>
      </c>
      <c r="AI108" s="561">
        <v>1968</v>
      </c>
      <c r="AJ108" s="89"/>
    </row>
    <row r="109" spans="1:36" s="96" customFormat="1" x14ac:dyDescent="0.4">
      <c r="A109" s="514">
        <v>1969</v>
      </c>
      <c r="B109" s="574"/>
      <c r="C109" s="554">
        <v>1208</v>
      </c>
      <c r="D109" s="554">
        <v>465</v>
      </c>
      <c r="E109" s="556"/>
      <c r="F109" s="547">
        <v>123</v>
      </c>
      <c r="G109" s="547">
        <v>5851</v>
      </c>
      <c r="H109" s="547">
        <v>289</v>
      </c>
      <c r="I109" s="548">
        <v>6263</v>
      </c>
      <c r="J109" s="548"/>
      <c r="K109" s="547">
        <v>5400</v>
      </c>
      <c r="L109" s="547">
        <v>101</v>
      </c>
      <c r="M109" s="547">
        <v>282</v>
      </c>
      <c r="N109" s="547"/>
      <c r="O109" s="547">
        <v>13443</v>
      </c>
      <c r="P109" s="547">
        <v>101</v>
      </c>
      <c r="Q109" s="547">
        <v>144</v>
      </c>
      <c r="R109" s="547"/>
      <c r="S109" s="547">
        <v>2968</v>
      </c>
      <c r="T109" s="547">
        <v>2243</v>
      </c>
      <c r="U109" s="547">
        <v>65</v>
      </c>
      <c r="V109" s="547"/>
      <c r="W109" s="547">
        <v>4868</v>
      </c>
      <c r="X109" s="547">
        <v>10059</v>
      </c>
      <c r="Y109" s="547">
        <v>456</v>
      </c>
      <c r="Z109" s="547">
        <v>33929</v>
      </c>
      <c r="AA109" s="547">
        <v>1227</v>
      </c>
      <c r="AB109" s="547">
        <v>1841</v>
      </c>
      <c r="AC109" s="547">
        <v>59</v>
      </c>
      <c r="AD109" s="563"/>
      <c r="AE109" s="563"/>
      <c r="AF109" s="548">
        <v>85122</v>
      </c>
      <c r="AG109" s="547">
        <v>5653</v>
      </c>
      <c r="AH109" s="549">
        <v>90775</v>
      </c>
      <c r="AI109" s="561">
        <v>1969</v>
      </c>
      <c r="AJ109" s="89"/>
    </row>
    <row r="110" spans="1:36" s="96" customFormat="1" x14ac:dyDescent="0.4">
      <c r="A110" s="514">
        <v>1970</v>
      </c>
      <c r="B110" s="574"/>
      <c r="C110" s="554">
        <v>1174</v>
      </c>
      <c r="D110" s="554">
        <v>323</v>
      </c>
      <c r="E110" s="556"/>
      <c r="F110" s="547">
        <v>113</v>
      </c>
      <c r="G110" s="547">
        <v>5984</v>
      </c>
      <c r="H110" s="547">
        <v>275</v>
      </c>
      <c r="I110" s="548">
        <v>6372</v>
      </c>
      <c r="J110" s="548"/>
      <c r="K110" s="547">
        <v>3542</v>
      </c>
      <c r="L110" s="547">
        <v>75</v>
      </c>
      <c r="M110" s="547">
        <v>152</v>
      </c>
      <c r="N110" s="547"/>
      <c r="O110" s="547">
        <v>14235</v>
      </c>
      <c r="P110" s="547">
        <v>48</v>
      </c>
      <c r="Q110" s="547">
        <v>136</v>
      </c>
      <c r="R110" s="547"/>
      <c r="S110" s="547">
        <v>3253</v>
      </c>
      <c r="T110" s="547">
        <v>2481</v>
      </c>
      <c r="U110" s="547">
        <v>54</v>
      </c>
      <c r="V110" s="547"/>
      <c r="W110" s="547">
        <v>5035</v>
      </c>
      <c r="X110" s="547">
        <v>11554</v>
      </c>
      <c r="Y110" s="547">
        <v>555</v>
      </c>
      <c r="Z110" s="547">
        <v>38584</v>
      </c>
      <c r="AA110" s="547">
        <v>1176</v>
      </c>
      <c r="AB110" s="547">
        <v>2069</v>
      </c>
      <c r="AC110" s="547">
        <v>57</v>
      </c>
      <c r="AD110" s="563"/>
      <c r="AE110" s="563"/>
      <c r="AF110" s="548">
        <v>90875</v>
      </c>
      <c r="AG110" s="547">
        <v>6028</v>
      </c>
      <c r="AH110" s="549">
        <v>96903</v>
      </c>
      <c r="AI110" s="561">
        <v>1970</v>
      </c>
      <c r="AJ110" s="89"/>
    </row>
    <row r="111" spans="1:36" s="96" customFormat="1" x14ac:dyDescent="0.4">
      <c r="A111" s="514">
        <v>1971</v>
      </c>
      <c r="B111" s="574"/>
      <c r="C111" s="554">
        <v>1183</v>
      </c>
      <c r="D111" s="554">
        <v>242</v>
      </c>
      <c r="E111" s="556"/>
      <c r="F111" s="547">
        <v>69</v>
      </c>
      <c r="G111" s="547">
        <v>5725</v>
      </c>
      <c r="H111" s="547">
        <v>259</v>
      </c>
      <c r="I111" s="548">
        <v>6053</v>
      </c>
      <c r="J111" s="548"/>
      <c r="K111" s="547">
        <v>1898</v>
      </c>
      <c r="L111" s="547">
        <v>64</v>
      </c>
      <c r="M111" s="547">
        <v>83</v>
      </c>
      <c r="N111" s="547"/>
      <c r="O111" s="547">
        <v>14963</v>
      </c>
      <c r="P111" s="547">
        <v>49</v>
      </c>
      <c r="Q111" s="547">
        <v>137</v>
      </c>
      <c r="R111" s="547"/>
      <c r="S111" s="547">
        <v>3667</v>
      </c>
      <c r="T111" s="547">
        <v>2566</v>
      </c>
      <c r="U111" s="547">
        <v>48</v>
      </c>
      <c r="V111" s="547"/>
      <c r="W111" s="547">
        <v>5186</v>
      </c>
      <c r="X111" s="547">
        <v>12123</v>
      </c>
      <c r="Y111" s="547">
        <v>445</v>
      </c>
      <c r="Z111" s="547">
        <v>39394</v>
      </c>
      <c r="AA111" s="547">
        <v>1147</v>
      </c>
      <c r="AB111" s="547">
        <v>2208</v>
      </c>
      <c r="AC111" s="547">
        <v>62</v>
      </c>
      <c r="AD111" s="563"/>
      <c r="AE111" s="563"/>
      <c r="AF111" s="548">
        <v>91518</v>
      </c>
      <c r="AG111" s="547">
        <v>6184</v>
      </c>
      <c r="AH111" s="549">
        <v>97702</v>
      </c>
      <c r="AI111" s="561">
        <v>1971</v>
      </c>
      <c r="AJ111" s="89"/>
    </row>
    <row r="112" spans="1:36" s="96" customFormat="1" x14ac:dyDescent="0.4">
      <c r="A112" s="514">
        <v>1972</v>
      </c>
      <c r="B112" s="574"/>
      <c r="C112" s="554">
        <v>1447</v>
      </c>
      <c r="D112" s="554">
        <v>259</v>
      </c>
      <c r="E112" s="556"/>
      <c r="F112" s="547">
        <v>112</v>
      </c>
      <c r="G112" s="547">
        <v>5923</v>
      </c>
      <c r="H112" s="547">
        <v>280</v>
      </c>
      <c r="I112" s="548">
        <v>6315</v>
      </c>
      <c r="J112" s="548"/>
      <c r="K112" s="547">
        <v>1469</v>
      </c>
      <c r="L112" s="547">
        <v>64</v>
      </c>
      <c r="M112" s="547">
        <v>77</v>
      </c>
      <c r="N112" s="547"/>
      <c r="O112" s="547">
        <v>15899</v>
      </c>
      <c r="P112" s="547">
        <v>67</v>
      </c>
      <c r="Q112" s="547">
        <v>147</v>
      </c>
      <c r="R112" s="547"/>
      <c r="S112" s="547">
        <v>3929</v>
      </c>
      <c r="T112" s="547">
        <v>2928</v>
      </c>
      <c r="U112" s="547">
        <v>41</v>
      </c>
      <c r="V112" s="547"/>
      <c r="W112" s="547">
        <v>5255</v>
      </c>
      <c r="X112" s="547">
        <v>14553</v>
      </c>
      <c r="Y112" s="547">
        <v>560</v>
      </c>
      <c r="Z112" s="547">
        <v>41306</v>
      </c>
      <c r="AA112" s="547">
        <v>1113</v>
      </c>
      <c r="AB112" s="547">
        <v>2204</v>
      </c>
      <c r="AC112" s="547">
        <v>66</v>
      </c>
      <c r="AD112" s="563"/>
      <c r="AE112" s="563"/>
      <c r="AF112" s="548">
        <v>97699</v>
      </c>
      <c r="AG112" s="547">
        <v>6420</v>
      </c>
      <c r="AH112" s="549">
        <v>104119</v>
      </c>
      <c r="AI112" s="561">
        <v>1972</v>
      </c>
      <c r="AJ112" s="89"/>
    </row>
    <row r="113" spans="1:36" s="96" customFormat="1" x14ac:dyDescent="0.4">
      <c r="A113" s="514">
        <v>1973</v>
      </c>
      <c r="B113" s="574"/>
      <c r="C113" s="554">
        <v>1590</v>
      </c>
      <c r="D113" s="554">
        <v>267</v>
      </c>
      <c r="E113" s="556"/>
      <c r="F113" s="547">
        <v>133</v>
      </c>
      <c r="G113" s="547">
        <v>6723</v>
      </c>
      <c r="H113" s="547">
        <v>351</v>
      </c>
      <c r="I113" s="548">
        <v>7207</v>
      </c>
      <c r="J113" s="548"/>
      <c r="K113" s="547">
        <v>1650</v>
      </c>
      <c r="L113" s="547">
        <v>63</v>
      </c>
      <c r="M113" s="547">
        <v>72</v>
      </c>
      <c r="N113" s="547"/>
      <c r="O113" s="547">
        <v>16926</v>
      </c>
      <c r="P113" s="547">
        <v>78</v>
      </c>
      <c r="Q113" s="547">
        <v>155</v>
      </c>
      <c r="R113" s="547"/>
      <c r="S113" s="547">
        <v>4201</v>
      </c>
      <c r="T113" s="547">
        <v>3184</v>
      </c>
      <c r="U113" s="547">
        <v>36</v>
      </c>
      <c r="V113" s="547"/>
      <c r="W113" s="547">
        <v>5658</v>
      </c>
      <c r="X113" s="547">
        <v>14593</v>
      </c>
      <c r="Y113" s="547">
        <v>506</v>
      </c>
      <c r="Z113" s="547">
        <v>39447</v>
      </c>
      <c r="AA113" s="547">
        <v>1185</v>
      </c>
      <c r="AB113" s="547">
        <v>2459</v>
      </c>
      <c r="AC113" s="547">
        <v>75</v>
      </c>
      <c r="AD113" s="563"/>
      <c r="AE113" s="563"/>
      <c r="AF113" s="548">
        <v>99352</v>
      </c>
      <c r="AG113" s="547">
        <v>7052</v>
      </c>
      <c r="AH113" s="549">
        <v>106404</v>
      </c>
      <c r="AI113" s="561">
        <v>1973</v>
      </c>
      <c r="AJ113" s="89"/>
    </row>
    <row r="114" spans="1:36" s="96" customFormat="1" x14ac:dyDescent="0.4">
      <c r="A114" s="514">
        <v>1974</v>
      </c>
      <c r="B114" s="574"/>
      <c r="C114" s="554">
        <v>1388</v>
      </c>
      <c r="D114" s="554">
        <v>154</v>
      </c>
      <c r="E114" s="556"/>
      <c r="F114" s="547">
        <v>143</v>
      </c>
      <c r="G114" s="547">
        <v>6704</v>
      </c>
      <c r="H114" s="547">
        <v>392</v>
      </c>
      <c r="I114" s="548">
        <v>7239</v>
      </c>
      <c r="J114" s="548"/>
      <c r="K114" s="547">
        <v>997</v>
      </c>
      <c r="L114" s="547">
        <v>54</v>
      </c>
      <c r="M114" s="547">
        <v>63</v>
      </c>
      <c r="N114" s="547"/>
      <c r="O114" s="547">
        <v>16483</v>
      </c>
      <c r="P114" s="547">
        <v>71</v>
      </c>
      <c r="Q114" s="547">
        <v>136</v>
      </c>
      <c r="R114" s="547"/>
      <c r="S114" s="547">
        <v>3689</v>
      </c>
      <c r="T114" s="547">
        <v>2782</v>
      </c>
      <c r="U114" s="547">
        <v>26</v>
      </c>
      <c r="V114" s="547"/>
      <c r="W114" s="547">
        <v>5519</v>
      </c>
      <c r="X114" s="547">
        <v>13111</v>
      </c>
      <c r="Y114" s="547">
        <v>469</v>
      </c>
      <c r="Z114" s="547">
        <v>36810</v>
      </c>
      <c r="AA114" s="547">
        <v>1046</v>
      </c>
      <c r="AB114" s="547">
        <v>2240</v>
      </c>
      <c r="AC114" s="547">
        <v>89</v>
      </c>
      <c r="AD114" s="563"/>
      <c r="AE114" s="563"/>
      <c r="AF114" s="548">
        <v>92366</v>
      </c>
      <c r="AG114" s="547">
        <v>6946</v>
      </c>
      <c r="AH114" s="549">
        <v>99312</v>
      </c>
      <c r="AI114" s="561">
        <v>1974</v>
      </c>
      <c r="AJ114" s="89"/>
    </row>
    <row r="115" spans="1:36" s="96" customFormat="1" x14ac:dyDescent="0.4">
      <c r="A115" s="514">
        <v>1975</v>
      </c>
      <c r="B115" s="574"/>
      <c r="C115" s="554">
        <v>1258</v>
      </c>
      <c r="D115" s="554">
        <v>52</v>
      </c>
      <c r="E115" s="556"/>
      <c r="F115" s="547">
        <v>119</v>
      </c>
      <c r="G115" s="547">
        <v>4660</v>
      </c>
      <c r="H115" s="547">
        <v>155</v>
      </c>
      <c r="I115" s="548">
        <v>4934</v>
      </c>
      <c r="J115" s="548"/>
      <c r="K115" s="547">
        <v>456</v>
      </c>
      <c r="L115" s="547">
        <v>50</v>
      </c>
      <c r="M115" s="547">
        <v>32</v>
      </c>
      <c r="N115" s="547"/>
      <c r="O115" s="547">
        <v>16125</v>
      </c>
      <c r="P115" s="547">
        <v>68</v>
      </c>
      <c r="Q115" s="547">
        <v>134</v>
      </c>
      <c r="R115" s="547"/>
      <c r="S115" s="547">
        <v>3834</v>
      </c>
      <c r="T115" s="547">
        <v>2628</v>
      </c>
      <c r="U115" s="547">
        <v>17</v>
      </c>
      <c r="V115" s="547"/>
      <c r="W115" s="547">
        <v>5414</v>
      </c>
      <c r="X115" s="547">
        <v>12599</v>
      </c>
      <c r="Y115" s="547">
        <v>451</v>
      </c>
      <c r="Z115" s="547">
        <v>30470</v>
      </c>
      <c r="AA115" s="547">
        <v>992</v>
      </c>
      <c r="AB115" s="547">
        <v>2089</v>
      </c>
      <c r="AC115" s="547">
        <v>64</v>
      </c>
      <c r="AD115" s="563"/>
      <c r="AE115" s="563"/>
      <c r="AF115" s="548">
        <v>81667</v>
      </c>
      <c r="AG115" s="547">
        <v>6031</v>
      </c>
      <c r="AH115" s="549">
        <v>87698</v>
      </c>
      <c r="AI115" s="561">
        <v>1975</v>
      </c>
      <c r="AJ115" s="89"/>
    </row>
    <row r="116" spans="1:36" s="96" customFormat="1" x14ac:dyDescent="0.4">
      <c r="A116" s="514">
        <v>1976</v>
      </c>
      <c r="B116" s="574"/>
      <c r="C116" s="554">
        <v>1308</v>
      </c>
      <c r="D116" s="554">
        <v>35</v>
      </c>
      <c r="E116" s="556"/>
      <c r="F116" s="547">
        <v>184</v>
      </c>
      <c r="G116" s="547">
        <v>5228</v>
      </c>
      <c r="H116" s="547">
        <v>264</v>
      </c>
      <c r="I116" s="548">
        <v>5676</v>
      </c>
      <c r="J116" s="548"/>
      <c r="K116" s="547">
        <v>176</v>
      </c>
      <c r="L116" s="547">
        <v>46</v>
      </c>
      <c r="M116" s="547">
        <v>2</v>
      </c>
      <c r="N116" s="547"/>
      <c r="O116" s="547">
        <v>16879</v>
      </c>
      <c r="P116" s="547">
        <v>66</v>
      </c>
      <c r="Q116" s="547">
        <v>122</v>
      </c>
      <c r="R116" s="547"/>
      <c r="S116" s="547">
        <v>3989</v>
      </c>
      <c r="T116" s="547">
        <v>2620</v>
      </c>
      <c r="U116" s="547">
        <v>13</v>
      </c>
      <c r="V116" s="547"/>
      <c r="W116" s="547">
        <v>5594</v>
      </c>
      <c r="X116" s="547">
        <v>12522</v>
      </c>
      <c r="Y116" s="547">
        <v>462</v>
      </c>
      <c r="Z116" s="547">
        <v>27825</v>
      </c>
      <c r="AA116" s="547">
        <v>1010</v>
      </c>
      <c r="AB116" s="547">
        <v>1867</v>
      </c>
      <c r="AC116" s="547">
        <v>79</v>
      </c>
      <c r="AD116" s="563"/>
      <c r="AE116" s="563"/>
      <c r="AF116" s="548">
        <v>80291</v>
      </c>
      <c r="AG116" s="547">
        <v>6324</v>
      </c>
      <c r="AH116" s="549">
        <v>86615</v>
      </c>
      <c r="AI116" s="561">
        <v>1976</v>
      </c>
      <c r="AJ116" s="89"/>
    </row>
    <row r="117" spans="1:36" s="96" customFormat="1" x14ac:dyDescent="0.4">
      <c r="A117" s="514">
        <v>1977</v>
      </c>
      <c r="B117" s="574"/>
      <c r="C117" s="554">
        <v>1301</v>
      </c>
      <c r="D117" s="554">
        <v>57</v>
      </c>
      <c r="E117" s="556"/>
      <c r="F117" s="547">
        <v>188</v>
      </c>
      <c r="G117" s="547">
        <v>5071</v>
      </c>
      <c r="H117" s="547">
        <v>488</v>
      </c>
      <c r="I117" s="548">
        <v>5747</v>
      </c>
      <c r="J117" s="548"/>
      <c r="K117" s="547">
        <v>108</v>
      </c>
      <c r="L117" s="547">
        <v>47</v>
      </c>
      <c r="M117" s="547">
        <v>6</v>
      </c>
      <c r="N117" s="547"/>
      <c r="O117" s="547">
        <v>17336</v>
      </c>
      <c r="P117" s="547">
        <v>62</v>
      </c>
      <c r="Q117" s="547">
        <v>115</v>
      </c>
      <c r="R117" s="547"/>
      <c r="S117" s="547">
        <v>4165</v>
      </c>
      <c r="T117" s="547">
        <v>2615</v>
      </c>
      <c r="U117" s="547">
        <v>12</v>
      </c>
      <c r="V117" s="547"/>
      <c r="W117" s="547">
        <v>5711</v>
      </c>
      <c r="X117" s="547">
        <v>13374</v>
      </c>
      <c r="Y117" s="547">
        <v>540</v>
      </c>
      <c r="Z117" s="547">
        <v>27772</v>
      </c>
      <c r="AA117" s="547">
        <v>1029</v>
      </c>
      <c r="AB117" s="547">
        <v>1847</v>
      </c>
      <c r="AC117" s="547">
        <v>74</v>
      </c>
      <c r="AD117" s="563"/>
      <c r="AE117" s="563"/>
      <c r="AF117" s="548">
        <v>81918</v>
      </c>
      <c r="AG117" s="547">
        <v>6238</v>
      </c>
      <c r="AH117" s="549">
        <v>88156</v>
      </c>
      <c r="AI117" s="561">
        <v>1977</v>
      </c>
      <c r="AJ117" s="89"/>
    </row>
    <row r="118" spans="1:36" s="96" customFormat="1" x14ac:dyDescent="0.4">
      <c r="A118" s="514">
        <v>1978</v>
      </c>
      <c r="B118" s="574"/>
      <c r="C118" s="554">
        <v>1251</v>
      </c>
      <c r="D118" s="554">
        <v>154</v>
      </c>
      <c r="E118" s="556"/>
      <c r="F118" s="547">
        <v>184</v>
      </c>
      <c r="G118" s="547">
        <v>4850</v>
      </c>
      <c r="H118" s="547">
        <v>855</v>
      </c>
      <c r="I118" s="548">
        <v>5889</v>
      </c>
      <c r="J118" s="548"/>
      <c r="K118" s="547">
        <v>66</v>
      </c>
      <c r="L118" s="547">
        <v>46</v>
      </c>
      <c r="M118" s="547">
        <v>5</v>
      </c>
      <c r="N118" s="547"/>
      <c r="O118" s="547">
        <v>18348</v>
      </c>
      <c r="P118" s="547">
        <v>68</v>
      </c>
      <c r="Q118" s="547">
        <v>127</v>
      </c>
      <c r="R118" s="547"/>
      <c r="S118" s="547">
        <v>4506</v>
      </c>
      <c r="T118" s="547">
        <v>2652</v>
      </c>
      <c r="U118" s="547">
        <v>8</v>
      </c>
      <c r="V118" s="547"/>
      <c r="W118" s="547">
        <v>5875</v>
      </c>
      <c r="X118" s="547">
        <v>13180</v>
      </c>
      <c r="Y118" s="547">
        <v>420</v>
      </c>
      <c r="Z118" s="547">
        <v>28191</v>
      </c>
      <c r="AA118" s="547">
        <v>1021</v>
      </c>
      <c r="AB118" s="547">
        <v>1887</v>
      </c>
      <c r="AC118" s="547">
        <v>84</v>
      </c>
      <c r="AD118" s="547">
        <v>115</v>
      </c>
      <c r="AE118" s="547">
        <v>248</v>
      </c>
      <c r="AF118" s="548">
        <v>84141</v>
      </c>
      <c r="AG118" s="547">
        <v>6423</v>
      </c>
      <c r="AH118" s="549">
        <v>90564</v>
      </c>
      <c r="AI118" s="561">
        <v>1978</v>
      </c>
      <c r="AJ118" s="89"/>
    </row>
    <row r="119" spans="1:36" s="96" customFormat="1" x14ac:dyDescent="0.4">
      <c r="A119" s="514">
        <v>1979</v>
      </c>
      <c r="B119" s="574"/>
      <c r="C119" s="554">
        <v>1349</v>
      </c>
      <c r="D119" s="554">
        <v>160</v>
      </c>
      <c r="E119" s="556"/>
      <c r="F119" s="547">
        <v>243</v>
      </c>
      <c r="G119" s="547">
        <v>4797</v>
      </c>
      <c r="H119" s="547">
        <v>840</v>
      </c>
      <c r="I119" s="548">
        <v>5880</v>
      </c>
      <c r="J119" s="548"/>
      <c r="K119" s="547">
        <v>70</v>
      </c>
      <c r="L119" s="547">
        <v>44</v>
      </c>
      <c r="M119" s="547">
        <v>3</v>
      </c>
      <c r="N119" s="547"/>
      <c r="O119" s="547">
        <v>18658</v>
      </c>
      <c r="P119" s="547">
        <v>64</v>
      </c>
      <c r="Q119" s="547">
        <v>136</v>
      </c>
      <c r="R119" s="547"/>
      <c r="S119" s="547">
        <v>4666</v>
      </c>
      <c r="T119" s="547">
        <v>2695</v>
      </c>
      <c r="U119" s="547">
        <v>3</v>
      </c>
      <c r="V119" s="547"/>
      <c r="W119" s="547">
        <v>6075</v>
      </c>
      <c r="X119" s="547">
        <v>13428</v>
      </c>
      <c r="Y119" s="547">
        <v>322</v>
      </c>
      <c r="Z119" s="547">
        <v>27487</v>
      </c>
      <c r="AA119" s="547">
        <v>1030</v>
      </c>
      <c r="AB119" s="547">
        <v>1977</v>
      </c>
      <c r="AC119" s="547">
        <v>79</v>
      </c>
      <c r="AD119" s="547">
        <v>115</v>
      </c>
      <c r="AE119" s="547">
        <v>250</v>
      </c>
      <c r="AF119" s="548">
        <v>84491</v>
      </c>
      <c r="AG119" s="547">
        <v>6538</v>
      </c>
      <c r="AH119" s="549">
        <v>91029</v>
      </c>
      <c r="AI119" s="561">
        <v>1979</v>
      </c>
      <c r="AJ119" s="89"/>
    </row>
    <row r="120" spans="1:36" s="96" customFormat="1" x14ac:dyDescent="0.4">
      <c r="A120" s="514">
        <v>1980</v>
      </c>
      <c r="B120" s="574"/>
      <c r="C120" s="554">
        <v>1191</v>
      </c>
      <c r="D120" s="554">
        <v>156</v>
      </c>
      <c r="E120" s="556"/>
      <c r="F120" s="547">
        <v>191</v>
      </c>
      <c r="G120" s="547">
        <v>3206</v>
      </c>
      <c r="H120" s="547">
        <v>344</v>
      </c>
      <c r="I120" s="548">
        <v>3741</v>
      </c>
      <c r="J120" s="548"/>
      <c r="K120" s="547">
        <v>71</v>
      </c>
      <c r="L120" s="547">
        <v>40</v>
      </c>
      <c r="M120" s="547">
        <v>3</v>
      </c>
      <c r="N120" s="547"/>
      <c r="O120" s="547">
        <v>19145</v>
      </c>
      <c r="P120" s="547">
        <v>56</v>
      </c>
      <c r="Q120" s="547">
        <v>114</v>
      </c>
      <c r="R120" s="547"/>
      <c r="S120" s="547">
        <v>4685</v>
      </c>
      <c r="T120" s="547">
        <v>2103</v>
      </c>
      <c r="U120" s="547">
        <v>0</v>
      </c>
      <c r="V120" s="547"/>
      <c r="W120" s="547">
        <v>5854</v>
      </c>
      <c r="X120" s="547">
        <v>11611</v>
      </c>
      <c r="Y120" s="547">
        <v>160</v>
      </c>
      <c r="Z120" s="547">
        <v>19157</v>
      </c>
      <c r="AA120" s="547">
        <v>896</v>
      </c>
      <c r="AB120" s="547">
        <v>1826</v>
      </c>
      <c r="AC120" s="547">
        <v>71</v>
      </c>
      <c r="AD120" s="547">
        <v>100</v>
      </c>
      <c r="AE120" s="547">
        <v>197</v>
      </c>
      <c r="AF120" s="548">
        <v>71177</v>
      </c>
      <c r="AG120" s="547">
        <v>6317</v>
      </c>
      <c r="AH120" s="549">
        <v>77494</v>
      </c>
      <c r="AI120" s="561">
        <v>1980</v>
      </c>
      <c r="AJ120" s="89"/>
    </row>
    <row r="121" spans="1:36" s="96" customFormat="1" x14ac:dyDescent="0.4">
      <c r="A121" s="514">
        <v>1981</v>
      </c>
      <c r="B121" s="574"/>
      <c r="C121" s="554">
        <v>1150</v>
      </c>
      <c r="D121" s="554">
        <v>142</v>
      </c>
      <c r="E121" s="556"/>
      <c r="F121" s="547">
        <v>128</v>
      </c>
      <c r="G121" s="547">
        <v>3528</v>
      </c>
      <c r="H121" s="547">
        <v>210</v>
      </c>
      <c r="I121" s="548">
        <v>3866</v>
      </c>
      <c r="J121" s="548"/>
      <c r="K121" s="547">
        <v>74</v>
      </c>
      <c r="L121" s="547">
        <v>32</v>
      </c>
      <c r="M121" s="547">
        <v>2</v>
      </c>
      <c r="N121" s="547"/>
      <c r="O121" s="547">
        <v>18718</v>
      </c>
      <c r="P121" s="547">
        <v>50</v>
      </c>
      <c r="Q121" s="547">
        <v>124</v>
      </c>
      <c r="R121" s="547"/>
      <c r="S121" s="547">
        <v>4495</v>
      </c>
      <c r="T121" s="547">
        <v>1906</v>
      </c>
      <c r="U121" s="547">
        <v>0</v>
      </c>
      <c r="V121" s="547"/>
      <c r="W121" s="547">
        <v>5549</v>
      </c>
      <c r="X121" s="547">
        <v>10912</v>
      </c>
      <c r="Y121" s="547">
        <v>82</v>
      </c>
      <c r="Z121" s="547">
        <v>15645</v>
      </c>
      <c r="AA121" s="547">
        <v>837</v>
      </c>
      <c r="AB121" s="547">
        <v>1666</v>
      </c>
      <c r="AC121" s="547">
        <v>64</v>
      </c>
      <c r="AD121" s="547">
        <v>98</v>
      </c>
      <c r="AE121" s="547">
        <v>218</v>
      </c>
      <c r="AF121" s="548">
        <v>65630</v>
      </c>
      <c r="AG121" s="547">
        <v>5494</v>
      </c>
      <c r="AH121" s="549">
        <v>71124</v>
      </c>
      <c r="AI121" s="561">
        <v>1981</v>
      </c>
      <c r="AJ121" s="89"/>
    </row>
    <row r="122" spans="1:36" s="96" customFormat="1" x14ac:dyDescent="0.4">
      <c r="A122" s="514">
        <v>1982</v>
      </c>
      <c r="B122" s="574"/>
      <c r="C122" s="554">
        <v>1351</v>
      </c>
      <c r="D122" s="554">
        <v>251</v>
      </c>
      <c r="E122" s="556"/>
      <c r="F122" s="547">
        <v>173</v>
      </c>
      <c r="G122" s="547">
        <v>3341</v>
      </c>
      <c r="H122" s="547">
        <v>651</v>
      </c>
      <c r="I122" s="548">
        <v>4165</v>
      </c>
      <c r="J122" s="548"/>
      <c r="K122" s="547">
        <v>71</v>
      </c>
      <c r="L122" s="547">
        <v>27</v>
      </c>
      <c r="M122" s="547">
        <v>3</v>
      </c>
      <c r="N122" s="547"/>
      <c r="O122" s="547">
        <v>19247</v>
      </c>
      <c r="P122" s="547">
        <v>55</v>
      </c>
      <c r="Q122" s="547">
        <v>120</v>
      </c>
      <c r="R122" s="547"/>
      <c r="S122" s="547">
        <v>4474</v>
      </c>
      <c r="T122" s="547">
        <v>1745</v>
      </c>
      <c r="U122" s="547">
        <v>0</v>
      </c>
      <c r="V122" s="547"/>
      <c r="W122" s="547">
        <v>5731</v>
      </c>
      <c r="X122" s="547">
        <v>10481</v>
      </c>
      <c r="Y122" s="547">
        <v>71</v>
      </c>
      <c r="Z122" s="547">
        <v>16191</v>
      </c>
      <c r="AA122" s="547">
        <v>827</v>
      </c>
      <c r="AB122" s="547">
        <v>1956</v>
      </c>
      <c r="AC122" s="547">
        <v>56</v>
      </c>
      <c r="AD122" s="547">
        <v>128</v>
      </c>
      <c r="AE122" s="547">
        <v>296</v>
      </c>
      <c r="AF122" s="548">
        <v>67246</v>
      </c>
      <c r="AG122" s="547">
        <v>5550</v>
      </c>
      <c r="AH122" s="549">
        <v>72796</v>
      </c>
      <c r="AI122" s="561">
        <v>1982</v>
      </c>
      <c r="AJ122" s="89"/>
    </row>
    <row r="123" spans="1:36" s="96" customFormat="1" x14ac:dyDescent="0.4">
      <c r="A123" s="514">
        <v>1983</v>
      </c>
      <c r="B123" s="574"/>
      <c r="C123" s="554">
        <v>1558</v>
      </c>
      <c r="D123" s="554">
        <v>370</v>
      </c>
      <c r="E123" s="556"/>
      <c r="F123" s="547">
        <v>289</v>
      </c>
      <c r="G123" s="547">
        <v>3514</v>
      </c>
      <c r="H123" s="547">
        <v>709</v>
      </c>
      <c r="I123" s="548">
        <v>4512</v>
      </c>
      <c r="J123" s="548"/>
      <c r="K123" s="547">
        <v>56</v>
      </c>
      <c r="L123" s="547">
        <v>28</v>
      </c>
      <c r="M123" s="547">
        <v>3</v>
      </c>
      <c r="N123" s="547"/>
      <c r="O123" s="547">
        <v>19566</v>
      </c>
      <c r="P123" s="547">
        <v>63</v>
      </c>
      <c r="Q123" s="547">
        <v>133</v>
      </c>
      <c r="R123" s="547"/>
      <c r="S123" s="547">
        <v>4566</v>
      </c>
      <c r="T123" s="547">
        <v>1663</v>
      </c>
      <c r="U123" s="547">
        <v>0</v>
      </c>
      <c r="V123" s="547"/>
      <c r="W123" s="547">
        <v>6183</v>
      </c>
      <c r="X123" s="547">
        <v>9877</v>
      </c>
      <c r="Y123" s="547">
        <v>67</v>
      </c>
      <c r="Z123" s="547">
        <v>12512</v>
      </c>
      <c r="AA123" s="547">
        <v>818</v>
      </c>
      <c r="AB123" s="547">
        <v>1987</v>
      </c>
      <c r="AC123" s="547">
        <v>57</v>
      </c>
      <c r="AD123" s="547">
        <v>142</v>
      </c>
      <c r="AE123" s="547">
        <v>306</v>
      </c>
      <c r="AF123" s="548">
        <v>64467</v>
      </c>
      <c r="AG123" s="547">
        <v>5297</v>
      </c>
      <c r="AH123" s="549">
        <v>69764</v>
      </c>
      <c r="AI123" s="561">
        <v>1983</v>
      </c>
      <c r="AJ123" s="89"/>
    </row>
    <row r="124" spans="1:36" s="96" customFormat="1" x14ac:dyDescent="0.4">
      <c r="A124" s="514">
        <v>1984</v>
      </c>
      <c r="B124" s="574"/>
      <c r="C124" s="554">
        <v>1479</v>
      </c>
      <c r="D124" s="554">
        <v>370</v>
      </c>
      <c r="E124" s="556"/>
      <c r="F124" s="547">
        <v>710</v>
      </c>
      <c r="G124" s="547">
        <v>3284</v>
      </c>
      <c r="H124" s="547">
        <v>701</v>
      </c>
      <c r="I124" s="548">
        <v>4695</v>
      </c>
      <c r="J124" s="548"/>
      <c r="K124" s="547">
        <v>52</v>
      </c>
      <c r="L124" s="547">
        <v>27</v>
      </c>
      <c r="M124" s="547">
        <v>2</v>
      </c>
      <c r="N124" s="547"/>
      <c r="O124" s="547">
        <v>20226</v>
      </c>
      <c r="P124" s="547">
        <v>71</v>
      </c>
      <c r="Q124" s="547">
        <v>149</v>
      </c>
      <c r="R124" s="547"/>
      <c r="S124" s="547">
        <v>4828</v>
      </c>
      <c r="T124" s="547">
        <v>1710</v>
      </c>
      <c r="U124" s="547">
        <v>0</v>
      </c>
      <c r="V124" s="547"/>
      <c r="W124" s="547">
        <v>6755</v>
      </c>
      <c r="X124" s="547">
        <v>9920</v>
      </c>
      <c r="Y124" s="547">
        <v>47</v>
      </c>
      <c r="Z124" s="547">
        <v>27843</v>
      </c>
      <c r="AA124" s="547">
        <v>818</v>
      </c>
      <c r="AB124" s="547">
        <v>1900</v>
      </c>
      <c r="AC124" s="547">
        <v>59</v>
      </c>
      <c r="AD124" s="547">
        <v>104</v>
      </c>
      <c r="AE124" s="547">
        <v>379</v>
      </c>
      <c r="AF124" s="548">
        <v>81434</v>
      </c>
      <c r="AG124" s="547">
        <v>5350</v>
      </c>
      <c r="AH124" s="549">
        <v>86784</v>
      </c>
      <c r="AI124" s="561">
        <v>1984</v>
      </c>
      <c r="AJ124" s="89"/>
    </row>
    <row r="125" spans="1:36" s="96" customFormat="1" x14ac:dyDescent="0.4">
      <c r="A125" s="514">
        <v>1985</v>
      </c>
      <c r="B125" s="574"/>
      <c r="C125" s="554">
        <v>1038</v>
      </c>
      <c r="D125" s="554">
        <v>94</v>
      </c>
      <c r="E125" s="556"/>
      <c r="F125" s="547">
        <v>1085</v>
      </c>
      <c r="G125" s="547">
        <v>3214</v>
      </c>
      <c r="H125" s="547">
        <v>733</v>
      </c>
      <c r="I125" s="548">
        <v>5032</v>
      </c>
      <c r="J125" s="548"/>
      <c r="K125" s="547">
        <v>51</v>
      </c>
      <c r="L125" s="547">
        <v>28</v>
      </c>
      <c r="M125" s="547">
        <v>1</v>
      </c>
      <c r="N125" s="547"/>
      <c r="O125" s="547">
        <v>20403</v>
      </c>
      <c r="P125" s="547">
        <v>75</v>
      </c>
      <c r="Q125" s="547">
        <v>139</v>
      </c>
      <c r="R125" s="547"/>
      <c r="S125" s="547">
        <v>5007</v>
      </c>
      <c r="T125" s="547">
        <v>1870</v>
      </c>
      <c r="U125" s="547">
        <v>0</v>
      </c>
      <c r="V125" s="547"/>
      <c r="W125" s="547">
        <v>7106</v>
      </c>
      <c r="X125" s="547">
        <v>9711</v>
      </c>
      <c r="Y125" s="547">
        <v>21</v>
      </c>
      <c r="Z125" s="547">
        <v>15969</v>
      </c>
      <c r="AA125" s="547">
        <v>816</v>
      </c>
      <c r="AB125" s="547">
        <v>1887</v>
      </c>
      <c r="AC125" s="547">
        <v>58</v>
      </c>
      <c r="AD125" s="547">
        <v>96</v>
      </c>
      <c r="AE125" s="547">
        <v>379</v>
      </c>
      <c r="AF125" s="548">
        <v>69781</v>
      </c>
      <c r="AG125" s="547">
        <v>5179</v>
      </c>
      <c r="AH125" s="549">
        <v>74960</v>
      </c>
      <c r="AI125" s="561">
        <v>1985</v>
      </c>
      <c r="AJ125" s="89"/>
    </row>
    <row r="126" spans="1:36" s="96" customFormat="1" x14ac:dyDescent="0.4">
      <c r="A126" s="514">
        <v>1986</v>
      </c>
      <c r="B126" s="574"/>
      <c r="C126" s="554">
        <v>1058</v>
      </c>
      <c r="D126" s="554">
        <v>123</v>
      </c>
      <c r="E126" s="556"/>
      <c r="F126" s="547">
        <v>1721</v>
      </c>
      <c r="G126" s="547">
        <v>3179</v>
      </c>
      <c r="H126" s="547">
        <v>751</v>
      </c>
      <c r="I126" s="548">
        <v>5651</v>
      </c>
      <c r="J126" s="548"/>
      <c r="K126" s="547">
        <v>46</v>
      </c>
      <c r="L126" s="547">
        <v>29</v>
      </c>
      <c r="M126" s="547">
        <v>0</v>
      </c>
      <c r="N126" s="547"/>
      <c r="O126" s="547">
        <v>21470</v>
      </c>
      <c r="P126" s="547">
        <v>75</v>
      </c>
      <c r="Q126" s="547">
        <v>131</v>
      </c>
      <c r="R126" s="547"/>
      <c r="S126" s="547">
        <v>5497</v>
      </c>
      <c r="T126" s="547">
        <v>2020</v>
      </c>
      <c r="U126" s="547">
        <v>0</v>
      </c>
      <c r="V126" s="547"/>
      <c r="W126" s="547">
        <v>7866</v>
      </c>
      <c r="X126" s="547">
        <v>9223</v>
      </c>
      <c r="Y126" s="547">
        <v>18</v>
      </c>
      <c r="Z126" s="547">
        <v>12514</v>
      </c>
      <c r="AA126" s="547">
        <v>803</v>
      </c>
      <c r="AB126" s="547">
        <v>2019</v>
      </c>
      <c r="AC126" s="547">
        <v>60</v>
      </c>
      <c r="AD126" s="547">
        <v>268</v>
      </c>
      <c r="AE126" s="547">
        <v>355</v>
      </c>
      <c r="AF126" s="548">
        <v>69226</v>
      </c>
      <c r="AG126" s="547">
        <v>5404</v>
      </c>
      <c r="AH126" s="549">
        <v>74630</v>
      </c>
      <c r="AI126" s="561">
        <v>1986</v>
      </c>
      <c r="AJ126" s="89"/>
    </row>
    <row r="127" spans="1:36" s="96" customFormat="1" x14ac:dyDescent="0.4">
      <c r="A127" s="514">
        <v>1987</v>
      </c>
      <c r="B127" s="574"/>
      <c r="C127" s="554">
        <v>1132</v>
      </c>
      <c r="D127" s="554">
        <v>64</v>
      </c>
      <c r="E127" s="556"/>
      <c r="F127" s="547">
        <v>1736</v>
      </c>
      <c r="G127" s="547">
        <v>3131</v>
      </c>
      <c r="H127" s="547">
        <v>670</v>
      </c>
      <c r="I127" s="548">
        <v>5537</v>
      </c>
      <c r="J127" s="548"/>
      <c r="K127" s="547">
        <v>30</v>
      </c>
      <c r="L127" s="547">
        <v>28</v>
      </c>
      <c r="M127" s="547">
        <v>0</v>
      </c>
      <c r="N127" s="547"/>
      <c r="O127" s="547">
        <v>22184</v>
      </c>
      <c r="P127" s="547">
        <v>76</v>
      </c>
      <c r="Q127" s="547">
        <v>142</v>
      </c>
      <c r="R127" s="547"/>
      <c r="S127" s="547">
        <v>5815</v>
      </c>
      <c r="T127" s="547">
        <v>2034</v>
      </c>
      <c r="U127" s="547">
        <v>0</v>
      </c>
      <c r="V127" s="547"/>
      <c r="W127" s="547">
        <v>8469</v>
      </c>
      <c r="X127" s="547">
        <v>8507</v>
      </c>
      <c r="Y127" s="547">
        <v>101</v>
      </c>
      <c r="Z127" s="547">
        <v>9935</v>
      </c>
      <c r="AA127" s="547">
        <v>828</v>
      </c>
      <c r="AB127" s="547">
        <v>2162</v>
      </c>
      <c r="AC127" s="547">
        <v>59</v>
      </c>
      <c r="AD127" s="547">
        <v>260</v>
      </c>
      <c r="AE127" s="547">
        <v>339</v>
      </c>
      <c r="AF127" s="548">
        <v>67702</v>
      </c>
      <c r="AG127" s="547">
        <v>5216</v>
      </c>
      <c r="AH127" s="549">
        <v>72918</v>
      </c>
      <c r="AI127" s="561">
        <v>1987</v>
      </c>
      <c r="AJ127" s="89"/>
    </row>
    <row r="128" spans="1:36" s="96" customFormat="1" x14ac:dyDescent="0.4">
      <c r="A128" s="514">
        <v>1988</v>
      </c>
      <c r="B128" s="574"/>
      <c r="C128" s="554">
        <v>1087</v>
      </c>
      <c r="D128" s="554">
        <v>59</v>
      </c>
      <c r="E128" s="556"/>
      <c r="F128" s="547">
        <v>1991</v>
      </c>
      <c r="G128" s="547">
        <v>3223</v>
      </c>
      <c r="H128" s="547">
        <v>718</v>
      </c>
      <c r="I128" s="548">
        <v>5932</v>
      </c>
      <c r="J128" s="548"/>
      <c r="K128" s="547">
        <v>10</v>
      </c>
      <c r="L128" s="547">
        <v>28</v>
      </c>
      <c r="M128" s="547">
        <v>0</v>
      </c>
      <c r="N128" s="547"/>
      <c r="O128" s="547">
        <v>23249</v>
      </c>
      <c r="P128" s="547">
        <v>93</v>
      </c>
      <c r="Q128" s="547">
        <v>153</v>
      </c>
      <c r="R128" s="547"/>
      <c r="S128" s="547">
        <v>6200</v>
      </c>
      <c r="T128" s="547">
        <v>1992</v>
      </c>
      <c r="U128" s="547">
        <v>0</v>
      </c>
      <c r="V128" s="547"/>
      <c r="W128" s="547">
        <v>9370</v>
      </c>
      <c r="X128" s="547">
        <v>8393</v>
      </c>
      <c r="Y128" s="547">
        <v>63</v>
      </c>
      <c r="Z128" s="547">
        <v>11865</v>
      </c>
      <c r="AA128" s="547">
        <v>849</v>
      </c>
      <c r="AB128" s="547">
        <v>2342</v>
      </c>
      <c r="AC128" s="547">
        <v>67</v>
      </c>
      <c r="AD128" s="547">
        <v>136</v>
      </c>
      <c r="AE128" s="547">
        <v>419</v>
      </c>
      <c r="AF128" s="548">
        <v>72307</v>
      </c>
      <c r="AG128" s="547">
        <v>5484</v>
      </c>
      <c r="AH128" s="549">
        <v>77791</v>
      </c>
      <c r="AI128" s="561">
        <v>1988</v>
      </c>
      <c r="AJ128" s="89"/>
    </row>
    <row r="129" spans="1:36" s="96" customFormat="1" x14ac:dyDescent="0.4">
      <c r="A129" s="514">
        <v>1989</v>
      </c>
      <c r="B129" s="574"/>
      <c r="C129" s="554">
        <v>1077</v>
      </c>
      <c r="D129" s="554">
        <v>49</v>
      </c>
      <c r="E129" s="556"/>
      <c r="F129" s="547">
        <v>1821</v>
      </c>
      <c r="G129" s="547">
        <v>3386</v>
      </c>
      <c r="H129" s="547">
        <v>609</v>
      </c>
      <c r="I129" s="548">
        <v>5816</v>
      </c>
      <c r="J129" s="548"/>
      <c r="K129" s="547">
        <v>0</v>
      </c>
      <c r="L129" s="547">
        <v>29</v>
      </c>
      <c r="M129" s="547">
        <v>0</v>
      </c>
      <c r="N129" s="547"/>
      <c r="O129" s="547">
        <v>23924</v>
      </c>
      <c r="P129" s="547">
        <v>75</v>
      </c>
      <c r="Q129" s="547">
        <v>133</v>
      </c>
      <c r="R129" s="547"/>
      <c r="S129" s="547">
        <v>6564</v>
      </c>
      <c r="T129" s="547">
        <v>1937</v>
      </c>
      <c r="U129" s="547">
        <v>0</v>
      </c>
      <c r="V129" s="547"/>
      <c r="W129" s="547">
        <v>10118</v>
      </c>
      <c r="X129" s="547">
        <v>8256</v>
      </c>
      <c r="Y129" s="547">
        <v>67</v>
      </c>
      <c r="Z129" s="547">
        <v>11125</v>
      </c>
      <c r="AA129" s="547">
        <v>839</v>
      </c>
      <c r="AB129" s="547">
        <v>2423</v>
      </c>
      <c r="AC129" s="547">
        <v>77</v>
      </c>
      <c r="AD129" s="547">
        <v>120</v>
      </c>
      <c r="AE129" s="547">
        <v>399</v>
      </c>
      <c r="AF129" s="548">
        <v>73028</v>
      </c>
      <c r="AG129" s="547">
        <v>5816</v>
      </c>
      <c r="AH129" s="549">
        <v>78844</v>
      </c>
      <c r="AI129" s="561">
        <v>1989</v>
      </c>
      <c r="AJ129" s="89"/>
    </row>
    <row r="130" spans="1:36" s="96" customFormat="1" x14ac:dyDescent="0.4">
      <c r="A130" s="514">
        <v>1990</v>
      </c>
      <c r="B130" s="574"/>
      <c r="C130" s="554">
        <v>1045</v>
      </c>
      <c r="D130" s="554">
        <v>48</v>
      </c>
      <c r="E130" s="556"/>
      <c r="F130" s="547">
        <v>1580</v>
      </c>
      <c r="G130" s="547">
        <v>3039</v>
      </c>
      <c r="H130" s="547">
        <v>496</v>
      </c>
      <c r="I130" s="548">
        <v>5115</v>
      </c>
      <c r="J130" s="548"/>
      <c r="K130" s="547">
        <v>0</v>
      </c>
      <c r="L130" s="547">
        <v>26</v>
      </c>
      <c r="M130" s="547">
        <v>0</v>
      </c>
      <c r="N130" s="547"/>
      <c r="O130" s="547">
        <v>24312</v>
      </c>
      <c r="P130" s="547">
        <v>50</v>
      </c>
      <c r="Q130" s="547">
        <v>123</v>
      </c>
      <c r="R130" s="547"/>
      <c r="S130" s="547">
        <v>6589</v>
      </c>
      <c r="T130" s="547">
        <v>2058</v>
      </c>
      <c r="U130" s="547">
        <v>0</v>
      </c>
      <c r="V130" s="547"/>
      <c r="W130" s="547">
        <v>10652</v>
      </c>
      <c r="X130" s="547">
        <v>8033</v>
      </c>
      <c r="Y130" s="547">
        <v>12</v>
      </c>
      <c r="Z130" s="547">
        <v>11997</v>
      </c>
      <c r="AA130" s="547">
        <v>822</v>
      </c>
      <c r="AB130" s="547">
        <v>2491</v>
      </c>
      <c r="AC130" s="547">
        <v>55</v>
      </c>
      <c r="AD130" s="547">
        <v>112</v>
      </c>
      <c r="AE130" s="547">
        <v>403</v>
      </c>
      <c r="AF130" s="548">
        <v>73943</v>
      </c>
      <c r="AG130" s="547">
        <v>5838</v>
      </c>
      <c r="AH130" s="549">
        <v>79781</v>
      </c>
      <c r="AI130" s="561">
        <v>1990</v>
      </c>
      <c r="AJ130" s="89"/>
    </row>
    <row r="131" spans="1:36" s="96" customFormat="1" x14ac:dyDescent="0.4">
      <c r="A131" s="514">
        <v>1991</v>
      </c>
      <c r="B131" s="574"/>
      <c r="C131" s="554">
        <v>1213</v>
      </c>
      <c r="D131" s="554">
        <v>63</v>
      </c>
      <c r="E131" s="556"/>
      <c r="F131" s="547">
        <v>1982</v>
      </c>
      <c r="G131" s="547">
        <v>3299</v>
      </c>
      <c r="H131" s="547">
        <v>653</v>
      </c>
      <c r="I131" s="548">
        <v>5934</v>
      </c>
      <c r="J131" s="548"/>
      <c r="K131" s="547">
        <v>0</v>
      </c>
      <c r="L131" s="547">
        <v>24</v>
      </c>
      <c r="M131" s="547">
        <v>0</v>
      </c>
      <c r="N131" s="547"/>
      <c r="O131" s="547">
        <v>24021</v>
      </c>
      <c r="P131" s="547">
        <v>44</v>
      </c>
      <c r="Q131" s="547">
        <v>119</v>
      </c>
      <c r="R131" s="547"/>
      <c r="S131" s="547">
        <v>6176</v>
      </c>
      <c r="T131" s="547">
        <v>2383</v>
      </c>
      <c r="U131" s="547">
        <v>0</v>
      </c>
      <c r="V131" s="547"/>
      <c r="W131" s="547">
        <v>10694</v>
      </c>
      <c r="X131" s="547">
        <v>8022</v>
      </c>
      <c r="Y131" s="547">
        <v>9</v>
      </c>
      <c r="Z131" s="547">
        <v>11948</v>
      </c>
      <c r="AA131" s="547">
        <v>759</v>
      </c>
      <c r="AB131" s="547">
        <v>2514</v>
      </c>
      <c r="AC131" s="547">
        <v>49</v>
      </c>
      <c r="AD131" s="547">
        <v>154</v>
      </c>
      <c r="AE131" s="547">
        <v>380</v>
      </c>
      <c r="AF131" s="548">
        <v>74506</v>
      </c>
      <c r="AG131" s="547">
        <v>6058</v>
      </c>
      <c r="AH131" s="549">
        <v>80564</v>
      </c>
      <c r="AI131" s="561">
        <v>1991</v>
      </c>
      <c r="AJ131" s="89"/>
    </row>
    <row r="132" spans="1:36" s="96" customFormat="1" x14ac:dyDescent="0.4">
      <c r="A132" s="514">
        <v>1992</v>
      </c>
      <c r="B132" s="574"/>
      <c r="C132" s="554">
        <v>1089</v>
      </c>
      <c r="D132" s="554">
        <v>58</v>
      </c>
      <c r="E132" s="556"/>
      <c r="F132" s="547">
        <v>1944</v>
      </c>
      <c r="G132" s="547">
        <v>3281</v>
      </c>
      <c r="H132" s="547">
        <v>745</v>
      </c>
      <c r="I132" s="548">
        <v>5970</v>
      </c>
      <c r="J132" s="548"/>
      <c r="K132" s="547">
        <v>0</v>
      </c>
      <c r="L132" s="547">
        <v>27</v>
      </c>
      <c r="M132" s="547">
        <v>0</v>
      </c>
      <c r="N132" s="547"/>
      <c r="O132" s="547">
        <v>24044</v>
      </c>
      <c r="P132" s="547">
        <v>48</v>
      </c>
      <c r="Q132" s="547">
        <v>111</v>
      </c>
      <c r="R132" s="547"/>
      <c r="S132" s="547">
        <v>6666</v>
      </c>
      <c r="T132" s="547">
        <v>2472</v>
      </c>
      <c r="U132" s="547">
        <v>0</v>
      </c>
      <c r="V132" s="547"/>
      <c r="W132" s="547">
        <v>11132</v>
      </c>
      <c r="X132" s="547">
        <v>7864</v>
      </c>
      <c r="Y132" s="547">
        <v>7</v>
      </c>
      <c r="Z132" s="547">
        <v>11481</v>
      </c>
      <c r="AA132" s="547">
        <v>786</v>
      </c>
      <c r="AB132" s="547">
        <v>2555</v>
      </c>
      <c r="AC132" s="547">
        <v>47</v>
      </c>
      <c r="AD132" s="547">
        <v>682</v>
      </c>
      <c r="AE132" s="547">
        <v>433</v>
      </c>
      <c r="AF132" s="548">
        <v>75472</v>
      </c>
      <c r="AG132" s="547">
        <v>6080</v>
      </c>
      <c r="AH132" s="549">
        <v>81552</v>
      </c>
      <c r="AI132" s="561">
        <v>1992</v>
      </c>
      <c r="AJ132" s="89"/>
    </row>
    <row r="133" spans="1:36" s="96" customFormat="1" x14ac:dyDescent="0.4">
      <c r="A133" s="514">
        <v>1993</v>
      </c>
      <c r="B133" s="574"/>
      <c r="C133" s="554">
        <v>1135</v>
      </c>
      <c r="D133" s="554">
        <v>48</v>
      </c>
      <c r="E133" s="556"/>
      <c r="F133" s="547">
        <v>2070</v>
      </c>
      <c r="G133" s="547">
        <v>3117</v>
      </c>
      <c r="H133" s="547">
        <v>734</v>
      </c>
      <c r="I133" s="548">
        <v>5921</v>
      </c>
      <c r="J133" s="548"/>
      <c r="K133" s="547">
        <v>0</v>
      </c>
      <c r="L133" s="547">
        <v>27</v>
      </c>
      <c r="M133" s="547">
        <v>0</v>
      </c>
      <c r="N133" s="547"/>
      <c r="O133" s="547">
        <v>23766</v>
      </c>
      <c r="P133" s="547">
        <v>46</v>
      </c>
      <c r="Q133" s="547">
        <v>118</v>
      </c>
      <c r="R133" s="547"/>
      <c r="S133" s="547">
        <v>7106</v>
      </c>
      <c r="T133" s="547">
        <v>2625</v>
      </c>
      <c r="U133" s="547">
        <v>0</v>
      </c>
      <c r="V133" s="547"/>
      <c r="W133" s="547">
        <v>11806</v>
      </c>
      <c r="X133" s="547">
        <v>7773</v>
      </c>
      <c r="Y133" s="547">
        <v>9</v>
      </c>
      <c r="Z133" s="547">
        <v>10770</v>
      </c>
      <c r="AA133" s="547">
        <v>806</v>
      </c>
      <c r="AB133" s="547">
        <v>2523</v>
      </c>
      <c r="AC133" s="547">
        <v>48</v>
      </c>
      <c r="AD133" s="547">
        <v>778</v>
      </c>
      <c r="AE133" s="547">
        <v>484</v>
      </c>
      <c r="AF133" s="548">
        <v>75789</v>
      </c>
      <c r="AG133" s="547">
        <v>6383</v>
      </c>
      <c r="AH133" s="549">
        <v>82172</v>
      </c>
      <c r="AI133" s="561">
        <v>1993</v>
      </c>
      <c r="AJ133" s="89"/>
    </row>
    <row r="134" spans="1:36" s="96" customFormat="1" x14ac:dyDescent="0.4">
      <c r="A134" s="514">
        <v>1994</v>
      </c>
      <c r="B134" s="574"/>
      <c r="C134" s="554">
        <v>1200</v>
      </c>
      <c r="D134" s="554">
        <v>88</v>
      </c>
      <c r="E134" s="556"/>
      <c r="F134" s="547">
        <v>2657</v>
      </c>
      <c r="G134" s="547">
        <v>2866</v>
      </c>
      <c r="H134" s="547">
        <v>676</v>
      </c>
      <c r="I134" s="548">
        <v>6199</v>
      </c>
      <c r="J134" s="548"/>
      <c r="K134" s="547">
        <v>0</v>
      </c>
      <c r="L134" s="547">
        <v>29</v>
      </c>
      <c r="M134" s="547">
        <v>0</v>
      </c>
      <c r="N134" s="547"/>
      <c r="O134" s="547">
        <v>22843</v>
      </c>
      <c r="P134" s="547">
        <v>49</v>
      </c>
      <c r="Q134" s="547">
        <v>121</v>
      </c>
      <c r="R134" s="547"/>
      <c r="S134" s="547">
        <v>7284</v>
      </c>
      <c r="T134" s="547">
        <v>2655</v>
      </c>
      <c r="U134" s="547">
        <v>0</v>
      </c>
      <c r="V134" s="547"/>
      <c r="W134" s="547">
        <v>12914</v>
      </c>
      <c r="X134" s="547">
        <v>7488</v>
      </c>
      <c r="Y134" s="547">
        <v>3</v>
      </c>
      <c r="Z134" s="547">
        <v>9275</v>
      </c>
      <c r="AA134" s="547">
        <v>795</v>
      </c>
      <c r="AB134" s="547">
        <v>2595</v>
      </c>
      <c r="AC134" s="547">
        <v>47</v>
      </c>
      <c r="AD134" s="547">
        <v>911</v>
      </c>
      <c r="AE134" s="547">
        <v>461</v>
      </c>
      <c r="AF134" s="548">
        <v>74957</v>
      </c>
      <c r="AG134" s="547">
        <v>6256</v>
      </c>
      <c r="AH134" s="549">
        <v>81213</v>
      </c>
      <c r="AI134" s="561">
        <v>1994</v>
      </c>
      <c r="AJ134" s="89"/>
    </row>
    <row r="135" spans="1:36" s="96" customFormat="1" x14ac:dyDescent="0.4">
      <c r="A135" s="514">
        <v>1995</v>
      </c>
      <c r="B135" s="574"/>
      <c r="C135" s="554">
        <v>1201</v>
      </c>
      <c r="D135" s="554">
        <v>98</v>
      </c>
      <c r="E135" s="556"/>
      <c r="F135" s="547">
        <v>2690</v>
      </c>
      <c r="G135" s="547">
        <v>2885</v>
      </c>
      <c r="H135" s="547">
        <v>652</v>
      </c>
      <c r="I135" s="548">
        <v>6227</v>
      </c>
      <c r="J135" s="548"/>
      <c r="K135" s="547">
        <v>0</v>
      </c>
      <c r="L135" s="547">
        <v>29</v>
      </c>
      <c r="M135" s="547">
        <v>0</v>
      </c>
      <c r="N135" s="547"/>
      <c r="O135" s="547">
        <v>21953</v>
      </c>
      <c r="P135" s="547">
        <v>62</v>
      </c>
      <c r="Q135" s="547">
        <v>116</v>
      </c>
      <c r="R135" s="547"/>
      <c r="S135" s="547">
        <v>7660</v>
      </c>
      <c r="T135" s="547">
        <v>2774</v>
      </c>
      <c r="U135" s="547">
        <v>0</v>
      </c>
      <c r="V135" s="547"/>
      <c r="W135" s="547">
        <v>13457</v>
      </c>
      <c r="X135" s="547">
        <v>7227</v>
      </c>
      <c r="Y135" s="547">
        <v>0</v>
      </c>
      <c r="Z135" s="547">
        <v>7975</v>
      </c>
      <c r="AA135" s="547">
        <v>895</v>
      </c>
      <c r="AB135" s="547">
        <v>2420</v>
      </c>
      <c r="AC135" s="547">
        <v>44</v>
      </c>
      <c r="AD135" s="547">
        <v>1008</v>
      </c>
      <c r="AE135" s="547">
        <v>549</v>
      </c>
      <c r="AF135" s="548">
        <v>73695</v>
      </c>
      <c r="AG135" s="547">
        <v>6481</v>
      </c>
      <c r="AH135" s="549">
        <v>80176</v>
      </c>
      <c r="AI135" s="561">
        <v>1995</v>
      </c>
      <c r="AJ135" s="89"/>
    </row>
    <row r="136" spans="1:36" s="96" customFormat="1" x14ac:dyDescent="0.4">
      <c r="A136" s="514">
        <v>1996</v>
      </c>
      <c r="B136" s="574"/>
      <c r="C136" s="554">
        <v>1319</v>
      </c>
      <c r="D136" s="554">
        <v>101</v>
      </c>
      <c r="E136" s="556"/>
      <c r="F136" s="547">
        <v>2563</v>
      </c>
      <c r="G136" s="547">
        <v>3010</v>
      </c>
      <c r="H136" s="547">
        <v>655</v>
      </c>
      <c r="I136" s="548">
        <v>6228</v>
      </c>
      <c r="J136" s="548"/>
      <c r="K136" s="547">
        <v>0</v>
      </c>
      <c r="L136" s="547">
        <v>32</v>
      </c>
      <c r="M136" s="547">
        <v>0</v>
      </c>
      <c r="N136" s="547"/>
      <c r="O136" s="547">
        <v>22409</v>
      </c>
      <c r="P136" s="547">
        <v>74</v>
      </c>
      <c r="Q136" s="547">
        <v>110</v>
      </c>
      <c r="R136" s="547"/>
      <c r="S136" s="547">
        <v>8149</v>
      </c>
      <c r="T136" s="547">
        <v>3336</v>
      </c>
      <c r="U136" s="547">
        <v>0</v>
      </c>
      <c r="V136" s="547"/>
      <c r="W136" s="547">
        <v>14365</v>
      </c>
      <c r="X136" s="547">
        <v>7631</v>
      </c>
      <c r="Y136" s="547">
        <v>0</v>
      </c>
      <c r="Z136" s="547">
        <v>6854</v>
      </c>
      <c r="AA136" s="547">
        <v>864</v>
      </c>
      <c r="AB136" s="547">
        <v>2146</v>
      </c>
      <c r="AC136" s="547">
        <v>44</v>
      </c>
      <c r="AD136" s="547">
        <v>1210</v>
      </c>
      <c r="AE136" s="547">
        <v>617</v>
      </c>
      <c r="AF136" s="548">
        <v>75489</v>
      </c>
      <c r="AG136" s="547">
        <v>6503</v>
      </c>
      <c r="AH136" s="549">
        <v>81992</v>
      </c>
      <c r="AI136" s="561">
        <v>1996</v>
      </c>
      <c r="AJ136" s="89"/>
    </row>
    <row r="137" spans="1:36" s="96" customFormat="1" x14ac:dyDescent="0.4">
      <c r="A137" s="514">
        <v>1997</v>
      </c>
      <c r="B137" s="574"/>
      <c r="C137" s="554">
        <v>1194</v>
      </c>
      <c r="D137" s="554">
        <v>73</v>
      </c>
      <c r="E137" s="556"/>
      <c r="F137" s="547">
        <v>2721</v>
      </c>
      <c r="G137" s="547">
        <v>2640</v>
      </c>
      <c r="H137" s="547">
        <v>727</v>
      </c>
      <c r="I137" s="548">
        <v>6088</v>
      </c>
      <c r="J137" s="548"/>
      <c r="K137" s="547">
        <v>0</v>
      </c>
      <c r="L137" s="547">
        <v>37</v>
      </c>
      <c r="M137" s="547">
        <v>0</v>
      </c>
      <c r="N137" s="547"/>
      <c r="O137" s="547">
        <v>22252</v>
      </c>
      <c r="P137" s="547">
        <v>87</v>
      </c>
      <c r="Q137" s="547">
        <v>108</v>
      </c>
      <c r="R137" s="547"/>
      <c r="S137" s="547">
        <v>8411</v>
      </c>
      <c r="T137" s="547">
        <v>3343</v>
      </c>
      <c r="U137" s="547">
        <v>0</v>
      </c>
      <c r="V137" s="547"/>
      <c r="W137" s="547">
        <v>14976</v>
      </c>
      <c r="X137" s="547">
        <v>7326</v>
      </c>
      <c r="Y137" s="547">
        <v>1</v>
      </c>
      <c r="Z137" s="547">
        <v>3936</v>
      </c>
      <c r="AA137" s="547">
        <v>872</v>
      </c>
      <c r="AB137" s="547">
        <v>2015</v>
      </c>
      <c r="AC137" s="547">
        <v>44</v>
      </c>
      <c r="AD137" s="547">
        <v>1095</v>
      </c>
      <c r="AE137" s="547">
        <v>644</v>
      </c>
      <c r="AF137" s="548">
        <v>72502</v>
      </c>
      <c r="AG137" s="547">
        <v>6572</v>
      </c>
      <c r="AH137" s="549">
        <v>79074</v>
      </c>
      <c r="AI137" s="561">
        <v>1997</v>
      </c>
      <c r="AJ137" s="89"/>
    </row>
    <row r="138" spans="1:36" s="96" customFormat="1" x14ac:dyDescent="0.4">
      <c r="A138" s="514">
        <v>1998</v>
      </c>
      <c r="B138" s="574"/>
      <c r="C138" s="554">
        <v>1192</v>
      </c>
      <c r="D138" s="554">
        <v>287</v>
      </c>
      <c r="E138" s="555"/>
      <c r="F138" s="570"/>
      <c r="G138" s="570"/>
      <c r="H138" s="570"/>
      <c r="I138" s="571">
        <v>5524</v>
      </c>
      <c r="J138" s="571"/>
      <c r="K138" s="554">
        <v>0</v>
      </c>
      <c r="L138" s="554">
        <v>36</v>
      </c>
      <c r="M138" s="554">
        <v>0</v>
      </c>
      <c r="N138" s="554"/>
      <c r="O138" s="554">
        <v>21848</v>
      </c>
      <c r="P138" s="554">
        <v>83</v>
      </c>
      <c r="Q138" s="554">
        <v>96</v>
      </c>
      <c r="R138" s="554"/>
      <c r="S138" s="554">
        <v>9241</v>
      </c>
      <c r="T138" s="554">
        <v>3574</v>
      </c>
      <c r="U138" s="554">
        <v>0</v>
      </c>
      <c r="V138" s="554"/>
      <c r="W138" s="554">
        <v>15143</v>
      </c>
      <c r="X138" s="554">
        <v>7908</v>
      </c>
      <c r="Y138" s="547">
        <v>1</v>
      </c>
      <c r="Z138" s="547">
        <v>3105</v>
      </c>
      <c r="AA138" s="547">
        <v>813</v>
      </c>
      <c r="AB138" s="547">
        <v>1967</v>
      </c>
      <c r="AC138" s="547">
        <v>18</v>
      </c>
      <c r="AD138" s="547">
        <v>887</v>
      </c>
      <c r="AE138" s="547">
        <v>538</v>
      </c>
      <c r="AF138" s="548">
        <v>72261</v>
      </c>
      <c r="AG138" s="547">
        <v>6177</v>
      </c>
      <c r="AH138" s="549">
        <v>78438</v>
      </c>
      <c r="AI138" s="561">
        <v>1998</v>
      </c>
      <c r="AJ138" s="89"/>
    </row>
    <row r="139" spans="1:36" s="96" customFormat="1" x14ac:dyDescent="0.4">
      <c r="A139" s="514">
        <v>1999</v>
      </c>
      <c r="B139" s="574"/>
      <c r="C139" s="554">
        <v>1192</v>
      </c>
      <c r="D139" s="554">
        <v>286</v>
      </c>
      <c r="E139" s="555"/>
      <c r="F139" s="570"/>
      <c r="G139" s="570"/>
      <c r="H139" s="570"/>
      <c r="I139" s="571">
        <v>5912</v>
      </c>
      <c r="J139" s="571"/>
      <c r="K139" s="554">
        <v>0</v>
      </c>
      <c r="L139" s="554">
        <v>45</v>
      </c>
      <c r="M139" s="554">
        <v>0</v>
      </c>
      <c r="N139" s="554"/>
      <c r="O139" s="554">
        <v>21787</v>
      </c>
      <c r="P139" s="554">
        <v>77</v>
      </c>
      <c r="Q139" s="554">
        <v>97</v>
      </c>
      <c r="R139" s="554"/>
      <c r="S139" s="554">
        <v>9939</v>
      </c>
      <c r="T139" s="554">
        <v>3633</v>
      </c>
      <c r="U139" s="554">
        <v>0</v>
      </c>
      <c r="V139" s="554"/>
      <c r="W139" s="554">
        <v>15508</v>
      </c>
      <c r="X139" s="554">
        <v>7440</v>
      </c>
      <c r="Y139" s="547">
        <v>15</v>
      </c>
      <c r="Z139" s="547">
        <v>2701</v>
      </c>
      <c r="AA139" s="547">
        <v>790</v>
      </c>
      <c r="AB139" s="547">
        <v>1928</v>
      </c>
      <c r="AC139" s="547">
        <v>37</v>
      </c>
      <c r="AD139" s="547">
        <v>660</v>
      </c>
      <c r="AE139" s="547">
        <v>388</v>
      </c>
      <c r="AF139" s="548">
        <v>72436</v>
      </c>
      <c r="AG139" s="547">
        <v>5538</v>
      </c>
      <c r="AH139" s="549">
        <v>77974</v>
      </c>
      <c r="AI139" s="561">
        <v>1999</v>
      </c>
      <c r="AJ139" s="89"/>
    </row>
    <row r="140" spans="1:36" s="96" customFormat="1" x14ac:dyDescent="0.4">
      <c r="A140" s="514">
        <v>2000</v>
      </c>
      <c r="B140" s="574"/>
      <c r="C140" s="554">
        <v>1139.674</v>
      </c>
      <c r="D140" s="554">
        <v>259.67584268858855</v>
      </c>
      <c r="E140" s="555"/>
      <c r="F140" s="570"/>
      <c r="G140" s="570"/>
      <c r="H140" s="570"/>
      <c r="I140" s="571">
        <v>4900.8490000000002</v>
      </c>
      <c r="J140" s="571"/>
      <c r="K140" s="554">
        <v>0</v>
      </c>
      <c r="L140" s="554">
        <v>52.4</v>
      </c>
      <c r="M140" s="554">
        <v>0</v>
      </c>
      <c r="N140" s="554"/>
      <c r="O140" s="554">
        <v>21402.936772000001</v>
      </c>
      <c r="P140" s="554">
        <v>83</v>
      </c>
      <c r="Q140" s="554">
        <v>87</v>
      </c>
      <c r="R140" s="554"/>
      <c r="S140" s="554">
        <v>10806.102000000001</v>
      </c>
      <c r="T140" s="554">
        <v>3838.7130000000002</v>
      </c>
      <c r="U140" s="554">
        <v>0</v>
      </c>
      <c r="V140" s="554"/>
      <c r="W140" s="554">
        <v>15631.664000000001</v>
      </c>
      <c r="X140" s="554">
        <v>7534.9778785865901</v>
      </c>
      <c r="Y140" s="547">
        <v>41</v>
      </c>
      <c r="Z140" s="547">
        <v>2119.0425880999173</v>
      </c>
      <c r="AA140" s="547">
        <v>801.14618077601403</v>
      </c>
      <c r="AB140" s="547">
        <v>1975.2330000000002</v>
      </c>
      <c r="AC140" s="547">
        <v>32</v>
      </c>
      <c r="AD140" s="547">
        <v>775.61699999999996</v>
      </c>
      <c r="AE140" s="547">
        <v>463.15500000000003</v>
      </c>
      <c r="AF140" s="548">
        <v>71944.45526215111</v>
      </c>
      <c r="AG140" s="547">
        <v>5251.9488613560025</v>
      </c>
      <c r="AH140" s="549">
        <v>77196.40412350712</v>
      </c>
      <c r="AI140" s="561">
        <v>2000</v>
      </c>
      <c r="AJ140" s="89"/>
    </row>
    <row r="141" spans="1:36" s="96" customFormat="1" x14ac:dyDescent="0.4">
      <c r="A141" s="514">
        <v>2001</v>
      </c>
      <c r="B141" s="574"/>
      <c r="C141" s="554">
        <v>1171.4260493551665</v>
      </c>
      <c r="D141" s="554">
        <v>260.96898633498762</v>
      </c>
      <c r="E141" s="555"/>
      <c r="F141" s="570"/>
      <c r="G141" s="570"/>
      <c r="H141" s="570"/>
      <c r="I141" s="571">
        <v>4334.4368689999992</v>
      </c>
      <c r="J141" s="571"/>
      <c r="K141" s="554">
        <v>0</v>
      </c>
      <c r="L141" s="554">
        <v>58.944466999999996</v>
      </c>
      <c r="M141" s="554">
        <v>0</v>
      </c>
      <c r="N141" s="554"/>
      <c r="O141" s="554">
        <v>20939.734371999999</v>
      </c>
      <c r="P141" s="554">
        <v>54</v>
      </c>
      <c r="Q141" s="554">
        <v>97</v>
      </c>
      <c r="R141" s="554"/>
      <c r="S141" s="554">
        <v>10614.238486</v>
      </c>
      <c r="T141" s="554">
        <v>4236.0320530000008</v>
      </c>
      <c r="U141" s="554">
        <v>0</v>
      </c>
      <c r="V141" s="554"/>
      <c r="W141" s="554">
        <v>16059.058833999999</v>
      </c>
      <c r="X141" s="554">
        <v>6833.0959194596908</v>
      </c>
      <c r="Y141" s="547">
        <v>126</v>
      </c>
      <c r="Z141" s="547">
        <v>2578.2880878333995</v>
      </c>
      <c r="AA141" s="547">
        <v>846.46778199999994</v>
      </c>
      <c r="AB141" s="547">
        <v>1934.4479189999997</v>
      </c>
      <c r="AC141" s="547">
        <v>33</v>
      </c>
      <c r="AD141" s="547">
        <v>701.57134999999994</v>
      </c>
      <c r="AE141" s="547">
        <v>475.56413899999995</v>
      </c>
      <c r="AF141" s="548">
        <v>71354.361142983238</v>
      </c>
      <c r="AG141" s="547">
        <v>5058.7731468582879</v>
      </c>
      <c r="AH141" s="549">
        <v>76413.134289841531</v>
      </c>
      <c r="AI141" s="561">
        <v>2001</v>
      </c>
      <c r="AJ141" s="89"/>
    </row>
    <row r="142" spans="1:36" s="96" customFormat="1" x14ac:dyDescent="0.4">
      <c r="A142" s="514">
        <v>2002</v>
      </c>
      <c r="B142" s="574"/>
      <c r="C142" s="554">
        <v>1085.9439999999995</v>
      </c>
      <c r="D142" s="554">
        <v>300.1697997854759</v>
      </c>
      <c r="E142" s="555"/>
      <c r="F142" s="570"/>
      <c r="G142" s="570"/>
      <c r="H142" s="570"/>
      <c r="I142" s="571">
        <v>4939.7289999999994</v>
      </c>
      <c r="J142" s="571"/>
      <c r="K142" s="554">
        <v>0</v>
      </c>
      <c r="L142" s="554">
        <v>49.568004768000002</v>
      </c>
      <c r="M142" s="554">
        <v>0</v>
      </c>
      <c r="N142" s="554"/>
      <c r="O142" s="554">
        <v>20808.419670750001</v>
      </c>
      <c r="P142" s="554">
        <v>32</v>
      </c>
      <c r="Q142" s="554">
        <v>125</v>
      </c>
      <c r="R142" s="554"/>
      <c r="S142" s="554">
        <v>10518.896950082</v>
      </c>
      <c r="T142" s="554">
        <v>3578.1625800000002</v>
      </c>
      <c r="U142" s="554">
        <v>0</v>
      </c>
      <c r="V142" s="554"/>
      <c r="W142" s="554">
        <v>16926.313294137501</v>
      </c>
      <c r="X142" s="554">
        <v>6060.2010310518044</v>
      </c>
      <c r="Y142" s="547">
        <v>39</v>
      </c>
      <c r="Z142" s="547">
        <v>1722.4753988440943</v>
      </c>
      <c r="AA142" s="547">
        <v>828.82464874499999</v>
      </c>
      <c r="AB142" s="547">
        <v>2002.1467486399999</v>
      </c>
      <c r="AC142" s="547">
        <v>51</v>
      </c>
      <c r="AD142" s="547">
        <v>892.75199999999995</v>
      </c>
      <c r="AE142" s="547">
        <v>595.93373299999996</v>
      </c>
      <c r="AF142" s="548">
        <v>70556.585904803855</v>
      </c>
      <c r="AG142" s="547">
        <v>5676.8902450424903</v>
      </c>
      <c r="AH142" s="549">
        <v>76233.476149846349</v>
      </c>
      <c r="AI142" s="561">
        <v>2002</v>
      </c>
      <c r="AJ142" s="89"/>
    </row>
    <row r="143" spans="1:36" s="96" customFormat="1" x14ac:dyDescent="0.4">
      <c r="A143" s="514">
        <v>2003</v>
      </c>
      <c r="B143" s="574"/>
      <c r="C143" s="554">
        <v>1393.2685171040962</v>
      </c>
      <c r="D143" s="554">
        <v>304.43168961922112</v>
      </c>
      <c r="E143" s="555"/>
      <c r="F143" s="570"/>
      <c r="G143" s="570"/>
      <c r="H143" s="570"/>
      <c r="I143" s="571">
        <v>5765.1978166541621</v>
      </c>
      <c r="J143" s="571"/>
      <c r="K143" s="554">
        <v>0</v>
      </c>
      <c r="L143" s="554">
        <v>45.508633530259125</v>
      </c>
      <c r="M143" s="554">
        <v>0</v>
      </c>
      <c r="N143" s="554"/>
      <c r="O143" s="554">
        <v>19918.274136888693</v>
      </c>
      <c r="P143" s="1390">
        <v>147</v>
      </c>
      <c r="Q143" s="1390"/>
      <c r="R143" s="554"/>
      <c r="S143" s="554">
        <v>10764.612423370505</v>
      </c>
      <c r="T143" s="554">
        <v>3568.8298696424758</v>
      </c>
      <c r="U143" s="554">
        <v>0</v>
      </c>
      <c r="V143" s="554"/>
      <c r="W143" s="554">
        <v>17712.376374559681</v>
      </c>
      <c r="X143" s="1390">
        <v>6326</v>
      </c>
      <c r="Y143" s="1390"/>
      <c r="Z143" s="547">
        <v>1540.0015497854974</v>
      </c>
      <c r="AA143" s="547">
        <v>867.78856678450927</v>
      </c>
      <c r="AB143" s="547">
        <v>1958.8758321599998</v>
      </c>
      <c r="AC143" s="547">
        <v>71.643809000000005</v>
      </c>
      <c r="AD143" s="547">
        <v>879.9459999999998</v>
      </c>
      <c r="AE143" s="547">
        <v>434.33294389693697</v>
      </c>
      <c r="AF143" s="548">
        <v>71697.49701026699</v>
      </c>
      <c r="AG143" s="547">
        <v>5456.3014046274993</v>
      </c>
      <c r="AH143" s="549">
        <v>77153.798414894496</v>
      </c>
      <c r="AI143" s="561">
        <v>2003</v>
      </c>
      <c r="AJ143" s="89"/>
    </row>
    <row r="144" spans="1:36" s="96" customFormat="1" x14ac:dyDescent="0.4">
      <c r="A144" s="514">
        <v>2004</v>
      </c>
      <c r="B144" s="574"/>
      <c r="C144" s="554">
        <v>1329.25519948537</v>
      </c>
      <c r="D144" s="554">
        <v>256.74906942477719</v>
      </c>
      <c r="E144" s="555"/>
      <c r="F144" s="570"/>
      <c r="G144" s="570"/>
      <c r="H144" s="570"/>
      <c r="I144" s="571">
        <v>5475.6806970887228</v>
      </c>
      <c r="J144" s="571"/>
      <c r="K144" s="554">
        <v>0</v>
      </c>
      <c r="L144" s="554">
        <v>49.498771429964208</v>
      </c>
      <c r="M144" s="554">
        <v>0</v>
      </c>
      <c r="N144" s="554"/>
      <c r="O144" s="554">
        <v>19484.224129981467</v>
      </c>
      <c r="P144" s="1390">
        <v>281</v>
      </c>
      <c r="Q144" s="1390"/>
      <c r="R144" s="554"/>
      <c r="S144" s="554">
        <v>11636.924137443981</v>
      </c>
      <c r="T144" s="554">
        <v>3949.8205625728187</v>
      </c>
      <c r="U144" s="554">
        <v>0</v>
      </c>
      <c r="V144" s="554"/>
      <c r="W144" s="554">
        <v>18514.161689419718</v>
      </c>
      <c r="X144" s="1390">
        <v>6029.8586133085864</v>
      </c>
      <c r="Y144" s="1390"/>
      <c r="Z144" s="547">
        <v>2063.545599888555</v>
      </c>
      <c r="AA144" s="547">
        <v>914.44759311894563</v>
      </c>
      <c r="AB144" s="547">
        <v>1990.7498411724846</v>
      </c>
      <c r="AC144" s="547">
        <v>50.324141000000004</v>
      </c>
      <c r="AD144" s="547">
        <v>1145.747044</v>
      </c>
      <c r="AE144" s="547">
        <v>476.38663613816999</v>
      </c>
      <c r="AF144" s="548">
        <v>73648.839713236681</v>
      </c>
      <c r="AG144" s="547">
        <v>5417.1625988982478</v>
      </c>
      <c r="AH144" s="549">
        <v>79066.002312134922</v>
      </c>
      <c r="AI144" s="561">
        <v>2004</v>
      </c>
      <c r="AJ144" s="89"/>
    </row>
    <row r="145" spans="1:36" s="96" customFormat="1" x14ac:dyDescent="0.4">
      <c r="A145" s="514">
        <v>2005</v>
      </c>
      <c r="B145" s="574"/>
      <c r="C145" s="572">
        <v>1325.829343841272</v>
      </c>
      <c r="D145" s="572">
        <v>253.42123682618782</v>
      </c>
      <c r="E145" s="573"/>
      <c r="F145" s="570"/>
      <c r="G145" s="570"/>
      <c r="H145" s="570"/>
      <c r="I145" s="571">
        <v>5672.0706810127158</v>
      </c>
      <c r="J145" s="571"/>
      <c r="K145" s="554">
        <v>0</v>
      </c>
      <c r="L145" s="554">
        <v>52.20063212383679</v>
      </c>
      <c r="M145" s="554">
        <v>0</v>
      </c>
      <c r="N145" s="554"/>
      <c r="O145" s="554">
        <v>18852.141637038781</v>
      </c>
      <c r="P145" s="1390">
        <v>284.45546695719952</v>
      </c>
      <c r="Q145" s="1390"/>
      <c r="R145" s="554"/>
      <c r="S145" s="554">
        <v>12497.292672363066</v>
      </c>
      <c r="T145" s="554">
        <v>3869.3348754452054</v>
      </c>
      <c r="U145" s="554">
        <v>0</v>
      </c>
      <c r="V145" s="554"/>
      <c r="W145" s="554">
        <v>19377.228466332897</v>
      </c>
      <c r="X145" s="1390">
        <v>6718.8474779954122</v>
      </c>
      <c r="Y145" s="1390"/>
      <c r="Z145" s="547">
        <v>2206.464302459694</v>
      </c>
      <c r="AA145" s="547">
        <v>749.91636586835796</v>
      </c>
      <c r="AB145" s="547">
        <v>1905.8617202711473</v>
      </c>
      <c r="AC145" s="547">
        <v>71.643809000000005</v>
      </c>
      <c r="AD145" s="547">
        <v>1042.1915429999997</v>
      </c>
      <c r="AE145" s="547">
        <v>483.97902702315071</v>
      </c>
      <c r="AF145" s="548">
        <v>75362.841257558917</v>
      </c>
      <c r="AG145" s="547">
        <v>5600.5896496541527</v>
      </c>
      <c r="AH145" s="549">
        <f>SUM(AF145:AG145)</f>
        <v>80963.430907213071</v>
      </c>
      <c r="AI145" s="561">
        <v>2005</v>
      </c>
      <c r="AJ145" s="89"/>
    </row>
    <row r="146" spans="1:36" s="96" customFormat="1" x14ac:dyDescent="0.4">
      <c r="A146" s="514">
        <v>2006</v>
      </c>
      <c r="B146" s="574"/>
      <c r="C146" s="572">
        <v>1395.9446748349437</v>
      </c>
      <c r="D146" s="572">
        <v>272.18907299705609</v>
      </c>
      <c r="E146" s="573"/>
      <c r="F146" s="570"/>
      <c r="G146" s="570"/>
      <c r="H146" s="570"/>
      <c r="I146" s="571">
        <v>5656.915766466007</v>
      </c>
      <c r="J146" s="571"/>
      <c r="K146" s="554">
        <v>0</v>
      </c>
      <c r="L146" s="554">
        <v>45.798365063129104</v>
      </c>
      <c r="M146" s="554">
        <v>0</v>
      </c>
      <c r="N146" s="554"/>
      <c r="O146" s="554">
        <v>18091.172181374794</v>
      </c>
      <c r="P146" s="1390">
        <v>156.3504766946966</v>
      </c>
      <c r="Q146" s="1390"/>
      <c r="R146" s="554"/>
      <c r="S146" s="554">
        <v>12640.554693151407</v>
      </c>
      <c r="T146" s="554">
        <v>4016.3921372370132</v>
      </c>
      <c r="U146" s="554">
        <v>0</v>
      </c>
      <c r="V146" s="554"/>
      <c r="W146" s="554">
        <v>20160.894096357402</v>
      </c>
      <c r="X146" s="1390">
        <v>6525.0554864947844</v>
      </c>
      <c r="Y146" s="1390"/>
      <c r="Z146" s="547">
        <v>2250.8336546667238</v>
      </c>
      <c r="AA146" s="547">
        <v>712.60367441080484</v>
      </c>
      <c r="AB146" s="547">
        <v>1609.8199185008941</v>
      </c>
      <c r="AC146" s="547">
        <v>48.480547000000001</v>
      </c>
      <c r="AD146" s="547">
        <v>924.78822799999989</v>
      </c>
      <c r="AE146" s="547">
        <v>388.11593155600787</v>
      </c>
      <c r="AF146" s="548">
        <v>74895.89290480566</v>
      </c>
      <c r="AG146" s="547">
        <v>4877.9012123594493</v>
      </c>
      <c r="AH146" s="549">
        <f>SUM(AF146:AG146)</f>
        <v>79773.794117165104</v>
      </c>
      <c r="AI146" s="561">
        <v>2006</v>
      </c>
      <c r="AJ146" s="89"/>
    </row>
    <row r="147" spans="1:36" s="101" customFormat="1" x14ac:dyDescent="0.4">
      <c r="A147" s="514">
        <v>2007</v>
      </c>
      <c r="B147" s="582"/>
      <c r="C147" s="572">
        <v>1325.349588067088</v>
      </c>
      <c r="D147" s="572">
        <v>300.31259515045792</v>
      </c>
      <c r="E147" s="573"/>
      <c r="F147" s="570"/>
      <c r="G147" s="570"/>
      <c r="H147" s="570"/>
      <c r="I147" s="571">
        <v>4623.6602339016645</v>
      </c>
      <c r="J147" s="571"/>
      <c r="K147" s="554">
        <v>0</v>
      </c>
      <c r="L147" s="554">
        <v>32.821170319999993</v>
      </c>
      <c r="M147" s="554">
        <v>0</v>
      </c>
      <c r="N147" s="554"/>
      <c r="O147" s="554">
        <v>17614.869066429244</v>
      </c>
      <c r="P147" s="1390">
        <v>166.98157899999998</v>
      </c>
      <c r="Q147" s="1390"/>
      <c r="R147" s="554"/>
      <c r="S147" s="554">
        <v>12574.392434876931</v>
      </c>
      <c r="T147" s="554">
        <v>3628.3243597572082</v>
      </c>
      <c r="U147" s="554">
        <v>0</v>
      </c>
      <c r="V147" s="554"/>
      <c r="W147" s="554">
        <v>21038.451620665361</v>
      </c>
      <c r="X147" s="1390">
        <v>6116.6797126652755</v>
      </c>
      <c r="Y147" s="1390"/>
      <c r="Z147" s="547">
        <v>2209.0860619402624</v>
      </c>
      <c r="AA147" s="547">
        <v>672.20918650158001</v>
      </c>
      <c r="AB147" s="547">
        <v>1563.2907168300003</v>
      </c>
      <c r="AC147" s="547">
        <v>39.060679</v>
      </c>
      <c r="AD147" s="547">
        <v>543.98644200000012</v>
      </c>
      <c r="AE147" s="547">
        <v>298.86161871399997</v>
      </c>
      <c r="AF147" s="548">
        <v>72747.995385522372</v>
      </c>
      <c r="AG147" s="547">
        <v>4675.5904424620066</v>
      </c>
      <c r="AH147" s="549">
        <f>SUM(AF147:AG147)</f>
        <v>77423.585827984381</v>
      </c>
      <c r="AI147" s="561">
        <v>2007</v>
      </c>
      <c r="AJ147" s="104"/>
    </row>
    <row r="148" spans="1:36" s="96" customFormat="1" x14ac:dyDescent="0.4">
      <c r="A148" s="514">
        <v>2008</v>
      </c>
      <c r="B148" s="574"/>
      <c r="C148" s="572">
        <v>1175.7168447492863</v>
      </c>
      <c r="D148" s="572">
        <v>315.92662039929132</v>
      </c>
      <c r="E148" s="573"/>
      <c r="F148" s="570"/>
      <c r="G148" s="570"/>
      <c r="H148" s="570"/>
      <c r="I148" s="571">
        <v>4267.3829556608998</v>
      </c>
      <c r="J148" s="571"/>
      <c r="K148" s="554">
        <v>0</v>
      </c>
      <c r="L148" s="554">
        <v>29.796496099999999</v>
      </c>
      <c r="M148" s="554">
        <v>0</v>
      </c>
      <c r="N148" s="554"/>
      <c r="O148" s="554">
        <v>16541.556296887335</v>
      </c>
      <c r="P148" s="1390">
        <v>144.577505</v>
      </c>
      <c r="Q148" s="1390"/>
      <c r="R148" s="554"/>
      <c r="S148" s="554">
        <v>12142.409992639999</v>
      </c>
      <c r="T148" s="554">
        <v>3681.4056816873795</v>
      </c>
      <c r="U148" s="554">
        <v>0</v>
      </c>
      <c r="V148" s="554"/>
      <c r="W148" s="554">
        <v>20500.790368536072</v>
      </c>
      <c r="X148" s="1390">
        <v>5631.8844191439975</v>
      </c>
      <c r="Y148" s="1390"/>
      <c r="Z148" s="547">
        <v>1944.7993914006745</v>
      </c>
      <c r="AA148" s="547">
        <v>509.82781562019602</v>
      </c>
      <c r="AB148" s="547">
        <v>1740.85086288</v>
      </c>
      <c r="AC148" s="547">
        <v>45.844042999999999</v>
      </c>
      <c r="AD148" s="547">
        <v>1047.3920827472728</v>
      </c>
      <c r="AE148" s="547">
        <v>543.95059891899996</v>
      </c>
      <c r="AF148" s="548">
        <v>70455.147730849989</v>
      </c>
      <c r="AG148" s="547">
        <v>4706.1840632420663</v>
      </c>
      <c r="AH148" s="549">
        <f>SUM(AF148:AG148)</f>
        <v>75161.331794092053</v>
      </c>
      <c r="AI148" s="561">
        <v>2008</v>
      </c>
      <c r="AJ148" s="89"/>
    </row>
    <row r="149" spans="1:36" s="96" customFormat="1" x14ac:dyDescent="0.4">
      <c r="A149" s="514">
        <v>2009</v>
      </c>
      <c r="B149" s="574"/>
      <c r="C149" s="572">
        <v>1095.5700717980003</v>
      </c>
      <c r="D149" s="572">
        <v>256.75604442925584</v>
      </c>
      <c r="E149" s="573"/>
      <c r="F149" s="570"/>
      <c r="G149" s="570"/>
      <c r="H149" s="570"/>
      <c r="I149" s="571">
        <v>4454.1238051619994</v>
      </c>
      <c r="J149" s="571"/>
      <c r="K149" s="554">
        <v>0</v>
      </c>
      <c r="L149" s="554">
        <v>22.057244936</v>
      </c>
      <c r="M149" s="554">
        <v>0</v>
      </c>
      <c r="N149" s="554"/>
      <c r="O149" s="554">
        <v>15612.641263509999</v>
      </c>
      <c r="P149" s="1390">
        <v>174.194864</v>
      </c>
      <c r="Q149" s="1390"/>
      <c r="R149" s="554"/>
      <c r="S149" s="554">
        <v>11532.717072520001</v>
      </c>
      <c r="T149" s="554">
        <v>3732.1634486990001</v>
      </c>
      <c r="U149" s="554">
        <v>0</v>
      </c>
      <c r="V149" s="554"/>
      <c r="W149" s="554">
        <v>20111.74819248026</v>
      </c>
      <c r="X149" s="1390">
        <v>5034.4503409298977</v>
      </c>
      <c r="Y149" s="1390"/>
      <c r="Z149" s="547">
        <v>1515.9920359329187</v>
      </c>
      <c r="AA149" s="547">
        <v>510.36768601599999</v>
      </c>
      <c r="AB149" s="547">
        <v>1381.4422176399999</v>
      </c>
      <c r="AC149" s="547">
        <v>38.840465999000003</v>
      </c>
      <c r="AD149" s="547">
        <v>1051.5963292298959</v>
      </c>
      <c r="AE149" s="547">
        <v>534.62876616299991</v>
      </c>
      <c r="AF149" s="548">
        <v>66948.006549384067</v>
      </c>
      <c r="AG149" s="547">
        <v>4304.1765630239734</v>
      </c>
      <c r="AH149" s="549">
        <f>SUM(AF149:AG149)</f>
        <v>71252.183112408035</v>
      </c>
      <c r="AI149" s="561">
        <v>2009</v>
      </c>
      <c r="AJ149" s="89"/>
    </row>
    <row r="150" spans="1:36" s="96" customFormat="1" x14ac:dyDescent="0.4">
      <c r="A150" s="516">
        <v>2010</v>
      </c>
      <c r="B150" s="574"/>
      <c r="C150" s="572">
        <v>1171.3739173252213</v>
      </c>
      <c r="D150" s="572">
        <v>481.05537332877407</v>
      </c>
      <c r="E150" s="573"/>
      <c r="F150" s="570"/>
      <c r="G150" s="570"/>
      <c r="H150" s="570"/>
      <c r="I150" s="571">
        <v>3939.6715374714436</v>
      </c>
      <c r="J150" s="571"/>
      <c r="K150" s="554">
        <v>0</v>
      </c>
      <c r="L150" s="554">
        <v>21.277228170000001</v>
      </c>
      <c r="M150" s="554">
        <v>0</v>
      </c>
      <c r="N150" s="554"/>
      <c r="O150" s="554">
        <v>14601.526047379079</v>
      </c>
      <c r="P150" s="1390">
        <v>223.88522699999999</v>
      </c>
      <c r="Q150" s="1390"/>
      <c r="R150" s="554"/>
      <c r="S150" s="554">
        <v>11116.152285249002</v>
      </c>
      <c r="T150" s="554">
        <v>4012.1479290205998</v>
      </c>
      <c r="U150" s="554">
        <v>0</v>
      </c>
      <c r="V150" s="554"/>
      <c r="W150" s="554">
        <v>20740.386567652244</v>
      </c>
      <c r="X150" s="1390">
        <v>5058.8541326340628</v>
      </c>
      <c r="Y150" s="1390"/>
      <c r="Z150" s="547">
        <v>1370.9531563859061</v>
      </c>
      <c r="AA150" s="547">
        <v>580.23476926499995</v>
      </c>
      <c r="AB150" s="547">
        <v>1370.03559</v>
      </c>
      <c r="AC150" s="547">
        <v>36.703509601</v>
      </c>
      <c r="AD150" s="547">
        <v>936.46218164585162</v>
      </c>
      <c r="AE150" s="547">
        <v>634.28954578399998</v>
      </c>
      <c r="AF150" s="548">
        <v>66295.009486049734</v>
      </c>
      <c r="AG150" s="547">
        <v>4377.8435646897824</v>
      </c>
      <c r="AH150" s="549">
        <v>70672.853050739519</v>
      </c>
      <c r="AI150" s="561">
        <f t="shared" ref="AI150:AI156" si="0">A150</f>
        <v>2010</v>
      </c>
      <c r="AJ150" s="89"/>
    </row>
    <row r="151" spans="1:36" s="96" customFormat="1" x14ac:dyDescent="0.4">
      <c r="A151" s="516">
        <v>2011</v>
      </c>
      <c r="B151" s="574"/>
      <c r="C151" s="572">
        <v>1136.9636988287898</v>
      </c>
      <c r="D151" s="572">
        <v>381.24886344178839</v>
      </c>
      <c r="E151" s="573"/>
      <c r="F151" s="570"/>
      <c r="G151" s="570"/>
      <c r="H151" s="570"/>
      <c r="I151" s="571">
        <v>3912.4559390337809</v>
      </c>
      <c r="J151" s="571"/>
      <c r="K151" s="554">
        <v>0</v>
      </c>
      <c r="L151" s="554">
        <v>20.603662792000002</v>
      </c>
      <c r="M151" s="554">
        <v>0</v>
      </c>
      <c r="N151" s="554"/>
      <c r="O151" s="554">
        <v>13894.778725806398</v>
      </c>
      <c r="P151" s="1390">
        <v>143.42182499999998</v>
      </c>
      <c r="Q151" s="1390"/>
      <c r="R151" s="554"/>
      <c r="S151" s="554">
        <v>11573.807967385999</v>
      </c>
      <c r="T151" s="554">
        <v>3287.6957593912402</v>
      </c>
      <c r="U151" s="554">
        <v>0</v>
      </c>
      <c r="V151" s="554"/>
      <c r="W151" s="554">
        <v>20991.000439320498</v>
      </c>
      <c r="X151" s="1390">
        <v>4720.6083287705324</v>
      </c>
      <c r="Y151" s="1390"/>
      <c r="Z151" s="547">
        <v>939.23530021527324</v>
      </c>
      <c r="AA151" s="547">
        <v>491.26288774799997</v>
      </c>
      <c r="AB151" s="547">
        <v>1620.7285207800001</v>
      </c>
      <c r="AC151" s="547">
        <v>28.108165</v>
      </c>
      <c r="AD151" s="547">
        <v>538.02878400000009</v>
      </c>
      <c r="AE151" s="547">
        <v>563.71506418999991</v>
      </c>
      <c r="AF151" s="548">
        <v>64243.216193333472</v>
      </c>
      <c r="AG151" s="547">
        <v>4585.7610956620156</v>
      </c>
      <c r="AH151" s="549">
        <v>68828.977288995491</v>
      </c>
      <c r="AI151" s="561">
        <f t="shared" si="0"/>
        <v>2011</v>
      </c>
      <c r="AJ151" s="89"/>
    </row>
    <row r="152" spans="1:36" s="96" customFormat="1" x14ac:dyDescent="0.4">
      <c r="A152" s="516">
        <v>2012</v>
      </c>
      <c r="B152" s="574"/>
      <c r="C152" s="572">
        <v>887.74383378352309</v>
      </c>
      <c r="D152" s="572">
        <v>374.93369798278695</v>
      </c>
      <c r="E152" s="573"/>
      <c r="F152" s="570"/>
      <c r="G152" s="570"/>
      <c r="H152" s="570"/>
      <c r="I152" s="571">
        <v>3414.0224255400008</v>
      </c>
      <c r="J152" s="571"/>
      <c r="K152" s="554">
        <v>0</v>
      </c>
      <c r="L152" s="554">
        <v>17.308743729890001</v>
      </c>
      <c r="M152" s="554">
        <v>0</v>
      </c>
      <c r="N152" s="554"/>
      <c r="O152" s="554">
        <v>13230.543318649045</v>
      </c>
      <c r="P152" s="1390">
        <v>218.60856200000001</v>
      </c>
      <c r="Q152" s="1390"/>
      <c r="R152" s="554"/>
      <c r="S152" s="554">
        <v>11220.662626104775</v>
      </c>
      <c r="T152" s="554">
        <v>3328.6027662097931</v>
      </c>
      <c r="U152" s="554">
        <v>0</v>
      </c>
      <c r="V152" s="554"/>
      <c r="W152" s="554">
        <v>21537.773083211054</v>
      </c>
      <c r="X152" s="1390">
        <v>5147.7309401281191</v>
      </c>
      <c r="Y152" s="1390"/>
      <c r="Z152" s="547">
        <v>706.09298472416333</v>
      </c>
      <c r="AA152" s="547">
        <v>412.47953005389002</v>
      </c>
      <c r="AB152" s="547">
        <v>1354.51693</v>
      </c>
      <c r="AC152" s="547">
        <v>31.623723418003564</v>
      </c>
      <c r="AD152" s="547">
        <v>655.66403353374494</v>
      </c>
      <c r="AE152" s="547">
        <v>509.69737889099997</v>
      </c>
      <c r="AF152" s="548">
        <v>63047.780925247302</v>
      </c>
      <c r="AG152" s="547">
        <v>4299.1363047072591</v>
      </c>
      <c r="AH152" s="549">
        <v>67346.917229954561</v>
      </c>
      <c r="AI152" s="561">
        <f t="shared" si="0"/>
        <v>2012</v>
      </c>
      <c r="AJ152" s="89"/>
    </row>
    <row r="153" spans="1:36" s="96" customFormat="1" ht="11.65" customHeight="1" x14ac:dyDescent="0.4">
      <c r="A153" s="517">
        <v>2013</v>
      </c>
      <c r="B153" s="582"/>
      <c r="C153" s="572">
        <v>1021.3672448465618</v>
      </c>
      <c r="D153" s="572">
        <v>463.93727729619656</v>
      </c>
      <c r="E153" s="573"/>
      <c r="F153" s="575"/>
      <c r="G153" s="575"/>
      <c r="H153" s="575"/>
      <c r="I153" s="571">
        <v>3383.453654100902</v>
      </c>
      <c r="J153" s="571"/>
      <c r="K153" s="572">
        <v>0</v>
      </c>
      <c r="L153" s="572">
        <v>15.565691247</v>
      </c>
      <c r="M153" s="572">
        <v>0</v>
      </c>
      <c r="N153" s="572"/>
      <c r="O153" s="572">
        <v>12573.830409356724</v>
      </c>
      <c r="P153" s="1390">
        <v>278.91877399999998</v>
      </c>
      <c r="Q153" s="1390"/>
      <c r="R153" s="572"/>
      <c r="S153" s="572">
        <v>11241.740360197424</v>
      </c>
      <c r="T153" s="572">
        <v>3507.4867241243687</v>
      </c>
      <c r="U153" s="572">
        <v>0</v>
      </c>
      <c r="V153" s="572"/>
      <c r="W153" s="572">
        <v>21925.5698725523</v>
      </c>
      <c r="X153" s="1390">
        <v>4731.9972423678864</v>
      </c>
      <c r="Y153" s="1390"/>
      <c r="Z153" s="572">
        <v>479.28719719182243</v>
      </c>
      <c r="AA153" s="572">
        <v>437.04622967199998</v>
      </c>
      <c r="AB153" s="572">
        <v>1358.3848676040579</v>
      </c>
      <c r="AC153" s="572">
        <v>42.287282999999995</v>
      </c>
      <c r="AD153" s="572">
        <v>606.01960800000006</v>
      </c>
      <c r="AE153" s="572">
        <v>330.13456890933276</v>
      </c>
      <c r="AF153" s="571">
        <v>62397.027004466581</v>
      </c>
      <c r="AG153" s="572">
        <v>3758.88144782469</v>
      </c>
      <c r="AH153" s="549">
        <v>66155.908452291274</v>
      </c>
      <c r="AI153" s="561">
        <f t="shared" si="0"/>
        <v>2013</v>
      </c>
      <c r="AJ153" s="89"/>
    </row>
    <row r="154" spans="1:36" s="96" customFormat="1" ht="11.65" customHeight="1" x14ac:dyDescent="0.4">
      <c r="A154" s="517">
        <v>2014</v>
      </c>
      <c r="B154" s="582"/>
      <c r="C154" s="572">
        <v>1203.73</v>
      </c>
      <c r="D154" s="572">
        <v>517.93999999999983</v>
      </c>
      <c r="E154" s="573"/>
      <c r="F154" s="575"/>
      <c r="G154" s="575"/>
      <c r="H154" s="575"/>
      <c r="I154" s="571">
        <v>3211.71</v>
      </c>
      <c r="J154" s="571"/>
      <c r="K154" s="572">
        <v>0</v>
      </c>
      <c r="L154" s="572">
        <v>17.97</v>
      </c>
      <c r="M154" s="572">
        <v>0</v>
      </c>
      <c r="N154" s="572"/>
      <c r="O154" s="572">
        <v>12326.02</v>
      </c>
      <c r="P154" s="1390">
        <v>125.53</v>
      </c>
      <c r="Q154" s="1390"/>
      <c r="R154" s="572"/>
      <c r="S154" s="572">
        <v>11219.88</v>
      </c>
      <c r="T154" s="572">
        <v>3186.61</v>
      </c>
      <c r="U154" s="572">
        <v>0</v>
      </c>
      <c r="V154" s="572"/>
      <c r="W154" s="572">
        <v>22675.34</v>
      </c>
      <c r="X154" s="1390">
        <v>4836.5200000000004</v>
      </c>
      <c r="Y154" s="1390"/>
      <c r="Z154" s="572">
        <v>554.78</v>
      </c>
      <c r="AA154" s="572">
        <v>435.92</v>
      </c>
      <c r="AB154" s="572">
        <v>1409.74</v>
      </c>
      <c r="AC154" s="572">
        <v>42.287282999999995</v>
      </c>
      <c r="AD154" s="572">
        <v>590.14999999999986</v>
      </c>
      <c r="AE154" s="572">
        <v>498.38271699999996</v>
      </c>
      <c r="AF154" s="571">
        <v>62852.490000000005</v>
      </c>
      <c r="AG154" s="572">
        <v>3198.28</v>
      </c>
      <c r="AH154" s="549">
        <v>66050.77</v>
      </c>
      <c r="AI154" s="561">
        <f t="shared" si="0"/>
        <v>2014</v>
      </c>
      <c r="AJ154" s="89"/>
    </row>
    <row r="155" spans="1:36" s="96" customFormat="1" ht="11.65" customHeight="1" x14ac:dyDescent="0.4">
      <c r="A155" s="517">
        <v>2015</v>
      </c>
      <c r="B155" s="582"/>
      <c r="C155" s="572">
        <v>1385.78</v>
      </c>
      <c r="D155" s="572">
        <v>501.3900000000001</v>
      </c>
      <c r="E155" s="573"/>
      <c r="F155" s="575"/>
      <c r="G155" s="575"/>
      <c r="H155" s="575"/>
      <c r="I155" s="571">
        <v>3829.8</v>
      </c>
      <c r="J155" s="571"/>
      <c r="K155" s="572">
        <v>0</v>
      </c>
      <c r="L155" s="572">
        <v>11.34</v>
      </c>
      <c r="M155" s="572">
        <v>0</v>
      </c>
      <c r="N155" s="572"/>
      <c r="O155" s="572">
        <v>12082.06</v>
      </c>
      <c r="P155" s="1390">
        <v>160.30000000000001</v>
      </c>
      <c r="Q155" s="1390"/>
      <c r="R155" s="572"/>
      <c r="S155" s="572">
        <v>11331.77</v>
      </c>
      <c r="T155" s="572">
        <v>3191.64</v>
      </c>
      <c r="U155" s="572">
        <v>0</v>
      </c>
      <c r="V155" s="572"/>
      <c r="W155" s="572">
        <v>23655.81</v>
      </c>
      <c r="X155" s="1390">
        <v>5149.18</v>
      </c>
      <c r="Y155" s="1390"/>
      <c r="Z155" s="572">
        <v>561.95000000000005</v>
      </c>
      <c r="AA155" s="572">
        <v>410.61</v>
      </c>
      <c r="AB155" s="572">
        <v>1464.28</v>
      </c>
      <c r="AC155" s="572">
        <v>45.257300000000001</v>
      </c>
      <c r="AD155" s="572">
        <v>444</v>
      </c>
      <c r="AE155" s="572">
        <v>527.92269999999996</v>
      </c>
      <c r="AF155" s="571">
        <v>64753.070000000007</v>
      </c>
      <c r="AG155" s="572">
        <v>3344.06</v>
      </c>
      <c r="AH155" s="549">
        <v>68097.13</v>
      </c>
      <c r="AI155" s="561">
        <v>2015</v>
      </c>
      <c r="AJ155" s="89"/>
    </row>
    <row r="156" spans="1:36" s="96" customFormat="1" ht="11.65" customHeight="1" x14ac:dyDescent="0.4">
      <c r="A156" s="517">
        <v>2016</v>
      </c>
      <c r="B156" s="582"/>
      <c r="C156" s="572">
        <v>1163.7260425242598</v>
      </c>
      <c r="D156" s="572">
        <v>445.80665953693375</v>
      </c>
      <c r="E156" s="573"/>
      <c r="F156" s="575"/>
      <c r="G156" s="575"/>
      <c r="H156" s="575"/>
      <c r="I156" s="571">
        <v>4557.2344297599993</v>
      </c>
      <c r="J156" s="571"/>
      <c r="K156" s="572">
        <v>0</v>
      </c>
      <c r="L156" s="572">
        <v>12.1819945355081</v>
      </c>
      <c r="M156" s="572">
        <v>0</v>
      </c>
      <c r="N156" s="572"/>
      <c r="O156" s="572">
        <v>11951.142893052514</v>
      </c>
      <c r="P156" s="1390">
        <v>109.86746799999997</v>
      </c>
      <c r="Q156" s="1390"/>
      <c r="R156" s="572"/>
      <c r="S156" s="572">
        <v>11339.420565533163</v>
      </c>
      <c r="T156" s="572">
        <v>3286.1407236094942</v>
      </c>
      <c r="U156" s="572">
        <v>0</v>
      </c>
      <c r="V156" s="572"/>
      <c r="W156" s="572">
        <v>24648.489502025845</v>
      </c>
      <c r="X156" s="1390">
        <v>5264.7731999752041</v>
      </c>
      <c r="Y156" s="1390"/>
      <c r="Z156" s="572">
        <v>537.52777956113709</v>
      </c>
      <c r="AA156" s="572">
        <v>407.55936583200003</v>
      </c>
      <c r="AB156" s="572">
        <v>1327.3759068049994</v>
      </c>
      <c r="AC156" s="572">
        <v>39.665012000000004</v>
      </c>
      <c r="AD156" s="572">
        <v>427.2069856666667</v>
      </c>
      <c r="AE156" s="572">
        <v>512.736931013</v>
      </c>
      <c r="AF156" s="571">
        <v>66030.855459430735</v>
      </c>
      <c r="AG156" s="572">
        <v>3377.4583570505056</v>
      </c>
      <c r="AH156" s="549">
        <v>69408.313816481241</v>
      </c>
      <c r="AI156" s="561">
        <f t="shared" si="0"/>
        <v>2016</v>
      </c>
      <c r="AJ156" s="89"/>
    </row>
    <row r="157" spans="1:36" s="96" customFormat="1" ht="11.65" customHeight="1" x14ac:dyDescent="0.4">
      <c r="A157" s="517">
        <v>2017</v>
      </c>
      <c r="B157" s="582"/>
      <c r="C157" s="572">
        <v>1250.4977169367976</v>
      </c>
      <c r="D157" s="572">
        <v>485.09320133639665</v>
      </c>
      <c r="E157" s="573"/>
      <c r="F157" s="575"/>
      <c r="G157" s="575"/>
      <c r="H157" s="575"/>
      <c r="I157" s="571">
        <v>4492.1392395599996</v>
      </c>
      <c r="J157" s="571"/>
      <c r="K157" s="572">
        <v>0</v>
      </c>
      <c r="L157" s="572">
        <v>13.050883991483438</v>
      </c>
      <c r="M157" s="572">
        <v>0</v>
      </c>
      <c r="N157" s="572"/>
      <c r="O157" s="572">
        <v>11793.421499205975</v>
      </c>
      <c r="P157" s="1390">
        <v>167.80160899999998</v>
      </c>
      <c r="Q157" s="1390"/>
      <c r="R157" s="572"/>
      <c r="S157" s="572">
        <v>12182.871576726366</v>
      </c>
      <c r="T157" s="572">
        <v>3294.7969638079062</v>
      </c>
      <c r="U157" s="572">
        <v>0</v>
      </c>
      <c r="V157" s="572"/>
      <c r="W157" s="572">
        <v>24910.912618939143</v>
      </c>
      <c r="X157" s="1390">
        <v>5341.5475040327665</v>
      </c>
      <c r="Y157" s="1390"/>
      <c r="Z157" s="572">
        <v>506.66618513194982</v>
      </c>
      <c r="AA157" s="572">
        <v>413.862776586</v>
      </c>
      <c r="AB157" s="572">
        <v>1631.8179542635264</v>
      </c>
      <c r="AC157" s="572">
        <v>40.465825000000002</v>
      </c>
      <c r="AD157" s="572">
        <v>373.1218346666667</v>
      </c>
      <c r="AE157" s="572">
        <v>416.22815037488948</v>
      </c>
      <c r="AF157" s="571">
        <v>67314.295539559884</v>
      </c>
      <c r="AG157" s="572">
        <v>3389.4800243312839</v>
      </c>
      <c r="AH157" s="549">
        <v>70703.775563891162</v>
      </c>
      <c r="AI157" s="561">
        <f>A157</f>
        <v>2017</v>
      </c>
      <c r="AJ157" s="89"/>
    </row>
    <row r="158" spans="1:36" s="96" customFormat="1" ht="11.65" customHeight="1" thickBot="1" x14ac:dyDescent="0.45">
      <c r="A158" s="518">
        <v>2018</v>
      </c>
      <c r="B158" s="601"/>
      <c r="C158" s="576">
        <v>1150.9937429182032</v>
      </c>
      <c r="D158" s="576">
        <v>373.91180337606096</v>
      </c>
      <c r="E158" s="577"/>
      <c r="F158" s="578"/>
      <c r="G158" s="578"/>
      <c r="H158" s="578"/>
      <c r="I158" s="579">
        <v>4521.2001244700004</v>
      </c>
      <c r="J158" s="579"/>
      <c r="K158" s="576">
        <v>0</v>
      </c>
      <c r="L158" s="576">
        <v>11.926540180927415</v>
      </c>
      <c r="M158" s="576">
        <v>0</v>
      </c>
      <c r="N158" s="576"/>
      <c r="O158" s="576">
        <v>11586.194584893086</v>
      </c>
      <c r="P158" s="1399">
        <v>150.55450100000002</v>
      </c>
      <c r="Q158" s="1399"/>
      <c r="R158" s="576"/>
      <c r="S158" s="576">
        <v>12282.143839341305</v>
      </c>
      <c r="T158" s="576">
        <v>3160.5498470533876</v>
      </c>
      <c r="U158" s="576">
        <v>0</v>
      </c>
      <c r="V158" s="576"/>
      <c r="W158" s="576">
        <v>24630.044426715642</v>
      </c>
      <c r="X158" s="1399">
        <v>5310.5602316611985</v>
      </c>
      <c r="Y158" s="1399"/>
      <c r="Z158" s="576">
        <v>527.16184162914033</v>
      </c>
      <c r="AA158" s="576">
        <v>369.47266412900001</v>
      </c>
      <c r="AB158" s="576">
        <v>1601.461004928</v>
      </c>
      <c r="AC158" s="576">
        <v>37.986640999999999</v>
      </c>
      <c r="AD158" s="576">
        <v>371.00225066666644</v>
      </c>
      <c r="AE158" s="576">
        <v>402.87234215050722</v>
      </c>
      <c r="AF158" s="579">
        <v>66488.036386113134</v>
      </c>
      <c r="AG158" s="576">
        <v>3351.6360386392184</v>
      </c>
      <c r="AH158" s="580">
        <v>69839.672424752353</v>
      </c>
      <c r="AI158" s="581">
        <f>A158</f>
        <v>2018</v>
      </c>
      <c r="AJ158" s="89"/>
    </row>
    <row r="159" spans="1:36" s="103" customFormat="1" ht="12" customHeight="1" thickTop="1" x14ac:dyDescent="0.4">
      <c r="A159" s="102"/>
      <c r="B159" s="582"/>
      <c r="C159" s="583"/>
      <c r="D159" s="583"/>
      <c r="E159" s="583"/>
      <c r="F159" s="583"/>
      <c r="G159" s="583"/>
      <c r="H159" s="583"/>
      <c r="I159" s="583"/>
      <c r="J159" s="583"/>
      <c r="K159" s="583"/>
      <c r="L159" s="583"/>
      <c r="M159" s="584"/>
      <c r="N159" s="584"/>
      <c r="O159" s="583"/>
      <c r="P159" s="583"/>
      <c r="Q159" s="585"/>
      <c r="R159" s="584"/>
      <c r="S159" s="583"/>
      <c r="T159" s="583"/>
      <c r="U159" s="584"/>
      <c r="V159" s="584"/>
      <c r="W159" s="583"/>
      <c r="X159" s="583"/>
      <c r="Y159" s="586"/>
      <c r="Z159" s="583"/>
      <c r="AA159" s="583"/>
      <c r="AB159" s="583"/>
      <c r="AC159" s="583"/>
      <c r="AD159" s="583"/>
      <c r="AE159" s="583"/>
      <c r="AF159" s="586"/>
      <c r="AG159" s="587"/>
      <c r="AH159" s="583"/>
      <c r="AI159" s="583"/>
      <c r="AJ159" s="104"/>
    </row>
    <row r="160" spans="1:36" s="105" customFormat="1" x14ac:dyDescent="0.4">
      <c r="A160" s="519"/>
      <c r="B160" s="588" t="s">
        <v>199</v>
      </c>
      <c r="C160" s="589"/>
      <c r="D160" s="589"/>
      <c r="E160" s="589"/>
      <c r="F160" s="589"/>
      <c r="G160" s="589"/>
      <c r="H160" s="589"/>
      <c r="I160" s="589"/>
      <c r="J160" s="590"/>
      <c r="K160" s="591"/>
      <c r="L160" s="589"/>
      <c r="M160" s="592"/>
      <c r="N160" s="592"/>
      <c r="O160" s="589"/>
      <c r="P160" s="589"/>
      <c r="Q160" s="589"/>
      <c r="R160" s="589"/>
      <c r="S160" s="589"/>
      <c r="T160" s="589"/>
      <c r="U160" s="589"/>
      <c r="V160" s="589"/>
      <c r="W160" s="589"/>
      <c r="X160" s="589"/>
      <c r="Y160" s="589"/>
      <c r="Z160" s="589"/>
      <c r="AA160" s="589"/>
      <c r="AB160" s="589"/>
      <c r="AC160" s="589"/>
      <c r="AD160" s="589"/>
      <c r="AE160" s="589"/>
      <c r="AF160" s="589"/>
      <c r="AG160" s="589"/>
      <c r="AH160" s="589"/>
      <c r="AI160" s="589"/>
    </row>
    <row r="161" spans="1:36" s="105" customFormat="1" x14ac:dyDescent="0.4">
      <c r="A161" s="519"/>
      <c r="B161" s="588" t="s">
        <v>200</v>
      </c>
      <c r="C161" s="589"/>
      <c r="D161" s="589"/>
      <c r="E161" s="589"/>
      <c r="F161" s="589"/>
      <c r="G161" s="589"/>
      <c r="H161" s="589"/>
      <c r="I161" s="589"/>
      <c r="J161" s="590"/>
      <c r="K161" s="589"/>
      <c r="L161" s="589"/>
      <c r="M161" s="589"/>
      <c r="N161" s="589"/>
      <c r="O161" s="589"/>
      <c r="P161" s="589"/>
      <c r="Q161" s="589"/>
      <c r="R161" s="589"/>
      <c r="S161" s="589"/>
      <c r="T161" s="589"/>
      <c r="U161" s="589"/>
      <c r="V161" s="589"/>
      <c r="W161" s="589"/>
      <c r="X161" s="589"/>
      <c r="Y161" s="589"/>
      <c r="Z161" s="589"/>
      <c r="AA161" s="589"/>
      <c r="AB161" s="589"/>
      <c r="AC161" s="589"/>
      <c r="AD161" s="589"/>
      <c r="AE161" s="589"/>
      <c r="AF161" s="593"/>
      <c r="AG161" s="589"/>
      <c r="AH161" s="589"/>
      <c r="AI161" s="589"/>
    </row>
    <row r="162" spans="1:36" s="105" customFormat="1" x14ac:dyDescent="0.4">
      <c r="A162" s="519"/>
      <c r="B162" s="588" t="s">
        <v>201</v>
      </c>
      <c r="C162" s="594"/>
      <c r="D162" s="594"/>
      <c r="E162" s="594"/>
      <c r="F162" s="594"/>
      <c r="G162" s="594"/>
      <c r="H162" s="594"/>
      <c r="I162" s="594"/>
      <c r="J162" s="595"/>
      <c r="K162" s="594"/>
      <c r="L162" s="589"/>
      <c r="M162" s="589"/>
      <c r="N162" s="589"/>
      <c r="O162" s="589"/>
      <c r="P162" s="589"/>
      <c r="Q162" s="589"/>
      <c r="R162" s="589"/>
      <c r="S162" s="589"/>
      <c r="T162" s="589"/>
      <c r="U162" s="589"/>
      <c r="V162" s="589"/>
      <c r="W162" s="589"/>
      <c r="X162" s="589"/>
      <c r="Y162" s="589"/>
      <c r="Z162" s="589"/>
      <c r="AA162" s="589"/>
      <c r="AB162" s="589"/>
      <c r="AC162" s="589"/>
      <c r="AD162" s="589"/>
      <c r="AE162" s="589"/>
      <c r="AF162" s="589"/>
      <c r="AG162" s="589"/>
      <c r="AH162" s="589"/>
      <c r="AI162" s="589"/>
    </row>
    <row r="163" spans="1:36" x14ac:dyDescent="0.4">
      <c r="A163" s="520"/>
      <c r="B163" s="574"/>
      <c r="C163" s="583"/>
      <c r="D163" s="583"/>
      <c r="E163" s="583"/>
      <c r="F163" s="583"/>
      <c r="G163" s="583"/>
      <c r="H163" s="583"/>
      <c r="I163" s="583"/>
      <c r="J163" s="596"/>
      <c r="K163" s="583"/>
      <c r="L163" s="562"/>
      <c r="M163" s="562"/>
      <c r="N163" s="562"/>
      <c r="O163" s="562"/>
      <c r="P163" s="562"/>
      <c r="Q163" s="562"/>
      <c r="R163" s="562"/>
      <c r="S163" s="562"/>
      <c r="T163" s="562"/>
      <c r="U163" s="562"/>
      <c r="V163" s="562"/>
      <c r="W163" s="562"/>
      <c r="X163" s="562"/>
      <c r="Y163" s="562"/>
      <c r="Z163" s="562"/>
      <c r="AA163" s="562"/>
      <c r="AB163" s="562"/>
      <c r="AC163" s="562"/>
      <c r="AD163" s="562"/>
      <c r="AE163" s="562"/>
      <c r="AF163" s="562"/>
      <c r="AG163" s="562"/>
      <c r="AH163" s="562"/>
      <c r="AI163" s="562"/>
      <c r="AJ163" s="89"/>
    </row>
    <row r="164" spans="1:36" x14ac:dyDescent="0.4">
      <c r="A164" s="520"/>
      <c r="B164" s="574"/>
      <c r="C164" s="583"/>
      <c r="D164" s="583"/>
      <c r="E164" s="583"/>
      <c r="F164" s="583"/>
      <c r="G164" s="583"/>
      <c r="H164" s="583"/>
      <c r="I164" s="583"/>
      <c r="J164" s="596"/>
      <c r="K164" s="583"/>
      <c r="L164" s="562"/>
      <c r="M164" s="562"/>
      <c r="N164" s="562"/>
      <c r="O164" s="562"/>
      <c r="P164" s="562"/>
      <c r="Q164" s="562"/>
      <c r="R164" s="562"/>
      <c r="S164" s="562"/>
      <c r="T164" s="562"/>
      <c r="U164" s="562"/>
      <c r="V164" s="562"/>
      <c r="W164" s="562"/>
      <c r="X164" s="562"/>
      <c r="Y164" s="562"/>
      <c r="Z164" s="562"/>
      <c r="AA164" s="562"/>
      <c r="AB164" s="562"/>
      <c r="AC164" s="562"/>
      <c r="AD164" s="562"/>
      <c r="AE164" s="562"/>
      <c r="AF164" s="562"/>
      <c r="AG164" s="562"/>
      <c r="AH164" s="562"/>
      <c r="AI164" s="562"/>
      <c r="AJ164" s="89"/>
    </row>
    <row r="165" spans="1:36" x14ac:dyDescent="0.4">
      <c r="A165" s="520"/>
      <c r="B165" s="574"/>
      <c r="C165" s="583"/>
      <c r="D165" s="583"/>
      <c r="E165" s="583"/>
      <c r="F165" s="583"/>
      <c r="G165" s="583"/>
      <c r="H165" s="583"/>
      <c r="I165" s="583"/>
      <c r="J165" s="596"/>
      <c r="K165" s="583"/>
      <c r="L165" s="562"/>
      <c r="M165" s="562"/>
      <c r="N165" s="562"/>
      <c r="O165" s="562"/>
      <c r="P165" s="562"/>
      <c r="Q165" s="562"/>
      <c r="R165" s="562"/>
      <c r="S165" s="562"/>
      <c r="T165" s="562"/>
      <c r="U165" s="562"/>
      <c r="V165" s="562"/>
      <c r="W165" s="562"/>
      <c r="X165" s="562"/>
      <c r="Y165" s="562"/>
      <c r="Z165" s="562"/>
      <c r="AA165" s="562"/>
      <c r="AB165" s="562"/>
      <c r="AC165" s="562"/>
      <c r="AD165" s="562"/>
      <c r="AE165" s="562"/>
      <c r="AF165" s="562"/>
      <c r="AG165" s="562"/>
      <c r="AH165" s="562"/>
      <c r="AI165" s="562"/>
      <c r="AJ165" s="89"/>
    </row>
    <row r="166" spans="1:36" x14ac:dyDescent="0.4">
      <c r="A166" s="520"/>
      <c r="B166" s="574"/>
      <c r="C166" s="583"/>
      <c r="D166" s="583"/>
      <c r="E166" s="583"/>
      <c r="F166" s="583"/>
      <c r="G166" s="583"/>
      <c r="H166" s="583"/>
      <c r="I166" s="583"/>
      <c r="J166" s="596"/>
      <c r="K166" s="583"/>
      <c r="L166" s="562"/>
      <c r="M166" s="562"/>
      <c r="N166" s="562"/>
      <c r="O166" s="562"/>
      <c r="P166" s="562"/>
      <c r="Q166" s="562"/>
      <c r="R166" s="562"/>
      <c r="S166" s="562"/>
      <c r="T166" s="562"/>
      <c r="U166" s="562"/>
      <c r="V166" s="562"/>
      <c r="W166" s="562"/>
      <c r="X166" s="562"/>
      <c r="Y166" s="562"/>
      <c r="Z166" s="562"/>
      <c r="AA166" s="562"/>
      <c r="AB166" s="562"/>
      <c r="AC166" s="562"/>
      <c r="AD166" s="562"/>
      <c r="AE166" s="562"/>
      <c r="AF166" s="562"/>
      <c r="AG166" s="562"/>
      <c r="AH166" s="562"/>
      <c r="AI166" s="562"/>
      <c r="AJ166" s="89"/>
    </row>
    <row r="167" spans="1:36" x14ac:dyDescent="0.4">
      <c r="A167" s="520"/>
      <c r="B167" s="574"/>
      <c r="C167" s="583"/>
      <c r="D167" s="583"/>
      <c r="E167" s="583"/>
      <c r="F167" s="583"/>
      <c r="G167" s="583"/>
      <c r="H167" s="583"/>
      <c r="I167" s="583"/>
      <c r="J167" s="596"/>
      <c r="K167" s="583"/>
      <c r="L167" s="562"/>
      <c r="M167" s="562"/>
      <c r="N167" s="562"/>
      <c r="O167" s="562"/>
      <c r="P167" s="562"/>
      <c r="Q167" s="562"/>
      <c r="R167" s="562"/>
      <c r="S167" s="562"/>
      <c r="T167" s="562"/>
      <c r="U167" s="562"/>
      <c r="V167" s="562"/>
      <c r="W167" s="562"/>
      <c r="X167" s="562"/>
      <c r="Y167" s="562"/>
      <c r="Z167" s="562"/>
      <c r="AA167" s="562"/>
      <c r="AB167" s="562"/>
      <c r="AC167" s="562"/>
      <c r="AD167" s="562"/>
      <c r="AE167" s="562"/>
      <c r="AF167" s="562"/>
      <c r="AG167" s="562"/>
      <c r="AH167" s="562"/>
      <c r="AI167" s="562"/>
      <c r="AJ167" s="89"/>
    </row>
    <row r="168" spans="1:36" x14ac:dyDescent="0.4">
      <c r="A168" s="520"/>
      <c r="B168" s="574"/>
      <c r="C168" s="583"/>
      <c r="D168" s="583"/>
      <c r="E168" s="583"/>
      <c r="F168" s="583"/>
      <c r="G168" s="583"/>
      <c r="H168" s="583"/>
      <c r="I168" s="583"/>
      <c r="J168" s="596"/>
      <c r="K168" s="583"/>
      <c r="L168" s="562"/>
      <c r="M168" s="562"/>
      <c r="N168" s="562"/>
      <c r="O168" s="562"/>
      <c r="P168" s="562"/>
      <c r="Q168" s="562"/>
      <c r="R168" s="562"/>
      <c r="S168" s="562"/>
      <c r="T168" s="562"/>
      <c r="U168" s="562"/>
      <c r="V168" s="562"/>
      <c r="W168" s="562"/>
      <c r="X168" s="562"/>
      <c r="Y168" s="562"/>
      <c r="Z168" s="562"/>
      <c r="AA168" s="562"/>
      <c r="AB168" s="562"/>
      <c r="AC168" s="562"/>
      <c r="AD168" s="562"/>
      <c r="AE168" s="562"/>
      <c r="AF168" s="562"/>
      <c r="AG168" s="562"/>
      <c r="AH168" s="562"/>
      <c r="AI168" s="562"/>
      <c r="AJ168" s="89"/>
    </row>
    <row r="169" spans="1:36" x14ac:dyDescent="0.4">
      <c r="B169" s="574"/>
      <c r="C169" s="583"/>
      <c r="D169" s="583"/>
      <c r="E169" s="583"/>
      <c r="F169" s="583"/>
      <c r="G169" s="583"/>
      <c r="H169" s="583"/>
      <c r="I169" s="583"/>
      <c r="J169" s="596"/>
      <c r="K169" s="583"/>
      <c r="L169" s="562"/>
      <c r="M169" s="562"/>
      <c r="N169" s="562"/>
      <c r="O169" s="562"/>
      <c r="P169" s="562"/>
      <c r="Q169" s="562"/>
      <c r="R169" s="562"/>
      <c r="S169" s="562"/>
      <c r="T169" s="562"/>
      <c r="U169" s="562"/>
      <c r="V169" s="562"/>
      <c r="W169" s="562"/>
      <c r="X169" s="562"/>
      <c r="Y169" s="562"/>
      <c r="Z169" s="562"/>
      <c r="AA169" s="562"/>
      <c r="AB169" s="562"/>
      <c r="AC169" s="562"/>
      <c r="AD169" s="562"/>
      <c r="AE169" s="562"/>
      <c r="AF169" s="562"/>
      <c r="AG169" s="562"/>
      <c r="AH169" s="562"/>
      <c r="AI169" s="562"/>
      <c r="AJ169" s="89"/>
    </row>
    <row r="170" spans="1:36" x14ac:dyDescent="0.4">
      <c r="B170" s="574"/>
      <c r="C170" s="583"/>
      <c r="D170" s="583"/>
      <c r="E170" s="583"/>
      <c r="F170" s="583"/>
      <c r="G170" s="583"/>
      <c r="H170" s="583"/>
      <c r="I170" s="583"/>
      <c r="J170" s="596"/>
      <c r="K170" s="583"/>
      <c r="L170" s="562"/>
      <c r="M170" s="562"/>
      <c r="N170" s="562"/>
      <c r="O170" s="562"/>
      <c r="P170" s="562"/>
      <c r="Q170" s="562"/>
      <c r="R170" s="562"/>
      <c r="S170" s="562"/>
      <c r="T170" s="562"/>
      <c r="U170" s="562"/>
      <c r="V170" s="562"/>
      <c r="W170" s="562"/>
      <c r="X170" s="562"/>
      <c r="Y170" s="562"/>
      <c r="Z170" s="562"/>
      <c r="AA170" s="562"/>
      <c r="AB170" s="562"/>
      <c r="AC170" s="562"/>
      <c r="AD170" s="562"/>
      <c r="AE170" s="562"/>
      <c r="AF170" s="562"/>
      <c r="AG170" s="562"/>
      <c r="AH170" s="562"/>
      <c r="AI170" s="562"/>
      <c r="AJ170" s="89"/>
    </row>
    <row r="171" spans="1:36" x14ac:dyDescent="0.4">
      <c r="B171" s="574"/>
      <c r="C171" s="583"/>
      <c r="D171" s="583"/>
      <c r="E171" s="583"/>
      <c r="F171" s="583"/>
      <c r="G171" s="583"/>
      <c r="H171" s="583"/>
      <c r="I171" s="583"/>
      <c r="J171" s="596"/>
      <c r="K171" s="583"/>
      <c r="L171" s="562"/>
      <c r="M171" s="562"/>
      <c r="N171" s="562"/>
      <c r="O171" s="562"/>
      <c r="P171" s="562"/>
      <c r="Q171" s="562"/>
      <c r="R171" s="562"/>
      <c r="S171" s="562"/>
      <c r="T171" s="562"/>
      <c r="U171" s="562"/>
      <c r="V171" s="562"/>
      <c r="W171" s="562"/>
      <c r="X171" s="562"/>
      <c r="Y171" s="562"/>
      <c r="Z171" s="562"/>
      <c r="AA171" s="562"/>
      <c r="AB171" s="562"/>
      <c r="AC171" s="562"/>
      <c r="AD171" s="562"/>
      <c r="AE171" s="562"/>
      <c r="AF171" s="562"/>
      <c r="AG171" s="562"/>
      <c r="AH171" s="562"/>
      <c r="AI171" s="562"/>
      <c r="AJ171" s="89"/>
    </row>
    <row r="172" spans="1:36" x14ac:dyDescent="0.4">
      <c r="B172" s="574"/>
      <c r="C172" s="583"/>
      <c r="D172" s="583"/>
      <c r="E172" s="583"/>
      <c r="F172" s="583"/>
      <c r="G172" s="583"/>
      <c r="H172" s="583"/>
      <c r="I172" s="583"/>
      <c r="J172" s="596"/>
      <c r="K172" s="583"/>
      <c r="L172" s="562"/>
      <c r="M172" s="562"/>
      <c r="N172" s="562"/>
      <c r="O172" s="562"/>
      <c r="P172" s="562"/>
      <c r="Q172" s="562"/>
      <c r="R172" s="562"/>
      <c r="S172" s="562"/>
      <c r="T172" s="562"/>
      <c r="U172" s="562"/>
      <c r="V172" s="562"/>
      <c r="W172" s="562"/>
      <c r="X172" s="562"/>
      <c r="Y172" s="562"/>
      <c r="Z172" s="562"/>
      <c r="AA172" s="562"/>
      <c r="AB172" s="562"/>
      <c r="AC172" s="562"/>
      <c r="AD172" s="562"/>
      <c r="AE172" s="562"/>
      <c r="AF172" s="562"/>
      <c r="AG172" s="562"/>
      <c r="AH172" s="562"/>
      <c r="AI172" s="562"/>
      <c r="AJ172" s="89"/>
    </row>
    <row r="173" spans="1:36" x14ac:dyDescent="0.4">
      <c r="B173" s="574"/>
      <c r="C173" s="583"/>
      <c r="D173" s="583"/>
      <c r="E173" s="583"/>
      <c r="F173" s="583"/>
      <c r="G173" s="583"/>
      <c r="H173" s="583"/>
      <c r="I173" s="583"/>
      <c r="J173" s="596"/>
      <c r="K173" s="583"/>
      <c r="L173" s="562"/>
      <c r="M173" s="562"/>
      <c r="N173" s="562"/>
      <c r="O173" s="562"/>
      <c r="P173" s="562"/>
      <c r="Q173" s="562"/>
      <c r="R173" s="562"/>
      <c r="S173" s="562"/>
      <c r="T173" s="562"/>
      <c r="U173" s="562"/>
      <c r="V173" s="562"/>
      <c r="W173" s="562"/>
      <c r="X173" s="562"/>
      <c r="Y173" s="562"/>
      <c r="Z173" s="562"/>
      <c r="AA173" s="562"/>
      <c r="AB173" s="562"/>
      <c r="AC173" s="562"/>
      <c r="AD173" s="562"/>
      <c r="AE173" s="562"/>
      <c r="AF173" s="562"/>
      <c r="AG173" s="562"/>
      <c r="AH173" s="562"/>
      <c r="AI173" s="562"/>
      <c r="AJ173" s="89"/>
    </row>
    <row r="174" spans="1:36" x14ac:dyDescent="0.4">
      <c r="B174" s="574"/>
      <c r="C174" s="583"/>
      <c r="D174" s="583"/>
      <c r="E174" s="583"/>
      <c r="F174" s="583"/>
      <c r="G174" s="583"/>
      <c r="H174" s="583"/>
      <c r="I174" s="583"/>
      <c r="J174" s="596"/>
      <c r="K174" s="583"/>
      <c r="L174" s="562"/>
      <c r="M174" s="562"/>
      <c r="N174" s="562"/>
      <c r="O174" s="562"/>
      <c r="P174" s="562"/>
      <c r="Q174" s="562"/>
      <c r="R174" s="562"/>
      <c r="S174" s="562"/>
      <c r="T174" s="562"/>
      <c r="U174" s="562"/>
      <c r="V174" s="562"/>
      <c r="W174" s="562"/>
      <c r="X174" s="562"/>
      <c r="Y174" s="562"/>
      <c r="Z174" s="562"/>
      <c r="AA174" s="562"/>
      <c r="AB174" s="562"/>
      <c r="AC174" s="562"/>
      <c r="AD174" s="562"/>
      <c r="AE174" s="562"/>
      <c r="AF174" s="562"/>
      <c r="AG174" s="562"/>
      <c r="AH174" s="562"/>
      <c r="AI174" s="562"/>
      <c r="AJ174" s="89"/>
    </row>
    <row r="175" spans="1:36" x14ac:dyDescent="0.4">
      <c r="B175" s="574"/>
      <c r="C175" s="583"/>
      <c r="D175" s="583"/>
      <c r="E175" s="583"/>
      <c r="F175" s="583"/>
      <c r="G175" s="583"/>
      <c r="H175" s="583"/>
      <c r="I175" s="583"/>
      <c r="J175" s="596"/>
      <c r="K175" s="583"/>
      <c r="L175" s="562"/>
      <c r="M175" s="562"/>
      <c r="N175" s="562"/>
      <c r="O175" s="562"/>
      <c r="P175" s="562"/>
      <c r="Q175" s="562"/>
      <c r="R175" s="562"/>
      <c r="S175" s="562"/>
      <c r="T175" s="562"/>
      <c r="U175" s="562"/>
      <c r="V175" s="562"/>
      <c r="W175" s="562"/>
      <c r="X175" s="562"/>
      <c r="Y175" s="562"/>
      <c r="Z175" s="562"/>
      <c r="AA175" s="562"/>
      <c r="AB175" s="562"/>
      <c r="AC175" s="562"/>
      <c r="AD175" s="562"/>
      <c r="AE175" s="562"/>
      <c r="AF175" s="562"/>
      <c r="AG175" s="562"/>
      <c r="AH175" s="562"/>
      <c r="AI175" s="562"/>
      <c r="AJ175" s="89"/>
    </row>
    <row r="176" spans="1:36" x14ac:dyDescent="0.4">
      <c r="B176" s="574"/>
      <c r="C176" s="562"/>
      <c r="D176" s="562"/>
      <c r="E176" s="562"/>
      <c r="F176" s="562"/>
      <c r="G176" s="562"/>
      <c r="H176" s="562"/>
      <c r="I176" s="562"/>
      <c r="J176" s="597"/>
      <c r="K176" s="562"/>
      <c r="L176" s="562"/>
      <c r="M176" s="562"/>
      <c r="N176" s="562"/>
      <c r="O176" s="562"/>
      <c r="P176" s="562"/>
      <c r="Q176" s="562"/>
      <c r="R176" s="562"/>
      <c r="S176" s="562"/>
      <c r="T176" s="562"/>
      <c r="U176" s="562"/>
      <c r="V176" s="562"/>
      <c r="W176" s="562"/>
      <c r="X176" s="562"/>
      <c r="Y176" s="562"/>
      <c r="Z176" s="562"/>
      <c r="AA176" s="562"/>
      <c r="AB176" s="562"/>
      <c r="AC176" s="562"/>
      <c r="AD176" s="562"/>
      <c r="AE176" s="562"/>
      <c r="AF176" s="562"/>
      <c r="AG176" s="562"/>
      <c r="AH176" s="562"/>
      <c r="AI176" s="562"/>
      <c r="AJ176" s="89"/>
    </row>
    <row r="177" spans="2:36" s="88" customFormat="1" x14ac:dyDescent="0.4">
      <c r="B177" s="574"/>
      <c r="C177" s="562"/>
      <c r="D177" s="562"/>
      <c r="E177" s="562"/>
      <c r="F177" s="562"/>
      <c r="G177" s="562"/>
      <c r="H177" s="562"/>
      <c r="I177" s="562"/>
      <c r="J177" s="597"/>
      <c r="K177" s="562"/>
      <c r="L177" s="562"/>
      <c r="M177" s="562"/>
      <c r="N177" s="562"/>
      <c r="O177" s="562"/>
      <c r="P177" s="562"/>
      <c r="Q177" s="562"/>
      <c r="R177" s="562"/>
      <c r="S177" s="562"/>
      <c r="T177" s="562"/>
      <c r="U177" s="562"/>
      <c r="V177" s="562"/>
      <c r="W177" s="562"/>
      <c r="X177" s="562"/>
      <c r="Y177" s="562"/>
      <c r="Z177" s="562"/>
      <c r="AA177" s="562"/>
      <c r="AB177" s="562"/>
      <c r="AC177" s="562"/>
      <c r="AD177" s="562"/>
      <c r="AE177" s="562"/>
      <c r="AF177" s="562"/>
      <c r="AG177" s="562"/>
      <c r="AH177" s="562"/>
      <c r="AI177" s="562"/>
      <c r="AJ177" s="89"/>
    </row>
    <row r="178" spans="2:36" s="88" customFormat="1" x14ac:dyDescent="0.4">
      <c r="B178" s="574"/>
      <c r="C178" s="562"/>
      <c r="D178" s="562"/>
      <c r="E178" s="562"/>
      <c r="F178" s="562"/>
      <c r="G178" s="562"/>
      <c r="H178" s="562"/>
      <c r="I178" s="562"/>
      <c r="J178" s="597"/>
      <c r="K178" s="562"/>
      <c r="L178" s="562"/>
      <c r="M178" s="562"/>
      <c r="N178" s="562"/>
      <c r="O178" s="562"/>
      <c r="P178" s="562"/>
      <c r="Q178" s="562"/>
      <c r="R178" s="562"/>
      <c r="S178" s="562"/>
      <c r="T178" s="562"/>
      <c r="U178" s="562"/>
      <c r="V178" s="562"/>
      <c r="W178" s="562"/>
      <c r="X178" s="562"/>
      <c r="Y178" s="562"/>
      <c r="Z178" s="562"/>
      <c r="AA178" s="562"/>
      <c r="AB178" s="562"/>
      <c r="AC178" s="562"/>
      <c r="AD178" s="562"/>
      <c r="AE178" s="562"/>
      <c r="AF178" s="562"/>
      <c r="AG178" s="562"/>
      <c r="AH178" s="562"/>
      <c r="AI178" s="562"/>
      <c r="AJ178" s="89"/>
    </row>
    <row r="179" spans="2:36" s="88" customFormat="1" x14ac:dyDescent="0.4">
      <c r="B179" s="574"/>
      <c r="C179" s="562"/>
      <c r="D179" s="562"/>
      <c r="E179" s="562"/>
      <c r="F179" s="562"/>
      <c r="G179" s="562"/>
      <c r="H179" s="562"/>
      <c r="I179" s="562"/>
      <c r="J179" s="597"/>
      <c r="K179" s="562"/>
      <c r="L179" s="562"/>
      <c r="M179" s="562"/>
      <c r="N179" s="562"/>
      <c r="O179" s="562"/>
      <c r="P179" s="562"/>
      <c r="Q179" s="562"/>
      <c r="R179" s="562"/>
      <c r="S179" s="562"/>
      <c r="T179" s="562"/>
      <c r="U179" s="562"/>
      <c r="V179" s="562"/>
      <c r="W179" s="562"/>
      <c r="X179" s="562"/>
      <c r="Y179" s="562"/>
      <c r="Z179" s="562"/>
      <c r="AA179" s="562"/>
      <c r="AB179" s="562"/>
      <c r="AC179" s="562"/>
      <c r="AD179" s="562"/>
      <c r="AE179" s="562"/>
      <c r="AF179" s="562"/>
      <c r="AG179" s="562"/>
      <c r="AH179" s="562"/>
      <c r="AI179" s="562"/>
      <c r="AJ179" s="89"/>
    </row>
    <row r="180" spans="2:36" s="88" customFormat="1" x14ac:dyDescent="0.4">
      <c r="B180" s="574"/>
      <c r="C180" s="562"/>
      <c r="D180" s="562"/>
      <c r="E180" s="562"/>
      <c r="F180" s="562"/>
      <c r="G180" s="562"/>
      <c r="H180" s="562"/>
      <c r="I180" s="562"/>
      <c r="J180" s="597"/>
      <c r="K180" s="562"/>
      <c r="L180" s="562"/>
      <c r="M180" s="562"/>
      <c r="N180" s="562"/>
      <c r="O180" s="562"/>
      <c r="P180" s="562"/>
      <c r="Q180" s="562"/>
      <c r="R180" s="562"/>
      <c r="S180" s="562"/>
      <c r="T180" s="562"/>
      <c r="U180" s="562"/>
      <c r="V180" s="562"/>
      <c r="W180" s="562"/>
      <c r="X180" s="562"/>
      <c r="Y180" s="562"/>
      <c r="Z180" s="562"/>
      <c r="AA180" s="562"/>
      <c r="AB180" s="562"/>
      <c r="AC180" s="562"/>
      <c r="AD180" s="562"/>
      <c r="AE180" s="562"/>
      <c r="AF180" s="562"/>
      <c r="AG180" s="562"/>
      <c r="AH180" s="562"/>
      <c r="AI180" s="562"/>
      <c r="AJ180" s="89"/>
    </row>
    <row r="181" spans="2:36" s="88" customFormat="1" x14ac:dyDescent="0.4">
      <c r="B181" s="574"/>
      <c r="C181" s="562"/>
      <c r="D181" s="562"/>
      <c r="E181" s="562"/>
      <c r="F181" s="562"/>
      <c r="G181" s="562"/>
      <c r="H181" s="562"/>
      <c r="I181" s="562"/>
      <c r="J181" s="597"/>
      <c r="K181" s="562"/>
      <c r="L181" s="562"/>
      <c r="M181" s="562"/>
      <c r="N181" s="562"/>
      <c r="O181" s="562"/>
      <c r="P181" s="562"/>
      <c r="Q181" s="562"/>
      <c r="R181" s="562"/>
      <c r="S181" s="562"/>
      <c r="T181" s="562"/>
      <c r="U181" s="562"/>
      <c r="V181" s="562"/>
      <c r="W181" s="562"/>
      <c r="X181" s="562"/>
      <c r="Y181" s="562"/>
      <c r="Z181" s="562"/>
      <c r="AA181" s="562"/>
      <c r="AB181" s="562"/>
      <c r="AC181" s="562"/>
      <c r="AD181" s="562"/>
      <c r="AE181" s="562"/>
      <c r="AF181" s="562"/>
      <c r="AG181" s="562"/>
      <c r="AH181" s="562"/>
      <c r="AI181" s="562"/>
      <c r="AJ181" s="89"/>
    </row>
    <row r="182" spans="2:36" s="88" customFormat="1" x14ac:dyDescent="0.4">
      <c r="B182" s="574"/>
      <c r="C182" s="562"/>
      <c r="D182" s="562"/>
      <c r="E182" s="562"/>
      <c r="F182" s="562"/>
      <c r="G182" s="562"/>
      <c r="H182" s="562"/>
      <c r="I182" s="562"/>
      <c r="J182" s="597"/>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2"/>
      <c r="AJ182" s="89"/>
    </row>
    <row r="183" spans="2:36" s="88" customFormat="1" x14ac:dyDescent="0.4">
      <c r="B183" s="574"/>
      <c r="C183" s="562"/>
      <c r="D183" s="562"/>
      <c r="E183" s="562"/>
      <c r="F183" s="562"/>
      <c r="G183" s="562"/>
      <c r="H183" s="562"/>
      <c r="I183" s="562"/>
      <c r="J183" s="597"/>
      <c r="K183" s="562"/>
      <c r="L183" s="562"/>
      <c r="M183" s="562"/>
      <c r="N183" s="562"/>
      <c r="O183" s="562"/>
      <c r="P183" s="562"/>
      <c r="Q183" s="562"/>
      <c r="R183" s="562"/>
      <c r="S183" s="562"/>
      <c r="T183" s="562"/>
      <c r="U183" s="562"/>
      <c r="V183" s="562"/>
      <c r="W183" s="562"/>
      <c r="X183" s="562"/>
      <c r="Y183" s="562"/>
      <c r="Z183" s="562"/>
      <c r="AA183" s="562"/>
      <c r="AB183" s="562"/>
      <c r="AC183" s="562"/>
      <c r="AD183" s="562"/>
      <c r="AE183" s="562"/>
      <c r="AF183" s="562"/>
      <c r="AG183" s="562"/>
      <c r="AH183" s="562"/>
      <c r="AI183" s="562"/>
      <c r="AJ183" s="89"/>
    </row>
    <row r="184" spans="2:36" s="88" customFormat="1" x14ac:dyDescent="0.4">
      <c r="B184" s="574"/>
      <c r="C184" s="562"/>
      <c r="D184" s="562"/>
      <c r="E184" s="562"/>
      <c r="F184" s="562"/>
      <c r="G184" s="562"/>
      <c r="H184" s="562"/>
      <c r="I184" s="562"/>
      <c r="J184" s="597"/>
      <c r="K184" s="562"/>
      <c r="L184" s="562"/>
      <c r="M184" s="562"/>
      <c r="N184" s="562"/>
      <c r="O184" s="562"/>
      <c r="P184" s="562"/>
      <c r="Q184" s="562"/>
      <c r="R184" s="562"/>
      <c r="S184" s="562"/>
      <c r="T184" s="562"/>
      <c r="U184" s="562"/>
      <c r="V184" s="562"/>
      <c r="W184" s="562"/>
      <c r="X184" s="562"/>
      <c r="Y184" s="562"/>
      <c r="Z184" s="562"/>
      <c r="AA184" s="562"/>
      <c r="AB184" s="562"/>
      <c r="AC184" s="562"/>
      <c r="AD184" s="562"/>
      <c r="AE184" s="562"/>
      <c r="AF184" s="562"/>
      <c r="AG184" s="562"/>
      <c r="AH184" s="562"/>
      <c r="AI184" s="562"/>
      <c r="AJ184" s="89"/>
    </row>
    <row r="185" spans="2:36" s="88" customFormat="1" x14ac:dyDescent="0.4">
      <c r="B185" s="574"/>
      <c r="C185" s="562"/>
      <c r="D185" s="562"/>
      <c r="E185" s="562"/>
      <c r="F185" s="562"/>
      <c r="G185" s="562"/>
      <c r="H185" s="562"/>
      <c r="I185" s="562"/>
      <c r="J185" s="597"/>
      <c r="K185" s="562"/>
      <c r="L185" s="562"/>
      <c r="M185" s="562"/>
      <c r="N185" s="562"/>
      <c r="O185" s="562"/>
      <c r="P185" s="562"/>
      <c r="Q185" s="562"/>
      <c r="R185" s="562"/>
      <c r="S185" s="562"/>
      <c r="T185" s="562"/>
      <c r="U185" s="562"/>
      <c r="V185" s="562"/>
      <c r="W185" s="562"/>
      <c r="X185" s="562"/>
      <c r="Y185" s="562"/>
      <c r="Z185" s="562"/>
      <c r="AA185" s="562"/>
      <c r="AB185" s="562"/>
      <c r="AC185" s="562"/>
      <c r="AD185" s="562"/>
      <c r="AE185" s="562"/>
      <c r="AF185" s="562"/>
      <c r="AG185" s="562"/>
      <c r="AH185" s="562"/>
      <c r="AI185" s="562"/>
      <c r="AJ185" s="89"/>
    </row>
    <row r="186" spans="2:36" s="88" customFormat="1" x14ac:dyDescent="0.4">
      <c r="B186" s="574"/>
      <c r="C186" s="562"/>
      <c r="D186" s="562"/>
      <c r="E186" s="562"/>
      <c r="F186" s="562"/>
      <c r="G186" s="562"/>
      <c r="H186" s="562"/>
      <c r="I186" s="562"/>
      <c r="J186" s="597"/>
      <c r="K186" s="562"/>
      <c r="L186" s="562"/>
      <c r="M186" s="562"/>
      <c r="N186" s="562"/>
      <c r="O186" s="562"/>
      <c r="P186" s="562"/>
      <c r="Q186" s="562"/>
      <c r="R186" s="562"/>
      <c r="S186" s="562"/>
      <c r="T186" s="562"/>
      <c r="U186" s="562"/>
      <c r="V186" s="562"/>
      <c r="W186" s="562"/>
      <c r="X186" s="562"/>
      <c r="Y186" s="562"/>
      <c r="Z186" s="562"/>
      <c r="AA186" s="562"/>
      <c r="AB186" s="562"/>
      <c r="AC186" s="562"/>
      <c r="AD186" s="562"/>
      <c r="AE186" s="562"/>
      <c r="AF186" s="562"/>
      <c r="AG186" s="562"/>
      <c r="AH186" s="562"/>
      <c r="AI186" s="562"/>
      <c r="AJ186" s="89"/>
    </row>
    <row r="187" spans="2:36" s="88" customFormat="1" x14ac:dyDescent="0.4">
      <c r="B187" s="574"/>
      <c r="C187" s="562"/>
      <c r="D187" s="562"/>
      <c r="E187" s="562"/>
      <c r="F187" s="562"/>
      <c r="G187" s="562"/>
      <c r="H187" s="562"/>
      <c r="I187" s="562"/>
      <c r="J187" s="597"/>
      <c r="K187" s="562"/>
      <c r="L187" s="562"/>
      <c r="M187" s="562"/>
      <c r="N187" s="562"/>
      <c r="O187" s="562"/>
      <c r="P187" s="562"/>
      <c r="Q187" s="562"/>
      <c r="R187" s="562"/>
      <c r="S187" s="562"/>
      <c r="T187" s="562"/>
      <c r="U187" s="562"/>
      <c r="V187" s="562"/>
      <c r="W187" s="562"/>
      <c r="X187" s="562"/>
      <c r="Y187" s="562"/>
      <c r="Z187" s="562"/>
      <c r="AA187" s="562"/>
      <c r="AB187" s="562"/>
      <c r="AC187" s="562"/>
      <c r="AD187" s="562"/>
      <c r="AE187" s="562"/>
      <c r="AF187" s="562"/>
      <c r="AG187" s="562"/>
      <c r="AH187" s="562"/>
      <c r="AI187" s="562"/>
      <c r="AJ187" s="89"/>
    </row>
    <row r="188" spans="2:36" s="88" customFormat="1" x14ac:dyDescent="0.4">
      <c r="B188" s="574"/>
      <c r="C188" s="562"/>
      <c r="D188" s="562"/>
      <c r="E188" s="562"/>
      <c r="F188" s="562"/>
      <c r="G188" s="562"/>
      <c r="H188" s="562"/>
      <c r="I188" s="562"/>
      <c r="J188" s="597"/>
      <c r="K188" s="562"/>
      <c r="L188" s="562"/>
      <c r="M188" s="562"/>
      <c r="N188" s="562"/>
      <c r="O188" s="562"/>
      <c r="P188" s="562"/>
      <c r="Q188" s="562"/>
      <c r="R188" s="562"/>
      <c r="S188" s="562"/>
      <c r="T188" s="562"/>
      <c r="U188" s="562"/>
      <c r="V188" s="562"/>
      <c r="W188" s="562"/>
      <c r="X188" s="562"/>
      <c r="Y188" s="562"/>
      <c r="Z188" s="562"/>
      <c r="AA188" s="562"/>
      <c r="AB188" s="562"/>
      <c r="AC188" s="562"/>
      <c r="AD188" s="562"/>
      <c r="AE188" s="562"/>
      <c r="AF188" s="562"/>
      <c r="AG188" s="562"/>
      <c r="AH188" s="562"/>
      <c r="AI188" s="562"/>
      <c r="AJ188" s="89"/>
    </row>
    <row r="189" spans="2:36" s="88" customFormat="1" x14ac:dyDescent="0.4">
      <c r="B189" s="574"/>
      <c r="C189" s="562"/>
      <c r="D189" s="562"/>
      <c r="E189" s="562"/>
      <c r="F189" s="562"/>
      <c r="G189" s="562"/>
      <c r="H189" s="562"/>
      <c r="I189" s="562"/>
      <c r="J189" s="597"/>
      <c r="K189" s="562"/>
      <c r="L189" s="562"/>
      <c r="M189" s="562"/>
      <c r="N189" s="562"/>
      <c r="O189" s="562"/>
      <c r="P189" s="562"/>
      <c r="Q189" s="562"/>
      <c r="R189" s="562"/>
      <c r="S189" s="562"/>
      <c r="T189" s="562"/>
      <c r="U189" s="562"/>
      <c r="V189" s="562"/>
      <c r="W189" s="562"/>
      <c r="X189" s="562"/>
      <c r="Y189" s="562"/>
      <c r="Z189" s="562"/>
      <c r="AA189" s="562"/>
      <c r="AB189" s="562"/>
      <c r="AC189" s="562"/>
      <c r="AD189" s="562"/>
      <c r="AE189" s="562"/>
      <c r="AF189" s="562"/>
      <c r="AG189" s="562"/>
      <c r="AH189" s="562"/>
      <c r="AI189" s="562"/>
      <c r="AJ189" s="89"/>
    </row>
    <row r="190" spans="2:36" s="88" customFormat="1" x14ac:dyDescent="0.4">
      <c r="B190" s="574"/>
      <c r="C190" s="562"/>
      <c r="D190" s="562"/>
      <c r="E190" s="562"/>
      <c r="F190" s="562"/>
      <c r="G190" s="562"/>
      <c r="H190" s="562"/>
      <c r="I190" s="562"/>
      <c r="J190" s="597"/>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2"/>
      <c r="AJ190" s="89"/>
    </row>
    <row r="191" spans="2:36" s="88" customFormat="1" x14ac:dyDescent="0.4">
      <c r="B191" s="574"/>
      <c r="C191" s="562"/>
      <c r="D191" s="562"/>
      <c r="E191" s="562"/>
      <c r="F191" s="562"/>
      <c r="G191" s="562"/>
      <c r="H191" s="562"/>
      <c r="I191" s="562"/>
      <c r="J191" s="597"/>
      <c r="K191" s="562"/>
      <c r="L191" s="562"/>
      <c r="M191" s="562"/>
      <c r="N191" s="562"/>
      <c r="O191" s="562"/>
      <c r="P191" s="562"/>
      <c r="Q191" s="562"/>
      <c r="R191" s="562"/>
      <c r="S191" s="562"/>
      <c r="T191" s="562"/>
      <c r="U191" s="562"/>
      <c r="V191" s="562"/>
      <c r="W191" s="562"/>
      <c r="X191" s="562"/>
      <c r="Y191" s="562"/>
      <c r="Z191" s="562"/>
      <c r="AA191" s="562"/>
      <c r="AB191" s="562"/>
      <c r="AC191" s="562"/>
      <c r="AD191" s="562"/>
      <c r="AE191" s="562"/>
      <c r="AF191" s="562"/>
      <c r="AG191" s="562"/>
      <c r="AH191" s="562"/>
      <c r="AI191" s="562"/>
      <c r="AJ191" s="89"/>
    </row>
    <row r="192" spans="2:36" s="88" customFormat="1" x14ac:dyDescent="0.4">
      <c r="B192" s="574"/>
      <c r="C192" s="562"/>
      <c r="D192" s="562"/>
      <c r="E192" s="562"/>
      <c r="F192" s="562"/>
      <c r="G192" s="562"/>
      <c r="H192" s="562"/>
      <c r="I192" s="562"/>
      <c r="J192" s="597"/>
      <c r="K192" s="562"/>
      <c r="L192" s="562"/>
      <c r="M192" s="562"/>
      <c r="N192" s="562"/>
      <c r="O192" s="562"/>
      <c r="P192" s="562"/>
      <c r="Q192" s="562"/>
      <c r="R192" s="562"/>
      <c r="S192" s="562"/>
      <c r="T192" s="562"/>
      <c r="U192" s="562"/>
      <c r="V192" s="562"/>
      <c r="W192" s="562"/>
      <c r="X192" s="562"/>
      <c r="Y192" s="562"/>
      <c r="Z192" s="562"/>
      <c r="AA192" s="562"/>
      <c r="AB192" s="562"/>
      <c r="AC192" s="562"/>
      <c r="AD192" s="562"/>
      <c r="AE192" s="562"/>
      <c r="AF192" s="562"/>
      <c r="AG192" s="562"/>
      <c r="AH192" s="562"/>
      <c r="AI192" s="562"/>
      <c r="AJ192" s="89"/>
    </row>
    <row r="193" spans="2:36" s="88" customFormat="1" x14ac:dyDescent="0.4">
      <c r="B193" s="574"/>
      <c r="C193" s="562"/>
      <c r="D193" s="562"/>
      <c r="E193" s="562"/>
      <c r="F193" s="562"/>
      <c r="G193" s="562"/>
      <c r="H193" s="562"/>
      <c r="I193" s="562"/>
      <c r="J193" s="597"/>
      <c r="K193" s="562"/>
      <c r="L193" s="562"/>
      <c r="M193" s="562"/>
      <c r="N193" s="562"/>
      <c r="O193" s="562"/>
      <c r="P193" s="562"/>
      <c r="Q193" s="562"/>
      <c r="R193" s="562"/>
      <c r="S193" s="562"/>
      <c r="T193" s="562"/>
      <c r="U193" s="562"/>
      <c r="V193" s="562"/>
      <c r="W193" s="562"/>
      <c r="X193" s="562"/>
      <c r="Y193" s="562"/>
      <c r="Z193" s="562"/>
      <c r="AA193" s="562"/>
      <c r="AB193" s="562"/>
      <c r="AC193" s="562"/>
      <c r="AD193" s="562"/>
      <c r="AE193" s="562"/>
      <c r="AF193" s="562"/>
      <c r="AG193" s="562"/>
      <c r="AH193" s="562"/>
      <c r="AI193" s="562"/>
      <c r="AJ193" s="89"/>
    </row>
    <row r="194" spans="2:36" s="88" customFormat="1" x14ac:dyDescent="0.4">
      <c r="B194" s="574"/>
      <c r="C194" s="562"/>
      <c r="D194" s="562"/>
      <c r="E194" s="562"/>
      <c r="F194" s="562"/>
      <c r="G194" s="562"/>
      <c r="H194" s="562"/>
      <c r="I194" s="562"/>
      <c r="J194" s="597"/>
      <c r="K194" s="562"/>
      <c r="L194" s="562"/>
      <c r="M194" s="562"/>
      <c r="N194" s="562"/>
      <c r="O194" s="562"/>
      <c r="P194" s="562"/>
      <c r="Q194" s="562"/>
      <c r="R194" s="562"/>
      <c r="S194" s="562"/>
      <c r="T194" s="562"/>
      <c r="U194" s="562"/>
      <c r="V194" s="562"/>
      <c r="W194" s="562"/>
      <c r="X194" s="562"/>
      <c r="Y194" s="562"/>
      <c r="Z194" s="562"/>
      <c r="AA194" s="562"/>
      <c r="AB194" s="562"/>
      <c r="AC194" s="562"/>
      <c r="AD194" s="562"/>
      <c r="AE194" s="562"/>
      <c r="AF194" s="562"/>
      <c r="AG194" s="562"/>
      <c r="AH194" s="562"/>
      <c r="AI194" s="562"/>
      <c r="AJ194" s="89"/>
    </row>
    <row r="195" spans="2:36" s="88" customFormat="1" x14ac:dyDescent="0.4">
      <c r="B195" s="574"/>
      <c r="C195" s="562"/>
      <c r="D195" s="562"/>
      <c r="E195" s="562"/>
      <c r="F195" s="562"/>
      <c r="G195" s="562"/>
      <c r="H195" s="562"/>
      <c r="I195" s="562"/>
      <c r="J195" s="597"/>
      <c r="K195" s="562"/>
      <c r="L195" s="562"/>
      <c r="M195" s="562"/>
      <c r="N195" s="562"/>
      <c r="O195" s="562"/>
      <c r="P195" s="562"/>
      <c r="Q195" s="562"/>
      <c r="R195" s="562"/>
      <c r="S195" s="562"/>
      <c r="T195" s="562"/>
      <c r="U195" s="562"/>
      <c r="V195" s="562"/>
      <c r="W195" s="562"/>
      <c r="X195" s="562"/>
      <c r="Y195" s="562"/>
      <c r="Z195" s="562"/>
      <c r="AA195" s="562"/>
      <c r="AB195" s="562"/>
      <c r="AC195" s="562"/>
      <c r="AD195" s="562"/>
      <c r="AE195" s="562"/>
      <c r="AF195" s="562"/>
      <c r="AG195" s="562"/>
      <c r="AH195" s="562"/>
      <c r="AI195" s="562"/>
      <c r="AJ195" s="89"/>
    </row>
    <row r="196" spans="2:36" s="88" customFormat="1" x14ac:dyDescent="0.4">
      <c r="B196" s="574"/>
      <c r="C196" s="562"/>
      <c r="D196" s="562"/>
      <c r="E196" s="562"/>
      <c r="F196" s="562"/>
      <c r="G196" s="562"/>
      <c r="H196" s="562"/>
      <c r="I196" s="562"/>
      <c r="J196" s="597"/>
      <c r="K196" s="562"/>
      <c r="L196" s="562"/>
      <c r="M196" s="562"/>
      <c r="N196" s="562"/>
      <c r="O196" s="562"/>
      <c r="P196" s="562"/>
      <c r="Q196" s="562"/>
      <c r="R196" s="562"/>
      <c r="S196" s="562"/>
      <c r="T196" s="562"/>
      <c r="U196" s="562"/>
      <c r="V196" s="562"/>
      <c r="W196" s="562"/>
      <c r="X196" s="562"/>
      <c r="Y196" s="562"/>
      <c r="Z196" s="562"/>
      <c r="AA196" s="562"/>
      <c r="AB196" s="562"/>
      <c r="AC196" s="562"/>
      <c r="AD196" s="562"/>
      <c r="AE196" s="562"/>
      <c r="AF196" s="562"/>
      <c r="AG196" s="562"/>
      <c r="AH196" s="562"/>
      <c r="AI196" s="562"/>
      <c r="AJ196" s="89"/>
    </row>
    <row r="197" spans="2:36" s="88" customFormat="1" x14ac:dyDescent="0.4">
      <c r="B197" s="574"/>
      <c r="C197" s="562"/>
      <c r="D197" s="562"/>
      <c r="E197" s="562"/>
      <c r="F197" s="562"/>
      <c r="G197" s="562"/>
      <c r="H197" s="562"/>
      <c r="I197" s="562"/>
      <c r="J197" s="597"/>
      <c r="K197" s="562"/>
      <c r="L197" s="562"/>
      <c r="M197" s="562"/>
      <c r="N197" s="562"/>
      <c r="O197" s="562"/>
      <c r="P197" s="562"/>
      <c r="Q197" s="562"/>
      <c r="R197" s="562"/>
      <c r="S197" s="562"/>
      <c r="T197" s="562"/>
      <c r="U197" s="562"/>
      <c r="V197" s="562"/>
      <c r="W197" s="562"/>
      <c r="X197" s="562"/>
      <c r="Y197" s="562"/>
      <c r="Z197" s="562"/>
      <c r="AA197" s="562"/>
      <c r="AB197" s="562"/>
      <c r="AC197" s="562"/>
      <c r="AD197" s="562"/>
      <c r="AE197" s="562"/>
      <c r="AF197" s="562"/>
      <c r="AG197" s="562"/>
      <c r="AH197" s="562"/>
      <c r="AI197" s="562"/>
      <c r="AJ197" s="89"/>
    </row>
    <row r="198" spans="2:36" s="88" customFormat="1" x14ac:dyDescent="0.4">
      <c r="B198" s="574"/>
      <c r="C198" s="562"/>
      <c r="D198" s="562"/>
      <c r="E198" s="562"/>
      <c r="F198" s="562"/>
      <c r="G198" s="562"/>
      <c r="H198" s="562"/>
      <c r="I198" s="562"/>
      <c r="J198" s="597"/>
      <c r="K198" s="562"/>
      <c r="L198" s="562"/>
      <c r="M198" s="562"/>
      <c r="N198" s="562"/>
      <c r="O198" s="562"/>
      <c r="P198" s="562"/>
      <c r="Q198" s="562"/>
      <c r="R198" s="562"/>
      <c r="S198" s="562"/>
      <c r="T198" s="562"/>
      <c r="U198" s="562"/>
      <c r="V198" s="562"/>
      <c r="W198" s="562"/>
      <c r="X198" s="562"/>
      <c r="Y198" s="562"/>
      <c r="Z198" s="562"/>
      <c r="AA198" s="562"/>
      <c r="AB198" s="562"/>
      <c r="AC198" s="562"/>
      <c r="AD198" s="562"/>
      <c r="AE198" s="562"/>
      <c r="AF198" s="562"/>
      <c r="AG198" s="562"/>
      <c r="AH198" s="562"/>
      <c r="AI198" s="562"/>
      <c r="AJ198" s="89"/>
    </row>
    <row r="199" spans="2:36" s="88" customFormat="1" x14ac:dyDescent="0.4">
      <c r="B199" s="574"/>
      <c r="C199" s="562"/>
      <c r="D199" s="562"/>
      <c r="E199" s="562"/>
      <c r="F199" s="562"/>
      <c r="G199" s="562"/>
      <c r="H199" s="562"/>
      <c r="I199" s="562"/>
      <c r="J199" s="597"/>
      <c r="K199" s="562"/>
      <c r="L199" s="562"/>
      <c r="M199" s="562"/>
      <c r="N199" s="562"/>
      <c r="O199" s="562"/>
      <c r="P199" s="562"/>
      <c r="Q199" s="562"/>
      <c r="R199" s="562"/>
      <c r="S199" s="562"/>
      <c r="T199" s="562"/>
      <c r="U199" s="562"/>
      <c r="V199" s="562"/>
      <c r="W199" s="562"/>
      <c r="X199" s="562"/>
      <c r="Y199" s="562"/>
      <c r="Z199" s="562"/>
      <c r="AA199" s="562"/>
      <c r="AB199" s="562"/>
      <c r="AC199" s="562"/>
      <c r="AD199" s="562"/>
      <c r="AE199" s="562"/>
      <c r="AF199" s="562"/>
      <c r="AG199" s="562"/>
      <c r="AH199" s="562"/>
      <c r="AI199" s="562"/>
      <c r="AJ199" s="89"/>
    </row>
    <row r="200" spans="2:36" s="88" customFormat="1" x14ac:dyDescent="0.4">
      <c r="B200" s="574"/>
      <c r="C200" s="562"/>
      <c r="D200" s="562"/>
      <c r="E200" s="562"/>
      <c r="F200" s="562"/>
      <c r="G200" s="562"/>
      <c r="H200" s="562"/>
      <c r="I200" s="562"/>
      <c r="J200" s="597"/>
      <c r="K200" s="562"/>
      <c r="L200" s="562"/>
      <c r="M200" s="562"/>
      <c r="N200" s="562"/>
      <c r="O200" s="562"/>
      <c r="P200" s="562"/>
      <c r="Q200" s="562"/>
      <c r="R200" s="562"/>
      <c r="S200" s="562"/>
      <c r="T200" s="562"/>
      <c r="U200" s="562"/>
      <c r="V200" s="562"/>
      <c r="W200" s="562"/>
      <c r="X200" s="562"/>
      <c r="Y200" s="562"/>
      <c r="Z200" s="562"/>
      <c r="AA200" s="562"/>
      <c r="AB200" s="562"/>
      <c r="AC200" s="562"/>
      <c r="AD200" s="562"/>
      <c r="AE200" s="562"/>
      <c r="AF200" s="562"/>
      <c r="AG200" s="562"/>
      <c r="AH200" s="562"/>
      <c r="AI200" s="562"/>
      <c r="AJ200" s="89"/>
    </row>
    <row r="201" spans="2:36" s="88" customFormat="1" x14ac:dyDescent="0.4">
      <c r="B201" s="574"/>
      <c r="C201" s="562"/>
      <c r="D201" s="562"/>
      <c r="E201" s="562"/>
      <c r="F201" s="562"/>
      <c r="G201" s="562"/>
      <c r="H201" s="562"/>
      <c r="I201" s="562"/>
      <c r="J201" s="597"/>
      <c r="K201" s="562"/>
      <c r="L201" s="562"/>
      <c r="M201" s="562"/>
      <c r="N201" s="562"/>
      <c r="O201" s="562"/>
      <c r="P201" s="562"/>
      <c r="Q201" s="562"/>
      <c r="R201" s="562"/>
      <c r="S201" s="562"/>
      <c r="T201" s="562"/>
      <c r="U201" s="562"/>
      <c r="V201" s="562"/>
      <c r="W201" s="562"/>
      <c r="X201" s="562"/>
      <c r="Y201" s="562"/>
      <c r="Z201" s="562"/>
      <c r="AA201" s="562"/>
      <c r="AB201" s="562"/>
      <c r="AC201" s="562"/>
      <c r="AD201" s="562"/>
      <c r="AE201" s="562"/>
      <c r="AF201" s="562"/>
      <c r="AG201" s="562"/>
      <c r="AH201" s="562"/>
      <c r="AI201" s="562"/>
      <c r="AJ201" s="89"/>
    </row>
    <row r="202" spans="2:36" s="88" customFormat="1" x14ac:dyDescent="0.4">
      <c r="B202" s="574"/>
      <c r="C202" s="562"/>
      <c r="D202" s="562"/>
      <c r="E202" s="562"/>
      <c r="F202" s="562"/>
      <c r="G202" s="562"/>
      <c r="H202" s="562"/>
      <c r="I202" s="562"/>
      <c r="J202" s="597"/>
      <c r="K202" s="562"/>
      <c r="L202" s="562"/>
      <c r="M202" s="562"/>
      <c r="N202" s="562"/>
      <c r="O202" s="562"/>
      <c r="P202" s="562"/>
      <c r="Q202" s="562"/>
      <c r="R202" s="562"/>
      <c r="S202" s="562"/>
      <c r="T202" s="562"/>
      <c r="U202" s="562"/>
      <c r="V202" s="562"/>
      <c r="W202" s="562"/>
      <c r="X202" s="562"/>
      <c r="Y202" s="562"/>
      <c r="Z202" s="562"/>
      <c r="AA202" s="562"/>
      <c r="AB202" s="562"/>
      <c r="AC202" s="562"/>
      <c r="AD202" s="562"/>
      <c r="AE202" s="562"/>
      <c r="AF202" s="562"/>
      <c r="AG202" s="562"/>
      <c r="AH202" s="562"/>
      <c r="AI202" s="562"/>
      <c r="AJ202" s="89"/>
    </row>
    <row r="203" spans="2:36" s="88" customFormat="1" x14ac:dyDescent="0.4">
      <c r="B203" s="574"/>
      <c r="C203" s="562"/>
      <c r="D203" s="562"/>
      <c r="E203" s="562"/>
      <c r="F203" s="562"/>
      <c r="G203" s="562"/>
      <c r="H203" s="562"/>
      <c r="I203" s="562"/>
      <c r="J203" s="597"/>
      <c r="K203" s="562"/>
      <c r="L203" s="562"/>
      <c r="M203" s="562"/>
      <c r="N203" s="562"/>
      <c r="O203" s="562"/>
      <c r="P203" s="562"/>
      <c r="Q203" s="562"/>
      <c r="R203" s="562"/>
      <c r="S203" s="562"/>
      <c r="T203" s="562"/>
      <c r="U203" s="562"/>
      <c r="V203" s="562"/>
      <c r="W203" s="562"/>
      <c r="X203" s="562"/>
      <c r="Y203" s="562"/>
      <c r="Z203" s="562"/>
      <c r="AA203" s="562"/>
      <c r="AB203" s="562"/>
      <c r="AC203" s="562"/>
      <c r="AD203" s="562"/>
      <c r="AE203" s="562"/>
      <c r="AF203" s="562"/>
      <c r="AG203" s="562"/>
      <c r="AH203" s="562"/>
      <c r="AI203" s="562"/>
      <c r="AJ203" s="89"/>
    </row>
    <row r="204" spans="2:36" s="88" customFormat="1" x14ac:dyDescent="0.4">
      <c r="B204" s="574"/>
      <c r="C204" s="562"/>
      <c r="D204" s="562"/>
      <c r="E204" s="562"/>
      <c r="F204" s="562"/>
      <c r="G204" s="562"/>
      <c r="H204" s="562"/>
      <c r="I204" s="562"/>
      <c r="J204" s="597"/>
      <c r="K204" s="562"/>
      <c r="L204" s="562"/>
      <c r="M204" s="562"/>
      <c r="N204" s="562"/>
      <c r="O204" s="562"/>
      <c r="P204" s="562"/>
      <c r="Q204" s="562"/>
      <c r="R204" s="562"/>
      <c r="S204" s="562"/>
      <c r="T204" s="562"/>
      <c r="U204" s="562"/>
      <c r="V204" s="562"/>
      <c r="W204" s="562"/>
      <c r="X204" s="562"/>
      <c r="Y204" s="562"/>
      <c r="Z204" s="562"/>
      <c r="AA204" s="562"/>
      <c r="AB204" s="562"/>
      <c r="AC204" s="562"/>
      <c r="AD204" s="562"/>
      <c r="AE204" s="562"/>
      <c r="AF204" s="562"/>
      <c r="AG204" s="562"/>
      <c r="AH204" s="562"/>
      <c r="AI204" s="562"/>
      <c r="AJ204" s="89"/>
    </row>
    <row r="205" spans="2:36" s="88" customFormat="1" x14ac:dyDescent="0.4">
      <c r="B205" s="574"/>
      <c r="C205" s="562"/>
      <c r="D205" s="562"/>
      <c r="E205" s="562"/>
      <c r="F205" s="562"/>
      <c r="G205" s="562"/>
      <c r="H205" s="562"/>
      <c r="I205" s="562"/>
      <c r="J205" s="597"/>
      <c r="K205" s="562"/>
      <c r="L205" s="562"/>
      <c r="M205" s="562"/>
      <c r="N205" s="562"/>
      <c r="O205" s="562"/>
      <c r="P205" s="562"/>
      <c r="Q205" s="562"/>
      <c r="R205" s="562"/>
      <c r="S205" s="562"/>
      <c r="T205" s="562"/>
      <c r="U205" s="562"/>
      <c r="V205" s="562"/>
      <c r="W205" s="562"/>
      <c r="X205" s="562"/>
      <c r="Y205" s="562"/>
      <c r="Z205" s="562"/>
      <c r="AA205" s="562"/>
      <c r="AB205" s="562"/>
      <c r="AC205" s="562"/>
      <c r="AD205" s="562"/>
      <c r="AE205" s="562"/>
      <c r="AF205" s="562"/>
      <c r="AG205" s="562"/>
      <c r="AH205" s="562"/>
      <c r="AI205" s="562"/>
      <c r="AJ205" s="89"/>
    </row>
    <row r="206" spans="2:36" s="88" customFormat="1" x14ac:dyDescent="0.4">
      <c r="B206" s="574"/>
      <c r="C206" s="562"/>
      <c r="D206" s="562"/>
      <c r="E206" s="562"/>
      <c r="F206" s="562"/>
      <c r="G206" s="562"/>
      <c r="H206" s="562"/>
      <c r="I206" s="562"/>
      <c r="J206" s="597"/>
      <c r="K206" s="562"/>
      <c r="L206" s="562"/>
      <c r="M206" s="562"/>
      <c r="N206" s="562"/>
      <c r="O206" s="562"/>
      <c r="P206" s="562"/>
      <c r="Q206" s="562"/>
      <c r="R206" s="562"/>
      <c r="S206" s="562"/>
      <c r="T206" s="562"/>
      <c r="U206" s="562"/>
      <c r="V206" s="562"/>
      <c r="W206" s="562"/>
      <c r="X206" s="562"/>
      <c r="Y206" s="562"/>
      <c r="Z206" s="562"/>
      <c r="AA206" s="562"/>
      <c r="AB206" s="562"/>
      <c r="AC206" s="562"/>
      <c r="AD206" s="562"/>
      <c r="AE206" s="562"/>
      <c r="AF206" s="562"/>
      <c r="AG206" s="562"/>
      <c r="AH206" s="562"/>
      <c r="AI206" s="562"/>
      <c r="AJ206" s="89"/>
    </row>
    <row r="207" spans="2:36" s="88" customFormat="1" x14ac:dyDescent="0.4">
      <c r="B207" s="574"/>
      <c r="C207" s="562"/>
      <c r="D207" s="562"/>
      <c r="E207" s="562"/>
      <c r="F207" s="562"/>
      <c r="G207" s="562"/>
      <c r="H207" s="562"/>
      <c r="I207" s="562"/>
      <c r="J207" s="597"/>
      <c r="K207" s="562"/>
      <c r="L207" s="562"/>
      <c r="M207" s="562"/>
      <c r="N207" s="562"/>
      <c r="O207" s="562"/>
      <c r="P207" s="562"/>
      <c r="Q207" s="562"/>
      <c r="R207" s="562"/>
      <c r="S207" s="562"/>
      <c r="T207" s="562"/>
      <c r="U207" s="562"/>
      <c r="V207" s="562"/>
      <c r="W207" s="562"/>
      <c r="X207" s="562"/>
      <c r="Y207" s="562"/>
      <c r="Z207" s="562"/>
      <c r="AA207" s="562"/>
      <c r="AB207" s="562"/>
      <c r="AC207" s="562"/>
      <c r="AD207" s="562"/>
      <c r="AE207" s="562"/>
      <c r="AF207" s="562"/>
      <c r="AG207" s="562"/>
      <c r="AH207" s="562"/>
      <c r="AI207" s="562"/>
      <c r="AJ207" s="89"/>
    </row>
    <row r="208" spans="2:36" s="88" customFormat="1" x14ac:dyDescent="0.4">
      <c r="B208" s="574"/>
      <c r="C208" s="562"/>
      <c r="D208" s="562"/>
      <c r="E208" s="562"/>
      <c r="F208" s="562"/>
      <c r="G208" s="562"/>
      <c r="H208" s="562"/>
      <c r="I208" s="562"/>
      <c r="J208" s="597"/>
      <c r="K208" s="562"/>
      <c r="L208" s="562"/>
      <c r="M208" s="562"/>
      <c r="N208" s="562"/>
      <c r="O208" s="562"/>
      <c r="P208" s="562"/>
      <c r="Q208" s="562"/>
      <c r="R208" s="562"/>
      <c r="S208" s="562"/>
      <c r="T208" s="562"/>
      <c r="U208" s="562"/>
      <c r="V208" s="562"/>
      <c r="W208" s="562"/>
      <c r="X208" s="562"/>
      <c r="Y208" s="562"/>
      <c r="Z208" s="562"/>
      <c r="AA208" s="562"/>
      <c r="AB208" s="562"/>
      <c r="AC208" s="562"/>
      <c r="AD208" s="562"/>
      <c r="AE208" s="562"/>
      <c r="AF208" s="562"/>
      <c r="AG208" s="562"/>
      <c r="AH208" s="562"/>
      <c r="AI208" s="562"/>
      <c r="AJ208" s="89"/>
    </row>
    <row r="209" spans="2:36" s="88" customFormat="1" x14ac:dyDescent="0.4">
      <c r="B209" s="574"/>
      <c r="C209" s="562"/>
      <c r="D209" s="562"/>
      <c r="E209" s="562"/>
      <c r="F209" s="562"/>
      <c r="G209" s="562"/>
      <c r="H209" s="562"/>
      <c r="I209" s="562"/>
      <c r="J209" s="597"/>
      <c r="K209" s="562"/>
      <c r="L209" s="562"/>
      <c r="M209" s="562"/>
      <c r="N209" s="562"/>
      <c r="O209" s="562"/>
      <c r="P209" s="562"/>
      <c r="Q209" s="562"/>
      <c r="R209" s="562"/>
      <c r="S209" s="562"/>
      <c r="T209" s="562"/>
      <c r="U209" s="562"/>
      <c r="V209" s="562"/>
      <c r="W209" s="562"/>
      <c r="X209" s="562"/>
      <c r="Y209" s="562"/>
      <c r="Z209" s="562"/>
      <c r="AA209" s="562"/>
      <c r="AB209" s="562"/>
      <c r="AC209" s="562"/>
      <c r="AD209" s="562"/>
      <c r="AE209" s="562"/>
      <c r="AF209" s="562"/>
      <c r="AG209" s="562"/>
      <c r="AH209" s="562"/>
      <c r="AI209" s="562"/>
      <c r="AJ209" s="89"/>
    </row>
    <row r="210" spans="2:36" s="88" customFormat="1" x14ac:dyDescent="0.4">
      <c r="B210" s="574"/>
      <c r="C210" s="562"/>
      <c r="D210" s="562"/>
      <c r="E210" s="562"/>
      <c r="F210" s="562"/>
      <c r="G210" s="562"/>
      <c r="H210" s="562"/>
      <c r="I210" s="562"/>
      <c r="J210" s="597"/>
      <c r="K210" s="562"/>
      <c r="L210" s="562"/>
      <c r="M210" s="562"/>
      <c r="N210" s="562"/>
      <c r="O210" s="562"/>
      <c r="P210" s="562"/>
      <c r="Q210" s="562"/>
      <c r="R210" s="562"/>
      <c r="S210" s="562"/>
      <c r="T210" s="562"/>
      <c r="U210" s="562"/>
      <c r="V210" s="562"/>
      <c r="W210" s="562"/>
      <c r="X210" s="562"/>
      <c r="Y210" s="562"/>
      <c r="Z210" s="562"/>
      <c r="AA210" s="562"/>
      <c r="AB210" s="562"/>
      <c r="AC210" s="562"/>
      <c r="AD210" s="562"/>
      <c r="AE210" s="562"/>
      <c r="AF210" s="562"/>
      <c r="AG210" s="562"/>
      <c r="AH210" s="562"/>
      <c r="AI210" s="562"/>
      <c r="AJ210" s="89"/>
    </row>
    <row r="211" spans="2:36" s="88" customFormat="1" x14ac:dyDescent="0.4">
      <c r="B211" s="574"/>
      <c r="C211" s="562"/>
      <c r="D211" s="562"/>
      <c r="E211" s="562"/>
      <c r="F211" s="562"/>
      <c r="G211" s="562"/>
      <c r="H211" s="562"/>
      <c r="I211" s="562"/>
      <c r="J211" s="597"/>
      <c r="K211" s="562"/>
      <c r="L211" s="562"/>
      <c r="M211" s="562"/>
      <c r="N211" s="562"/>
      <c r="O211" s="562"/>
      <c r="P211" s="562"/>
      <c r="Q211" s="562"/>
      <c r="R211" s="562"/>
      <c r="S211" s="562"/>
      <c r="T211" s="562"/>
      <c r="U211" s="562"/>
      <c r="V211" s="562"/>
      <c r="W211" s="562"/>
      <c r="X211" s="562"/>
      <c r="Y211" s="562"/>
      <c r="Z211" s="562"/>
      <c r="AA211" s="562"/>
      <c r="AB211" s="562"/>
      <c r="AC211" s="562"/>
      <c r="AD211" s="562"/>
      <c r="AE211" s="562"/>
      <c r="AF211" s="562"/>
      <c r="AG211" s="562"/>
      <c r="AH211" s="562"/>
      <c r="AI211" s="562"/>
      <c r="AJ211" s="89"/>
    </row>
    <row r="212" spans="2:36" s="88" customFormat="1" x14ac:dyDescent="0.4">
      <c r="B212" s="574"/>
      <c r="C212" s="562"/>
      <c r="D212" s="562"/>
      <c r="E212" s="562"/>
      <c r="F212" s="562"/>
      <c r="G212" s="562"/>
      <c r="H212" s="562"/>
      <c r="I212" s="562"/>
      <c r="J212" s="597"/>
      <c r="K212" s="562"/>
      <c r="L212" s="562"/>
      <c r="M212" s="562"/>
      <c r="N212" s="562"/>
      <c r="O212" s="562"/>
      <c r="P212" s="562"/>
      <c r="Q212" s="562"/>
      <c r="R212" s="562"/>
      <c r="S212" s="562"/>
      <c r="T212" s="562"/>
      <c r="U212" s="562"/>
      <c r="V212" s="562"/>
      <c r="W212" s="562"/>
      <c r="X212" s="562"/>
      <c r="Y212" s="562"/>
      <c r="Z212" s="562"/>
      <c r="AA212" s="562"/>
      <c r="AB212" s="562"/>
      <c r="AC212" s="562"/>
      <c r="AD212" s="562"/>
      <c r="AE212" s="562"/>
      <c r="AF212" s="562"/>
      <c r="AG212" s="562"/>
      <c r="AH212" s="562"/>
      <c r="AI212" s="562"/>
      <c r="AJ212" s="89"/>
    </row>
    <row r="213" spans="2:36" s="88" customFormat="1" x14ac:dyDescent="0.4">
      <c r="B213" s="574"/>
      <c r="C213" s="562"/>
      <c r="D213" s="562"/>
      <c r="E213" s="562"/>
      <c r="F213" s="562"/>
      <c r="G213" s="562"/>
      <c r="H213" s="562"/>
      <c r="I213" s="562"/>
      <c r="J213" s="597"/>
      <c r="K213" s="562"/>
      <c r="L213" s="562"/>
      <c r="M213" s="562"/>
      <c r="N213" s="562"/>
      <c r="O213" s="562"/>
      <c r="P213" s="562"/>
      <c r="Q213" s="562"/>
      <c r="R213" s="562"/>
      <c r="S213" s="562"/>
      <c r="T213" s="562"/>
      <c r="U213" s="562"/>
      <c r="V213" s="562"/>
      <c r="W213" s="562"/>
      <c r="X213" s="562"/>
      <c r="Y213" s="562"/>
      <c r="Z213" s="562"/>
      <c r="AA213" s="562"/>
      <c r="AB213" s="562"/>
      <c r="AC213" s="562"/>
      <c r="AD213" s="562"/>
      <c r="AE213" s="562"/>
      <c r="AF213" s="562"/>
      <c r="AG213" s="562"/>
      <c r="AH213" s="562"/>
      <c r="AI213" s="562"/>
      <c r="AJ213" s="89"/>
    </row>
    <row r="214" spans="2:36" s="88" customFormat="1" x14ac:dyDescent="0.4">
      <c r="B214" s="574"/>
      <c r="C214" s="562"/>
      <c r="D214" s="562"/>
      <c r="E214" s="562"/>
      <c r="F214" s="562"/>
      <c r="G214" s="562"/>
      <c r="H214" s="562"/>
      <c r="I214" s="562"/>
      <c r="J214" s="597"/>
      <c r="K214" s="562"/>
      <c r="L214" s="562"/>
      <c r="M214" s="562"/>
      <c r="N214" s="562"/>
      <c r="O214" s="562"/>
      <c r="P214" s="562"/>
      <c r="Q214" s="562"/>
      <c r="R214" s="562"/>
      <c r="S214" s="562"/>
      <c r="T214" s="562"/>
      <c r="U214" s="562"/>
      <c r="V214" s="562"/>
      <c r="W214" s="562"/>
      <c r="X214" s="562"/>
      <c r="Y214" s="562"/>
      <c r="Z214" s="562"/>
      <c r="AA214" s="562"/>
      <c r="AB214" s="562"/>
      <c r="AC214" s="562"/>
      <c r="AD214" s="562"/>
      <c r="AE214" s="562"/>
      <c r="AF214" s="562"/>
      <c r="AG214" s="562"/>
      <c r="AH214" s="562"/>
      <c r="AI214" s="562"/>
      <c r="AJ214" s="89"/>
    </row>
    <row r="215" spans="2:36" s="88" customFormat="1" x14ac:dyDescent="0.4">
      <c r="B215" s="574"/>
      <c r="C215" s="562"/>
      <c r="D215" s="562"/>
      <c r="E215" s="562"/>
      <c r="F215" s="562"/>
      <c r="G215" s="562"/>
      <c r="H215" s="562"/>
      <c r="I215" s="562"/>
      <c r="J215" s="597"/>
      <c r="K215" s="562"/>
      <c r="L215" s="562"/>
      <c r="M215" s="562"/>
      <c r="N215" s="562"/>
      <c r="O215" s="562"/>
      <c r="P215" s="562"/>
      <c r="Q215" s="562"/>
      <c r="R215" s="562"/>
      <c r="S215" s="562"/>
      <c r="T215" s="562"/>
      <c r="U215" s="562"/>
      <c r="V215" s="562"/>
      <c r="W215" s="562"/>
      <c r="X215" s="562"/>
      <c r="Y215" s="562"/>
      <c r="Z215" s="562"/>
      <c r="AA215" s="562"/>
      <c r="AB215" s="562"/>
      <c r="AC215" s="562"/>
      <c r="AD215" s="562"/>
      <c r="AE215" s="562"/>
      <c r="AF215" s="562"/>
      <c r="AG215" s="562"/>
      <c r="AH215" s="562"/>
      <c r="AI215" s="562"/>
      <c r="AJ215" s="89"/>
    </row>
    <row r="216" spans="2:36" s="88" customFormat="1" x14ac:dyDescent="0.4">
      <c r="B216" s="574"/>
      <c r="C216" s="562"/>
      <c r="D216" s="562"/>
      <c r="E216" s="562"/>
      <c r="F216" s="562"/>
      <c r="G216" s="562"/>
      <c r="H216" s="562"/>
      <c r="I216" s="562"/>
      <c r="J216" s="597"/>
      <c r="K216" s="562"/>
      <c r="L216" s="562"/>
      <c r="M216" s="562"/>
      <c r="N216" s="562"/>
      <c r="O216" s="562"/>
      <c r="P216" s="562"/>
      <c r="Q216" s="562"/>
      <c r="R216" s="562"/>
      <c r="S216" s="562"/>
      <c r="T216" s="562"/>
      <c r="U216" s="562"/>
      <c r="V216" s="562"/>
      <c r="W216" s="562"/>
      <c r="X216" s="562"/>
      <c r="Y216" s="562"/>
      <c r="Z216" s="562"/>
      <c r="AA216" s="562"/>
      <c r="AB216" s="562"/>
      <c r="AC216" s="562"/>
      <c r="AD216" s="562"/>
      <c r="AE216" s="562"/>
      <c r="AF216" s="562"/>
      <c r="AG216" s="562"/>
      <c r="AH216" s="562"/>
      <c r="AI216" s="562"/>
      <c r="AJ216" s="89"/>
    </row>
    <row r="217" spans="2:36" s="88" customFormat="1" x14ac:dyDescent="0.4">
      <c r="B217" s="574"/>
      <c r="C217" s="562"/>
      <c r="D217" s="562"/>
      <c r="E217" s="562"/>
      <c r="F217" s="562"/>
      <c r="G217" s="562"/>
      <c r="H217" s="562"/>
      <c r="I217" s="562"/>
      <c r="J217" s="597"/>
      <c r="K217" s="562"/>
      <c r="L217" s="562"/>
      <c r="M217" s="562"/>
      <c r="N217" s="562"/>
      <c r="O217" s="562"/>
      <c r="P217" s="562"/>
      <c r="Q217" s="562"/>
      <c r="R217" s="562"/>
      <c r="S217" s="562"/>
      <c r="T217" s="562"/>
      <c r="U217" s="562"/>
      <c r="V217" s="562"/>
      <c r="W217" s="562"/>
      <c r="X217" s="562"/>
      <c r="Y217" s="562"/>
      <c r="Z217" s="562"/>
      <c r="AA217" s="562"/>
      <c r="AB217" s="562"/>
      <c r="AC217" s="562"/>
      <c r="AD217" s="562"/>
      <c r="AE217" s="562"/>
      <c r="AF217" s="562"/>
      <c r="AG217" s="562"/>
      <c r="AH217" s="562"/>
      <c r="AI217" s="562"/>
    </row>
    <row r="218" spans="2:36" s="88" customFormat="1" x14ac:dyDescent="0.4">
      <c r="B218" s="574"/>
      <c r="C218" s="562"/>
      <c r="D218" s="562"/>
      <c r="E218" s="562"/>
      <c r="F218" s="562"/>
      <c r="G218" s="562"/>
      <c r="H218" s="562"/>
      <c r="I218" s="562"/>
      <c r="J218" s="597"/>
      <c r="K218" s="562"/>
      <c r="L218" s="562"/>
      <c r="M218" s="562"/>
      <c r="N218" s="562"/>
      <c r="O218" s="562"/>
      <c r="P218" s="562"/>
      <c r="Q218" s="562"/>
      <c r="R218" s="562"/>
      <c r="S218" s="562"/>
      <c r="T218" s="562"/>
      <c r="U218" s="562"/>
      <c r="V218" s="562"/>
      <c r="W218" s="562"/>
      <c r="X218" s="562"/>
      <c r="Y218" s="562"/>
      <c r="Z218" s="562"/>
      <c r="AA218" s="562"/>
      <c r="AB218" s="562"/>
      <c r="AC218" s="562"/>
      <c r="AD218" s="562"/>
      <c r="AE218" s="562"/>
      <c r="AF218" s="562"/>
      <c r="AG218" s="562"/>
      <c r="AH218" s="562"/>
      <c r="AI218" s="562"/>
    </row>
    <row r="219" spans="2:36" s="88" customFormat="1" x14ac:dyDescent="0.4">
      <c r="B219" s="574"/>
      <c r="C219" s="562"/>
      <c r="D219" s="562"/>
      <c r="E219" s="562"/>
      <c r="F219" s="562"/>
      <c r="G219" s="562"/>
      <c r="H219" s="562"/>
      <c r="I219" s="562"/>
      <c r="J219" s="597"/>
      <c r="K219" s="562"/>
      <c r="L219" s="562"/>
      <c r="M219" s="562"/>
      <c r="N219" s="562"/>
      <c r="O219" s="562"/>
      <c r="P219" s="562"/>
      <c r="Q219" s="562"/>
      <c r="R219" s="562"/>
      <c r="S219" s="562"/>
      <c r="T219" s="562"/>
      <c r="U219" s="562"/>
      <c r="V219" s="562"/>
      <c r="W219" s="562"/>
      <c r="X219" s="562"/>
      <c r="Y219" s="562"/>
      <c r="Z219" s="562"/>
      <c r="AA219" s="562"/>
      <c r="AB219" s="562"/>
      <c r="AC219" s="562"/>
      <c r="AD219" s="562"/>
      <c r="AE219" s="562"/>
      <c r="AF219" s="562"/>
      <c r="AG219" s="562"/>
      <c r="AH219" s="562"/>
      <c r="AI219" s="562"/>
    </row>
    <row r="220" spans="2:36" s="88" customFormat="1" x14ac:dyDescent="0.4">
      <c r="B220" s="574"/>
      <c r="C220" s="562"/>
      <c r="D220" s="562"/>
      <c r="E220" s="562"/>
      <c r="F220" s="562"/>
      <c r="G220" s="562"/>
      <c r="H220" s="562"/>
      <c r="I220" s="562"/>
      <c r="J220" s="597"/>
      <c r="K220" s="562"/>
      <c r="L220" s="562"/>
      <c r="M220" s="562"/>
      <c r="N220" s="562"/>
      <c r="O220" s="562"/>
      <c r="P220" s="562"/>
      <c r="Q220" s="562"/>
      <c r="R220" s="562"/>
      <c r="S220" s="562"/>
      <c r="T220" s="562"/>
      <c r="U220" s="562"/>
      <c r="V220" s="562"/>
      <c r="W220" s="562"/>
      <c r="X220" s="562"/>
      <c r="Y220" s="562"/>
      <c r="Z220" s="562"/>
      <c r="AA220" s="562"/>
      <c r="AB220" s="562"/>
      <c r="AC220" s="562"/>
      <c r="AD220" s="562"/>
      <c r="AE220" s="562"/>
      <c r="AF220" s="562"/>
      <c r="AG220" s="562"/>
      <c r="AH220" s="562"/>
      <c r="AI220" s="562"/>
    </row>
    <row r="221" spans="2:36" s="88" customFormat="1" x14ac:dyDescent="0.4">
      <c r="B221" s="574"/>
      <c r="C221" s="562"/>
      <c r="D221" s="562"/>
      <c r="E221" s="562"/>
      <c r="F221" s="562"/>
      <c r="G221" s="562"/>
      <c r="H221" s="562"/>
      <c r="I221" s="562"/>
      <c r="J221" s="597"/>
      <c r="K221" s="562"/>
      <c r="L221" s="562"/>
      <c r="M221" s="562"/>
      <c r="N221" s="562"/>
      <c r="O221" s="562"/>
      <c r="P221" s="562"/>
      <c r="Q221" s="562"/>
      <c r="R221" s="562"/>
      <c r="S221" s="562"/>
      <c r="T221" s="562"/>
      <c r="U221" s="562"/>
      <c r="V221" s="562"/>
      <c r="W221" s="562"/>
      <c r="X221" s="562"/>
      <c r="Y221" s="562"/>
      <c r="Z221" s="562"/>
      <c r="AA221" s="562"/>
      <c r="AB221" s="562"/>
      <c r="AC221" s="562"/>
      <c r="AD221" s="562"/>
      <c r="AE221" s="562"/>
      <c r="AF221" s="562"/>
      <c r="AG221" s="562"/>
      <c r="AH221" s="562"/>
      <c r="AI221" s="562"/>
    </row>
    <row r="222" spans="2:36" s="88" customFormat="1" x14ac:dyDescent="0.4">
      <c r="B222" s="574"/>
      <c r="C222" s="562"/>
      <c r="D222" s="562"/>
      <c r="E222" s="562"/>
      <c r="F222" s="562"/>
      <c r="G222" s="562"/>
      <c r="H222" s="562"/>
      <c r="I222" s="562"/>
      <c r="J222" s="597"/>
      <c r="K222" s="562"/>
      <c r="L222" s="562"/>
      <c r="M222" s="562"/>
      <c r="N222" s="562"/>
      <c r="O222" s="562"/>
      <c r="P222" s="562"/>
      <c r="Q222" s="562"/>
      <c r="R222" s="562"/>
      <c r="S222" s="562"/>
      <c r="T222" s="562"/>
      <c r="U222" s="562"/>
      <c r="V222" s="562"/>
      <c r="W222" s="562"/>
      <c r="X222" s="562"/>
      <c r="Y222" s="562"/>
      <c r="Z222" s="562"/>
      <c r="AA222" s="562"/>
      <c r="AB222" s="562"/>
      <c r="AC222" s="562"/>
      <c r="AD222" s="562"/>
      <c r="AE222" s="562"/>
      <c r="AF222" s="562"/>
      <c r="AG222" s="562"/>
      <c r="AH222" s="562"/>
      <c r="AI222" s="562"/>
    </row>
    <row r="223" spans="2:36" s="88" customFormat="1" x14ac:dyDescent="0.4">
      <c r="B223" s="574"/>
      <c r="C223" s="562"/>
      <c r="D223" s="562"/>
      <c r="E223" s="562"/>
      <c r="F223" s="562"/>
      <c r="G223" s="562"/>
      <c r="H223" s="562"/>
      <c r="I223" s="562"/>
      <c r="J223" s="597"/>
      <c r="K223" s="562"/>
      <c r="L223" s="562"/>
      <c r="M223" s="562"/>
      <c r="N223" s="562"/>
      <c r="O223" s="562"/>
      <c r="P223" s="562"/>
      <c r="Q223" s="562"/>
      <c r="R223" s="562"/>
      <c r="S223" s="562"/>
      <c r="T223" s="562"/>
      <c r="U223" s="562"/>
      <c r="V223" s="562"/>
      <c r="W223" s="562"/>
      <c r="X223" s="562"/>
      <c r="Y223" s="562"/>
      <c r="Z223" s="562"/>
      <c r="AA223" s="562"/>
      <c r="AB223" s="562"/>
      <c r="AC223" s="562"/>
      <c r="AD223" s="562"/>
      <c r="AE223" s="562"/>
      <c r="AF223" s="562"/>
      <c r="AG223" s="562"/>
      <c r="AH223" s="562"/>
      <c r="AI223" s="562"/>
    </row>
    <row r="224" spans="2:36" s="88" customFormat="1" x14ac:dyDescent="0.4">
      <c r="B224" s="574"/>
      <c r="C224" s="562"/>
      <c r="D224" s="562"/>
      <c r="E224" s="562"/>
      <c r="F224" s="562"/>
      <c r="G224" s="562"/>
      <c r="H224" s="562"/>
      <c r="I224" s="562"/>
      <c r="J224" s="597"/>
      <c r="K224" s="562"/>
      <c r="L224" s="562"/>
      <c r="M224" s="562"/>
      <c r="N224" s="562"/>
      <c r="O224" s="562"/>
      <c r="P224" s="562"/>
      <c r="Q224" s="562"/>
      <c r="R224" s="562"/>
      <c r="S224" s="562"/>
      <c r="T224" s="562"/>
      <c r="U224" s="562"/>
      <c r="V224" s="562"/>
      <c r="W224" s="562"/>
      <c r="X224" s="562"/>
      <c r="Y224" s="562"/>
      <c r="Z224" s="562"/>
      <c r="AA224" s="562"/>
      <c r="AB224" s="562"/>
      <c r="AC224" s="562"/>
      <c r="AD224" s="562"/>
      <c r="AE224" s="562"/>
      <c r="AF224" s="562"/>
      <c r="AG224" s="562"/>
      <c r="AH224" s="562"/>
      <c r="AI224" s="562"/>
    </row>
    <row r="225" spans="2:35" s="88" customFormat="1" x14ac:dyDescent="0.4">
      <c r="B225" s="574"/>
      <c r="C225" s="562"/>
      <c r="D225" s="562"/>
      <c r="E225" s="562"/>
      <c r="F225" s="562"/>
      <c r="G225" s="562"/>
      <c r="H225" s="562"/>
      <c r="I225" s="562"/>
      <c r="J225" s="597"/>
      <c r="K225" s="562"/>
      <c r="L225" s="562"/>
      <c r="M225" s="562"/>
      <c r="N225" s="562"/>
      <c r="O225" s="562"/>
      <c r="P225" s="562"/>
      <c r="Q225" s="562"/>
      <c r="R225" s="562"/>
      <c r="S225" s="562"/>
      <c r="T225" s="562"/>
      <c r="U225" s="562"/>
      <c r="V225" s="562"/>
      <c r="W225" s="562"/>
      <c r="X225" s="562"/>
      <c r="Y225" s="562"/>
      <c r="Z225" s="562"/>
      <c r="AA225" s="562"/>
      <c r="AB225" s="562"/>
      <c r="AC225" s="562"/>
      <c r="AD225" s="562"/>
      <c r="AE225" s="562"/>
      <c r="AF225" s="562"/>
      <c r="AG225" s="562"/>
      <c r="AH225" s="562"/>
      <c r="AI225" s="562"/>
    </row>
    <row r="226" spans="2:35" s="88" customFormat="1" x14ac:dyDescent="0.4">
      <c r="B226" s="574"/>
      <c r="C226" s="562"/>
      <c r="D226" s="562"/>
      <c r="E226" s="562"/>
      <c r="F226" s="562"/>
      <c r="G226" s="562"/>
      <c r="H226" s="562"/>
      <c r="I226" s="562"/>
      <c r="J226" s="597"/>
      <c r="K226" s="562"/>
      <c r="L226" s="562"/>
      <c r="M226" s="562"/>
      <c r="N226" s="562"/>
      <c r="O226" s="562"/>
      <c r="P226" s="562"/>
      <c r="Q226" s="562"/>
      <c r="R226" s="562"/>
      <c r="S226" s="562"/>
      <c r="T226" s="562"/>
      <c r="U226" s="562"/>
      <c r="V226" s="562"/>
      <c r="W226" s="562"/>
      <c r="X226" s="562"/>
      <c r="Y226" s="562"/>
      <c r="Z226" s="562"/>
      <c r="AA226" s="562"/>
      <c r="AB226" s="562"/>
      <c r="AC226" s="562"/>
      <c r="AD226" s="562"/>
      <c r="AE226" s="562"/>
      <c r="AF226" s="562"/>
      <c r="AG226" s="562"/>
      <c r="AH226" s="562"/>
      <c r="AI226" s="562"/>
    </row>
    <row r="227" spans="2:35" s="88" customFormat="1" x14ac:dyDescent="0.4">
      <c r="B227" s="574"/>
      <c r="C227" s="562"/>
      <c r="D227" s="562"/>
      <c r="E227" s="562"/>
      <c r="F227" s="562"/>
      <c r="G227" s="562"/>
      <c r="H227" s="562"/>
      <c r="I227" s="562"/>
      <c r="J227" s="597"/>
      <c r="K227" s="562"/>
      <c r="L227" s="562"/>
      <c r="M227" s="562"/>
      <c r="N227" s="562"/>
      <c r="O227" s="562"/>
      <c r="P227" s="562"/>
      <c r="Q227" s="562"/>
      <c r="R227" s="562"/>
      <c r="S227" s="562"/>
      <c r="T227" s="562"/>
      <c r="U227" s="562"/>
      <c r="V227" s="562"/>
      <c r="W227" s="562"/>
      <c r="X227" s="562"/>
      <c r="Y227" s="562"/>
      <c r="Z227" s="562"/>
      <c r="AA227" s="562"/>
      <c r="AB227" s="562"/>
      <c r="AC227" s="562"/>
      <c r="AD227" s="562"/>
      <c r="AE227" s="562"/>
      <c r="AF227" s="562"/>
      <c r="AG227" s="562"/>
      <c r="AH227" s="562"/>
      <c r="AI227" s="562"/>
    </row>
    <row r="228" spans="2:35" s="88" customFormat="1" x14ac:dyDescent="0.4">
      <c r="B228" s="574"/>
      <c r="C228" s="562"/>
      <c r="D228" s="562"/>
      <c r="E228" s="562"/>
      <c r="F228" s="562"/>
      <c r="G228" s="562"/>
      <c r="H228" s="562"/>
      <c r="I228" s="562"/>
      <c r="J228" s="597"/>
      <c r="K228" s="562"/>
      <c r="L228" s="562"/>
      <c r="M228" s="562"/>
      <c r="N228" s="562"/>
      <c r="O228" s="562"/>
      <c r="P228" s="562"/>
      <c r="Q228" s="562"/>
      <c r="R228" s="562"/>
      <c r="S228" s="562"/>
      <c r="T228" s="562"/>
      <c r="U228" s="562"/>
      <c r="V228" s="562"/>
      <c r="W228" s="562"/>
      <c r="X228" s="562"/>
      <c r="Y228" s="562"/>
      <c r="Z228" s="562"/>
      <c r="AA228" s="562"/>
      <c r="AB228" s="562"/>
      <c r="AC228" s="562"/>
      <c r="AD228" s="562"/>
      <c r="AE228" s="562"/>
      <c r="AF228" s="562"/>
      <c r="AG228" s="562"/>
      <c r="AH228" s="562"/>
      <c r="AI228" s="562"/>
    </row>
    <row r="229" spans="2:35" s="88" customFormat="1" x14ac:dyDescent="0.4">
      <c r="B229" s="574"/>
      <c r="C229" s="562"/>
      <c r="D229" s="562"/>
      <c r="E229" s="562"/>
      <c r="F229" s="562"/>
      <c r="G229" s="562"/>
      <c r="H229" s="562"/>
      <c r="I229" s="562"/>
      <c r="J229" s="597"/>
      <c r="K229" s="562"/>
      <c r="L229" s="562"/>
      <c r="M229" s="562"/>
      <c r="N229" s="562"/>
      <c r="O229" s="562"/>
      <c r="P229" s="562"/>
      <c r="Q229" s="562"/>
      <c r="R229" s="562"/>
      <c r="S229" s="562"/>
      <c r="T229" s="562"/>
      <c r="U229" s="562"/>
      <c r="V229" s="562"/>
      <c r="W229" s="562"/>
      <c r="X229" s="562"/>
      <c r="Y229" s="562"/>
      <c r="Z229" s="562"/>
      <c r="AA229" s="562"/>
      <c r="AB229" s="562"/>
      <c r="AC229" s="562"/>
      <c r="AD229" s="562"/>
      <c r="AE229" s="562"/>
      <c r="AF229" s="562"/>
      <c r="AG229" s="562"/>
      <c r="AH229" s="562"/>
      <c r="AI229" s="562"/>
    </row>
    <row r="230" spans="2:35" s="88" customFormat="1" x14ac:dyDescent="0.4">
      <c r="B230" s="574"/>
      <c r="C230" s="562"/>
      <c r="D230" s="562"/>
      <c r="E230" s="562"/>
      <c r="F230" s="562"/>
      <c r="G230" s="562"/>
      <c r="H230" s="562"/>
      <c r="I230" s="562"/>
      <c r="J230" s="597"/>
      <c r="K230" s="562"/>
      <c r="L230" s="562"/>
      <c r="M230" s="562"/>
      <c r="N230" s="562"/>
      <c r="O230" s="562"/>
      <c r="P230" s="562"/>
      <c r="Q230" s="562"/>
      <c r="R230" s="562"/>
      <c r="S230" s="562"/>
      <c r="T230" s="562"/>
      <c r="U230" s="562"/>
      <c r="V230" s="562"/>
      <c r="W230" s="562"/>
      <c r="X230" s="562"/>
      <c r="Y230" s="562"/>
      <c r="Z230" s="562"/>
      <c r="AA230" s="562"/>
      <c r="AB230" s="562"/>
      <c r="AC230" s="562"/>
      <c r="AD230" s="562"/>
      <c r="AE230" s="562"/>
      <c r="AF230" s="562"/>
      <c r="AG230" s="562"/>
      <c r="AH230" s="562"/>
      <c r="AI230" s="562"/>
    </row>
    <row r="231" spans="2:35" s="88" customFormat="1" x14ac:dyDescent="0.4">
      <c r="B231" s="574"/>
      <c r="C231" s="562"/>
      <c r="D231" s="562"/>
      <c r="E231" s="562"/>
      <c r="F231" s="562"/>
      <c r="G231" s="562"/>
      <c r="H231" s="562"/>
      <c r="I231" s="562"/>
      <c r="J231" s="597"/>
      <c r="K231" s="562"/>
      <c r="L231" s="562"/>
      <c r="M231" s="562"/>
      <c r="N231" s="562"/>
      <c r="O231" s="562"/>
      <c r="P231" s="562"/>
      <c r="Q231" s="562"/>
      <c r="R231" s="562"/>
      <c r="S231" s="562"/>
      <c r="T231" s="562"/>
      <c r="U231" s="562"/>
      <c r="V231" s="562"/>
      <c r="W231" s="562"/>
      <c r="X231" s="562"/>
      <c r="Y231" s="562"/>
      <c r="Z231" s="562"/>
      <c r="AA231" s="562"/>
      <c r="AB231" s="562"/>
      <c r="AC231" s="562"/>
      <c r="AD231" s="562"/>
      <c r="AE231" s="562"/>
      <c r="AF231" s="562"/>
      <c r="AG231" s="562"/>
      <c r="AH231" s="562"/>
      <c r="AI231" s="562"/>
    </row>
    <row r="232" spans="2:35" s="88" customFormat="1" x14ac:dyDescent="0.4">
      <c r="B232" s="574"/>
      <c r="C232" s="562"/>
      <c r="D232" s="562"/>
      <c r="E232" s="562"/>
      <c r="F232" s="562"/>
      <c r="G232" s="562"/>
      <c r="H232" s="562"/>
      <c r="I232" s="562"/>
      <c r="J232" s="597"/>
      <c r="K232" s="562"/>
      <c r="L232" s="562"/>
      <c r="M232" s="562"/>
      <c r="N232" s="562"/>
      <c r="O232" s="562"/>
      <c r="P232" s="562"/>
      <c r="Q232" s="562"/>
      <c r="R232" s="562"/>
      <c r="S232" s="562"/>
      <c r="T232" s="562"/>
      <c r="U232" s="562"/>
      <c r="V232" s="562"/>
      <c r="W232" s="562"/>
      <c r="X232" s="562"/>
      <c r="Y232" s="562"/>
      <c r="Z232" s="562"/>
      <c r="AA232" s="562"/>
      <c r="AB232" s="562"/>
      <c r="AC232" s="562"/>
      <c r="AD232" s="562"/>
      <c r="AE232" s="562"/>
      <c r="AF232" s="562"/>
      <c r="AG232" s="562"/>
      <c r="AH232" s="562"/>
      <c r="AI232" s="562"/>
    </row>
    <row r="233" spans="2:35" s="88" customFormat="1" x14ac:dyDescent="0.4">
      <c r="B233" s="574"/>
      <c r="C233" s="562"/>
      <c r="D233" s="562"/>
      <c r="E233" s="562"/>
      <c r="F233" s="562"/>
      <c r="G233" s="562"/>
      <c r="H233" s="562"/>
      <c r="I233" s="562"/>
      <c r="J233" s="597"/>
      <c r="K233" s="562"/>
      <c r="L233" s="562"/>
      <c r="M233" s="562"/>
      <c r="N233" s="562"/>
      <c r="O233" s="562"/>
      <c r="P233" s="562"/>
      <c r="Q233" s="562"/>
      <c r="R233" s="562"/>
      <c r="S233" s="562"/>
      <c r="T233" s="562"/>
      <c r="U233" s="562"/>
      <c r="V233" s="562"/>
      <c r="W233" s="562"/>
      <c r="X233" s="562"/>
      <c r="Y233" s="562"/>
      <c r="Z233" s="562"/>
      <c r="AA233" s="562"/>
      <c r="AB233" s="562"/>
      <c r="AC233" s="562"/>
      <c r="AD233" s="562"/>
      <c r="AE233" s="562"/>
      <c r="AF233" s="562"/>
      <c r="AG233" s="562"/>
      <c r="AH233" s="562"/>
      <c r="AI233" s="562"/>
    </row>
    <row r="234" spans="2:35" s="88" customFormat="1" x14ac:dyDescent="0.4">
      <c r="B234" s="574"/>
      <c r="C234" s="562"/>
      <c r="D234" s="562"/>
      <c r="E234" s="562"/>
      <c r="F234" s="562"/>
      <c r="G234" s="562"/>
      <c r="H234" s="562"/>
      <c r="I234" s="562"/>
      <c r="J234" s="597"/>
      <c r="K234" s="562"/>
      <c r="L234" s="562"/>
      <c r="M234" s="562"/>
      <c r="N234" s="562"/>
      <c r="O234" s="562"/>
      <c r="P234" s="562"/>
      <c r="Q234" s="562"/>
      <c r="R234" s="562"/>
      <c r="S234" s="562"/>
      <c r="T234" s="562"/>
      <c r="U234" s="562"/>
      <c r="V234" s="562"/>
      <c r="W234" s="562"/>
      <c r="X234" s="562"/>
      <c r="Y234" s="562"/>
      <c r="Z234" s="562"/>
      <c r="AA234" s="562"/>
      <c r="AB234" s="562"/>
      <c r="AC234" s="562"/>
      <c r="AD234" s="562"/>
      <c r="AE234" s="562"/>
      <c r="AF234" s="562"/>
      <c r="AG234" s="562"/>
      <c r="AH234" s="562"/>
      <c r="AI234" s="562"/>
    </row>
    <row r="235" spans="2:35" s="88" customFormat="1" x14ac:dyDescent="0.4">
      <c r="B235" s="574"/>
      <c r="C235" s="562"/>
      <c r="D235" s="562"/>
      <c r="E235" s="562"/>
      <c r="F235" s="562"/>
      <c r="G235" s="562"/>
      <c r="H235" s="562"/>
      <c r="I235" s="562"/>
      <c r="J235" s="597"/>
      <c r="K235" s="562"/>
      <c r="L235" s="562"/>
      <c r="M235" s="562"/>
      <c r="N235" s="562"/>
      <c r="O235" s="562"/>
      <c r="P235" s="562"/>
      <c r="Q235" s="562"/>
      <c r="R235" s="562"/>
      <c r="S235" s="562"/>
      <c r="T235" s="562"/>
      <c r="U235" s="562"/>
      <c r="V235" s="562"/>
      <c r="W235" s="562"/>
      <c r="X235" s="562"/>
      <c r="Y235" s="562"/>
      <c r="Z235" s="562"/>
      <c r="AA235" s="562"/>
      <c r="AB235" s="562"/>
      <c r="AC235" s="562"/>
      <c r="AD235" s="562"/>
      <c r="AE235" s="562"/>
      <c r="AF235" s="562"/>
      <c r="AG235" s="562"/>
      <c r="AH235" s="562"/>
      <c r="AI235" s="562"/>
    </row>
    <row r="236" spans="2:35" s="88" customFormat="1" x14ac:dyDescent="0.4">
      <c r="B236" s="574"/>
      <c r="C236" s="562"/>
      <c r="D236" s="562"/>
      <c r="E236" s="562"/>
      <c r="F236" s="562"/>
      <c r="G236" s="562"/>
      <c r="H236" s="562"/>
      <c r="I236" s="562"/>
      <c r="J236" s="597"/>
      <c r="K236" s="562"/>
      <c r="L236" s="562"/>
      <c r="M236" s="562"/>
      <c r="N236" s="562"/>
      <c r="O236" s="562"/>
      <c r="P236" s="562"/>
      <c r="Q236" s="562"/>
      <c r="R236" s="562"/>
      <c r="S236" s="562"/>
      <c r="T236" s="562"/>
      <c r="U236" s="562"/>
      <c r="V236" s="562"/>
      <c r="W236" s="562"/>
      <c r="X236" s="562"/>
      <c r="Y236" s="562"/>
      <c r="Z236" s="562"/>
      <c r="AA236" s="562"/>
      <c r="AB236" s="562"/>
      <c r="AC236" s="562"/>
      <c r="AD236" s="562"/>
      <c r="AE236" s="562"/>
      <c r="AF236" s="562"/>
      <c r="AG236" s="562"/>
      <c r="AH236" s="562"/>
      <c r="AI236" s="562"/>
    </row>
    <row r="237" spans="2:35" s="88" customFormat="1" x14ac:dyDescent="0.4">
      <c r="B237" s="574"/>
      <c r="C237" s="562"/>
      <c r="D237" s="562"/>
      <c r="E237" s="562"/>
      <c r="F237" s="562"/>
      <c r="G237" s="562"/>
      <c r="H237" s="562"/>
      <c r="I237" s="562"/>
      <c r="J237" s="597"/>
      <c r="K237" s="562"/>
      <c r="L237" s="562"/>
      <c r="M237" s="562"/>
      <c r="N237" s="562"/>
      <c r="O237" s="562"/>
      <c r="P237" s="562"/>
      <c r="Q237" s="562"/>
      <c r="R237" s="562"/>
      <c r="S237" s="562"/>
      <c r="T237" s="562"/>
      <c r="U237" s="562"/>
      <c r="V237" s="562"/>
      <c r="W237" s="562"/>
      <c r="X237" s="562"/>
      <c r="Y237" s="562"/>
      <c r="Z237" s="562"/>
      <c r="AA237" s="562"/>
      <c r="AB237" s="562"/>
      <c r="AC237" s="562"/>
      <c r="AD237" s="562"/>
      <c r="AE237" s="562"/>
      <c r="AF237" s="562"/>
      <c r="AG237" s="562"/>
      <c r="AH237" s="562"/>
      <c r="AI237" s="562"/>
    </row>
    <row r="238" spans="2:35" s="88" customFormat="1" x14ac:dyDescent="0.4">
      <c r="B238" s="574"/>
      <c r="C238" s="562"/>
      <c r="D238" s="562"/>
      <c r="E238" s="562"/>
      <c r="F238" s="562"/>
      <c r="G238" s="562"/>
      <c r="H238" s="562"/>
      <c r="I238" s="562"/>
      <c r="J238" s="597"/>
      <c r="K238" s="562"/>
      <c r="L238" s="562"/>
      <c r="M238" s="562"/>
      <c r="N238" s="562"/>
      <c r="O238" s="562"/>
      <c r="P238" s="562"/>
      <c r="Q238" s="562"/>
      <c r="R238" s="562"/>
      <c r="S238" s="562"/>
      <c r="T238" s="562"/>
      <c r="U238" s="562"/>
      <c r="V238" s="562"/>
      <c r="W238" s="562"/>
      <c r="X238" s="562"/>
      <c r="Y238" s="562"/>
      <c r="Z238" s="562"/>
      <c r="AA238" s="562"/>
      <c r="AB238" s="562"/>
      <c r="AC238" s="562"/>
      <c r="AD238" s="562"/>
      <c r="AE238" s="562"/>
      <c r="AF238" s="562"/>
      <c r="AG238" s="562"/>
      <c r="AH238" s="562"/>
      <c r="AI238" s="562"/>
    </row>
    <row r="239" spans="2:35" s="88" customFormat="1" x14ac:dyDescent="0.4">
      <c r="B239" s="574"/>
      <c r="C239" s="562"/>
      <c r="D239" s="562"/>
      <c r="E239" s="562"/>
      <c r="F239" s="562"/>
      <c r="G239" s="562"/>
      <c r="H239" s="562"/>
      <c r="I239" s="562"/>
      <c r="J239" s="597"/>
      <c r="K239" s="562"/>
      <c r="L239" s="562"/>
      <c r="M239" s="562"/>
      <c r="N239" s="562"/>
      <c r="O239" s="562"/>
      <c r="P239" s="562"/>
      <c r="Q239" s="562"/>
      <c r="R239" s="562"/>
      <c r="S239" s="562"/>
      <c r="T239" s="562"/>
      <c r="U239" s="562"/>
      <c r="V239" s="562"/>
      <c r="W239" s="562"/>
      <c r="X239" s="562"/>
      <c r="Y239" s="562"/>
      <c r="Z239" s="562"/>
      <c r="AA239" s="562"/>
      <c r="AB239" s="562"/>
      <c r="AC239" s="562"/>
      <c r="AD239" s="562"/>
      <c r="AE239" s="562"/>
      <c r="AF239" s="562"/>
      <c r="AG239" s="562"/>
      <c r="AH239" s="562"/>
      <c r="AI239" s="562"/>
    </row>
    <row r="240" spans="2:35" s="88" customFormat="1" x14ac:dyDescent="0.4">
      <c r="B240" s="574"/>
      <c r="C240" s="562"/>
      <c r="D240" s="562"/>
      <c r="E240" s="562"/>
      <c r="F240" s="562"/>
      <c r="G240" s="562"/>
      <c r="H240" s="562"/>
      <c r="I240" s="562"/>
      <c r="J240" s="597"/>
      <c r="K240" s="562"/>
      <c r="L240" s="562"/>
      <c r="M240" s="562"/>
      <c r="N240" s="562"/>
      <c r="O240" s="562"/>
      <c r="P240" s="562"/>
      <c r="Q240" s="562"/>
      <c r="R240" s="562"/>
      <c r="S240" s="562"/>
      <c r="T240" s="562"/>
      <c r="U240" s="562"/>
      <c r="V240" s="562"/>
      <c r="W240" s="562"/>
      <c r="X240" s="562"/>
      <c r="Y240" s="562"/>
      <c r="Z240" s="562"/>
      <c r="AA240" s="562"/>
      <c r="AB240" s="562"/>
      <c r="AC240" s="562"/>
      <c r="AD240" s="562"/>
      <c r="AE240" s="562"/>
      <c r="AF240" s="562"/>
      <c r="AG240" s="562"/>
      <c r="AH240" s="562"/>
      <c r="AI240" s="562"/>
    </row>
    <row r="241" spans="2:35" s="88" customFormat="1" x14ac:dyDescent="0.4">
      <c r="B241" s="574"/>
      <c r="C241" s="562"/>
      <c r="D241" s="562"/>
      <c r="E241" s="562"/>
      <c r="F241" s="562"/>
      <c r="G241" s="562"/>
      <c r="H241" s="562"/>
      <c r="I241" s="562"/>
      <c r="J241" s="597"/>
      <c r="K241" s="562"/>
      <c r="L241" s="562"/>
      <c r="M241" s="562"/>
      <c r="N241" s="562"/>
      <c r="O241" s="562"/>
      <c r="P241" s="562"/>
      <c r="Q241" s="562"/>
      <c r="R241" s="562"/>
      <c r="S241" s="562"/>
      <c r="T241" s="562"/>
      <c r="U241" s="562"/>
      <c r="V241" s="562"/>
      <c r="W241" s="562"/>
      <c r="X241" s="562"/>
      <c r="Y241" s="562"/>
      <c r="Z241" s="562"/>
      <c r="AA241" s="562"/>
      <c r="AB241" s="562"/>
      <c r="AC241" s="562"/>
      <c r="AD241" s="562"/>
      <c r="AE241" s="562"/>
      <c r="AF241" s="562"/>
      <c r="AG241" s="562"/>
      <c r="AH241" s="562"/>
      <c r="AI241" s="562"/>
    </row>
    <row r="242" spans="2:35" s="88" customFormat="1" x14ac:dyDescent="0.4">
      <c r="B242" s="574"/>
      <c r="C242" s="562"/>
      <c r="D242" s="562"/>
      <c r="E242" s="562"/>
      <c r="F242" s="562"/>
      <c r="G242" s="562"/>
      <c r="H242" s="562"/>
      <c r="I242" s="562"/>
      <c r="J242" s="597"/>
      <c r="K242" s="562"/>
      <c r="L242" s="562"/>
      <c r="M242" s="562"/>
      <c r="N242" s="562"/>
      <c r="O242" s="562"/>
      <c r="P242" s="562"/>
      <c r="Q242" s="562"/>
      <c r="R242" s="562"/>
      <c r="S242" s="562"/>
      <c r="T242" s="562"/>
      <c r="U242" s="562"/>
      <c r="V242" s="562"/>
      <c r="W242" s="562"/>
      <c r="X242" s="562"/>
      <c r="Y242" s="562"/>
      <c r="Z242" s="562"/>
      <c r="AA242" s="562"/>
      <c r="AB242" s="562"/>
      <c r="AC242" s="562"/>
      <c r="AD242" s="562"/>
      <c r="AE242" s="562"/>
      <c r="AF242" s="562"/>
      <c r="AG242" s="562"/>
      <c r="AH242" s="562"/>
      <c r="AI242" s="562"/>
    </row>
    <row r="243" spans="2:35" s="88" customFormat="1" x14ac:dyDescent="0.4">
      <c r="B243" s="574"/>
      <c r="C243" s="562"/>
      <c r="D243" s="562"/>
      <c r="E243" s="562"/>
      <c r="F243" s="562"/>
      <c r="G243" s="562"/>
      <c r="H243" s="562"/>
      <c r="I243" s="562"/>
      <c r="J243" s="597"/>
      <c r="K243" s="562"/>
      <c r="L243" s="562"/>
      <c r="M243" s="562"/>
      <c r="N243" s="562"/>
      <c r="O243" s="562"/>
      <c r="P243" s="562"/>
      <c r="Q243" s="562"/>
      <c r="R243" s="562"/>
      <c r="S243" s="562"/>
      <c r="T243" s="562"/>
      <c r="U243" s="562"/>
      <c r="V243" s="562"/>
      <c r="W243" s="562"/>
      <c r="X243" s="562"/>
      <c r="Y243" s="562"/>
      <c r="Z243" s="562"/>
      <c r="AA243" s="562"/>
      <c r="AB243" s="562"/>
      <c r="AC243" s="562"/>
      <c r="AD243" s="562"/>
      <c r="AE243" s="562"/>
      <c r="AF243" s="562"/>
      <c r="AG243" s="562"/>
      <c r="AH243" s="562"/>
      <c r="AI243" s="562"/>
    </row>
    <row r="244" spans="2:35" s="88" customFormat="1" x14ac:dyDescent="0.4">
      <c r="B244" s="574"/>
      <c r="C244" s="562"/>
      <c r="D244" s="562"/>
      <c r="E244" s="562"/>
      <c r="F244" s="562"/>
      <c r="G244" s="562"/>
      <c r="H244" s="562"/>
      <c r="I244" s="562"/>
      <c r="J244" s="597"/>
      <c r="K244" s="562"/>
      <c r="L244" s="562"/>
      <c r="M244" s="562"/>
      <c r="N244" s="562"/>
      <c r="O244" s="562"/>
      <c r="P244" s="562"/>
      <c r="Q244" s="562"/>
      <c r="R244" s="562"/>
      <c r="S244" s="562"/>
      <c r="T244" s="562"/>
      <c r="U244" s="562"/>
      <c r="V244" s="562"/>
      <c r="W244" s="562"/>
      <c r="X244" s="562"/>
      <c r="Y244" s="562"/>
      <c r="Z244" s="562"/>
      <c r="AA244" s="562"/>
      <c r="AB244" s="562"/>
      <c r="AC244" s="562"/>
      <c r="AD244" s="562"/>
      <c r="AE244" s="562"/>
      <c r="AF244" s="562"/>
      <c r="AG244" s="562"/>
      <c r="AH244" s="562"/>
      <c r="AI244" s="562"/>
    </row>
    <row r="245" spans="2:35" s="88" customFormat="1" x14ac:dyDescent="0.4">
      <c r="B245" s="574"/>
      <c r="C245" s="562"/>
      <c r="D245" s="562"/>
      <c r="E245" s="562"/>
      <c r="F245" s="562"/>
      <c r="G245" s="562"/>
      <c r="H245" s="562"/>
      <c r="I245" s="562"/>
      <c r="J245" s="597"/>
      <c r="K245" s="562"/>
      <c r="L245" s="562"/>
      <c r="M245" s="562"/>
      <c r="N245" s="562"/>
      <c r="O245" s="562"/>
      <c r="P245" s="562"/>
      <c r="Q245" s="562"/>
      <c r="R245" s="562"/>
      <c r="S245" s="562"/>
      <c r="T245" s="562"/>
      <c r="U245" s="562"/>
      <c r="V245" s="562"/>
      <c r="W245" s="562"/>
      <c r="X245" s="562"/>
      <c r="Y245" s="562"/>
      <c r="Z245" s="562"/>
      <c r="AA245" s="562"/>
      <c r="AB245" s="562"/>
      <c r="AC245" s="562"/>
      <c r="AD245" s="562"/>
      <c r="AE245" s="562"/>
      <c r="AF245" s="562"/>
      <c r="AG245" s="562"/>
      <c r="AH245" s="562"/>
      <c r="AI245" s="562"/>
    </row>
    <row r="246" spans="2:35" s="88" customFormat="1" x14ac:dyDescent="0.4">
      <c r="B246" s="574"/>
      <c r="C246" s="562"/>
      <c r="D246" s="562"/>
      <c r="E246" s="562"/>
      <c r="F246" s="562"/>
      <c r="G246" s="562"/>
      <c r="H246" s="562"/>
      <c r="I246" s="562"/>
      <c r="J246" s="597"/>
      <c r="K246" s="562"/>
      <c r="L246" s="562"/>
      <c r="M246" s="562"/>
      <c r="N246" s="562"/>
      <c r="O246" s="562"/>
      <c r="P246" s="562"/>
      <c r="Q246" s="562"/>
      <c r="R246" s="562"/>
      <c r="S246" s="562"/>
      <c r="T246" s="562"/>
      <c r="U246" s="562"/>
      <c r="V246" s="562"/>
      <c r="W246" s="562"/>
      <c r="X246" s="562"/>
      <c r="Y246" s="562"/>
      <c r="Z246" s="562"/>
      <c r="AA246" s="562"/>
      <c r="AB246" s="562"/>
      <c r="AC246" s="562"/>
      <c r="AD246" s="562"/>
      <c r="AE246" s="562"/>
      <c r="AF246" s="562"/>
      <c r="AG246" s="562"/>
      <c r="AH246" s="562"/>
      <c r="AI246" s="562"/>
    </row>
    <row r="247" spans="2:35" s="88" customFormat="1" x14ac:dyDescent="0.4">
      <c r="B247" s="574"/>
      <c r="C247" s="562"/>
      <c r="D247" s="562"/>
      <c r="E247" s="562"/>
      <c r="F247" s="562"/>
      <c r="G247" s="562"/>
      <c r="H247" s="562"/>
      <c r="I247" s="562"/>
      <c r="J247" s="597"/>
      <c r="K247" s="562"/>
      <c r="L247" s="562"/>
      <c r="M247" s="562"/>
      <c r="N247" s="562"/>
      <c r="O247" s="562"/>
      <c r="P247" s="562"/>
      <c r="Q247" s="562"/>
      <c r="R247" s="562"/>
      <c r="S247" s="562"/>
      <c r="T247" s="562"/>
      <c r="U247" s="562"/>
      <c r="V247" s="562"/>
      <c r="W247" s="562"/>
      <c r="X247" s="562"/>
      <c r="Y247" s="562"/>
      <c r="Z247" s="562"/>
      <c r="AA247" s="562"/>
      <c r="AB247" s="562"/>
      <c r="AC247" s="562"/>
      <c r="AD247" s="562"/>
      <c r="AE247" s="562"/>
      <c r="AF247" s="562"/>
      <c r="AG247" s="562"/>
      <c r="AH247" s="562"/>
      <c r="AI247" s="562"/>
    </row>
    <row r="248" spans="2:35" s="88" customFormat="1" x14ac:dyDescent="0.4">
      <c r="B248" s="574"/>
      <c r="C248" s="562"/>
      <c r="D248" s="562"/>
      <c r="E248" s="562"/>
      <c r="F248" s="562"/>
      <c r="G248" s="562"/>
      <c r="H248" s="562"/>
      <c r="I248" s="562"/>
      <c r="J248" s="597"/>
      <c r="K248" s="562"/>
      <c r="L248" s="562"/>
      <c r="M248" s="562"/>
      <c r="N248" s="562"/>
      <c r="O248" s="562"/>
      <c r="P248" s="562"/>
      <c r="Q248" s="562"/>
      <c r="R248" s="562"/>
      <c r="S248" s="562"/>
      <c r="T248" s="562"/>
      <c r="U248" s="562"/>
      <c r="V248" s="562"/>
      <c r="W248" s="562"/>
      <c r="X248" s="562"/>
      <c r="Y248" s="562"/>
      <c r="Z248" s="562"/>
      <c r="AA248" s="562"/>
      <c r="AB248" s="562"/>
      <c r="AC248" s="562"/>
      <c r="AD248" s="562"/>
      <c r="AE248" s="562"/>
      <c r="AF248" s="562"/>
      <c r="AG248" s="562"/>
      <c r="AH248" s="562"/>
      <c r="AI248" s="562"/>
    </row>
    <row r="249" spans="2:35" s="88" customFormat="1" x14ac:dyDescent="0.4">
      <c r="B249" s="574"/>
      <c r="C249" s="562"/>
      <c r="D249" s="562"/>
      <c r="E249" s="562"/>
      <c r="F249" s="562"/>
      <c r="G249" s="562"/>
      <c r="H249" s="562"/>
      <c r="I249" s="562"/>
      <c r="J249" s="597"/>
      <c r="K249" s="562"/>
      <c r="L249" s="562"/>
      <c r="M249" s="562"/>
      <c r="N249" s="562"/>
      <c r="O249" s="562"/>
      <c r="P249" s="562"/>
      <c r="Q249" s="562"/>
      <c r="R249" s="562"/>
      <c r="S249" s="562"/>
      <c r="T249" s="562"/>
      <c r="U249" s="562"/>
      <c r="V249" s="562"/>
      <c r="W249" s="562"/>
      <c r="X249" s="562"/>
      <c r="Y249" s="562"/>
      <c r="Z249" s="562"/>
      <c r="AA249" s="562"/>
      <c r="AB249" s="562"/>
      <c r="AC249" s="562"/>
      <c r="AD249" s="562"/>
      <c r="AE249" s="562"/>
      <c r="AF249" s="562"/>
      <c r="AG249" s="562"/>
      <c r="AH249" s="562"/>
      <c r="AI249" s="562"/>
    </row>
    <row r="250" spans="2:35" s="88" customFormat="1" x14ac:dyDescent="0.4">
      <c r="B250" s="574"/>
      <c r="C250" s="562"/>
      <c r="D250" s="562"/>
      <c r="E250" s="562"/>
      <c r="F250" s="562"/>
      <c r="G250" s="562"/>
      <c r="H250" s="562"/>
      <c r="I250" s="562"/>
      <c r="J250" s="597"/>
      <c r="K250" s="562"/>
      <c r="L250" s="562"/>
      <c r="M250" s="562"/>
      <c r="N250" s="562"/>
      <c r="O250" s="562"/>
      <c r="P250" s="562"/>
      <c r="Q250" s="562"/>
      <c r="R250" s="562"/>
      <c r="S250" s="562"/>
      <c r="T250" s="562"/>
      <c r="U250" s="562"/>
      <c r="V250" s="562"/>
      <c r="W250" s="562"/>
      <c r="X250" s="562"/>
      <c r="Y250" s="562"/>
      <c r="Z250" s="562"/>
      <c r="AA250" s="562"/>
      <c r="AB250" s="562"/>
      <c r="AC250" s="562"/>
      <c r="AD250" s="562"/>
      <c r="AE250" s="562"/>
      <c r="AF250" s="562"/>
      <c r="AG250" s="562"/>
      <c r="AH250" s="562"/>
      <c r="AI250" s="562"/>
    </row>
  </sheetData>
  <mergeCells count="296">
    <mergeCell ref="P157:Q157"/>
    <mergeCell ref="X157:Y157"/>
    <mergeCell ref="P158:Q158"/>
    <mergeCell ref="X158:Y158"/>
    <mergeCell ref="P154:Q154"/>
    <mergeCell ref="X154:Y154"/>
    <mergeCell ref="P155:Q155"/>
    <mergeCell ref="X155:Y155"/>
    <mergeCell ref="P156:Q156"/>
    <mergeCell ref="X156:Y156"/>
    <mergeCell ref="P151:Q151"/>
    <mergeCell ref="X151:Y151"/>
    <mergeCell ref="P152:Q152"/>
    <mergeCell ref="X152:Y152"/>
    <mergeCell ref="P153:Q153"/>
    <mergeCell ref="X153:Y153"/>
    <mergeCell ref="P148:Q148"/>
    <mergeCell ref="X148:Y148"/>
    <mergeCell ref="P149:Q149"/>
    <mergeCell ref="X149:Y149"/>
    <mergeCell ref="P150:Q150"/>
    <mergeCell ref="X150:Y150"/>
    <mergeCell ref="P145:Q145"/>
    <mergeCell ref="X145:Y145"/>
    <mergeCell ref="P146:Q146"/>
    <mergeCell ref="X146:Y146"/>
    <mergeCell ref="P147:Q147"/>
    <mergeCell ref="X147:Y147"/>
    <mergeCell ref="L99:M99"/>
    <mergeCell ref="X99:Y99"/>
    <mergeCell ref="P143:Q143"/>
    <mergeCell ref="X143:Y143"/>
    <mergeCell ref="P144:Q144"/>
    <mergeCell ref="X144:Y144"/>
    <mergeCell ref="L96:M96"/>
    <mergeCell ref="X96:Y96"/>
    <mergeCell ref="L97:M97"/>
    <mergeCell ref="X97:Y97"/>
    <mergeCell ref="L98:M98"/>
    <mergeCell ref="X98:Y98"/>
    <mergeCell ref="L93:M93"/>
    <mergeCell ref="X93:Y93"/>
    <mergeCell ref="L94:M94"/>
    <mergeCell ref="X94:Y94"/>
    <mergeCell ref="L95:M95"/>
    <mergeCell ref="X95:Y95"/>
    <mergeCell ref="L90:M90"/>
    <mergeCell ref="X90:Y90"/>
    <mergeCell ref="L91:M91"/>
    <mergeCell ref="X91:Y91"/>
    <mergeCell ref="L92:M92"/>
    <mergeCell ref="X92:Y92"/>
    <mergeCell ref="L87:M87"/>
    <mergeCell ref="X87:Y87"/>
    <mergeCell ref="L88:M88"/>
    <mergeCell ref="X88:Y88"/>
    <mergeCell ref="L89:M89"/>
    <mergeCell ref="X89:Y89"/>
    <mergeCell ref="L85:O85"/>
    <mergeCell ref="S85:U85"/>
    <mergeCell ref="X85:Y85"/>
    <mergeCell ref="L86:O86"/>
    <mergeCell ref="S86:U86"/>
    <mergeCell ref="X86:Y86"/>
    <mergeCell ref="L83:O83"/>
    <mergeCell ref="S83:U83"/>
    <mergeCell ref="X83:Y83"/>
    <mergeCell ref="L84:O84"/>
    <mergeCell ref="S84:U84"/>
    <mergeCell ref="X84:Y84"/>
    <mergeCell ref="L81:O81"/>
    <mergeCell ref="S81:U81"/>
    <mergeCell ref="X81:Y81"/>
    <mergeCell ref="L82:O82"/>
    <mergeCell ref="S82:U82"/>
    <mergeCell ref="X82:Y82"/>
    <mergeCell ref="L78:M78"/>
    <mergeCell ref="X78:Y78"/>
    <mergeCell ref="L79:Q79"/>
    <mergeCell ref="S79:U79"/>
    <mergeCell ref="X79:Z79"/>
    <mergeCell ref="L80:O80"/>
    <mergeCell ref="S80:U80"/>
    <mergeCell ref="X80:Y80"/>
    <mergeCell ref="L76:M76"/>
    <mergeCell ref="O76:Q76"/>
    <mergeCell ref="S76:U76"/>
    <mergeCell ref="W76:Y76"/>
    <mergeCell ref="L77:M77"/>
    <mergeCell ref="O77:Q77"/>
    <mergeCell ref="S77:U77"/>
    <mergeCell ref="W77:Y77"/>
    <mergeCell ref="L74:M74"/>
    <mergeCell ref="O74:Q74"/>
    <mergeCell ref="S74:U74"/>
    <mergeCell ref="W74:Y74"/>
    <mergeCell ref="L75:M75"/>
    <mergeCell ref="O75:Q75"/>
    <mergeCell ref="S75:U75"/>
    <mergeCell ref="W75:Y75"/>
    <mergeCell ref="O72:Q72"/>
    <mergeCell ref="S72:U72"/>
    <mergeCell ref="W72:Y72"/>
    <mergeCell ref="L73:M73"/>
    <mergeCell ref="O73:Q73"/>
    <mergeCell ref="S73:U73"/>
    <mergeCell ref="W73:Y73"/>
    <mergeCell ref="O70:Q70"/>
    <mergeCell ref="S70:U70"/>
    <mergeCell ref="W70:Y70"/>
    <mergeCell ref="O71:Q71"/>
    <mergeCell ref="S71:U71"/>
    <mergeCell ref="W71:Y71"/>
    <mergeCell ref="O68:Q68"/>
    <mergeCell ref="S68:U68"/>
    <mergeCell ref="W68:Y68"/>
    <mergeCell ref="O69:Q69"/>
    <mergeCell ref="S69:U69"/>
    <mergeCell ref="W69:Y69"/>
    <mergeCell ref="O66:Q66"/>
    <mergeCell ref="S66:U66"/>
    <mergeCell ref="W66:Y66"/>
    <mergeCell ref="O67:Q67"/>
    <mergeCell ref="S67:U67"/>
    <mergeCell ref="W67:Y67"/>
    <mergeCell ref="O64:Q64"/>
    <mergeCell ref="S64:U64"/>
    <mergeCell ref="W64:Y64"/>
    <mergeCell ref="O65:Q65"/>
    <mergeCell ref="S65:U65"/>
    <mergeCell ref="W65:Y65"/>
    <mergeCell ref="O62:Q62"/>
    <mergeCell ref="S62:U62"/>
    <mergeCell ref="W62:Y62"/>
    <mergeCell ref="O63:Q63"/>
    <mergeCell ref="S63:U63"/>
    <mergeCell ref="W63:Y63"/>
    <mergeCell ref="O60:Q60"/>
    <mergeCell ref="S60:U60"/>
    <mergeCell ref="W60:Y60"/>
    <mergeCell ref="O61:Q61"/>
    <mergeCell ref="S61:U61"/>
    <mergeCell ref="W61:Y61"/>
    <mergeCell ref="O58:Q58"/>
    <mergeCell ref="S58:U58"/>
    <mergeCell ref="W58:Y58"/>
    <mergeCell ref="O59:Q59"/>
    <mergeCell ref="S59:U59"/>
    <mergeCell ref="W59:Y59"/>
    <mergeCell ref="O56:Q56"/>
    <mergeCell ref="S56:U56"/>
    <mergeCell ref="W56:Y56"/>
    <mergeCell ref="O57:Q57"/>
    <mergeCell ref="S57:U57"/>
    <mergeCell ref="W57:Y57"/>
    <mergeCell ref="O54:Q54"/>
    <mergeCell ref="S54:U54"/>
    <mergeCell ref="W54:Y54"/>
    <mergeCell ref="O55:Q55"/>
    <mergeCell ref="S55:U55"/>
    <mergeCell ref="W55:Y55"/>
    <mergeCell ref="O52:Q52"/>
    <mergeCell ref="S52:U52"/>
    <mergeCell ref="W52:Y52"/>
    <mergeCell ref="O53:Q53"/>
    <mergeCell ref="S53:U53"/>
    <mergeCell ref="W53:Y53"/>
    <mergeCell ref="O50:Q50"/>
    <mergeCell ref="S50:U50"/>
    <mergeCell ref="W50:Y50"/>
    <mergeCell ref="O51:Q51"/>
    <mergeCell ref="S51:U51"/>
    <mergeCell ref="W51:Y51"/>
    <mergeCell ref="O48:Q48"/>
    <mergeCell ref="S48:U48"/>
    <mergeCell ref="W48:Y48"/>
    <mergeCell ref="O49:Q49"/>
    <mergeCell ref="S49:U49"/>
    <mergeCell ref="W49:Y49"/>
    <mergeCell ref="O46:Q46"/>
    <mergeCell ref="S46:U46"/>
    <mergeCell ref="W46:Y46"/>
    <mergeCell ref="O47:Q47"/>
    <mergeCell ref="S47:U47"/>
    <mergeCell ref="W47:Y47"/>
    <mergeCell ref="O44:Q44"/>
    <mergeCell ref="S44:U44"/>
    <mergeCell ref="W44:Y44"/>
    <mergeCell ref="O45:Q45"/>
    <mergeCell ref="S45:U45"/>
    <mergeCell ref="W45:Y45"/>
    <mergeCell ref="O42:Q42"/>
    <mergeCell ref="S42:U42"/>
    <mergeCell ref="W42:Y42"/>
    <mergeCell ref="O43:Q43"/>
    <mergeCell ref="S43:U43"/>
    <mergeCell ref="W43:Y43"/>
    <mergeCell ref="O40:Q40"/>
    <mergeCell ref="S40:U40"/>
    <mergeCell ref="W40:Y40"/>
    <mergeCell ref="O41:Q41"/>
    <mergeCell ref="S41:U41"/>
    <mergeCell ref="W41:Y41"/>
    <mergeCell ref="O38:Q38"/>
    <mergeCell ref="S38:U38"/>
    <mergeCell ref="W38:Y38"/>
    <mergeCell ref="O39:Q39"/>
    <mergeCell ref="S39:U39"/>
    <mergeCell ref="W39:Y39"/>
    <mergeCell ref="O36:Q36"/>
    <mergeCell ref="S36:U36"/>
    <mergeCell ref="W36:Y36"/>
    <mergeCell ref="O37:Q37"/>
    <mergeCell ref="S37:U37"/>
    <mergeCell ref="W37:Y37"/>
    <mergeCell ref="O34:Q34"/>
    <mergeCell ref="S34:U34"/>
    <mergeCell ref="W34:Y34"/>
    <mergeCell ref="O35:Q35"/>
    <mergeCell ref="S35:U35"/>
    <mergeCell ref="W35:Y35"/>
    <mergeCell ref="O32:Q32"/>
    <mergeCell ref="S32:U32"/>
    <mergeCell ref="W32:Y32"/>
    <mergeCell ref="O33:Q33"/>
    <mergeCell ref="S33:U33"/>
    <mergeCell ref="W33:Y33"/>
    <mergeCell ref="O30:Q30"/>
    <mergeCell ref="S30:U30"/>
    <mergeCell ref="W30:Y30"/>
    <mergeCell ref="O31:Q31"/>
    <mergeCell ref="S31:U31"/>
    <mergeCell ref="W31:Y31"/>
    <mergeCell ref="O28:Q28"/>
    <mergeCell ref="S28:U28"/>
    <mergeCell ref="W28:Y28"/>
    <mergeCell ref="O29:Q29"/>
    <mergeCell ref="S29:U29"/>
    <mergeCell ref="W29:Y29"/>
    <mergeCell ref="O26:Q26"/>
    <mergeCell ref="S26:U26"/>
    <mergeCell ref="W26:Y26"/>
    <mergeCell ref="O27:Q27"/>
    <mergeCell ref="S27:U27"/>
    <mergeCell ref="W27:Y27"/>
    <mergeCell ref="O24:Q24"/>
    <mergeCell ref="S24:U24"/>
    <mergeCell ref="W24:Y24"/>
    <mergeCell ref="O25:Q25"/>
    <mergeCell ref="S25:U25"/>
    <mergeCell ref="W25:Y25"/>
    <mergeCell ref="O22:Q22"/>
    <mergeCell ref="S22:U22"/>
    <mergeCell ref="W22:Y22"/>
    <mergeCell ref="O23:Q23"/>
    <mergeCell ref="S23:U23"/>
    <mergeCell ref="W23:Y23"/>
    <mergeCell ref="O20:Q20"/>
    <mergeCell ref="S20:U20"/>
    <mergeCell ref="W20:Y20"/>
    <mergeCell ref="O21:Q21"/>
    <mergeCell ref="S21:U21"/>
    <mergeCell ref="W21:Y21"/>
    <mergeCell ref="O18:Q18"/>
    <mergeCell ref="S18:U18"/>
    <mergeCell ref="W18:Y18"/>
    <mergeCell ref="O19:Q19"/>
    <mergeCell ref="S19:U19"/>
    <mergeCell ref="W19:Y19"/>
    <mergeCell ref="O16:Q16"/>
    <mergeCell ref="S16:U16"/>
    <mergeCell ref="W16:Y16"/>
    <mergeCell ref="O17:Q17"/>
    <mergeCell ref="S17:U17"/>
    <mergeCell ref="W17:Y17"/>
    <mergeCell ref="O14:Q14"/>
    <mergeCell ref="S14:U14"/>
    <mergeCell ref="W14:Y14"/>
    <mergeCell ref="O15:Q15"/>
    <mergeCell ref="S15:U15"/>
    <mergeCell ref="W15:Y15"/>
    <mergeCell ref="C5:D5"/>
    <mergeCell ref="F5:I5"/>
    <mergeCell ref="O12:Q12"/>
    <mergeCell ref="S12:U12"/>
    <mergeCell ref="W12:Y12"/>
    <mergeCell ref="O13:Q13"/>
    <mergeCell ref="S13:U13"/>
    <mergeCell ref="W13:Y13"/>
    <mergeCell ref="M5:Q5"/>
    <mergeCell ref="S5:U5"/>
    <mergeCell ref="S10:U10"/>
    <mergeCell ref="W10:Y10"/>
    <mergeCell ref="O11:Q11"/>
    <mergeCell ref="S11:U11"/>
    <mergeCell ref="W11:Y11"/>
  </mergeCells>
  <hyperlinks>
    <hyperlink ref="C3" r:id="rId1" xr:uid="{00000000-0004-0000-0C00-000000000000}"/>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484"/>
  <sheetViews>
    <sheetView zoomScaleNormal="100" workbookViewId="0">
      <pane xSplit="1" ySplit="9" topLeftCell="B199" activePane="bottomRight" state="frozen"/>
      <selection pane="topRight" activeCell="B1" sqref="B1"/>
      <selection pane="bottomLeft" activeCell="A10" sqref="A10"/>
      <selection pane="bottomRight" activeCell="A2" sqref="A2"/>
    </sheetView>
  </sheetViews>
  <sheetFormatPr defaultRowHeight="14.25" x14ac:dyDescent="0.45"/>
  <cols>
    <col min="1" max="1" width="17.19921875" style="10" customWidth="1"/>
    <col min="2" max="2" width="13.73046875" style="135" customWidth="1"/>
    <col min="3" max="3" width="9.265625" style="135" bestFit="1" customWidth="1"/>
    <col min="4" max="4" width="10.53125" style="135" customWidth="1"/>
    <col min="5" max="6" width="9.265625" style="135" bestFit="1" customWidth="1"/>
    <col min="7" max="7" width="15.265625" style="135" bestFit="1" customWidth="1"/>
    <col min="8" max="8" width="9.265625" style="135" bestFit="1" customWidth="1"/>
    <col min="9" max="9" width="13.46484375" style="135" bestFit="1" customWidth="1"/>
    <col min="10" max="10" width="9.19921875" style="135" customWidth="1"/>
    <col min="11" max="11" width="12" style="135" customWidth="1"/>
    <col min="12" max="13" width="9.46484375" style="135" bestFit="1" customWidth="1"/>
    <col min="14" max="14" width="13.265625" style="135" customWidth="1"/>
    <col min="15" max="15" width="9.46484375" style="135" bestFit="1" customWidth="1"/>
    <col min="16" max="16" width="9.796875" style="135" bestFit="1" customWidth="1"/>
    <col min="17" max="17" width="12.46484375" style="135" bestFit="1" customWidth="1"/>
    <col min="18" max="18" width="10.19921875" style="135" customWidth="1"/>
    <col min="19" max="19" width="10" style="135" bestFit="1" customWidth="1"/>
    <col min="20" max="20" width="10.53125" style="135" customWidth="1"/>
    <col min="21" max="21" width="9.46484375" style="135" bestFit="1" customWidth="1"/>
    <col min="22" max="22" width="9.265625" style="135" bestFit="1" customWidth="1"/>
    <col min="23" max="23" width="9.265625" style="135" customWidth="1"/>
    <col min="24" max="24" width="9.46484375" style="135" bestFit="1" customWidth="1"/>
    <col min="25" max="25" width="10.19921875" style="135" customWidth="1"/>
    <col min="26" max="26" width="12.19921875" style="11" customWidth="1"/>
    <col min="27" max="27" width="9.53125" style="11" customWidth="1"/>
    <col min="28" max="28" width="11.53125" style="11" customWidth="1"/>
    <col min="29" max="29" width="12.73046875" style="11" customWidth="1"/>
    <col min="30" max="30" width="14.796875" style="11" customWidth="1"/>
    <col min="31" max="31" width="9.53125" style="11" customWidth="1"/>
    <col min="32" max="32" width="10.53125" style="11" customWidth="1"/>
    <col min="33" max="33" width="9.19921875" style="11"/>
    <col min="34" max="34" width="18.19921875" style="11" customWidth="1"/>
    <col min="35" max="35" width="11.19921875" style="11" customWidth="1"/>
    <col min="36" max="36" width="9.19921875" style="11"/>
    <col min="37" max="37" width="9.19921875" style="11" customWidth="1"/>
    <col min="38" max="47" width="9.19921875" style="11"/>
    <col min="48" max="48" width="11.73046875" style="11" customWidth="1"/>
    <col min="49" max="230" width="9.19921875" style="11"/>
    <col min="231" max="231" width="34.265625" style="11" customWidth="1"/>
    <col min="232" max="232" width="13.73046875" style="11" customWidth="1"/>
    <col min="233" max="233" width="9.265625" style="11" bestFit="1" customWidth="1"/>
    <col min="234" max="234" width="10.53125" style="11" customWidth="1"/>
    <col min="235" max="236" width="9.265625" style="11" bestFit="1" customWidth="1"/>
    <col min="237" max="237" width="15.265625" style="11" bestFit="1" customWidth="1"/>
    <col min="238" max="238" width="9.265625" style="11" bestFit="1" customWidth="1"/>
    <col min="239" max="239" width="13.46484375" style="11" bestFit="1" customWidth="1"/>
    <col min="240" max="240" width="9.19921875" style="11" customWidth="1"/>
    <col min="241" max="241" width="12" style="11" customWidth="1"/>
    <col min="242" max="243" width="9.46484375" style="11" bestFit="1" customWidth="1"/>
    <col min="244" max="244" width="13.265625" style="11" customWidth="1"/>
    <col min="245" max="245" width="9.46484375" style="11" bestFit="1" customWidth="1"/>
    <col min="246" max="246" width="9.796875" style="11" bestFit="1" customWidth="1"/>
    <col min="247" max="247" width="12.46484375" style="11" bestFit="1" customWidth="1"/>
    <col min="248" max="248" width="10.19921875" style="11" customWidth="1"/>
    <col min="249" max="249" width="10" style="11" bestFit="1" customWidth="1"/>
    <col min="250" max="250" width="10.53125" style="11" customWidth="1"/>
    <col min="251" max="251" width="9.46484375" style="11" bestFit="1" customWidth="1"/>
    <col min="252" max="252" width="9.265625" style="11" bestFit="1" customWidth="1"/>
    <col min="253" max="253" width="9.265625" style="11" customWidth="1"/>
    <col min="254" max="254" width="9.46484375" style="11" bestFit="1" customWidth="1"/>
    <col min="255" max="255" width="10.19921875" style="11" customWidth="1"/>
    <col min="256" max="256" width="12.19921875" style="11" customWidth="1"/>
    <col min="257" max="257" width="9.53125" style="11" customWidth="1"/>
    <col min="258" max="258" width="11.53125" style="11" customWidth="1"/>
    <col min="259" max="259" width="12.73046875" style="11" customWidth="1"/>
    <col min="260" max="260" width="14.796875" style="11" customWidth="1"/>
    <col min="261" max="261" width="9.53125" style="11" customWidth="1"/>
    <col min="262" max="262" width="10.53125" style="11" customWidth="1"/>
    <col min="263" max="263" width="9.19921875" style="11"/>
    <col min="264" max="264" width="13.265625" style="11" customWidth="1"/>
    <col min="265" max="265" width="11.19921875" style="11" customWidth="1"/>
    <col min="266" max="266" width="9.19921875" style="11"/>
    <col min="267" max="267" width="9.19921875" style="11" customWidth="1"/>
    <col min="268" max="268" width="11.265625" style="11" customWidth="1"/>
    <col min="269" max="274" width="9.19921875" style="11"/>
    <col min="275" max="275" width="11.46484375" style="11" customWidth="1"/>
    <col min="276" max="276" width="11.73046875" style="11" customWidth="1"/>
    <col min="277" max="283" width="9.19921875" style="11"/>
    <col min="284" max="284" width="11" style="11" customWidth="1"/>
    <col min="285" max="286" width="9.19921875" style="11"/>
    <col min="287" max="287" width="10.265625" style="11" customWidth="1"/>
    <col min="288" max="288" width="10.19921875" style="11" customWidth="1"/>
    <col min="289" max="289" width="12.19921875" style="11" customWidth="1"/>
    <col min="290" max="486" width="9.19921875" style="11"/>
    <col min="487" max="487" width="34.265625" style="11" customWidth="1"/>
    <col min="488" max="488" width="13.73046875" style="11" customWidth="1"/>
    <col min="489" max="489" width="9.265625" style="11" bestFit="1" customWidth="1"/>
    <col min="490" max="490" width="10.53125" style="11" customWidth="1"/>
    <col min="491" max="492" width="9.265625" style="11" bestFit="1" customWidth="1"/>
    <col min="493" max="493" width="15.265625" style="11" bestFit="1" customWidth="1"/>
    <col min="494" max="494" width="9.265625" style="11" bestFit="1" customWidth="1"/>
    <col min="495" max="495" width="13.46484375" style="11" bestFit="1" customWidth="1"/>
    <col min="496" max="496" width="9.19921875" style="11" customWidth="1"/>
    <col min="497" max="497" width="12" style="11" customWidth="1"/>
    <col min="498" max="499" width="9.46484375" style="11" bestFit="1" customWidth="1"/>
    <col min="500" max="500" width="13.265625" style="11" customWidth="1"/>
    <col min="501" max="501" width="9.46484375" style="11" bestFit="1" customWidth="1"/>
    <col min="502" max="502" width="9.796875" style="11" bestFit="1" customWidth="1"/>
    <col min="503" max="503" width="12.46484375" style="11" bestFit="1" customWidth="1"/>
    <col min="504" max="504" width="10.19921875" style="11" customWidth="1"/>
    <col min="505" max="505" width="10" style="11" bestFit="1" customWidth="1"/>
    <col min="506" max="506" width="10.53125" style="11" customWidth="1"/>
    <col min="507" max="507" width="9.46484375" style="11" bestFit="1" customWidth="1"/>
    <col min="508" max="508" width="9.265625" style="11" bestFit="1" customWidth="1"/>
    <col min="509" max="509" width="9.265625" style="11" customWidth="1"/>
    <col min="510" max="510" width="9.46484375" style="11" bestFit="1" customWidth="1"/>
    <col min="511" max="511" width="10.19921875" style="11" customWidth="1"/>
    <col min="512" max="512" width="12.19921875" style="11" customWidth="1"/>
    <col min="513" max="513" width="9.53125" style="11" customWidth="1"/>
    <col min="514" max="514" width="11.53125" style="11" customWidth="1"/>
    <col min="515" max="515" width="12.73046875" style="11" customWidth="1"/>
    <col min="516" max="516" width="14.796875" style="11" customWidth="1"/>
    <col min="517" max="517" width="9.53125" style="11" customWidth="1"/>
    <col min="518" max="518" width="10.53125" style="11" customWidth="1"/>
    <col min="519" max="519" width="9.19921875" style="11"/>
    <col min="520" max="520" width="13.265625" style="11" customWidth="1"/>
    <col min="521" max="521" width="11.19921875" style="11" customWidth="1"/>
    <col min="522" max="522" width="9.19921875" style="11"/>
    <col min="523" max="523" width="9.19921875" style="11" customWidth="1"/>
    <col min="524" max="524" width="11.265625" style="11" customWidth="1"/>
    <col min="525" max="530" width="9.19921875" style="11"/>
    <col min="531" max="531" width="11.46484375" style="11" customWidth="1"/>
    <col min="532" max="532" width="11.73046875" style="11" customWidth="1"/>
    <col min="533" max="539" width="9.19921875" style="11"/>
    <col min="540" max="540" width="11" style="11" customWidth="1"/>
    <col min="541" max="542" width="9.19921875" style="11"/>
    <col min="543" max="543" width="10.265625" style="11" customWidth="1"/>
    <col min="544" max="544" width="10.19921875" style="11" customWidth="1"/>
    <col min="545" max="545" width="12.19921875" style="11" customWidth="1"/>
    <col min="546" max="742" width="9.19921875" style="11"/>
    <col min="743" max="743" width="34.265625" style="11" customWidth="1"/>
    <col min="744" max="744" width="13.73046875" style="11" customWidth="1"/>
    <col min="745" max="745" width="9.265625" style="11" bestFit="1" customWidth="1"/>
    <col min="746" max="746" width="10.53125" style="11" customWidth="1"/>
    <col min="747" max="748" width="9.265625" style="11" bestFit="1" customWidth="1"/>
    <col min="749" max="749" width="15.265625" style="11" bestFit="1" customWidth="1"/>
    <col min="750" max="750" width="9.265625" style="11" bestFit="1" customWidth="1"/>
    <col min="751" max="751" width="13.46484375" style="11" bestFit="1" customWidth="1"/>
    <col min="752" max="752" width="9.19921875" style="11" customWidth="1"/>
    <col min="753" max="753" width="12" style="11" customWidth="1"/>
    <col min="754" max="755" width="9.46484375" style="11" bestFit="1" customWidth="1"/>
    <col min="756" max="756" width="13.265625" style="11" customWidth="1"/>
    <col min="757" max="757" width="9.46484375" style="11" bestFit="1" customWidth="1"/>
    <col min="758" max="758" width="9.796875" style="11" bestFit="1" customWidth="1"/>
    <col min="759" max="759" width="12.46484375" style="11" bestFit="1" customWidth="1"/>
    <col min="760" max="760" width="10.19921875" style="11" customWidth="1"/>
    <col min="761" max="761" width="10" style="11" bestFit="1" customWidth="1"/>
    <col min="762" max="762" width="10.53125" style="11" customWidth="1"/>
    <col min="763" max="763" width="9.46484375" style="11" bestFit="1" customWidth="1"/>
    <col min="764" max="764" width="9.265625" style="11" bestFit="1" customWidth="1"/>
    <col min="765" max="765" width="9.265625" style="11" customWidth="1"/>
    <col min="766" max="766" width="9.46484375" style="11" bestFit="1" customWidth="1"/>
    <col min="767" max="767" width="10.19921875" style="11" customWidth="1"/>
    <col min="768" max="768" width="12.19921875" style="11" customWidth="1"/>
    <col min="769" max="769" width="9.53125" style="11" customWidth="1"/>
    <col min="770" max="770" width="11.53125" style="11" customWidth="1"/>
    <col min="771" max="771" width="12.73046875" style="11" customWidth="1"/>
    <col min="772" max="772" width="14.796875" style="11" customWidth="1"/>
    <col min="773" max="773" width="9.53125" style="11" customWidth="1"/>
    <col min="774" max="774" width="10.53125" style="11" customWidth="1"/>
    <col min="775" max="775" width="9.19921875" style="11"/>
    <col min="776" max="776" width="13.265625" style="11" customWidth="1"/>
    <col min="777" max="777" width="11.19921875" style="11" customWidth="1"/>
    <col min="778" max="778" width="9.19921875" style="11"/>
    <col min="779" max="779" width="9.19921875" style="11" customWidth="1"/>
    <col min="780" max="780" width="11.265625" style="11" customWidth="1"/>
    <col min="781" max="786" width="9.19921875" style="11"/>
    <col min="787" max="787" width="11.46484375" style="11" customWidth="1"/>
    <col min="788" max="788" width="11.73046875" style="11" customWidth="1"/>
    <col min="789" max="795" width="9.19921875" style="11"/>
    <col min="796" max="796" width="11" style="11" customWidth="1"/>
    <col min="797" max="798" width="9.19921875" style="11"/>
    <col min="799" max="799" width="10.265625" style="11" customWidth="1"/>
    <col min="800" max="800" width="10.19921875" style="11" customWidth="1"/>
    <col min="801" max="801" width="12.19921875" style="11" customWidth="1"/>
    <col min="802" max="998" width="9.19921875" style="11"/>
    <col min="999" max="999" width="34.265625" style="11" customWidth="1"/>
    <col min="1000" max="1000" width="13.73046875" style="11" customWidth="1"/>
    <col min="1001" max="1001" width="9.265625" style="11" bestFit="1" customWidth="1"/>
    <col min="1002" max="1002" width="10.53125" style="11" customWidth="1"/>
    <col min="1003" max="1004" width="9.265625" style="11" bestFit="1" customWidth="1"/>
    <col min="1005" max="1005" width="15.265625" style="11" bestFit="1" customWidth="1"/>
    <col min="1006" max="1006" width="9.265625" style="11" bestFit="1" customWidth="1"/>
    <col min="1007" max="1007" width="13.46484375" style="11" bestFit="1" customWidth="1"/>
    <col min="1008" max="1008" width="9.19921875" style="11" customWidth="1"/>
    <col min="1009" max="1009" width="12" style="11" customWidth="1"/>
    <col min="1010" max="1011" width="9.46484375" style="11" bestFit="1" customWidth="1"/>
    <col min="1012" max="1012" width="13.265625" style="11" customWidth="1"/>
    <col min="1013" max="1013" width="9.46484375" style="11" bestFit="1" customWidth="1"/>
    <col min="1014" max="1014" width="9.796875" style="11" bestFit="1" customWidth="1"/>
    <col min="1015" max="1015" width="12.46484375" style="11" bestFit="1" customWidth="1"/>
    <col min="1016" max="1016" width="10.19921875" style="11" customWidth="1"/>
    <col min="1017" max="1017" width="10" style="11" bestFit="1" customWidth="1"/>
    <col min="1018" max="1018" width="10.53125" style="11" customWidth="1"/>
    <col min="1019" max="1019" width="9.46484375" style="11" bestFit="1" customWidth="1"/>
    <col min="1020" max="1020" width="9.265625" style="11" bestFit="1" customWidth="1"/>
    <col min="1021" max="1021" width="9.265625" style="11" customWidth="1"/>
    <col min="1022" max="1022" width="9.46484375" style="11" bestFit="1" customWidth="1"/>
    <col min="1023" max="1023" width="10.19921875" style="11" customWidth="1"/>
    <col min="1024" max="1024" width="12.19921875" style="11" customWidth="1"/>
    <col min="1025" max="1025" width="9.53125" style="11" customWidth="1"/>
    <col min="1026" max="1026" width="11.53125" style="11" customWidth="1"/>
    <col min="1027" max="1027" width="12.73046875" style="11" customWidth="1"/>
    <col min="1028" max="1028" width="14.796875" style="11" customWidth="1"/>
    <col min="1029" max="1029" width="9.53125" style="11" customWidth="1"/>
    <col min="1030" max="1030" width="10.53125" style="11" customWidth="1"/>
    <col min="1031" max="1031" width="9.19921875" style="11"/>
    <col min="1032" max="1032" width="13.265625" style="11" customWidth="1"/>
    <col min="1033" max="1033" width="11.19921875" style="11" customWidth="1"/>
    <col min="1034" max="1034" width="9.19921875" style="11"/>
    <col min="1035" max="1035" width="9.19921875" style="11" customWidth="1"/>
    <col min="1036" max="1036" width="11.265625" style="11" customWidth="1"/>
    <col min="1037" max="1042" width="9.19921875" style="11"/>
    <col min="1043" max="1043" width="11.46484375" style="11" customWidth="1"/>
    <col min="1044" max="1044" width="11.73046875" style="11" customWidth="1"/>
    <col min="1045" max="1051" width="9.19921875" style="11"/>
    <col min="1052" max="1052" width="11" style="11" customWidth="1"/>
    <col min="1053" max="1054" width="9.19921875" style="11"/>
    <col min="1055" max="1055" width="10.265625" style="11" customWidth="1"/>
    <col min="1056" max="1056" width="10.19921875" style="11" customWidth="1"/>
    <col min="1057" max="1057" width="12.19921875" style="11" customWidth="1"/>
    <col min="1058" max="1254" width="9.19921875" style="11"/>
    <col min="1255" max="1255" width="34.265625" style="11" customWidth="1"/>
    <col min="1256" max="1256" width="13.73046875" style="11" customWidth="1"/>
    <col min="1257" max="1257" width="9.265625" style="11" bestFit="1" customWidth="1"/>
    <col min="1258" max="1258" width="10.53125" style="11" customWidth="1"/>
    <col min="1259" max="1260" width="9.265625" style="11" bestFit="1" customWidth="1"/>
    <col min="1261" max="1261" width="15.265625" style="11" bestFit="1" customWidth="1"/>
    <col min="1262" max="1262" width="9.265625" style="11" bestFit="1" customWidth="1"/>
    <col min="1263" max="1263" width="13.46484375" style="11" bestFit="1" customWidth="1"/>
    <col min="1264" max="1264" width="9.19921875" style="11" customWidth="1"/>
    <col min="1265" max="1265" width="12" style="11" customWidth="1"/>
    <col min="1266" max="1267" width="9.46484375" style="11" bestFit="1" customWidth="1"/>
    <col min="1268" max="1268" width="13.265625" style="11" customWidth="1"/>
    <col min="1269" max="1269" width="9.46484375" style="11" bestFit="1" customWidth="1"/>
    <col min="1270" max="1270" width="9.796875" style="11" bestFit="1" customWidth="1"/>
    <col min="1271" max="1271" width="12.46484375" style="11" bestFit="1" customWidth="1"/>
    <col min="1272" max="1272" width="10.19921875" style="11" customWidth="1"/>
    <col min="1273" max="1273" width="10" style="11" bestFit="1" customWidth="1"/>
    <col min="1274" max="1274" width="10.53125" style="11" customWidth="1"/>
    <col min="1275" max="1275" width="9.46484375" style="11" bestFit="1" customWidth="1"/>
    <col min="1276" max="1276" width="9.265625" style="11" bestFit="1" customWidth="1"/>
    <col min="1277" max="1277" width="9.265625" style="11" customWidth="1"/>
    <col min="1278" max="1278" width="9.46484375" style="11" bestFit="1" customWidth="1"/>
    <col min="1279" max="1279" width="10.19921875" style="11" customWidth="1"/>
    <col min="1280" max="1280" width="12.19921875" style="11" customWidth="1"/>
    <col min="1281" max="1281" width="9.53125" style="11" customWidth="1"/>
    <col min="1282" max="1282" width="11.53125" style="11" customWidth="1"/>
    <col min="1283" max="1283" width="12.73046875" style="11" customWidth="1"/>
    <col min="1284" max="1284" width="14.796875" style="11" customWidth="1"/>
    <col min="1285" max="1285" width="9.53125" style="11" customWidth="1"/>
    <col min="1286" max="1286" width="10.53125" style="11" customWidth="1"/>
    <col min="1287" max="1287" width="9.19921875" style="11"/>
    <col min="1288" max="1288" width="13.265625" style="11" customWidth="1"/>
    <col min="1289" max="1289" width="11.19921875" style="11" customWidth="1"/>
    <col min="1290" max="1290" width="9.19921875" style="11"/>
    <col min="1291" max="1291" width="9.19921875" style="11" customWidth="1"/>
    <col min="1292" max="1292" width="11.265625" style="11" customWidth="1"/>
    <col min="1293" max="1298" width="9.19921875" style="11"/>
    <col min="1299" max="1299" width="11.46484375" style="11" customWidth="1"/>
    <col min="1300" max="1300" width="11.73046875" style="11" customWidth="1"/>
    <col min="1301" max="1307" width="9.19921875" style="11"/>
    <col min="1308" max="1308" width="11" style="11" customWidth="1"/>
    <col min="1309" max="1310" width="9.19921875" style="11"/>
    <col min="1311" max="1311" width="10.265625" style="11" customWidth="1"/>
    <col min="1312" max="1312" width="10.19921875" style="11" customWidth="1"/>
    <col min="1313" max="1313" width="12.19921875" style="11" customWidth="1"/>
    <col min="1314" max="1510" width="9.19921875" style="11"/>
    <col min="1511" max="1511" width="34.265625" style="11" customWidth="1"/>
    <col min="1512" max="1512" width="13.73046875" style="11" customWidth="1"/>
    <col min="1513" max="1513" width="9.265625" style="11" bestFit="1" customWidth="1"/>
    <col min="1514" max="1514" width="10.53125" style="11" customWidth="1"/>
    <col min="1515" max="1516" width="9.265625" style="11" bestFit="1" customWidth="1"/>
    <col min="1517" max="1517" width="15.265625" style="11" bestFit="1" customWidth="1"/>
    <col min="1518" max="1518" width="9.265625" style="11" bestFit="1" customWidth="1"/>
    <col min="1519" max="1519" width="13.46484375" style="11" bestFit="1" customWidth="1"/>
    <col min="1520" max="1520" width="9.19921875" style="11" customWidth="1"/>
    <col min="1521" max="1521" width="12" style="11" customWidth="1"/>
    <col min="1522" max="1523" width="9.46484375" style="11" bestFit="1" customWidth="1"/>
    <col min="1524" max="1524" width="13.265625" style="11" customWidth="1"/>
    <col min="1525" max="1525" width="9.46484375" style="11" bestFit="1" customWidth="1"/>
    <col min="1526" max="1526" width="9.796875" style="11" bestFit="1" customWidth="1"/>
    <col min="1527" max="1527" width="12.46484375" style="11" bestFit="1" customWidth="1"/>
    <col min="1528" max="1528" width="10.19921875" style="11" customWidth="1"/>
    <col min="1529" max="1529" width="10" style="11" bestFit="1" customWidth="1"/>
    <col min="1530" max="1530" width="10.53125" style="11" customWidth="1"/>
    <col min="1531" max="1531" width="9.46484375" style="11" bestFit="1" customWidth="1"/>
    <col min="1532" max="1532" width="9.265625" style="11" bestFit="1" customWidth="1"/>
    <col min="1533" max="1533" width="9.265625" style="11" customWidth="1"/>
    <col min="1534" max="1534" width="9.46484375" style="11" bestFit="1" customWidth="1"/>
    <col min="1535" max="1535" width="10.19921875" style="11" customWidth="1"/>
    <col min="1536" max="1536" width="12.19921875" style="11" customWidth="1"/>
    <col min="1537" max="1537" width="9.53125" style="11" customWidth="1"/>
    <col min="1538" max="1538" width="11.53125" style="11" customWidth="1"/>
    <col min="1539" max="1539" width="12.73046875" style="11" customWidth="1"/>
    <col min="1540" max="1540" width="14.796875" style="11" customWidth="1"/>
    <col min="1541" max="1541" width="9.53125" style="11" customWidth="1"/>
    <col min="1542" max="1542" width="10.53125" style="11" customWidth="1"/>
    <col min="1543" max="1543" width="9.19921875" style="11"/>
    <col min="1544" max="1544" width="13.265625" style="11" customWidth="1"/>
    <col min="1545" max="1545" width="11.19921875" style="11" customWidth="1"/>
    <col min="1546" max="1546" width="9.19921875" style="11"/>
    <col min="1547" max="1547" width="9.19921875" style="11" customWidth="1"/>
    <col min="1548" max="1548" width="11.265625" style="11" customWidth="1"/>
    <col min="1549" max="1554" width="9.19921875" style="11"/>
    <col min="1555" max="1555" width="11.46484375" style="11" customWidth="1"/>
    <col min="1556" max="1556" width="11.73046875" style="11" customWidth="1"/>
    <col min="1557" max="1563" width="9.19921875" style="11"/>
    <col min="1564" max="1564" width="11" style="11" customWidth="1"/>
    <col min="1565" max="1566" width="9.19921875" style="11"/>
    <col min="1567" max="1567" width="10.265625" style="11" customWidth="1"/>
    <col min="1568" max="1568" width="10.19921875" style="11" customWidth="1"/>
    <col min="1569" max="1569" width="12.19921875" style="11" customWidth="1"/>
    <col min="1570" max="1766" width="9.19921875" style="11"/>
    <col min="1767" max="1767" width="34.265625" style="11" customWidth="1"/>
    <col min="1768" max="1768" width="13.73046875" style="11" customWidth="1"/>
    <col min="1769" max="1769" width="9.265625" style="11" bestFit="1" customWidth="1"/>
    <col min="1770" max="1770" width="10.53125" style="11" customWidth="1"/>
    <col min="1771" max="1772" width="9.265625" style="11" bestFit="1" customWidth="1"/>
    <col min="1773" max="1773" width="15.265625" style="11" bestFit="1" customWidth="1"/>
    <col min="1774" max="1774" width="9.265625" style="11" bestFit="1" customWidth="1"/>
    <col min="1775" max="1775" width="13.46484375" style="11" bestFit="1" customWidth="1"/>
    <col min="1776" max="1776" width="9.19921875" style="11" customWidth="1"/>
    <col min="1777" max="1777" width="12" style="11" customWidth="1"/>
    <col min="1778" max="1779" width="9.46484375" style="11" bestFit="1" customWidth="1"/>
    <col min="1780" max="1780" width="13.265625" style="11" customWidth="1"/>
    <col min="1781" max="1781" width="9.46484375" style="11" bestFit="1" customWidth="1"/>
    <col min="1782" max="1782" width="9.796875" style="11" bestFit="1" customWidth="1"/>
    <col min="1783" max="1783" width="12.46484375" style="11" bestFit="1" customWidth="1"/>
    <col min="1784" max="1784" width="10.19921875" style="11" customWidth="1"/>
    <col min="1785" max="1785" width="10" style="11" bestFit="1" customWidth="1"/>
    <col min="1786" max="1786" width="10.53125" style="11" customWidth="1"/>
    <col min="1787" max="1787" width="9.46484375" style="11" bestFit="1" customWidth="1"/>
    <col min="1788" max="1788" width="9.265625" style="11" bestFit="1" customWidth="1"/>
    <col min="1789" max="1789" width="9.265625" style="11" customWidth="1"/>
    <col min="1790" max="1790" width="9.46484375" style="11" bestFit="1" customWidth="1"/>
    <col min="1791" max="1791" width="10.19921875" style="11" customWidth="1"/>
    <col min="1792" max="1792" width="12.19921875" style="11" customWidth="1"/>
    <col min="1793" max="1793" width="9.53125" style="11" customWidth="1"/>
    <col min="1794" max="1794" width="11.53125" style="11" customWidth="1"/>
    <col min="1795" max="1795" width="12.73046875" style="11" customWidth="1"/>
    <col min="1796" max="1796" width="14.796875" style="11" customWidth="1"/>
    <col min="1797" max="1797" width="9.53125" style="11" customWidth="1"/>
    <col min="1798" max="1798" width="10.53125" style="11" customWidth="1"/>
    <col min="1799" max="1799" width="9.19921875" style="11"/>
    <col min="1800" max="1800" width="13.265625" style="11" customWidth="1"/>
    <col min="1801" max="1801" width="11.19921875" style="11" customWidth="1"/>
    <col min="1802" max="1802" width="9.19921875" style="11"/>
    <col min="1803" max="1803" width="9.19921875" style="11" customWidth="1"/>
    <col min="1804" max="1804" width="11.265625" style="11" customWidth="1"/>
    <col min="1805" max="1810" width="9.19921875" style="11"/>
    <col min="1811" max="1811" width="11.46484375" style="11" customWidth="1"/>
    <col min="1812" max="1812" width="11.73046875" style="11" customWidth="1"/>
    <col min="1813" max="1819" width="9.19921875" style="11"/>
    <col min="1820" max="1820" width="11" style="11" customWidth="1"/>
    <col min="1821" max="1822" width="9.19921875" style="11"/>
    <col min="1823" max="1823" width="10.265625" style="11" customWidth="1"/>
    <col min="1824" max="1824" width="10.19921875" style="11" customWidth="1"/>
    <col min="1825" max="1825" width="12.19921875" style="11" customWidth="1"/>
    <col min="1826" max="2022" width="9.19921875" style="11"/>
    <col min="2023" max="2023" width="34.265625" style="11" customWidth="1"/>
    <col min="2024" max="2024" width="13.73046875" style="11" customWidth="1"/>
    <col min="2025" max="2025" width="9.265625" style="11" bestFit="1" customWidth="1"/>
    <col min="2026" max="2026" width="10.53125" style="11" customWidth="1"/>
    <col min="2027" max="2028" width="9.265625" style="11" bestFit="1" customWidth="1"/>
    <col min="2029" max="2029" width="15.265625" style="11" bestFit="1" customWidth="1"/>
    <col min="2030" max="2030" width="9.265625" style="11" bestFit="1" customWidth="1"/>
    <col min="2031" max="2031" width="13.46484375" style="11" bestFit="1" customWidth="1"/>
    <col min="2032" max="2032" width="9.19921875" style="11" customWidth="1"/>
    <col min="2033" max="2033" width="12" style="11" customWidth="1"/>
    <col min="2034" max="2035" width="9.46484375" style="11" bestFit="1" customWidth="1"/>
    <col min="2036" max="2036" width="13.265625" style="11" customWidth="1"/>
    <col min="2037" max="2037" width="9.46484375" style="11" bestFit="1" customWidth="1"/>
    <col min="2038" max="2038" width="9.796875" style="11" bestFit="1" customWidth="1"/>
    <col min="2039" max="2039" width="12.46484375" style="11" bestFit="1" customWidth="1"/>
    <col min="2040" max="2040" width="10.19921875" style="11" customWidth="1"/>
    <col min="2041" max="2041" width="10" style="11" bestFit="1" customWidth="1"/>
    <col min="2042" max="2042" width="10.53125" style="11" customWidth="1"/>
    <col min="2043" max="2043" width="9.46484375" style="11" bestFit="1" customWidth="1"/>
    <col min="2044" max="2044" width="9.265625" style="11" bestFit="1" customWidth="1"/>
    <col min="2045" max="2045" width="9.265625" style="11" customWidth="1"/>
    <col min="2046" max="2046" width="9.46484375" style="11" bestFit="1" customWidth="1"/>
    <col min="2047" max="2047" width="10.19921875" style="11" customWidth="1"/>
    <col min="2048" max="2048" width="12.19921875" style="11" customWidth="1"/>
    <col min="2049" max="2049" width="9.53125" style="11" customWidth="1"/>
    <col min="2050" max="2050" width="11.53125" style="11" customWidth="1"/>
    <col min="2051" max="2051" width="12.73046875" style="11" customWidth="1"/>
    <col min="2052" max="2052" width="14.796875" style="11" customWidth="1"/>
    <col min="2053" max="2053" width="9.53125" style="11" customWidth="1"/>
    <col min="2054" max="2054" width="10.53125" style="11" customWidth="1"/>
    <col min="2055" max="2055" width="9.19921875" style="11"/>
    <col min="2056" max="2056" width="13.265625" style="11" customWidth="1"/>
    <col min="2057" max="2057" width="11.19921875" style="11" customWidth="1"/>
    <col min="2058" max="2058" width="9.19921875" style="11"/>
    <col min="2059" max="2059" width="9.19921875" style="11" customWidth="1"/>
    <col min="2060" max="2060" width="11.265625" style="11" customWidth="1"/>
    <col min="2061" max="2066" width="9.19921875" style="11"/>
    <col min="2067" max="2067" width="11.46484375" style="11" customWidth="1"/>
    <col min="2068" max="2068" width="11.73046875" style="11" customWidth="1"/>
    <col min="2069" max="2075" width="9.19921875" style="11"/>
    <col min="2076" max="2076" width="11" style="11" customWidth="1"/>
    <col min="2077" max="2078" width="9.19921875" style="11"/>
    <col min="2079" max="2079" width="10.265625" style="11" customWidth="1"/>
    <col min="2080" max="2080" width="10.19921875" style="11" customWidth="1"/>
    <col min="2081" max="2081" width="12.19921875" style="11" customWidth="1"/>
    <col min="2082" max="2278" width="9.19921875" style="11"/>
    <col min="2279" max="2279" width="34.265625" style="11" customWidth="1"/>
    <col min="2280" max="2280" width="13.73046875" style="11" customWidth="1"/>
    <col min="2281" max="2281" width="9.265625" style="11" bestFit="1" customWidth="1"/>
    <col min="2282" max="2282" width="10.53125" style="11" customWidth="1"/>
    <col min="2283" max="2284" width="9.265625" style="11" bestFit="1" customWidth="1"/>
    <col min="2285" max="2285" width="15.265625" style="11" bestFit="1" customWidth="1"/>
    <col min="2286" max="2286" width="9.265625" style="11" bestFit="1" customWidth="1"/>
    <col min="2287" max="2287" width="13.46484375" style="11" bestFit="1" customWidth="1"/>
    <col min="2288" max="2288" width="9.19921875" style="11" customWidth="1"/>
    <col min="2289" max="2289" width="12" style="11" customWidth="1"/>
    <col min="2290" max="2291" width="9.46484375" style="11" bestFit="1" customWidth="1"/>
    <col min="2292" max="2292" width="13.265625" style="11" customWidth="1"/>
    <col min="2293" max="2293" width="9.46484375" style="11" bestFit="1" customWidth="1"/>
    <col min="2294" max="2294" width="9.796875" style="11" bestFit="1" customWidth="1"/>
    <col min="2295" max="2295" width="12.46484375" style="11" bestFit="1" customWidth="1"/>
    <col min="2296" max="2296" width="10.19921875" style="11" customWidth="1"/>
    <col min="2297" max="2297" width="10" style="11" bestFit="1" customWidth="1"/>
    <col min="2298" max="2298" width="10.53125" style="11" customWidth="1"/>
    <col min="2299" max="2299" width="9.46484375" style="11" bestFit="1" customWidth="1"/>
    <col min="2300" max="2300" width="9.265625" style="11" bestFit="1" customWidth="1"/>
    <col min="2301" max="2301" width="9.265625" style="11" customWidth="1"/>
    <col min="2302" max="2302" width="9.46484375" style="11" bestFit="1" customWidth="1"/>
    <col min="2303" max="2303" width="10.19921875" style="11" customWidth="1"/>
    <col min="2304" max="2304" width="12.19921875" style="11" customWidth="1"/>
    <col min="2305" max="2305" width="9.53125" style="11" customWidth="1"/>
    <col min="2306" max="2306" width="11.53125" style="11" customWidth="1"/>
    <col min="2307" max="2307" width="12.73046875" style="11" customWidth="1"/>
    <col min="2308" max="2308" width="14.796875" style="11" customWidth="1"/>
    <col min="2309" max="2309" width="9.53125" style="11" customWidth="1"/>
    <col min="2310" max="2310" width="10.53125" style="11" customWidth="1"/>
    <col min="2311" max="2311" width="9.19921875" style="11"/>
    <col min="2312" max="2312" width="13.265625" style="11" customWidth="1"/>
    <col min="2313" max="2313" width="11.19921875" style="11" customWidth="1"/>
    <col min="2314" max="2314" width="9.19921875" style="11"/>
    <col min="2315" max="2315" width="9.19921875" style="11" customWidth="1"/>
    <col min="2316" max="2316" width="11.265625" style="11" customWidth="1"/>
    <col min="2317" max="2322" width="9.19921875" style="11"/>
    <col min="2323" max="2323" width="11.46484375" style="11" customWidth="1"/>
    <col min="2324" max="2324" width="11.73046875" style="11" customWidth="1"/>
    <col min="2325" max="2331" width="9.19921875" style="11"/>
    <col min="2332" max="2332" width="11" style="11" customWidth="1"/>
    <col min="2333" max="2334" width="9.19921875" style="11"/>
    <col min="2335" max="2335" width="10.265625" style="11" customWidth="1"/>
    <col min="2336" max="2336" width="10.19921875" style="11" customWidth="1"/>
    <col min="2337" max="2337" width="12.19921875" style="11" customWidth="1"/>
    <col min="2338" max="2534" width="9.19921875" style="11"/>
    <col min="2535" max="2535" width="34.265625" style="11" customWidth="1"/>
    <col min="2536" max="2536" width="13.73046875" style="11" customWidth="1"/>
    <col min="2537" max="2537" width="9.265625" style="11" bestFit="1" customWidth="1"/>
    <col min="2538" max="2538" width="10.53125" style="11" customWidth="1"/>
    <col min="2539" max="2540" width="9.265625" style="11" bestFit="1" customWidth="1"/>
    <col min="2541" max="2541" width="15.265625" style="11" bestFit="1" customWidth="1"/>
    <col min="2542" max="2542" width="9.265625" style="11" bestFit="1" customWidth="1"/>
    <col min="2543" max="2543" width="13.46484375" style="11" bestFit="1" customWidth="1"/>
    <col min="2544" max="2544" width="9.19921875" style="11" customWidth="1"/>
    <col min="2545" max="2545" width="12" style="11" customWidth="1"/>
    <col min="2546" max="2547" width="9.46484375" style="11" bestFit="1" customWidth="1"/>
    <col min="2548" max="2548" width="13.265625" style="11" customWidth="1"/>
    <col min="2549" max="2549" width="9.46484375" style="11" bestFit="1" customWidth="1"/>
    <col min="2550" max="2550" width="9.796875" style="11" bestFit="1" customWidth="1"/>
    <col min="2551" max="2551" width="12.46484375" style="11" bestFit="1" customWidth="1"/>
    <col min="2552" max="2552" width="10.19921875" style="11" customWidth="1"/>
    <col min="2553" max="2553" width="10" style="11" bestFit="1" customWidth="1"/>
    <col min="2554" max="2554" width="10.53125" style="11" customWidth="1"/>
    <col min="2555" max="2555" width="9.46484375" style="11" bestFit="1" customWidth="1"/>
    <col min="2556" max="2556" width="9.265625" style="11" bestFit="1" customWidth="1"/>
    <col min="2557" max="2557" width="9.265625" style="11" customWidth="1"/>
    <col min="2558" max="2558" width="9.46484375" style="11" bestFit="1" customWidth="1"/>
    <col min="2559" max="2559" width="10.19921875" style="11" customWidth="1"/>
    <col min="2560" max="2560" width="12.19921875" style="11" customWidth="1"/>
    <col min="2561" max="2561" width="9.53125" style="11" customWidth="1"/>
    <col min="2562" max="2562" width="11.53125" style="11" customWidth="1"/>
    <col min="2563" max="2563" width="12.73046875" style="11" customWidth="1"/>
    <col min="2564" max="2564" width="14.796875" style="11" customWidth="1"/>
    <col min="2565" max="2565" width="9.53125" style="11" customWidth="1"/>
    <col min="2566" max="2566" width="10.53125" style="11" customWidth="1"/>
    <col min="2567" max="2567" width="9.19921875" style="11"/>
    <col min="2568" max="2568" width="13.265625" style="11" customWidth="1"/>
    <col min="2569" max="2569" width="11.19921875" style="11" customWidth="1"/>
    <col min="2570" max="2570" width="9.19921875" style="11"/>
    <col min="2571" max="2571" width="9.19921875" style="11" customWidth="1"/>
    <col min="2572" max="2572" width="11.265625" style="11" customWidth="1"/>
    <col min="2573" max="2578" width="9.19921875" style="11"/>
    <col min="2579" max="2579" width="11.46484375" style="11" customWidth="1"/>
    <col min="2580" max="2580" width="11.73046875" style="11" customWidth="1"/>
    <col min="2581" max="2587" width="9.19921875" style="11"/>
    <col min="2588" max="2588" width="11" style="11" customWidth="1"/>
    <col min="2589" max="2590" width="9.19921875" style="11"/>
    <col min="2591" max="2591" width="10.265625" style="11" customWidth="1"/>
    <col min="2592" max="2592" width="10.19921875" style="11" customWidth="1"/>
    <col min="2593" max="2593" width="12.19921875" style="11" customWidth="1"/>
    <col min="2594" max="2790" width="9.19921875" style="11"/>
    <col min="2791" max="2791" width="34.265625" style="11" customWidth="1"/>
    <col min="2792" max="2792" width="13.73046875" style="11" customWidth="1"/>
    <col min="2793" max="2793" width="9.265625" style="11" bestFit="1" customWidth="1"/>
    <col min="2794" max="2794" width="10.53125" style="11" customWidth="1"/>
    <col min="2795" max="2796" width="9.265625" style="11" bestFit="1" customWidth="1"/>
    <col min="2797" max="2797" width="15.265625" style="11" bestFit="1" customWidth="1"/>
    <col min="2798" max="2798" width="9.265625" style="11" bestFit="1" customWidth="1"/>
    <col min="2799" max="2799" width="13.46484375" style="11" bestFit="1" customWidth="1"/>
    <col min="2800" max="2800" width="9.19921875" style="11" customWidth="1"/>
    <col min="2801" max="2801" width="12" style="11" customWidth="1"/>
    <col min="2802" max="2803" width="9.46484375" style="11" bestFit="1" customWidth="1"/>
    <col min="2804" max="2804" width="13.265625" style="11" customWidth="1"/>
    <col min="2805" max="2805" width="9.46484375" style="11" bestFit="1" customWidth="1"/>
    <col min="2806" max="2806" width="9.796875" style="11" bestFit="1" customWidth="1"/>
    <col min="2807" max="2807" width="12.46484375" style="11" bestFit="1" customWidth="1"/>
    <col min="2808" max="2808" width="10.19921875" style="11" customWidth="1"/>
    <col min="2809" max="2809" width="10" style="11" bestFit="1" customWidth="1"/>
    <col min="2810" max="2810" width="10.53125" style="11" customWidth="1"/>
    <col min="2811" max="2811" width="9.46484375" style="11" bestFit="1" customWidth="1"/>
    <col min="2812" max="2812" width="9.265625" style="11" bestFit="1" customWidth="1"/>
    <col min="2813" max="2813" width="9.265625" style="11" customWidth="1"/>
    <col min="2814" max="2814" width="9.46484375" style="11" bestFit="1" customWidth="1"/>
    <col min="2815" max="2815" width="10.19921875" style="11" customWidth="1"/>
    <col min="2816" max="2816" width="12.19921875" style="11" customWidth="1"/>
    <col min="2817" max="2817" width="9.53125" style="11" customWidth="1"/>
    <col min="2818" max="2818" width="11.53125" style="11" customWidth="1"/>
    <col min="2819" max="2819" width="12.73046875" style="11" customWidth="1"/>
    <col min="2820" max="2820" width="14.796875" style="11" customWidth="1"/>
    <col min="2821" max="2821" width="9.53125" style="11" customWidth="1"/>
    <col min="2822" max="2822" width="10.53125" style="11" customWidth="1"/>
    <col min="2823" max="2823" width="9.19921875" style="11"/>
    <col min="2824" max="2824" width="13.265625" style="11" customWidth="1"/>
    <col min="2825" max="2825" width="11.19921875" style="11" customWidth="1"/>
    <col min="2826" max="2826" width="9.19921875" style="11"/>
    <col min="2827" max="2827" width="9.19921875" style="11" customWidth="1"/>
    <col min="2828" max="2828" width="11.265625" style="11" customWidth="1"/>
    <col min="2829" max="2834" width="9.19921875" style="11"/>
    <col min="2835" max="2835" width="11.46484375" style="11" customWidth="1"/>
    <col min="2836" max="2836" width="11.73046875" style="11" customWidth="1"/>
    <col min="2837" max="2843" width="9.19921875" style="11"/>
    <col min="2844" max="2844" width="11" style="11" customWidth="1"/>
    <col min="2845" max="2846" width="9.19921875" style="11"/>
    <col min="2847" max="2847" width="10.265625" style="11" customWidth="1"/>
    <col min="2848" max="2848" width="10.19921875" style="11" customWidth="1"/>
    <col min="2849" max="2849" width="12.19921875" style="11" customWidth="1"/>
    <col min="2850" max="3046" width="9.19921875" style="11"/>
    <col min="3047" max="3047" width="34.265625" style="11" customWidth="1"/>
    <col min="3048" max="3048" width="13.73046875" style="11" customWidth="1"/>
    <col min="3049" max="3049" width="9.265625" style="11" bestFit="1" customWidth="1"/>
    <col min="3050" max="3050" width="10.53125" style="11" customWidth="1"/>
    <col min="3051" max="3052" width="9.265625" style="11" bestFit="1" customWidth="1"/>
    <col min="3053" max="3053" width="15.265625" style="11" bestFit="1" customWidth="1"/>
    <col min="3054" max="3054" width="9.265625" style="11" bestFit="1" customWidth="1"/>
    <col min="3055" max="3055" width="13.46484375" style="11" bestFit="1" customWidth="1"/>
    <col min="3056" max="3056" width="9.19921875" style="11" customWidth="1"/>
    <col min="3057" max="3057" width="12" style="11" customWidth="1"/>
    <col min="3058" max="3059" width="9.46484375" style="11" bestFit="1" customWidth="1"/>
    <col min="3060" max="3060" width="13.265625" style="11" customWidth="1"/>
    <col min="3061" max="3061" width="9.46484375" style="11" bestFit="1" customWidth="1"/>
    <col min="3062" max="3062" width="9.796875" style="11" bestFit="1" customWidth="1"/>
    <col min="3063" max="3063" width="12.46484375" style="11" bestFit="1" customWidth="1"/>
    <col min="3064" max="3064" width="10.19921875" style="11" customWidth="1"/>
    <col min="3065" max="3065" width="10" style="11" bestFit="1" customWidth="1"/>
    <col min="3066" max="3066" width="10.53125" style="11" customWidth="1"/>
    <col min="3067" max="3067" width="9.46484375" style="11" bestFit="1" customWidth="1"/>
    <col min="3068" max="3068" width="9.265625" style="11" bestFit="1" customWidth="1"/>
    <col min="3069" max="3069" width="9.265625" style="11" customWidth="1"/>
    <col min="3070" max="3070" width="9.46484375" style="11" bestFit="1" customWidth="1"/>
    <col min="3071" max="3071" width="10.19921875" style="11" customWidth="1"/>
    <col min="3072" max="3072" width="12.19921875" style="11" customWidth="1"/>
    <col min="3073" max="3073" width="9.53125" style="11" customWidth="1"/>
    <col min="3074" max="3074" width="11.53125" style="11" customWidth="1"/>
    <col min="3075" max="3075" width="12.73046875" style="11" customWidth="1"/>
    <col min="3076" max="3076" width="14.796875" style="11" customWidth="1"/>
    <col min="3077" max="3077" width="9.53125" style="11" customWidth="1"/>
    <col min="3078" max="3078" width="10.53125" style="11" customWidth="1"/>
    <col min="3079" max="3079" width="9.19921875" style="11"/>
    <col min="3080" max="3080" width="13.265625" style="11" customWidth="1"/>
    <col min="3081" max="3081" width="11.19921875" style="11" customWidth="1"/>
    <col min="3082" max="3082" width="9.19921875" style="11"/>
    <col min="3083" max="3083" width="9.19921875" style="11" customWidth="1"/>
    <col min="3084" max="3084" width="11.265625" style="11" customWidth="1"/>
    <col min="3085" max="3090" width="9.19921875" style="11"/>
    <col min="3091" max="3091" width="11.46484375" style="11" customWidth="1"/>
    <col min="3092" max="3092" width="11.73046875" style="11" customWidth="1"/>
    <col min="3093" max="3099" width="9.19921875" style="11"/>
    <col min="3100" max="3100" width="11" style="11" customWidth="1"/>
    <col min="3101" max="3102" width="9.19921875" style="11"/>
    <col min="3103" max="3103" width="10.265625" style="11" customWidth="1"/>
    <col min="3104" max="3104" width="10.19921875" style="11" customWidth="1"/>
    <col min="3105" max="3105" width="12.19921875" style="11" customWidth="1"/>
    <col min="3106" max="3302" width="9.19921875" style="11"/>
    <col min="3303" max="3303" width="34.265625" style="11" customWidth="1"/>
    <col min="3304" max="3304" width="13.73046875" style="11" customWidth="1"/>
    <col min="3305" max="3305" width="9.265625" style="11" bestFit="1" customWidth="1"/>
    <col min="3306" max="3306" width="10.53125" style="11" customWidth="1"/>
    <col min="3307" max="3308" width="9.265625" style="11" bestFit="1" customWidth="1"/>
    <col min="3309" max="3309" width="15.265625" style="11" bestFit="1" customWidth="1"/>
    <col min="3310" max="3310" width="9.265625" style="11" bestFit="1" customWidth="1"/>
    <col min="3311" max="3311" width="13.46484375" style="11" bestFit="1" customWidth="1"/>
    <col min="3312" max="3312" width="9.19921875" style="11" customWidth="1"/>
    <col min="3313" max="3313" width="12" style="11" customWidth="1"/>
    <col min="3314" max="3315" width="9.46484375" style="11" bestFit="1" customWidth="1"/>
    <col min="3316" max="3316" width="13.265625" style="11" customWidth="1"/>
    <col min="3317" max="3317" width="9.46484375" style="11" bestFit="1" customWidth="1"/>
    <col min="3318" max="3318" width="9.796875" style="11" bestFit="1" customWidth="1"/>
    <col min="3319" max="3319" width="12.46484375" style="11" bestFit="1" customWidth="1"/>
    <col min="3320" max="3320" width="10.19921875" style="11" customWidth="1"/>
    <col min="3321" max="3321" width="10" style="11" bestFit="1" customWidth="1"/>
    <col min="3322" max="3322" width="10.53125" style="11" customWidth="1"/>
    <col min="3323" max="3323" width="9.46484375" style="11" bestFit="1" customWidth="1"/>
    <col min="3324" max="3324" width="9.265625" style="11" bestFit="1" customWidth="1"/>
    <col min="3325" max="3325" width="9.265625" style="11" customWidth="1"/>
    <col min="3326" max="3326" width="9.46484375" style="11" bestFit="1" customWidth="1"/>
    <col min="3327" max="3327" width="10.19921875" style="11" customWidth="1"/>
    <col min="3328" max="3328" width="12.19921875" style="11" customWidth="1"/>
    <col min="3329" max="3329" width="9.53125" style="11" customWidth="1"/>
    <col min="3330" max="3330" width="11.53125" style="11" customWidth="1"/>
    <col min="3331" max="3331" width="12.73046875" style="11" customWidth="1"/>
    <col min="3332" max="3332" width="14.796875" style="11" customWidth="1"/>
    <col min="3333" max="3333" width="9.53125" style="11" customWidth="1"/>
    <col min="3334" max="3334" width="10.53125" style="11" customWidth="1"/>
    <col min="3335" max="3335" width="9.19921875" style="11"/>
    <col min="3336" max="3336" width="13.265625" style="11" customWidth="1"/>
    <col min="3337" max="3337" width="11.19921875" style="11" customWidth="1"/>
    <col min="3338" max="3338" width="9.19921875" style="11"/>
    <col min="3339" max="3339" width="9.19921875" style="11" customWidth="1"/>
    <col min="3340" max="3340" width="11.265625" style="11" customWidth="1"/>
    <col min="3341" max="3346" width="9.19921875" style="11"/>
    <col min="3347" max="3347" width="11.46484375" style="11" customWidth="1"/>
    <col min="3348" max="3348" width="11.73046875" style="11" customWidth="1"/>
    <col min="3349" max="3355" width="9.19921875" style="11"/>
    <col min="3356" max="3356" width="11" style="11" customWidth="1"/>
    <col min="3357" max="3358" width="9.19921875" style="11"/>
    <col min="3359" max="3359" width="10.265625" style="11" customWidth="1"/>
    <col min="3360" max="3360" width="10.19921875" style="11" customWidth="1"/>
    <col min="3361" max="3361" width="12.19921875" style="11" customWidth="1"/>
    <col min="3362" max="3558" width="9.19921875" style="11"/>
    <col min="3559" max="3559" width="34.265625" style="11" customWidth="1"/>
    <col min="3560" max="3560" width="13.73046875" style="11" customWidth="1"/>
    <col min="3561" max="3561" width="9.265625" style="11" bestFit="1" customWidth="1"/>
    <col min="3562" max="3562" width="10.53125" style="11" customWidth="1"/>
    <col min="3563" max="3564" width="9.265625" style="11" bestFit="1" customWidth="1"/>
    <col min="3565" max="3565" width="15.265625" style="11" bestFit="1" customWidth="1"/>
    <col min="3566" max="3566" width="9.265625" style="11" bestFit="1" customWidth="1"/>
    <col min="3567" max="3567" width="13.46484375" style="11" bestFit="1" customWidth="1"/>
    <col min="3568" max="3568" width="9.19921875" style="11" customWidth="1"/>
    <col min="3569" max="3569" width="12" style="11" customWidth="1"/>
    <col min="3570" max="3571" width="9.46484375" style="11" bestFit="1" customWidth="1"/>
    <col min="3572" max="3572" width="13.265625" style="11" customWidth="1"/>
    <col min="3573" max="3573" width="9.46484375" style="11" bestFit="1" customWidth="1"/>
    <col min="3574" max="3574" width="9.796875" style="11" bestFit="1" customWidth="1"/>
    <col min="3575" max="3575" width="12.46484375" style="11" bestFit="1" customWidth="1"/>
    <col min="3576" max="3576" width="10.19921875" style="11" customWidth="1"/>
    <col min="3577" max="3577" width="10" style="11" bestFit="1" customWidth="1"/>
    <col min="3578" max="3578" width="10.53125" style="11" customWidth="1"/>
    <col min="3579" max="3579" width="9.46484375" style="11" bestFit="1" customWidth="1"/>
    <col min="3580" max="3580" width="9.265625" style="11" bestFit="1" customWidth="1"/>
    <col min="3581" max="3581" width="9.265625" style="11" customWidth="1"/>
    <col min="3582" max="3582" width="9.46484375" style="11" bestFit="1" customWidth="1"/>
    <col min="3583" max="3583" width="10.19921875" style="11" customWidth="1"/>
    <col min="3584" max="3584" width="12.19921875" style="11" customWidth="1"/>
    <col min="3585" max="3585" width="9.53125" style="11" customWidth="1"/>
    <col min="3586" max="3586" width="11.53125" style="11" customWidth="1"/>
    <col min="3587" max="3587" width="12.73046875" style="11" customWidth="1"/>
    <col min="3588" max="3588" width="14.796875" style="11" customWidth="1"/>
    <col min="3589" max="3589" width="9.53125" style="11" customWidth="1"/>
    <col min="3590" max="3590" width="10.53125" style="11" customWidth="1"/>
    <col min="3591" max="3591" width="9.19921875" style="11"/>
    <col min="3592" max="3592" width="13.265625" style="11" customWidth="1"/>
    <col min="3593" max="3593" width="11.19921875" style="11" customWidth="1"/>
    <col min="3594" max="3594" width="9.19921875" style="11"/>
    <col min="3595" max="3595" width="9.19921875" style="11" customWidth="1"/>
    <col min="3596" max="3596" width="11.265625" style="11" customWidth="1"/>
    <col min="3597" max="3602" width="9.19921875" style="11"/>
    <col min="3603" max="3603" width="11.46484375" style="11" customWidth="1"/>
    <col min="3604" max="3604" width="11.73046875" style="11" customWidth="1"/>
    <col min="3605" max="3611" width="9.19921875" style="11"/>
    <col min="3612" max="3612" width="11" style="11" customWidth="1"/>
    <col min="3613" max="3614" width="9.19921875" style="11"/>
    <col min="3615" max="3615" width="10.265625" style="11" customWidth="1"/>
    <col min="3616" max="3616" width="10.19921875" style="11" customWidth="1"/>
    <col min="3617" max="3617" width="12.19921875" style="11" customWidth="1"/>
    <col min="3618" max="3814" width="9.19921875" style="11"/>
    <col min="3815" max="3815" width="34.265625" style="11" customWidth="1"/>
    <col min="3816" max="3816" width="13.73046875" style="11" customWidth="1"/>
    <col min="3817" max="3817" width="9.265625" style="11" bestFit="1" customWidth="1"/>
    <col min="3818" max="3818" width="10.53125" style="11" customWidth="1"/>
    <col min="3819" max="3820" width="9.265625" style="11" bestFit="1" customWidth="1"/>
    <col min="3821" max="3821" width="15.265625" style="11" bestFit="1" customWidth="1"/>
    <col min="3822" max="3822" width="9.265625" style="11" bestFit="1" customWidth="1"/>
    <col min="3823" max="3823" width="13.46484375" style="11" bestFit="1" customWidth="1"/>
    <col min="3824" max="3824" width="9.19921875" style="11" customWidth="1"/>
    <col min="3825" max="3825" width="12" style="11" customWidth="1"/>
    <col min="3826" max="3827" width="9.46484375" style="11" bestFit="1" customWidth="1"/>
    <col min="3828" max="3828" width="13.265625" style="11" customWidth="1"/>
    <col min="3829" max="3829" width="9.46484375" style="11" bestFit="1" customWidth="1"/>
    <col min="3830" max="3830" width="9.796875" style="11" bestFit="1" customWidth="1"/>
    <col min="3831" max="3831" width="12.46484375" style="11" bestFit="1" customWidth="1"/>
    <col min="3832" max="3832" width="10.19921875" style="11" customWidth="1"/>
    <col min="3833" max="3833" width="10" style="11" bestFit="1" customWidth="1"/>
    <col min="3834" max="3834" width="10.53125" style="11" customWidth="1"/>
    <col min="3835" max="3835" width="9.46484375" style="11" bestFit="1" customWidth="1"/>
    <col min="3836" max="3836" width="9.265625" style="11" bestFit="1" customWidth="1"/>
    <col min="3837" max="3837" width="9.265625" style="11" customWidth="1"/>
    <col min="3838" max="3838" width="9.46484375" style="11" bestFit="1" customWidth="1"/>
    <col min="3839" max="3839" width="10.19921875" style="11" customWidth="1"/>
    <col min="3840" max="3840" width="12.19921875" style="11" customWidth="1"/>
    <col min="3841" max="3841" width="9.53125" style="11" customWidth="1"/>
    <col min="3842" max="3842" width="11.53125" style="11" customWidth="1"/>
    <col min="3843" max="3843" width="12.73046875" style="11" customWidth="1"/>
    <col min="3844" max="3844" width="14.796875" style="11" customWidth="1"/>
    <col min="3845" max="3845" width="9.53125" style="11" customWidth="1"/>
    <col min="3846" max="3846" width="10.53125" style="11" customWidth="1"/>
    <col min="3847" max="3847" width="9.19921875" style="11"/>
    <col min="3848" max="3848" width="13.265625" style="11" customWidth="1"/>
    <col min="3849" max="3849" width="11.19921875" style="11" customWidth="1"/>
    <col min="3850" max="3850" width="9.19921875" style="11"/>
    <col min="3851" max="3851" width="9.19921875" style="11" customWidth="1"/>
    <col min="3852" max="3852" width="11.265625" style="11" customWidth="1"/>
    <col min="3853" max="3858" width="9.19921875" style="11"/>
    <col min="3859" max="3859" width="11.46484375" style="11" customWidth="1"/>
    <col min="3860" max="3860" width="11.73046875" style="11" customWidth="1"/>
    <col min="3861" max="3867" width="9.19921875" style="11"/>
    <col min="3868" max="3868" width="11" style="11" customWidth="1"/>
    <col min="3869" max="3870" width="9.19921875" style="11"/>
    <col min="3871" max="3871" width="10.265625" style="11" customWidth="1"/>
    <col min="3872" max="3872" width="10.19921875" style="11" customWidth="1"/>
    <col min="3873" max="3873" width="12.19921875" style="11" customWidth="1"/>
    <col min="3874" max="4070" width="9.19921875" style="11"/>
    <col min="4071" max="4071" width="34.265625" style="11" customWidth="1"/>
    <col min="4072" max="4072" width="13.73046875" style="11" customWidth="1"/>
    <col min="4073" max="4073" width="9.265625" style="11" bestFit="1" customWidth="1"/>
    <col min="4074" max="4074" width="10.53125" style="11" customWidth="1"/>
    <col min="4075" max="4076" width="9.265625" style="11" bestFit="1" customWidth="1"/>
    <col min="4077" max="4077" width="15.265625" style="11" bestFit="1" customWidth="1"/>
    <col min="4078" max="4078" width="9.265625" style="11" bestFit="1" customWidth="1"/>
    <col min="4079" max="4079" width="13.46484375" style="11" bestFit="1" customWidth="1"/>
    <col min="4080" max="4080" width="9.19921875" style="11" customWidth="1"/>
    <col min="4081" max="4081" width="12" style="11" customWidth="1"/>
    <col min="4082" max="4083" width="9.46484375" style="11" bestFit="1" customWidth="1"/>
    <col min="4084" max="4084" width="13.265625" style="11" customWidth="1"/>
    <col min="4085" max="4085" width="9.46484375" style="11" bestFit="1" customWidth="1"/>
    <col min="4086" max="4086" width="9.796875" style="11" bestFit="1" customWidth="1"/>
    <col min="4087" max="4087" width="12.46484375" style="11" bestFit="1" customWidth="1"/>
    <col min="4088" max="4088" width="10.19921875" style="11" customWidth="1"/>
    <col min="4089" max="4089" width="10" style="11" bestFit="1" customWidth="1"/>
    <col min="4090" max="4090" width="10.53125" style="11" customWidth="1"/>
    <col min="4091" max="4091" width="9.46484375" style="11" bestFit="1" customWidth="1"/>
    <col min="4092" max="4092" width="9.265625" style="11" bestFit="1" customWidth="1"/>
    <col min="4093" max="4093" width="9.265625" style="11" customWidth="1"/>
    <col min="4094" max="4094" width="9.46484375" style="11" bestFit="1" customWidth="1"/>
    <col min="4095" max="4095" width="10.19921875" style="11" customWidth="1"/>
    <col min="4096" max="4096" width="12.19921875" style="11" customWidth="1"/>
    <col min="4097" max="4097" width="9.53125" style="11" customWidth="1"/>
    <col min="4098" max="4098" width="11.53125" style="11" customWidth="1"/>
    <col min="4099" max="4099" width="12.73046875" style="11" customWidth="1"/>
    <col min="4100" max="4100" width="14.796875" style="11" customWidth="1"/>
    <col min="4101" max="4101" width="9.53125" style="11" customWidth="1"/>
    <col min="4102" max="4102" width="10.53125" style="11" customWidth="1"/>
    <col min="4103" max="4103" width="9.19921875" style="11"/>
    <col min="4104" max="4104" width="13.265625" style="11" customWidth="1"/>
    <col min="4105" max="4105" width="11.19921875" style="11" customWidth="1"/>
    <col min="4106" max="4106" width="9.19921875" style="11"/>
    <col min="4107" max="4107" width="9.19921875" style="11" customWidth="1"/>
    <col min="4108" max="4108" width="11.265625" style="11" customWidth="1"/>
    <col min="4109" max="4114" width="9.19921875" style="11"/>
    <col min="4115" max="4115" width="11.46484375" style="11" customWidth="1"/>
    <col min="4116" max="4116" width="11.73046875" style="11" customWidth="1"/>
    <col min="4117" max="4123" width="9.19921875" style="11"/>
    <col min="4124" max="4124" width="11" style="11" customWidth="1"/>
    <col min="4125" max="4126" width="9.19921875" style="11"/>
    <col min="4127" max="4127" width="10.265625" style="11" customWidth="1"/>
    <col min="4128" max="4128" width="10.19921875" style="11" customWidth="1"/>
    <col min="4129" max="4129" width="12.19921875" style="11" customWidth="1"/>
    <col min="4130" max="4326" width="9.19921875" style="11"/>
    <col min="4327" max="4327" width="34.265625" style="11" customWidth="1"/>
    <col min="4328" max="4328" width="13.73046875" style="11" customWidth="1"/>
    <col min="4329" max="4329" width="9.265625" style="11" bestFit="1" customWidth="1"/>
    <col min="4330" max="4330" width="10.53125" style="11" customWidth="1"/>
    <col min="4331" max="4332" width="9.265625" style="11" bestFit="1" customWidth="1"/>
    <col min="4333" max="4333" width="15.265625" style="11" bestFit="1" customWidth="1"/>
    <col min="4334" max="4334" width="9.265625" style="11" bestFit="1" customWidth="1"/>
    <col min="4335" max="4335" width="13.46484375" style="11" bestFit="1" customWidth="1"/>
    <col min="4336" max="4336" width="9.19921875" style="11" customWidth="1"/>
    <col min="4337" max="4337" width="12" style="11" customWidth="1"/>
    <col min="4338" max="4339" width="9.46484375" style="11" bestFit="1" customWidth="1"/>
    <col min="4340" max="4340" width="13.265625" style="11" customWidth="1"/>
    <col min="4341" max="4341" width="9.46484375" style="11" bestFit="1" customWidth="1"/>
    <col min="4342" max="4342" width="9.796875" style="11" bestFit="1" customWidth="1"/>
    <col min="4343" max="4343" width="12.46484375" style="11" bestFit="1" customWidth="1"/>
    <col min="4344" max="4344" width="10.19921875" style="11" customWidth="1"/>
    <col min="4345" max="4345" width="10" style="11" bestFit="1" customWidth="1"/>
    <col min="4346" max="4346" width="10.53125" style="11" customWidth="1"/>
    <col min="4347" max="4347" width="9.46484375" style="11" bestFit="1" customWidth="1"/>
    <col min="4348" max="4348" width="9.265625" style="11" bestFit="1" customWidth="1"/>
    <col min="4349" max="4349" width="9.265625" style="11" customWidth="1"/>
    <col min="4350" max="4350" width="9.46484375" style="11" bestFit="1" customWidth="1"/>
    <col min="4351" max="4351" width="10.19921875" style="11" customWidth="1"/>
    <col min="4352" max="4352" width="12.19921875" style="11" customWidth="1"/>
    <col min="4353" max="4353" width="9.53125" style="11" customWidth="1"/>
    <col min="4354" max="4354" width="11.53125" style="11" customWidth="1"/>
    <col min="4355" max="4355" width="12.73046875" style="11" customWidth="1"/>
    <col min="4356" max="4356" width="14.796875" style="11" customWidth="1"/>
    <col min="4357" max="4357" width="9.53125" style="11" customWidth="1"/>
    <col min="4358" max="4358" width="10.53125" style="11" customWidth="1"/>
    <col min="4359" max="4359" width="9.19921875" style="11"/>
    <col min="4360" max="4360" width="13.265625" style="11" customWidth="1"/>
    <col min="4361" max="4361" width="11.19921875" style="11" customWidth="1"/>
    <col min="4362" max="4362" width="9.19921875" style="11"/>
    <col min="4363" max="4363" width="9.19921875" style="11" customWidth="1"/>
    <col min="4364" max="4364" width="11.265625" style="11" customWidth="1"/>
    <col min="4365" max="4370" width="9.19921875" style="11"/>
    <col min="4371" max="4371" width="11.46484375" style="11" customWidth="1"/>
    <col min="4372" max="4372" width="11.73046875" style="11" customWidth="1"/>
    <col min="4373" max="4379" width="9.19921875" style="11"/>
    <col min="4380" max="4380" width="11" style="11" customWidth="1"/>
    <col min="4381" max="4382" width="9.19921875" style="11"/>
    <col min="4383" max="4383" width="10.265625" style="11" customWidth="1"/>
    <col min="4384" max="4384" width="10.19921875" style="11" customWidth="1"/>
    <col min="4385" max="4385" width="12.19921875" style="11" customWidth="1"/>
    <col min="4386" max="4582" width="9.19921875" style="11"/>
    <col min="4583" max="4583" width="34.265625" style="11" customWidth="1"/>
    <col min="4584" max="4584" width="13.73046875" style="11" customWidth="1"/>
    <col min="4585" max="4585" width="9.265625" style="11" bestFit="1" customWidth="1"/>
    <col min="4586" max="4586" width="10.53125" style="11" customWidth="1"/>
    <col min="4587" max="4588" width="9.265625" style="11" bestFit="1" customWidth="1"/>
    <col min="4589" max="4589" width="15.265625" style="11" bestFit="1" customWidth="1"/>
    <col min="4590" max="4590" width="9.265625" style="11" bestFit="1" customWidth="1"/>
    <col min="4591" max="4591" width="13.46484375" style="11" bestFit="1" customWidth="1"/>
    <col min="4592" max="4592" width="9.19921875" style="11" customWidth="1"/>
    <col min="4593" max="4593" width="12" style="11" customWidth="1"/>
    <col min="4594" max="4595" width="9.46484375" style="11" bestFit="1" customWidth="1"/>
    <col min="4596" max="4596" width="13.265625" style="11" customWidth="1"/>
    <col min="4597" max="4597" width="9.46484375" style="11" bestFit="1" customWidth="1"/>
    <col min="4598" max="4598" width="9.796875" style="11" bestFit="1" customWidth="1"/>
    <col min="4599" max="4599" width="12.46484375" style="11" bestFit="1" customWidth="1"/>
    <col min="4600" max="4600" width="10.19921875" style="11" customWidth="1"/>
    <col min="4601" max="4601" width="10" style="11" bestFit="1" customWidth="1"/>
    <col min="4602" max="4602" width="10.53125" style="11" customWidth="1"/>
    <col min="4603" max="4603" width="9.46484375" style="11" bestFit="1" customWidth="1"/>
    <col min="4604" max="4604" width="9.265625" style="11" bestFit="1" customWidth="1"/>
    <col min="4605" max="4605" width="9.265625" style="11" customWidth="1"/>
    <col min="4606" max="4606" width="9.46484375" style="11" bestFit="1" customWidth="1"/>
    <col min="4607" max="4607" width="10.19921875" style="11" customWidth="1"/>
    <col min="4608" max="4608" width="12.19921875" style="11" customWidth="1"/>
    <col min="4609" max="4609" width="9.53125" style="11" customWidth="1"/>
    <col min="4610" max="4610" width="11.53125" style="11" customWidth="1"/>
    <col min="4611" max="4611" width="12.73046875" style="11" customWidth="1"/>
    <col min="4612" max="4612" width="14.796875" style="11" customWidth="1"/>
    <col min="4613" max="4613" width="9.53125" style="11" customWidth="1"/>
    <col min="4614" max="4614" width="10.53125" style="11" customWidth="1"/>
    <col min="4615" max="4615" width="9.19921875" style="11"/>
    <col min="4616" max="4616" width="13.265625" style="11" customWidth="1"/>
    <col min="4617" max="4617" width="11.19921875" style="11" customWidth="1"/>
    <col min="4618" max="4618" width="9.19921875" style="11"/>
    <col min="4619" max="4619" width="9.19921875" style="11" customWidth="1"/>
    <col min="4620" max="4620" width="11.265625" style="11" customWidth="1"/>
    <col min="4621" max="4626" width="9.19921875" style="11"/>
    <col min="4627" max="4627" width="11.46484375" style="11" customWidth="1"/>
    <col min="4628" max="4628" width="11.73046875" style="11" customWidth="1"/>
    <col min="4629" max="4635" width="9.19921875" style="11"/>
    <col min="4636" max="4636" width="11" style="11" customWidth="1"/>
    <col min="4637" max="4638" width="9.19921875" style="11"/>
    <col min="4639" max="4639" width="10.265625" style="11" customWidth="1"/>
    <col min="4640" max="4640" width="10.19921875" style="11" customWidth="1"/>
    <col min="4641" max="4641" width="12.19921875" style="11" customWidth="1"/>
    <col min="4642" max="4838" width="9.19921875" style="11"/>
    <col min="4839" max="4839" width="34.265625" style="11" customWidth="1"/>
    <col min="4840" max="4840" width="13.73046875" style="11" customWidth="1"/>
    <col min="4841" max="4841" width="9.265625" style="11" bestFit="1" customWidth="1"/>
    <col min="4842" max="4842" width="10.53125" style="11" customWidth="1"/>
    <col min="4843" max="4844" width="9.265625" style="11" bestFit="1" customWidth="1"/>
    <col min="4845" max="4845" width="15.265625" style="11" bestFit="1" customWidth="1"/>
    <col min="4846" max="4846" width="9.265625" style="11" bestFit="1" customWidth="1"/>
    <col min="4847" max="4847" width="13.46484375" style="11" bestFit="1" customWidth="1"/>
    <col min="4848" max="4848" width="9.19921875" style="11" customWidth="1"/>
    <col min="4849" max="4849" width="12" style="11" customWidth="1"/>
    <col min="4850" max="4851" width="9.46484375" style="11" bestFit="1" customWidth="1"/>
    <col min="4852" max="4852" width="13.265625" style="11" customWidth="1"/>
    <col min="4853" max="4853" width="9.46484375" style="11" bestFit="1" customWidth="1"/>
    <col min="4854" max="4854" width="9.796875" style="11" bestFit="1" customWidth="1"/>
    <col min="4855" max="4855" width="12.46484375" style="11" bestFit="1" customWidth="1"/>
    <col min="4856" max="4856" width="10.19921875" style="11" customWidth="1"/>
    <col min="4857" max="4857" width="10" style="11" bestFit="1" customWidth="1"/>
    <col min="4858" max="4858" width="10.53125" style="11" customWidth="1"/>
    <col min="4859" max="4859" width="9.46484375" style="11" bestFit="1" customWidth="1"/>
    <col min="4860" max="4860" width="9.265625" style="11" bestFit="1" customWidth="1"/>
    <col min="4861" max="4861" width="9.265625" style="11" customWidth="1"/>
    <col min="4862" max="4862" width="9.46484375" style="11" bestFit="1" customWidth="1"/>
    <col min="4863" max="4863" width="10.19921875" style="11" customWidth="1"/>
    <col min="4864" max="4864" width="12.19921875" style="11" customWidth="1"/>
    <col min="4865" max="4865" width="9.53125" style="11" customWidth="1"/>
    <col min="4866" max="4866" width="11.53125" style="11" customWidth="1"/>
    <col min="4867" max="4867" width="12.73046875" style="11" customWidth="1"/>
    <col min="4868" max="4868" width="14.796875" style="11" customWidth="1"/>
    <col min="4869" max="4869" width="9.53125" style="11" customWidth="1"/>
    <col min="4870" max="4870" width="10.53125" style="11" customWidth="1"/>
    <col min="4871" max="4871" width="9.19921875" style="11"/>
    <col min="4872" max="4872" width="13.265625" style="11" customWidth="1"/>
    <col min="4873" max="4873" width="11.19921875" style="11" customWidth="1"/>
    <col min="4874" max="4874" width="9.19921875" style="11"/>
    <col min="4875" max="4875" width="9.19921875" style="11" customWidth="1"/>
    <col min="4876" max="4876" width="11.265625" style="11" customWidth="1"/>
    <col min="4877" max="4882" width="9.19921875" style="11"/>
    <col min="4883" max="4883" width="11.46484375" style="11" customWidth="1"/>
    <col min="4884" max="4884" width="11.73046875" style="11" customWidth="1"/>
    <col min="4885" max="4891" width="9.19921875" style="11"/>
    <col min="4892" max="4892" width="11" style="11" customWidth="1"/>
    <col min="4893" max="4894" width="9.19921875" style="11"/>
    <col min="4895" max="4895" width="10.265625" style="11" customWidth="1"/>
    <col min="4896" max="4896" width="10.19921875" style="11" customWidth="1"/>
    <col min="4897" max="4897" width="12.19921875" style="11" customWidth="1"/>
    <col min="4898" max="5094" width="9.19921875" style="11"/>
    <col min="5095" max="5095" width="34.265625" style="11" customWidth="1"/>
    <col min="5096" max="5096" width="13.73046875" style="11" customWidth="1"/>
    <col min="5097" max="5097" width="9.265625" style="11" bestFit="1" customWidth="1"/>
    <col min="5098" max="5098" width="10.53125" style="11" customWidth="1"/>
    <col min="5099" max="5100" width="9.265625" style="11" bestFit="1" customWidth="1"/>
    <col min="5101" max="5101" width="15.265625" style="11" bestFit="1" customWidth="1"/>
    <col min="5102" max="5102" width="9.265625" style="11" bestFit="1" customWidth="1"/>
    <col min="5103" max="5103" width="13.46484375" style="11" bestFit="1" customWidth="1"/>
    <col min="5104" max="5104" width="9.19921875" style="11" customWidth="1"/>
    <col min="5105" max="5105" width="12" style="11" customWidth="1"/>
    <col min="5106" max="5107" width="9.46484375" style="11" bestFit="1" customWidth="1"/>
    <col min="5108" max="5108" width="13.265625" style="11" customWidth="1"/>
    <col min="5109" max="5109" width="9.46484375" style="11" bestFit="1" customWidth="1"/>
    <col min="5110" max="5110" width="9.796875" style="11" bestFit="1" customWidth="1"/>
    <col min="5111" max="5111" width="12.46484375" style="11" bestFit="1" customWidth="1"/>
    <col min="5112" max="5112" width="10.19921875" style="11" customWidth="1"/>
    <col min="5113" max="5113" width="10" style="11" bestFit="1" customWidth="1"/>
    <col min="5114" max="5114" width="10.53125" style="11" customWidth="1"/>
    <col min="5115" max="5115" width="9.46484375" style="11" bestFit="1" customWidth="1"/>
    <col min="5116" max="5116" width="9.265625" style="11" bestFit="1" customWidth="1"/>
    <col min="5117" max="5117" width="9.265625" style="11" customWidth="1"/>
    <col min="5118" max="5118" width="9.46484375" style="11" bestFit="1" customWidth="1"/>
    <col min="5119" max="5119" width="10.19921875" style="11" customWidth="1"/>
    <col min="5120" max="5120" width="12.19921875" style="11" customWidth="1"/>
    <col min="5121" max="5121" width="9.53125" style="11" customWidth="1"/>
    <col min="5122" max="5122" width="11.53125" style="11" customWidth="1"/>
    <col min="5123" max="5123" width="12.73046875" style="11" customWidth="1"/>
    <col min="5124" max="5124" width="14.796875" style="11" customWidth="1"/>
    <col min="5125" max="5125" width="9.53125" style="11" customWidth="1"/>
    <col min="5126" max="5126" width="10.53125" style="11" customWidth="1"/>
    <col min="5127" max="5127" width="9.19921875" style="11"/>
    <col min="5128" max="5128" width="13.265625" style="11" customWidth="1"/>
    <col min="5129" max="5129" width="11.19921875" style="11" customWidth="1"/>
    <col min="5130" max="5130" width="9.19921875" style="11"/>
    <col min="5131" max="5131" width="9.19921875" style="11" customWidth="1"/>
    <col min="5132" max="5132" width="11.265625" style="11" customWidth="1"/>
    <col min="5133" max="5138" width="9.19921875" style="11"/>
    <col min="5139" max="5139" width="11.46484375" style="11" customWidth="1"/>
    <col min="5140" max="5140" width="11.73046875" style="11" customWidth="1"/>
    <col min="5141" max="5147" width="9.19921875" style="11"/>
    <col min="5148" max="5148" width="11" style="11" customWidth="1"/>
    <col min="5149" max="5150" width="9.19921875" style="11"/>
    <col min="5151" max="5151" width="10.265625" style="11" customWidth="1"/>
    <col min="5152" max="5152" width="10.19921875" style="11" customWidth="1"/>
    <col min="5153" max="5153" width="12.19921875" style="11" customWidth="1"/>
    <col min="5154" max="5350" width="9.19921875" style="11"/>
    <col min="5351" max="5351" width="34.265625" style="11" customWidth="1"/>
    <col min="5352" max="5352" width="13.73046875" style="11" customWidth="1"/>
    <col min="5353" max="5353" width="9.265625" style="11" bestFit="1" customWidth="1"/>
    <col min="5354" max="5354" width="10.53125" style="11" customWidth="1"/>
    <col min="5355" max="5356" width="9.265625" style="11" bestFit="1" customWidth="1"/>
    <col min="5357" max="5357" width="15.265625" style="11" bestFit="1" customWidth="1"/>
    <col min="5358" max="5358" width="9.265625" style="11" bestFit="1" customWidth="1"/>
    <col min="5359" max="5359" width="13.46484375" style="11" bestFit="1" customWidth="1"/>
    <col min="5360" max="5360" width="9.19921875" style="11" customWidth="1"/>
    <col min="5361" max="5361" width="12" style="11" customWidth="1"/>
    <col min="5362" max="5363" width="9.46484375" style="11" bestFit="1" customWidth="1"/>
    <col min="5364" max="5364" width="13.265625" style="11" customWidth="1"/>
    <col min="5365" max="5365" width="9.46484375" style="11" bestFit="1" customWidth="1"/>
    <col min="5366" max="5366" width="9.796875" style="11" bestFit="1" customWidth="1"/>
    <col min="5367" max="5367" width="12.46484375" style="11" bestFit="1" customWidth="1"/>
    <col min="5368" max="5368" width="10.19921875" style="11" customWidth="1"/>
    <col min="5369" max="5369" width="10" style="11" bestFit="1" customWidth="1"/>
    <col min="5370" max="5370" width="10.53125" style="11" customWidth="1"/>
    <col min="5371" max="5371" width="9.46484375" style="11" bestFit="1" customWidth="1"/>
    <col min="5372" max="5372" width="9.265625" style="11" bestFit="1" customWidth="1"/>
    <col min="5373" max="5373" width="9.265625" style="11" customWidth="1"/>
    <col min="5374" max="5374" width="9.46484375" style="11" bestFit="1" customWidth="1"/>
    <col min="5375" max="5375" width="10.19921875" style="11" customWidth="1"/>
    <col min="5376" max="5376" width="12.19921875" style="11" customWidth="1"/>
    <col min="5377" max="5377" width="9.53125" style="11" customWidth="1"/>
    <col min="5378" max="5378" width="11.53125" style="11" customWidth="1"/>
    <col min="5379" max="5379" width="12.73046875" style="11" customWidth="1"/>
    <col min="5380" max="5380" width="14.796875" style="11" customWidth="1"/>
    <col min="5381" max="5381" width="9.53125" style="11" customWidth="1"/>
    <col min="5382" max="5382" width="10.53125" style="11" customWidth="1"/>
    <col min="5383" max="5383" width="9.19921875" style="11"/>
    <col min="5384" max="5384" width="13.265625" style="11" customWidth="1"/>
    <col min="5385" max="5385" width="11.19921875" style="11" customWidth="1"/>
    <col min="5386" max="5386" width="9.19921875" style="11"/>
    <col min="5387" max="5387" width="9.19921875" style="11" customWidth="1"/>
    <col min="5388" max="5388" width="11.265625" style="11" customWidth="1"/>
    <col min="5389" max="5394" width="9.19921875" style="11"/>
    <col min="5395" max="5395" width="11.46484375" style="11" customWidth="1"/>
    <col min="5396" max="5396" width="11.73046875" style="11" customWidth="1"/>
    <col min="5397" max="5403" width="9.19921875" style="11"/>
    <col min="5404" max="5404" width="11" style="11" customWidth="1"/>
    <col min="5405" max="5406" width="9.19921875" style="11"/>
    <col min="5407" max="5407" width="10.265625" style="11" customWidth="1"/>
    <col min="5408" max="5408" width="10.19921875" style="11" customWidth="1"/>
    <col min="5409" max="5409" width="12.19921875" style="11" customWidth="1"/>
    <col min="5410" max="5606" width="9.19921875" style="11"/>
    <col min="5607" max="5607" width="34.265625" style="11" customWidth="1"/>
    <col min="5608" max="5608" width="13.73046875" style="11" customWidth="1"/>
    <col min="5609" max="5609" width="9.265625" style="11" bestFit="1" customWidth="1"/>
    <col min="5610" max="5610" width="10.53125" style="11" customWidth="1"/>
    <col min="5611" max="5612" width="9.265625" style="11" bestFit="1" customWidth="1"/>
    <col min="5613" max="5613" width="15.265625" style="11" bestFit="1" customWidth="1"/>
    <col min="5614" max="5614" width="9.265625" style="11" bestFit="1" customWidth="1"/>
    <col min="5615" max="5615" width="13.46484375" style="11" bestFit="1" customWidth="1"/>
    <col min="5616" max="5616" width="9.19921875" style="11" customWidth="1"/>
    <col min="5617" max="5617" width="12" style="11" customWidth="1"/>
    <col min="5618" max="5619" width="9.46484375" style="11" bestFit="1" customWidth="1"/>
    <col min="5620" max="5620" width="13.265625" style="11" customWidth="1"/>
    <col min="5621" max="5621" width="9.46484375" style="11" bestFit="1" customWidth="1"/>
    <col min="5622" max="5622" width="9.796875" style="11" bestFit="1" customWidth="1"/>
    <col min="5623" max="5623" width="12.46484375" style="11" bestFit="1" customWidth="1"/>
    <col min="5624" max="5624" width="10.19921875" style="11" customWidth="1"/>
    <col min="5625" max="5625" width="10" style="11" bestFit="1" customWidth="1"/>
    <col min="5626" max="5626" width="10.53125" style="11" customWidth="1"/>
    <col min="5627" max="5627" width="9.46484375" style="11" bestFit="1" customWidth="1"/>
    <col min="5628" max="5628" width="9.265625" style="11" bestFit="1" customWidth="1"/>
    <col min="5629" max="5629" width="9.265625" style="11" customWidth="1"/>
    <col min="5630" max="5630" width="9.46484375" style="11" bestFit="1" customWidth="1"/>
    <col min="5631" max="5631" width="10.19921875" style="11" customWidth="1"/>
    <col min="5632" max="5632" width="12.19921875" style="11" customWidth="1"/>
    <col min="5633" max="5633" width="9.53125" style="11" customWidth="1"/>
    <col min="5634" max="5634" width="11.53125" style="11" customWidth="1"/>
    <col min="5635" max="5635" width="12.73046875" style="11" customWidth="1"/>
    <col min="5636" max="5636" width="14.796875" style="11" customWidth="1"/>
    <col min="5637" max="5637" width="9.53125" style="11" customWidth="1"/>
    <col min="5638" max="5638" width="10.53125" style="11" customWidth="1"/>
    <col min="5639" max="5639" width="9.19921875" style="11"/>
    <col min="5640" max="5640" width="13.265625" style="11" customWidth="1"/>
    <col min="5641" max="5641" width="11.19921875" style="11" customWidth="1"/>
    <col min="5642" max="5642" width="9.19921875" style="11"/>
    <col min="5643" max="5643" width="9.19921875" style="11" customWidth="1"/>
    <col min="5644" max="5644" width="11.265625" style="11" customWidth="1"/>
    <col min="5645" max="5650" width="9.19921875" style="11"/>
    <col min="5651" max="5651" width="11.46484375" style="11" customWidth="1"/>
    <col min="5652" max="5652" width="11.73046875" style="11" customWidth="1"/>
    <col min="5653" max="5659" width="9.19921875" style="11"/>
    <col min="5660" max="5660" width="11" style="11" customWidth="1"/>
    <col min="5661" max="5662" width="9.19921875" style="11"/>
    <col min="5663" max="5663" width="10.265625" style="11" customWidth="1"/>
    <col min="5664" max="5664" width="10.19921875" style="11" customWidth="1"/>
    <col min="5665" max="5665" width="12.19921875" style="11" customWidth="1"/>
    <col min="5666" max="5862" width="9.19921875" style="11"/>
    <col min="5863" max="5863" width="34.265625" style="11" customWidth="1"/>
    <col min="5864" max="5864" width="13.73046875" style="11" customWidth="1"/>
    <col min="5865" max="5865" width="9.265625" style="11" bestFit="1" customWidth="1"/>
    <col min="5866" max="5866" width="10.53125" style="11" customWidth="1"/>
    <col min="5867" max="5868" width="9.265625" style="11" bestFit="1" customWidth="1"/>
    <col min="5869" max="5869" width="15.265625" style="11" bestFit="1" customWidth="1"/>
    <col min="5870" max="5870" width="9.265625" style="11" bestFit="1" customWidth="1"/>
    <col min="5871" max="5871" width="13.46484375" style="11" bestFit="1" customWidth="1"/>
    <col min="5872" max="5872" width="9.19921875" style="11" customWidth="1"/>
    <col min="5873" max="5873" width="12" style="11" customWidth="1"/>
    <col min="5874" max="5875" width="9.46484375" style="11" bestFit="1" customWidth="1"/>
    <col min="5876" max="5876" width="13.265625" style="11" customWidth="1"/>
    <col min="5877" max="5877" width="9.46484375" style="11" bestFit="1" customWidth="1"/>
    <col min="5878" max="5878" width="9.796875" style="11" bestFit="1" customWidth="1"/>
    <col min="5879" max="5879" width="12.46484375" style="11" bestFit="1" customWidth="1"/>
    <col min="5880" max="5880" width="10.19921875" style="11" customWidth="1"/>
    <col min="5881" max="5881" width="10" style="11" bestFit="1" customWidth="1"/>
    <col min="5882" max="5882" width="10.53125" style="11" customWidth="1"/>
    <col min="5883" max="5883" width="9.46484375" style="11" bestFit="1" customWidth="1"/>
    <col min="5884" max="5884" width="9.265625" style="11" bestFit="1" customWidth="1"/>
    <col min="5885" max="5885" width="9.265625" style="11" customWidth="1"/>
    <col min="5886" max="5886" width="9.46484375" style="11" bestFit="1" customWidth="1"/>
    <col min="5887" max="5887" width="10.19921875" style="11" customWidth="1"/>
    <col min="5888" max="5888" width="12.19921875" style="11" customWidth="1"/>
    <col min="5889" max="5889" width="9.53125" style="11" customWidth="1"/>
    <col min="5890" max="5890" width="11.53125" style="11" customWidth="1"/>
    <col min="5891" max="5891" width="12.73046875" style="11" customWidth="1"/>
    <col min="5892" max="5892" width="14.796875" style="11" customWidth="1"/>
    <col min="5893" max="5893" width="9.53125" style="11" customWidth="1"/>
    <col min="5894" max="5894" width="10.53125" style="11" customWidth="1"/>
    <col min="5895" max="5895" width="9.19921875" style="11"/>
    <col min="5896" max="5896" width="13.265625" style="11" customWidth="1"/>
    <col min="5897" max="5897" width="11.19921875" style="11" customWidth="1"/>
    <col min="5898" max="5898" width="9.19921875" style="11"/>
    <col min="5899" max="5899" width="9.19921875" style="11" customWidth="1"/>
    <col min="5900" max="5900" width="11.265625" style="11" customWidth="1"/>
    <col min="5901" max="5906" width="9.19921875" style="11"/>
    <col min="5907" max="5907" width="11.46484375" style="11" customWidth="1"/>
    <col min="5908" max="5908" width="11.73046875" style="11" customWidth="1"/>
    <col min="5909" max="5915" width="9.19921875" style="11"/>
    <col min="5916" max="5916" width="11" style="11" customWidth="1"/>
    <col min="5917" max="5918" width="9.19921875" style="11"/>
    <col min="5919" max="5919" width="10.265625" style="11" customWidth="1"/>
    <col min="5920" max="5920" width="10.19921875" style="11" customWidth="1"/>
    <col min="5921" max="5921" width="12.19921875" style="11" customWidth="1"/>
    <col min="5922" max="6118" width="9.19921875" style="11"/>
    <col min="6119" max="6119" width="34.265625" style="11" customWidth="1"/>
    <col min="6120" max="6120" width="13.73046875" style="11" customWidth="1"/>
    <col min="6121" max="6121" width="9.265625" style="11" bestFit="1" customWidth="1"/>
    <col min="6122" max="6122" width="10.53125" style="11" customWidth="1"/>
    <col min="6123" max="6124" width="9.265625" style="11" bestFit="1" customWidth="1"/>
    <col min="6125" max="6125" width="15.265625" style="11" bestFit="1" customWidth="1"/>
    <col min="6126" max="6126" width="9.265625" style="11" bestFit="1" customWidth="1"/>
    <col min="6127" max="6127" width="13.46484375" style="11" bestFit="1" customWidth="1"/>
    <col min="6128" max="6128" width="9.19921875" style="11" customWidth="1"/>
    <col min="6129" max="6129" width="12" style="11" customWidth="1"/>
    <col min="6130" max="6131" width="9.46484375" style="11" bestFit="1" customWidth="1"/>
    <col min="6132" max="6132" width="13.265625" style="11" customWidth="1"/>
    <col min="6133" max="6133" width="9.46484375" style="11" bestFit="1" customWidth="1"/>
    <col min="6134" max="6134" width="9.796875" style="11" bestFit="1" customWidth="1"/>
    <col min="6135" max="6135" width="12.46484375" style="11" bestFit="1" customWidth="1"/>
    <col min="6136" max="6136" width="10.19921875" style="11" customWidth="1"/>
    <col min="6137" max="6137" width="10" style="11" bestFit="1" customWidth="1"/>
    <col min="6138" max="6138" width="10.53125" style="11" customWidth="1"/>
    <col min="6139" max="6139" width="9.46484375" style="11" bestFit="1" customWidth="1"/>
    <col min="6140" max="6140" width="9.265625" style="11" bestFit="1" customWidth="1"/>
    <col min="6141" max="6141" width="9.265625" style="11" customWidth="1"/>
    <col min="6142" max="6142" width="9.46484375" style="11" bestFit="1" customWidth="1"/>
    <col min="6143" max="6143" width="10.19921875" style="11" customWidth="1"/>
    <col min="6144" max="6144" width="12.19921875" style="11" customWidth="1"/>
    <col min="6145" max="6145" width="9.53125" style="11" customWidth="1"/>
    <col min="6146" max="6146" width="11.53125" style="11" customWidth="1"/>
    <col min="6147" max="6147" width="12.73046875" style="11" customWidth="1"/>
    <col min="6148" max="6148" width="14.796875" style="11" customWidth="1"/>
    <col min="6149" max="6149" width="9.53125" style="11" customWidth="1"/>
    <col min="6150" max="6150" width="10.53125" style="11" customWidth="1"/>
    <col min="6151" max="6151" width="9.19921875" style="11"/>
    <col min="6152" max="6152" width="13.265625" style="11" customWidth="1"/>
    <col min="6153" max="6153" width="11.19921875" style="11" customWidth="1"/>
    <col min="6154" max="6154" width="9.19921875" style="11"/>
    <col min="6155" max="6155" width="9.19921875" style="11" customWidth="1"/>
    <col min="6156" max="6156" width="11.265625" style="11" customWidth="1"/>
    <col min="6157" max="6162" width="9.19921875" style="11"/>
    <col min="6163" max="6163" width="11.46484375" style="11" customWidth="1"/>
    <col min="6164" max="6164" width="11.73046875" style="11" customWidth="1"/>
    <col min="6165" max="6171" width="9.19921875" style="11"/>
    <col min="6172" max="6172" width="11" style="11" customWidth="1"/>
    <col min="6173" max="6174" width="9.19921875" style="11"/>
    <col min="6175" max="6175" width="10.265625" style="11" customWidth="1"/>
    <col min="6176" max="6176" width="10.19921875" style="11" customWidth="1"/>
    <col min="6177" max="6177" width="12.19921875" style="11" customWidth="1"/>
    <col min="6178" max="6374" width="9.19921875" style="11"/>
    <col min="6375" max="6375" width="34.265625" style="11" customWidth="1"/>
    <col min="6376" max="6376" width="13.73046875" style="11" customWidth="1"/>
    <col min="6377" max="6377" width="9.265625" style="11" bestFit="1" customWidth="1"/>
    <col min="6378" max="6378" width="10.53125" style="11" customWidth="1"/>
    <col min="6379" max="6380" width="9.265625" style="11" bestFit="1" customWidth="1"/>
    <col min="6381" max="6381" width="15.265625" style="11" bestFit="1" customWidth="1"/>
    <col min="6382" max="6382" width="9.265625" style="11" bestFit="1" customWidth="1"/>
    <col min="6383" max="6383" width="13.46484375" style="11" bestFit="1" customWidth="1"/>
    <col min="6384" max="6384" width="9.19921875" style="11" customWidth="1"/>
    <col min="6385" max="6385" width="12" style="11" customWidth="1"/>
    <col min="6386" max="6387" width="9.46484375" style="11" bestFit="1" customWidth="1"/>
    <col min="6388" max="6388" width="13.265625" style="11" customWidth="1"/>
    <col min="6389" max="6389" width="9.46484375" style="11" bestFit="1" customWidth="1"/>
    <col min="6390" max="6390" width="9.796875" style="11" bestFit="1" customWidth="1"/>
    <col min="6391" max="6391" width="12.46484375" style="11" bestFit="1" customWidth="1"/>
    <col min="6392" max="6392" width="10.19921875" style="11" customWidth="1"/>
    <col min="6393" max="6393" width="10" style="11" bestFit="1" customWidth="1"/>
    <col min="6394" max="6394" width="10.53125" style="11" customWidth="1"/>
    <col min="6395" max="6395" width="9.46484375" style="11" bestFit="1" customWidth="1"/>
    <col min="6396" max="6396" width="9.265625" style="11" bestFit="1" customWidth="1"/>
    <col min="6397" max="6397" width="9.265625" style="11" customWidth="1"/>
    <col min="6398" max="6398" width="9.46484375" style="11" bestFit="1" customWidth="1"/>
    <col min="6399" max="6399" width="10.19921875" style="11" customWidth="1"/>
    <col min="6400" max="6400" width="12.19921875" style="11" customWidth="1"/>
    <col min="6401" max="6401" width="9.53125" style="11" customWidth="1"/>
    <col min="6402" max="6402" width="11.53125" style="11" customWidth="1"/>
    <col min="6403" max="6403" width="12.73046875" style="11" customWidth="1"/>
    <col min="6404" max="6404" width="14.796875" style="11" customWidth="1"/>
    <col min="6405" max="6405" width="9.53125" style="11" customWidth="1"/>
    <col min="6406" max="6406" width="10.53125" style="11" customWidth="1"/>
    <col min="6407" max="6407" width="9.19921875" style="11"/>
    <col min="6408" max="6408" width="13.265625" style="11" customWidth="1"/>
    <col min="6409" max="6409" width="11.19921875" style="11" customWidth="1"/>
    <col min="6410" max="6410" width="9.19921875" style="11"/>
    <col min="6411" max="6411" width="9.19921875" style="11" customWidth="1"/>
    <col min="6412" max="6412" width="11.265625" style="11" customWidth="1"/>
    <col min="6413" max="6418" width="9.19921875" style="11"/>
    <col min="6419" max="6419" width="11.46484375" style="11" customWidth="1"/>
    <col min="6420" max="6420" width="11.73046875" style="11" customWidth="1"/>
    <col min="6421" max="6427" width="9.19921875" style="11"/>
    <col min="6428" max="6428" width="11" style="11" customWidth="1"/>
    <col min="6429" max="6430" width="9.19921875" style="11"/>
    <col min="6431" max="6431" width="10.265625" style="11" customWidth="1"/>
    <col min="6432" max="6432" width="10.19921875" style="11" customWidth="1"/>
    <col min="6433" max="6433" width="12.19921875" style="11" customWidth="1"/>
    <col min="6434" max="6630" width="9.19921875" style="11"/>
    <col min="6631" max="6631" width="34.265625" style="11" customWidth="1"/>
    <col min="6632" max="6632" width="13.73046875" style="11" customWidth="1"/>
    <col min="6633" max="6633" width="9.265625" style="11" bestFit="1" customWidth="1"/>
    <col min="6634" max="6634" width="10.53125" style="11" customWidth="1"/>
    <col min="6635" max="6636" width="9.265625" style="11" bestFit="1" customWidth="1"/>
    <col min="6637" max="6637" width="15.265625" style="11" bestFit="1" customWidth="1"/>
    <col min="6638" max="6638" width="9.265625" style="11" bestFit="1" customWidth="1"/>
    <col min="6639" max="6639" width="13.46484375" style="11" bestFit="1" customWidth="1"/>
    <col min="6640" max="6640" width="9.19921875" style="11" customWidth="1"/>
    <col min="6641" max="6641" width="12" style="11" customWidth="1"/>
    <col min="6642" max="6643" width="9.46484375" style="11" bestFit="1" customWidth="1"/>
    <col min="6644" max="6644" width="13.265625" style="11" customWidth="1"/>
    <col min="6645" max="6645" width="9.46484375" style="11" bestFit="1" customWidth="1"/>
    <col min="6646" max="6646" width="9.796875" style="11" bestFit="1" customWidth="1"/>
    <col min="6647" max="6647" width="12.46484375" style="11" bestFit="1" customWidth="1"/>
    <col min="6648" max="6648" width="10.19921875" style="11" customWidth="1"/>
    <col min="6649" max="6649" width="10" style="11" bestFit="1" customWidth="1"/>
    <col min="6650" max="6650" width="10.53125" style="11" customWidth="1"/>
    <col min="6651" max="6651" width="9.46484375" style="11" bestFit="1" customWidth="1"/>
    <col min="6652" max="6652" width="9.265625" style="11" bestFit="1" customWidth="1"/>
    <col min="6653" max="6653" width="9.265625" style="11" customWidth="1"/>
    <col min="6654" max="6654" width="9.46484375" style="11" bestFit="1" customWidth="1"/>
    <col min="6655" max="6655" width="10.19921875" style="11" customWidth="1"/>
    <col min="6656" max="6656" width="12.19921875" style="11" customWidth="1"/>
    <col min="6657" max="6657" width="9.53125" style="11" customWidth="1"/>
    <col min="6658" max="6658" width="11.53125" style="11" customWidth="1"/>
    <col min="6659" max="6659" width="12.73046875" style="11" customWidth="1"/>
    <col min="6660" max="6660" width="14.796875" style="11" customWidth="1"/>
    <col min="6661" max="6661" width="9.53125" style="11" customWidth="1"/>
    <col min="6662" max="6662" width="10.53125" style="11" customWidth="1"/>
    <col min="6663" max="6663" width="9.19921875" style="11"/>
    <col min="6664" max="6664" width="13.265625" style="11" customWidth="1"/>
    <col min="6665" max="6665" width="11.19921875" style="11" customWidth="1"/>
    <col min="6666" max="6666" width="9.19921875" style="11"/>
    <col min="6667" max="6667" width="9.19921875" style="11" customWidth="1"/>
    <col min="6668" max="6668" width="11.265625" style="11" customWidth="1"/>
    <col min="6669" max="6674" width="9.19921875" style="11"/>
    <col min="6675" max="6675" width="11.46484375" style="11" customWidth="1"/>
    <col min="6676" max="6676" width="11.73046875" style="11" customWidth="1"/>
    <col min="6677" max="6683" width="9.19921875" style="11"/>
    <col min="6684" max="6684" width="11" style="11" customWidth="1"/>
    <col min="6685" max="6686" width="9.19921875" style="11"/>
    <col min="6687" max="6687" width="10.265625" style="11" customWidth="1"/>
    <col min="6688" max="6688" width="10.19921875" style="11" customWidth="1"/>
    <col min="6689" max="6689" width="12.19921875" style="11" customWidth="1"/>
    <col min="6690" max="6886" width="9.19921875" style="11"/>
    <col min="6887" max="6887" width="34.265625" style="11" customWidth="1"/>
    <col min="6888" max="6888" width="13.73046875" style="11" customWidth="1"/>
    <col min="6889" max="6889" width="9.265625" style="11" bestFit="1" customWidth="1"/>
    <col min="6890" max="6890" width="10.53125" style="11" customWidth="1"/>
    <col min="6891" max="6892" width="9.265625" style="11" bestFit="1" customWidth="1"/>
    <col min="6893" max="6893" width="15.265625" style="11" bestFit="1" customWidth="1"/>
    <col min="6894" max="6894" width="9.265625" style="11" bestFit="1" customWidth="1"/>
    <col min="6895" max="6895" width="13.46484375" style="11" bestFit="1" customWidth="1"/>
    <col min="6896" max="6896" width="9.19921875" style="11" customWidth="1"/>
    <col min="6897" max="6897" width="12" style="11" customWidth="1"/>
    <col min="6898" max="6899" width="9.46484375" style="11" bestFit="1" customWidth="1"/>
    <col min="6900" max="6900" width="13.265625" style="11" customWidth="1"/>
    <col min="6901" max="6901" width="9.46484375" style="11" bestFit="1" customWidth="1"/>
    <col min="6902" max="6902" width="9.796875" style="11" bestFit="1" customWidth="1"/>
    <col min="6903" max="6903" width="12.46484375" style="11" bestFit="1" customWidth="1"/>
    <col min="6904" max="6904" width="10.19921875" style="11" customWidth="1"/>
    <col min="6905" max="6905" width="10" style="11" bestFit="1" customWidth="1"/>
    <col min="6906" max="6906" width="10.53125" style="11" customWidth="1"/>
    <col min="6907" max="6907" width="9.46484375" style="11" bestFit="1" customWidth="1"/>
    <col min="6908" max="6908" width="9.265625" style="11" bestFit="1" customWidth="1"/>
    <col min="6909" max="6909" width="9.265625" style="11" customWidth="1"/>
    <col min="6910" max="6910" width="9.46484375" style="11" bestFit="1" customWidth="1"/>
    <col min="6911" max="6911" width="10.19921875" style="11" customWidth="1"/>
    <col min="6912" max="6912" width="12.19921875" style="11" customWidth="1"/>
    <col min="6913" max="6913" width="9.53125" style="11" customWidth="1"/>
    <col min="6914" max="6914" width="11.53125" style="11" customWidth="1"/>
    <col min="6915" max="6915" width="12.73046875" style="11" customWidth="1"/>
    <col min="6916" max="6916" width="14.796875" style="11" customWidth="1"/>
    <col min="6917" max="6917" width="9.53125" style="11" customWidth="1"/>
    <col min="6918" max="6918" width="10.53125" style="11" customWidth="1"/>
    <col min="6919" max="6919" width="9.19921875" style="11"/>
    <col min="6920" max="6920" width="13.265625" style="11" customWidth="1"/>
    <col min="6921" max="6921" width="11.19921875" style="11" customWidth="1"/>
    <col min="6922" max="6922" width="9.19921875" style="11"/>
    <col min="6923" max="6923" width="9.19921875" style="11" customWidth="1"/>
    <col min="6924" max="6924" width="11.265625" style="11" customWidth="1"/>
    <col min="6925" max="6930" width="9.19921875" style="11"/>
    <col min="6931" max="6931" width="11.46484375" style="11" customWidth="1"/>
    <col min="6932" max="6932" width="11.73046875" style="11" customWidth="1"/>
    <col min="6933" max="6939" width="9.19921875" style="11"/>
    <col min="6940" max="6940" width="11" style="11" customWidth="1"/>
    <col min="6941" max="6942" width="9.19921875" style="11"/>
    <col min="6943" max="6943" width="10.265625" style="11" customWidth="1"/>
    <col min="6944" max="6944" width="10.19921875" style="11" customWidth="1"/>
    <col min="6945" max="6945" width="12.19921875" style="11" customWidth="1"/>
    <col min="6946" max="7142" width="9.19921875" style="11"/>
    <col min="7143" max="7143" width="34.265625" style="11" customWidth="1"/>
    <col min="7144" max="7144" width="13.73046875" style="11" customWidth="1"/>
    <col min="7145" max="7145" width="9.265625" style="11" bestFit="1" customWidth="1"/>
    <col min="7146" max="7146" width="10.53125" style="11" customWidth="1"/>
    <col min="7147" max="7148" width="9.265625" style="11" bestFit="1" customWidth="1"/>
    <col min="7149" max="7149" width="15.265625" style="11" bestFit="1" customWidth="1"/>
    <col min="7150" max="7150" width="9.265625" style="11" bestFit="1" customWidth="1"/>
    <col min="7151" max="7151" width="13.46484375" style="11" bestFit="1" customWidth="1"/>
    <col min="7152" max="7152" width="9.19921875" style="11" customWidth="1"/>
    <col min="7153" max="7153" width="12" style="11" customWidth="1"/>
    <col min="7154" max="7155" width="9.46484375" style="11" bestFit="1" customWidth="1"/>
    <col min="7156" max="7156" width="13.265625" style="11" customWidth="1"/>
    <col min="7157" max="7157" width="9.46484375" style="11" bestFit="1" customWidth="1"/>
    <col min="7158" max="7158" width="9.796875" style="11" bestFit="1" customWidth="1"/>
    <col min="7159" max="7159" width="12.46484375" style="11" bestFit="1" customWidth="1"/>
    <col min="7160" max="7160" width="10.19921875" style="11" customWidth="1"/>
    <col min="7161" max="7161" width="10" style="11" bestFit="1" customWidth="1"/>
    <col min="7162" max="7162" width="10.53125" style="11" customWidth="1"/>
    <col min="7163" max="7163" width="9.46484375" style="11" bestFit="1" customWidth="1"/>
    <col min="7164" max="7164" width="9.265625" style="11" bestFit="1" customWidth="1"/>
    <col min="7165" max="7165" width="9.265625" style="11" customWidth="1"/>
    <col min="7166" max="7166" width="9.46484375" style="11" bestFit="1" customWidth="1"/>
    <col min="7167" max="7167" width="10.19921875" style="11" customWidth="1"/>
    <col min="7168" max="7168" width="12.19921875" style="11" customWidth="1"/>
    <col min="7169" max="7169" width="9.53125" style="11" customWidth="1"/>
    <col min="7170" max="7170" width="11.53125" style="11" customWidth="1"/>
    <col min="7171" max="7171" width="12.73046875" style="11" customWidth="1"/>
    <col min="7172" max="7172" width="14.796875" style="11" customWidth="1"/>
    <col min="7173" max="7173" width="9.53125" style="11" customWidth="1"/>
    <col min="7174" max="7174" width="10.53125" style="11" customWidth="1"/>
    <col min="7175" max="7175" width="9.19921875" style="11"/>
    <col min="7176" max="7176" width="13.265625" style="11" customWidth="1"/>
    <col min="7177" max="7177" width="11.19921875" style="11" customWidth="1"/>
    <col min="7178" max="7178" width="9.19921875" style="11"/>
    <col min="7179" max="7179" width="9.19921875" style="11" customWidth="1"/>
    <col min="7180" max="7180" width="11.265625" style="11" customWidth="1"/>
    <col min="7181" max="7186" width="9.19921875" style="11"/>
    <col min="7187" max="7187" width="11.46484375" style="11" customWidth="1"/>
    <col min="7188" max="7188" width="11.73046875" style="11" customWidth="1"/>
    <col min="7189" max="7195" width="9.19921875" style="11"/>
    <col min="7196" max="7196" width="11" style="11" customWidth="1"/>
    <col min="7197" max="7198" width="9.19921875" style="11"/>
    <col min="7199" max="7199" width="10.265625" style="11" customWidth="1"/>
    <col min="7200" max="7200" width="10.19921875" style="11" customWidth="1"/>
    <col min="7201" max="7201" width="12.19921875" style="11" customWidth="1"/>
    <col min="7202" max="7398" width="9.19921875" style="11"/>
    <col min="7399" max="7399" width="34.265625" style="11" customWidth="1"/>
    <col min="7400" max="7400" width="13.73046875" style="11" customWidth="1"/>
    <col min="7401" max="7401" width="9.265625" style="11" bestFit="1" customWidth="1"/>
    <col min="7402" max="7402" width="10.53125" style="11" customWidth="1"/>
    <col min="7403" max="7404" width="9.265625" style="11" bestFit="1" customWidth="1"/>
    <col min="7405" max="7405" width="15.265625" style="11" bestFit="1" customWidth="1"/>
    <col min="7406" max="7406" width="9.265625" style="11" bestFit="1" customWidth="1"/>
    <col min="7407" max="7407" width="13.46484375" style="11" bestFit="1" customWidth="1"/>
    <col min="7408" max="7408" width="9.19921875" style="11" customWidth="1"/>
    <col min="7409" max="7409" width="12" style="11" customWidth="1"/>
    <col min="7410" max="7411" width="9.46484375" style="11" bestFit="1" customWidth="1"/>
    <col min="7412" max="7412" width="13.265625" style="11" customWidth="1"/>
    <col min="7413" max="7413" width="9.46484375" style="11" bestFit="1" customWidth="1"/>
    <col min="7414" max="7414" width="9.796875" style="11" bestFit="1" customWidth="1"/>
    <col min="7415" max="7415" width="12.46484375" style="11" bestFit="1" customWidth="1"/>
    <col min="7416" max="7416" width="10.19921875" style="11" customWidth="1"/>
    <col min="7417" max="7417" width="10" style="11" bestFit="1" customWidth="1"/>
    <col min="7418" max="7418" width="10.53125" style="11" customWidth="1"/>
    <col min="7419" max="7419" width="9.46484375" style="11" bestFit="1" customWidth="1"/>
    <col min="7420" max="7420" width="9.265625" style="11" bestFit="1" customWidth="1"/>
    <col min="7421" max="7421" width="9.265625" style="11" customWidth="1"/>
    <col min="7422" max="7422" width="9.46484375" style="11" bestFit="1" customWidth="1"/>
    <col min="7423" max="7423" width="10.19921875" style="11" customWidth="1"/>
    <col min="7424" max="7424" width="12.19921875" style="11" customWidth="1"/>
    <col min="7425" max="7425" width="9.53125" style="11" customWidth="1"/>
    <col min="7426" max="7426" width="11.53125" style="11" customWidth="1"/>
    <col min="7427" max="7427" width="12.73046875" style="11" customWidth="1"/>
    <col min="7428" max="7428" width="14.796875" style="11" customWidth="1"/>
    <col min="7429" max="7429" width="9.53125" style="11" customWidth="1"/>
    <col min="7430" max="7430" width="10.53125" style="11" customWidth="1"/>
    <col min="7431" max="7431" width="9.19921875" style="11"/>
    <col min="7432" max="7432" width="13.265625" style="11" customWidth="1"/>
    <col min="7433" max="7433" width="11.19921875" style="11" customWidth="1"/>
    <col min="7434" max="7434" width="9.19921875" style="11"/>
    <col min="7435" max="7435" width="9.19921875" style="11" customWidth="1"/>
    <col min="7436" max="7436" width="11.265625" style="11" customWidth="1"/>
    <col min="7437" max="7442" width="9.19921875" style="11"/>
    <col min="7443" max="7443" width="11.46484375" style="11" customWidth="1"/>
    <col min="7444" max="7444" width="11.73046875" style="11" customWidth="1"/>
    <col min="7445" max="7451" width="9.19921875" style="11"/>
    <col min="7452" max="7452" width="11" style="11" customWidth="1"/>
    <col min="7453" max="7454" width="9.19921875" style="11"/>
    <col min="7455" max="7455" width="10.265625" style="11" customWidth="1"/>
    <col min="7456" max="7456" width="10.19921875" style="11" customWidth="1"/>
    <col min="7457" max="7457" width="12.19921875" style="11" customWidth="1"/>
    <col min="7458" max="7654" width="9.19921875" style="11"/>
    <col min="7655" max="7655" width="34.265625" style="11" customWidth="1"/>
    <col min="7656" max="7656" width="13.73046875" style="11" customWidth="1"/>
    <col min="7657" max="7657" width="9.265625" style="11" bestFit="1" customWidth="1"/>
    <col min="7658" max="7658" width="10.53125" style="11" customWidth="1"/>
    <col min="7659" max="7660" width="9.265625" style="11" bestFit="1" customWidth="1"/>
    <col min="7661" max="7661" width="15.265625" style="11" bestFit="1" customWidth="1"/>
    <col min="7662" max="7662" width="9.265625" style="11" bestFit="1" customWidth="1"/>
    <col min="7663" max="7663" width="13.46484375" style="11" bestFit="1" customWidth="1"/>
    <col min="7664" max="7664" width="9.19921875" style="11" customWidth="1"/>
    <col min="7665" max="7665" width="12" style="11" customWidth="1"/>
    <col min="7666" max="7667" width="9.46484375" style="11" bestFit="1" customWidth="1"/>
    <col min="7668" max="7668" width="13.265625" style="11" customWidth="1"/>
    <col min="7669" max="7669" width="9.46484375" style="11" bestFit="1" customWidth="1"/>
    <col min="7670" max="7670" width="9.796875" style="11" bestFit="1" customWidth="1"/>
    <col min="7671" max="7671" width="12.46484375" style="11" bestFit="1" customWidth="1"/>
    <col min="7672" max="7672" width="10.19921875" style="11" customWidth="1"/>
    <col min="7673" max="7673" width="10" style="11" bestFit="1" customWidth="1"/>
    <col min="7674" max="7674" width="10.53125" style="11" customWidth="1"/>
    <col min="7675" max="7675" width="9.46484375" style="11" bestFit="1" customWidth="1"/>
    <col min="7676" max="7676" width="9.265625" style="11" bestFit="1" customWidth="1"/>
    <col min="7677" max="7677" width="9.265625" style="11" customWidth="1"/>
    <col min="7678" max="7678" width="9.46484375" style="11" bestFit="1" customWidth="1"/>
    <col min="7679" max="7679" width="10.19921875" style="11" customWidth="1"/>
    <col min="7680" max="7680" width="12.19921875" style="11" customWidth="1"/>
    <col min="7681" max="7681" width="9.53125" style="11" customWidth="1"/>
    <col min="7682" max="7682" width="11.53125" style="11" customWidth="1"/>
    <col min="7683" max="7683" width="12.73046875" style="11" customWidth="1"/>
    <col min="7684" max="7684" width="14.796875" style="11" customWidth="1"/>
    <col min="7685" max="7685" width="9.53125" style="11" customWidth="1"/>
    <col min="7686" max="7686" width="10.53125" style="11" customWidth="1"/>
    <col min="7687" max="7687" width="9.19921875" style="11"/>
    <col min="7688" max="7688" width="13.265625" style="11" customWidth="1"/>
    <col min="7689" max="7689" width="11.19921875" style="11" customWidth="1"/>
    <col min="7690" max="7690" width="9.19921875" style="11"/>
    <col min="7691" max="7691" width="9.19921875" style="11" customWidth="1"/>
    <col min="7692" max="7692" width="11.265625" style="11" customWidth="1"/>
    <col min="7693" max="7698" width="9.19921875" style="11"/>
    <col min="7699" max="7699" width="11.46484375" style="11" customWidth="1"/>
    <col min="7700" max="7700" width="11.73046875" style="11" customWidth="1"/>
    <col min="7701" max="7707" width="9.19921875" style="11"/>
    <col min="7708" max="7708" width="11" style="11" customWidth="1"/>
    <col min="7709" max="7710" width="9.19921875" style="11"/>
    <col min="7711" max="7711" width="10.265625" style="11" customWidth="1"/>
    <col min="7712" max="7712" width="10.19921875" style="11" customWidth="1"/>
    <col min="7713" max="7713" width="12.19921875" style="11" customWidth="1"/>
    <col min="7714" max="7910" width="9.19921875" style="11"/>
    <col min="7911" max="7911" width="34.265625" style="11" customWidth="1"/>
    <col min="7912" max="7912" width="13.73046875" style="11" customWidth="1"/>
    <col min="7913" max="7913" width="9.265625" style="11" bestFit="1" customWidth="1"/>
    <col min="7914" max="7914" width="10.53125" style="11" customWidth="1"/>
    <col min="7915" max="7916" width="9.265625" style="11" bestFit="1" customWidth="1"/>
    <col min="7917" max="7917" width="15.265625" style="11" bestFit="1" customWidth="1"/>
    <col min="7918" max="7918" width="9.265625" style="11" bestFit="1" customWidth="1"/>
    <col min="7919" max="7919" width="13.46484375" style="11" bestFit="1" customWidth="1"/>
    <col min="7920" max="7920" width="9.19921875" style="11" customWidth="1"/>
    <col min="7921" max="7921" width="12" style="11" customWidth="1"/>
    <col min="7922" max="7923" width="9.46484375" style="11" bestFit="1" customWidth="1"/>
    <col min="7924" max="7924" width="13.265625" style="11" customWidth="1"/>
    <col min="7925" max="7925" width="9.46484375" style="11" bestFit="1" customWidth="1"/>
    <col min="7926" max="7926" width="9.796875" style="11" bestFit="1" customWidth="1"/>
    <col min="7927" max="7927" width="12.46484375" style="11" bestFit="1" customWidth="1"/>
    <col min="7928" max="7928" width="10.19921875" style="11" customWidth="1"/>
    <col min="7929" max="7929" width="10" style="11" bestFit="1" customWidth="1"/>
    <col min="7930" max="7930" width="10.53125" style="11" customWidth="1"/>
    <col min="7931" max="7931" width="9.46484375" style="11" bestFit="1" customWidth="1"/>
    <col min="7932" max="7932" width="9.265625" style="11" bestFit="1" customWidth="1"/>
    <col min="7933" max="7933" width="9.265625" style="11" customWidth="1"/>
    <col min="7934" max="7934" width="9.46484375" style="11" bestFit="1" customWidth="1"/>
    <col min="7935" max="7935" width="10.19921875" style="11" customWidth="1"/>
    <col min="7936" max="7936" width="12.19921875" style="11" customWidth="1"/>
    <col min="7937" max="7937" width="9.53125" style="11" customWidth="1"/>
    <col min="7938" max="7938" width="11.53125" style="11" customWidth="1"/>
    <col min="7939" max="7939" width="12.73046875" style="11" customWidth="1"/>
    <col min="7940" max="7940" width="14.796875" style="11" customWidth="1"/>
    <col min="7941" max="7941" width="9.53125" style="11" customWidth="1"/>
    <col min="7942" max="7942" width="10.53125" style="11" customWidth="1"/>
    <col min="7943" max="7943" width="9.19921875" style="11"/>
    <col min="7944" max="7944" width="13.265625" style="11" customWidth="1"/>
    <col min="7945" max="7945" width="11.19921875" style="11" customWidth="1"/>
    <col min="7946" max="7946" width="9.19921875" style="11"/>
    <col min="7947" max="7947" width="9.19921875" style="11" customWidth="1"/>
    <col min="7948" max="7948" width="11.265625" style="11" customWidth="1"/>
    <col min="7949" max="7954" width="9.19921875" style="11"/>
    <col min="7955" max="7955" width="11.46484375" style="11" customWidth="1"/>
    <col min="7956" max="7956" width="11.73046875" style="11" customWidth="1"/>
    <col min="7957" max="7963" width="9.19921875" style="11"/>
    <col min="7964" max="7964" width="11" style="11" customWidth="1"/>
    <col min="7965" max="7966" width="9.19921875" style="11"/>
    <col min="7967" max="7967" width="10.265625" style="11" customWidth="1"/>
    <col min="7968" max="7968" width="10.19921875" style="11" customWidth="1"/>
    <col min="7969" max="7969" width="12.19921875" style="11" customWidth="1"/>
    <col min="7970" max="8166" width="9.19921875" style="11"/>
    <col min="8167" max="8167" width="34.265625" style="11" customWidth="1"/>
    <col min="8168" max="8168" width="13.73046875" style="11" customWidth="1"/>
    <col min="8169" max="8169" width="9.265625" style="11" bestFit="1" customWidth="1"/>
    <col min="8170" max="8170" width="10.53125" style="11" customWidth="1"/>
    <col min="8171" max="8172" width="9.265625" style="11" bestFit="1" customWidth="1"/>
    <col min="8173" max="8173" width="15.265625" style="11" bestFit="1" customWidth="1"/>
    <col min="8174" max="8174" width="9.265625" style="11" bestFit="1" customWidth="1"/>
    <col min="8175" max="8175" width="13.46484375" style="11" bestFit="1" customWidth="1"/>
    <col min="8176" max="8176" width="9.19921875" style="11" customWidth="1"/>
    <col min="8177" max="8177" width="12" style="11" customWidth="1"/>
    <col min="8178" max="8179" width="9.46484375" style="11" bestFit="1" customWidth="1"/>
    <col min="8180" max="8180" width="13.265625" style="11" customWidth="1"/>
    <col min="8181" max="8181" width="9.46484375" style="11" bestFit="1" customWidth="1"/>
    <col min="8182" max="8182" width="9.796875" style="11" bestFit="1" customWidth="1"/>
    <col min="8183" max="8183" width="12.46484375" style="11" bestFit="1" customWidth="1"/>
    <col min="8184" max="8184" width="10.19921875" style="11" customWidth="1"/>
    <col min="8185" max="8185" width="10" style="11" bestFit="1" customWidth="1"/>
    <col min="8186" max="8186" width="10.53125" style="11" customWidth="1"/>
    <col min="8187" max="8187" width="9.46484375" style="11" bestFit="1" customWidth="1"/>
    <col min="8188" max="8188" width="9.265625" style="11" bestFit="1" customWidth="1"/>
    <col min="8189" max="8189" width="9.265625" style="11" customWidth="1"/>
    <col min="8190" max="8190" width="9.46484375" style="11" bestFit="1" customWidth="1"/>
    <col min="8191" max="8191" width="10.19921875" style="11" customWidth="1"/>
    <col min="8192" max="8192" width="12.19921875" style="11" customWidth="1"/>
    <col min="8193" max="8193" width="9.53125" style="11" customWidth="1"/>
    <col min="8194" max="8194" width="11.53125" style="11" customWidth="1"/>
    <col min="8195" max="8195" width="12.73046875" style="11" customWidth="1"/>
    <col min="8196" max="8196" width="14.796875" style="11" customWidth="1"/>
    <col min="8197" max="8197" width="9.53125" style="11" customWidth="1"/>
    <col min="8198" max="8198" width="10.53125" style="11" customWidth="1"/>
    <col min="8199" max="8199" width="9.19921875" style="11"/>
    <col min="8200" max="8200" width="13.265625" style="11" customWidth="1"/>
    <col min="8201" max="8201" width="11.19921875" style="11" customWidth="1"/>
    <col min="8202" max="8202" width="9.19921875" style="11"/>
    <col min="8203" max="8203" width="9.19921875" style="11" customWidth="1"/>
    <col min="8204" max="8204" width="11.265625" style="11" customWidth="1"/>
    <col min="8205" max="8210" width="9.19921875" style="11"/>
    <col min="8211" max="8211" width="11.46484375" style="11" customWidth="1"/>
    <col min="8212" max="8212" width="11.73046875" style="11" customWidth="1"/>
    <col min="8213" max="8219" width="9.19921875" style="11"/>
    <col min="8220" max="8220" width="11" style="11" customWidth="1"/>
    <col min="8221" max="8222" width="9.19921875" style="11"/>
    <col min="8223" max="8223" width="10.265625" style="11" customWidth="1"/>
    <col min="8224" max="8224" width="10.19921875" style="11" customWidth="1"/>
    <col min="8225" max="8225" width="12.19921875" style="11" customWidth="1"/>
    <col min="8226" max="8422" width="9.19921875" style="11"/>
    <col min="8423" max="8423" width="34.265625" style="11" customWidth="1"/>
    <col min="8424" max="8424" width="13.73046875" style="11" customWidth="1"/>
    <col min="8425" max="8425" width="9.265625" style="11" bestFit="1" customWidth="1"/>
    <col min="8426" max="8426" width="10.53125" style="11" customWidth="1"/>
    <col min="8427" max="8428" width="9.265625" style="11" bestFit="1" customWidth="1"/>
    <col min="8429" max="8429" width="15.265625" style="11" bestFit="1" customWidth="1"/>
    <col min="8430" max="8430" width="9.265625" style="11" bestFit="1" customWidth="1"/>
    <col min="8431" max="8431" width="13.46484375" style="11" bestFit="1" customWidth="1"/>
    <col min="8432" max="8432" width="9.19921875" style="11" customWidth="1"/>
    <col min="8433" max="8433" width="12" style="11" customWidth="1"/>
    <col min="8434" max="8435" width="9.46484375" style="11" bestFit="1" customWidth="1"/>
    <col min="8436" max="8436" width="13.265625" style="11" customWidth="1"/>
    <col min="8437" max="8437" width="9.46484375" style="11" bestFit="1" customWidth="1"/>
    <col min="8438" max="8438" width="9.796875" style="11" bestFit="1" customWidth="1"/>
    <col min="8439" max="8439" width="12.46484375" style="11" bestFit="1" customWidth="1"/>
    <col min="8440" max="8440" width="10.19921875" style="11" customWidth="1"/>
    <col min="8441" max="8441" width="10" style="11" bestFit="1" customWidth="1"/>
    <col min="8442" max="8442" width="10.53125" style="11" customWidth="1"/>
    <col min="8443" max="8443" width="9.46484375" style="11" bestFit="1" customWidth="1"/>
    <col min="8444" max="8444" width="9.265625" style="11" bestFit="1" customWidth="1"/>
    <col min="8445" max="8445" width="9.265625" style="11" customWidth="1"/>
    <col min="8446" max="8446" width="9.46484375" style="11" bestFit="1" customWidth="1"/>
    <col min="8447" max="8447" width="10.19921875" style="11" customWidth="1"/>
    <col min="8448" max="8448" width="12.19921875" style="11" customWidth="1"/>
    <col min="8449" max="8449" width="9.53125" style="11" customWidth="1"/>
    <col min="8450" max="8450" width="11.53125" style="11" customWidth="1"/>
    <col min="8451" max="8451" width="12.73046875" style="11" customWidth="1"/>
    <col min="8452" max="8452" width="14.796875" style="11" customWidth="1"/>
    <col min="8453" max="8453" width="9.53125" style="11" customWidth="1"/>
    <col min="8454" max="8454" width="10.53125" style="11" customWidth="1"/>
    <col min="8455" max="8455" width="9.19921875" style="11"/>
    <col min="8456" max="8456" width="13.265625" style="11" customWidth="1"/>
    <col min="8457" max="8457" width="11.19921875" style="11" customWidth="1"/>
    <col min="8458" max="8458" width="9.19921875" style="11"/>
    <col min="8459" max="8459" width="9.19921875" style="11" customWidth="1"/>
    <col min="8460" max="8460" width="11.265625" style="11" customWidth="1"/>
    <col min="8461" max="8466" width="9.19921875" style="11"/>
    <col min="8467" max="8467" width="11.46484375" style="11" customWidth="1"/>
    <col min="8468" max="8468" width="11.73046875" style="11" customWidth="1"/>
    <col min="8469" max="8475" width="9.19921875" style="11"/>
    <col min="8476" max="8476" width="11" style="11" customWidth="1"/>
    <col min="8477" max="8478" width="9.19921875" style="11"/>
    <col min="8479" max="8479" width="10.265625" style="11" customWidth="1"/>
    <col min="8480" max="8480" width="10.19921875" style="11" customWidth="1"/>
    <col min="8481" max="8481" width="12.19921875" style="11" customWidth="1"/>
    <col min="8482" max="8678" width="9.19921875" style="11"/>
    <col min="8679" max="8679" width="34.265625" style="11" customWidth="1"/>
    <col min="8680" max="8680" width="13.73046875" style="11" customWidth="1"/>
    <col min="8681" max="8681" width="9.265625" style="11" bestFit="1" customWidth="1"/>
    <col min="8682" max="8682" width="10.53125" style="11" customWidth="1"/>
    <col min="8683" max="8684" width="9.265625" style="11" bestFit="1" customWidth="1"/>
    <col min="8685" max="8685" width="15.265625" style="11" bestFit="1" customWidth="1"/>
    <col min="8686" max="8686" width="9.265625" style="11" bestFit="1" customWidth="1"/>
    <col min="8687" max="8687" width="13.46484375" style="11" bestFit="1" customWidth="1"/>
    <col min="8688" max="8688" width="9.19921875" style="11" customWidth="1"/>
    <col min="8689" max="8689" width="12" style="11" customWidth="1"/>
    <col min="8690" max="8691" width="9.46484375" style="11" bestFit="1" customWidth="1"/>
    <col min="8692" max="8692" width="13.265625" style="11" customWidth="1"/>
    <col min="8693" max="8693" width="9.46484375" style="11" bestFit="1" customWidth="1"/>
    <col min="8694" max="8694" width="9.796875" style="11" bestFit="1" customWidth="1"/>
    <col min="8695" max="8695" width="12.46484375" style="11" bestFit="1" customWidth="1"/>
    <col min="8696" max="8696" width="10.19921875" style="11" customWidth="1"/>
    <col min="8697" max="8697" width="10" style="11" bestFit="1" customWidth="1"/>
    <col min="8698" max="8698" width="10.53125" style="11" customWidth="1"/>
    <col min="8699" max="8699" width="9.46484375" style="11" bestFit="1" customWidth="1"/>
    <col min="8700" max="8700" width="9.265625" style="11" bestFit="1" customWidth="1"/>
    <col min="8701" max="8701" width="9.265625" style="11" customWidth="1"/>
    <col min="8702" max="8702" width="9.46484375" style="11" bestFit="1" customWidth="1"/>
    <col min="8703" max="8703" width="10.19921875" style="11" customWidth="1"/>
    <col min="8704" max="8704" width="12.19921875" style="11" customWidth="1"/>
    <col min="8705" max="8705" width="9.53125" style="11" customWidth="1"/>
    <col min="8706" max="8706" width="11.53125" style="11" customWidth="1"/>
    <col min="8707" max="8707" width="12.73046875" style="11" customWidth="1"/>
    <col min="8708" max="8708" width="14.796875" style="11" customWidth="1"/>
    <col min="8709" max="8709" width="9.53125" style="11" customWidth="1"/>
    <col min="8710" max="8710" width="10.53125" style="11" customWidth="1"/>
    <col min="8711" max="8711" width="9.19921875" style="11"/>
    <col min="8712" max="8712" width="13.265625" style="11" customWidth="1"/>
    <col min="8713" max="8713" width="11.19921875" style="11" customWidth="1"/>
    <col min="8714" max="8714" width="9.19921875" style="11"/>
    <col min="8715" max="8715" width="9.19921875" style="11" customWidth="1"/>
    <col min="8716" max="8716" width="11.265625" style="11" customWidth="1"/>
    <col min="8717" max="8722" width="9.19921875" style="11"/>
    <col min="8723" max="8723" width="11.46484375" style="11" customWidth="1"/>
    <col min="8724" max="8724" width="11.73046875" style="11" customWidth="1"/>
    <col min="8725" max="8731" width="9.19921875" style="11"/>
    <col min="8732" max="8732" width="11" style="11" customWidth="1"/>
    <col min="8733" max="8734" width="9.19921875" style="11"/>
    <col min="8735" max="8735" width="10.265625" style="11" customWidth="1"/>
    <col min="8736" max="8736" width="10.19921875" style="11" customWidth="1"/>
    <col min="8737" max="8737" width="12.19921875" style="11" customWidth="1"/>
    <col min="8738" max="8934" width="9.19921875" style="11"/>
    <col min="8935" max="8935" width="34.265625" style="11" customWidth="1"/>
    <col min="8936" max="8936" width="13.73046875" style="11" customWidth="1"/>
    <col min="8937" max="8937" width="9.265625" style="11" bestFit="1" customWidth="1"/>
    <col min="8938" max="8938" width="10.53125" style="11" customWidth="1"/>
    <col min="8939" max="8940" width="9.265625" style="11" bestFit="1" customWidth="1"/>
    <col min="8941" max="8941" width="15.265625" style="11" bestFit="1" customWidth="1"/>
    <col min="8942" max="8942" width="9.265625" style="11" bestFit="1" customWidth="1"/>
    <col min="8943" max="8943" width="13.46484375" style="11" bestFit="1" customWidth="1"/>
    <col min="8944" max="8944" width="9.19921875" style="11" customWidth="1"/>
    <col min="8945" max="8945" width="12" style="11" customWidth="1"/>
    <col min="8946" max="8947" width="9.46484375" style="11" bestFit="1" customWidth="1"/>
    <col min="8948" max="8948" width="13.265625" style="11" customWidth="1"/>
    <col min="8949" max="8949" width="9.46484375" style="11" bestFit="1" customWidth="1"/>
    <col min="8950" max="8950" width="9.796875" style="11" bestFit="1" customWidth="1"/>
    <col min="8951" max="8951" width="12.46484375" style="11" bestFit="1" customWidth="1"/>
    <col min="8952" max="8952" width="10.19921875" style="11" customWidth="1"/>
    <col min="8953" max="8953" width="10" style="11" bestFit="1" customWidth="1"/>
    <col min="8954" max="8954" width="10.53125" style="11" customWidth="1"/>
    <col min="8955" max="8955" width="9.46484375" style="11" bestFit="1" customWidth="1"/>
    <col min="8956" max="8956" width="9.265625" style="11" bestFit="1" customWidth="1"/>
    <col min="8957" max="8957" width="9.265625" style="11" customWidth="1"/>
    <col min="8958" max="8958" width="9.46484375" style="11" bestFit="1" customWidth="1"/>
    <col min="8959" max="8959" width="10.19921875" style="11" customWidth="1"/>
    <col min="8960" max="8960" width="12.19921875" style="11" customWidth="1"/>
    <col min="8961" max="8961" width="9.53125" style="11" customWidth="1"/>
    <col min="8962" max="8962" width="11.53125" style="11" customWidth="1"/>
    <col min="8963" max="8963" width="12.73046875" style="11" customWidth="1"/>
    <col min="8964" max="8964" width="14.796875" style="11" customWidth="1"/>
    <col min="8965" max="8965" width="9.53125" style="11" customWidth="1"/>
    <col min="8966" max="8966" width="10.53125" style="11" customWidth="1"/>
    <col min="8967" max="8967" width="9.19921875" style="11"/>
    <col min="8968" max="8968" width="13.265625" style="11" customWidth="1"/>
    <col min="8969" max="8969" width="11.19921875" style="11" customWidth="1"/>
    <col min="8970" max="8970" width="9.19921875" style="11"/>
    <col min="8971" max="8971" width="9.19921875" style="11" customWidth="1"/>
    <col min="8972" max="8972" width="11.265625" style="11" customWidth="1"/>
    <col min="8973" max="8978" width="9.19921875" style="11"/>
    <col min="8979" max="8979" width="11.46484375" style="11" customWidth="1"/>
    <col min="8980" max="8980" width="11.73046875" style="11" customWidth="1"/>
    <col min="8981" max="8987" width="9.19921875" style="11"/>
    <col min="8988" max="8988" width="11" style="11" customWidth="1"/>
    <col min="8989" max="8990" width="9.19921875" style="11"/>
    <col min="8991" max="8991" width="10.265625" style="11" customWidth="1"/>
    <col min="8992" max="8992" width="10.19921875" style="11" customWidth="1"/>
    <col min="8993" max="8993" width="12.19921875" style="11" customWidth="1"/>
    <col min="8994" max="9190" width="9.19921875" style="11"/>
    <col min="9191" max="9191" width="34.265625" style="11" customWidth="1"/>
    <col min="9192" max="9192" width="13.73046875" style="11" customWidth="1"/>
    <col min="9193" max="9193" width="9.265625" style="11" bestFit="1" customWidth="1"/>
    <col min="9194" max="9194" width="10.53125" style="11" customWidth="1"/>
    <col min="9195" max="9196" width="9.265625" style="11" bestFit="1" customWidth="1"/>
    <col min="9197" max="9197" width="15.265625" style="11" bestFit="1" customWidth="1"/>
    <col min="9198" max="9198" width="9.265625" style="11" bestFit="1" customWidth="1"/>
    <col min="9199" max="9199" width="13.46484375" style="11" bestFit="1" customWidth="1"/>
    <col min="9200" max="9200" width="9.19921875" style="11" customWidth="1"/>
    <col min="9201" max="9201" width="12" style="11" customWidth="1"/>
    <col min="9202" max="9203" width="9.46484375" style="11" bestFit="1" customWidth="1"/>
    <col min="9204" max="9204" width="13.265625" style="11" customWidth="1"/>
    <col min="9205" max="9205" width="9.46484375" style="11" bestFit="1" customWidth="1"/>
    <col min="9206" max="9206" width="9.796875" style="11" bestFit="1" customWidth="1"/>
    <col min="9207" max="9207" width="12.46484375" style="11" bestFit="1" customWidth="1"/>
    <col min="9208" max="9208" width="10.19921875" style="11" customWidth="1"/>
    <col min="9209" max="9209" width="10" style="11" bestFit="1" customWidth="1"/>
    <col min="9210" max="9210" width="10.53125" style="11" customWidth="1"/>
    <col min="9211" max="9211" width="9.46484375" style="11" bestFit="1" customWidth="1"/>
    <col min="9212" max="9212" width="9.265625" style="11" bestFit="1" customWidth="1"/>
    <col min="9213" max="9213" width="9.265625" style="11" customWidth="1"/>
    <col min="9214" max="9214" width="9.46484375" style="11" bestFit="1" customWidth="1"/>
    <col min="9215" max="9215" width="10.19921875" style="11" customWidth="1"/>
    <col min="9216" max="9216" width="12.19921875" style="11" customWidth="1"/>
    <col min="9217" max="9217" width="9.53125" style="11" customWidth="1"/>
    <col min="9218" max="9218" width="11.53125" style="11" customWidth="1"/>
    <col min="9219" max="9219" width="12.73046875" style="11" customWidth="1"/>
    <col min="9220" max="9220" width="14.796875" style="11" customWidth="1"/>
    <col min="9221" max="9221" width="9.53125" style="11" customWidth="1"/>
    <col min="9222" max="9222" width="10.53125" style="11" customWidth="1"/>
    <col min="9223" max="9223" width="9.19921875" style="11"/>
    <col min="9224" max="9224" width="13.265625" style="11" customWidth="1"/>
    <col min="9225" max="9225" width="11.19921875" style="11" customWidth="1"/>
    <col min="9226" max="9226" width="9.19921875" style="11"/>
    <col min="9227" max="9227" width="9.19921875" style="11" customWidth="1"/>
    <col min="9228" max="9228" width="11.265625" style="11" customWidth="1"/>
    <col min="9229" max="9234" width="9.19921875" style="11"/>
    <col min="9235" max="9235" width="11.46484375" style="11" customWidth="1"/>
    <col min="9236" max="9236" width="11.73046875" style="11" customWidth="1"/>
    <col min="9237" max="9243" width="9.19921875" style="11"/>
    <col min="9244" max="9244" width="11" style="11" customWidth="1"/>
    <col min="9245" max="9246" width="9.19921875" style="11"/>
    <col min="9247" max="9247" width="10.265625" style="11" customWidth="1"/>
    <col min="9248" max="9248" width="10.19921875" style="11" customWidth="1"/>
    <col min="9249" max="9249" width="12.19921875" style="11" customWidth="1"/>
    <col min="9250" max="9446" width="9.19921875" style="11"/>
    <col min="9447" max="9447" width="34.265625" style="11" customWidth="1"/>
    <col min="9448" max="9448" width="13.73046875" style="11" customWidth="1"/>
    <col min="9449" max="9449" width="9.265625" style="11" bestFit="1" customWidth="1"/>
    <col min="9450" max="9450" width="10.53125" style="11" customWidth="1"/>
    <col min="9451" max="9452" width="9.265625" style="11" bestFit="1" customWidth="1"/>
    <col min="9453" max="9453" width="15.265625" style="11" bestFit="1" customWidth="1"/>
    <col min="9454" max="9454" width="9.265625" style="11" bestFit="1" customWidth="1"/>
    <col min="9455" max="9455" width="13.46484375" style="11" bestFit="1" customWidth="1"/>
    <col min="9456" max="9456" width="9.19921875" style="11" customWidth="1"/>
    <col min="9457" max="9457" width="12" style="11" customWidth="1"/>
    <col min="9458" max="9459" width="9.46484375" style="11" bestFit="1" customWidth="1"/>
    <col min="9460" max="9460" width="13.265625" style="11" customWidth="1"/>
    <col min="9461" max="9461" width="9.46484375" style="11" bestFit="1" customWidth="1"/>
    <col min="9462" max="9462" width="9.796875" style="11" bestFit="1" customWidth="1"/>
    <col min="9463" max="9463" width="12.46484375" style="11" bestFit="1" customWidth="1"/>
    <col min="9464" max="9464" width="10.19921875" style="11" customWidth="1"/>
    <col min="9465" max="9465" width="10" style="11" bestFit="1" customWidth="1"/>
    <col min="9466" max="9466" width="10.53125" style="11" customWidth="1"/>
    <col min="9467" max="9467" width="9.46484375" style="11" bestFit="1" customWidth="1"/>
    <col min="9468" max="9468" width="9.265625" style="11" bestFit="1" customWidth="1"/>
    <col min="9469" max="9469" width="9.265625" style="11" customWidth="1"/>
    <col min="9470" max="9470" width="9.46484375" style="11" bestFit="1" customWidth="1"/>
    <col min="9471" max="9471" width="10.19921875" style="11" customWidth="1"/>
    <col min="9472" max="9472" width="12.19921875" style="11" customWidth="1"/>
    <col min="9473" max="9473" width="9.53125" style="11" customWidth="1"/>
    <col min="9474" max="9474" width="11.53125" style="11" customWidth="1"/>
    <col min="9475" max="9475" width="12.73046875" style="11" customWidth="1"/>
    <col min="9476" max="9476" width="14.796875" style="11" customWidth="1"/>
    <col min="9477" max="9477" width="9.53125" style="11" customWidth="1"/>
    <col min="9478" max="9478" width="10.53125" style="11" customWidth="1"/>
    <col min="9479" max="9479" width="9.19921875" style="11"/>
    <col min="9480" max="9480" width="13.265625" style="11" customWidth="1"/>
    <col min="9481" max="9481" width="11.19921875" style="11" customWidth="1"/>
    <col min="9482" max="9482" width="9.19921875" style="11"/>
    <col min="9483" max="9483" width="9.19921875" style="11" customWidth="1"/>
    <col min="9484" max="9484" width="11.265625" style="11" customWidth="1"/>
    <col min="9485" max="9490" width="9.19921875" style="11"/>
    <col min="9491" max="9491" width="11.46484375" style="11" customWidth="1"/>
    <col min="9492" max="9492" width="11.73046875" style="11" customWidth="1"/>
    <col min="9493" max="9499" width="9.19921875" style="11"/>
    <col min="9500" max="9500" width="11" style="11" customWidth="1"/>
    <col min="9501" max="9502" width="9.19921875" style="11"/>
    <col min="9503" max="9503" width="10.265625" style="11" customWidth="1"/>
    <col min="9504" max="9504" width="10.19921875" style="11" customWidth="1"/>
    <col min="9505" max="9505" width="12.19921875" style="11" customWidth="1"/>
    <col min="9506" max="9702" width="9.19921875" style="11"/>
    <col min="9703" max="9703" width="34.265625" style="11" customWidth="1"/>
    <col min="9704" max="9704" width="13.73046875" style="11" customWidth="1"/>
    <col min="9705" max="9705" width="9.265625" style="11" bestFit="1" customWidth="1"/>
    <col min="9706" max="9706" width="10.53125" style="11" customWidth="1"/>
    <col min="9707" max="9708" width="9.265625" style="11" bestFit="1" customWidth="1"/>
    <col min="9709" max="9709" width="15.265625" style="11" bestFit="1" customWidth="1"/>
    <col min="9710" max="9710" width="9.265625" style="11" bestFit="1" customWidth="1"/>
    <col min="9711" max="9711" width="13.46484375" style="11" bestFit="1" customWidth="1"/>
    <col min="9712" max="9712" width="9.19921875" style="11" customWidth="1"/>
    <col min="9713" max="9713" width="12" style="11" customWidth="1"/>
    <col min="9714" max="9715" width="9.46484375" style="11" bestFit="1" customWidth="1"/>
    <col min="9716" max="9716" width="13.265625" style="11" customWidth="1"/>
    <col min="9717" max="9717" width="9.46484375" style="11" bestFit="1" customWidth="1"/>
    <col min="9718" max="9718" width="9.796875" style="11" bestFit="1" customWidth="1"/>
    <col min="9719" max="9719" width="12.46484375" style="11" bestFit="1" customWidth="1"/>
    <col min="9720" max="9720" width="10.19921875" style="11" customWidth="1"/>
    <col min="9721" max="9721" width="10" style="11" bestFit="1" customWidth="1"/>
    <col min="9722" max="9722" width="10.53125" style="11" customWidth="1"/>
    <col min="9723" max="9723" width="9.46484375" style="11" bestFit="1" customWidth="1"/>
    <col min="9724" max="9724" width="9.265625" style="11" bestFit="1" customWidth="1"/>
    <col min="9725" max="9725" width="9.265625" style="11" customWidth="1"/>
    <col min="9726" max="9726" width="9.46484375" style="11" bestFit="1" customWidth="1"/>
    <col min="9727" max="9727" width="10.19921875" style="11" customWidth="1"/>
    <col min="9728" max="9728" width="12.19921875" style="11" customWidth="1"/>
    <col min="9729" max="9729" width="9.53125" style="11" customWidth="1"/>
    <col min="9730" max="9730" width="11.53125" style="11" customWidth="1"/>
    <col min="9731" max="9731" width="12.73046875" style="11" customWidth="1"/>
    <col min="9732" max="9732" width="14.796875" style="11" customWidth="1"/>
    <col min="9733" max="9733" width="9.53125" style="11" customWidth="1"/>
    <col min="9734" max="9734" width="10.53125" style="11" customWidth="1"/>
    <col min="9735" max="9735" width="9.19921875" style="11"/>
    <col min="9736" max="9736" width="13.265625" style="11" customWidth="1"/>
    <col min="9737" max="9737" width="11.19921875" style="11" customWidth="1"/>
    <col min="9738" max="9738" width="9.19921875" style="11"/>
    <col min="9739" max="9739" width="9.19921875" style="11" customWidth="1"/>
    <col min="9740" max="9740" width="11.265625" style="11" customWidth="1"/>
    <col min="9741" max="9746" width="9.19921875" style="11"/>
    <col min="9747" max="9747" width="11.46484375" style="11" customWidth="1"/>
    <col min="9748" max="9748" width="11.73046875" style="11" customWidth="1"/>
    <col min="9749" max="9755" width="9.19921875" style="11"/>
    <col min="9756" max="9756" width="11" style="11" customWidth="1"/>
    <col min="9757" max="9758" width="9.19921875" style="11"/>
    <col min="9759" max="9759" width="10.265625" style="11" customWidth="1"/>
    <col min="9760" max="9760" width="10.19921875" style="11" customWidth="1"/>
    <col min="9761" max="9761" width="12.19921875" style="11" customWidth="1"/>
    <col min="9762" max="9958" width="9.19921875" style="11"/>
    <col min="9959" max="9959" width="34.265625" style="11" customWidth="1"/>
    <col min="9960" max="9960" width="13.73046875" style="11" customWidth="1"/>
    <col min="9961" max="9961" width="9.265625" style="11" bestFit="1" customWidth="1"/>
    <col min="9962" max="9962" width="10.53125" style="11" customWidth="1"/>
    <col min="9963" max="9964" width="9.265625" style="11" bestFit="1" customWidth="1"/>
    <col min="9965" max="9965" width="15.265625" style="11" bestFit="1" customWidth="1"/>
    <col min="9966" max="9966" width="9.265625" style="11" bestFit="1" customWidth="1"/>
    <col min="9967" max="9967" width="13.46484375" style="11" bestFit="1" customWidth="1"/>
    <col min="9968" max="9968" width="9.19921875" style="11" customWidth="1"/>
    <col min="9969" max="9969" width="12" style="11" customWidth="1"/>
    <col min="9970" max="9971" width="9.46484375" style="11" bestFit="1" customWidth="1"/>
    <col min="9972" max="9972" width="13.265625" style="11" customWidth="1"/>
    <col min="9973" max="9973" width="9.46484375" style="11" bestFit="1" customWidth="1"/>
    <col min="9974" max="9974" width="9.796875" style="11" bestFit="1" customWidth="1"/>
    <col min="9975" max="9975" width="12.46484375" style="11" bestFit="1" customWidth="1"/>
    <col min="9976" max="9976" width="10.19921875" style="11" customWidth="1"/>
    <col min="9977" max="9977" width="10" style="11" bestFit="1" customWidth="1"/>
    <col min="9978" max="9978" width="10.53125" style="11" customWidth="1"/>
    <col min="9979" max="9979" width="9.46484375" style="11" bestFit="1" customWidth="1"/>
    <col min="9980" max="9980" width="9.265625" style="11" bestFit="1" customWidth="1"/>
    <col min="9981" max="9981" width="9.265625" style="11" customWidth="1"/>
    <col min="9982" max="9982" width="9.46484375" style="11" bestFit="1" customWidth="1"/>
    <col min="9983" max="9983" width="10.19921875" style="11" customWidth="1"/>
    <col min="9984" max="9984" width="12.19921875" style="11" customWidth="1"/>
    <col min="9985" max="9985" width="9.53125" style="11" customWidth="1"/>
    <col min="9986" max="9986" width="11.53125" style="11" customWidth="1"/>
    <col min="9987" max="9987" width="12.73046875" style="11" customWidth="1"/>
    <col min="9988" max="9988" width="14.796875" style="11" customWidth="1"/>
    <col min="9989" max="9989" width="9.53125" style="11" customWidth="1"/>
    <col min="9990" max="9990" width="10.53125" style="11" customWidth="1"/>
    <col min="9991" max="9991" width="9.19921875" style="11"/>
    <col min="9992" max="9992" width="13.265625" style="11" customWidth="1"/>
    <col min="9993" max="9993" width="11.19921875" style="11" customWidth="1"/>
    <col min="9994" max="9994" width="9.19921875" style="11"/>
    <col min="9995" max="9995" width="9.19921875" style="11" customWidth="1"/>
    <col min="9996" max="9996" width="11.265625" style="11" customWidth="1"/>
    <col min="9997" max="10002" width="9.19921875" style="11"/>
    <col min="10003" max="10003" width="11.46484375" style="11" customWidth="1"/>
    <col min="10004" max="10004" width="11.73046875" style="11" customWidth="1"/>
    <col min="10005" max="10011" width="9.19921875" style="11"/>
    <col min="10012" max="10012" width="11" style="11" customWidth="1"/>
    <col min="10013" max="10014" width="9.19921875" style="11"/>
    <col min="10015" max="10015" width="10.265625" style="11" customWidth="1"/>
    <col min="10016" max="10016" width="10.19921875" style="11" customWidth="1"/>
    <col min="10017" max="10017" width="12.19921875" style="11" customWidth="1"/>
    <col min="10018" max="10214" width="9.19921875" style="11"/>
    <col min="10215" max="10215" width="34.265625" style="11" customWidth="1"/>
    <col min="10216" max="10216" width="13.73046875" style="11" customWidth="1"/>
    <col min="10217" max="10217" width="9.265625" style="11" bestFit="1" customWidth="1"/>
    <col min="10218" max="10218" width="10.53125" style="11" customWidth="1"/>
    <col min="10219" max="10220" width="9.265625" style="11" bestFit="1" customWidth="1"/>
    <col min="10221" max="10221" width="15.265625" style="11" bestFit="1" customWidth="1"/>
    <col min="10222" max="10222" width="9.265625" style="11" bestFit="1" customWidth="1"/>
    <col min="10223" max="10223" width="13.46484375" style="11" bestFit="1" customWidth="1"/>
    <col min="10224" max="10224" width="9.19921875" style="11" customWidth="1"/>
    <col min="10225" max="10225" width="12" style="11" customWidth="1"/>
    <col min="10226" max="10227" width="9.46484375" style="11" bestFit="1" customWidth="1"/>
    <col min="10228" max="10228" width="13.265625" style="11" customWidth="1"/>
    <col min="10229" max="10229" width="9.46484375" style="11" bestFit="1" customWidth="1"/>
    <col min="10230" max="10230" width="9.796875" style="11" bestFit="1" customWidth="1"/>
    <col min="10231" max="10231" width="12.46484375" style="11" bestFit="1" customWidth="1"/>
    <col min="10232" max="10232" width="10.19921875" style="11" customWidth="1"/>
    <col min="10233" max="10233" width="10" style="11" bestFit="1" customWidth="1"/>
    <col min="10234" max="10234" width="10.53125" style="11" customWidth="1"/>
    <col min="10235" max="10235" width="9.46484375" style="11" bestFit="1" customWidth="1"/>
    <col min="10236" max="10236" width="9.265625" style="11" bestFit="1" customWidth="1"/>
    <col min="10237" max="10237" width="9.265625" style="11" customWidth="1"/>
    <col min="10238" max="10238" width="9.46484375" style="11" bestFit="1" customWidth="1"/>
    <col min="10239" max="10239" width="10.19921875" style="11" customWidth="1"/>
    <col min="10240" max="10240" width="12.19921875" style="11" customWidth="1"/>
    <col min="10241" max="10241" width="9.53125" style="11" customWidth="1"/>
    <col min="10242" max="10242" width="11.53125" style="11" customWidth="1"/>
    <col min="10243" max="10243" width="12.73046875" style="11" customWidth="1"/>
    <col min="10244" max="10244" width="14.796875" style="11" customWidth="1"/>
    <col min="10245" max="10245" width="9.53125" style="11" customWidth="1"/>
    <col min="10246" max="10246" width="10.53125" style="11" customWidth="1"/>
    <col min="10247" max="10247" width="9.19921875" style="11"/>
    <col min="10248" max="10248" width="13.265625" style="11" customWidth="1"/>
    <col min="10249" max="10249" width="11.19921875" style="11" customWidth="1"/>
    <col min="10250" max="10250" width="9.19921875" style="11"/>
    <col min="10251" max="10251" width="9.19921875" style="11" customWidth="1"/>
    <col min="10252" max="10252" width="11.265625" style="11" customWidth="1"/>
    <col min="10253" max="10258" width="9.19921875" style="11"/>
    <col min="10259" max="10259" width="11.46484375" style="11" customWidth="1"/>
    <col min="10260" max="10260" width="11.73046875" style="11" customWidth="1"/>
    <col min="10261" max="10267" width="9.19921875" style="11"/>
    <col min="10268" max="10268" width="11" style="11" customWidth="1"/>
    <col min="10269" max="10270" width="9.19921875" style="11"/>
    <col min="10271" max="10271" width="10.265625" style="11" customWidth="1"/>
    <col min="10272" max="10272" width="10.19921875" style="11" customWidth="1"/>
    <col min="10273" max="10273" width="12.19921875" style="11" customWidth="1"/>
    <col min="10274" max="10470" width="9.19921875" style="11"/>
    <col min="10471" max="10471" width="34.265625" style="11" customWidth="1"/>
    <col min="10472" max="10472" width="13.73046875" style="11" customWidth="1"/>
    <col min="10473" max="10473" width="9.265625" style="11" bestFit="1" customWidth="1"/>
    <col min="10474" max="10474" width="10.53125" style="11" customWidth="1"/>
    <col min="10475" max="10476" width="9.265625" style="11" bestFit="1" customWidth="1"/>
    <col min="10477" max="10477" width="15.265625" style="11" bestFit="1" customWidth="1"/>
    <col min="10478" max="10478" width="9.265625" style="11" bestFit="1" customWidth="1"/>
    <col min="10479" max="10479" width="13.46484375" style="11" bestFit="1" customWidth="1"/>
    <col min="10480" max="10480" width="9.19921875" style="11" customWidth="1"/>
    <col min="10481" max="10481" width="12" style="11" customWidth="1"/>
    <col min="10482" max="10483" width="9.46484375" style="11" bestFit="1" customWidth="1"/>
    <col min="10484" max="10484" width="13.265625" style="11" customWidth="1"/>
    <col min="10485" max="10485" width="9.46484375" style="11" bestFit="1" customWidth="1"/>
    <col min="10486" max="10486" width="9.796875" style="11" bestFit="1" customWidth="1"/>
    <col min="10487" max="10487" width="12.46484375" style="11" bestFit="1" customWidth="1"/>
    <col min="10488" max="10488" width="10.19921875" style="11" customWidth="1"/>
    <col min="10489" max="10489" width="10" style="11" bestFit="1" customWidth="1"/>
    <col min="10490" max="10490" width="10.53125" style="11" customWidth="1"/>
    <col min="10491" max="10491" width="9.46484375" style="11" bestFit="1" customWidth="1"/>
    <col min="10492" max="10492" width="9.265625" style="11" bestFit="1" customWidth="1"/>
    <col min="10493" max="10493" width="9.265625" style="11" customWidth="1"/>
    <col min="10494" max="10494" width="9.46484375" style="11" bestFit="1" customWidth="1"/>
    <col min="10495" max="10495" width="10.19921875" style="11" customWidth="1"/>
    <col min="10496" max="10496" width="12.19921875" style="11" customWidth="1"/>
    <col min="10497" max="10497" width="9.53125" style="11" customWidth="1"/>
    <col min="10498" max="10498" width="11.53125" style="11" customWidth="1"/>
    <col min="10499" max="10499" width="12.73046875" style="11" customWidth="1"/>
    <col min="10500" max="10500" width="14.796875" style="11" customWidth="1"/>
    <col min="10501" max="10501" width="9.53125" style="11" customWidth="1"/>
    <col min="10502" max="10502" width="10.53125" style="11" customWidth="1"/>
    <col min="10503" max="10503" width="9.19921875" style="11"/>
    <col min="10504" max="10504" width="13.265625" style="11" customWidth="1"/>
    <col min="10505" max="10505" width="11.19921875" style="11" customWidth="1"/>
    <col min="10506" max="10506" width="9.19921875" style="11"/>
    <col min="10507" max="10507" width="9.19921875" style="11" customWidth="1"/>
    <col min="10508" max="10508" width="11.265625" style="11" customWidth="1"/>
    <col min="10509" max="10514" width="9.19921875" style="11"/>
    <col min="10515" max="10515" width="11.46484375" style="11" customWidth="1"/>
    <col min="10516" max="10516" width="11.73046875" style="11" customWidth="1"/>
    <col min="10517" max="10523" width="9.19921875" style="11"/>
    <col min="10524" max="10524" width="11" style="11" customWidth="1"/>
    <col min="10525" max="10526" width="9.19921875" style="11"/>
    <col min="10527" max="10527" width="10.265625" style="11" customWidth="1"/>
    <col min="10528" max="10528" width="10.19921875" style="11" customWidth="1"/>
    <col min="10529" max="10529" width="12.19921875" style="11" customWidth="1"/>
    <col min="10530" max="10726" width="9.19921875" style="11"/>
    <col min="10727" max="10727" width="34.265625" style="11" customWidth="1"/>
    <col min="10728" max="10728" width="13.73046875" style="11" customWidth="1"/>
    <col min="10729" max="10729" width="9.265625" style="11" bestFit="1" customWidth="1"/>
    <col min="10730" max="10730" width="10.53125" style="11" customWidth="1"/>
    <col min="10731" max="10732" width="9.265625" style="11" bestFit="1" customWidth="1"/>
    <col min="10733" max="10733" width="15.265625" style="11" bestFit="1" customWidth="1"/>
    <col min="10734" max="10734" width="9.265625" style="11" bestFit="1" customWidth="1"/>
    <col min="10735" max="10735" width="13.46484375" style="11" bestFit="1" customWidth="1"/>
    <col min="10736" max="10736" width="9.19921875" style="11" customWidth="1"/>
    <col min="10737" max="10737" width="12" style="11" customWidth="1"/>
    <col min="10738" max="10739" width="9.46484375" style="11" bestFit="1" customWidth="1"/>
    <col min="10740" max="10740" width="13.265625" style="11" customWidth="1"/>
    <col min="10741" max="10741" width="9.46484375" style="11" bestFit="1" customWidth="1"/>
    <col min="10742" max="10742" width="9.796875" style="11" bestFit="1" customWidth="1"/>
    <col min="10743" max="10743" width="12.46484375" style="11" bestFit="1" customWidth="1"/>
    <col min="10744" max="10744" width="10.19921875" style="11" customWidth="1"/>
    <col min="10745" max="10745" width="10" style="11" bestFit="1" customWidth="1"/>
    <col min="10746" max="10746" width="10.53125" style="11" customWidth="1"/>
    <col min="10747" max="10747" width="9.46484375" style="11" bestFit="1" customWidth="1"/>
    <col min="10748" max="10748" width="9.265625" style="11" bestFit="1" customWidth="1"/>
    <col min="10749" max="10749" width="9.265625" style="11" customWidth="1"/>
    <col min="10750" max="10750" width="9.46484375" style="11" bestFit="1" customWidth="1"/>
    <col min="10751" max="10751" width="10.19921875" style="11" customWidth="1"/>
    <col min="10752" max="10752" width="12.19921875" style="11" customWidth="1"/>
    <col min="10753" max="10753" width="9.53125" style="11" customWidth="1"/>
    <col min="10754" max="10754" width="11.53125" style="11" customWidth="1"/>
    <col min="10755" max="10755" width="12.73046875" style="11" customWidth="1"/>
    <col min="10756" max="10756" width="14.796875" style="11" customWidth="1"/>
    <col min="10757" max="10757" width="9.53125" style="11" customWidth="1"/>
    <col min="10758" max="10758" width="10.53125" style="11" customWidth="1"/>
    <col min="10759" max="10759" width="9.19921875" style="11"/>
    <col min="10760" max="10760" width="13.265625" style="11" customWidth="1"/>
    <col min="10761" max="10761" width="11.19921875" style="11" customWidth="1"/>
    <col min="10762" max="10762" width="9.19921875" style="11"/>
    <col min="10763" max="10763" width="9.19921875" style="11" customWidth="1"/>
    <col min="10764" max="10764" width="11.265625" style="11" customWidth="1"/>
    <col min="10765" max="10770" width="9.19921875" style="11"/>
    <col min="10771" max="10771" width="11.46484375" style="11" customWidth="1"/>
    <col min="10772" max="10772" width="11.73046875" style="11" customWidth="1"/>
    <col min="10773" max="10779" width="9.19921875" style="11"/>
    <col min="10780" max="10780" width="11" style="11" customWidth="1"/>
    <col min="10781" max="10782" width="9.19921875" style="11"/>
    <col min="10783" max="10783" width="10.265625" style="11" customWidth="1"/>
    <col min="10784" max="10784" width="10.19921875" style="11" customWidth="1"/>
    <col min="10785" max="10785" width="12.19921875" style="11" customWidth="1"/>
    <col min="10786" max="10982" width="9.19921875" style="11"/>
    <col min="10983" max="10983" width="34.265625" style="11" customWidth="1"/>
    <col min="10984" max="10984" width="13.73046875" style="11" customWidth="1"/>
    <col min="10985" max="10985" width="9.265625" style="11" bestFit="1" customWidth="1"/>
    <col min="10986" max="10986" width="10.53125" style="11" customWidth="1"/>
    <col min="10987" max="10988" width="9.265625" style="11" bestFit="1" customWidth="1"/>
    <col min="10989" max="10989" width="15.265625" style="11" bestFit="1" customWidth="1"/>
    <col min="10990" max="10990" width="9.265625" style="11" bestFit="1" customWidth="1"/>
    <col min="10991" max="10991" width="13.46484375" style="11" bestFit="1" customWidth="1"/>
    <col min="10992" max="10992" width="9.19921875" style="11" customWidth="1"/>
    <col min="10993" max="10993" width="12" style="11" customWidth="1"/>
    <col min="10994" max="10995" width="9.46484375" style="11" bestFit="1" customWidth="1"/>
    <col min="10996" max="10996" width="13.265625" style="11" customWidth="1"/>
    <col min="10997" max="10997" width="9.46484375" style="11" bestFit="1" customWidth="1"/>
    <col min="10998" max="10998" width="9.796875" style="11" bestFit="1" customWidth="1"/>
    <col min="10999" max="10999" width="12.46484375" style="11" bestFit="1" customWidth="1"/>
    <col min="11000" max="11000" width="10.19921875" style="11" customWidth="1"/>
    <col min="11001" max="11001" width="10" style="11" bestFit="1" customWidth="1"/>
    <col min="11002" max="11002" width="10.53125" style="11" customWidth="1"/>
    <col min="11003" max="11003" width="9.46484375" style="11" bestFit="1" customWidth="1"/>
    <col min="11004" max="11004" width="9.265625" style="11" bestFit="1" customWidth="1"/>
    <col min="11005" max="11005" width="9.265625" style="11" customWidth="1"/>
    <col min="11006" max="11006" width="9.46484375" style="11" bestFit="1" customWidth="1"/>
    <col min="11007" max="11007" width="10.19921875" style="11" customWidth="1"/>
    <col min="11008" max="11008" width="12.19921875" style="11" customWidth="1"/>
    <col min="11009" max="11009" width="9.53125" style="11" customWidth="1"/>
    <col min="11010" max="11010" width="11.53125" style="11" customWidth="1"/>
    <col min="11011" max="11011" width="12.73046875" style="11" customWidth="1"/>
    <col min="11012" max="11012" width="14.796875" style="11" customWidth="1"/>
    <col min="11013" max="11013" width="9.53125" style="11" customWidth="1"/>
    <col min="11014" max="11014" width="10.53125" style="11" customWidth="1"/>
    <col min="11015" max="11015" width="9.19921875" style="11"/>
    <col min="11016" max="11016" width="13.265625" style="11" customWidth="1"/>
    <col min="11017" max="11017" width="11.19921875" style="11" customWidth="1"/>
    <col min="11018" max="11018" width="9.19921875" style="11"/>
    <col min="11019" max="11019" width="9.19921875" style="11" customWidth="1"/>
    <col min="11020" max="11020" width="11.265625" style="11" customWidth="1"/>
    <col min="11021" max="11026" width="9.19921875" style="11"/>
    <col min="11027" max="11027" width="11.46484375" style="11" customWidth="1"/>
    <col min="11028" max="11028" width="11.73046875" style="11" customWidth="1"/>
    <col min="11029" max="11035" width="9.19921875" style="11"/>
    <col min="11036" max="11036" width="11" style="11" customWidth="1"/>
    <col min="11037" max="11038" width="9.19921875" style="11"/>
    <col min="11039" max="11039" width="10.265625" style="11" customWidth="1"/>
    <col min="11040" max="11040" width="10.19921875" style="11" customWidth="1"/>
    <col min="11041" max="11041" width="12.19921875" style="11" customWidth="1"/>
    <col min="11042" max="11238" width="9.19921875" style="11"/>
    <col min="11239" max="11239" width="34.265625" style="11" customWidth="1"/>
    <col min="11240" max="11240" width="13.73046875" style="11" customWidth="1"/>
    <col min="11241" max="11241" width="9.265625" style="11" bestFit="1" customWidth="1"/>
    <col min="11242" max="11242" width="10.53125" style="11" customWidth="1"/>
    <col min="11243" max="11244" width="9.265625" style="11" bestFit="1" customWidth="1"/>
    <col min="11245" max="11245" width="15.265625" style="11" bestFit="1" customWidth="1"/>
    <col min="11246" max="11246" width="9.265625" style="11" bestFit="1" customWidth="1"/>
    <col min="11247" max="11247" width="13.46484375" style="11" bestFit="1" customWidth="1"/>
    <col min="11248" max="11248" width="9.19921875" style="11" customWidth="1"/>
    <col min="11249" max="11249" width="12" style="11" customWidth="1"/>
    <col min="11250" max="11251" width="9.46484375" style="11" bestFit="1" customWidth="1"/>
    <col min="11252" max="11252" width="13.265625" style="11" customWidth="1"/>
    <col min="11253" max="11253" width="9.46484375" style="11" bestFit="1" customWidth="1"/>
    <col min="11254" max="11254" width="9.796875" style="11" bestFit="1" customWidth="1"/>
    <col min="11255" max="11255" width="12.46484375" style="11" bestFit="1" customWidth="1"/>
    <col min="11256" max="11256" width="10.19921875" style="11" customWidth="1"/>
    <col min="11257" max="11257" width="10" style="11" bestFit="1" customWidth="1"/>
    <col min="11258" max="11258" width="10.53125" style="11" customWidth="1"/>
    <col min="11259" max="11259" width="9.46484375" style="11" bestFit="1" customWidth="1"/>
    <col min="11260" max="11260" width="9.265625" style="11" bestFit="1" customWidth="1"/>
    <col min="11261" max="11261" width="9.265625" style="11" customWidth="1"/>
    <col min="11262" max="11262" width="9.46484375" style="11" bestFit="1" customWidth="1"/>
    <col min="11263" max="11263" width="10.19921875" style="11" customWidth="1"/>
    <col min="11264" max="11264" width="12.19921875" style="11" customWidth="1"/>
    <col min="11265" max="11265" width="9.53125" style="11" customWidth="1"/>
    <col min="11266" max="11266" width="11.53125" style="11" customWidth="1"/>
    <col min="11267" max="11267" width="12.73046875" style="11" customWidth="1"/>
    <col min="11268" max="11268" width="14.796875" style="11" customWidth="1"/>
    <col min="11269" max="11269" width="9.53125" style="11" customWidth="1"/>
    <col min="11270" max="11270" width="10.53125" style="11" customWidth="1"/>
    <col min="11271" max="11271" width="9.19921875" style="11"/>
    <col min="11272" max="11272" width="13.265625" style="11" customWidth="1"/>
    <col min="11273" max="11273" width="11.19921875" style="11" customWidth="1"/>
    <col min="11274" max="11274" width="9.19921875" style="11"/>
    <col min="11275" max="11275" width="9.19921875" style="11" customWidth="1"/>
    <col min="11276" max="11276" width="11.265625" style="11" customWidth="1"/>
    <col min="11277" max="11282" width="9.19921875" style="11"/>
    <col min="11283" max="11283" width="11.46484375" style="11" customWidth="1"/>
    <col min="11284" max="11284" width="11.73046875" style="11" customWidth="1"/>
    <col min="11285" max="11291" width="9.19921875" style="11"/>
    <col min="11292" max="11292" width="11" style="11" customWidth="1"/>
    <col min="11293" max="11294" width="9.19921875" style="11"/>
    <col min="11295" max="11295" width="10.265625" style="11" customWidth="1"/>
    <col min="11296" max="11296" width="10.19921875" style="11" customWidth="1"/>
    <col min="11297" max="11297" width="12.19921875" style="11" customWidth="1"/>
    <col min="11298" max="11494" width="9.19921875" style="11"/>
    <col min="11495" max="11495" width="34.265625" style="11" customWidth="1"/>
    <col min="11496" max="11496" width="13.73046875" style="11" customWidth="1"/>
    <col min="11497" max="11497" width="9.265625" style="11" bestFit="1" customWidth="1"/>
    <col min="11498" max="11498" width="10.53125" style="11" customWidth="1"/>
    <col min="11499" max="11500" width="9.265625" style="11" bestFit="1" customWidth="1"/>
    <col min="11501" max="11501" width="15.265625" style="11" bestFit="1" customWidth="1"/>
    <col min="11502" max="11502" width="9.265625" style="11" bestFit="1" customWidth="1"/>
    <col min="11503" max="11503" width="13.46484375" style="11" bestFit="1" customWidth="1"/>
    <col min="11504" max="11504" width="9.19921875" style="11" customWidth="1"/>
    <col min="11505" max="11505" width="12" style="11" customWidth="1"/>
    <col min="11506" max="11507" width="9.46484375" style="11" bestFit="1" customWidth="1"/>
    <col min="11508" max="11508" width="13.265625" style="11" customWidth="1"/>
    <col min="11509" max="11509" width="9.46484375" style="11" bestFit="1" customWidth="1"/>
    <col min="11510" max="11510" width="9.796875" style="11" bestFit="1" customWidth="1"/>
    <col min="11511" max="11511" width="12.46484375" style="11" bestFit="1" customWidth="1"/>
    <col min="11512" max="11512" width="10.19921875" style="11" customWidth="1"/>
    <col min="11513" max="11513" width="10" style="11" bestFit="1" customWidth="1"/>
    <col min="11514" max="11514" width="10.53125" style="11" customWidth="1"/>
    <col min="11515" max="11515" width="9.46484375" style="11" bestFit="1" customWidth="1"/>
    <col min="11516" max="11516" width="9.265625" style="11" bestFit="1" customWidth="1"/>
    <col min="11517" max="11517" width="9.265625" style="11" customWidth="1"/>
    <col min="11518" max="11518" width="9.46484375" style="11" bestFit="1" customWidth="1"/>
    <col min="11519" max="11519" width="10.19921875" style="11" customWidth="1"/>
    <col min="11520" max="11520" width="12.19921875" style="11" customWidth="1"/>
    <col min="11521" max="11521" width="9.53125" style="11" customWidth="1"/>
    <col min="11522" max="11522" width="11.53125" style="11" customWidth="1"/>
    <col min="11523" max="11523" width="12.73046875" style="11" customWidth="1"/>
    <col min="11524" max="11524" width="14.796875" style="11" customWidth="1"/>
    <col min="11525" max="11525" width="9.53125" style="11" customWidth="1"/>
    <col min="11526" max="11526" width="10.53125" style="11" customWidth="1"/>
    <col min="11527" max="11527" width="9.19921875" style="11"/>
    <col min="11528" max="11528" width="13.265625" style="11" customWidth="1"/>
    <col min="11529" max="11529" width="11.19921875" style="11" customWidth="1"/>
    <col min="11530" max="11530" width="9.19921875" style="11"/>
    <col min="11531" max="11531" width="9.19921875" style="11" customWidth="1"/>
    <col min="11532" max="11532" width="11.265625" style="11" customWidth="1"/>
    <col min="11533" max="11538" width="9.19921875" style="11"/>
    <col min="11539" max="11539" width="11.46484375" style="11" customWidth="1"/>
    <col min="11540" max="11540" width="11.73046875" style="11" customWidth="1"/>
    <col min="11541" max="11547" width="9.19921875" style="11"/>
    <col min="11548" max="11548" width="11" style="11" customWidth="1"/>
    <col min="11549" max="11550" width="9.19921875" style="11"/>
    <col min="11551" max="11551" width="10.265625" style="11" customWidth="1"/>
    <col min="11552" max="11552" width="10.19921875" style="11" customWidth="1"/>
    <col min="11553" max="11553" width="12.19921875" style="11" customWidth="1"/>
    <col min="11554" max="11750" width="9.19921875" style="11"/>
    <col min="11751" max="11751" width="34.265625" style="11" customWidth="1"/>
    <col min="11752" max="11752" width="13.73046875" style="11" customWidth="1"/>
    <col min="11753" max="11753" width="9.265625" style="11" bestFit="1" customWidth="1"/>
    <col min="11754" max="11754" width="10.53125" style="11" customWidth="1"/>
    <col min="11755" max="11756" width="9.265625" style="11" bestFit="1" customWidth="1"/>
    <col min="11757" max="11757" width="15.265625" style="11" bestFit="1" customWidth="1"/>
    <col min="11758" max="11758" width="9.265625" style="11" bestFit="1" customWidth="1"/>
    <col min="11759" max="11759" width="13.46484375" style="11" bestFit="1" customWidth="1"/>
    <col min="11760" max="11760" width="9.19921875" style="11" customWidth="1"/>
    <col min="11761" max="11761" width="12" style="11" customWidth="1"/>
    <col min="11762" max="11763" width="9.46484375" style="11" bestFit="1" customWidth="1"/>
    <col min="11764" max="11764" width="13.265625" style="11" customWidth="1"/>
    <col min="11765" max="11765" width="9.46484375" style="11" bestFit="1" customWidth="1"/>
    <col min="11766" max="11766" width="9.796875" style="11" bestFit="1" customWidth="1"/>
    <col min="11767" max="11767" width="12.46484375" style="11" bestFit="1" customWidth="1"/>
    <col min="11768" max="11768" width="10.19921875" style="11" customWidth="1"/>
    <col min="11769" max="11769" width="10" style="11" bestFit="1" customWidth="1"/>
    <col min="11770" max="11770" width="10.53125" style="11" customWidth="1"/>
    <col min="11771" max="11771" width="9.46484375" style="11" bestFit="1" customWidth="1"/>
    <col min="11772" max="11772" width="9.265625" style="11" bestFit="1" customWidth="1"/>
    <col min="11773" max="11773" width="9.265625" style="11" customWidth="1"/>
    <col min="11774" max="11774" width="9.46484375" style="11" bestFit="1" customWidth="1"/>
    <col min="11775" max="11775" width="10.19921875" style="11" customWidth="1"/>
    <col min="11776" max="11776" width="12.19921875" style="11" customWidth="1"/>
    <col min="11777" max="11777" width="9.53125" style="11" customWidth="1"/>
    <col min="11778" max="11778" width="11.53125" style="11" customWidth="1"/>
    <col min="11779" max="11779" width="12.73046875" style="11" customWidth="1"/>
    <col min="11780" max="11780" width="14.796875" style="11" customWidth="1"/>
    <col min="11781" max="11781" width="9.53125" style="11" customWidth="1"/>
    <col min="11782" max="11782" width="10.53125" style="11" customWidth="1"/>
    <col min="11783" max="11783" width="9.19921875" style="11"/>
    <col min="11784" max="11784" width="13.265625" style="11" customWidth="1"/>
    <col min="11785" max="11785" width="11.19921875" style="11" customWidth="1"/>
    <col min="11786" max="11786" width="9.19921875" style="11"/>
    <col min="11787" max="11787" width="9.19921875" style="11" customWidth="1"/>
    <col min="11788" max="11788" width="11.265625" style="11" customWidth="1"/>
    <col min="11789" max="11794" width="9.19921875" style="11"/>
    <col min="11795" max="11795" width="11.46484375" style="11" customWidth="1"/>
    <col min="11796" max="11796" width="11.73046875" style="11" customWidth="1"/>
    <col min="11797" max="11803" width="9.19921875" style="11"/>
    <col min="11804" max="11804" width="11" style="11" customWidth="1"/>
    <col min="11805" max="11806" width="9.19921875" style="11"/>
    <col min="11807" max="11807" width="10.265625" style="11" customWidth="1"/>
    <col min="11808" max="11808" width="10.19921875" style="11" customWidth="1"/>
    <col min="11809" max="11809" width="12.19921875" style="11" customWidth="1"/>
    <col min="11810" max="12006" width="9.19921875" style="11"/>
    <col min="12007" max="12007" width="34.265625" style="11" customWidth="1"/>
    <col min="12008" max="12008" width="13.73046875" style="11" customWidth="1"/>
    <col min="12009" max="12009" width="9.265625" style="11" bestFit="1" customWidth="1"/>
    <col min="12010" max="12010" width="10.53125" style="11" customWidth="1"/>
    <col min="12011" max="12012" width="9.265625" style="11" bestFit="1" customWidth="1"/>
    <col min="12013" max="12013" width="15.265625" style="11" bestFit="1" customWidth="1"/>
    <col min="12014" max="12014" width="9.265625" style="11" bestFit="1" customWidth="1"/>
    <col min="12015" max="12015" width="13.46484375" style="11" bestFit="1" customWidth="1"/>
    <col min="12016" max="12016" width="9.19921875" style="11" customWidth="1"/>
    <col min="12017" max="12017" width="12" style="11" customWidth="1"/>
    <col min="12018" max="12019" width="9.46484375" style="11" bestFit="1" customWidth="1"/>
    <col min="12020" max="12020" width="13.265625" style="11" customWidth="1"/>
    <col min="12021" max="12021" width="9.46484375" style="11" bestFit="1" customWidth="1"/>
    <col min="12022" max="12022" width="9.796875" style="11" bestFit="1" customWidth="1"/>
    <col min="12023" max="12023" width="12.46484375" style="11" bestFit="1" customWidth="1"/>
    <col min="12024" max="12024" width="10.19921875" style="11" customWidth="1"/>
    <col min="12025" max="12025" width="10" style="11" bestFit="1" customWidth="1"/>
    <col min="12026" max="12026" width="10.53125" style="11" customWidth="1"/>
    <col min="12027" max="12027" width="9.46484375" style="11" bestFit="1" customWidth="1"/>
    <col min="12028" max="12028" width="9.265625" style="11" bestFit="1" customWidth="1"/>
    <col min="12029" max="12029" width="9.265625" style="11" customWidth="1"/>
    <col min="12030" max="12030" width="9.46484375" style="11" bestFit="1" customWidth="1"/>
    <col min="12031" max="12031" width="10.19921875" style="11" customWidth="1"/>
    <col min="12032" max="12032" width="12.19921875" style="11" customWidth="1"/>
    <col min="12033" max="12033" width="9.53125" style="11" customWidth="1"/>
    <col min="12034" max="12034" width="11.53125" style="11" customWidth="1"/>
    <col min="12035" max="12035" width="12.73046875" style="11" customWidth="1"/>
    <col min="12036" max="12036" width="14.796875" style="11" customWidth="1"/>
    <col min="12037" max="12037" width="9.53125" style="11" customWidth="1"/>
    <col min="12038" max="12038" width="10.53125" style="11" customWidth="1"/>
    <col min="12039" max="12039" width="9.19921875" style="11"/>
    <col min="12040" max="12040" width="13.265625" style="11" customWidth="1"/>
    <col min="12041" max="12041" width="11.19921875" style="11" customWidth="1"/>
    <col min="12042" max="12042" width="9.19921875" style="11"/>
    <col min="12043" max="12043" width="9.19921875" style="11" customWidth="1"/>
    <col min="12044" max="12044" width="11.265625" style="11" customWidth="1"/>
    <col min="12045" max="12050" width="9.19921875" style="11"/>
    <col min="12051" max="12051" width="11.46484375" style="11" customWidth="1"/>
    <col min="12052" max="12052" width="11.73046875" style="11" customWidth="1"/>
    <col min="12053" max="12059" width="9.19921875" style="11"/>
    <col min="12060" max="12060" width="11" style="11" customWidth="1"/>
    <col min="12061" max="12062" width="9.19921875" style="11"/>
    <col min="12063" max="12063" width="10.265625" style="11" customWidth="1"/>
    <col min="12064" max="12064" width="10.19921875" style="11" customWidth="1"/>
    <col min="12065" max="12065" width="12.19921875" style="11" customWidth="1"/>
    <col min="12066" max="12262" width="9.19921875" style="11"/>
    <col min="12263" max="12263" width="34.265625" style="11" customWidth="1"/>
    <col min="12264" max="12264" width="13.73046875" style="11" customWidth="1"/>
    <col min="12265" max="12265" width="9.265625" style="11" bestFit="1" customWidth="1"/>
    <col min="12266" max="12266" width="10.53125" style="11" customWidth="1"/>
    <col min="12267" max="12268" width="9.265625" style="11" bestFit="1" customWidth="1"/>
    <col min="12269" max="12269" width="15.265625" style="11" bestFit="1" customWidth="1"/>
    <col min="12270" max="12270" width="9.265625" style="11" bestFit="1" customWidth="1"/>
    <col min="12271" max="12271" width="13.46484375" style="11" bestFit="1" customWidth="1"/>
    <col min="12272" max="12272" width="9.19921875" style="11" customWidth="1"/>
    <col min="12273" max="12273" width="12" style="11" customWidth="1"/>
    <col min="12274" max="12275" width="9.46484375" style="11" bestFit="1" customWidth="1"/>
    <col min="12276" max="12276" width="13.265625" style="11" customWidth="1"/>
    <col min="12277" max="12277" width="9.46484375" style="11" bestFit="1" customWidth="1"/>
    <col min="12278" max="12278" width="9.796875" style="11" bestFit="1" customWidth="1"/>
    <col min="12279" max="12279" width="12.46484375" style="11" bestFit="1" customWidth="1"/>
    <col min="12280" max="12280" width="10.19921875" style="11" customWidth="1"/>
    <col min="12281" max="12281" width="10" style="11" bestFit="1" customWidth="1"/>
    <col min="12282" max="12282" width="10.53125" style="11" customWidth="1"/>
    <col min="12283" max="12283" width="9.46484375" style="11" bestFit="1" customWidth="1"/>
    <col min="12284" max="12284" width="9.265625" style="11" bestFit="1" customWidth="1"/>
    <col min="12285" max="12285" width="9.265625" style="11" customWidth="1"/>
    <col min="12286" max="12286" width="9.46484375" style="11" bestFit="1" customWidth="1"/>
    <col min="12287" max="12287" width="10.19921875" style="11" customWidth="1"/>
    <col min="12288" max="12288" width="12.19921875" style="11" customWidth="1"/>
    <col min="12289" max="12289" width="9.53125" style="11" customWidth="1"/>
    <col min="12290" max="12290" width="11.53125" style="11" customWidth="1"/>
    <col min="12291" max="12291" width="12.73046875" style="11" customWidth="1"/>
    <col min="12292" max="12292" width="14.796875" style="11" customWidth="1"/>
    <col min="12293" max="12293" width="9.53125" style="11" customWidth="1"/>
    <col min="12294" max="12294" width="10.53125" style="11" customWidth="1"/>
    <col min="12295" max="12295" width="9.19921875" style="11"/>
    <col min="12296" max="12296" width="13.265625" style="11" customWidth="1"/>
    <col min="12297" max="12297" width="11.19921875" style="11" customWidth="1"/>
    <col min="12298" max="12298" width="9.19921875" style="11"/>
    <col min="12299" max="12299" width="9.19921875" style="11" customWidth="1"/>
    <col min="12300" max="12300" width="11.265625" style="11" customWidth="1"/>
    <col min="12301" max="12306" width="9.19921875" style="11"/>
    <col min="12307" max="12307" width="11.46484375" style="11" customWidth="1"/>
    <col min="12308" max="12308" width="11.73046875" style="11" customWidth="1"/>
    <col min="12309" max="12315" width="9.19921875" style="11"/>
    <col min="12316" max="12316" width="11" style="11" customWidth="1"/>
    <col min="12317" max="12318" width="9.19921875" style="11"/>
    <col min="12319" max="12319" width="10.265625" style="11" customWidth="1"/>
    <col min="12320" max="12320" width="10.19921875" style="11" customWidth="1"/>
    <col min="12321" max="12321" width="12.19921875" style="11" customWidth="1"/>
    <col min="12322" max="12518" width="9.19921875" style="11"/>
    <col min="12519" max="12519" width="34.265625" style="11" customWidth="1"/>
    <col min="12520" max="12520" width="13.73046875" style="11" customWidth="1"/>
    <col min="12521" max="12521" width="9.265625" style="11" bestFit="1" customWidth="1"/>
    <col min="12522" max="12522" width="10.53125" style="11" customWidth="1"/>
    <col min="12523" max="12524" width="9.265625" style="11" bestFit="1" customWidth="1"/>
    <col min="12525" max="12525" width="15.265625" style="11" bestFit="1" customWidth="1"/>
    <col min="12526" max="12526" width="9.265625" style="11" bestFit="1" customWidth="1"/>
    <col min="12527" max="12527" width="13.46484375" style="11" bestFit="1" customWidth="1"/>
    <col min="12528" max="12528" width="9.19921875" style="11" customWidth="1"/>
    <col min="12529" max="12529" width="12" style="11" customWidth="1"/>
    <col min="12530" max="12531" width="9.46484375" style="11" bestFit="1" customWidth="1"/>
    <col min="12532" max="12532" width="13.265625" style="11" customWidth="1"/>
    <col min="12533" max="12533" width="9.46484375" style="11" bestFit="1" customWidth="1"/>
    <col min="12534" max="12534" width="9.796875" style="11" bestFit="1" customWidth="1"/>
    <col min="12535" max="12535" width="12.46484375" style="11" bestFit="1" customWidth="1"/>
    <col min="12536" max="12536" width="10.19921875" style="11" customWidth="1"/>
    <col min="12537" max="12537" width="10" style="11" bestFit="1" customWidth="1"/>
    <col min="12538" max="12538" width="10.53125" style="11" customWidth="1"/>
    <col min="12539" max="12539" width="9.46484375" style="11" bestFit="1" customWidth="1"/>
    <col min="12540" max="12540" width="9.265625" style="11" bestFit="1" customWidth="1"/>
    <col min="12541" max="12541" width="9.265625" style="11" customWidth="1"/>
    <col min="12542" max="12542" width="9.46484375" style="11" bestFit="1" customWidth="1"/>
    <col min="12543" max="12543" width="10.19921875" style="11" customWidth="1"/>
    <col min="12544" max="12544" width="12.19921875" style="11" customWidth="1"/>
    <col min="12545" max="12545" width="9.53125" style="11" customWidth="1"/>
    <col min="12546" max="12546" width="11.53125" style="11" customWidth="1"/>
    <col min="12547" max="12547" width="12.73046875" style="11" customWidth="1"/>
    <col min="12548" max="12548" width="14.796875" style="11" customWidth="1"/>
    <col min="12549" max="12549" width="9.53125" style="11" customWidth="1"/>
    <col min="12550" max="12550" width="10.53125" style="11" customWidth="1"/>
    <col min="12551" max="12551" width="9.19921875" style="11"/>
    <col min="12552" max="12552" width="13.265625" style="11" customWidth="1"/>
    <col min="12553" max="12553" width="11.19921875" style="11" customWidth="1"/>
    <col min="12554" max="12554" width="9.19921875" style="11"/>
    <col min="12555" max="12555" width="9.19921875" style="11" customWidth="1"/>
    <col min="12556" max="12556" width="11.265625" style="11" customWidth="1"/>
    <col min="12557" max="12562" width="9.19921875" style="11"/>
    <col min="12563" max="12563" width="11.46484375" style="11" customWidth="1"/>
    <col min="12564" max="12564" width="11.73046875" style="11" customWidth="1"/>
    <col min="12565" max="12571" width="9.19921875" style="11"/>
    <col min="12572" max="12572" width="11" style="11" customWidth="1"/>
    <col min="12573" max="12574" width="9.19921875" style="11"/>
    <col min="12575" max="12575" width="10.265625" style="11" customWidth="1"/>
    <col min="12576" max="12576" width="10.19921875" style="11" customWidth="1"/>
    <col min="12577" max="12577" width="12.19921875" style="11" customWidth="1"/>
    <col min="12578" max="12774" width="9.19921875" style="11"/>
    <col min="12775" max="12775" width="34.265625" style="11" customWidth="1"/>
    <col min="12776" max="12776" width="13.73046875" style="11" customWidth="1"/>
    <col min="12777" max="12777" width="9.265625" style="11" bestFit="1" customWidth="1"/>
    <col min="12778" max="12778" width="10.53125" style="11" customWidth="1"/>
    <col min="12779" max="12780" width="9.265625" style="11" bestFit="1" customWidth="1"/>
    <col min="12781" max="12781" width="15.265625" style="11" bestFit="1" customWidth="1"/>
    <col min="12782" max="12782" width="9.265625" style="11" bestFit="1" customWidth="1"/>
    <col min="12783" max="12783" width="13.46484375" style="11" bestFit="1" customWidth="1"/>
    <col min="12784" max="12784" width="9.19921875" style="11" customWidth="1"/>
    <col min="12785" max="12785" width="12" style="11" customWidth="1"/>
    <col min="12786" max="12787" width="9.46484375" style="11" bestFit="1" customWidth="1"/>
    <col min="12788" max="12788" width="13.265625" style="11" customWidth="1"/>
    <col min="12789" max="12789" width="9.46484375" style="11" bestFit="1" customWidth="1"/>
    <col min="12790" max="12790" width="9.796875" style="11" bestFit="1" customWidth="1"/>
    <col min="12791" max="12791" width="12.46484375" style="11" bestFit="1" customWidth="1"/>
    <col min="12792" max="12792" width="10.19921875" style="11" customWidth="1"/>
    <col min="12793" max="12793" width="10" style="11" bestFit="1" customWidth="1"/>
    <col min="12794" max="12794" width="10.53125" style="11" customWidth="1"/>
    <col min="12795" max="12795" width="9.46484375" style="11" bestFit="1" customWidth="1"/>
    <col min="12796" max="12796" width="9.265625" style="11" bestFit="1" customWidth="1"/>
    <col min="12797" max="12797" width="9.265625" style="11" customWidth="1"/>
    <col min="12798" max="12798" width="9.46484375" style="11" bestFit="1" customWidth="1"/>
    <col min="12799" max="12799" width="10.19921875" style="11" customWidth="1"/>
    <col min="12800" max="12800" width="12.19921875" style="11" customWidth="1"/>
    <col min="12801" max="12801" width="9.53125" style="11" customWidth="1"/>
    <col min="12802" max="12802" width="11.53125" style="11" customWidth="1"/>
    <col min="12803" max="12803" width="12.73046875" style="11" customWidth="1"/>
    <col min="12804" max="12804" width="14.796875" style="11" customWidth="1"/>
    <col min="12805" max="12805" width="9.53125" style="11" customWidth="1"/>
    <col min="12806" max="12806" width="10.53125" style="11" customWidth="1"/>
    <col min="12807" max="12807" width="9.19921875" style="11"/>
    <col min="12808" max="12808" width="13.265625" style="11" customWidth="1"/>
    <col min="12809" max="12809" width="11.19921875" style="11" customWidth="1"/>
    <col min="12810" max="12810" width="9.19921875" style="11"/>
    <col min="12811" max="12811" width="9.19921875" style="11" customWidth="1"/>
    <col min="12812" max="12812" width="11.265625" style="11" customWidth="1"/>
    <col min="12813" max="12818" width="9.19921875" style="11"/>
    <col min="12819" max="12819" width="11.46484375" style="11" customWidth="1"/>
    <col min="12820" max="12820" width="11.73046875" style="11" customWidth="1"/>
    <col min="12821" max="12827" width="9.19921875" style="11"/>
    <col min="12828" max="12828" width="11" style="11" customWidth="1"/>
    <col min="12829" max="12830" width="9.19921875" style="11"/>
    <col min="12831" max="12831" width="10.265625" style="11" customWidth="1"/>
    <col min="12832" max="12832" width="10.19921875" style="11" customWidth="1"/>
    <col min="12833" max="12833" width="12.19921875" style="11" customWidth="1"/>
    <col min="12834" max="13030" width="9.19921875" style="11"/>
    <col min="13031" max="13031" width="34.265625" style="11" customWidth="1"/>
    <col min="13032" max="13032" width="13.73046875" style="11" customWidth="1"/>
    <col min="13033" max="13033" width="9.265625" style="11" bestFit="1" customWidth="1"/>
    <col min="13034" max="13034" width="10.53125" style="11" customWidth="1"/>
    <col min="13035" max="13036" width="9.265625" style="11" bestFit="1" customWidth="1"/>
    <col min="13037" max="13037" width="15.265625" style="11" bestFit="1" customWidth="1"/>
    <col min="13038" max="13038" width="9.265625" style="11" bestFit="1" customWidth="1"/>
    <col min="13039" max="13039" width="13.46484375" style="11" bestFit="1" customWidth="1"/>
    <col min="13040" max="13040" width="9.19921875" style="11" customWidth="1"/>
    <col min="13041" max="13041" width="12" style="11" customWidth="1"/>
    <col min="13042" max="13043" width="9.46484375" style="11" bestFit="1" customWidth="1"/>
    <col min="13044" max="13044" width="13.265625" style="11" customWidth="1"/>
    <col min="13045" max="13045" width="9.46484375" style="11" bestFit="1" customWidth="1"/>
    <col min="13046" max="13046" width="9.796875" style="11" bestFit="1" customWidth="1"/>
    <col min="13047" max="13047" width="12.46484375" style="11" bestFit="1" customWidth="1"/>
    <col min="13048" max="13048" width="10.19921875" style="11" customWidth="1"/>
    <col min="13049" max="13049" width="10" style="11" bestFit="1" customWidth="1"/>
    <col min="13050" max="13050" width="10.53125" style="11" customWidth="1"/>
    <col min="13051" max="13051" width="9.46484375" style="11" bestFit="1" customWidth="1"/>
    <col min="13052" max="13052" width="9.265625" style="11" bestFit="1" customWidth="1"/>
    <col min="13053" max="13053" width="9.265625" style="11" customWidth="1"/>
    <col min="13054" max="13054" width="9.46484375" style="11" bestFit="1" customWidth="1"/>
    <col min="13055" max="13055" width="10.19921875" style="11" customWidth="1"/>
    <col min="13056" max="13056" width="12.19921875" style="11" customWidth="1"/>
    <col min="13057" max="13057" width="9.53125" style="11" customWidth="1"/>
    <col min="13058" max="13058" width="11.53125" style="11" customWidth="1"/>
    <col min="13059" max="13059" width="12.73046875" style="11" customWidth="1"/>
    <col min="13060" max="13060" width="14.796875" style="11" customWidth="1"/>
    <col min="13061" max="13061" width="9.53125" style="11" customWidth="1"/>
    <col min="13062" max="13062" width="10.53125" style="11" customWidth="1"/>
    <col min="13063" max="13063" width="9.19921875" style="11"/>
    <col min="13064" max="13064" width="13.265625" style="11" customWidth="1"/>
    <col min="13065" max="13065" width="11.19921875" style="11" customWidth="1"/>
    <col min="13066" max="13066" width="9.19921875" style="11"/>
    <col min="13067" max="13067" width="9.19921875" style="11" customWidth="1"/>
    <col min="13068" max="13068" width="11.265625" style="11" customWidth="1"/>
    <col min="13069" max="13074" width="9.19921875" style="11"/>
    <col min="13075" max="13075" width="11.46484375" style="11" customWidth="1"/>
    <col min="13076" max="13076" width="11.73046875" style="11" customWidth="1"/>
    <col min="13077" max="13083" width="9.19921875" style="11"/>
    <col min="13084" max="13084" width="11" style="11" customWidth="1"/>
    <col min="13085" max="13086" width="9.19921875" style="11"/>
    <col min="13087" max="13087" width="10.265625" style="11" customWidth="1"/>
    <col min="13088" max="13088" width="10.19921875" style="11" customWidth="1"/>
    <col min="13089" max="13089" width="12.19921875" style="11" customWidth="1"/>
    <col min="13090" max="13286" width="9.19921875" style="11"/>
    <col min="13287" max="13287" width="34.265625" style="11" customWidth="1"/>
    <col min="13288" max="13288" width="13.73046875" style="11" customWidth="1"/>
    <col min="13289" max="13289" width="9.265625" style="11" bestFit="1" customWidth="1"/>
    <col min="13290" max="13290" width="10.53125" style="11" customWidth="1"/>
    <col min="13291" max="13292" width="9.265625" style="11" bestFit="1" customWidth="1"/>
    <col min="13293" max="13293" width="15.265625" style="11" bestFit="1" customWidth="1"/>
    <col min="13294" max="13294" width="9.265625" style="11" bestFit="1" customWidth="1"/>
    <col min="13295" max="13295" width="13.46484375" style="11" bestFit="1" customWidth="1"/>
    <col min="13296" max="13296" width="9.19921875" style="11" customWidth="1"/>
    <col min="13297" max="13297" width="12" style="11" customWidth="1"/>
    <col min="13298" max="13299" width="9.46484375" style="11" bestFit="1" customWidth="1"/>
    <col min="13300" max="13300" width="13.265625" style="11" customWidth="1"/>
    <col min="13301" max="13301" width="9.46484375" style="11" bestFit="1" customWidth="1"/>
    <col min="13302" max="13302" width="9.796875" style="11" bestFit="1" customWidth="1"/>
    <col min="13303" max="13303" width="12.46484375" style="11" bestFit="1" customWidth="1"/>
    <col min="13304" max="13304" width="10.19921875" style="11" customWidth="1"/>
    <col min="13305" max="13305" width="10" style="11" bestFit="1" customWidth="1"/>
    <col min="13306" max="13306" width="10.53125" style="11" customWidth="1"/>
    <col min="13307" max="13307" width="9.46484375" style="11" bestFit="1" customWidth="1"/>
    <col min="13308" max="13308" width="9.265625" style="11" bestFit="1" customWidth="1"/>
    <col min="13309" max="13309" width="9.265625" style="11" customWidth="1"/>
    <col min="13310" max="13310" width="9.46484375" style="11" bestFit="1" customWidth="1"/>
    <col min="13311" max="13311" width="10.19921875" style="11" customWidth="1"/>
    <col min="13312" max="13312" width="12.19921875" style="11" customWidth="1"/>
    <col min="13313" max="13313" width="9.53125" style="11" customWidth="1"/>
    <col min="13314" max="13314" width="11.53125" style="11" customWidth="1"/>
    <col min="13315" max="13315" width="12.73046875" style="11" customWidth="1"/>
    <col min="13316" max="13316" width="14.796875" style="11" customWidth="1"/>
    <col min="13317" max="13317" width="9.53125" style="11" customWidth="1"/>
    <col min="13318" max="13318" width="10.53125" style="11" customWidth="1"/>
    <col min="13319" max="13319" width="9.19921875" style="11"/>
    <col min="13320" max="13320" width="13.265625" style="11" customWidth="1"/>
    <col min="13321" max="13321" width="11.19921875" style="11" customWidth="1"/>
    <col min="13322" max="13322" width="9.19921875" style="11"/>
    <col min="13323" max="13323" width="9.19921875" style="11" customWidth="1"/>
    <col min="13324" max="13324" width="11.265625" style="11" customWidth="1"/>
    <col min="13325" max="13330" width="9.19921875" style="11"/>
    <col min="13331" max="13331" width="11.46484375" style="11" customWidth="1"/>
    <col min="13332" max="13332" width="11.73046875" style="11" customWidth="1"/>
    <col min="13333" max="13339" width="9.19921875" style="11"/>
    <col min="13340" max="13340" width="11" style="11" customWidth="1"/>
    <col min="13341" max="13342" width="9.19921875" style="11"/>
    <col min="13343" max="13343" width="10.265625" style="11" customWidth="1"/>
    <col min="13344" max="13344" width="10.19921875" style="11" customWidth="1"/>
    <col min="13345" max="13345" width="12.19921875" style="11" customWidth="1"/>
    <col min="13346" max="13542" width="9.19921875" style="11"/>
    <col min="13543" max="13543" width="34.265625" style="11" customWidth="1"/>
    <col min="13544" max="13544" width="13.73046875" style="11" customWidth="1"/>
    <col min="13545" max="13545" width="9.265625" style="11" bestFit="1" customWidth="1"/>
    <col min="13546" max="13546" width="10.53125" style="11" customWidth="1"/>
    <col min="13547" max="13548" width="9.265625" style="11" bestFit="1" customWidth="1"/>
    <col min="13549" max="13549" width="15.265625" style="11" bestFit="1" customWidth="1"/>
    <col min="13550" max="13550" width="9.265625" style="11" bestFit="1" customWidth="1"/>
    <col min="13551" max="13551" width="13.46484375" style="11" bestFit="1" customWidth="1"/>
    <col min="13552" max="13552" width="9.19921875" style="11" customWidth="1"/>
    <col min="13553" max="13553" width="12" style="11" customWidth="1"/>
    <col min="13554" max="13555" width="9.46484375" style="11" bestFit="1" customWidth="1"/>
    <col min="13556" max="13556" width="13.265625" style="11" customWidth="1"/>
    <col min="13557" max="13557" width="9.46484375" style="11" bestFit="1" customWidth="1"/>
    <col min="13558" max="13558" width="9.796875" style="11" bestFit="1" customWidth="1"/>
    <col min="13559" max="13559" width="12.46484375" style="11" bestFit="1" customWidth="1"/>
    <col min="13560" max="13560" width="10.19921875" style="11" customWidth="1"/>
    <col min="13561" max="13561" width="10" style="11" bestFit="1" customWidth="1"/>
    <col min="13562" max="13562" width="10.53125" style="11" customWidth="1"/>
    <col min="13563" max="13563" width="9.46484375" style="11" bestFit="1" customWidth="1"/>
    <col min="13564" max="13564" width="9.265625" style="11" bestFit="1" customWidth="1"/>
    <col min="13565" max="13565" width="9.265625" style="11" customWidth="1"/>
    <col min="13566" max="13566" width="9.46484375" style="11" bestFit="1" customWidth="1"/>
    <col min="13567" max="13567" width="10.19921875" style="11" customWidth="1"/>
    <col min="13568" max="13568" width="12.19921875" style="11" customWidth="1"/>
    <col min="13569" max="13569" width="9.53125" style="11" customWidth="1"/>
    <col min="13570" max="13570" width="11.53125" style="11" customWidth="1"/>
    <col min="13571" max="13571" width="12.73046875" style="11" customWidth="1"/>
    <col min="13572" max="13572" width="14.796875" style="11" customWidth="1"/>
    <col min="13573" max="13573" width="9.53125" style="11" customWidth="1"/>
    <col min="13574" max="13574" width="10.53125" style="11" customWidth="1"/>
    <col min="13575" max="13575" width="9.19921875" style="11"/>
    <col min="13576" max="13576" width="13.265625" style="11" customWidth="1"/>
    <col min="13577" max="13577" width="11.19921875" style="11" customWidth="1"/>
    <col min="13578" max="13578" width="9.19921875" style="11"/>
    <col min="13579" max="13579" width="9.19921875" style="11" customWidth="1"/>
    <col min="13580" max="13580" width="11.265625" style="11" customWidth="1"/>
    <col min="13581" max="13586" width="9.19921875" style="11"/>
    <col min="13587" max="13587" width="11.46484375" style="11" customWidth="1"/>
    <col min="13588" max="13588" width="11.73046875" style="11" customWidth="1"/>
    <col min="13589" max="13595" width="9.19921875" style="11"/>
    <col min="13596" max="13596" width="11" style="11" customWidth="1"/>
    <col min="13597" max="13598" width="9.19921875" style="11"/>
    <col min="13599" max="13599" width="10.265625" style="11" customWidth="1"/>
    <col min="13600" max="13600" width="10.19921875" style="11" customWidth="1"/>
    <col min="13601" max="13601" width="12.19921875" style="11" customWidth="1"/>
    <col min="13602" max="13798" width="9.19921875" style="11"/>
    <col min="13799" max="13799" width="34.265625" style="11" customWidth="1"/>
    <col min="13800" max="13800" width="13.73046875" style="11" customWidth="1"/>
    <col min="13801" max="13801" width="9.265625" style="11" bestFit="1" customWidth="1"/>
    <col min="13802" max="13802" width="10.53125" style="11" customWidth="1"/>
    <col min="13803" max="13804" width="9.265625" style="11" bestFit="1" customWidth="1"/>
    <col min="13805" max="13805" width="15.265625" style="11" bestFit="1" customWidth="1"/>
    <col min="13806" max="13806" width="9.265625" style="11" bestFit="1" customWidth="1"/>
    <col min="13807" max="13807" width="13.46484375" style="11" bestFit="1" customWidth="1"/>
    <col min="13808" max="13808" width="9.19921875" style="11" customWidth="1"/>
    <col min="13809" max="13809" width="12" style="11" customWidth="1"/>
    <col min="13810" max="13811" width="9.46484375" style="11" bestFit="1" customWidth="1"/>
    <col min="13812" max="13812" width="13.265625" style="11" customWidth="1"/>
    <col min="13813" max="13813" width="9.46484375" style="11" bestFit="1" customWidth="1"/>
    <col min="13814" max="13814" width="9.796875" style="11" bestFit="1" customWidth="1"/>
    <col min="13815" max="13815" width="12.46484375" style="11" bestFit="1" customWidth="1"/>
    <col min="13816" max="13816" width="10.19921875" style="11" customWidth="1"/>
    <col min="13817" max="13817" width="10" style="11" bestFit="1" customWidth="1"/>
    <col min="13818" max="13818" width="10.53125" style="11" customWidth="1"/>
    <col min="13819" max="13819" width="9.46484375" style="11" bestFit="1" customWidth="1"/>
    <col min="13820" max="13820" width="9.265625" style="11" bestFit="1" customWidth="1"/>
    <col min="13821" max="13821" width="9.265625" style="11" customWidth="1"/>
    <col min="13822" max="13822" width="9.46484375" style="11" bestFit="1" customWidth="1"/>
    <col min="13823" max="13823" width="10.19921875" style="11" customWidth="1"/>
    <col min="13824" max="13824" width="12.19921875" style="11" customWidth="1"/>
    <col min="13825" max="13825" width="9.53125" style="11" customWidth="1"/>
    <col min="13826" max="13826" width="11.53125" style="11" customWidth="1"/>
    <col min="13827" max="13827" width="12.73046875" style="11" customWidth="1"/>
    <col min="13828" max="13828" width="14.796875" style="11" customWidth="1"/>
    <col min="13829" max="13829" width="9.53125" style="11" customWidth="1"/>
    <col min="13830" max="13830" width="10.53125" style="11" customWidth="1"/>
    <col min="13831" max="13831" width="9.19921875" style="11"/>
    <col min="13832" max="13832" width="13.265625" style="11" customWidth="1"/>
    <col min="13833" max="13833" width="11.19921875" style="11" customWidth="1"/>
    <col min="13834" max="13834" width="9.19921875" style="11"/>
    <col min="13835" max="13835" width="9.19921875" style="11" customWidth="1"/>
    <col min="13836" max="13836" width="11.265625" style="11" customWidth="1"/>
    <col min="13837" max="13842" width="9.19921875" style="11"/>
    <col min="13843" max="13843" width="11.46484375" style="11" customWidth="1"/>
    <col min="13844" max="13844" width="11.73046875" style="11" customWidth="1"/>
    <col min="13845" max="13851" width="9.19921875" style="11"/>
    <col min="13852" max="13852" width="11" style="11" customWidth="1"/>
    <col min="13853" max="13854" width="9.19921875" style="11"/>
    <col min="13855" max="13855" width="10.265625" style="11" customWidth="1"/>
    <col min="13856" max="13856" width="10.19921875" style="11" customWidth="1"/>
    <col min="13857" max="13857" width="12.19921875" style="11" customWidth="1"/>
    <col min="13858" max="14054" width="9.19921875" style="11"/>
    <col min="14055" max="14055" width="34.265625" style="11" customWidth="1"/>
    <col min="14056" max="14056" width="13.73046875" style="11" customWidth="1"/>
    <col min="14057" max="14057" width="9.265625" style="11" bestFit="1" customWidth="1"/>
    <col min="14058" max="14058" width="10.53125" style="11" customWidth="1"/>
    <col min="14059" max="14060" width="9.265625" style="11" bestFit="1" customWidth="1"/>
    <col min="14061" max="14061" width="15.265625" style="11" bestFit="1" customWidth="1"/>
    <col min="14062" max="14062" width="9.265625" style="11" bestFit="1" customWidth="1"/>
    <col min="14063" max="14063" width="13.46484375" style="11" bestFit="1" customWidth="1"/>
    <col min="14064" max="14064" width="9.19921875" style="11" customWidth="1"/>
    <col min="14065" max="14065" width="12" style="11" customWidth="1"/>
    <col min="14066" max="14067" width="9.46484375" style="11" bestFit="1" customWidth="1"/>
    <col min="14068" max="14068" width="13.265625" style="11" customWidth="1"/>
    <col min="14069" max="14069" width="9.46484375" style="11" bestFit="1" customWidth="1"/>
    <col min="14070" max="14070" width="9.796875" style="11" bestFit="1" customWidth="1"/>
    <col min="14071" max="14071" width="12.46484375" style="11" bestFit="1" customWidth="1"/>
    <col min="14072" max="14072" width="10.19921875" style="11" customWidth="1"/>
    <col min="14073" max="14073" width="10" style="11" bestFit="1" customWidth="1"/>
    <col min="14074" max="14074" width="10.53125" style="11" customWidth="1"/>
    <col min="14075" max="14075" width="9.46484375" style="11" bestFit="1" customWidth="1"/>
    <col min="14076" max="14076" width="9.265625" style="11" bestFit="1" customWidth="1"/>
    <col min="14077" max="14077" width="9.265625" style="11" customWidth="1"/>
    <col min="14078" max="14078" width="9.46484375" style="11" bestFit="1" customWidth="1"/>
    <col min="14079" max="14079" width="10.19921875" style="11" customWidth="1"/>
    <col min="14080" max="14080" width="12.19921875" style="11" customWidth="1"/>
    <col min="14081" max="14081" width="9.53125" style="11" customWidth="1"/>
    <col min="14082" max="14082" width="11.53125" style="11" customWidth="1"/>
    <col min="14083" max="14083" width="12.73046875" style="11" customWidth="1"/>
    <col min="14084" max="14084" width="14.796875" style="11" customWidth="1"/>
    <col min="14085" max="14085" width="9.53125" style="11" customWidth="1"/>
    <col min="14086" max="14086" width="10.53125" style="11" customWidth="1"/>
    <col min="14087" max="14087" width="9.19921875" style="11"/>
    <col min="14088" max="14088" width="13.265625" style="11" customWidth="1"/>
    <col min="14089" max="14089" width="11.19921875" style="11" customWidth="1"/>
    <col min="14090" max="14090" width="9.19921875" style="11"/>
    <col min="14091" max="14091" width="9.19921875" style="11" customWidth="1"/>
    <col min="14092" max="14092" width="11.265625" style="11" customWidth="1"/>
    <col min="14093" max="14098" width="9.19921875" style="11"/>
    <col min="14099" max="14099" width="11.46484375" style="11" customWidth="1"/>
    <col min="14100" max="14100" width="11.73046875" style="11" customWidth="1"/>
    <col min="14101" max="14107" width="9.19921875" style="11"/>
    <col min="14108" max="14108" width="11" style="11" customWidth="1"/>
    <col min="14109" max="14110" width="9.19921875" style="11"/>
    <col min="14111" max="14111" width="10.265625" style="11" customWidth="1"/>
    <col min="14112" max="14112" width="10.19921875" style="11" customWidth="1"/>
    <col min="14113" max="14113" width="12.19921875" style="11" customWidth="1"/>
    <col min="14114" max="14310" width="9.19921875" style="11"/>
    <col min="14311" max="14311" width="34.265625" style="11" customWidth="1"/>
    <col min="14312" max="14312" width="13.73046875" style="11" customWidth="1"/>
    <col min="14313" max="14313" width="9.265625" style="11" bestFit="1" customWidth="1"/>
    <col min="14314" max="14314" width="10.53125" style="11" customWidth="1"/>
    <col min="14315" max="14316" width="9.265625" style="11" bestFit="1" customWidth="1"/>
    <col min="14317" max="14317" width="15.265625" style="11" bestFit="1" customWidth="1"/>
    <col min="14318" max="14318" width="9.265625" style="11" bestFit="1" customWidth="1"/>
    <col min="14319" max="14319" width="13.46484375" style="11" bestFit="1" customWidth="1"/>
    <col min="14320" max="14320" width="9.19921875" style="11" customWidth="1"/>
    <col min="14321" max="14321" width="12" style="11" customWidth="1"/>
    <col min="14322" max="14323" width="9.46484375" style="11" bestFit="1" customWidth="1"/>
    <col min="14324" max="14324" width="13.265625" style="11" customWidth="1"/>
    <col min="14325" max="14325" width="9.46484375" style="11" bestFit="1" customWidth="1"/>
    <col min="14326" max="14326" width="9.796875" style="11" bestFit="1" customWidth="1"/>
    <col min="14327" max="14327" width="12.46484375" style="11" bestFit="1" customWidth="1"/>
    <col min="14328" max="14328" width="10.19921875" style="11" customWidth="1"/>
    <col min="14329" max="14329" width="10" style="11" bestFit="1" customWidth="1"/>
    <col min="14330" max="14330" width="10.53125" style="11" customWidth="1"/>
    <col min="14331" max="14331" width="9.46484375" style="11" bestFit="1" customWidth="1"/>
    <col min="14332" max="14332" width="9.265625" style="11" bestFit="1" customWidth="1"/>
    <col min="14333" max="14333" width="9.265625" style="11" customWidth="1"/>
    <col min="14334" max="14334" width="9.46484375" style="11" bestFit="1" customWidth="1"/>
    <col min="14335" max="14335" width="10.19921875" style="11" customWidth="1"/>
    <col min="14336" max="14336" width="12.19921875" style="11" customWidth="1"/>
    <col min="14337" max="14337" width="9.53125" style="11" customWidth="1"/>
    <col min="14338" max="14338" width="11.53125" style="11" customWidth="1"/>
    <col min="14339" max="14339" width="12.73046875" style="11" customWidth="1"/>
    <col min="14340" max="14340" width="14.796875" style="11" customWidth="1"/>
    <col min="14341" max="14341" width="9.53125" style="11" customWidth="1"/>
    <col min="14342" max="14342" width="10.53125" style="11" customWidth="1"/>
    <col min="14343" max="14343" width="9.19921875" style="11"/>
    <col min="14344" max="14344" width="13.265625" style="11" customWidth="1"/>
    <col min="14345" max="14345" width="11.19921875" style="11" customWidth="1"/>
    <col min="14346" max="14346" width="9.19921875" style="11"/>
    <col min="14347" max="14347" width="9.19921875" style="11" customWidth="1"/>
    <col min="14348" max="14348" width="11.265625" style="11" customWidth="1"/>
    <col min="14349" max="14354" width="9.19921875" style="11"/>
    <col min="14355" max="14355" width="11.46484375" style="11" customWidth="1"/>
    <col min="14356" max="14356" width="11.73046875" style="11" customWidth="1"/>
    <col min="14357" max="14363" width="9.19921875" style="11"/>
    <col min="14364" max="14364" width="11" style="11" customWidth="1"/>
    <col min="14365" max="14366" width="9.19921875" style="11"/>
    <col min="14367" max="14367" width="10.265625" style="11" customWidth="1"/>
    <col min="14368" max="14368" width="10.19921875" style="11" customWidth="1"/>
    <col min="14369" max="14369" width="12.19921875" style="11" customWidth="1"/>
    <col min="14370" max="14566" width="9.19921875" style="11"/>
    <col min="14567" max="14567" width="34.265625" style="11" customWidth="1"/>
    <col min="14568" max="14568" width="13.73046875" style="11" customWidth="1"/>
    <col min="14569" max="14569" width="9.265625" style="11" bestFit="1" customWidth="1"/>
    <col min="14570" max="14570" width="10.53125" style="11" customWidth="1"/>
    <col min="14571" max="14572" width="9.265625" style="11" bestFit="1" customWidth="1"/>
    <col min="14573" max="14573" width="15.265625" style="11" bestFit="1" customWidth="1"/>
    <col min="14574" max="14574" width="9.265625" style="11" bestFit="1" customWidth="1"/>
    <col min="14575" max="14575" width="13.46484375" style="11" bestFit="1" customWidth="1"/>
    <col min="14576" max="14576" width="9.19921875" style="11" customWidth="1"/>
    <col min="14577" max="14577" width="12" style="11" customWidth="1"/>
    <col min="14578" max="14579" width="9.46484375" style="11" bestFit="1" customWidth="1"/>
    <col min="14580" max="14580" width="13.265625" style="11" customWidth="1"/>
    <col min="14581" max="14581" width="9.46484375" style="11" bestFit="1" customWidth="1"/>
    <col min="14582" max="14582" width="9.796875" style="11" bestFit="1" customWidth="1"/>
    <col min="14583" max="14583" width="12.46484375" style="11" bestFit="1" customWidth="1"/>
    <col min="14584" max="14584" width="10.19921875" style="11" customWidth="1"/>
    <col min="14585" max="14585" width="10" style="11" bestFit="1" customWidth="1"/>
    <col min="14586" max="14586" width="10.53125" style="11" customWidth="1"/>
    <col min="14587" max="14587" width="9.46484375" style="11" bestFit="1" customWidth="1"/>
    <col min="14588" max="14588" width="9.265625" style="11" bestFit="1" customWidth="1"/>
    <col min="14589" max="14589" width="9.265625" style="11" customWidth="1"/>
    <col min="14590" max="14590" width="9.46484375" style="11" bestFit="1" customWidth="1"/>
    <col min="14591" max="14591" width="10.19921875" style="11" customWidth="1"/>
    <col min="14592" max="14592" width="12.19921875" style="11" customWidth="1"/>
    <col min="14593" max="14593" width="9.53125" style="11" customWidth="1"/>
    <col min="14594" max="14594" width="11.53125" style="11" customWidth="1"/>
    <col min="14595" max="14595" width="12.73046875" style="11" customWidth="1"/>
    <col min="14596" max="14596" width="14.796875" style="11" customWidth="1"/>
    <col min="14597" max="14597" width="9.53125" style="11" customWidth="1"/>
    <col min="14598" max="14598" width="10.53125" style="11" customWidth="1"/>
    <col min="14599" max="14599" width="9.19921875" style="11"/>
    <col min="14600" max="14600" width="13.265625" style="11" customWidth="1"/>
    <col min="14601" max="14601" width="11.19921875" style="11" customWidth="1"/>
    <col min="14602" max="14602" width="9.19921875" style="11"/>
    <col min="14603" max="14603" width="9.19921875" style="11" customWidth="1"/>
    <col min="14604" max="14604" width="11.265625" style="11" customWidth="1"/>
    <col min="14605" max="14610" width="9.19921875" style="11"/>
    <col min="14611" max="14611" width="11.46484375" style="11" customWidth="1"/>
    <col min="14612" max="14612" width="11.73046875" style="11" customWidth="1"/>
    <col min="14613" max="14619" width="9.19921875" style="11"/>
    <col min="14620" max="14620" width="11" style="11" customWidth="1"/>
    <col min="14621" max="14622" width="9.19921875" style="11"/>
    <col min="14623" max="14623" width="10.265625" style="11" customWidth="1"/>
    <col min="14624" max="14624" width="10.19921875" style="11" customWidth="1"/>
    <col min="14625" max="14625" width="12.19921875" style="11" customWidth="1"/>
    <col min="14626" max="14822" width="9.19921875" style="11"/>
    <col min="14823" max="14823" width="34.265625" style="11" customWidth="1"/>
    <col min="14824" max="14824" width="13.73046875" style="11" customWidth="1"/>
    <col min="14825" max="14825" width="9.265625" style="11" bestFit="1" customWidth="1"/>
    <col min="14826" max="14826" width="10.53125" style="11" customWidth="1"/>
    <col min="14827" max="14828" width="9.265625" style="11" bestFit="1" customWidth="1"/>
    <col min="14829" max="14829" width="15.265625" style="11" bestFit="1" customWidth="1"/>
    <col min="14830" max="14830" width="9.265625" style="11" bestFit="1" customWidth="1"/>
    <col min="14831" max="14831" width="13.46484375" style="11" bestFit="1" customWidth="1"/>
    <col min="14832" max="14832" width="9.19921875" style="11" customWidth="1"/>
    <col min="14833" max="14833" width="12" style="11" customWidth="1"/>
    <col min="14834" max="14835" width="9.46484375" style="11" bestFit="1" customWidth="1"/>
    <col min="14836" max="14836" width="13.265625" style="11" customWidth="1"/>
    <col min="14837" max="14837" width="9.46484375" style="11" bestFit="1" customWidth="1"/>
    <col min="14838" max="14838" width="9.796875" style="11" bestFit="1" customWidth="1"/>
    <col min="14839" max="14839" width="12.46484375" style="11" bestFit="1" customWidth="1"/>
    <col min="14840" max="14840" width="10.19921875" style="11" customWidth="1"/>
    <col min="14841" max="14841" width="10" style="11" bestFit="1" customWidth="1"/>
    <col min="14842" max="14842" width="10.53125" style="11" customWidth="1"/>
    <col min="14843" max="14843" width="9.46484375" style="11" bestFit="1" customWidth="1"/>
    <col min="14844" max="14844" width="9.265625" style="11" bestFit="1" customWidth="1"/>
    <col min="14845" max="14845" width="9.265625" style="11" customWidth="1"/>
    <col min="14846" max="14846" width="9.46484375" style="11" bestFit="1" customWidth="1"/>
    <col min="14847" max="14847" width="10.19921875" style="11" customWidth="1"/>
    <col min="14848" max="14848" width="12.19921875" style="11" customWidth="1"/>
    <col min="14849" max="14849" width="9.53125" style="11" customWidth="1"/>
    <col min="14850" max="14850" width="11.53125" style="11" customWidth="1"/>
    <col min="14851" max="14851" width="12.73046875" style="11" customWidth="1"/>
    <col min="14852" max="14852" width="14.796875" style="11" customWidth="1"/>
    <col min="14853" max="14853" width="9.53125" style="11" customWidth="1"/>
    <col min="14854" max="14854" width="10.53125" style="11" customWidth="1"/>
    <col min="14855" max="14855" width="9.19921875" style="11"/>
    <col min="14856" max="14856" width="13.265625" style="11" customWidth="1"/>
    <col min="14857" max="14857" width="11.19921875" style="11" customWidth="1"/>
    <col min="14858" max="14858" width="9.19921875" style="11"/>
    <col min="14859" max="14859" width="9.19921875" style="11" customWidth="1"/>
    <col min="14860" max="14860" width="11.265625" style="11" customWidth="1"/>
    <col min="14861" max="14866" width="9.19921875" style="11"/>
    <col min="14867" max="14867" width="11.46484375" style="11" customWidth="1"/>
    <col min="14868" max="14868" width="11.73046875" style="11" customWidth="1"/>
    <col min="14869" max="14875" width="9.19921875" style="11"/>
    <col min="14876" max="14876" width="11" style="11" customWidth="1"/>
    <col min="14877" max="14878" width="9.19921875" style="11"/>
    <col min="14879" max="14879" width="10.265625" style="11" customWidth="1"/>
    <col min="14880" max="14880" width="10.19921875" style="11" customWidth="1"/>
    <col min="14881" max="14881" width="12.19921875" style="11" customWidth="1"/>
    <col min="14882" max="15078" width="9.19921875" style="11"/>
    <col min="15079" max="15079" width="34.265625" style="11" customWidth="1"/>
    <col min="15080" max="15080" width="13.73046875" style="11" customWidth="1"/>
    <col min="15081" max="15081" width="9.265625" style="11" bestFit="1" customWidth="1"/>
    <col min="15082" max="15082" width="10.53125" style="11" customWidth="1"/>
    <col min="15083" max="15084" width="9.265625" style="11" bestFit="1" customWidth="1"/>
    <col min="15085" max="15085" width="15.265625" style="11" bestFit="1" customWidth="1"/>
    <col min="15086" max="15086" width="9.265625" style="11" bestFit="1" customWidth="1"/>
    <col min="15087" max="15087" width="13.46484375" style="11" bestFit="1" customWidth="1"/>
    <col min="15088" max="15088" width="9.19921875" style="11" customWidth="1"/>
    <col min="15089" max="15089" width="12" style="11" customWidth="1"/>
    <col min="15090" max="15091" width="9.46484375" style="11" bestFit="1" customWidth="1"/>
    <col min="15092" max="15092" width="13.265625" style="11" customWidth="1"/>
    <col min="15093" max="15093" width="9.46484375" style="11" bestFit="1" customWidth="1"/>
    <col min="15094" max="15094" width="9.796875" style="11" bestFit="1" customWidth="1"/>
    <col min="15095" max="15095" width="12.46484375" style="11" bestFit="1" customWidth="1"/>
    <col min="15096" max="15096" width="10.19921875" style="11" customWidth="1"/>
    <col min="15097" max="15097" width="10" style="11" bestFit="1" customWidth="1"/>
    <col min="15098" max="15098" width="10.53125" style="11" customWidth="1"/>
    <col min="15099" max="15099" width="9.46484375" style="11" bestFit="1" customWidth="1"/>
    <col min="15100" max="15100" width="9.265625" style="11" bestFit="1" customWidth="1"/>
    <col min="15101" max="15101" width="9.265625" style="11" customWidth="1"/>
    <col min="15102" max="15102" width="9.46484375" style="11" bestFit="1" customWidth="1"/>
    <col min="15103" max="15103" width="10.19921875" style="11" customWidth="1"/>
    <col min="15104" max="15104" width="12.19921875" style="11" customWidth="1"/>
    <col min="15105" max="15105" width="9.53125" style="11" customWidth="1"/>
    <col min="15106" max="15106" width="11.53125" style="11" customWidth="1"/>
    <col min="15107" max="15107" width="12.73046875" style="11" customWidth="1"/>
    <col min="15108" max="15108" width="14.796875" style="11" customWidth="1"/>
    <col min="15109" max="15109" width="9.53125" style="11" customWidth="1"/>
    <col min="15110" max="15110" width="10.53125" style="11" customWidth="1"/>
    <col min="15111" max="15111" width="9.19921875" style="11"/>
    <col min="15112" max="15112" width="13.265625" style="11" customWidth="1"/>
    <col min="15113" max="15113" width="11.19921875" style="11" customWidth="1"/>
    <col min="15114" max="15114" width="9.19921875" style="11"/>
    <col min="15115" max="15115" width="9.19921875" style="11" customWidth="1"/>
    <col min="15116" max="15116" width="11.265625" style="11" customWidth="1"/>
    <col min="15117" max="15122" width="9.19921875" style="11"/>
    <col min="15123" max="15123" width="11.46484375" style="11" customWidth="1"/>
    <col min="15124" max="15124" width="11.73046875" style="11" customWidth="1"/>
    <col min="15125" max="15131" width="9.19921875" style="11"/>
    <col min="15132" max="15132" width="11" style="11" customWidth="1"/>
    <col min="15133" max="15134" width="9.19921875" style="11"/>
    <col min="15135" max="15135" width="10.265625" style="11" customWidth="1"/>
    <col min="15136" max="15136" width="10.19921875" style="11" customWidth="1"/>
    <col min="15137" max="15137" width="12.19921875" style="11" customWidth="1"/>
    <col min="15138" max="15334" width="9.19921875" style="11"/>
    <col min="15335" max="15335" width="34.265625" style="11" customWidth="1"/>
    <col min="15336" max="15336" width="13.73046875" style="11" customWidth="1"/>
    <col min="15337" max="15337" width="9.265625" style="11" bestFit="1" customWidth="1"/>
    <col min="15338" max="15338" width="10.53125" style="11" customWidth="1"/>
    <col min="15339" max="15340" width="9.265625" style="11" bestFit="1" customWidth="1"/>
    <col min="15341" max="15341" width="15.265625" style="11" bestFit="1" customWidth="1"/>
    <col min="15342" max="15342" width="9.265625" style="11" bestFit="1" customWidth="1"/>
    <col min="15343" max="15343" width="13.46484375" style="11" bestFit="1" customWidth="1"/>
    <col min="15344" max="15344" width="9.19921875" style="11" customWidth="1"/>
    <col min="15345" max="15345" width="12" style="11" customWidth="1"/>
    <col min="15346" max="15347" width="9.46484375" style="11" bestFit="1" customWidth="1"/>
    <col min="15348" max="15348" width="13.265625" style="11" customWidth="1"/>
    <col min="15349" max="15349" width="9.46484375" style="11" bestFit="1" customWidth="1"/>
    <col min="15350" max="15350" width="9.796875" style="11" bestFit="1" customWidth="1"/>
    <col min="15351" max="15351" width="12.46484375" style="11" bestFit="1" customWidth="1"/>
    <col min="15352" max="15352" width="10.19921875" style="11" customWidth="1"/>
    <col min="15353" max="15353" width="10" style="11" bestFit="1" customWidth="1"/>
    <col min="15354" max="15354" width="10.53125" style="11" customWidth="1"/>
    <col min="15355" max="15355" width="9.46484375" style="11" bestFit="1" customWidth="1"/>
    <col min="15356" max="15356" width="9.265625" style="11" bestFit="1" customWidth="1"/>
    <col min="15357" max="15357" width="9.265625" style="11" customWidth="1"/>
    <col min="15358" max="15358" width="9.46484375" style="11" bestFit="1" customWidth="1"/>
    <col min="15359" max="15359" width="10.19921875" style="11" customWidth="1"/>
    <col min="15360" max="15360" width="12.19921875" style="11" customWidth="1"/>
    <col min="15361" max="15361" width="9.53125" style="11" customWidth="1"/>
    <col min="15362" max="15362" width="11.53125" style="11" customWidth="1"/>
    <col min="15363" max="15363" width="12.73046875" style="11" customWidth="1"/>
    <col min="15364" max="15364" width="14.796875" style="11" customWidth="1"/>
    <col min="15365" max="15365" width="9.53125" style="11" customWidth="1"/>
    <col min="15366" max="15366" width="10.53125" style="11" customWidth="1"/>
    <col min="15367" max="15367" width="9.19921875" style="11"/>
    <col min="15368" max="15368" width="13.265625" style="11" customWidth="1"/>
    <col min="15369" max="15369" width="11.19921875" style="11" customWidth="1"/>
    <col min="15370" max="15370" width="9.19921875" style="11"/>
    <col min="15371" max="15371" width="9.19921875" style="11" customWidth="1"/>
    <col min="15372" max="15372" width="11.265625" style="11" customWidth="1"/>
    <col min="15373" max="15378" width="9.19921875" style="11"/>
    <col min="15379" max="15379" width="11.46484375" style="11" customWidth="1"/>
    <col min="15380" max="15380" width="11.73046875" style="11" customWidth="1"/>
    <col min="15381" max="15387" width="9.19921875" style="11"/>
    <col min="15388" max="15388" width="11" style="11" customWidth="1"/>
    <col min="15389" max="15390" width="9.19921875" style="11"/>
    <col min="15391" max="15391" width="10.265625" style="11" customWidth="1"/>
    <col min="15392" max="15392" width="10.19921875" style="11" customWidth="1"/>
    <col min="15393" max="15393" width="12.19921875" style="11" customWidth="1"/>
    <col min="15394" max="15590" width="9.19921875" style="11"/>
    <col min="15591" max="15591" width="34.265625" style="11" customWidth="1"/>
    <col min="15592" max="15592" width="13.73046875" style="11" customWidth="1"/>
    <col min="15593" max="15593" width="9.265625" style="11" bestFit="1" customWidth="1"/>
    <col min="15594" max="15594" width="10.53125" style="11" customWidth="1"/>
    <col min="15595" max="15596" width="9.265625" style="11" bestFit="1" customWidth="1"/>
    <col min="15597" max="15597" width="15.265625" style="11" bestFit="1" customWidth="1"/>
    <col min="15598" max="15598" width="9.265625" style="11" bestFit="1" customWidth="1"/>
    <col min="15599" max="15599" width="13.46484375" style="11" bestFit="1" customWidth="1"/>
    <col min="15600" max="15600" width="9.19921875" style="11" customWidth="1"/>
    <col min="15601" max="15601" width="12" style="11" customWidth="1"/>
    <col min="15602" max="15603" width="9.46484375" style="11" bestFit="1" customWidth="1"/>
    <col min="15604" max="15604" width="13.265625" style="11" customWidth="1"/>
    <col min="15605" max="15605" width="9.46484375" style="11" bestFit="1" customWidth="1"/>
    <col min="15606" max="15606" width="9.796875" style="11" bestFit="1" customWidth="1"/>
    <col min="15607" max="15607" width="12.46484375" style="11" bestFit="1" customWidth="1"/>
    <col min="15608" max="15608" width="10.19921875" style="11" customWidth="1"/>
    <col min="15609" max="15609" width="10" style="11" bestFit="1" customWidth="1"/>
    <col min="15610" max="15610" width="10.53125" style="11" customWidth="1"/>
    <col min="15611" max="15611" width="9.46484375" style="11" bestFit="1" customWidth="1"/>
    <col min="15612" max="15612" width="9.265625" style="11" bestFit="1" customWidth="1"/>
    <col min="15613" max="15613" width="9.265625" style="11" customWidth="1"/>
    <col min="15614" max="15614" width="9.46484375" style="11" bestFit="1" customWidth="1"/>
    <col min="15615" max="15615" width="10.19921875" style="11" customWidth="1"/>
    <col min="15616" max="15616" width="12.19921875" style="11" customWidth="1"/>
    <col min="15617" max="15617" width="9.53125" style="11" customWidth="1"/>
    <col min="15618" max="15618" width="11.53125" style="11" customWidth="1"/>
    <col min="15619" max="15619" width="12.73046875" style="11" customWidth="1"/>
    <col min="15620" max="15620" width="14.796875" style="11" customWidth="1"/>
    <col min="15621" max="15621" width="9.53125" style="11" customWidth="1"/>
    <col min="15622" max="15622" width="10.53125" style="11" customWidth="1"/>
    <col min="15623" max="15623" width="9.19921875" style="11"/>
    <col min="15624" max="15624" width="13.265625" style="11" customWidth="1"/>
    <col min="15625" max="15625" width="11.19921875" style="11" customWidth="1"/>
    <col min="15626" max="15626" width="9.19921875" style="11"/>
    <col min="15627" max="15627" width="9.19921875" style="11" customWidth="1"/>
    <col min="15628" max="15628" width="11.265625" style="11" customWidth="1"/>
    <col min="15629" max="15634" width="9.19921875" style="11"/>
    <col min="15635" max="15635" width="11.46484375" style="11" customWidth="1"/>
    <col min="15636" max="15636" width="11.73046875" style="11" customWidth="1"/>
    <col min="15637" max="15643" width="9.19921875" style="11"/>
    <col min="15644" max="15644" width="11" style="11" customWidth="1"/>
    <col min="15645" max="15646" width="9.19921875" style="11"/>
    <col min="15647" max="15647" width="10.265625" style="11" customWidth="1"/>
    <col min="15648" max="15648" width="10.19921875" style="11" customWidth="1"/>
    <col min="15649" max="15649" width="12.19921875" style="11" customWidth="1"/>
    <col min="15650" max="15846" width="9.19921875" style="11"/>
    <col min="15847" max="15847" width="34.265625" style="11" customWidth="1"/>
    <col min="15848" max="15848" width="13.73046875" style="11" customWidth="1"/>
    <col min="15849" max="15849" width="9.265625" style="11" bestFit="1" customWidth="1"/>
    <col min="15850" max="15850" width="10.53125" style="11" customWidth="1"/>
    <col min="15851" max="15852" width="9.265625" style="11" bestFit="1" customWidth="1"/>
    <col min="15853" max="15853" width="15.265625" style="11" bestFit="1" customWidth="1"/>
    <col min="15854" max="15854" width="9.265625" style="11" bestFit="1" customWidth="1"/>
    <col min="15855" max="15855" width="13.46484375" style="11" bestFit="1" customWidth="1"/>
    <col min="15856" max="15856" width="9.19921875" style="11" customWidth="1"/>
    <col min="15857" max="15857" width="12" style="11" customWidth="1"/>
    <col min="15858" max="15859" width="9.46484375" style="11" bestFit="1" customWidth="1"/>
    <col min="15860" max="15860" width="13.265625" style="11" customWidth="1"/>
    <col min="15861" max="15861" width="9.46484375" style="11" bestFit="1" customWidth="1"/>
    <col min="15862" max="15862" width="9.796875" style="11" bestFit="1" customWidth="1"/>
    <col min="15863" max="15863" width="12.46484375" style="11" bestFit="1" customWidth="1"/>
    <col min="15864" max="15864" width="10.19921875" style="11" customWidth="1"/>
    <col min="15865" max="15865" width="10" style="11" bestFit="1" customWidth="1"/>
    <col min="15866" max="15866" width="10.53125" style="11" customWidth="1"/>
    <col min="15867" max="15867" width="9.46484375" style="11" bestFit="1" customWidth="1"/>
    <col min="15868" max="15868" width="9.265625" style="11" bestFit="1" customWidth="1"/>
    <col min="15869" max="15869" width="9.265625" style="11" customWidth="1"/>
    <col min="15870" max="15870" width="9.46484375" style="11" bestFit="1" customWidth="1"/>
    <col min="15871" max="15871" width="10.19921875" style="11" customWidth="1"/>
    <col min="15872" max="15872" width="12.19921875" style="11" customWidth="1"/>
    <col min="15873" max="15873" width="9.53125" style="11" customWidth="1"/>
    <col min="15874" max="15874" width="11.53125" style="11" customWidth="1"/>
    <col min="15875" max="15875" width="12.73046875" style="11" customWidth="1"/>
    <col min="15876" max="15876" width="14.796875" style="11" customWidth="1"/>
    <col min="15877" max="15877" width="9.53125" style="11" customWidth="1"/>
    <col min="15878" max="15878" width="10.53125" style="11" customWidth="1"/>
    <col min="15879" max="15879" width="9.19921875" style="11"/>
    <col min="15880" max="15880" width="13.265625" style="11" customWidth="1"/>
    <col min="15881" max="15881" width="11.19921875" style="11" customWidth="1"/>
    <col min="15882" max="15882" width="9.19921875" style="11"/>
    <col min="15883" max="15883" width="9.19921875" style="11" customWidth="1"/>
    <col min="15884" max="15884" width="11.265625" style="11" customWidth="1"/>
    <col min="15885" max="15890" width="9.19921875" style="11"/>
    <col min="15891" max="15891" width="11.46484375" style="11" customWidth="1"/>
    <col min="15892" max="15892" width="11.73046875" style="11" customWidth="1"/>
    <col min="15893" max="15899" width="9.19921875" style="11"/>
    <col min="15900" max="15900" width="11" style="11" customWidth="1"/>
    <col min="15901" max="15902" width="9.19921875" style="11"/>
    <col min="15903" max="15903" width="10.265625" style="11" customWidth="1"/>
    <col min="15904" max="15904" width="10.19921875" style="11" customWidth="1"/>
    <col min="15905" max="15905" width="12.19921875" style="11" customWidth="1"/>
    <col min="15906" max="16102" width="9.19921875" style="11"/>
    <col min="16103" max="16103" width="34.265625" style="11" customWidth="1"/>
    <col min="16104" max="16104" width="13.73046875" style="11" customWidth="1"/>
    <col min="16105" max="16105" width="9.265625" style="11" bestFit="1" customWidth="1"/>
    <col min="16106" max="16106" width="10.53125" style="11" customWidth="1"/>
    <col min="16107" max="16108" width="9.265625" style="11" bestFit="1" customWidth="1"/>
    <col min="16109" max="16109" width="15.265625" style="11" bestFit="1" customWidth="1"/>
    <col min="16110" max="16110" width="9.265625" style="11" bestFit="1" customWidth="1"/>
    <col min="16111" max="16111" width="13.46484375" style="11" bestFit="1" customWidth="1"/>
    <col min="16112" max="16112" width="9.19921875" style="11" customWidth="1"/>
    <col min="16113" max="16113" width="12" style="11" customWidth="1"/>
    <col min="16114" max="16115" width="9.46484375" style="11" bestFit="1" customWidth="1"/>
    <col min="16116" max="16116" width="13.265625" style="11" customWidth="1"/>
    <col min="16117" max="16117" width="9.46484375" style="11" bestFit="1" customWidth="1"/>
    <col min="16118" max="16118" width="9.796875" style="11" bestFit="1" customWidth="1"/>
    <col min="16119" max="16119" width="12.46484375" style="11" bestFit="1" customWidth="1"/>
    <col min="16120" max="16120" width="10.19921875" style="11" customWidth="1"/>
    <col min="16121" max="16121" width="10" style="11" bestFit="1" customWidth="1"/>
    <col min="16122" max="16122" width="10.53125" style="11" customWidth="1"/>
    <col min="16123" max="16123" width="9.46484375" style="11" bestFit="1" customWidth="1"/>
    <col min="16124" max="16124" width="9.265625" style="11" bestFit="1" customWidth="1"/>
    <col min="16125" max="16125" width="9.265625" style="11" customWidth="1"/>
    <col min="16126" max="16126" width="9.46484375" style="11" bestFit="1" customWidth="1"/>
    <col min="16127" max="16127" width="10.19921875" style="11" customWidth="1"/>
    <col min="16128" max="16128" width="12.19921875" style="11" customWidth="1"/>
    <col min="16129" max="16129" width="9.53125" style="11" customWidth="1"/>
    <col min="16130" max="16130" width="11.53125" style="11" customWidth="1"/>
    <col min="16131" max="16131" width="12.73046875" style="11" customWidth="1"/>
    <col min="16132" max="16132" width="14.796875" style="11" customWidth="1"/>
    <col min="16133" max="16133" width="9.53125" style="11" customWidth="1"/>
    <col min="16134" max="16134" width="10.53125" style="11" customWidth="1"/>
    <col min="16135" max="16135" width="9.19921875" style="11"/>
    <col min="16136" max="16136" width="13.265625" style="11" customWidth="1"/>
    <col min="16137" max="16137" width="11.19921875" style="11" customWidth="1"/>
    <col min="16138" max="16138" width="9.19921875" style="11"/>
    <col min="16139" max="16139" width="9.19921875" style="11" customWidth="1"/>
    <col min="16140" max="16140" width="11.265625" style="11" customWidth="1"/>
    <col min="16141" max="16146" width="9.19921875" style="11"/>
    <col min="16147" max="16147" width="11.46484375" style="11" customWidth="1"/>
    <col min="16148" max="16148" width="11.73046875" style="11" customWidth="1"/>
    <col min="16149" max="16155" width="9.19921875" style="11"/>
    <col min="16156" max="16156" width="11" style="11" customWidth="1"/>
    <col min="16157" max="16158" width="9.19921875" style="11"/>
    <col min="16159" max="16159" width="10.265625" style="11" customWidth="1"/>
    <col min="16160" max="16160" width="10.19921875" style="11" customWidth="1"/>
    <col min="16161" max="16161" width="12.19921875" style="11" customWidth="1"/>
    <col min="16162" max="16384" width="9.19921875" style="11"/>
  </cols>
  <sheetData>
    <row r="1" spans="1:54" ht="17.649999999999999" x14ac:dyDescent="0.5">
      <c r="A1" s="1346" t="s">
        <v>2503</v>
      </c>
    </row>
    <row r="2" spans="1:54" ht="15.4" x14ac:dyDescent="0.45">
      <c r="B2" s="1211"/>
      <c r="C2" s="1211"/>
      <c r="D2" s="1211"/>
      <c r="E2" s="1211"/>
      <c r="F2" s="1211"/>
      <c r="G2" s="1211"/>
      <c r="H2" s="1211"/>
    </row>
    <row r="3" spans="1:54" ht="15.4" x14ac:dyDescent="0.45">
      <c r="B3" s="1212" t="s">
        <v>992</v>
      </c>
      <c r="C3" s="1212" t="s">
        <v>2344</v>
      </c>
      <c r="D3" s="1211"/>
      <c r="E3" s="1211"/>
      <c r="F3" s="1211"/>
      <c r="G3" s="1211"/>
      <c r="H3" s="1211"/>
    </row>
    <row r="4" spans="1:54" ht="15.4" x14ac:dyDescent="0.45">
      <c r="B4" s="1211"/>
      <c r="C4" s="1211"/>
      <c r="D4" s="1211"/>
      <c r="E4" s="1211"/>
      <c r="F4" s="1211"/>
      <c r="G4" s="1211"/>
      <c r="H4" s="1211"/>
    </row>
    <row r="5" spans="1:54" ht="21.75" customHeight="1" x14ac:dyDescent="0.45">
      <c r="K5" s="1214"/>
      <c r="AR5" s="118" t="s">
        <v>493</v>
      </c>
      <c r="AV5" s="1347"/>
    </row>
    <row r="6" spans="1:54" ht="14.25" customHeight="1" thickBot="1" x14ac:dyDescent="0.5">
      <c r="A6" s="1215"/>
      <c r="C6" s="1432" t="s">
        <v>202</v>
      </c>
      <c r="D6" s="1433"/>
      <c r="E6" s="1433"/>
      <c r="F6" s="1433"/>
      <c r="G6" s="1433"/>
      <c r="H6" s="1433"/>
      <c r="I6" s="1433"/>
      <c r="J6" s="1433"/>
      <c r="K6" s="1433"/>
      <c r="L6" s="1433"/>
      <c r="M6" s="1433"/>
      <c r="N6" s="1433"/>
      <c r="O6" s="1433"/>
      <c r="P6" s="1433"/>
      <c r="Q6" s="1434"/>
      <c r="R6" s="1432" t="s">
        <v>203</v>
      </c>
      <c r="S6" s="1425"/>
      <c r="T6" s="1425"/>
      <c r="U6" s="1425"/>
      <c r="V6" s="1426"/>
      <c r="W6" s="1435" t="s">
        <v>204</v>
      </c>
      <c r="X6" s="1436"/>
      <c r="Y6" s="1436"/>
      <c r="Z6" s="1436"/>
      <c r="AA6" s="1436"/>
      <c r="AB6" s="1436"/>
      <c r="AC6" s="1437"/>
      <c r="AD6" s="106"/>
      <c r="AG6" s="112"/>
      <c r="AH6" s="122"/>
      <c r="AI6" s="107"/>
      <c r="AJ6" s="122"/>
      <c r="AO6" s="1415" t="s">
        <v>494</v>
      </c>
      <c r="AP6" s="1416"/>
      <c r="AQ6" s="1416"/>
      <c r="AR6" s="1416"/>
      <c r="AS6" s="1416"/>
      <c r="AT6" s="1416"/>
      <c r="AU6" s="1416"/>
      <c r="AV6" s="1417"/>
      <c r="AW6" s="1418" t="s">
        <v>495</v>
      </c>
      <c r="AX6" s="1419"/>
      <c r="AY6" s="1419"/>
      <c r="AZ6" s="1419"/>
      <c r="BA6" s="1419"/>
      <c r="BB6" s="1419"/>
    </row>
    <row r="7" spans="1:54" ht="67.5" customHeight="1" x14ac:dyDescent="0.45">
      <c r="A7" s="1218"/>
      <c r="B7" s="1219" t="s">
        <v>205</v>
      </c>
      <c r="C7" s="1220" t="s">
        <v>206</v>
      </c>
      <c r="D7" s="1420" t="s">
        <v>17</v>
      </c>
      <c r="E7" s="1421"/>
      <c r="F7" s="1422"/>
      <c r="G7" s="1420" t="s">
        <v>172</v>
      </c>
      <c r="H7" s="1422"/>
      <c r="I7" s="1221" t="s">
        <v>207</v>
      </c>
      <c r="J7" s="1423" t="s">
        <v>208</v>
      </c>
      <c r="K7" s="1424"/>
      <c r="L7" s="1420" t="s">
        <v>209</v>
      </c>
      <c r="M7" s="1422"/>
      <c r="N7" s="1222" t="s">
        <v>210</v>
      </c>
      <c r="O7" s="1423" t="s">
        <v>211</v>
      </c>
      <c r="P7" s="1425"/>
      <c r="Q7" s="1426"/>
      <c r="R7" s="1420" t="s">
        <v>212</v>
      </c>
      <c r="S7" s="1426"/>
      <c r="T7" s="1223" t="s">
        <v>213</v>
      </c>
      <c r="U7" s="1221" t="s">
        <v>214</v>
      </c>
      <c r="V7" s="1224" t="s">
        <v>215</v>
      </c>
      <c r="W7" s="1427" t="s">
        <v>17</v>
      </c>
      <c r="X7" s="1428"/>
      <c r="Y7" s="1225" t="s">
        <v>172</v>
      </c>
      <c r="Z7" s="1226" t="s">
        <v>216</v>
      </c>
      <c r="AA7" s="1226" t="s">
        <v>217</v>
      </c>
      <c r="AB7" s="1227" t="s">
        <v>211</v>
      </c>
      <c r="AC7" s="1226" t="s">
        <v>218</v>
      </c>
      <c r="AD7" s="109"/>
      <c r="AF7" s="1228"/>
      <c r="AG7" s="1429" t="s">
        <v>219</v>
      </c>
      <c r="AH7" s="1229" t="s">
        <v>220</v>
      </c>
      <c r="AI7" s="1230" t="s">
        <v>221</v>
      </c>
      <c r="AJ7" s="1229" t="s">
        <v>220</v>
      </c>
      <c r="AK7" s="108"/>
      <c r="AO7" s="1223" t="s">
        <v>496</v>
      </c>
      <c r="AP7" s="1232" t="s">
        <v>497</v>
      </c>
      <c r="AQ7" s="1231" t="s">
        <v>168</v>
      </c>
      <c r="AR7" s="1232" t="s">
        <v>498</v>
      </c>
      <c r="AS7" s="1232" t="s">
        <v>499</v>
      </c>
      <c r="AT7" s="1232" t="s">
        <v>500</v>
      </c>
      <c r="AU7" s="1232" t="s">
        <v>501</v>
      </c>
      <c r="AV7" s="1348" t="s">
        <v>502</v>
      </c>
      <c r="AW7" s="1232" t="s">
        <v>503</v>
      </c>
      <c r="AX7" s="1232" t="s">
        <v>504</v>
      </c>
      <c r="AY7" s="1232" t="s">
        <v>505</v>
      </c>
      <c r="AZ7" s="1232" t="s">
        <v>506</v>
      </c>
      <c r="BA7" s="1232" t="s">
        <v>507</v>
      </c>
      <c r="BB7" s="1349" t="s">
        <v>508</v>
      </c>
    </row>
    <row r="8" spans="1:54" ht="26.25" customHeight="1" x14ac:dyDescent="0.45">
      <c r="A8" s="1218"/>
      <c r="B8" s="1234"/>
      <c r="C8" s="1220"/>
      <c r="D8" s="1222" t="s">
        <v>224</v>
      </c>
      <c r="E8" s="1235" t="s">
        <v>225</v>
      </c>
      <c r="F8" s="1236"/>
      <c r="G8" s="1237"/>
      <c r="H8" s="1238"/>
      <c r="I8" s="1222"/>
      <c r="J8" s="1224"/>
      <c r="K8" s="1220"/>
      <c r="L8" s="1235"/>
      <c r="M8" s="1238"/>
      <c r="N8" s="1222"/>
      <c r="O8" s="1239"/>
      <c r="P8" s="1240"/>
      <c r="Q8" s="1241"/>
      <c r="R8" s="1237"/>
      <c r="S8" s="1242"/>
      <c r="T8" s="1243"/>
      <c r="U8" s="1224"/>
      <c r="V8" s="1224"/>
      <c r="W8" s="1224" t="s">
        <v>226</v>
      </c>
      <c r="X8" s="1244" t="s">
        <v>225</v>
      </c>
      <c r="Y8" s="1244"/>
      <c r="Z8" s="1245"/>
      <c r="AA8" s="1243"/>
      <c r="AB8" s="1245"/>
      <c r="AC8" s="1246"/>
      <c r="AD8" s="109"/>
      <c r="AF8" s="121"/>
      <c r="AG8" s="1430"/>
      <c r="AH8" s="1247"/>
      <c r="AI8" s="1248"/>
      <c r="AJ8" s="1247"/>
      <c r="AK8" s="108"/>
      <c r="AO8" s="1404" t="s">
        <v>203</v>
      </c>
      <c r="AP8" s="1405"/>
      <c r="AQ8" s="1405"/>
      <c r="AR8" s="1405"/>
      <c r="AS8" s="1405"/>
      <c r="AT8" s="1405"/>
      <c r="AU8" s="1405"/>
      <c r="AV8" s="1406"/>
      <c r="AW8" s="1409" t="s">
        <v>203</v>
      </c>
      <c r="AX8" s="1410"/>
      <c r="AY8" s="1410"/>
      <c r="AZ8" s="1410"/>
      <c r="BA8" s="1410"/>
      <c r="BB8" s="1410"/>
    </row>
    <row r="9" spans="1:54" x14ac:dyDescent="0.45">
      <c r="B9" s="1253"/>
      <c r="C9" s="1254"/>
      <c r="D9" s="1236" t="s">
        <v>227</v>
      </c>
      <c r="E9" s="1236" t="s">
        <v>227</v>
      </c>
      <c r="F9" s="1236" t="s">
        <v>228</v>
      </c>
      <c r="G9" s="1237" t="s">
        <v>227</v>
      </c>
      <c r="H9" s="1236" t="s">
        <v>228</v>
      </c>
      <c r="I9" s="1237" t="s">
        <v>228</v>
      </c>
      <c r="J9" s="1236" t="s">
        <v>227</v>
      </c>
      <c r="K9" s="1238" t="s">
        <v>228</v>
      </c>
      <c r="L9" s="1236" t="s">
        <v>227</v>
      </c>
      <c r="M9" s="1236" t="s">
        <v>228</v>
      </c>
      <c r="N9" s="1236" t="s">
        <v>227</v>
      </c>
      <c r="O9" s="1255" t="s">
        <v>227</v>
      </c>
      <c r="P9" s="1236" t="s">
        <v>228</v>
      </c>
      <c r="Q9" s="1236" t="s">
        <v>229</v>
      </c>
      <c r="R9" s="1238" t="s">
        <v>227</v>
      </c>
      <c r="S9" s="1238" t="s">
        <v>228</v>
      </c>
      <c r="T9" s="1237" t="s">
        <v>230</v>
      </c>
      <c r="U9" s="1235" t="s">
        <v>228</v>
      </c>
      <c r="V9" s="1236" t="s">
        <v>228</v>
      </c>
      <c r="W9" s="1413" t="s">
        <v>231</v>
      </c>
      <c r="X9" s="1414"/>
      <c r="Y9" s="1414"/>
      <c r="Z9" s="1414"/>
      <c r="AA9" s="1414"/>
      <c r="AB9" s="1414"/>
      <c r="AC9" s="1403"/>
      <c r="AD9" s="111"/>
      <c r="AF9" s="121"/>
      <c r="AG9" s="1431"/>
      <c r="AH9" s="1225" t="s">
        <v>203</v>
      </c>
      <c r="AI9" s="1256" t="s">
        <v>231</v>
      </c>
      <c r="AJ9" s="1225" t="s">
        <v>1022</v>
      </c>
      <c r="AK9" s="110"/>
      <c r="AO9" s="1407"/>
      <c r="AP9" s="1407"/>
      <c r="AQ9" s="1407"/>
      <c r="AR9" s="1407"/>
      <c r="AS9" s="1407"/>
      <c r="AT9" s="1407"/>
      <c r="AU9" s="1407"/>
      <c r="AV9" s="1408"/>
      <c r="AW9" s="1411"/>
      <c r="AX9" s="1412"/>
      <c r="AY9" s="1412"/>
      <c r="AZ9" s="1412"/>
      <c r="BA9" s="1412"/>
      <c r="BB9" s="1412"/>
    </row>
    <row r="10" spans="1:54" ht="17.25" x14ac:dyDescent="0.45">
      <c r="A10" s="10">
        <v>1820</v>
      </c>
      <c r="B10" s="1234"/>
      <c r="C10" s="1259"/>
      <c r="D10" s="1260"/>
      <c r="E10" s="1261"/>
      <c r="F10" s="1261"/>
      <c r="G10" s="126"/>
      <c r="H10" s="1262"/>
      <c r="I10" s="1262"/>
      <c r="J10" s="1262"/>
      <c r="K10" s="1262"/>
      <c r="L10" s="1262"/>
      <c r="M10" s="1263"/>
      <c r="N10" s="1255"/>
      <c r="O10" s="1255"/>
      <c r="P10" s="126"/>
      <c r="Q10" s="1255"/>
      <c r="R10" s="1260"/>
      <c r="S10" s="126"/>
      <c r="T10" s="1262"/>
      <c r="U10" s="126"/>
      <c r="V10" s="1255"/>
      <c r="W10" s="1264"/>
      <c r="X10" s="12"/>
      <c r="Y10" s="12"/>
      <c r="Z10" s="12"/>
      <c r="AA10" s="12"/>
      <c r="AB10" s="12"/>
      <c r="AC10" s="124"/>
      <c r="AD10" s="111"/>
      <c r="AF10" s="121"/>
      <c r="AG10" s="1265"/>
      <c r="AH10" s="1363"/>
      <c r="AI10" s="1267"/>
      <c r="AJ10" s="1266"/>
      <c r="AK10" s="110"/>
      <c r="AO10" s="1364"/>
      <c r="AP10" s="1364"/>
      <c r="AQ10" s="1364"/>
      <c r="AR10" s="1364"/>
      <c r="AS10" s="1364"/>
      <c r="AT10" s="1364"/>
      <c r="AU10" s="1364"/>
      <c r="AV10" s="1365"/>
      <c r="AW10" s="111"/>
      <c r="AX10" s="1400"/>
      <c r="AY10" s="1403"/>
      <c r="AZ10" s="111"/>
      <c r="BA10" s="135" t="s">
        <v>100</v>
      </c>
      <c r="BB10" s="111" t="s">
        <v>100</v>
      </c>
    </row>
    <row r="11" spans="1:54" ht="17.25" x14ac:dyDescent="0.45">
      <c r="A11" s="10">
        <v>1821</v>
      </c>
      <c r="B11" s="1234"/>
      <c r="C11" s="1259"/>
      <c r="D11" s="1260"/>
      <c r="E11" s="1261"/>
      <c r="F11" s="1261"/>
      <c r="G11" s="126"/>
      <c r="H11" s="1262"/>
      <c r="I11" s="1262"/>
      <c r="J11" s="1262"/>
      <c r="K11" s="1262"/>
      <c r="L11" s="1262"/>
      <c r="M11" s="1263"/>
      <c r="N11" s="1255"/>
      <c r="O11" s="1255"/>
      <c r="P11" s="126"/>
      <c r="Q11" s="1255"/>
      <c r="R11" s="1260"/>
      <c r="S11" s="126"/>
      <c r="T11" s="1262"/>
      <c r="U11" s="126"/>
      <c r="V11" s="1255"/>
      <c r="W11" s="1264"/>
      <c r="X11" s="12"/>
      <c r="Y11" s="12"/>
      <c r="Z11" s="12"/>
      <c r="AA11" s="12"/>
      <c r="AB11" s="12"/>
      <c r="AC11" s="124"/>
      <c r="AD11" s="111"/>
      <c r="AF11" s="121"/>
      <c r="AG11" s="1265"/>
      <c r="AH11" s="1363"/>
      <c r="AI11" s="1267"/>
      <c r="AJ11" s="1266"/>
      <c r="AK11" s="110"/>
      <c r="AO11" s="1364"/>
      <c r="AP11" s="1364"/>
      <c r="AQ11" s="1364"/>
      <c r="AR11" s="1364"/>
      <c r="AS11" s="1364"/>
      <c r="AT11" s="1364"/>
      <c r="AU11" s="1364"/>
      <c r="AV11" s="1365"/>
      <c r="AW11" s="111"/>
      <c r="AX11" s="1400"/>
      <c r="AY11" s="1403"/>
      <c r="AZ11" s="111"/>
      <c r="BA11" s="135" t="s">
        <v>100</v>
      </c>
      <c r="BB11" s="111" t="s">
        <v>100</v>
      </c>
    </row>
    <row r="12" spans="1:54" ht="17.25" x14ac:dyDescent="0.45">
      <c r="A12" s="10">
        <v>1822</v>
      </c>
      <c r="B12" s="1234"/>
      <c r="C12" s="1259"/>
      <c r="D12" s="1260"/>
      <c r="E12" s="1261"/>
      <c r="F12" s="1261"/>
      <c r="G12" s="126"/>
      <c r="H12" s="1262"/>
      <c r="I12" s="1262"/>
      <c r="J12" s="1262"/>
      <c r="K12" s="1262"/>
      <c r="L12" s="1262"/>
      <c r="M12" s="1263"/>
      <c r="N12" s="1255"/>
      <c r="O12" s="1366">
        <f t="shared" ref="O12:O75" si="0">AH12</f>
        <v>212.67857142857144</v>
      </c>
      <c r="P12" s="125"/>
      <c r="Q12" s="1366">
        <f t="shared" ref="Q12:Q75" si="1">AH12</f>
        <v>212.67857142857144</v>
      </c>
      <c r="R12" s="1260"/>
      <c r="S12" s="126"/>
      <c r="T12" s="1262"/>
      <c r="U12" s="126"/>
      <c r="V12" s="1255"/>
      <c r="W12" s="1264"/>
      <c r="X12" s="12"/>
      <c r="Y12" s="12"/>
      <c r="Z12" s="12"/>
      <c r="AA12" s="12"/>
      <c r="AB12" s="12"/>
      <c r="AC12" s="124"/>
      <c r="AD12" s="111"/>
      <c r="AF12" s="121"/>
      <c r="AG12" s="1265"/>
      <c r="AH12" s="1273">
        <f>AJ12/Units!$C$23*Units!$C$22/Units!$C$18*10^9/1000</f>
        <v>212.67857142857144</v>
      </c>
      <c r="AI12" s="1267"/>
      <c r="AJ12" s="1274">
        <f>'1.6.3 Gas2'!AJ12</f>
        <v>1.48875</v>
      </c>
      <c r="AK12" s="110"/>
      <c r="AO12" s="1364"/>
      <c r="AP12" s="1364"/>
      <c r="AQ12" s="1364"/>
      <c r="AR12" s="1364"/>
      <c r="AS12" s="1364"/>
      <c r="AT12" s="1364"/>
      <c r="AU12" s="1364"/>
      <c r="AV12" s="1365"/>
      <c r="AW12" s="111"/>
      <c r="AX12" s="1400"/>
      <c r="AY12" s="1403"/>
      <c r="AZ12" s="111"/>
      <c r="BA12" s="135" t="s">
        <v>100</v>
      </c>
      <c r="BB12" s="111" t="s">
        <v>100</v>
      </c>
    </row>
    <row r="13" spans="1:54" ht="17.25" x14ac:dyDescent="0.45">
      <c r="A13" s="10">
        <v>1823</v>
      </c>
      <c r="B13" s="1234"/>
      <c r="C13" s="1259"/>
      <c r="D13" s="1260"/>
      <c r="E13" s="1261"/>
      <c r="F13" s="1261"/>
      <c r="G13" s="126"/>
      <c r="H13" s="1262"/>
      <c r="I13" s="1262"/>
      <c r="J13" s="1262"/>
      <c r="K13" s="1262"/>
      <c r="L13" s="1262"/>
      <c r="M13" s="1263"/>
      <c r="N13" s="1255"/>
      <c r="O13" s="1366">
        <f t="shared" si="0"/>
        <v>227.22527472527477</v>
      </c>
      <c r="P13" s="125"/>
      <c r="Q13" s="1366">
        <f t="shared" si="1"/>
        <v>227.22527472527477</v>
      </c>
      <c r="R13" s="1260"/>
      <c r="S13" s="126"/>
      <c r="T13" s="1262"/>
      <c r="U13" s="126"/>
      <c r="V13" s="1255"/>
      <c r="W13" s="1264"/>
      <c r="X13" s="12"/>
      <c r="Y13" s="12"/>
      <c r="Z13" s="12"/>
      <c r="AA13" s="12"/>
      <c r="AB13" s="12"/>
      <c r="AC13" s="124"/>
      <c r="AD13" s="111"/>
      <c r="AF13" s="121"/>
      <c r="AG13" s="1265"/>
      <c r="AH13" s="1273">
        <f>AJ13/Units!$C$23*Units!$C$22/Units!$C$18*10^9/1000</f>
        <v>227.22527472527477</v>
      </c>
      <c r="AI13" s="1267"/>
      <c r="AJ13" s="1274">
        <f>'1.6.3 Gas2'!AJ13</f>
        <v>1.5905769230769233</v>
      </c>
      <c r="AK13" s="110"/>
      <c r="AO13" s="1364"/>
      <c r="AP13" s="1364"/>
      <c r="AQ13" s="1364"/>
      <c r="AR13" s="1364"/>
      <c r="AS13" s="1364"/>
      <c r="AT13" s="1364"/>
      <c r="AU13" s="1364"/>
      <c r="AV13" s="1365"/>
      <c r="AW13" s="111"/>
      <c r="AX13" s="1400"/>
      <c r="AY13" s="1403"/>
      <c r="AZ13" s="111"/>
      <c r="BA13" s="135" t="s">
        <v>100</v>
      </c>
      <c r="BB13" s="111" t="s">
        <v>100</v>
      </c>
    </row>
    <row r="14" spans="1:54" ht="17.25" x14ac:dyDescent="0.45">
      <c r="A14" s="10">
        <v>1824</v>
      </c>
      <c r="B14" s="1234"/>
      <c r="C14" s="1259"/>
      <c r="D14" s="1260"/>
      <c r="E14" s="1261"/>
      <c r="F14" s="1261"/>
      <c r="G14" s="126"/>
      <c r="H14" s="1262"/>
      <c r="I14" s="1262"/>
      <c r="J14" s="1262"/>
      <c r="K14" s="1262"/>
      <c r="L14" s="1262"/>
      <c r="M14" s="1263"/>
      <c r="N14" s="1255"/>
      <c r="O14" s="1366">
        <f t="shared" si="0"/>
        <v>241.77197802197801</v>
      </c>
      <c r="P14" s="125"/>
      <c r="Q14" s="1366">
        <f t="shared" si="1"/>
        <v>241.77197802197801</v>
      </c>
      <c r="R14" s="1260"/>
      <c r="S14" s="126"/>
      <c r="T14" s="1262"/>
      <c r="U14" s="126"/>
      <c r="V14" s="1255"/>
      <c r="W14" s="1264"/>
      <c r="X14" s="12"/>
      <c r="Y14" s="12"/>
      <c r="Z14" s="12"/>
      <c r="AA14" s="12"/>
      <c r="AB14" s="12"/>
      <c r="AC14" s="124"/>
      <c r="AD14" s="111"/>
      <c r="AF14" s="121"/>
      <c r="AG14" s="1265"/>
      <c r="AH14" s="1273">
        <f>AJ14/Units!$C$23*Units!$C$22/Units!$C$18*10^9/1000</f>
        <v>241.77197802197801</v>
      </c>
      <c r="AI14" s="1267"/>
      <c r="AJ14" s="1274">
        <f>'1.6.3 Gas2'!AJ14</f>
        <v>1.6924038461538462</v>
      </c>
      <c r="AK14" s="110"/>
      <c r="AO14" s="1364"/>
      <c r="AP14" s="1364"/>
      <c r="AQ14" s="1364"/>
      <c r="AR14" s="1364"/>
      <c r="AS14" s="1364"/>
      <c r="AT14" s="1364"/>
      <c r="AU14" s="1364"/>
      <c r="AV14" s="1365"/>
      <c r="AW14" s="111"/>
      <c r="AX14" s="1400"/>
      <c r="AY14" s="1403"/>
      <c r="AZ14" s="111"/>
      <c r="BA14" s="135" t="s">
        <v>100</v>
      </c>
      <c r="BB14" s="111" t="s">
        <v>100</v>
      </c>
    </row>
    <row r="15" spans="1:54" ht="17.25" x14ac:dyDescent="0.45">
      <c r="A15" s="10">
        <v>1825</v>
      </c>
      <c r="B15" s="1234"/>
      <c r="C15" s="1259"/>
      <c r="D15" s="1260"/>
      <c r="E15" s="1261"/>
      <c r="F15" s="1261"/>
      <c r="G15" s="126"/>
      <c r="H15" s="1262"/>
      <c r="I15" s="1262"/>
      <c r="J15" s="1262"/>
      <c r="K15" s="1262"/>
      <c r="L15" s="1262"/>
      <c r="M15" s="1263"/>
      <c r="N15" s="1255"/>
      <c r="O15" s="1366">
        <f t="shared" si="0"/>
        <v>256.31868131868129</v>
      </c>
      <c r="P15" s="125"/>
      <c r="Q15" s="1366">
        <f t="shared" si="1"/>
        <v>256.31868131868129</v>
      </c>
      <c r="R15" s="1260"/>
      <c r="S15" s="126"/>
      <c r="T15" s="1262"/>
      <c r="U15" s="126"/>
      <c r="V15" s="1255"/>
      <c r="W15" s="1264"/>
      <c r="X15" s="12"/>
      <c r="Y15" s="12"/>
      <c r="Z15" s="12"/>
      <c r="AA15" s="12"/>
      <c r="AB15" s="12"/>
      <c r="AC15" s="124"/>
      <c r="AD15" s="111"/>
      <c r="AF15" s="121"/>
      <c r="AG15" s="1265"/>
      <c r="AH15" s="1273">
        <f>AJ15/Units!$C$23*Units!$C$22/Units!$C$18*10^9/1000</f>
        <v>256.31868131868129</v>
      </c>
      <c r="AI15" s="1267"/>
      <c r="AJ15" s="1274">
        <f>'1.6.3 Gas2'!AJ15</f>
        <v>1.7942307692307691</v>
      </c>
      <c r="AK15" s="110"/>
      <c r="AO15" s="1364"/>
      <c r="AP15" s="1364"/>
      <c r="AQ15" s="1364"/>
      <c r="AR15" s="1364"/>
      <c r="AS15" s="1364"/>
      <c r="AT15" s="1364"/>
      <c r="AU15" s="1364"/>
      <c r="AV15" s="1365"/>
      <c r="AW15" s="111"/>
      <c r="AX15" s="1400"/>
      <c r="AY15" s="1403"/>
      <c r="AZ15" s="111"/>
      <c r="BA15" s="135" t="s">
        <v>100</v>
      </c>
      <c r="BB15" s="111" t="s">
        <v>100</v>
      </c>
    </row>
    <row r="16" spans="1:54" ht="17.25" x14ac:dyDescent="0.45">
      <c r="A16" s="10">
        <v>1826</v>
      </c>
      <c r="B16" s="1234"/>
      <c r="C16" s="1259"/>
      <c r="D16" s="1260"/>
      <c r="E16" s="1261"/>
      <c r="F16" s="1261"/>
      <c r="G16" s="126"/>
      <c r="H16" s="1262"/>
      <c r="I16" s="1262"/>
      <c r="J16" s="1262"/>
      <c r="K16" s="1262"/>
      <c r="L16" s="1262"/>
      <c r="M16" s="1263"/>
      <c r="N16" s="1255"/>
      <c r="O16" s="1366">
        <f t="shared" si="0"/>
        <v>270.86538461538458</v>
      </c>
      <c r="P16" s="125"/>
      <c r="Q16" s="1366">
        <f t="shared" si="1"/>
        <v>270.86538461538458</v>
      </c>
      <c r="R16" s="1260"/>
      <c r="S16" s="126"/>
      <c r="T16" s="1262"/>
      <c r="U16" s="126"/>
      <c r="V16" s="1255"/>
      <c r="W16" s="1264"/>
      <c r="X16" s="12"/>
      <c r="Y16" s="12"/>
      <c r="Z16" s="12"/>
      <c r="AA16" s="12"/>
      <c r="AB16" s="12"/>
      <c r="AC16" s="124"/>
      <c r="AD16" s="111"/>
      <c r="AF16" s="121"/>
      <c r="AG16" s="1265"/>
      <c r="AH16" s="1273">
        <f>AJ16/Units!$C$23*Units!$C$22/Units!$C$18*10^9/1000</f>
        <v>270.86538461538458</v>
      </c>
      <c r="AI16" s="1267"/>
      <c r="AJ16" s="1274">
        <f>'1.6.3 Gas2'!AJ16</f>
        <v>1.8960576923076922</v>
      </c>
      <c r="AK16" s="110"/>
      <c r="AO16" s="1364"/>
      <c r="AP16" s="1364"/>
      <c r="AQ16" s="1364"/>
      <c r="AR16" s="1364"/>
      <c r="AS16" s="1364"/>
      <c r="AT16" s="1364"/>
      <c r="AU16" s="1364"/>
      <c r="AV16" s="1365"/>
      <c r="AW16" s="111"/>
      <c r="AX16" s="1400"/>
      <c r="AY16" s="1403"/>
      <c r="AZ16" s="111"/>
      <c r="BA16" s="135" t="s">
        <v>100</v>
      </c>
      <c r="BB16" s="111" t="s">
        <v>100</v>
      </c>
    </row>
    <row r="17" spans="1:54" ht="17.25" x14ac:dyDescent="0.45">
      <c r="A17" s="10">
        <v>1827</v>
      </c>
      <c r="B17" s="1234"/>
      <c r="C17" s="1259"/>
      <c r="D17" s="1260"/>
      <c r="E17" s="1261"/>
      <c r="F17" s="1261"/>
      <c r="G17" s="126"/>
      <c r="H17" s="1262"/>
      <c r="I17" s="1262"/>
      <c r="J17" s="1262"/>
      <c r="K17" s="1262"/>
      <c r="L17" s="1262"/>
      <c r="M17" s="1263"/>
      <c r="N17" s="1255"/>
      <c r="O17" s="1366">
        <f t="shared" si="0"/>
        <v>285.41208791208794</v>
      </c>
      <c r="P17" s="125"/>
      <c r="Q17" s="1366">
        <f t="shared" si="1"/>
        <v>285.41208791208794</v>
      </c>
      <c r="R17" s="1260"/>
      <c r="S17" s="126"/>
      <c r="T17" s="1262"/>
      <c r="U17" s="126"/>
      <c r="V17" s="1255"/>
      <c r="W17" s="1264"/>
      <c r="X17" s="12"/>
      <c r="Y17" s="12"/>
      <c r="Z17" s="12"/>
      <c r="AA17" s="12"/>
      <c r="AB17" s="12"/>
      <c r="AC17" s="124"/>
      <c r="AD17" s="111"/>
      <c r="AF17" s="121"/>
      <c r="AG17" s="1265"/>
      <c r="AH17" s="1273">
        <f>AJ17/Units!$C$23*Units!$C$22/Units!$C$18*10^9/1000</f>
        <v>285.41208791208794</v>
      </c>
      <c r="AI17" s="1267"/>
      <c r="AJ17" s="1274">
        <f>'1.6.3 Gas2'!AJ17</f>
        <v>1.9978846153846155</v>
      </c>
      <c r="AK17" s="110"/>
      <c r="AO17" s="1364"/>
      <c r="AP17" s="1364"/>
      <c r="AQ17" s="1364"/>
      <c r="AR17" s="1364"/>
      <c r="AS17" s="1364"/>
      <c r="AT17" s="1364"/>
      <c r="AU17" s="1364"/>
      <c r="AV17" s="1365"/>
      <c r="AW17" s="111"/>
      <c r="AX17" s="1400"/>
      <c r="AY17" s="1403"/>
      <c r="AZ17" s="111"/>
      <c r="BA17" s="135" t="s">
        <v>100</v>
      </c>
      <c r="BB17" s="111" t="s">
        <v>100</v>
      </c>
    </row>
    <row r="18" spans="1:54" ht="17.25" x14ac:dyDescent="0.45">
      <c r="A18" s="10">
        <v>1828</v>
      </c>
      <c r="B18" s="1234"/>
      <c r="C18" s="1259"/>
      <c r="D18" s="1260"/>
      <c r="E18" s="1261"/>
      <c r="F18" s="1261"/>
      <c r="G18" s="126"/>
      <c r="H18" s="1262"/>
      <c r="I18" s="1262"/>
      <c r="J18" s="1262"/>
      <c r="K18" s="1262"/>
      <c r="L18" s="1262"/>
      <c r="M18" s="1263"/>
      <c r="N18" s="1255"/>
      <c r="O18" s="1366">
        <f t="shared" si="0"/>
        <v>299.95879120879124</v>
      </c>
      <c r="P18" s="125"/>
      <c r="Q18" s="1366">
        <f t="shared" si="1"/>
        <v>299.95879120879124</v>
      </c>
      <c r="R18" s="1260"/>
      <c r="S18" s="126"/>
      <c r="T18" s="1262"/>
      <c r="U18" s="126"/>
      <c r="V18" s="1255"/>
      <c r="W18" s="1264"/>
      <c r="X18" s="12"/>
      <c r="Y18" s="12"/>
      <c r="Z18" s="12"/>
      <c r="AA18" s="12"/>
      <c r="AB18" s="12"/>
      <c r="AC18" s="124"/>
      <c r="AD18" s="111"/>
      <c r="AF18" s="121"/>
      <c r="AG18" s="1265"/>
      <c r="AH18" s="1273">
        <f>AJ18/Units!$C$23*Units!$C$22/Units!$C$18*10^9/1000</f>
        <v>299.95879120879124</v>
      </c>
      <c r="AI18" s="1267"/>
      <c r="AJ18" s="1274">
        <f>'1.6.3 Gas2'!AJ18</f>
        <v>2.0997115384615386</v>
      </c>
      <c r="AK18" s="110"/>
      <c r="AO18" s="1364"/>
      <c r="AP18" s="1364"/>
      <c r="AQ18" s="1364"/>
      <c r="AR18" s="1364"/>
      <c r="AS18" s="1364"/>
      <c r="AT18" s="1364"/>
      <c r="AU18" s="1364"/>
      <c r="AV18" s="1365"/>
      <c r="AW18" s="111"/>
      <c r="AX18" s="1400"/>
      <c r="AY18" s="1403"/>
      <c r="AZ18" s="111"/>
      <c r="BA18" s="135" t="s">
        <v>100</v>
      </c>
      <c r="BB18" s="111" t="s">
        <v>100</v>
      </c>
    </row>
    <row r="19" spans="1:54" ht="17.25" x14ac:dyDescent="0.45">
      <c r="A19" s="10">
        <v>1829</v>
      </c>
      <c r="B19" s="1234"/>
      <c r="C19" s="1259"/>
      <c r="D19" s="1260"/>
      <c r="E19" s="1261"/>
      <c r="F19" s="1261"/>
      <c r="G19" s="126"/>
      <c r="H19" s="1262"/>
      <c r="I19" s="1262"/>
      <c r="J19" s="1262"/>
      <c r="K19" s="1262"/>
      <c r="L19" s="1262"/>
      <c r="M19" s="1263"/>
      <c r="N19" s="1255"/>
      <c r="O19" s="1366">
        <f t="shared" si="0"/>
        <v>314.5054945054946</v>
      </c>
      <c r="P19" s="125"/>
      <c r="Q19" s="1366">
        <f t="shared" si="1"/>
        <v>314.5054945054946</v>
      </c>
      <c r="R19" s="1260"/>
      <c r="S19" s="126"/>
      <c r="T19" s="1262"/>
      <c r="U19" s="126"/>
      <c r="V19" s="1255"/>
      <c r="W19" s="1264"/>
      <c r="X19" s="12"/>
      <c r="Y19" s="12"/>
      <c r="Z19" s="12"/>
      <c r="AA19" s="12"/>
      <c r="AB19" s="12"/>
      <c r="AC19" s="124"/>
      <c r="AD19" s="111"/>
      <c r="AF19" s="121"/>
      <c r="AG19" s="1265"/>
      <c r="AH19" s="1273">
        <f>AJ19/Units!$C$23*Units!$C$22/Units!$C$18*10^9/1000</f>
        <v>314.5054945054946</v>
      </c>
      <c r="AI19" s="1267"/>
      <c r="AJ19" s="1274">
        <f>'1.6.3 Gas2'!AJ19</f>
        <v>2.2015384615384619</v>
      </c>
      <c r="AK19" s="110"/>
      <c r="AO19" s="1364"/>
      <c r="AP19" s="1364"/>
      <c r="AQ19" s="1364"/>
      <c r="AR19" s="1364"/>
      <c r="AS19" s="1364"/>
      <c r="AT19" s="1364"/>
      <c r="AU19" s="1364"/>
      <c r="AV19" s="1365"/>
      <c r="AW19" s="111"/>
      <c r="AX19" s="1400"/>
      <c r="AY19" s="1403"/>
      <c r="AZ19" s="111"/>
      <c r="BA19" s="135" t="s">
        <v>100</v>
      </c>
      <c r="BB19" s="111" t="s">
        <v>100</v>
      </c>
    </row>
    <row r="20" spans="1:54" ht="17.25" x14ac:dyDescent="0.45">
      <c r="A20" s="10">
        <v>1830</v>
      </c>
      <c r="B20" s="1234"/>
      <c r="C20" s="1259"/>
      <c r="D20" s="1260"/>
      <c r="E20" s="1261"/>
      <c r="F20" s="1261"/>
      <c r="G20" s="126"/>
      <c r="H20" s="1262"/>
      <c r="I20" s="1262"/>
      <c r="J20" s="1262"/>
      <c r="K20" s="1262"/>
      <c r="L20" s="1262"/>
      <c r="M20" s="1263"/>
      <c r="N20" s="1255"/>
      <c r="O20" s="1366">
        <f t="shared" si="0"/>
        <v>342.21428571428578</v>
      </c>
      <c r="P20" s="125"/>
      <c r="Q20" s="1366">
        <f t="shared" si="1"/>
        <v>342.21428571428578</v>
      </c>
      <c r="R20" s="1260"/>
      <c r="S20" s="126"/>
      <c r="T20" s="1262"/>
      <c r="U20" s="126"/>
      <c r="V20" s="1255"/>
      <c r="W20" s="1264"/>
      <c r="X20" s="12"/>
      <c r="Y20" s="12"/>
      <c r="Z20" s="12"/>
      <c r="AA20" s="12"/>
      <c r="AB20" s="12"/>
      <c r="AC20" s="124"/>
      <c r="AD20" s="111"/>
      <c r="AF20" s="121"/>
      <c r="AG20" s="1265"/>
      <c r="AH20" s="1273">
        <f>AJ20/Units!$C$23*Units!$C$22/Units!$C$18*10^9/1000</f>
        <v>342.21428571428578</v>
      </c>
      <c r="AI20" s="1267"/>
      <c r="AJ20" s="1274">
        <f>'1.6.3 Gas2'!AJ20</f>
        <v>2.3955000000000006</v>
      </c>
      <c r="AK20" s="110"/>
      <c r="AO20" s="1364"/>
      <c r="AP20" s="1364"/>
      <c r="AQ20" s="1364"/>
      <c r="AR20" s="1364"/>
      <c r="AS20" s="1364"/>
      <c r="AT20" s="1364"/>
      <c r="AU20" s="1364"/>
      <c r="AV20" s="1365"/>
      <c r="AW20" s="111"/>
      <c r="AX20" s="1400"/>
      <c r="AY20" s="1403"/>
      <c r="AZ20" s="111"/>
      <c r="BA20" s="135" t="s">
        <v>100</v>
      </c>
      <c r="BB20" s="111" t="s">
        <v>100</v>
      </c>
    </row>
    <row r="21" spans="1:54" ht="17.25" x14ac:dyDescent="0.45">
      <c r="A21" s="10">
        <v>1831</v>
      </c>
      <c r="B21" s="1234"/>
      <c r="C21" s="1259"/>
      <c r="D21" s="1260"/>
      <c r="E21" s="1261"/>
      <c r="F21" s="1261"/>
      <c r="G21" s="126"/>
      <c r="H21" s="1262"/>
      <c r="I21" s="1262"/>
      <c r="J21" s="1262"/>
      <c r="K21" s="1262"/>
      <c r="L21" s="1262"/>
      <c r="M21" s="1263"/>
      <c r="N21" s="1255"/>
      <c r="O21" s="1366">
        <f t="shared" si="0"/>
        <v>357.34285714285727</v>
      </c>
      <c r="P21" s="125"/>
      <c r="Q21" s="1366">
        <f t="shared" si="1"/>
        <v>357.34285714285727</v>
      </c>
      <c r="R21" s="1260"/>
      <c r="S21" s="126"/>
      <c r="T21" s="1262"/>
      <c r="U21" s="126"/>
      <c r="V21" s="1255"/>
      <c r="W21" s="1264"/>
      <c r="X21" s="12"/>
      <c r="Y21" s="12"/>
      <c r="Z21" s="12"/>
      <c r="AA21" s="12"/>
      <c r="AB21" s="12"/>
      <c r="AC21" s="124"/>
      <c r="AD21" s="111"/>
      <c r="AF21" s="121"/>
      <c r="AG21" s="1265"/>
      <c r="AH21" s="1273">
        <f>AJ21/Units!$C$23*Units!$C$22/Units!$C$18*10^9/1000</f>
        <v>357.34285714285727</v>
      </c>
      <c r="AI21" s="1267"/>
      <c r="AJ21" s="1274">
        <f>'1.6.3 Gas2'!AJ21</f>
        <v>2.5014000000000007</v>
      </c>
      <c r="AK21" s="110"/>
      <c r="AO21" s="1364"/>
      <c r="AP21" s="1364"/>
      <c r="AQ21" s="1364"/>
      <c r="AR21" s="1364"/>
      <c r="AS21" s="1364"/>
      <c r="AT21" s="1364"/>
      <c r="AU21" s="1364"/>
      <c r="AV21" s="1365"/>
      <c r="AW21" s="111"/>
      <c r="AX21" s="1400"/>
      <c r="AY21" s="1403"/>
      <c r="AZ21" s="111"/>
      <c r="BA21" s="135" t="s">
        <v>100</v>
      </c>
      <c r="BB21" s="111" t="s">
        <v>100</v>
      </c>
    </row>
    <row r="22" spans="1:54" ht="17.25" x14ac:dyDescent="0.45">
      <c r="A22" s="10">
        <v>1832</v>
      </c>
      <c r="B22" s="1234"/>
      <c r="C22" s="1259"/>
      <c r="D22" s="1260"/>
      <c r="E22" s="1261"/>
      <c r="F22" s="1261"/>
      <c r="G22" s="126"/>
      <c r="H22" s="1262"/>
      <c r="I22" s="1262"/>
      <c r="J22" s="1262"/>
      <c r="K22" s="1262"/>
      <c r="L22" s="1262"/>
      <c r="M22" s="1263"/>
      <c r="N22" s="1255"/>
      <c r="O22" s="1366">
        <f t="shared" si="0"/>
        <v>372.47142857142865</v>
      </c>
      <c r="P22" s="125"/>
      <c r="Q22" s="1366">
        <f t="shared" si="1"/>
        <v>372.47142857142865</v>
      </c>
      <c r="R22" s="1260"/>
      <c r="S22" s="126"/>
      <c r="T22" s="1262"/>
      <c r="U22" s="126"/>
      <c r="V22" s="1255"/>
      <c r="W22" s="1264"/>
      <c r="X22" s="12"/>
      <c r="Y22" s="12"/>
      <c r="Z22" s="12"/>
      <c r="AA22" s="12"/>
      <c r="AB22" s="12"/>
      <c r="AC22" s="124"/>
      <c r="AD22" s="111"/>
      <c r="AF22" s="121"/>
      <c r="AG22" s="1265"/>
      <c r="AH22" s="1273">
        <f>AJ22/Units!$C$23*Units!$C$22/Units!$C$18*10^9/1000</f>
        <v>372.47142857142865</v>
      </c>
      <c r="AI22" s="1267"/>
      <c r="AJ22" s="1274">
        <f>'1.6.3 Gas2'!AJ22</f>
        <v>2.6073000000000008</v>
      </c>
      <c r="AK22" s="110"/>
      <c r="AO22" s="1364"/>
      <c r="AP22" s="1364"/>
      <c r="AQ22" s="1364"/>
      <c r="AR22" s="1364"/>
      <c r="AS22" s="1364"/>
      <c r="AT22" s="1364"/>
      <c r="AU22" s="1364"/>
      <c r="AV22" s="1365"/>
      <c r="AW22" s="111"/>
      <c r="AX22" s="1400"/>
      <c r="AY22" s="1403"/>
      <c r="AZ22" s="111"/>
      <c r="BA22" s="135" t="s">
        <v>100</v>
      </c>
      <c r="BB22" s="111" t="s">
        <v>100</v>
      </c>
    </row>
    <row r="23" spans="1:54" ht="17.25" x14ac:dyDescent="0.45">
      <c r="A23" s="10">
        <v>1833</v>
      </c>
      <c r="B23" s="1234"/>
      <c r="C23" s="1259"/>
      <c r="D23" s="1260"/>
      <c r="E23" s="1261"/>
      <c r="F23" s="1261"/>
      <c r="G23" s="126"/>
      <c r="H23" s="1262"/>
      <c r="I23" s="1262"/>
      <c r="J23" s="1262"/>
      <c r="K23" s="1262"/>
      <c r="L23" s="1262"/>
      <c r="M23" s="1263"/>
      <c r="N23" s="1255"/>
      <c r="O23" s="1366">
        <f t="shared" si="0"/>
        <v>387.60000000000019</v>
      </c>
      <c r="P23" s="125"/>
      <c r="Q23" s="1366">
        <f t="shared" si="1"/>
        <v>387.60000000000019</v>
      </c>
      <c r="R23" s="1260"/>
      <c r="S23" s="126"/>
      <c r="T23" s="1262"/>
      <c r="U23" s="126"/>
      <c r="V23" s="1255"/>
      <c r="W23" s="1264"/>
      <c r="X23" s="12"/>
      <c r="Y23" s="12"/>
      <c r="Z23" s="12"/>
      <c r="AA23" s="12"/>
      <c r="AB23" s="12"/>
      <c r="AC23" s="124"/>
      <c r="AD23" s="111"/>
      <c r="AF23" s="121"/>
      <c r="AG23" s="1265"/>
      <c r="AH23" s="1273">
        <f>AJ23/Units!$C$23*Units!$C$22/Units!$C$18*10^9/1000</f>
        <v>387.60000000000019</v>
      </c>
      <c r="AI23" s="1267"/>
      <c r="AJ23" s="1274">
        <f>'1.6.3 Gas2'!AJ23</f>
        <v>2.7132000000000009</v>
      </c>
      <c r="AK23" s="110"/>
      <c r="AO23" s="1364"/>
      <c r="AP23" s="1364"/>
      <c r="AQ23" s="1364"/>
      <c r="AR23" s="1364"/>
      <c r="AS23" s="1364"/>
      <c r="AT23" s="1364"/>
      <c r="AU23" s="1364"/>
      <c r="AV23" s="1365"/>
      <c r="AW23" s="111"/>
      <c r="AX23" s="1400"/>
      <c r="AY23" s="1403"/>
      <c r="AZ23" s="111"/>
      <c r="BA23" s="135" t="s">
        <v>100</v>
      </c>
      <c r="BB23" s="111" t="s">
        <v>100</v>
      </c>
    </row>
    <row r="24" spans="1:54" ht="17.25" x14ac:dyDescent="0.45">
      <c r="A24" s="10">
        <v>1834</v>
      </c>
      <c r="B24" s="1234"/>
      <c r="C24" s="1259"/>
      <c r="D24" s="1260"/>
      <c r="E24" s="1261"/>
      <c r="F24" s="1261"/>
      <c r="G24" s="126"/>
      <c r="H24" s="1262"/>
      <c r="I24" s="1262"/>
      <c r="J24" s="1262"/>
      <c r="K24" s="1262"/>
      <c r="L24" s="1262"/>
      <c r="M24" s="1263"/>
      <c r="N24" s="1255"/>
      <c r="O24" s="1366">
        <f t="shared" si="0"/>
        <v>402.72857142857163</v>
      </c>
      <c r="P24" s="125"/>
      <c r="Q24" s="1366">
        <f t="shared" si="1"/>
        <v>402.72857142857163</v>
      </c>
      <c r="R24" s="1260"/>
      <c r="S24" s="126"/>
      <c r="T24" s="1262"/>
      <c r="U24" s="126"/>
      <c r="V24" s="1255"/>
      <c r="W24" s="1264"/>
      <c r="X24" s="12"/>
      <c r="Y24" s="12"/>
      <c r="Z24" s="12"/>
      <c r="AA24" s="12"/>
      <c r="AB24" s="12"/>
      <c r="AC24" s="124"/>
      <c r="AD24" s="111"/>
      <c r="AF24" s="121"/>
      <c r="AG24" s="1265"/>
      <c r="AH24" s="1273">
        <f>AJ24/Units!$C$23*Units!$C$22/Units!$C$18*10^9/1000</f>
        <v>402.72857142857163</v>
      </c>
      <c r="AI24" s="1267"/>
      <c r="AJ24" s="1274">
        <f>'1.6.3 Gas2'!AJ24</f>
        <v>2.8191000000000015</v>
      </c>
      <c r="AK24" s="110"/>
      <c r="AO24" s="1364"/>
      <c r="AP24" s="1364"/>
      <c r="AQ24" s="1364"/>
      <c r="AR24" s="1364"/>
      <c r="AS24" s="1364"/>
      <c r="AT24" s="1364"/>
      <c r="AU24" s="1364"/>
      <c r="AV24" s="1365"/>
      <c r="AW24" s="111"/>
      <c r="AX24" s="1400"/>
      <c r="AY24" s="1403"/>
      <c r="AZ24" s="111"/>
      <c r="BA24" s="135" t="s">
        <v>100</v>
      </c>
      <c r="BB24" s="111" t="s">
        <v>100</v>
      </c>
    </row>
    <row r="25" spans="1:54" ht="17.25" x14ac:dyDescent="0.45">
      <c r="A25" s="10">
        <v>1835</v>
      </c>
      <c r="B25" s="1234"/>
      <c r="C25" s="1259"/>
      <c r="D25" s="1260"/>
      <c r="E25" s="1261"/>
      <c r="F25" s="1261"/>
      <c r="G25" s="126"/>
      <c r="H25" s="1262"/>
      <c r="I25" s="1262"/>
      <c r="J25" s="1262"/>
      <c r="K25" s="1262"/>
      <c r="L25" s="1262"/>
      <c r="M25" s="1263"/>
      <c r="N25" s="1255"/>
      <c r="O25" s="1366">
        <f t="shared" si="0"/>
        <v>417.85714285714289</v>
      </c>
      <c r="P25" s="125"/>
      <c r="Q25" s="1366">
        <f t="shared" si="1"/>
        <v>417.85714285714289</v>
      </c>
      <c r="R25" s="1260"/>
      <c r="S25" s="126"/>
      <c r="T25" s="1262"/>
      <c r="U25" s="126"/>
      <c r="V25" s="1255"/>
      <c r="W25" s="1264"/>
      <c r="X25" s="12"/>
      <c r="Y25" s="12"/>
      <c r="Z25" s="12"/>
      <c r="AA25" s="12"/>
      <c r="AB25" s="12"/>
      <c r="AC25" s="124"/>
      <c r="AD25" s="111"/>
      <c r="AF25" s="121"/>
      <c r="AG25" s="1265"/>
      <c r="AH25" s="1273">
        <f>AJ25/Units!$C$23*Units!$C$22/Units!$C$18*10^9/1000</f>
        <v>417.85714285714289</v>
      </c>
      <c r="AI25" s="1267"/>
      <c r="AJ25" s="1274">
        <f>'1.6.3 Gas2'!AJ25</f>
        <v>2.9250000000000003</v>
      </c>
      <c r="AK25" s="110"/>
      <c r="AO25" s="1364"/>
      <c r="AP25" s="1364"/>
      <c r="AQ25" s="1364"/>
      <c r="AR25" s="1364"/>
      <c r="AS25" s="1364"/>
      <c r="AT25" s="1364"/>
      <c r="AU25" s="1364"/>
      <c r="AV25" s="1365"/>
      <c r="AW25" s="111"/>
      <c r="AX25" s="1400"/>
      <c r="AY25" s="1403"/>
      <c r="AZ25" s="111"/>
      <c r="BA25" s="135" t="s">
        <v>100</v>
      </c>
      <c r="BB25" s="111" t="s">
        <v>100</v>
      </c>
    </row>
    <row r="26" spans="1:54" ht="17.25" x14ac:dyDescent="0.45">
      <c r="A26" s="10">
        <v>1836</v>
      </c>
      <c r="B26" s="1234"/>
      <c r="C26" s="1259"/>
      <c r="D26" s="1260"/>
      <c r="E26" s="1261"/>
      <c r="F26" s="1261"/>
      <c r="G26" s="126"/>
      <c r="H26" s="1262"/>
      <c r="I26" s="1262"/>
      <c r="J26" s="1262"/>
      <c r="K26" s="1262"/>
      <c r="L26" s="1262"/>
      <c r="M26" s="1263"/>
      <c r="N26" s="1255"/>
      <c r="O26" s="1366">
        <f t="shared" si="0"/>
        <v>483.52040816326536</v>
      </c>
      <c r="P26" s="125"/>
      <c r="Q26" s="1366">
        <f t="shared" si="1"/>
        <v>483.52040816326536</v>
      </c>
      <c r="R26" s="1260"/>
      <c r="S26" s="126"/>
      <c r="T26" s="1262"/>
      <c r="U26" s="126"/>
      <c r="V26" s="1255"/>
      <c r="W26" s="1264"/>
      <c r="X26" s="12"/>
      <c r="Y26" s="12"/>
      <c r="Z26" s="12"/>
      <c r="AA26" s="12"/>
      <c r="AB26" s="12"/>
      <c r="AC26" s="124"/>
      <c r="AD26" s="111"/>
      <c r="AF26" s="121"/>
      <c r="AG26" s="1265"/>
      <c r="AH26" s="1273">
        <f>AJ26/Units!$C$23*Units!$C$22/Units!$C$18*10^9/1000</f>
        <v>483.52040816326536</v>
      </c>
      <c r="AI26" s="1267"/>
      <c r="AJ26" s="1274">
        <f>'1.6.3 Gas2'!AJ26</f>
        <v>3.3846428571428575</v>
      </c>
      <c r="AK26" s="110"/>
      <c r="AO26" s="1364"/>
      <c r="AP26" s="1364"/>
      <c r="AQ26" s="1364"/>
      <c r="AR26" s="1364"/>
      <c r="AS26" s="1364"/>
      <c r="AT26" s="1364"/>
      <c r="AU26" s="1364"/>
      <c r="AV26" s="1365"/>
      <c r="AW26" s="111"/>
      <c r="AX26" s="1400"/>
      <c r="AY26" s="1403"/>
      <c r="AZ26" s="111"/>
      <c r="BA26" s="135" t="s">
        <v>100</v>
      </c>
      <c r="BB26" s="111" t="s">
        <v>100</v>
      </c>
    </row>
    <row r="27" spans="1:54" ht="17.25" x14ac:dyDescent="0.45">
      <c r="A27" s="10">
        <v>1837</v>
      </c>
      <c r="B27" s="1234"/>
      <c r="C27" s="1259"/>
      <c r="D27" s="1260"/>
      <c r="E27" s="1261"/>
      <c r="F27" s="1261"/>
      <c r="G27" s="126"/>
      <c r="H27" s="1262"/>
      <c r="I27" s="1262"/>
      <c r="J27" s="1262"/>
      <c r="K27" s="1262"/>
      <c r="L27" s="1262"/>
      <c r="M27" s="1263"/>
      <c r="N27" s="1255"/>
      <c r="O27" s="1366">
        <f t="shared" si="0"/>
        <v>549.18367346938771</v>
      </c>
      <c r="P27" s="125"/>
      <c r="Q27" s="1366">
        <f t="shared" si="1"/>
        <v>549.18367346938771</v>
      </c>
      <c r="R27" s="1260"/>
      <c r="S27" s="126"/>
      <c r="T27" s="1262"/>
      <c r="U27" s="126"/>
      <c r="V27" s="1255"/>
      <c r="W27" s="1264"/>
      <c r="X27" s="12"/>
      <c r="Y27" s="12"/>
      <c r="Z27" s="12"/>
      <c r="AA27" s="12"/>
      <c r="AB27" s="12"/>
      <c r="AC27" s="124"/>
      <c r="AD27" s="111"/>
      <c r="AF27" s="121"/>
      <c r="AG27" s="1265"/>
      <c r="AH27" s="1273">
        <f>AJ27/Units!$C$23*Units!$C$22/Units!$C$18*10^9/1000</f>
        <v>549.18367346938771</v>
      </c>
      <c r="AI27" s="1267"/>
      <c r="AJ27" s="1274">
        <f>'1.6.3 Gas2'!AJ27</f>
        <v>3.8442857142857148</v>
      </c>
      <c r="AK27" s="110"/>
      <c r="AO27" s="1364"/>
      <c r="AP27" s="1364"/>
      <c r="AQ27" s="1364"/>
      <c r="AR27" s="1364"/>
      <c r="AS27" s="1364"/>
      <c r="AT27" s="1364"/>
      <c r="AU27" s="1364"/>
      <c r="AV27" s="1365"/>
      <c r="AW27" s="111"/>
      <c r="AX27" s="1400"/>
      <c r="AY27" s="1403"/>
      <c r="AZ27" s="111"/>
      <c r="BA27" s="135" t="s">
        <v>100</v>
      </c>
      <c r="BB27" s="111" t="s">
        <v>100</v>
      </c>
    </row>
    <row r="28" spans="1:54" ht="17.25" x14ac:dyDescent="0.45">
      <c r="A28" s="10">
        <v>1838</v>
      </c>
      <c r="B28" s="1234"/>
      <c r="C28" s="1259"/>
      <c r="D28" s="1260"/>
      <c r="E28" s="1261"/>
      <c r="F28" s="1261"/>
      <c r="G28" s="126"/>
      <c r="H28" s="1262"/>
      <c r="I28" s="1262"/>
      <c r="J28" s="1262"/>
      <c r="K28" s="1262"/>
      <c r="L28" s="1262"/>
      <c r="M28" s="1263"/>
      <c r="N28" s="1255"/>
      <c r="O28" s="1366">
        <f t="shared" si="0"/>
        <v>614.84693877551024</v>
      </c>
      <c r="P28" s="125"/>
      <c r="Q28" s="1366">
        <f t="shared" si="1"/>
        <v>614.84693877551024</v>
      </c>
      <c r="R28" s="1260"/>
      <c r="S28" s="126"/>
      <c r="T28" s="1262"/>
      <c r="U28" s="126"/>
      <c r="V28" s="1255"/>
      <c r="W28" s="1264"/>
      <c r="X28" s="12"/>
      <c r="Y28" s="12"/>
      <c r="Z28" s="12"/>
      <c r="AA28" s="12"/>
      <c r="AB28" s="12"/>
      <c r="AC28" s="124"/>
      <c r="AD28" s="111"/>
      <c r="AF28" s="121"/>
      <c r="AG28" s="1265"/>
      <c r="AH28" s="1273">
        <f>AJ28/Units!$C$23*Units!$C$22/Units!$C$18*10^9/1000</f>
        <v>614.84693877551024</v>
      </c>
      <c r="AI28" s="1267"/>
      <c r="AJ28" s="1274">
        <f>'1.6.3 Gas2'!AJ28</f>
        <v>4.303928571428572</v>
      </c>
      <c r="AK28" s="110"/>
      <c r="AO28" s="1364"/>
      <c r="AP28" s="1364"/>
      <c r="AQ28" s="1364"/>
      <c r="AR28" s="1364"/>
      <c r="AS28" s="1364"/>
      <c r="AT28" s="1364"/>
      <c r="AU28" s="1364"/>
      <c r="AV28" s="1365"/>
      <c r="AW28" s="111"/>
      <c r="AX28" s="1400"/>
      <c r="AY28" s="1403"/>
      <c r="AZ28" s="111"/>
      <c r="BA28" s="135" t="s">
        <v>100</v>
      </c>
      <c r="BB28" s="111" t="s">
        <v>100</v>
      </c>
    </row>
    <row r="29" spans="1:54" ht="17.25" x14ac:dyDescent="0.45">
      <c r="A29" s="10">
        <v>1839</v>
      </c>
      <c r="B29" s="1234"/>
      <c r="C29" s="1259"/>
      <c r="D29" s="1260"/>
      <c r="E29" s="1261"/>
      <c r="F29" s="1261"/>
      <c r="G29" s="126"/>
      <c r="H29" s="1262"/>
      <c r="I29" s="1262"/>
      <c r="J29" s="1262"/>
      <c r="K29" s="1262"/>
      <c r="L29" s="1262"/>
      <c r="M29" s="1263"/>
      <c r="N29" s="1255"/>
      <c r="O29" s="1366">
        <f t="shared" si="0"/>
        <v>680.51020408163276</v>
      </c>
      <c r="P29" s="125"/>
      <c r="Q29" s="1366">
        <f t="shared" si="1"/>
        <v>680.51020408163276</v>
      </c>
      <c r="R29" s="1260"/>
      <c r="S29" s="126"/>
      <c r="T29" s="1262"/>
      <c r="U29" s="126"/>
      <c r="V29" s="1255"/>
      <c r="W29" s="1264"/>
      <c r="X29" s="12"/>
      <c r="Y29" s="12"/>
      <c r="Z29" s="12"/>
      <c r="AA29" s="12"/>
      <c r="AB29" s="12"/>
      <c r="AC29" s="124"/>
      <c r="AD29" s="111"/>
      <c r="AF29" s="121"/>
      <c r="AG29" s="1265"/>
      <c r="AH29" s="1273">
        <f>AJ29/Units!$C$23*Units!$C$22/Units!$C$18*10^9/1000</f>
        <v>680.51020408163276</v>
      </c>
      <c r="AI29" s="1267"/>
      <c r="AJ29" s="1274">
        <f>'1.6.3 Gas2'!AJ29</f>
        <v>4.7635714285714297</v>
      </c>
      <c r="AK29" s="110"/>
      <c r="AO29" s="1364"/>
      <c r="AP29" s="1364"/>
      <c r="AQ29" s="1364"/>
      <c r="AR29" s="1364"/>
      <c r="AS29" s="1364"/>
      <c r="AT29" s="1364"/>
      <c r="AU29" s="1364"/>
      <c r="AV29" s="1365"/>
      <c r="AW29" s="111"/>
      <c r="AX29" s="1400"/>
      <c r="AY29" s="1403"/>
      <c r="AZ29" s="111"/>
      <c r="BA29" s="135" t="s">
        <v>100</v>
      </c>
      <c r="BB29" s="111" t="s">
        <v>100</v>
      </c>
    </row>
    <row r="30" spans="1:54" ht="17.25" x14ac:dyDescent="0.45">
      <c r="A30" s="10">
        <v>1840</v>
      </c>
      <c r="B30" s="1234"/>
      <c r="C30" s="1259"/>
      <c r="D30" s="1260"/>
      <c r="E30" s="1261"/>
      <c r="F30" s="1261"/>
      <c r="G30" s="126"/>
      <c r="H30" s="1262"/>
      <c r="I30" s="1262"/>
      <c r="J30" s="1262"/>
      <c r="K30" s="1262"/>
      <c r="L30" s="1262"/>
      <c r="M30" s="1263"/>
      <c r="N30" s="1255"/>
      <c r="O30" s="1366">
        <f t="shared" si="0"/>
        <v>774.87244897959204</v>
      </c>
      <c r="P30" s="125"/>
      <c r="Q30" s="1366">
        <f t="shared" si="1"/>
        <v>774.87244897959204</v>
      </c>
      <c r="R30" s="1260"/>
      <c r="S30" s="126"/>
      <c r="T30" s="1262"/>
      <c r="U30" s="126"/>
      <c r="V30" s="1255"/>
      <c r="W30" s="1264"/>
      <c r="X30" s="12"/>
      <c r="Y30" s="12"/>
      <c r="Z30" s="12"/>
      <c r="AA30" s="12"/>
      <c r="AB30" s="12"/>
      <c r="AC30" s="124"/>
      <c r="AD30" s="111"/>
      <c r="AF30" s="121"/>
      <c r="AG30" s="1265"/>
      <c r="AH30" s="1273">
        <f>AJ30/Units!$C$23*Units!$C$22/Units!$C$18*10^9/1000</f>
        <v>774.87244897959204</v>
      </c>
      <c r="AI30" s="1267"/>
      <c r="AJ30" s="1274">
        <f>'1.6.3 Gas2'!AJ30</f>
        <v>5.4241071428571441</v>
      </c>
      <c r="AK30" s="110"/>
      <c r="AO30" s="1364"/>
      <c r="AP30" s="1364"/>
      <c r="AQ30" s="1364"/>
      <c r="AR30" s="1364"/>
      <c r="AS30" s="1364"/>
      <c r="AT30" s="1364"/>
      <c r="AU30" s="1364"/>
      <c r="AV30" s="1365"/>
      <c r="AW30" s="111"/>
      <c r="AX30" s="1400"/>
      <c r="AY30" s="1403"/>
      <c r="AZ30" s="111"/>
      <c r="BA30" s="135" t="s">
        <v>100</v>
      </c>
      <c r="BB30" s="111" t="s">
        <v>100</v>
      </c>
    </row>
    <row r="31" spans="1:54" ht="17.25" x14ac:dyDescent="0.45">
      <c r="A31" s="10">
        <v>1841</v>
      </c>
      <c r="B31" s="1234"/>
      <c r="C31" s="1259"/>
      <c r="D31" s="1260"/>
      <c r="E31" s="1261"/>
      <c r="F31" s="1261"/>
      <c r="G31" s="126"/>
      <c r="H31" s="1262"/>
      <c r="I31" s="1262"/>
      <c r="J31" s="1262"/>
      <c r="K31" s="1262"/>
      <c r="L31" s="1262"/>
      <c r="M31" s="1263"/>
      <c r="N31" s="1255"/>
      <c r="O31" s="1366">
        <f t="shared" si="0"/>
        <v>843.06122448979613</v>
      </c>
      <c r="P31" s="125"/>
      <c r="Q31" s="1366">
        <f t="shared" si="1"/>
        <v>843.06122448979613</v>
      </c>
      <c r="R31" s="1260"/>
      <c r="S31" s="126"/>
      <c r="T31" s="1262"/>
      <c r="U31" s="126"/>
      <c r="V31" s="1255"/>
      <c r="W31" s="1264"/>
      <c r="X31" s="12"/>
      <c r="Y31" s="12"/>
      <c r="Z31" s="12"/>
      <c r="AA31" s="12"/>
      <c r="AB31" s="12"/>
      <c r="AC31" s="124"/>
      <c r="AD31" s="111"/>
      <c r="AF31" s="121"/>
      <c r="AG31" s="1265"/>
      <c r="AH31" s="1273">
        <f>AJ31/Units!$C$23*Units!$C$22/Units!$C$18*10^9/1000</f>
        <v>843.06122448979613</v>
      </c>
      <c r="AI31" s="1267"/>
      <c r="AJ31" s="1274">
        <f>'1.6.3 Gas2'!AJ31</f>
        <v>5.901428571428573</v>
      </c>
      <c r="AK31" s="110"/>
      <c r="AO31" s="1364"/>
      <c r="AP31" s="1364"/>
      <c r="AQ31" s="1364"/>
      <c r="AR31" s="1364"/>
      <c r="AS31" s="1364"/>
      <c r="AT31" s="1364"/>
      <c r="AU31" s="1364"/>
      <c r="AV31" s="1365"/>
      <c r="AW31" s="111"/>
      <c r="AX31" s="1400"/>
      <c r="AY31" s="1403"/>
      <c r="AZ31" s="111"/>
      <c r="BA31" s="135" t="s">
        <v>100</v>
      </c>
      <c r="BB31" s="111" t="s">
        <v>100</v>
      </c>
    </row>
    <row r="32" spans="1:54" ht="17.25" x14ac:dyDescent="0.45">
      <c r="A32" s="10">
        <v>1842</v>
      </c>
      <c r="B32" s="1234"/>
      <c r="C32" s="1259"/>
      <c r="D32" s="1260"/>
      <c r="E32" s="1261"/>
      <c r="F32" s="1261"/>
      <c r="G32" s="126"/>
      <c r="H32" s="1262"/>
      <c r="I32" s="1262"/>
      <c r="J32" s="1262"/>
      <c r="K32" s="1262"/>
      <c r="L32" s="1262"/>
      <c r="M32" s="1263"/>
      <c r="N32" s="1255"/>
      <c r="O32" s="1366">
        <f t="shared" si="0"/>
        <v>911.25</v>
      </c>
      <c r="P32" s="125"/>
      <c r="Q32" s="1366">
        <f t="shared" si="1"/>
        <v>911.25</v>
      </c>
      <c r="R32" s="1260"/>
      <c r="S32" s="126"/>
      <c r="T32" s="1262"/>
      <c r="U32" s="126"/>
      <c r="V32" s="1255"/>
      <c r="W32" s="1264"/>
      <c r="X32" s="12"/>
      <c r="Y32" s="12"/>
      <c r="Z32" s="12"/>
      <c r="AA32" s="12"/>
      <c r="AB32" s="12"/>
      <c r="AC32" s="124"/>
      <c r="AD32" s="111"/>
      <c r="AF32" s="121"/>
      <c r="AG32" s="1265"/>
      <c r="AH32" s="1273">
        <f>AJ32/Units!$C$23*Units!$C$22/Units!$C$18*10^9/1000</f>
        <v>911.25</v>
      </c>
      <c r="AI32" s="1267"/>
      <c r="AJ32" s="1274">
        <f>'1.6.3 Gas2'!AJ32</f>
        <v>6.3787500000000001</v>
      </c>
      <c r="AK32" s="110"/>
      <c r="AO32" s="1364"/>
      <c r="AP32" s="1364"/>
      <c r="AQ32" s="1364"/>
      <c r="AR32" s="1364"/>
      <c r="AS32" s="1364"/>
      <c r="AT32" s="1364"/>
      <c r="AU32" s="1364"/>
      <c r="AV32" s="1365"/>
      <c r="AW32" s="111"/>
      <c r="AX32" s="1400"/>
      <c r="AY32" s="1403"/>
      <c r="AZ32" s="111"/>
      <c r="BA32" s="135" t="s">
        <v>100</v>
      </c>
      <c r="BB32" s="111" t="s">
        <v>100</v>
      </c>
    </row>
    <row r="33" spans="1:54" ht="17.25" x14ac:dyDescent="0.45">
      <c r="A33" s="10">
        <v>1843</v>
      </c>
      <c r="B33" s="1234"/>
      <c r="C33" s="1259"/>
      <c r="D33" s="1260"/>
      <c r="E33" s="1261"/>
      <c r="F33" s="1261"/>
      <c r="G33" s="126"/>
      <c r="H33" s="1262"/>
      <c r="I33" s="1262"/>
      <c r="J33" s="1262"/>
      <c r="K33" s="1262"/>
      <c r="L33" s="1262"/>
      <c r="M33" s="1263"/>
      <c r="N33" s="1255"/>
      <c r="O33" s="1366">
        <f t="shared" si="0"/>
        <v>916.07142857142867</v>
      </c>
      <c r="P33" s="125"/>
      <c r="Q33" s="1366">
        <f t="shared" si="1"/>
        <v>916.07142857142867</v>
      </c>
      <c r="R33" s="1260"/>
      <c r="S33" s="126"/>
      <c r="T33" s="1262"/>
      <c r="U33" s="126"/>
      <c r="V33" s="1255"/>
      <c r="W33" s="1264"/>
      <c r="X33" s="12"/>
      <c r="Y33" s="12"/>
      <c r="Z33" s="12"/>
      <c r="AA33" s="12"/>
      <c r="AB33" s="12"/>
      <c r="AC33" s="124"/>
      <c r="AD33" s="111"/>
      <c r="AF33" s="121"/>
      <c r="AG33" s="1265"/>
      <c r="AH33" s="1273">
        <f>AJ33/Units!$C$23*Units!$C$22/Units!$C$18*10^9/1000</f>
        <v>916.07142857142867</v>
      </c>
      <c r="AI33" s="1267"/>
      <c r="AJ33" s="1274">
        <f>'1.6.3 Gas2'!AJ33</f>
        <v>6.4125000000000005</v>
      </c>
      <c r="AK33" s="110"/>
      <c r="AO33" s="1364"/>
      <c r="AP33" s="1364"/>
      <c r="AQ33" s="1364"/>
      <c r="AR33" s="1364"/>
      <c r="AS33" s="1364"/>
      <c r="AT33" s="1364"/>
      <c r="AU33" s="1364"/>
      <c r="AV33" s="1365"/>
      <c r="AW33" s="111"/>
      <c r="AX33" s="1400"/>
      <c r="AY33" s="1403"/>
      <c r="AZ33" s="111"/>
      <c r="BA33" s="135" t="s">
        <v>100</v>
      </c>
      <c r="BB33" s="111" t="s">
        <v>100</v>
      </c>
    </row>
    <row r="34" spans="1:54" ht="17.25" x14ac:dyDescent="0.45">
      <c r="A34" s="10">
        <v>1844</v>
      </c>
      <c r="B34" s="1234"/>
      <c r="C34" s="1259"/>
      <c r="D34" s="1260"/>
      <c r="E34" s="1261"/>
      <c r="F34" s="1261"/>
      <c r="G34" s="126"/>
      <c r="H34" s="1262"/>
      <c r="I34" s="1262"/>
      <c r="J34" s="1262"/>
      <c r="K34" s="1262"/>
      <c r="L34" s="1262"/>
      <c r="M34" s="1263"/>
      <c r="N34" s="1255"/>
      <c r="O34" s="1366">
        <f t="shared" si="0"/>
        <v>920.89285714285711</v>
      </c>
      <c r="P34" s="125"/>
      <c r="Q34" s="1366">
        <f t="shared" si="1"/>
        <v>920.89285714285711</v>
      </c>
      <c r="R34" s="1260"/>
      <c r="S34" s="126"/>
      <c r="T34" s="1262"/>
      <c r="U34" s="126"/>
      <c r="V34" s="1255"/>
      <c r="W34" s="1264"/>
      <c r="X34" s="12"/>
      <c r="Y34" s="12"/>
      <c r="Z34" s="12"/>
      <c r="AA34" s="12"/>
      <c r="AB34" s="12"/>
      <c r="AC34" s="124"/>
      <c r="AD34" s="111"/>
      <c r="AF34" s="121"/>
      <c r="AG34" s="1265"/>
      <c r="AH34" s="1273">
        <f>AJ34/Units!$C$23*Units!$C$22/Units!$C$18*10^9/1000</f>
        <v>920.89285714285711</v>
      </c>
      <c r="AI34" s="1267"/>
      <c r="AJ34" s="1274">
        <f>'1.6.3 Gas2'!AJ34</f>
        <v>6.4462500000000009</v>
      </c>
      <c r="AK34" s="110"/>
      <c r="AO34" s="1364"/>
      <c r="AP34" s="1364"/>
      <c r="AQ34" s="1364"/>
      <c r="AR34" s="1364"/>
      <c r="AS34" s="1364"/>
      <c r="AT34" s="1364"/>
      <c r="AU34" s="1364"/>
      <c r="AV34" s="1365"/>
      <c r="AW34" s="111"/>
      <c r="AX34" s="1400"/>
      <c r="AY34" s="1403"/>
      <c r="AZ34" s="111"/>
      <c r="BA34" s="135" t="s">
        <v>100</v>
      </c>
      <c r="BB34" s="111" t="s">
        <v>100</v>
      </c>
    </row>
    <row r="35" spans="1:54" ht="17.25" x14ac:dyDescent="0.45">
      <c r="A35" s="10">
        <v>1845</v>
      </c>
      <c r="B35" s="1234"/>
      <c r="C35" s="1259"/>
      <c r="D35" s="1260"/>
      <c r="E35" s="1261"/>
      <c r="F35" s="1261"/>
      <c r="G35" s="126"/>
      <c r="H35" s="1262"/>
      <c r="I35" s="1262"/>
      <c r="J35" s="1262"/>
      <c r="K35" s="1262"/>
      <c r="L35" s="1262"/>
      <c r="M35" s="1263"/>
      <c r="N35" s="1255"/>
      <c r="O35" s="1366">
        <f t="shared" si="0"/>
        <v>925.71428571428578</v>
      </c>
      <c r="P35" s="125"/>
      <c r="Q35" s="1366">
        <f t="shared" si="1"/>
        <v>925.71428571428578</v>
      </c>
      <c r="R35" s="1260"/>
      <c r="S35" s="126"/>
      <c r="T35" s="1262"/>
      <c r="U35" s="126"/>
      <c r="V35" s="1255"/>
      <c r="W35" s="1264"/>
      <c r="X35" s="12"/>
      <c r="Y35" s="12"/>
      <c r="Z35" s="12"/>
      <c r="AA35" s="12"/>
      <c r="AB35" s="12"/>
      <c r="AC35" s="124"/>
      <c r="AD35" s="111"/>
      <c r="AF35" s="121"/>
      <c r="AG35" s="1265"/>
      <c r="AH35" s="1273">
        <f>AJ35/Units!$C$23*Units!$C$22/Units!$C$18*10^9/1000</f>
        <v>925.71428571428578</v>
      </c>
      <c r="AI35" s="1267"/>
      <c r="AJ35" s="1274">
        <f>'1.6.3 Gas2'!AJ35</f>
        <v>6.48</v>
      </c>
      <c r="AK35" s="110"/>
      <c r="AO35" s="1364"/>
      <c r="AP35" s="1364"/>
      <c r="AQ35" s="1364"/>
      <c r="AR35" s="1364"/>
      <c r="AS35" s="1364"/>
      <c r="AT35" s="1364"/>
      <c r="AU35" s="1364"/>
      <c r="AV35" s="1365"/>
      <c r="AW35" s="111"/>
      <c r="AX35" s="1400"/>
      <c r="AY35" s="1403"/>
      <c r="AZ35" s="111"/>
      <c r="BA35" s="135" t="s">
        <v>100</v>
      </c>
      <c r="BB35" s="111" t="s">
        <v>100</v>
      </c>
    </row>
    <row r="36" spans="1:54" ht="17.25" x14ac:dyDescent="0.45">
      <c r="A36" s="10">
        <v>1846</v>
      </c>
      <c r="B36" s="1234"/>
      <c r="C36" s="1259"/>
      <c r="D36" s="1260"/>
      <c r="E36" s="1261"/>
      <c r="F36" s="1261"/>
      <c r="G36" s="126"/>
      <c r="H36" s="1262"/>
      <c r="I36" s="1262"/>
      <c r="J36" s="1262"/>
      <c r="K36" s="1262"/>
      <c r="L36" s="1262"/>
      <c r="M36" s="1263"/>
      <c r="N36" s="1255"/>
      <c r="O36" s="1366">
        <f t="shared" si="0"/>
        <v>960.42857142857167</v>
      </c>
      <c r="P36" s="125"/>
      <c r="Q36" s="1366">
        <f t="shared" si="1"/>
        <v>960.42857142857167</v>
      </c>
      <c r="R36" s="1260"/>
      <c r="S36" s="126"/>
      <c r="T36" s="1262"/>
      <c r="U36" s="126"/>
      <c r="V36" s="1255"/>
      <c r="W36" s="1264"/>
      <c r="X36" s="12"/>
      <c r="Y36" s="12"/>
      <c r="Z36" s="12"/>
      <c r="AA36" s="12"/>
      <c r="AB36" s="12"/>
      <c r="AC36" s="124"/>
      <c r="AD36" s="111"/>
      <c r="AF36" s="121"/>
      <c r="AG36" s="1265"/>
      <c r="AH36" s="1273">
        <f>AJ36/Units!$C$23*Units!$C$22/Units!$C$18*10^9/1000</f>
        <v>960.42857142857167</v>
      </c>
      <c r="AI36" s="1267"/>
      <c r="AJ36" s="1274">
        <f>'1.6.3 Gas2'!AJ36</f>
        <v>6.7230000000000016</v>
      </c>
      <c r="AK36" s="110"/>
      <c r="AO36" s="1364"/>
      <c r="AP36" s="1364"/>
      <c r="AQ36" s="1364"/>
      <c r="AR36" s="1364"/>
      <c r="AS36" s="1364"/>
      <c r="AT36" s="1364"/>
      <c r="AU36" s="1364"/>
      <c r="AV36" s="1365"/>
      <c r="AW36" s="111"/>
      <c r="AX36" s="1400"/>
      <c r="AY36" s="1403"/>
      <c r="AZ36" s="111"/>
      <c r="BA36" s="135" t="s">
        <v>100</v>
      </c>
      <c r="BB36" s="111" t="s">
        <v>100</v>
      </c>
    </row>
    <row r="37" spans="1:54" ht="17.25" x14ac:dyDescent="0.45">
      <c r="A37" s="10">
        <v>1847</v>
      </c>
      <c r="B37" s="1234"/>
      <c r="C37" s="1259"/>
      <c r="D37" s="1260"/>
      <c r="E37" s="1261"/>
      <c r="F37" s="1261"/>
      <c r="G37" s="126"/>
      <c r="H37" s="1262"/>
      <c r="I37" s="1262"/>
      <c r="J37" s="1262"/>
      <c r="K37" s="1262"/>
      <c r="L37" s="1262"/>
      <c r="M37" s="1263"/>
      <c r="N37" s="1255"/>
      <c r="O37" s="1366">
        <f t="shared" si="0"/>
        <v>995.14285714285734</v>
      </c>
      <c r="P37" s="125"/>
      <c r="Q37" s="1366">
        <f t="shared" si="1"/>
        <v>995.14285714285734</v>
      </c>
      <c r="R37" s="1260"/>
      <c r="S37" s="126"/>
      <c r="T37" s="1262"/>
      <c r="U37" s="126"/>
      <c r="V37" s="1255"/>
      <c r="W37" s="1264"/>
      <c r="X37" s="12"/>
      <c r="Y37" s="12"/>
      <c r="Z37" s="12"/>
      <c r="AA37" s="12"/>
      <c r="AB37" s="12"/>
      <c r="AC37" s="124"/>
      <c r="AD37" s="111"/>
      <c r="AF37" s="121"/>
      <c r="AG37" s="1265"/>
      <c r="AH37" s="1273">
        <f>AJ37/Units!$C$23*Units!$C$22/Units!$C$18*10^9/1000</f>
        <v>995.14285714285734</v>
      </c>
      <c r="AI37" s="1267"/>
      <c r="AJ37" s="1274">
        <f>'1.6.3 Gas2'!AJ37</f>
        <v>6.9660000000000011</v>
      </c>
      <c r="AK37" s="110"/>
      <c r="AO37" s="1364"/>
      <c r="AP37" s="1364"/>
      <c r="AQ37" s="1364"/>
      <c r="AR37" s="1364"/>
      <c r="AS37" s="1364"/>
      <c r="AT37" s="1364"/>
      <c r="AU37" s="1364"/>
      <c r="AV37" s="1365"/>
      <c r="AW37" s="111"/>
      <c r="AX37" s="1400"/>
      <c r="AY37" s="1403"/>
      <c r="AZ37" s="111"/>
      <c r="BA37" s="135" t="s">
        <v>100</v>
      </c>
      <c r="BB37" s="111" t="s">
        <v>100</v>
      </c>
    </row>
    <row r="38" spans="1:54" ht="17.25" x14ac:dyDescent="0.45">
      <c r="A38" s="10">
        <v>1848</v>
      </c>
      <c r="B38" s="1234"/>
      <c r="C38" s="1259"/>
      <c r="D38" s="1260"/>
      <c r="E38" s="1261"/>
      <c r="F38" s="1261"/>
      <c r="G38" s="126"/>
      <c r="H38" s="1262"/>
      <c r="I38" s="1262"/>
      <c r="J38" s="1262"/>
      <c r="K38" s="1262"/>
      <c r="L38" s="1262"/>
      <c r="M38" s="1263"/>
      <c r="N38" s="1255"/>
      <c r="O38" s="1366">
        <f t="shared" si="0"/>
        <v>1029.8571428571431</v>
      </c>
      <c r="P38" s="125"/>
      <c r="Q38" s="1366">
        <f t="shared" si="1"/>
        <v>1029.8571428571431</v>
      </c>
      <c r="R38" s="1260"/>
      <c r="S38" s="126"/>
      <c r="T38" s="1262"/>
      <c r="U38" s="126"/>
      <c r="V38" s="1255"/>
      <c r="W38" s="1264"/>
      <c r="X38" s="12"/>
      <c r="Y38" s="12"/>
      <c r="Z38" s="12"/>
      <c r="AA38" s="12"/>
      <c r="AB38" s="12"/>
      <c r="AC38" s="124"/>
      <c r="AD38" s="111"/>
      <c r="AF38" s="121"/>
      <c r="AG38" s="1265"/>
      <c r="AH38" s="1273">
        <f>AJ38/Units!$C$23*Units!$C$22/Units!$C$18*10^9/1000</f>
        <v>1029.8571428571431</v>
      </c>
      <c r="AI38" s="1267"/>
      <c r="AJ38" s="1274">
        <f>'1.6.3 Gas2'!AJ38</f>
        <v>7.2090000000000014</v>
      </c>
      <c r="AK38" s="110"/>
      <c r="AO38" s="1364"/>
      <c r="AP38" s="1364"/>
      <c r="AQ38" s="1364"/>
      <c r="AR38" s="1364"/>
      <c r="AS38" s="1364"/>
      <c r="AT38" s="1364"/>
      <c r="AU38" s="1364"/>
      <c r="AV38" s="1365"/>
      <c r="AW38" s="111"/>
      <c r="AX38" s="1400"/>
      <c r="AY38" s="1403"/>
      <c r="AZ38" s="111"/>
      <c r="BA38" s="135" t="s">
        <v>100</v>
      </c>
      <c r="BB38" s="111" t="s">
        <v>100</v>
      </c>
    </row>
    <row r="39" spans="1:54" ht="17.25" x14ac:dyDescent="0.45">
      <c r="A39" s="10">
        <v>1849</v>
      </c>
      <c r="B39" s="1234"/>
      <c r="C39" s="1259"/>
      <c r="D39" s="1260"/>
      <c r="E39" s="1261"/>
      <c r="F39" s="1261"/>
      <c r="G39" s="126"/>
      <c r="H39" s="1262"/>
      <c r="I39" s="1262"/>
      <c r="J39" s="1262"/>
      <c r="K39" s="1262"/>
      <c r="L39" s="1262"/>
      <c r="M39" s="1263"/>
      <c r="N39" s="1255"/>
      <c r="O39" s="1366">
        <f t="shared" si="0"/>
        <v>1064.5714285714289</v>
      </c>
      <c r="P39" s="125"/>
      <c r="Q39" s="1366">
        <f t="shared" si="1"/>
        <v>1064.5714285714289</v>
      </c>
      <c r="R39" s="1260"/>
      <c r="S39" s="126"/>
      <c r="T39" s="1262"/>
      <c r="U39" s="126"/>
      <c r="V39" s="1255"/>
      <c r="W39" s="1264"/>
      <c r="X39" s="12"/>
      <c r="Y39" s="12"/>
      <c r="Z39" s="12"/>
      <c r="AA39" s="12"/>
      <c r="AB39" s="12"/>
      <c r="AC39" s="124"/>
      <c r="AD39" s="111"/>
      <c r="AF39" s="121"/>
      <c r="AG39" s="1265"/>
      <c r="AH39" s="1273">
        <f>AJ39/Units!$C$23*Units!$C$22/Units!$C$18*10^9/1000</f>
        <v>1064.5714285714289</v>
      </c>
      <c r="AI39" s="1267"/>
      <c r="AJ39" s="1274">
        <f>'1.6.3 Gas2'!AJ39</f>
        <v>7.4520000000000017</v>
      </c>
      <c r="AK39" s="110"/>
      <c r="AO39" s="1364"/>
      <c r="AP39" s="1364"/>
      <c r="AQ39" s="1364"/>
      <c r="AR39" s="1364"/>
      <c r="AS39" s="1364"/>
      <c r="AT39" s="1364"/>
      <c r="AU39" s="1364"/>
      <c r="AV39" s="1365"/>
      <c r="AW39" s="111"/>
      <c r="AX39" s="1400"/>
      <c r="AY39" s="1403"/>
      <c r="AZ39" s="111"/>
      <c r="BA39" s="135" t="s">
        <v>100</v>
      </c>
      <c r="BB39" s="111" t="s">
        <v>100</v>
      </c>
    </row>
    <row r="40" spans="1:54" ht="17.25" x14ac:dyDescent="0.45">
      <c r="A40" s="10">
        <v>1850</v>
      </c>
      <c r="B40" s="1234"/>
      <c r="C40" s="1259"/>
      <c r="D40" s="1260"/>
      <c r="E40" s="1261"/>
      <c r="F40" s="1261"/>
      <c r="G40" s="126"/>
      <c r="H40" s="1262"/>
      <c r="I40" s="1262"/>
      <c r="J40" s="1262"/>
      <c r="K40" s="1262"/>
      <c r="L40" s="1262"/>
      <c r="M40" s="1263"/>
      <c r="N40" s="1255"/>
      <c r="O40" s="1366">
        <f t="shared" si="0"/>
        <v>1139.9999999999998</v>
      </c>
      <c r="P40" s="125"/>
      <c r="Q40" s="1366">
        <f t="shared" si="1"/>
        <v>1139.9999999999998</v>
      </c>
      <c r="R40" s="1260"/>
      <c r="S40" s="126"/>
      <c r="T40" s="1262"/>
      <c r="U40" s="126"/>
      <c r="V40" s="1255"/>
      <c r="W40" s="1264"/>
      <c r="X40" s="12"/>
      <c r="Y40" s="12"/>
      <c r="Z40" s="12"/>
      <c r="AA40" s="12"/>
      <c r="AB40" s="12"/>
      <c r="AC40" s="124"/>
      <c r="AD40" s="111"/>
      <c r="AF40" s="121"/>
      <c r="AG40" s="1265"/>
      <c r="AH40" s="1273">
        <f>AJ40/Units!$C$23*Units!$C$22/Units!$C$18*10^9/1000</f>
        <v>1139.9999999999998</v>
      </c>
      <c r="AI40" s="1267"/>
      <c r="AJ40" s="1274">
        <f>'1.6.3 Gas2'!AJ40</f>
        <v>7.9799999999999986</v>
      </c>
      <c r="AK40" s="110"/>
      <c r="AO40" s="1364"/>
      <c r="AP40" s="1364"/>
      <c r="AQ40" s="1364"/>
      <c r="AR40" s="1364"/>
      <c r="AS40" s="1364"/>
      <c r="AT40" s="1364"/>
      <c r="AU40" s="1364"/>
      <c r="AV40" s="1365"/>
      <c r="AW40" s="111"/>
      <c r="AX40" s="1400"/>
      <c r="AY40" s="1403"/>
      <c r="AZ40" s="111"/>
      <c r="BA40" s="135" t="s">
        <v>100</v>
      </c>
      <c r="BB40" s="111" t="s">
        <v>100</v>
      </c>
    </row>
    <row r="41" spans="1:54" ht="17.25" x14ac:dyDescent="0.45">
      <c r="A41" s="10">
        <v>1851</v>
      </c>
      <c r="B41" s="1234"/>
      <c r="C41" s="1259"/>
      <c r="D41" s="1260"/>
      <c r="E41" s="1261"/>
      <c r="F41" s="1261"/>
      <c r="G41" s="126"/>
      <c r="H41" s="1262"/>
      <c r="I41" s="1262"/>
      <c r="J41" s="1262"/>
      <c r="K41" s="1262"/>
      <c r="L41" s="1262"/>
      <c r="M41" s="1263"/>
      <c r="N41" s="1255"/>
      <c r="O41" s="1366">
        <f t="shared" si="0"/>
        <v>1272.0000000000002</v>
      </c>
      <c r="P41" s="125"/>
      <c r="Q41" s="1366">
        <f t="shared" si="1"/>
        <v>1272.0000000000002</v>
      </c>
      <c r="R41" s="1260"/>
      <c r="S41" s="126"/>
      <c r="T41" s="1262"/>
      <c r="U41" s="126"/>
      <c r="V41" s="1255"/>
      <c r="W41" s="1264"/>
      <c r="X41" s="12"/>
      <c r="Y41" s="12"/>
      <c r="Z41" s="12"/>
      <c r="AA41" s="12"/>
      <c r="AB41" s="12"/>
      <c r="AC41" s="124"/>
      <c r="AD41" s="111"/>
      <c r="AF41" s="121"/>
      <c r="AG41" s="1265"/>
      <c r="AH41" s="1273">
        <f>AJ41/Units!$C$23*Units!$C$22/Units!$C$18*10^9/1000</f>
        <v>1272.0000000000002</v>
      </c>
      <c r="AI41" s="1267"/>
      <c r="AJ41" s="1274">
        <f>'1.6.3 Gas2'!AJ41</f>
        <v>8.9039999999999999</v>
      </c>
      <c r="AK41" s="110"/>
      <c r="AO41" s="1364"/>
      <c r="AP41" s="1364"/>
      <c r="AQ41" s="1364"/>
      <c r="AR41" s="1364"/>
      <c r="AS41" s="1364"/>
      <c r="AT41" s="1364"/>
      <c r="AU41" s="1364"/>
      <c r="AV41" s="1365"/>
      <c r="AW41" s="111"/>
      <c r="AX41" s="1400"/>
      <c r="AY41" s="1403"/>
      <c r="AZ41" s="111"/>
      <c r="BA41" s="135" t="s">
        <v>100</v>
      </c>
      <c r="BB41" s="111" t="s">
        <v>100</v>
      </c>
    </row>
    <row r="42" spans="1:54" ht="17.25" x14ac:dyDescent="0.45">
      <c r="A42" s="10">
        <v>1852</v>
      </c>
      <c r="B42" s="1234"/>
      <c r="C42" s="1259"/>
      <c r="D42" s="1260"/>
      <c r="E42" s="1261"/>
      <c r="F42" s="1261"/>
      <c r="G42" s="126"/>
      <c r="H42" s="1262"/>
      <c r="I42" s="1262"/>
      <c r="J42" s="1262"/>
      <c r="K42" s="1262"/>
      <c r="L42" s="1262"/>
      <c r="M42" s="1263"/>
      <c r="N42" s="1255"/>
      <c r="O42" s="1366">
        <f t="shared" si="0"/>
        <v>1404.0000000000002</v>
      </c>
      <c r="P42" s="125"/>
      <c r="Q42" s="1366">
        <f t="shared" si="1"/>
        <v>1404.0000000000002</v>
      </c>
      <c r="R42" s="1260"/>
      <c r="S42" s="126"/>
      <c r="T42" s="1262"/>
      <c r="U42" s="126"/>
      <c r="V42" s="1255"/>
      <c r="W42" s="1264"/>
      <c r="X42" s="12"/>
      <c r="Y42" s="12"/>
      <c r="Z42" s="12"/>
      <c r="AA42" s="12"/>
      <c r="AB42" s="12"/>
      <c r="AC42" s="124"/>
      <c r="AD42" s="111"/>
      <c r="AF42" s="121"/>
      <c r="AG42" s="1265"/>
      <c r="AH42" s="1273">
        <f>AJ42/Units!$C$23*Units!$C$22/Units!$C$18*10^9/1000</f>
        <v>1404.0000000000002</v>
      </c>
      <c r="AI42" s="1267"/>
      <c r="AJ42" s="1274">
        <f>'1.6.3 Gas2'!AJ42</f>
        <v>9.8280000000000012</v>
      </c>
      <c r="AK42" s="110"/>
      <c r="AO42" s="1364"/>
      <c r="AP42" s="1364"/>
      <c r="AQ42" s="1364"/>
      <c r="AR42" s="1364"/>
      <c r="AS42" s="1364"/>
      <c r="AT42" s="1364"/>
      <c r="AU42" s="1364"/>
      <c r="AV42" s="1365"/>
      <c r="AW42" s="111"/>
      <c r="AX42" s="1400"/>
      <c r="AY42" s="1403"/>
      <c r="AZ42" s="111"/>
      <c r="BA42" s="135" t="s">
        <v>100</v>
      </c>
      <c r="BB42" s="111" t="s">
        <v>100</v>
      </c>
    </row>
    <row r="43" spans="1:54" ht="17.25" x14ac:dyDescent="0.45">
      <c r="A43" s="10">
        <v>1853</v>
      </c>
      <c r="B43" s="1234"/>
      <c r="C43" s="1259"/>
      <c r="D43" s="1260"/>
      <c r="E43" s="1261"/>
      <c r="F43" s="1261"/>
      <c r="G43" s="126"/>
      <c r="H43" s="1262"/>
      <c r="I43" s="1262"/>
      <c r="J43" s="1262"/>
      <c r="K43" s="1262"/>
      <c r="L43" s="1262"/>
      <c r="M43" s="1263"/>
      <c r="N43" s="1255"/>
      <c r="O43" s="1366">
        <f t="shared" si="0"/>
        <v>1536.0000000000002</v>
      </c>
      <c r="P43" s="125"/>
      <c r="Q43" s="1366">
        <f t="shared" si="1"/>
        <v>1536.0000000000002</v>
      </c>
      <c r="R43" s="1260"/>
      <c r="S43" s="126"/>
      <c r="T43" s="1262"/>
      <c r="U43" s="126"/>
      <c r="V43" s="1255"/>
      <c r="W43" s="1264"/>
      <c r="X43" s="12"/>
      <c r="Y43" s="12"/>
      <c r="Z43" s="12"/>
      <c r="AA43" s="12"/>
      <c r="AB43" s="12"/>
      <c r="AC43" s="124"/>
      <c r="AD43" s="111"/>
      <c r="AF43" s="121"/>
      <c r="AG43" s="1265"/>
      <c r="AH43" s="1273">
        <f>AJ43/Units!$C$23*Units!$C$22/Units!$C$18*10^9/1000</f>
        <v>1536.0000000000002</v>
      </c>
      <c r="AI43" s="1267"/>
      <c r="AJ43" s="1274">
        <f>'1.6.3 Gas2'!AJ43</f>
        <v>10.752000000000002</v>
      </c>
      <c r="AK43" s="110"/>
      <c r="AO43" s="1364"/>
      <c r="AP43" s="1364"/>
      <c r="AQ43" s="1364"/>
      <c r="AR43" s="1364"/>
      <c r="AS43" s="1364"/>
      <c r="AT43" s="1364"/>
      <c r="AU43" s="1364"/>
      <c r="AV43" s="1365"/>
      <c r="AW43" s="111"/>
      <c r="AX43" s="1400"/>
      <c r="AY43" s="1403"/>
      <c r="AZ43" s="111"/>
      <c r="BA43" s="135" t="s">
        <v>100</v>
      </c>
      <c r="BB43" s="111" t="s">
        <v>100</v>
      </c>
    </row>
    <row r="44" spans="1:54" ht="17.25" x14ac:dyDescent="0.45">
      <c r="A44" s="10">
        <v>1854</v>
      </c>
      <c r="B44" s="1234"/>
      <c r="C44" s="1259"/>
      <c r="D44" s="1260"/>
      <c r="E44" s="1261"/>
      <c r="F44" s="1261"/>
      <c r="G44" s="126"/>
      <c r="H44" s="1262"/>
      <c r="I44" s="1262"/>
      <c r="J44" s="1262"/>
      <c r="K44" s="1262"/>
      <c r="L44" s="1262"/>
      <c r="M44" s="1263"/>
      <c r="N44" s="1255"/>
      <c r="O44" s="1366">
        <f t="shared" si="0"/>
        <v>1668.0000000000005</v>
      </c>
      <c r="P44" s="125"/>
      <c r="Q44" s="1366">
        <f t="shared" si="1"/>
        <v>1668.0000000000005</v>
      </c>
      <c r="R44" s="1260"/>
      <c r="S44" s="126"/>
      <c r="T44" s="1262"/>
      <c r="U44" s="126"/>
      <c r="V44" s="1255"/>
      <c r="W44" s="1264"/>
      <c r="X44" s="12"/>
      <c r="Y44" s="12"/>
      <c r="Z44" s="12"/>
      <c r="AA44" s="12"/>
      <c r="AB44" s="12"/>
      <c r="AC44" s="124"/>
      <c r="AD44" s="111"/>
      <c r="AF44" s="121"/>
      <c r="AG44" s="1265"/>
      <c r="AH44" s="1273">
        <f>AJ44/Units!$C$23*Units!$C$22/Units!$C$18*10^9/1000</f>
        <v>1668.0000000000005</v>
      </c>
      <c r="AI44" s="1267"/>
      <c r="AJ44" s="1274">
        <f>'1.6.3 Gas2'!AJ44</f>
        <v>11.676000000000002</v>
      </c>
      <c r="AK44" s="110"/>
      <c r="AO44" s="1364"/>
      <c r="AP44" s="1364"/>
      <c r="AQ44" s="1364"/>
      <c r="AR44" s="1364"/>
      <c r="AS44" s="1364"/>
      <c r="AT44" s="1364"/>
      <c r="AU44" s="1364"/>
      <c r="AV44" s="1365"/>
      <c r="AW44" s="111"/>
      <c r="AX44" s="1400"/>
      <c r="AY44" s="1403"/>
      <c r="AZ44" s="111"/>
      <c r="BA44" s="135" t="s">
        <v>100</v>
      </c>
      <c r="BB44" s="111" t="s">
        <v>100</v>
      </c>
    </row>
    <row r="45" spans="1:54" ht="17.25" x14ac:dyDescent="0.45">
      <c r="A45" s="10">
        <v>1855</v>
      </c>
      <c r="B45" s="1234"/>
      <c r="C45" s="1259"/>
      <c r="D45" s="1260"/>
      <c r="E45" s="1261"/>
      <c r="F45" s="1261"/>
      <c r="G45" s="126"/>
      <c r="H45" s="1262"/>
      <c r="I45" s="1262"/>
      <c r="J45" s="1262"/>
      <c r="K45" s="1262"/>
      <c r="L45" s="1262"/>
      <c r="M45" s="1263"/>
      <c r="N45" s="1255"/>
      <c r="O45" s="1366">
        <f t="shared" si="0"/>
        <v>1799.9999999999995</v>
      </c>
      <c r="P45" s="125"/>
      <c r="Q45" s="1366">
        <f t="shared" si="1"/>
        <v>1799.9999999999995</v>
      </c>
      <c r="R45" s="1260"/>
      <c r="S45" s="126"/>
      <c r="T45" s="1262"/>
      <c r="U45" s="126"/>
      <c r="V45" s="1255"/>
      <c r="W45" s="1264"/>
      <c r="X45" s="12"/>
      <c r="Y45" s="12"/>
      <c r="Z45" s="12"/>
      <c r="AA45" s="12"/>
      <c r="AB45" s="12"/>
      <c r="AC45" s="124"/>
      <c r="AD45" s="111"/>
      <c r="AF45" s="121"/>
      <c r="AG45" s="1265"/>
      <c r="AH45" s="1273">
        <f>AJ45/Units!$C$23*Units!$C$22/Units!$C$18*10^9/1000</f>
        <v>1799.9999999999995</v>
      </c>
      <c r="AI45" s="1267"/>
      <c r="AJ45" s="1274">
        <f>'1.6.3 Gas2'!AJ45</f>
        <v>12.599999999999998</v>
      </c>
      <c r="AK45" s="110"/>
      <c r="AO45" s="1364"/>
      <c r="AP45" s="1364"/>
      <c r="AQ45" s="1364"/>
      <c r="AR45" s="1364"/>
      <c r="AS45" s="1364"/>
      <c r="AT45" s="1364"/>
      <c r="AU45" s="1364"/>
      <c r="AV45" s="1365"/>
      <c r="AW45" s="111"/>
      <c r="AX45" s="1400"/>
      <c r="AY45" s="1403"/>
      <c r="AZ45" s="111"/>
      <c r="BA45" s="135" t="s">
        <v>100</v>
      </c>
      <c r="BB45" s="111" t="s">
        <v>100</v>
      </c>
    </row>
    <row r="46" spans="1:54" ht="17.25" x14ac:dyDescent="0.45">
      <c r="A46" s="10">
        <v>1856</v>
      </c>
      <c r="B46" s="1234"/>
      <c r="C46" s="1259"/>
      <c r="D46" s="1260"/>
      <c r="E46" s="1261"/>
      <c r="F46" s="1261"/>
      <c r="G46" s="126"/>
      <c r="H46" s="1262"/>
      <c r="I46" s="1262"/>
      <c r="J46" s="1262"/>
      <c r="K46" s="1262"/>
      <c r="L46" s="1262"/>
      <c r="M46" s="1263"/>
      <c r="N46" s="1255"/>
      <c r="O46" s="1366">
        <f t="shared" si="0"/>
        <v>1889.9999999999995</v>
      </c>
      <c r="P46" s="125"/>
      <c r="Q46" s="1366">
        <f t="shared" si="1"/>
        <v>1889.9999999999995</v>
      </c>
      <c r="R46" s="1260"/>
      <c r="S46" s="126"/>
      <c r="T46" s="1262"/>
      <c r="U46" s="126"/>
      <c r="V46" s="1255"/>
      <c r="W46" s="1264"/>
      <c r="X46" s="12"/>
      <c r="Y46" s="12"/>
      <c r="Z46" s="12"/>
      <c r="AA46" s="12"/>
      <c r="AB46" s="12"/>
      <c r="AC46" s="124"/>
      <c r="AD46" s="111"/>
      <c r="AF46" s="121"/>
      <c r="AG46" s="1265"/>
      <c r="AH46" s="1273">
        <f>AJ46/Units!$C$23*Units!$C$22/Units!$C$18*10^9/1000</f>
        <v>1889.9999999999995</v>
      </c>
      <c r="AI46" s="1267"/>
      <c r="AJ46" s="1274">
        <f>'1.6.3 Gas2'!AJ46</f>
        <v>13.229999999999997</v>
      </c>
      <c r="AK46" s="110"/>
      <c r="AO46" s="1364"/>
      <c r="AP46" s="1364"/>
      <c r="AQ46" s="1364"/>
      <c r="AR46" s="1364"/>
      <c r="AS46" s="1364"/>
      <c r="AT46" s="1364"/>
      <c r="AU46" s="1364"/>
      <c r="AV46" s="1365"/>
      <c r="AW46" s="111"/>
      <c r="AX46" s="1400"/>
      <c r="AY46" s="1403"/>
      <c r="AZ46" s="111"/>
      <c r="BA46" s="135" t="s">
        <v>100</v>
      </c>
      <c r="BB46" s="111" t="s">
        <v>100</v>
      </c>
    </row>
    <row r="47" spans="1:54" ht="17.25" x14ac:dyDescent="0.45">
      <c r="A47" s="10">
        <v>1857</v>
      </c>
      <c r="B47" s="1234"/>
      <c r="C47" s="1259"/>
      <c r="D47" s="1260"/>
      <c r="E47" s="1261"/>
      <c r="F47" s="1261"/>
      <c r="G47" s="126"/>
      <c r="H47" s="1262"/>
      <c r="I47" s="1262"/>
      <c r="J47" s="1262"/>
      <c r="K47" s="1262"/>
      <c r="L47" s="1262"/>
      <c r="M47" s="1263"/>
      <c r="N47" s="1255"/>
      <c r="O47" s="1366">
        <f t="shared" si="0"/>
        <v>1979.9999999999995</v>
      </c>
      <c r="P47" s="125"/>
      <c r="Q47" s="1366">
        <f t="shared" si="1"/>
        <v>1979.9999999999995</v>
      </c>
      <c r="R47" s="1260"/>
      <c r="S47" s="126"/>
      <c r="T47" s="1262"/>
      <c r="U47" s="126"/>
      <c r="V47" s="1255"/>
      <c r="W47" s="1264"/>
      <c r="X47" s="12"/>
      <c r="Y47" s="12"/>
      <c r="Z47" s="12"/>
      <c r="AA47" s="12"/>
      <c r="AB47" s="12"/>
      <c r="AC47" s="124"/>
      <c r="AD47" s="111"/>
      <c r="AF47" s="121"/>
      <c r="AG47" s="1265"/>
      <c r="AH47" s="1273">
        <f>AJ47/Units!$C$23*Units!$C$22/Units!$C$18*10^9/1000</f>
        <v>1979.9999999999995</v>
      </c>
      <c r="AI47" s="1267"/>
      <c r="AJ47" s="1274">
        <f>'1.6.3 Gas2'!AJ47</f>
        <v>13.859999999999998</v>
      </c>
      <c r="AK47" s="110"/>
      <c r="AO47" s="1364"/>
      <c r="AP47" s="1364"/>
      <c r="AQ47" s="1364"/>
      <c r="AR47" s="1364"/>
      <c r="AS47" s="1364"/>
      <c r="AT47" s="1364"/>
      <c r="AU47" s="1364"/>
      <c r="AV47" s="1365"/>
      <c r="AW47" s="111"/>
      <c r="AX47" s="1400"/>
      <c r="AY47" s="1403"/>
      <c r="AZ47" s="111"/>
      <c r="BA47" s="135" t="s">
        <v>100</v>
      </c>
      <c r="BB47" s="111" t="s">
        <v>100</v>
      </c>
    </row>
    <row r="48" spans="1:54" ht="17.25" x14ac:dyDescent="0.45">
      <c r="A48" s="10">
        <v>1858</v>
      </c>
      <c r="B48" s="1234"/>
      <c r="C48" s="1259"/>
      <c r="D48" s="1260"/>
      <c r="E48" s="1261"/>
      <c r="F48" s="1261"/>
      <c r="G48" s="126"/>
      <c r="H48" s="1262"/>
      <c r="I48" s="1262"/>
      <c r="J48" s="1262"/>
      <c r="K48" s="1262"/>
      <c r="L48" s="1262"/>
      <c r="M48" s="1263"/>
      <c r="N48" s="1255"/>
      <c r="O48" s="1366">
        <f t="shared" si="0"/>
        <v>2069.9999999999995</v>
      </c>
      <c r="P48" s="125"/>
      <c r="Q48" s="1366">
        <f t="shared" si="1"/>
        <v>2069.9999999999995</v>
      </c>
      <c r="R48" s="1260"/>
      <c r="S48" s="126"/>
      <c r="T48" s="1262"/>
      <c r="U48" s="126"/>
      <c r="V48" s="1255"/>
      <c r="W48" s="1264"/>
      <c r="X48" s="12"/>
      <c r="Y48" s="12"/>
      <c r="Z48" s="12"/>
      <c r="AA48" s="12"/>
      <c r="AB48" s="12"/>
      <c r="AC48" s="124"/>
      <c r="AD48" s="111"/>
      <c r="AF48" s="121"/>
      <c r="AG48" s="1265"/>
      <c r="AH48" s="1273">
        <f>AJ48/Units!$C$23*Units!$C$22/Units!$C$18*10^9/1000</f>
        <v>2069.9999999999995</v>
      </c>
      <c r="AI48" s="1267"/>
      <c r="AJ48" s="1274">
        <f>'1.6.3 Gas2'!AJ48</f>
        <v>14.489999999999998</v>
      </c>
      <c r="AK48" s="110"/>
      <c r="AO48" s="1364"/>
      <c r="AP48" s="1364"/>
      <c r="AQ48" s="1364"/>
      <c r="AR48" s="1364"/>
      <c r="AS48" s="1364"/>
      <c r="AT48" s="1364"/>
      <c r="AU48" s="1364"/>
      <c r="AV48" s="1365"/>
      <c r="AW48" s="111"/>
      <c r="AX48" s="1400"/>
      <c r="AY48" s="1403"/>
      <c r="AZ48" s="111"/>
      <c r="BA48" s="135" t="s">
        <v>100</v>
      </c>
      <c r="BB48" s="111" t="s">
        <v>100</v>
      </c>
    </row>
    <row r="49" spans="1:54" ht="17.25" x14ac:dyDescent="0.45">
      <c r="A49" s="10">
        <v>1859</v>
      </c>
      <c r="B49" s="1234"/>
      <c r="C49" s="1259"/>
      <c r="D49" s="1260"/>
      <c r="E49" s="1261"/>
      <c r="F49" s="1261"/>
      <c r="G49" s="126"/>
      <c r="H49" s="1262"/>
      <c r="I49" s="1262"/>
      <c r="J49" s="1262"/>
      <c r="K49" s="1262"/>
      <c r="L49" s="1262"/>
      <c r="M49" s="1263"/>
      <c r="N49" s="1255"/>
      <c r="O49" s="1366">
        <f t="shared" si="0"/>
        <v>2159.9999999999995</v>
      </c>
      <c r="P49" s="125"/>
      <c r="Q49" s="1366">
        <f t="shared" si="1"/>
        <v>2159.9999999999995</v>
      </c>
      <c r="R49" s="1260"/>
      <c r="S49" s="126"/>
      <c r="T49" s="1262"/>
      <c r="U49" s="126"/>
      <c r="V49" s="1255"/>
      <c r="W49" s="1264"/>
      <c r="X49" s="12"/>
      <c r="Y49" s="12"/>
      <c r="Z49" s="12"/>
      <c r="AA49" s="12"/>
      <c r="AB49" s="12"/>
      <c r="AC49" s="124"/>
      <c r="AD49" s="111"/>
      <c r="AF49" s="121"/>
      <c r="AG49" s="1265"/>
      <c r="AH49" s="1273">
        <f>AJ49/Units!$C$23*Units!$C$22/Units!$C$18*10^9/1000</f>
        <v>2159.9999999999995</v>
      </c>
      <c r="AI49" s="1267"/>
      <c r="AJ49" s="1274">
        <f>'1.6.3 Gas2'!AJ49</f>
        <v>15.119999999999997</v>
      </c>
      <c r="AK49" s="110"/>
      <c r="AO49" s="1364"/>
      <c r="AP49" s="1364"/>
      <c r="AQ49" s="1364"/>
      <c r="AR49" s="1364"/>
      <c r="AS49" s="1364"/>
      <c r="AT49" s="1364"/>
      <c r="AU49" s="1364"/>
      <c r="AV49" s="1365"/>
      <c r="AW49" s="111"/>
      <c r="AX49" s="1400"/>
      <c r="AY49" s="1403"/>
      <c r="AZ49" s="111"/>
      <c r="BA49" s="135" t="s">
        <v>100</v>
      </c>
      <c r="BB49" s="111" t="s">
        <v>100</v>
      </c>
    </row>
    <row r="50" spans="1:54" ht="17.25" x14ac:dyDescent="0.45">
      <c r="A50" s="10">
        <v>1860</v>
      </c>
      <c r="B50" s="1234"/>
      <c r="C50" s="1259"/>
      <c r="D50" s="1260"/>
      <c r="E50" s="1261"/>
      <c r="F50" s="1261"/>
      <c r="G50" s="126"/>
      <c r="H50" s="1262"/>
      <c r="I50" s="1262"/>
      <c r="J50" s="1262"/>
      <c r="K50" s="1262"/>
      <c r="L50" s="1262"/>
      <c r="M50" s="1263"/>
      <c r="N50" s="1255"/>
      <c r="O50" s="1366">
        <f t="shared" si="0"/>
        <v>2330.3571428571427</v>
      </c>
      <c r="P50" s="125"/>
      <c r="Q50" s="1366">
        <f t="shared" si="1"/>
        <v>2330.3571428571427</v>
      </c>
      <c r="R50" s="1260"/>
      <c r="S50" s="126"/>
      <c r="T50" s="1262"/>
      <c r="U50" s="126"/>
      <c r="V50" s="1255"/>
      <c r="W50" s="1264"/>
      <c r="X50" s="12"/>
      <c r="Y50" s="12"/>
      <c r="Z50" s="12"/>
      <c r="AA50" s="12"/>
      <c r="AB50" s="12"/>
      <c r="AC50" s="124"/>
      <c r="AD50" s="111"/>
      <c r="AF50" s="121"/>
      <c r="AG50" s="1265"/>
      <c r="AH50" s="1273">
        <f>AJ50/Units!$C$23*Units!$C$22/Units!$C$18*10^9/1000</f>
        <v>2330.3571428571427</v>
      </c>
      <c r="AI50" s="1267"/>
      <c r="AJ50" s="1274">
        <f>'1.6.3 Gas2'!AJ50</f>
        <v>16.3125</v>
      </c>
      <c r="AK50" s="110"/>
      <c r="AO50" s="1364"/>
      <c r="AP50" s="1364"/>
      <c r="AQ50" s="1364"/>
      <c r="AR50" s="1364"/>
      <c r="AS50" s="1364"/>
      <c r="AT50" s="1364"/>
      <c r="AU50" s="1364"/>
      <c r="AV50" s="1365"/>
      <c r="AW50" s="111"/>
      <c r="AX50" s="1400"/>
      <c r="AY50" s="1403"/>
      <c r="AZ50" s="111"/>
      <c r="BA50" s="135" t="s">
        <v>100</v>
      </c>
      <c r="BB50" s="111" t="s">
        <v>100</v>
      </c>
    </row>
    <row r="51" spans="1:54" ht="17.25" x14ac:dyDescent="0.45">
      <c r="A51" s="10">
        <v>1861</v>
      </c>
      <c r="B51" s="1234"/>
      <c r="C51" s="1259"/>
      <c r="D51" s="1260"/>
      <c r="E51" s="1261"/>
      <c r="F51" s="1261"/>
      <c r="G51" s="126"/>
      <c r="H51" s="1262"/>
      <c r="I51" s="1262"/>
      <c r="J51" s="1262"/>
      <c r="K51" s="1262"/>
      <c r="L51" s="1262"/>
      <c r="M51" s="1263"/>
      <c r="N51" s="1255"/>
      <c r="O51" s="1366">
        <f t="shared" si="0"/>
        <v>2454.6428571428573</v>
      </c>
      <c r="P51" s="125"/>
      <c r="Q51" s="1366">
        <f t="shared" si="1"/>
        <v>2454.6428571428573</v>
      </c>
      <c r="R51" s="1260"/>
      <c r="S51" s="126"/>
      <c r="T51" s="1262"/>
      <c r="U51" s="126"/>
      <c r="V51" s="1255"/>
      <c r="W51" s="1264"/>
      <c r="X51" s="12"/>
      <c r="Y51" s="12"/>
      <c r="Z51" s="12"/>
      <c r="AA51" s="12"/>
      <c r="AB51" s="12"/>
      <c r="AC51" s="124"/>
      <c r="AD51" s="111"/>
      <c r="AF51" s="121"/>
      <c r="AG51" s="1265"/>
      <c r="AH51" s="1273">
        <f>AJ51/Units!$C$23*Units!$C$22/Units!$C$18*10^9/1000</f>
        <v>2454.6428571428573</v>
      </c>
      <c r="AI51" s="1267"/>
      <c r="AJ51" s="1274">
        <f>'1.6.3 Gas2'!AJ51</f>
        <v>17.182500000000001</v>
      </c>
      <c r="AK51" s="110"/>
      <c r="AO51" s="1364"/>
      <c r="AP51" s="1364"/>
      <c r="AQ51" s="1364"/>
      <c r="AR51" s="1364"/>
      <c r="AS51" s="1364"/>
      <c r="AT51" s="1364"/>
      <c r="AU51" s="1364"/>
      <c r="AV51" s="1365"/>
      <c r="AW51" s="111"/>
      <c r="AX51" s="1400"/>
      <c r="AY51" s="1403"/>
      <c r="AZ51" s="111"/>
      <c r="BA51" s="135" t="s">
        <v>100</v>
      </c>
      <c r="BB51" s="111" t="s">
        <v>100</v>
      </c>
    </row>
    <row r="52" spans="1:54" ht="17.25" x14ac:dyDescent="0.45">
      <c r="A52" s="10">
        <v>1862</v>
      </c>
      <c r="B52" s="1234"/>
      <c r="C52" s="1259"/>
      <c r="D52" s="1260"/>
      <c r="E52" s="1261"/>
      <c r="F52" s="1261"/>
      <c r="G52" s="126"/>
      <c r="H52" s="1262"/>
      <c r="I52" s="1262"/>
      <c r="J52" s="1262"/>
      <c r="K52" s="1262"/>
      <c r="L52" s="1262"/>
      <c r="M52" s="1263"/>
      <c r="N52" s="1255"/>
      <c r="O52" s="1366">
        <f t="shared" si="0"/>
        <v>2578.9285714285716</v>
      </c>
      <c r="P52" s="125"/>
      <c r="Q52" s="1366">
        <f t="shared" si="1"/>
        <v>2578.9285714285716</v>
      </c>
      <c r="R52" s="1260"/>
      <c r="S52" s="126"/>
      <c r="T52" s="1262"/>
      <c r="U52" s="126"/>
      <c r="V52" s="1255"/>
      <c r="W52" s="1264"/>
      <c r="X52" s="12"/>
      <c r="Y52" s="12"/>
      <c r="Z52" s="12"/>
      <c r="AA52" s="12"/>
      <c r="AB52" s="12"/>
      <c r="AC52" s="124"/>
      <c r="AD52" s="111"/>
      <c r="AF52" s="121"/>
      <c r="AG52" s="1265"/>
      <c r="AH52" s="1273">
        <f>AJ52/Units!$C$23*Units!$C$22/Units!$C$18*10^9/1000</f>
        <v>2578.9285714285716</v>
      </c>
      <c r="AI52" s="1267"/>
      <c r="AJ52" s="1274">
        <f>'1.6.3 Gas2'!AJ52</f>
        <v>18.052500000000002</v>
      </c>
      <c r="AK52" s="110"/>
      <c r="AO52" s="1364"/>
      <c r="AP52" s="1364"/>
      <c r="AQ52" s="1364"/>
      <c r="AR52" s="1364"/>
      <c r="AS52" s="1364"/>
      <c r="AT52" s="1364"/>
      <c r="AU52" s="1364"/>
      <c r="AV52" s="1365"/>
      <c r="AW52" s="111"/>
      <c r="AX52" s="1400"/>
      <c r="AY52" s="1403"/>
      <c r="AZ52" s="111"/>
      <c r="BA52" s="135" t="s">
        <v>100</v>
      </c>
      <c r="BB52" s="111" t="s">
        <v>100</v>
      </c>
    </row>
    <row r="53" spans="1:54" ht="17.25" x14ac:dyDescent="0.45">
      <c r="A53" s="10">
        <v>1863</v>
      </c>
      <c r="B53" s="1234"/>
      <c r="C53" s="1259"/>
      <c r="D53" s="1260"/>
      <c r="E53" s="1261"/>
      <c r="F53" s="1261"/>
      <c r="G53" s="126"/>
      <c r="H53" s="1262"/>
      <c r="I53" s="1262"/>
      <c r="J53" s="1262"/>
      <c r="K53" s="1262"/>
      <c r="L53" s="1262"/>
      <c r="M53" s="1263"/>
      <c r="N53" s="1255"/>
      <c r="O53" s="1366">
        <f t="shared" si="0"/>
        <v>2703.2142857142862</v>
      </c>
      <c r="P53" s="125"/>
      <c r="Q53" s="1366">
        <f t="shared" si="1"/>
        <v>2703.2142857142862</v>
      </c>
      <c r="R53" s="1260"/>
      <c r="S53" s="126"/>
      <c r="T53" s="1262"/>
      <c r="U53" s="126"/>
      <c r="V53" s="1255"/>
      <c r="W53" s="1264"/>
      <c r="X53" s="12"/>
      <c r="Y53" s="12"/>
      <c r="Z53" s="12"/>
      <c r="AA53" s="12"/>
      <c r="AB53" s="12"/>
      <c r="AC53" s="124"/>
      <c r="AD53" s="111"/>
      <c r="AF53" s="121"/>
      <c r="AG53" s="1265"/>
      <c r="AH53" s="1273">
        <f>AJ53/Units!$C$23*Units!$C$22/Units!$C$18*10^9/1000</f>
        <v>2703.2142857142862</v>
      </c>
      <c r="AI53" s="1267"/>
      <c r="AJ53" s="1274">
        <f>'1.6.3 Gas2'!AJ53</f>
        <v>18.922500000000003</v>
      </c>
      <c r="AK53" s="110"/>
      <c r="AO53" s="1364"/>
      <c r="AP53" s="1364"/>
      <c r="AQ53" s="1364"/>
      <c r="AR53" s="1364"/>
      <c r="AS53" s="1364"/>
      <c r="AT53" s="1364"/>
      <c r="AU53" s="1364"/>
      <c r="AV53" s="1365"/>
      <c r="AW53" s="111"/>
      <c r="AX53" s="1400"/>
      <c r="AY53" s="1403"/>
      <c r="AZ53" s="111"/>
      <c r="BA53" s="135" t="s">
        <v>100</v>
      </c>
      <c r="BB53" s="111" t="s">
        <v>100</v>
      </c>
    </row>
    <row r="54" spans="1:54" ht="17.25" x14ac:dyDescent="0.45">
      <c r="A54" s="10">
        <v>1864</v>
      </c>
      <c r="B54" s="1234"/>
      <c r="C54" s="1259"/>
      <c r="D54" s="1260"/>
      <c r="E54" s="1261"/>
      <c r="F54" s="1261"/>
      <c r="G54" s="126"/>
      <c r="H54" s="1262"/>
      <c r="I54" s="1262"/>
      <c r="J54" s="1262"/>
      <c r="K54" s="1262"/>
      <c r="L54" s="1262"/>
      <c r="M54" s="1263"/>
      <c r="N54" s="1255"/>
      <c r="O54" s="1366">
        <f t="shared" si="0"/>
        <v>2827.5000000000005</v>
      </c>
      <c r="P54" s="125"/>
      <c r="Q54" s="1366">
        <f t="shared" si="1"/>
        <v>2827.5000000000005</v>
      </c>
      <c r="R54" s="1260"/>
      <c r="S54" s="126"/>
      <c r="T54" s="1262"/>
      <c r="U54" s="126"/>
      <c r="V54" s="1255"/>
      <c r="W54" s="1264"/>
      <c r="X54" s="12"/>
      <c r="Y54" s="12"/>
      <c r="Z54" s="12"/>
      <c r="AA54" s="12"/>
      <c r="AB54" s="12"/>
      <c r="AC54" s="124"/>
      <c r="AD54" s="111"/>
      <c r="AF54" s="121"/>
      <c r="AG54" s="1265"/>
      <c r="AH54" s="1273">
        <f>AJ54/Units!$C$23*Units!$C$22/Units!$C$18*10^9/1000</f>
        <v>2827.5000000000005</v>
      </c>
      <c r="AI54" s="1267"/>
      <c r="AJ54" s="1274">
        <f>'1.6.3 Gas2'!AJ54</f>
        <v>19.792500000000004</v>
      </c>
      <c r="AK54" s="110"/>
      <c r="AO54" s="1364"/>
      <c r="AP54" s="1364"/>
      <c r="AQ54" s="1364"/>
      <c r="AR54" s="1364"/>
      <c r="AS54" s="1364"/>
      <c r="AT54" s="1364"/>
      <c r="AU54" s="1364"/>
      <c r="AV54" s="1365"/>
      <c r="AW54" s="111"/>
      <c r="AX54" s="1400"/>
      <c r="AY54" s="1403"/>
      <c r="AZ54" s="111"/>
      <c r="BA54" s="135" t="s">
        <v>100</v>
      </c>
      <c r="BB54" s="111" t="s">
        <v>100</v>
      </c>
    </row>
    <row r="55" spans="1:54" ht="17.25" x14ac:dyDescent="0.45">
      <c r="A55" s="10">
        <v>1865</v>
      </c>
      <c r="B55" s="1234"/>
      <c r="C55" s="1259"/>
      <c r="D55" s="1260"/>
      <c r="E55" s="1261"/>
      <c r="F55" s="1261"/>
      <c r="G55" s="126"/>
      <c r="H55" s="1262"/>
      <c r="I55" s="1262"/>
      <c r="J55" s="1262"/>
      <c r="K55" s="1262"/>
      <c r="L55" s="1262"/>
      <c r="M55" s="1263"/>
      <c r="N55" s="1255"/>
      <c r="O55" s="1366">
        <f t="shared" si="0"/>
        <v>2951.7857142857147</v>
      </c>
      <c r="P55" s="125"/>
      <c r="Q55" s="1366">
        <f t="shared" si="1"/>
        <v>2951.7857142857147</v>
      </c>
      <c r="R55" s="1260"/>
      <c r="S55" s="126"/>
      <c r="T55" s="1262"/>
      <c r="U55" s="126"/>
      <c r="V55" s="1255"/>
      <c r="W55" s="1264"/>
      <c r="X55" s="12"/>
      <c r="Y55" s="12"/>
      <c r="Z55" s="12"/>
      <c r="AA55" s="12"/>
      <c r="AB55" s="12"/>
      <c r="AC55" s="124"/>
      <c r="AD55" s="111"/>
      <c r="AF55" s="121"/>
      <c r="AG55" s="1265"/>
      <c r="AH55" s="1273">
        <f>AJ55/Units!$C$23*Units!$C$22/Units!$C$18*10^9/1000</f>
        <v>2951.7857142857147</v>
      </c>
      <c r="AI55" s="1267"/>
      <c r="AJ55" s="1274">
        <f>'1.6.3 Gas2'!AJ55</f>
        <v>20.662500000000001</v>
      </c>
      <c r="AK55" s="110"/>
      <c r="AO55" s="1364"/>
      <c r="AP55" s="1364"/>
      <c r="AQ55" s="1364"/>
      <c r="AR55" s="1364"/>
      <c r="AS55" s="1364"/>
      <c r="AT55" s="1364"/>
      <c r="AU55" s="1364"/>
      <c r="AV55" s="1365"/>
      <c r="AW55" s="111"/>
      <c r="AX55" s="1400"/>
      <c r="AY55" s="1403"/>
      <c r="AZ55" s="111"/>
      <c r="BA55" s="135" t="s">
        <v>100</v>
      </c>
      <c r="BB55" s="111" t="s">
        <v>100</v>
      </c>
    </row>
    <row r="56" spans="1:54" ht="17.25" x14ac:dyDescent="0.45">
      <c r="A56" s="10">
        <v>1866</v>
      </c>
      <c r="B56" s="1234"/>
      <c r="C56" s="1259"/>
      <c r="D56" s="1260"/>
      <c r="E56" s="1261"/>
      <c r="F56" s="1261"/>
      <c r="G56" s="126"/>
      <c r="H56" s="1262"/>
      <c r="I56" s="1262"/>
      <c r="J56" s="1262"/>
      <c r="K56" s="1262"/>
      <c r="L56" s="1262"/>
      <c r="M56" s="1263"/>
      <c r="N56" s="1255"/>
      <c r="O56" s="1366">
        <f t="shared" si="0"/>
        <v>3045</v>
      </c>
      <c r="P56" s="125"/>
      <c r="Q56" s="1366">
        <f t="shared" si="1"/>
        <v>3045</v>
      </c>
      <c r="R56" s="1260"/>
      <c r="S56" s="126"/>
      <c r="T56" s="1262"/>
      <c r="U56" s="126"/>
      <c r="V56" s="1255"/>
      <c r="W56" s="1264"/>
      <c r="X56" s="12"/>
      <c r="Y56" s="12"/>
      <c r="Z56" s="12"/>
      <c r="AA56" s="12"/>
      <c r="AB56" s="12"/>
      <c r="AC56" s="124"/>
      <c r="AD56" s="111"/>
      <c r="AF56" s="121"/>
      <c r="AG56" s="1265"/>
      <c r="AH56" s="1273">
        <f>AJ56/Units!$C$23*Units!$C$22/Units!$C$18*10^9/1000</f>
        <v>3045</v>
      </c>
      <c r="AI56" s="1267"/>
      <c r="AJ56" s="1274">
        <f>'1.6.3 Gas2'!AJ56</f>
        <v>21.315000000000001</v>
      </c>
      <c r="AK56" s="110"/>
      <c r="AO56" s="1364"/>
      <c r="AP56" s="1364"/>
      <c r="AQ56" s="1364"/>
      <c r="AR56" s="1364"/>
      <c r="AS56" s="1364"/>
      <c r="AT56" s="1364"/>
      <c r="AU56" s="1364"/>
      <c r="AV56" s="1365"/>
      <c r="AW56" s="111"/>
      <c r="AX56" s="1400"/>
      <c r="AY56" s="1403"/>
      <c r="AZ56" s="111"/>
      <c r="BA56" s="135" t="s">
        <v>100</v>
      </c>
      <c r="BB56" s="111" t="s">
        <v>100</v>
      </c>
    </row>
    <row r="57" spans="1:54" ht="17.25" x14ac:dyDescent="0.45">
      <c r="A57" s="10">
        <v>1867</v>
      </c>
      <c r="B57" s="1234"/>
      <c r="C57" s="1259"/>
      <c r="D57" s="1260"/>
      <c r="E57" s="1261"/>
      <c r="F57" s="1261"/>
      <c r="G57" s="126"/>
      <c r="H57" s="1262"/>
      <c r="I57" s="1262"/>
      <c r="J57" s="1262"/>
      <c r="K57" s="1262"/>
      <c r="L57" s="1262"/>
      <c r="M57" s="1263"/>
      <c r="N57" s="1255"/>
      <c r="O57" s="1366">
        <f t="shared" si="0"/>
        <v>3138.2142857142858</v>
      </c>
      <c r="P57" s="125"/>
      <c r="Q57" s="1366">
        <f t="shared" si="1"/>
        <v>3138.2142857142858</v>
      </c>
      <c r="R57" s="1260"/>
      <c r="S57" s="126"/>
      <c r="T57" s="1262"/>
      <c r="U57" s="126"/>
      <c r="V57" s="1255"/>
      <c r="W57" s="1264"/>
      <c r="X57" s="12"/>
      <c r="Y57" s="12"/>
      <c r="Z57" s="12"/>
      <c r="AA57" s="12"/>
      <c r="AB57" s="12"/>
      <c r="AC57" s="124"/>
      <c r="AD57" s="111"/>
      <c r="AF57" s="121"/>
      <c r="AG57" s="1265"/>
      <c r="AH57" s="1273">
        <f>AJ57/Units!$C$23*Units!$C$22/Units!$C$18*10^9/1000</f>
        <v>3138.2142857142858</v>
      </c>
      <c r="AI57" s="1267"/>
      <c r="AJ57" s="1274">
        <f>'1.6.3 Gas2'!AJ57</f>
        <v>21.967500000000001</v>
      </c>
      <c r="AK57" s="110"/>
      <c r="AO57" s="1364"/>
      <c r="AP57" s="1364"/>
      <c r="AQ57" s="1364"/>
      <c r="AR57" s="1364"/>
      <c r="AS57" s="1364"/>
      <c r="AT57" s="1364"/>
      <c r="AU57" s="1364"/>
      <c r="AV57" s="1365"/>
      <c r="AW57" s="111"/>
      <c r="AX57" s="1400"/>
      <c r="AY57" s="1403"/>
      <c r="AZ57" s="111"/>
      <c r="BA57" s="135" t="s">
        <v>100</v>
      </c>
      <c r="BB57" s="111" t="s">
        <v>100</v>
      </c>
    </row>
    <row r="58" spans="1:54" ht="17.25" x14ac:dyDescent="0.45">
      <c r="A58" s="10">
        <v>1868</v>
      </c>
      <c r="B58" s="1234"/>
      <c r="C58" s="1259"/>
      <c r="D58" s="1260"/>
      <c r="E58" s="1261"/>
      <c r="F58" s="1261"/>
      <c r="G58" s="126"/>
      <c r="H58" s="1262"/>
      <c r="I58" s="1262"/>
      <c r="J58" s="1262"/>
      <c r="K58" s="1262"/>
      <c r="L58" s="1262"/>
      <c r="M58" s="1263"/>
      <c r="N58" s="1255"/>
      <c r="O58" s="1366">
        <f t="shared" si="0"/>
        <v>3231.4285714285729</v>
      </c>
      <c r="P58" s="125"/>
      <c r="Q58" s="1366">
        <f t="shared" si="1"/>
        <v>3231.4285714285729</v>
      </c>
      <c r="R58" s="1260"/>
      <c r="S58" s="126"/>
      <c r="T58" s="1262"/>
      <c r="U58" s="126"/>
      <c r="V58" s="1255"/>
      <c r="W58" s="1264"/>
      <c r="X58" s="12"/>
      <c r="Y58" s="12"/>
      <c r="Z58" s="12"/>
      <c r="AA58" s="12"/>
      <c r="AB58" s="12"/>
      <c r="AC58" s="124"/>
      <c r="AD58" s="111"/>
      <c r="AF58" s="121"/>
      <c r="AG58" s="1265"/>
      <c r="AH58" s="1273">
        <f>AJ58/Units!$C$23*Units!$C$22/Units!$C$18*10^9/1000</f>
        <v>3231.4285714285729</v>
      </c>
      <c r="AI58" s="1267"/>
      <c r="AJ58" s="1274">
        <f>'1.6.3 Gas2'!AJ58</f>
        <v>22.620000000000005</v>
      </c>
      <c r="AK58" s="110"/>
      <c r="AO58" s="1364"/>
      <c r="AP58" s="1364"/>
      <c r="AQ58" s="1364"/>
      <c r="AR58" s="1364"/>
      <c r="AS58" s="1364"/>
      <c r="AT58" s="1364"/>
      <c r="AU58" s="1364"/>
      <c r="AV58" s="1365"/>
      <c r="AW58" s="111"/>
      <c r="AX58" s="1400"/>
      <c r="AY58" s="1403"/>
      <c r="AZ58" s="111"/>
      <c r="BA58" s="135" t="s">
        <v>100</v>
      </c>
      <c r="BB58" s="111" t="s">
        <v>100</v>
      </c>
    </row>
    <row r="59" spans="1:54" ht="17.25" x14ac:dyDescent="0.45">
      <c r="A59" s="10">
        <v>1869</v>
      </c>
      <c r="B59" s="1234"/>
      <c r="C59" s="1259"/>
      <c r="D59" s="1260"/>
      <c r="E59" s="1261"/>
      <c r="F59" s="1261"/>
      <c r="G59" s="126"/>
      <c r="H59" s="1262"/>
      <c r="I59" s="1262"/>
      <c r="J59" s="1262"/>
      <c r="K59" s="1262"/>
      <c r="L59" s="1262"/>
      <c r="M59" s="1263"/>
      <c r="N59" s="1255"/>
      <c r="O59" s="1366">
        <f t="shared" si="0"/>
        <v>3324.6428571428587</v>
      </c>
      <c r="P59" s="125"/>
      <c r="Q59" s="1366">
        <f t="shared" si="1"/>
        <v>3324.6428571428587</v>
      </c>
      <c r="R59" s="1260"/>
      <c r="S59" s="126"/>
      <c r="T59" s="1262"/>
      <c r="U59" s="126"/>
      <c r="V59" s="1255"/>
      <c r="W59" s="1264"/>
      <c r="X59" s="12"/>
      <c r="Y59" s="12"/>
      <c r="Z59" s="12"/>
      <c r="AA59" s="12"/>
      <c r="AB59" s="12"/>
      <c r="AC59" s="124"/>
      <c r="AD59" s="111"/>
      <c r="AF59" s="121"/>
      <c r="AG59" s="1265"/>
      <c r="AH59" s="1273">
        <f>AJ59/Units!$C$23*Units!$C$22/Units!$C$18*10^9/1000</f>
        <v>3324.6428571428587</v>
      </c>
      <c r="AI59" s="1267"/>
      <c r="AJ59" s="1274">
        <f>'1.6.3 Gas2'!AJ59</f>
        <v>23.272500000000008</v>
      </c>
      <c r="AK59" s="110"/>
      <c r="AO59" s="1364"/>
      <c r="AP59" s="1364"/>
      <c r="AQ59" s="1364"/>
      <c r="AR59" s="1364"/>
      <c r="AS59" s="1364"/>
      <c r="AT59" s="1364"/>
      <c r="AU59" s="1364"/>
      <c r="AV59" s="1365"/>
      <c r="AW59" s="111"/>
      <c r="AX59" s="1400"/>
      <c r="AY59" s="1403"/>
      <c r="AZ59" s="111"/>
      <c r="BA59" s="135" t="s">
        <v>100</v>
      </c>
      <c r="BB59" s="111" t="s">
        <v>100</v>
      </c>
    </row>
    <row r="60" spans="1:54" ht="17.25" x14ac:dyDescent="0.45">
      <c r="A60" s="10">
        <v>1870</v>
      </c>
      <c r="B60" s="1234"/>
      <c r="C60" s="1259"/>
      <c r="D60" s="1260"/>
      <c r="E60" s="1261"/>
      <c r="F60" s="1261"/>
      <c r="G60" s="126"/>
      <c r="H60" s="1262"/>
      <c r="I60" s="1262"/>
      <c r="J60" s="1262"/>
      <c r="K60" s="1262"/>
      <c r="L60" s="1262"/>
      <c r="M60" s="1263"/>
      <c r="N60" s="1255"/>
      <c r="O60" s="1366">
        <f t="shared" si="0"/>
        <v>3535.7142857142858</v>
      </c>
      <c r="P60" s="125"/>
      <c r="Q60" s="1366">
        <f t="shared" si="1"/>
        <v>3535.7142857142858</v>
      </c>
      <c r="R60" s="1260"/>
      <c r="S60" s="126"/>
      <c r="T60" s="1262"/>
      <c r="U60" s="126"/>
      <c r="V60" s="1255"/>
      <c r="W60" s="1264"/>
      <c r="X60" s="12"/>
      <c r="Y60" s="12"/>
      <c r="Z60" s="12"/>
      <c r="AA60" s="12"/>
      <c r="AB60" s="12"/>
      <c r="AC60" s="124"/>
      <c r="AD60" s="111"/>
      <c r="AF60" s="121"/>
      <c r="AG60" s="1265"/>
      <c r="AH60" s="1273">
        <f>AJ60/Units!$C$23*Units!$C$22/Units!$C$18*10^9/1000</f>
        <v>3535.7142857142858</v>
      </c>
      <c r="AI60" s="1267"/>
      <c r="AJ60" s="1274">
        <f>'1.6.3 Gas2'!AJ60</f>
        <v>24.75</v>
      </c>
      <c r="AK60" s="110"/>
      <c r="AO60" s="1364"/>
      <c r="AP60" s="1364"/>
      <c r="AQ60" s="1364"/>
      <c r="AR60" s="1364"/>
      <c r="AS60" s="1364"/>
      <c r="AT60" s="1364"/>
      <c r="AU60" s="1364"/>
      <c r="AV60" s="1365"/>
      <c r="AW60" s="111"/>
      <c r="AX60" s="1400"/>
      <c r="AY60" s="1403"/>
      <c r="AZ60" s="111"/>
      <c r="BA60" s="135" t="s">
        <v>100</v>
      </c>
      <c r="BB60" s="111" t="s">
        <v>100</v>
      </c>
    </row>
    <row r="61" spans="1:54" ht="17.25" x14ac:dyDescent="0.45">
      <c r="A61" s="10">
        <v>1871</v>
      </c>
      <c r="B61" s="1234"/>
      <c r="C61" s="1259"/>
      <c r="D61" s="1260"/>
      <c r="E61" s="1261"/>
      <c r="F61" s="1261"/>
      <c r="G61" s="126"/>
      <c r="H61" s="1262"/>
      <c r="I61" s="1262"/>
      <c r="J61" s="1262"/>
      <c r="K61" s="1262"/>
      <c r="L61" s="1262"/>
      <c r="M61" s="1263"/>
      <c r="N61" s="1255"/>
      <c r="O61" s="1366">
        <f t="shared" si="0"/>
        <v>3857.1428571428573</v>
      </c>
      <c r="P61" s="125"/>
      <c r="Q61" s="1366">
        <f t="shared" si="1"/>
        <v>3857.1428571428573</v>
      </c>
      <c r="R61" s="1260"/>
      <c r="S61" s="126"/>
      <c r="T61" s="1262"/>
      <c r="U61" s="126"/>
      <c r="V61" s="1255"/>
      <c r="W61" s="1264"/>
      <c r="X61" s="12"/>
      <c r="Y61" s="12"/>
      <c r="Z61" s="12"/>
      <c r="AA61" s="12"/>
      <c r="AB61" s="12"/>
      <c r="AC61" s="124"/>
      <c r="AD61" s="111"/>
      <c r="AF61" s="121"/>
      <c r="AG61" s="1265"/>
      <c r="AH61" s="1273">
        <f>AJ61/Units!$C$23*Units!$C$22/Units!$C$18*10^9/1000</f>
        <v>3857.1428571428573</v>
      </c>
      <c r="AI61" s="1267"/>
      <c r="AJ61" s="1274">
        <f>'1.6.3 Gas2'!AJ61</f>
        <v>27</v>
      </c>
      <c r="AK61" s="110"/>
      <c r="AO61" s="1364"/>
      <c r="AP61" s="1364"/>
      <c r="AQ61" s="1364"/>
      <c r="AR61" s="1364"/>
      <c r="AS61" s="1364"/>
      <c r="AT61" s="1364"/>
      <c r="AU61" s="1364"/>
      <c r="AV61" s="1365"/>
      <c r="AW61" s="111"/>
      <c r="AX61" s="1400"/>
      <c r="AY61" s="1403"/>
      <c r="AZ61" s="111"/>
      <c r="BA61" s="135" t="s">
        <v>100</v>
      </c>
      <c r="BB61" s="111" t="s">
        <v>100</v>
      </c>
    </row>
    <row r="62" spans="1:54" ht="17.25" x14ac:dyDescent="0.45">
      <c r="A62" s="10">
        <v>1872</v>
      </c>
      <c r="B62" s="1234"/>
      <c r="C62" s="1259"/>
      <c r="D62" s="1260"/>
      <c r="E62" s="1261"/>
      <c r="F62" s="1261"/>
      <c r="G62" s="126"/>
      <c r="H62" s="1262"/>
      <c r="I62" s="1262"/>
      <c r="J62" s="1262"/>
      <c r="K62" s="1262"/>
      <c r="L62" s="1262"/>
      <c r="M62" s="1263"/>
      <c r="N62" s="1255"/>
      <c r="O62" s="1366">
        <f t="shared" si="0"/>
        <v>3792.8571428571431</v>
      </c>
      <c r="P62" s="125"/>
      <c r="Q62" s="1366">
        <f t="shared" si="1"/>
        <v>3792.8571428571431</v>
      </c>
      <c r="R62" s="1260"/>
      <c r="S62" s="126"/>
      <c r="T62" s="1262"/>
      <c r="U62" s="126"/>
      <c r="V62" s="1255"/>
      <c r="W62" s="1264"/>
      <c r="X62" s="12"/>
      <c r="Y62" s="12"/>
      <c r="Z62" s="12"/>
      <c r="AA62" s="12"/>
      <c r="AB62" s="12"/>
      <c r="AC62" s="124"/>
      <c r="AD62" s="111"/>
      <c r="AF62" s="121"/>
      <c r="AG62" s="1265"/>
      <c r="AH62" s="1273">
        <f>AJ62/Units!$C$23*Units!$C$22/Units!$C$18*10^9/1000</f>
        <v>3792.8571428571431</v>
      </c>
      <c r="AI62" s="1267"/>
      <c r="AJ62" s="1274">
        <f>'1.6.3 Gas2'!AJ62</f>
        <v>26.550000000000004</v>
      </c>
      <c r="AK62" s="110"/>
      <c r="AO62" s="1364"/>
      <c r="AP62" s="1364"/>
      <c r="AQ62" s="1364"/>
      <c r="AR62" s="1364"/>
      <c r="AS62" s="1364"/>
      <c r="AT62" s="1364"/>
      <c r="AU62" s="1364"/>
      <c r="AV62" s="1365"/>
      <c r="AW62" s="111"/>
      <c r="AX62" s="1400"/>
      <c r="AY62" s="1403"/>
      <c r="AZ62" s="111"/>
      <c r="BA62" s="135" t="s">
        <v>100</v>
      </c>
      <c r="BB62" s="111" t="s">
        <v>100</v>
      </c>
    </row>
    <row r="63" spans="1:54" ht="17.25" x14ac:dyDescent="0.45">
      <c r="A63" s="10">
        <v>1873</v>
      </c>
      <c r="B63" s="1234"/>
      <c r="C63" s="1259"/>
      <c r="D63" s="1260"/>
      <c r="E63" s="1261"/>
      <c r="F63" s="1261"/>
      <c r="G63" s="126"/>
      <c r="H63" s="1262"/>
      <c r="I63" s="1262"/>
      <c r="J63" s="1262"/>
      <c r="K63" s="1262"/>
      <c r="L63" s="1262"/>
      <c r="M63" s="1263"/>
      <c r="N63" s="1255"/>
      <c r="O63" s="1366">
        <f t="shared" si="0"/>
        <v>3760.7142857142849</v>
      </c>
      <c r="P63" s="125"/>
      <c r="Q63" s="1366">
        <f t="shared" si="1"/>
        <v>3760.7142857142849</v>
      </c>
      <c r="R63" s="1260"/>
      <c r="S63" s="126"/>
      <c r="T63" s="1262"/>
      <c r="U63" s="126"/>
      <c r="V63" s="1255"/>
      <c r="W63" s="1264"/>
      <c r="X63" s="12"/>
      <c r="Y63" s="12"/>
      <c r="Z63" s="12"/>
      <c r="AA63" s="12"/>
      <c r="AB63" s="12"/>
      <c r="AC63" s="124"/>
      <c r="AD63" s="111"/>
      <c r="AF63" s="121"/>
      <c r="AG63" s="1265"/>
      <c r="AH63" s="1273">
        <f>AJ63/Units!$C$23*Units!$C$22/Units!$C$18*10^9/1000</f>
        <v>3760.7142857142849</v>
      </c>
      <c r="AI63" s="1267"/>
      <c r="AJ63" s="1274">
        <f>'1.6.3 Gas2'!AJ63</f>
        <v>26.324999999999996</v>
      </c>
      <c r="AK63" s="110"/>
      <c r="AO63" s="1364"/>
      <c r="AP63" s="1364"/>
      <c r="AQ63" s="1364"/>
      <c r="AR63" s="1364"/>
      <c r="AS63" s="1364"/>
      <c r="AT63" s="1364"/>
      <c r="AU63" s="1364"/>
      <c r="AV63" s="1365"/>
      <c r="AW63" s="111"/>
      <c r="AX63" s="1400"/>
      <c r="AY63" s="1403"/>
      <c r="AZ63" s="111"/>
      <c r="BA63" s="135" t="s">
        <v>100</v>
      </c>
      <c r="BB63" s="111" t="s">
        <v>100</v>
      </c>
    </row>
    <row r="64" spans="1:54" ht="17.25" x14ac:dyDescent="0.45">
      <c r="A64" s="10">
        <v>1874</v>
      </c>
      <c r="B64" s="1234"/>
      <c r="C64" s="1259"/>
      <c r="D64" s="1260"/>
      <c r="E64" s="1261"/>
      <c r="F64" s="1261"/>
      <c r="G64" s="126"/>
      <c r="H64" s="1262"/>
      <c r="I64" s="1262"/>
      <c r="J64" s="1262"/>
      <c r="K64" s="1262"/>
      <c r="L64" s="1262"/>
      <c r="M64" s="1263"/>
      <c r="N64" s="1255"/>
      <c r="O64" s="1366">
        <f t="shared" si="0"/>
        <v>4017.8571428571431</v>
      </c>
      <c r="P64" s="125"/>
      <c r="Q64" s="1366">
        <f t="shared" si="1"/>
        <v>4017.8571428571431</v>
      </c>
      <c r="R64" s="1260"/>
      <c r="S64" s="126"/>
      <c r="T64" s="1262"/>
      <c r="U64" s="126"/>
      <c r="V64" s="1255"/>
      <c r="W64" s="1264"/>
      <c r="X64" s="12"/>
      <c r="Y64" s="12"/>
      <c r="Z64" s="12"/>
      <c r="AA64" s="12"/>
      <c r="AB64" s="12"/>
      <c r="AC64" s="124"/>
      <c r="AD64" s="111"/>
      <c r="AF64" s="121"/>
      <c r="AG64" s="1265"/>
      <c r="AH64" s="1273">
        <f>AJ64/Units!$C$23*Units!$C$22/Units!$C$18*10^9/1000</f>
        <v>4017.8571428571431</v>
      </c>
      <c r="AI64" s="1267"/>
      <c r="AJ64" s="1274">
        <f>'1.6.3 Gas2'!AJ64</f>
        <v>28.125</v>
      </c>
      <c r="AK64" s="110"/>
      <c r="AO64" s="1364"/>
      <c r="AP64" s="1364"/>
      <c r="AQ64" s="1364"/>
      <c r="AR64" s="1364"/>
      <c r="AS64" s="1364"/>
      <c r="AT64" s="1364"/>
      <c r="AU64" s="1364"/>
      <c r="AV64" s="1365"/>
      <c r="AW64" s="111"/>
      <c r="AX64" s="1400"/>
      <c r="AY64" s="1403"/>
      <c r="AZ64" s="111"/>
      <c r="BA64" s="135" t="s">
        <v>100</v>
      </c>
      <c r="BB64" s="111" t="s">
        <v>100</v>
      </c>
    </row>
    <row r="65" spans="1:54" ht="17.25" x14ac:dyDescent="0.45">
      <c r="A65" s="10">
        <v>1875</v>
      </c>
      <c r="B65" s="1234"/>
      <c r="C65" s="1259"/>
      <c r="D65" s="1260"/>
      <c r="E65" s="1261"/>
      <c r="F65" s="1261"/>
      <c r="G65" s="126"/>
      <c r="H65" s="1262"/>
      <c r="I65" s="1262"/>
      <c r="J65" s="1262"/>
      <c r="K65" s="1262"/>
      <c r="L65" s="1262"/>
      <c r="M65" s="1263"/>
      <c r="N65" s="1255"/>
      <c r="O65" s="1366">
        <f t="shared" si="0"/>
        <v>4242.8571428571422</v>
      </c>
      <c r="P65" s="125"/>
      <c r="Q65" s="1366">
        <f t="shared" si="1"/>
        <v>4242.8571428571422</v>
      </c>
      <c r="R65" s="1260"/>
      <c r="S65" s="126"/>
      <c r="T65" s="1262"/>
      <c r="U65" s="126"/>
      <c r="V65" s="1255"/>
      <c r="W65" s="1264"/>
      <c r="X65" s="12"/>
      <c r="Y65" s="12"/>
      <c r="Z65" s="12"/>
      <c r="AA65" s="12"/>
      <c r="AB65" s="12"/>
      <c r="AC65" s="124"/>
      <c r="AD65" s="111"/>
      <c r="AF65" s="121"/>
      <c r="AG65" s="1265"/>
      <c r="AH65" s="1273">
        <f>AJ65/Units!$C$23*Units!$C$22/Units!$C$18*10^9/1000</f>
        <v>4242.8571428571422</v>
      </c>
      <c r="AI65" s="1267"/>
      <c r="AJ65" s="1274">
        <f>'1.6.3 Gas2'!AJ65</f>
        <v>29.699999999999996</v>
      </c>
      <c r="AK65" s="110"/>
      <c r="AO65" s="1364"/>
      <c r="AP65" s="1364"/>
      <c r="AQ65" s="1364"/>
      <c r="AR65" s="1364"/>
      <c r="AS65" s="1364"/>
      <c r="AT65" s="1364"/>
      <c r="AU65" s="1364"/>
      <c r="AV65" s="1365"/>
      <c r="AW65" s="111"/>
      <c r="AX65" s="1400"/>
      <c r="AY65" s="1403"/>
      <c r="AZ65" s="111"/>
      <c r="BA65" s="135" t="s">
        <v>100</v>
      </c>
      <c r="BB65" s="111" t="s">
        <v>100</v>
      </c>
    </row>
    <row r="66" spans="1:54" ht="17.25" x14ac:dyDescent="0.45">
      <c r="A66" s="10">
        <v>1876</v>
      </c>
      <c r="B66" s="1234"/>
      <c r="C66" s="1259"/>
      <c r="D66" s="1260"/>
      <c r="E66" s="1261"/>
      <c r="F66" s="1261"/>
      <c r="G66" s="126"/>
      <c r="H66" s="1262"/>
      <c r="I66" s="1262"/>
      <c r="J66" s="1262"/>
      <c r="K66" s="1262"/>
      <c r="L66" s="1262"/>
      <c r="M66" s="1263"/>
      <c r="N66" s="1255"/>
      <c r="O66" s="1366">
        <f t="shared" si="0"/>
        <v>4660.7142857142853</v>
      </c>
      <c r="P66" s="125"/>
      <c r="Q66" s="1366">
        <f t="shared" si="1"/>
        <v>4660.7142857142853</v>
      </c>
      <c r="R66" s="1260"/>
      <c r="S66" s="126"/>
      <c r="T66" s="1262"/>
      <c r="U66" s="126"/>
      <c r="V66" s="1255"/>
      <c r="W66" s="1264"/>
      <c r="X66" s="12"/>
      <c r="Y66" s="12"/>
      <c r="Z66" s="12"/>
      <c r="AA66" s="12"/>
      <c r="AB66" s="12"/>
      <c r="AC66" s="124"/>
      <c r="AD66" s="111"/>
      <c r="AF66" s="121"/>
      <c r="AG66" s="1265"/>
      <c r="AH66" s="1273">
        <f>AJ66/Units!$C$23*Units!$C$22/Units!$C$18*10^9/1000</f>
        <v>4660.7142857142853</v>
      </c>
      <c r="AI66" s="1267"/>
      <c r="AJ66" s="1274">
        <f>'1.6.3 Gas2'!AJ66</f>
        <v>32.625</v>
      </c>
      <c r="AK66" s="110"/>
      <c r="AO66" s="1364"/>
      <c r="AP66" s="1364"/>
      <c r="AQ66" s="1364"/>
      <c r="AR66" s="1364"/>
      <c r="AS66" s="1364"/>
      <c r="AT66" s="1364"/>
      <c r="AU66" s="1364"/>
      <c r="AV66" s="1365"/>
      <c r="AW66" s="111"/>
      <c r="AX66" s="1400"/>
      <c r="AY66" s="1403"/>
      <c r="AZ66" s="111"/>
      <c r="BA66" s="135" t="s">
        <v>100</v>
      </c>
      <c r="BB66" s="111" t="s">
        <v>100</v>
      </c>
    </row>
    <row r="67" spans="1:54" ht="17.25" x14ac:dyDescent="0.45">
      <c r="A67" s="10">
        <v>1877</v>
      </c>
      <c r="B67" s="1234"/>
      <c r="C67" s="1259"/>
      <c r="D67" s="1260"/>
      <c r="E67" s="1261"/>
      <c r="F67" s="1261"/>
      <c r="G67" s="126"/>
      <c r="H67" s="1262"/>
      <c r="I67" s="1262"/>
      <c r="J67" s="1262"/>
      <c r="K67" s="1262"/>
      <c r="L67" s="1262"/>
      <c r="M67" s="1263"/>
      <c r="N67" s="1255"/>
      <c r="O67" s="1366">
        <f t="shared" si="0"/>
        <v>5046.4285714285706</v>
      </c>
      <c r="P67" s="125"/>
      <c r="Q67" s="1366">
        <f t="shared" si="1"/>
        <v>5046.4285714285706</v>
      </c>
      <c r="R67" s="1260"/>
      <c r="S67" s="126"/>
      <c r="T67" s="1262"/>
      <c r="U67" s="126"/>
      <c r="V67" s="1255"/>
      <c r="W67" s="1264"/>
      <c r="X67" s="12"/>
      <c r="Y67" s="12"/>
      <c r="Z67" s="12"/>
      <c r="AA67" s="12"/>
      <c r="AB67" s="12"/>
      <c r="AC67" s="124"/>
      <c r="AD67" s="111"/>
      <c r="AF67" s="121"/>
      <c r="AG67" s="1265"/>
      <c r="AH67" s="1273">
        <f>AJ67/Units!$C$23*Units!$C$22/Units!$C$18*10^9/1000</f>
        <v>5046.4285714285706</v>
      </c>
      <c r="AI67" s="1267"/>
      <c r="AJ67" s="1274">
        <f>'1.6.3 Gas2'!AJ67</f>
        <v>35.324999999999996</v>
      </c>
      <c r="AK67" s="110"/>
      <c r="AO67" s="1364"/>
      <c r="AP67" s="1364"/>
      <c r="AQ67" s="1364"/>
      <c r="AR67" s="1364"/>
      <c r="AS67" s="1364"/>
      <c r="AT67" s="1364"/>
      <c r="AU67" s="1364"/>
      <c r="AV67" s="1365"/>
      <c r="AW67" s="111"/>
      <c r="AX67" s="1400"/>
      <c r="AY67" s="1403"/>
      <c r="AZ67" s="111"/>
      <c r="BA67" s="135" t="s">
        <v>100</v>
      </c>
      <c r="BB67" s="111" t="s">
        <v>100</v>
      </c>
    </row>
    <row r="68" spans="1:54" ht="17.25" x14ac:dyDescent="0.45">
      <c r="A68" s="10">
        <v>1878</v>
      </c>
      <c r="B68" s="1234"/>
      <c r="C68" s="1259"/>
      <c r="D68" s="1260"/>
      <c r="E68" s="1261"/>
      <c r="F68" s="1261"/>
      <c r="G68" s="126"/>
      <c r="H68" s="1262"/>
      <c r="I68" s="1262"/>
      <c r="J68" s="1262"/>
      <c r="K68" s="1262"/>
      <c r="L68" s="1262"/>
      <c r="M68" s="1263"/>
      <c r="N68" s="1255"/>
      <c r="O68" s="1366">
        <f t="shared" si="0"/>
        <v>5400</v>
      </c>
      <c r="P68" s="125"/>
      <c r="Q68" s="1366">
        <f t="shared" si="1"/>
        <v>5400</v>
      </c>
      <c r="R68" s="1260"/>
      <c r="S68" s="126"/>
      <c r="T68" s="1262"/>
      <c r="U68" s="126"/>
      <c r="V68" s="1255"/>
      <c r="W68" s="1264"/>
      <c r="X68" s="12"/>
      <c r="Y68" s="12"/>
      <c r="Z68" s="12"/>
      <c r="AA68" s="12"/>
      <c r="AB68" s="12"/>
      <c r="AC68" s="124"/>
      <c r="AD68" s="111"/>
      <c r="AF68" s="121"/>
      <c r="AG68" s="1265"/>
      <c r="AH68" s="1273">
        <f>AJ68/Units!$C$23*Units!$C$22/Units!$C$18*10^9/1000</f>
        <v>5400</v>
      </c>
      <c r="AI68" s="1267"/>
      <c r="AJ68" s="1274">
        <f>'1.6.3 Gas2'!AJ68</f>
        <v>37.800000000000004</v>
      </c>
      <c r="AK68" s="110"/>
      <c r="AO68" s="1364"/>
      <c r="AP68" s="1364"/>
      <c r="AQ68" s="1364"/>
      <c r="AR68" s="1364"/>
      <c r="AS68" s="1364"/>
      <c r="AT68" s="1364"/>
      <c r="AU68" s="1364"/>
      <c r="AV68" s="1365"/>
      <c r="AW68" s="111"/>
      <c r="AX68" s="1400"/>
      <c r="AY68" s="1403"/>
      <c r="AZ68" s="111"/>
      <c r="BA68" s="135" t="s">
        <v>100</v>
      </c>
      <c r="BB68" s="111" t="s">
        <v>100</v>
      </c>
    </row>
    <row r="69" spans="1:54" ht="17.25" x14ac:dyDescent="0.45">
      <c r="A69" s="10">
        <v>1879</v>
      </c>
      <c r="B69" s="1234"/>
      <c r="C69" s="1259"/>
      <c r="D69" s="1260"/>
      <c r="E69" s="1261"/>
      <c r="F69" s="1261"/>
      <c r="G69" s="126"/>
      <c r="H69" s="1262"/>
      <c r="I69" s="1262"/>
      <c r="J69" s="1262"/>
      <c r="K69" s="1262"/>
      <c r="L69" s="1262"/>
      <c r="M69" s="1263"/>
      <c r="N69" s="1255"/>
      <c r="O69" s="1366">
        <f t="shared" si="0"/>
        <v>5753.5714285714275</v>
      </c>
      <c r="P69" s="125"/>
      <c r="Q69" s="1366">
        <f t="shared" si="1"/>
        <v>5753.5714285714275</v>
      </c>
      <c r="R69" s="1260"/>
      <c r="S69" s="126"/>
      <c r="T69" s="1262"/>
      <c r="U69" s="126"/>
      <c r="V69" s="1255"/>
      <c r="W69" s="1264"/>
      <c r="X69" s="12"/>
      <c r="Y69" s="12"/>
      <c r="Z69" s="12"/>
      <c r="AA69" s="12"/>
      <c r="AB69" s="12"/>
      <c r="AC69" s="124"/>
      <c r="AD69" s="111"/>
      <c r="AF69" s="121"/>
      <c r="AG69" s="1265"/>
      <c r="AH69" s="1273">
        <f>AJ69/Units!$C$23*Units!$C$22/Units!$C$18*10^9/1000</f>
        <v>5753.5714285714275</v>
      </c>
      <c r="AI69" s="1267"/>
      <c r="AJ69" s="1274">
        <f>'1.6.3 Gas2'!AJ69</f>
        <v>40.274999999999999</v>
      </c>
      <c r="AK69" s="110"/>
      <c r="AO69" s="1364"/>
      <c r="AP69" s="1364"/>
      <c r="AQ69" s="1364"/>
      <c r="AR69" s="1364"/>
      <c r="AS69" s="1364"/>
      <c r="AT69" s="1364"/>
      <c r="AU69" s="1364"/>
      <c r="AV69" s="1365"/>
      <c r="AW69" s="111"/>
      <c r="AX69" s="1400"/>
      <c r="AY69" s="1403"/>
      <c r="AZ69" s="111"/>
      <c r="BA69" s="135" t="s">
        <v>100</v>
      </c>
      <c r="BB69" s="111" t="s">
        <v>100</v>
      </c>
    </row>
    <row r="70" spans="1:54" x14ac:dyDescent="0.45">
      <c r="A70" s="10">
        <v>1880</v>
      </c>
      <c r="B70" s="1234"/>
      <c r="C70" s="1259"/>
      <c r="D70" s="1260"/>
      <c r="E70" s="1261"/>
      <c r="F70" s="1261"/>
      <c r="G70" s="126"/>
      <c r="H70" s="1262"/>
      <c r="I70" s="1262"/>
      <c r="J70" s="1262"/>
      <c r="K70" s="1262"/>
      <c r="L70" s="1262"/>
      <c r="M70" s="1263"/>
      <c r="N70" s="1255"/>
      <c r="O70" s="1366">
        <f t="shared" si="0"/>
        <v>6042.857142857144</v>
      </c>
      <c r="P70" s="125"/>
      <c r="Q70" s="1366">
        <f t="shared" si="1"/>
        <v>6042.857142857144</v>
      </c>
      <c r="R70" s="1260"/>
      <c r="S70" s="126"/>
      <c r="T70" s="1262"/>
      <c r="U70" s="126"/>
      <c r="V70" s="1255"/>
      <c r="W70" s="1264"/>
      <c r="X70" s="12"/>
      <c r="Y70" s="12"/>
      <c r="Z70" s="12"/>
      <c r="AA70" s="12"/>
      <c r="AB70" s="12"/>
      <c r="AC70" s="124"/>
      <c r="AD70" s="111"/>
      <c r="AF70" s="121"/>
      <c r="AG70" s="1265"/>
      <c r="AH70" s="1273">
        <f>AJ70/Units!$C$23*Units!$C$22/Units!$C$18*10^9/1000</f>
        <v>6042.857142857144</v>
      </c>
      <c r="AI70" s="1267"/>
      <c r="AJ70" s="1274">
        <f>'1.6.3 Gas2'!AJ70</f>
        <v>42.300000000000004</v>
      </c>
      <c r="AK70" s="110"/>
      <c r="AN70" s="124">
        <v>1880</v>
      </c>
      <c r="AO70" s="135"/>
      <c r="AP70" s="111"/>
      <c r="AQ70" s="135"/>
      <c r="AR70" s="111"/>
      <c r="AS70" s="111"/>
      <c r="AT70" s="112"/>
      <c r="AU70" s="111"/>
      <c r="AV70" s="1261"/>
      <c r="AW70" s="111"/>
      <c r="AX70" s="1400"/>
      <c r="AY70" s="1403"/>
      <c r="AZ70" s="111"/>
      <c r="BA70" s="135" t="s">
        <v>100</v>
      </c>
      <c r="BB70" s="111" t="s">
        <v>100</v>
      </c>
    </row>
    <row r="71" spans="1:54" x14ac:dyDescent="0.45">
      <c r="A71" s="10">
        <v>1881</v>
      </c>
      <c r="B71" s="1234"/>
      <c r="C71" s="1259"/>
      <c r="D71" s="1260"/>
      <c r="E71" s="1261"/>
      <c r="F71" s="1261"/>
      <c r="G71" s="126"/>
      <c r="H71" s="1262"/>
      <c r="I71" s="1262"/>
      <c r="J71" s="1262"/>
      <c r="K71" s="1262"/>
      <c r="L71" s="1262"/>
      <c r="M71" s="1263"/>
      <c r="N71" s="1255"/>
      <c r="O71" s="1366">
        <f t="shared" si="0"/>
        <v>0</v>
      </c>
      <c r="P71" s="125"/>
      <c r="Q71" s="1366">
        <f t="shared" si="1"/>
        <v>0</v>
      </c>
      <c r="R71" s="1260"/>
      <c r="S71" s="126"/>
      <c r="T71" s="1262"/>
      <c r="U71" s="126"/>
      <c r="V71" s="1255"/>
      <c r="W71" s="1264"/>
      <c r="X71" s="12"/>
      <c r="Y71" s="12"/>
      <c r="Z71" s="12"/>
      <c r="AA71" s="12"/>
      <c r="AB71" s="12"/>
      <c r="AC71" s="124"/>
      <c r="AD71" s="111"/>
      <c r="AF71" s="121"/>
      <c r="AG71" s="1265"/>
      <c r="AH71" s="1266"/>
      <c r="AI71" s="1267"/>
      <c r="AJ71" s="1274"/>
      <c r="AK71" s="110"/>
      <c r="AN71" s="124">
        <v>1881</v>
      </c>
      <c r="AO71" s="135"/>
      <c r="AP71" s="111"/>
      <c r="AQ71" s="135"/>
      <c r="AR71" s="111"/>
      <c r="AS71" s="111"/>
      <c r="AT71" s="112"/>
      <c r="AU71" s="111"/>
      <c r="AV71" s="1261"/>
      <c r="AW71" s="111"/>
      <c r="AX71" s="1400"/>
      <c r="AY71" s="1403"/>
      <c r="AZ71" s="111"/>
      <c r="BA71" s="135" t="s">
        <v>100</v>
      </c>
      <c r="BB71" s="111" t="s">
        <v>100</v>
      </c>
    </row>
    <row r="72" spans="1:54" x14ac:dyDescent="0.45">
      <c r="A72" s="10">
        <v>1882</v>
      </c>
      <c r="B72" s="1234">
        <f>'1.6.2 Gas1'!B12</f>
        <v>352</v>
      </c>
      <c r="C72" s="1259"/>
      <c r="D72" s="1260"/>
      <c r="E72" s="1261"/>
      <c r="F72" s="1261"/>
      <c r="G72" s="126"/>
      <c r="H72" s="1262"/>
      <c r="I72" s="1262"/>
      <c r="J72" s="1262"/>
      <c r="K72" s="1262"/>
      <c r="L72" s="1262"/>
      <c r="M72" s="1263"/>
      <c r="N72" s="1255"/>
      <c r="O72" s="1366">
        <f t="shared" si="0"/>
        <v>6358.5352476549006</v>
      </c>
      <c r="P72" s="125"/>
      <c r="Q72" s="1366">
        <f t="shared" si="1"/>
        <v>6358.5352476549006</v>
      </c>
      <c r="R72" s="1260"/>
      <c r="S72" s="126"/>
      <c r="T72" s="1262"/>
      <c r="U72" s="126"/>
      <c r="V72" s="1255"/>
      <c r="W72" s="1264"/>
      <c r="X72" s="12"/>
      <c r="Y72" s="12"/>
      <c r="Z72" s="12"/>
      <c r="AA72" s="12"/>
      <c r="AB72" s="112">
        <f>'1.6.2 Gas1'!AB12</f>
        <v>1055.009</v>
      </c>
      <c r="AC72" s="124"/>
      <c r="AD72" s="111"/>
      <c r="AF72" s="121"/>
      <c r="AG72" s="1276">
        <f>'1.6.2 Gas1'!AG12</f>
        <v>352</v>
      </c>
      <c r="AH72" s="1276">
        <f>'1.6.2 Gas1'!AH12</f>
        <v>6358.5352476549006</v>
      </c>
      <c r="AI72" s="1277">
        <f>'1.6.2 Gas1'!AI12</f>
        <v>1055.009</v>
      </c>
      <c r="AJ72" s="1274"/>
      <c r="AK72" s="110"/>
      <c r="AN72" s="124">
        <v>1882</v>
      </c>
      <c r="AO72" s="135"/>
      <c r="AP72" s="111"/>
      <c r="AQ72" s="135"/>
      <c r="AR72" s="111"/>
      <c r="AS72" s="111"/>
      <c r="AT72" s="112"/>
      <c r="AU72" s="111"/>
      <c r="AV72" s="1261"/>
      <c r="AW72" s="111"/>
      <c r="AX72" s="1400"/>
      <c r="AY72" s="1403"/>
      <c r="AZ72" s="111"/>
      <c r="BA72" s="135" t="s">
        <v>100</v>
      </c>
      <c r="BB72" s="111" t="s">
        <v>100</v>
      </c>
    </row>
    <row r="73" spans="1:54" x14ac:dyDescent="0.45">
      <c r="A73" s="10">
        <v>1883</v>
      </c>
      <c r="B73" s="1234">
        <f>'1.6.2 Gas1'!B13</f>
        <v>357</v>
      </c>
      <c r="C73" s="1259"/>
      <c r="D73" s="1260"/>
      <c r="E73" s="1261"/>
      <c r="F73" s="1261"/>
      <c r="G73" s="126"/>
      <c r="H73" s="1262"/>
      <c r="I73" s="1262"/>
      <c r="J73" s="1262"/>
      <c r="K73" s="1262"/>
      <c r="L73" s="1262"/>
      <c r="M73" s="1263"/>
      <c r="N73" s="1255"/>
      <c r="O73" s="1366">
        <f t="shared" si="0"/>
        <v>6683.3273824277403</v>
      </c>
      <c r="P73" s="125"/>
      <c r="Q73" s="1366">
        <f t="shared" si="1"/>
        <v>6683.3273824277403</v>
      </c>
      <c r="R73" s="1260"/>
      <c r="S73" s="126"/>
      <c r="T73" s="1262"/>
      <c r="U73" s="126"/>
      <c r="V73" s="1255"/>
      <c r="W73" s="1264"/>
      <c r="X73" s="12"/>
      <c r="Y73" s="12"/>
      <c r="Z73" s="12"/>
      <c r="AA73" s="12"/>
      <c r="AB73" s="112"/>
      <c r="AC73" s="124"/>
      <c r="AD73" s="111"/>
      <c r="AF73" s="121"/>
      <c r="AG73" s="1276">
        <f>'1.6.2 Gas1'!AG13</f>
        <v>357</v>
      </c>
      <c r="AH73" s="1276">
        <f>'1.6.2 Gas1'!AH13</f>
        <v>6683.3273824277403</v>
      </c>
      <c r="AI73" s="1277">
        <f>'1.6.2 Gas1'!AI13</f>
        <v>1091.3879999999999</v>
      </c>
      <c r="AJ73" s="1274"/>
      <c r="AK73" s="110"/>
      <c r="AN73" s="124">
        <v>1883</v>
      </c>
      <c r="AO73" s="135"/>
      <c r="AP73" s="111"/>
      <c r="AQ73" s="135"/>
      <c r="AR73" s="111"/>
      <c r="AS73" s="111"/>
      <c r="AT73" s="112"/>
      <c r="AU73" s="111"/>
      <c r="AV73" s="1261"/>
      <c r="AW73" s="111"/>
      <c r="AX73" s="1400"/>
      <c r="AY73" s="1403"/>
      <c r="AZ73" s="111"/>
      <c r="BA73" s="135" t="s">
        <v>100</v>
      </c>
      <c r="BB73" s="111" t="s">
        <v>100</v>
      </c>
    </row>
    <row r="74" spans="1:54" x14ac:dyDescent="0.45">
      <c r="A74" s="10">
        <v>1884</v>
      </c>
      <c r="B74" s="1234">
        <f>'1.6.2 Gas1'!B14</f>
        <v>361</v>
      </c>
      <c r="C74" s="1259"/>
      <c r="D74" s="1260"/>
      <c r="E74" s="1261"/>
      <c r="F74" s="1261"/>
      <c r="G74" s="126"/>
      <c r="H74" s="1262"/>
      <c r="I74" s="1262"/>
      <c r="J74" s="1262"/>
      <c r="K74" s="1262"/>
      <c r="L74" s="1262"/>
      <c r="M74" s="1263"/>
      <c r="N74" s="1255"/>
      <c r="O74" s="1366">
        <f t="shared" si="0"/>
        <v>6976.3295739426294</v>
      </c>
      <c r="P74" s="125"/>
      <c r="Q74" s="1366">
        <f t="shared" si="1"/>
        <v>6976.3295739426294</v>
      </c>
      <c r="R74" s="1260"/>
      <c r="S74" s="126"/>
      <c r="T74" s="1262"/>
      <c r="U74" s="126"/>
      <c r="V74" s="1255"/>
      <c r="W74" s="1264"/>
      <c r="X74" s="12"/>
      <c r="Y74" s="12"/>
      <c r="Z74" s="12"/>
      <c r="AA74" s="12"/>
      <c r="AB74" s="112"/>
      <c r="AC74" s="124"/>
      <c r="AD74" s="111"/>
      <c r="AF74" s="121"/>
      <c r="AG74" s="1276">
        <f>'1.6.2 Gas1'!AG14</f>
        <v>361</v>
      </c>
      <c r="AH74" s="1276">
        <f>'1.6.2 Gas1'!AH14</f>
        <v>6976.3295739426294</v>
      </c>
      <c r="AI74" s="1277">
        <f>'1.6.2 Gas1'!AI14</f>
        <v>1102.6279999999999</v>
      </c>
      <c r="AJ74" s="1274"/>
      <c r="AK74" s="110"/>
      <c r="AN74" s="124">
        <v>1884</v>
      </c>
      <c r="AO74" s="135"/>
      <c r="AP74" s="111"/>
      <c r="AQ74" s="135"/>
      <c r="AR74" s="111"/>
      <c r="AS74" s="111"/>
      <c r="AT74" s="112"/>
      <c r="AU74" s="111"/>
      <c r="AV74" s="1261"/>
      <c r="AW74" s="111"/>
      <c r="AX74" s="1400"/>
      <c r="AY74" s="1403"/>
      <c r="AZ74" s="111"/>
      <c r="BA74" s="135" t="s">
        <v>100</v>
      </c>
      <c r="BB74" s="111" t="s">
        <v>100</v>
      </c>
    </row>
    <row r="75" spans="1:54" x14ac:dyDescent="0.45">
      <c r="A75" s="10">
        <v>1885</v>
      </c>
      <c r="B75" s="1234">
        <f>'1.6.2 Gas1'!B15</f>
        <v>364</v>
      </c>
      <c r="C75" s="1259"/>
      <c r="D75" s="1260"/>
      <c r="E75" s="1261"/>
      <c r="F75" s="1261"/>
      <c r="G75" s="126"/>
      <c r="H75" s="1262"/>
      <c r="I75" s="1262"/>
      <c r="J75" s="1262"/>
      <c r="K75" s="1262"/>
      <c r="L75" s="1262"/>
      <c r="M75" s="1263"/>
      <c r="N75" s="1255"/>
      <c r="O75" s="1366">
        <f t="shared" si="0"/>
        <v>7296.1490824687799</v>
      </c>
      <c r="P75" s="125"/>
      <c r="Q75" s="1366">
        <f t="shared" si="1"/>
        <v>7296.1490824687799</v>
      </c>
      <c r="R75" s="1260"/>
      <c r="S75" s="126"/>
      <c r="T75" s="1262"/>
      <c r="U75" s="126"/>
      <c r="V75" s="1255"/>
      <c r="W75" s="1264"/>
      <c r="X75" s="12"/>
      <c r="Y75" s="12"/>
      <c r="Z75" s="12"/>
      <c r="AA75" s="12"/>
      <c r="AB75" s="112"/>
      <c r="AC75" s="124"/>
      <c r="AD75" s="111"/>
      <c r="AF75" s="121"/>
      <c r="AG75" s="1276">
        <f>'1.6.2 Gas1'!AG15</f>
        <v>364</v>
      </c>
      <c r="AH75" s="1276">
        <f>'1.6.2 Gas1'!AH15</f>
        <v>7296.1490824687799</v>
      </c>
      <c r="AI75" s="1277">
        <f>'1.6.2 Gas1'!AI15</f>
        <v>1115.223</v>
      </c>
      <c r="AJ75" s="1274"/>
      <c r="AK75" s="110"/>
      <c r="AN75" s="124">
        <v>1885</v>
      </c>
      <c r="AO75" s="135"/>
      <c r="AP75" s="111"/>
      <c r="AQ75" s="135"/>
      <c r="AR75" s="111"/>
      <c r="AS75" s="111"/>
      <c r="AT75" s="112"/>
      <c r="AU75" s="111"/>
      <c r="AV75" s="1261"/>
      <c r="AW75" s="111"/>
      <c r="AX75" s="1400"/>
      <c r="AY75" s="1403"/>
      <c r="AZ75" s="111"/>
      <c r="BA75" s="135" t="s">
        <v>100</v>
      </c>
      <c r="BB75" s="111" t="s">
        <v>100</v>
      </c>
    </row>
    <row r="76" spans="1:54" x14ac:dyDescent="0.45">
      <c r="A76" s="10">
        <v>1886</v>
      </c>
      <c r="B76" s="1234">
        <f>'1.6.2 Gas1'!B16</f>
        <v>377</v>
      </c>
      <c r="C76" s="1259"/>
      <c r="D76" s="1260"/>
      <c r="E76" s="1261"/>
      <c r="F76" s="1261"/>
      <c r="G76" s="126"/>
      <c r="H76" s="1262"/>
      <c r="I76" s="1262"/>
      <c r="J76" s="1262"/>
      <c r="K76" s="1262"/>
      <c r="L76" s="1262"/>
      <c r="M76" s="1263"/>
      <c r="N76" s="1255"/>
      <c r="O76" s="1366">
        <f t="shared" ref="O76:O103" si="2">AH76</f>
        <v>7592.1997702464005</v>
      </c>
      <c r="P76" s="125"/>
      <c r="Q76" s="1366">
        <f t="shared" ref="Q76:Q104" si="3">AH76</f>
        <v>7592.1997702464005</v>
      </c>
      <c r="R76" s="1260"/>
      <c r="S76" s="126"/>
      <c r="T76" s="1262"/>
      <c r="U76" s="126"/>
      <c r="V76" s="1255"/>
      <c r="W76" s="1264"/>
      <c r="X76" s="12"/>
      <c r="Y76" s="12"/>
      <c r="Z76" s="12"/>
      <c r="AA76" s="12"/>
      <c r="AB76" s="112"/>
      <c r="AC76" s="124"/>
      <c r="AD76" s="111"/>
      <c r="AF76" s="121"/>
      <c r="AG76" s="1276">
        <f>'1.6.2 Gas1'!AG16</f>
        <v>377</v>
      </c>
      <c r="AH76" s="1276">
        <f>'1.6.2 Gas1'!AH16</f>
        <v>7592.1997702464005</v>
      </c>
      <c r="AI76" s="1277">
        <f>'1.6.2 Gas1'!AI16</f>
        <v>1133.8969999999999</v>
      </c>
      <c r="AJ76" s="1274"/>
      <c r="AK76" s="110"/>
      <c r="AN76" s="124">
        <v>1886</v>
      </c>
      <c r="AO76" s="135"/>
      <c r="AP76" s="111"/>
      <c r="AQ76" s="135"/>
      <c r="AR76" s="111"/>
      <c r="AS76" s="111"/>
      <c r="AT76" s="112"/>
      <c r="AU76" s="111"/>
      <c r="AV76" s="1261"/>
      <c r="AW76" s="111"/>
      <c r="AX76" s="1400"/>
      <c r="AY76" s="1403"/>
      <c r="AZ76" s="111"/>
      <c r="BA76" s="135" t="s">
        <v>100</v>
      </c>
      <c r="BB76" s="111" t="s">
        <v>100</v>
      </c>
    </row>
    <row r="77" spans="1:54" x14ac:dyDescent="0.45">
      <c r="A77" s="10">
        <v>1887</v>
      </c>
      <c r="B77" s="1234">
        <f>'1.6.2 Gas1'!B17</f>
        <v>384</v>
      </c>
      <c r="C77" s="1259"/>
      <c r="D77" s="1260"/>
      <c r="E77" s="1261"/>
      <c r="F77" s="1261"/>
      <c r="G77" s="126"/>
      <c r="H77" s="1262"/>
      <c r="I77" s="1262"/>
      <c r="J77" s="1262"/>
      <c r="K77" s="1262"/>
      <c r="L77" s="1262"/>
      <c r="M77" s="1263"/>
      <c r="N77" s="1255"/>
      <c r="O77" s="1366">
        <f t="shared" si="2"/>
        <v>7862.1261018039895</v>
      </c>
      <c r="P77" s="125"/>
      <c r="Q77" s="1366">
        <f t="shared" si="3"/>
        <v>7862.1261018039895</v>
      </c>
      <c r="R77" s="1260"/>
      <c r="S77" s="126"/>
      <c r="T77" s="1262"/>
      <c r="U77" s="126"/>
      <c r="V77" s="1255"/>
      <c r="W77" s="1264"/>
      <c r="X77" s="12"/>
      <c r="Y77" s="12"/>
      <c r="Z77" s="12"/>
      <c r="AA77" s="12"/>
      <c r="AB77" s="112"/>
      <c r="AC77" s="124"/>
      <c r="AD77" s="111"/>
      <c r="AF77" s="121"/>
      <c r="AG77" s="1276">
        <f>'1.6.2 Gas1'!AG17</f>
        <v>384</v>
      </c>
      <c r="AH77" s="1276">
        <f>'1.6.2 Gas1'!AH17</f>
        <v>7862.1261018039895</v>
      </c>
      <c r="AI77" s="1277">
        <f>'1.6.2 Gas1'!AI17</f>
        <v>1152.1189999999999</v>
      </c>
      <c r="AJ77" s="1274"/>
      <c r="AK77" s="110"/>
      <c r="AN77" s="124">
        <v>1887</v>
      </c>
      <c r="AO77" s="135"/>
      <c r="AP77" s="111"/>
      <c r="AQ77" s="135"/>
      <c r="AR77" s="111"/>
      <c r="AS77" s="111"/>
      <c r="AT77" s="112"/>
      <c r="AU77" s="111"/>
      <c r="AV77" s="1261"/>
      <c r="AW77" s="111"/>
      <c r="AX77" s="1400"/>
      <c r="AY77" s="1403"/>
      <c r="AZ77" s="111"/>
      <c r="BA77" s="135" t="s">
        <v>100</v>
      </c>
      <c r="BB77" s="111" t="s">
        <v>100</v>
      </c>
    </row>
    <row r="78" spans="1:54" x14ac:dyDescent="0.45">
      <c r="A78" s="10">
        <v>1888</v>
      </c>
      <c r="B78" s="1234">
        <f>'1.6.2 Gas1'!B18</f>
        <v>395</v>
      </c>
      <c r="C78" s="1259"/>
      <c r="D78" s="1260"/>
      <c r="E78" s="1261"/>
      <c r="F78" s="1261"/>
      <c r="G78" s="126"/>
      <c r="H78" s="1262"/>
      <c r="I78" s="1262"/>
      <c r="J78" s="1262"/>
      <c r="K78" s="1262"/>
      <c r="L78" s="1262"/>
      <c r="M78" s="1263"/>
      <c r="N78" s="1255"/>
      <c r="O78" s="1366">
        <f t="shared" si="2"/>
        <v>8034.7545593608493</v>
      </c>
      <c r="P78" s="125"/>
      <c r="Q78" s="1366">
        <f t="shared" si="3"/>
        <v>8034.7545593608493</v>
      </c>
      <c r="R78" s="1260"/>
      <c r="S78" s="126"/>
      <c r="T78" s="1262"/>
      <c r="U78" s="126"/>
      <c r="V78" s="1255"/>
      <c r="W78" s="1264"/>
      <c r="X78" s="12"/>
      <c r="Y78" s="12"/>
      <c r="Z78" s="12"/>
      <c r="AA78" s="12"/>
      <c r="AB78" s="112"/>
      <c r="AC78" s="124"/>
      <c r="AD78" s="111"/>
      <c r="AF78" s="121"/>
      <c r="AG78" s="1276">
        <f>'1.6.2 Gas1'!AG18</f>
        <v>395</v>
      </c>
      <c r="AH78" s="1276">
        <f>'1.6.2 Gas1'!AH18</f>
        <v>8034.7545593608493</v>
      </c>
      <c r="AI78" s="1277">
        <f>'1.6.2 Gas1'!AI18</f>
        <v>1103.1980000000001</v>
      </c>
      <c r="AJ78" s="1274"/>
      <c r="AK78" s="110"/>
      <c r="AN78" s="124">
        <v>1888</v>
      </c>
      <c r="AO78" s="135"/>
      <c r="AP78" s="111"/>
      <c r="AQ78" s="135"/>
      <c r="AR78" s="111"/>
      <c r="AS78" s="111"/>
      <c r="AT78" s="112"/>
      <c r="AU78" s="111"/>
      <c r="AV78" s="1261"/>
      <c r="AW78" s="111"/>
      <c r="AX78" s="1400"/>
      <c r="AY78" s="1403"/>
      <c r="AZ78" s="111"/>
      <c r="BA78" s="135" t="s">
        <v>100</v>
      </c>
      <c r="BB78" s="111" t="s">
        <v>100</v>
      </c>
    </row>
    <row r="79" spans="1:54" x14ac:dyDescent="0.45">
      <c r="A79" s="10">
        <v>1889</v>
      </c>
      <c r="B79" s="1234">
        <f>'1.6.2 Gas1'!B19</f>
        <v>405</v>
      </c>
      <c r="C79" s="1259"/>
      <c r="D79" s="1260"/>
      <c r="E79" s="1261"/>
      <c r="F79" s="1261"/>
      <c r="G79" s="126"/>
      <c r="H79" s="1262"/>
      <c r="I79" s="1262"/>
      <c r="J79" s="1262"/>
      <c r="K79" s="1262"/>
      <c r="L79" s="1262"/>
      <c r="M79" s="1263"/>
      <c r="N79" s="1255"/>
      <c r="O79" s="1366">
        <f t="shared" si="2"/>
        <v>8331.7880017001698</v>
      </c>
      <c r="P79" s="125"/>
      <c r="Q79" s="1366">
        <f t="shared" si="3"/>
        <v>8331.7880017001698</v>
      </c>
      <c r="R79" s="1260"/>
      <c r="S79" s="126"/>
      <c r="T79" s="1262"/>
      <c r="U79" s="126"/>
      <c r="V79" s="1255"/>
      <c r="W79" s="1264"/>
      <c r="X79" s="12"/>
      <c r="Y79" s="12"/>
      <c r="Z79" s="12"/>
      <c r="AA79" s="12"/>
      <c r="AB79" s="112"/>
      <c r="AC79" s="124"/>
      <c r="AD79" s="111"/>
      <c r="AF79" s="121"/>
      <c r="AG79" s="1276">
        <f>'1.6.2 Gas1'!AG19</f>
        <v>405</v>
      </c>
      <c r="AH79" s="1276">
        <f>'1.6.2 Gas1'!AH19</f>
        <v>8331.7880017001698</v>
      </c>
      <c r="AI79" s="1277">
        <f>'1.6.2 Gas1'!AI19</f>
        <v>1128.838</v>
      </c>
      <c r="AJ79" s="1274"/>
      <c r="AK79" s="110"/>
      <c r="AN79" s="124">
        <v>1889</v>
      </c>
      <c r="AO79" s="135"/>
      <c r="AP79" s="111"/>
      <c r="AQ79" s="135"/>
      <c r="AR79" s="111"/>
      <c r="AS79" s="111"/>
      <c r="AT79" s="112"/>
      <c r="AU79" s="111"/>
      <c r="AV79" s="1261"/>
      <c r="AW79" s="111"/>
      <c r="AX79" s="1400"/>
      <c r="AY79" s="1403"/>
      <c r="AZ79" s="111"/>
      <c r="BA79" s="135" t="s">
        <v>100</v>
      </c>
      <c r="BB79" s="111" t="s">
        <v>100</v>
      </c>
    </row>
    <row r="80" spans="1:54" x14ac:dyDescent="0.45">
      <c r="A80" s="10">
        <v>1890</v>
      </c>
      <c r="B80" s="1234">
        <f>'1.6.2 Gas1'!B20</f>
        <v>416</v>
      </c>
      <c r="C80" s="1259"/>
      <c r="D80" s="1260"/>
      <c r="E80" s="1261"/>
      <c r="F80" s="1261"/>
      <c r="G80" s="126"/>
      <c r="H80" s="1262"/>
      <c r="I80" s="1262"/>
      <c r="J80" s="1262"/>
      <c r="K80" s="1262"/>
      <c r="L80" s="1262"/>
      <c r="M80" s="1263"/>
      <c r="N80" s="1255"/>
      <c r="O80" s="1366">
        <f t="shared" si="2"/>
        <v>8660.7879476120088</v>
      </c>
      <c r="P80" s="125"/>
      <c r="Q80" s="1366">
        <f t="shared" si="3"/>
        <v>8660.7879476120088</v>
      </c>
      <c r="R80" s="1260"/>
      <c r="S80" s="126"/>
      <c r="T80" s="1262"/>
      <c r="U80" s="126"/>
      <c r="V80" s="1255"/>
      <c r="W80" s="1264"/>
      <c r="X80" s="12"/>
      <c r="Y80" s="12"/>
      <c r="Z80" s="12"/>
      <c r="AA80" s="12"/>
      <c r="AB80" s="112"/>
      <c r="AC80" s="124"/>
      <c r="AD80" s="111"/>
      <c r="AF80" s="121"/>
      <c r="AG80" s="1276">
        <f>'1.6.2 Gas1'!AG20</f>
        <v>416</v>
      </c>
      <c r="AH80" s="1276">
        <f>'1.6.2 Gas1'!AH20</f>
        <v>8660.7879476120088</v>
      </c>
      <c r="AI80" s="1277">
        <f>'1.6.2 Gas1'!AI20</f>
        <v>1153.9590000000001</v>
      </c>
      <c r="AJ80" s="1274"/>
      <c r="AK80" s="110"/>
      <c r="AN80" s="124">
        <v>1890</v>
      </c>
      <c r="AO80" s="135"/>
      <c r="AP80" s="111"/>
      <c r="AQ80" s="135"/>
      <c r="AR80" s="111"/>
      <c r="AS80" s="111"/>
      <c r="AT80" s="112"/>
      <c r="AU80" s="111"/>
      <c r="AV80" s="1261"/>
      <c r="AW80" s="111"/>
      <c r="AX80" s="1400"/>
      <c r="AY80" s="1403"/>
      <c r="AZ80" s="111"/>
      <c r="BA80" s="135" t="s">
        <v>100</v>
      </c>
      <c r="BB80" s="111" t="s">
        <v>100</v>
      </c>
    </row>
    <row r="81" spans="1:54" x14ac:dyDescent="0.45">
      <c r="A81" s="10">
        <v>1891</v>
      </c>
      <c r="B81" s="1234">
        <f>'1.6.2 Gas1'!B21</f>
        <v>422</v>
      </c>
      <c r="C81" s="1259"/>
      <c r="D81" s="1260"/>
      <c r="E81" s="1261"/>
      <c r="F81" s="1261"/>
      <c r="G81" s="126"/>
      <c r="H81" s="1262"/>
      <c r="I81" s="1262"/>
      <c r="J81" s="1262"/>
      <c r="K81" s="1262"/>
      <c r="L81" s="1262"/>
      <c r="M81" s="1263"/>
      <c r="N81" s="1255"/>
      <c r="O81" s="1366">
        <f t="shared" si="2"/>
        <v>9133.92471666042</v>
      </c>
      <c r="P81" s="125"/>
      <c r="Q81" s="1366">
        <f t="shared" si="3"/>
        <v>9133.92471666042</v>
      </c>
      <c r="R81" s="1260"/>
      <c r="S81" s="126"/>
      <c r="T81" s="1262"/>
      <c r="U81" s="126"/>
      <c r="V81" s="1255"/>
      <c r="W81" s="1264"/>
      <c r="X81" s="12"/>
      <c r="Y81" s="12"/>
      <c r="Z81" s="12"/>
      <c r="AA81" s="12"/>
      <c r="AB81" s="112"/>
      <c r="AC81" s="124"/>
      <c r="AD81" s="111"/>
      <c r="AF81" s="121"/>
      <c r="AG81" s="1276">
        <f>'1.6.2 Gas1'!AG21</f>
        <v>422</v>
      </c>
      <c r="AH81" s="1276">
        <f>'1.6.2 Gas1'!AH21</f>
        <v>9133.92471666042</v>
      </c>
      <c r="AI81" s="1277">
        <f>'1.6.2 Gas1'!AI21</f>
        <v>1180.3330000000001</v>
      </c>
      <c r="AJ81" s="1274"/>
      <c r="AK81" s="110"/>
      <c r="AN81" s="124">
        <v>1891</v>
      </c>
      <c r="AO81" s="135"/>
      <c r="AP81" s="111"/>
      <c r="AQ81" s="135"/>
      <c r="AR81" s="111"/>
      <c r="AS81" s="111"/>
      <c r="AT81" s="112"/>
      <c r="AU81" s="111"/>
      <c r="AV81" s="1261"/>
      <c r="AW81" s="111"/>
      <c r="AX81" s="1400"/>
      <c r="AY81" s="1403"/>
      <c r="AZ81" s="111"/>
      <c r="BA81" s="135" t="s">
        <v>100</v>
      </c>
      <c r="BB81" s="111" t="s">
        <v>100</v>
      </c>
    </row>
    <row r="82" spans="1:54" x14ac:dyDescent="0.45">
      <c r="A82" s="10">
        <v>1892</v>
      </c>
      <c r="B82" s="1234">
        <f>'1.6.2 Gas1'!B22</f>
        <v>429</v>
      </c>
      <c r="C82" s="1259"/>
      <c r="D82" s="1260"/>
      <c r="E82" s="1261"/>
      <c r="F82" s="1261"/>
      <c r="G82" s="126"/>
      <c r="H82" s="1262"/>
      <c r="I82" s="1262"/>
      <c r="J82" s="1262"/>
      <c r="K82" s="1262"/>
      <c r="L82" s="1262"/>
      <c r="M82" s="1263"/>
      <c r="N82" s="1255"/>
      <c r="O82" s="1366">
        <f t="shared" si="2"/>
        <v>9333.5944418413201</v>
      </c>
      <c r="P82" s="125"/>
      <c r="Q82" s="1366">
        <f t="shared" si="3"/>
        <v>9333.5944418413201</v>
      </c>
      <c r="R82" s="1260"/>
      <c r="S82" s="126"/>
      <c r="T82" s="1262"/>
      <c r="U82" s="126"/>
      <c r="V82" s="1255"/>
      <c r="W82" s="1264"/>
      <c r="X82" s="12"/>
      <c r="Y82" s="12"/>
      <c r="Z82" s="12"/>
      <c r="AA82" s="12"/>
      <c r="AB82" s="112"/>
      <c r="AC82" s="124"/>
      <c r="AD82" s="111"/>
      <c r="AF82" s="121"/>
      <c r="AG82" s="1276">
        <f>'1.6.2 Gas1'!AG22</f>
        <v>429</v>
      </c>
      <c r="AH82" s="1276">
        <f>'1.6.2 Gas1'!AH22</f>
        <v>9333.5944418413201</v>
      </c>
      <c r="AI82" s="1277">
        <f>'1.6.2 Gas1'!AI22</f>
        <v>1213.3219999999999</v>
      </c>
      <c r="AJ82" s="1274"/>
      <c r="AK82" s="110"/>
      <c r="AN82" s="124">
        <v>1892</v>
      </c>
      <c r="AO82" s="135"/>
      <c r="AP82" s="111"/>
      <c r="AQ82" s="135"/>
      <c r="AR82" s="111"/>
      <c r="AS82" s="111"/>
      <c r="AT82" s="112"/>
      <c r="AU82" s="111"/>
      <c r="AV82" s="1261"/>
      <c r="AW82" s="111"/>
      <c r="AX82" s="1400"/>
      <c r="AY82" s="1403"/>
      <c r="AZ82" s="111"/>
      <c r="BA82" s="135" t="s">
        <v>100</v>
      </c>
      <c r="BB82" s="111" t="s">
        <v>100</v>
      </c>
    </row>
    <row r="83" spans="1:54" x14ac:dyDescent="0.45">
      <c r="A83" s="10">
        <v>1893</v>
      </c>
      <c r="B83" s="1234">
        <f>'1.6.2 Gas1'!B23</f>
        <v>428</v>
      </c>
      <c r="C83" s="1259"/>
      <c r="D83" s="1260"/>
      <c r="E83" s="1261"/>
      <c r="F83" s="1261"/>
      <c r="G83" s="126"/>
      <c r="H83" s="1262"/>
      <c r="I83" s="1262"/>
      <c r="J83" s="1262"/>
      <c r="K83" s="1262"/>
      <c r="L83" s="1262"/>
      <c r="M83" s="1263"/>
      <c r="N83" s="1255"/>
      <c r="O83" s="1366">
        <f t="shared" si="2"/>
        <v>9155.1304072682997</v>
      </c>
      <c r="P83" s="125"/>
      <c r="Q83" s="1366">
        <f t="shared" si="3"/>
        <v>9155.1304072682997</v>
      </c>
      <c r="R83" s="1260"/>
      <c r="S83" s="126"/>
      <c r="T83" s="1262"/>
      <c r="U83" s="126"/>
      <c r="V83" s="1255"/>
      <c r="W83" s="1264"/>
      <c r="X83" s="12"/>
      <c r="Y83" s="12"/>
      <c r="Z83" s="12"/>
      <c r="AA83" s="12"/>
      <c r="AB83" s="112"/>
      <c r="AC83" s="124"/>
      <c r="AD83" s="111"/>
      <c r="AF83" s="121"/>
      <c r="AG83" s="1276">
        <f>'1.6.2 Gas1'!AG23</f>
        <v>428</v>
      </c>
      <c r="AH83" s="1276">
        <f>'1.6.2 Gas1'!AH23</f>
        <v>9155.1304072682997</v>
      </c>
      <c r="AI83" s="1277">
        <f>'1.6.2 Gas1'!AI23</f>
        <v>1225.2529999999999</v>
      </c>
      <c r="AJ83" s="1274"/>
      <c r="AK83" s="110"/>
      <c r="AN83" s="124">
        <v>1893</v>
      </c>
      <c r="AO83" s="135"/>
      <c r="AP83" s="111"/>
      <c r="AQ83" s="135"/>
      <c r="AR83" s="111"/>
      <c r="AS83" s="111"/>
      <c r="AT83" s="112"/>
      <c r="AU83" s="111"/>
      <c r="AV83" s="1261"/>
      <c r="AW83" s="111"/>
      <c r="AX83" s="1400"/>
      <c r="AY83" s="1403"/>
      <c r="AZ83" s="111"/>
      <c r="BA83" s="135" t="s">
        <v>100</v>
      </c>
      <c r="BB83" s="111" t="s">
        <v>100</v>
      </c>
    </row>
    <row r="84" spans="1:54" x14ac:dyDescent="0.45">
      <c r="A84" s="10">
        <v>1894</v>
      </c>
      <c r="B84" s="1234">
        <f>'1.6.2 Gas1'!B24</f>
        <v>428</v>
      </c>
      <c r="C84" s="1259"/>
      <c r="D84" s="1260"/>
      <c r="E84" s="1261"/>
      <c r="F84" s="1261"/>
      <c r="G84" s="126"/>
      <c r="H84" s="1262"/>
      <c r="I84" s="1262"/>
      <c r="J84" s="1262"/>
      <c r="K84" s="1262"/>
      <c r="L84" s="1262"/>
      <c r="M84" s="1263"/>
      <c r="N84" s="1255"/>
      <c r="O84" s="1366">
        <f t="shared" si="2"/>
        <v>9363.1356525417305</v>
      </c>
      <c r="P84" s="125"/>
      <c r="Q84" s="1366">
        <f t="shared" si="3"/>
        <v>9363.1356525417305</v>
      </c>
      <c r="R84" s="1260"/>
      <c r="S84" s="126"/>
      <c r="T84" s="1262"/>
      <c r="U84" s="126"/>
      <c r="V84" s="1255"/>
      <c r="W84" s="1264"/>
      <c r="X84" s="12"/>
      <c r="Y84" s="12"/>
      <c r="Z84" s="12"/>
      <c r="AA84" s="12"/>
      <c r="AB84" s="112"/>
      <c r="AC84" s="124"/>
      <c r="AD84" s="111"/>
      <c r="AF84" s="121"/>
      <c r="AG84" s="1276">
        <f>'1.6.2 Gas1'!AG24</f>
        <v>428</v>
      </c>
      <c r="AH84" s="1276">
        <f>'1.6.2 Gas1'!AH24</f>
        <v>9363.1356525417305</v>
      </c>
      <c r="AI84" s="1277">
        <f>'1.6.2 Gas1'!AI24</f>
        <v>1266.943</v>
      </c>
      <c r="AJ84" s="1274"/>
      <c r="AK84" s="110"/>
      <c r="AN84" s="124">
        <v>1894</v>
      </c>
      <c r="AO84" s="135"/>
      <c r="AP84" s="111"/>
      <c r="AQ84" s="135"/>
      <c r="AR84" s="111"/>
      <c r="AS84" s="111"/>
      <c r="AT84" s="112"/>
      <c r="AU84" s="111"/>
      <c r="AV84" s="1261"/>
      <c r="AW84" s="111"/>
      <c r="AX84" s="1400"/>
      <c r="AY84" s="1403"/>
      <c r="AZ84" s="111"/>
      <c r="BA84" s="135" t="s">
        <v>100</v>
      </c>
      <c r="BB84" s="111" t="s">
        <v>100</v>
      </c>
    </row>
    <row r="85" spans="1:54" x14ac:dyDescent="0.45">
      <c r="A85" s="10">
        <v>1895</v>
      </c>
      <c r="B85" s="1234">
        <f>'1.6.2 Gas1'!B25</f>
        <v>429</v>
      </c>
      <c r="C85" s="1259"/>
      <c r="D85" s="1260"/>
      <c r="E85" s="1261"/>
      <c r="F85" s="1261"/>
      <c r="G85" s="126"/>
      <c r="H85" s="1262"/>
      <c r="I85" s="1262"/>
      <c r="J85" s="1262"/>
      <c r="K85" s="1262"/>
      <c r="L85" s="1262"/>
      <c r="M85" s="1263"/>
      <c r="N85" s="1255"/>
      <c r="O85" s="1366">
        <f t="shared" si="2"/>
        <v>9922.3081799436895</v>
      </c>
      <c r="P85" s="125"/>
      <c r="Q85" s="1366">
        <f t="shared" si="3"/>
        <v>9922.3081799436895</v>
      </c>
      <c r="R85" s="1260"/>
      <c r="S85" s="126"/>
      <c r="T85" s="1262"/>
      <c r="U85" s="126"/>
      <c r="V85" s="1255"/>
      <c r="W85" s="1264"/>
      <c r="X85" s="12"/>
      <c r="Y85" s="12"/>
      <c r="Z85" s="12"/>
      <c r="AA85" s="12"/>
      <c r="AB85" s="112"/>
      <c r="AC85" s="124"/>
      <c r="AD85" s="111"/>
      <c r="AF85" s="121"/>
      <c r="AG85" s="1276">
        <f>'1.6.2 Gas1'!AG25</f>
        <v>429</v>
      </c>
      <c r="AH85" s="1276">
        <f>'1.6.2 Gas1'!AH25</f>
        <v>9922.3081799436895</v>
      </c>
      <c r="AI85" s="1277">
        <f>'1.6.2 Gas1'!AI25</f>
        <v>1339.712</v>
      </c>
      <c r="AJ85" s="1274"/>
      <c r="AK85" s="110"/>
      <c r="AN85" s="124">
        <v>1895</v>
      </c>
      <c r="AO85" s="135"/>
      <c r="AP85" s="111"/>
      <c r="AQ85" s="135"/>
      <c r="AR85" s="111"/>
      <c r="AS85" s="111"/>
      <c r="AT85" s="112"/>
      <c r="AU85" s="111"/>
      <c r="AV85" s="1261"/>
      <c r="AW85" s="111"/>
      <c r="AX85" s="1400"/>
      <c r="AY85" s="1403"/>
      <c r="AZ85" s="111"/>
      <c r="BA85" s="135" t="s">
        <v>100</v>
      </c>
      <c r="BB85" s="111" t="s">
        <v>100</v>
      </c>
    </row>
    <row r="86" spans="1:54" x14ac:dyDescent="0.45">
      <c r="A86" s="10">
        <v>1896</v>
      </c>
      <c r="B86" s="1234">
        <f>'1.6.2 Gas1'!B26</f>
        <v>433</v>
      </c>
      <c r="C86" s="1259"/>
      <c r="D86" s="1260"/>
      <c r="E86" s="1261"/>
      <c r="F86" s="1261"/>
      <c r="G86" s="126"/>
      <c r="H86" s="1262"/>
      <c r="I86" s="1262"/>
      <c r="J86" s="1262"/>
      <c r="K86" s="1262"/>
      <c r="L86" s="1262"/>
      <c r="M86" s="1263"/>
      <c r="N86" s="1255"/>
      <c r="O86" s="1366">
        <f t="shared" si="2"/>
        <v>10309.910912704259</v>
      </c>
      <c r="P86" s="125"/>
      <c r="Q86" s="1366">
        <f t="shared" si="3"/>
        <v>10309.910912704259</v>
      </c>
      <c r="R86" s="1260"/>
      <c r="S86" s="126"/>
      <c r="T86" s="1262"/>
      <c r="U86" s="126"/>
      <c r="V86" s="1255"/>
      <c r="W86" s="1264"/>
      <c r="X86" s="12"/>
      <c r="Y86" s="12"/>
      <c r="Z86" s="12"/>
      <c r="AA86" s="12"/>
      <c r="AB86" s="112"/>
      <c r="AC86" s="124"/>
      <c r="AD86" s="111"/>
      <c r="AF86" s="121"/>
      <c r="AG86" s="1276">
        <f>'1.6.2 Gas1'!AG26</f>
        <v>433</v>
      </c>
      <c r="AH86" s="1276">
        <f>'1.6.2 Gas1'!AH26</f>
        <v>10309.910912704259</v>
      </c>
      <c r="AI86" s="1277">
        <f>'1.6.2 Gas1'!AI26</f>
        <v>1439.2719999999999</v>
      </c>
      <c r="AJ86" s="1274"/>
      <c r="AK86" s="110"/>
      <c r="AN86" s="124">
        <v>1896</v>
      </c>
      <c r="AO86" s="135"/>
      <c r="AP86" s="111"/>
      <c r="AQ86" s="135"/>
      <c r="AR86" s="111"/>
      <c r="AS86" s="111"/>
      <c r="AT86" s="112"/>
      <c r="AU86" s="111"/>
      <c r="AV86" s="1261"/>
      <c r="AW86" s="111"/>
      <c r="AX86" s="1400"/>
      <c r="AY86" s="1403"/>
      <c r="AZ86" s="111"/>
      <c r="BA86" s="135" t="s">
        <v>100</v>
      </c>
      <c r="BB86" s="111" t="s">
        <v>100</v>
      </c>
    </row>
    <row r="87" spans="1:54" x14ac:dyDescent="0.45">
      <c r="A87" s="10">
        <v>1897</v>
      </c>
      <c r="B87" s="1234">
        <f>'1.6.2 Gas1'!B27</f>
        <v>436</v>
      </c>
      <c r="C87" s="1259"/>
      <c r="D87" s="1260"/>
      <c r="E87" s="1261"/>
      <c r="F87" s="1261"/>
      <c r="G87" s="126"/>
      <c r="H87" s="1262"/>
      <c r="I87" s="1262"/>
      <c r="J87" s="1262"/>
      <c r="K87" s="1262"/>
      <c r="L87" s="1262"/>
      <c r="M87" s="1263"/>
      <c r="N87" s="1255"/>
      <c r="O87" s="1366">
        <f t="shared" si="2"/>
        <v>10872.116139602878</v>
      </c>
      <c r="P87" s="125"/>
      <c r="Q87" s="1366">
        <f t="shared" si="3"/>
        <v>10872.116139602878</v>
      </c>
      <c r="R87" s="1260"/>
      <c r="S87" s="126"/>
      <c r="T87" s="1262"/>
      <c r="U87" s="126"/>
      <c r="V87" s="1255"/>
      <c r="W87" s="1264"/>
      <c r="X87" s="12"/>
      <c r="Y87" s="12"/>
      <c r="Z87" s="12"/>
      <c r="AA87" s="12"/>
      <c r="AB87" s="112"/>
      <c r="AC87" s="124"/>
      <c r="AD87" s="111"/>
      <c r="AF87" s="121"/>
      <c r="AG87" s="1276">
        <f>'1.6.2 Gas1'!AG27</f>
        <v>436</v>
      </c>
      <c r="AH87" s="1276">
        <f>'1.6.2 Gas1'!AH27</f>
        <v>10872.116139602878</v>
      </c>
      <c r="AI87" s="1277">
        <f>'1.6.2 Gas1'!AI27</f>
        <v>1549.627</v>
      </c>
      <c r="AJ87" s="1274"/>
      <c r="AK87" s="110"/>
      <c r="AN87" s="124">
        <v>1897</v>
      </c>
      <c r="AO87" s="135"/>
      <c r="AP87" s="111"/>
      <c r="AQ87" s="135"/>
      <c r="AR87" s="111"/>
      <c r="AS87" s="111"/>
      <c r="AT87" s="112"/>
      <c r="AU87" s="111"/>
      <c r="AV87" s="1261"/>
      <c r="AW87" s="111"/>
      <c r="AX87" s="1400"/>
      <c r="AY87" s="1403"/>
      <c r="AZ87" s="111"/>
      <c r="BA87" s="135" t="s">
        <v>100</v>
      </c>
      <c r="BB87" s="111" t="s">
        <v>100</v>
      </c>
    </row>
    <row r="88" spans="1:54" x14ac:dyDescent="0.45">
      <c r="A88" s="10">
        <v>1898</v>
      </c>
      <c r="B88" s="1234">
        <f>'1.6.2 Gas1'!B28</f>
        <v>439</v>
      </c>
      <c r="C88" s="1259"/>
      <c r="D88" s="1260"/>
      <c r="E88" s="1261"/>
      <c r="F88" s="1261"/>
      <c r="G88" s="126"/>
      <c r="H88" s="1262"/>
      <c r="I88" s="1262"/>
      <c r="J88" s="1262"/>
      <c r="K88" s="1262"/>
      <c r="L88" s="1262"/>
      <c r="M88" s="1263"/>
      <c r="N88" s="1255"/>
      <c r="O88" s="1366">
        <f t="shared" si="2"/>
        <v>11194.41560060763</v>
      </c>
      <c r="P88" s="125"/>
      <c r="Q88" s="1366">
        <f t="shared" si="3"/>
        <v>11194.41560060763</v>
      </c>
      <c r="R88" s="1260"/>
      <c r="S88" s="126"/>
      <c r="T88" s="1262"/>
      <c r="U88" s="126"/>
      <c r="V88" s="1255"/>
      <c r="W88" s="1264"/>
      <c r="X88" s="12"/>
      <c r="Y88" s="12"/>
      <c r="Z88" s="12"/>
      <c r="AA88" s="12"/>
      <c r="AB88" s="112"/>
      <c r="AC88" s="124"/>
      <c r="AD88" s="111"/>
      <c r="AF88" s="121"/>
      <c r="AG88" s="1276">
        <f>'1.6.2 Gas1'!AG28</f>
        <v>439</v>
      </c>
      <c r="AH88" s="1276">
        <f>'1.6.2 Gas1'!AH28</f>
        <v>11194.41560060763</v>
      </c>
      <c r="AI88" s="1277">
        <f>'1.6.2 Gas1'!AI28</f>
        <v>1670.847</v>
      </c>
      <c r="AJ88" s="1274"/>
      <c r="AK88" s="110"/>
      <c r="AN88" s="124">
        <v>1898</v>
      </c>
      <c r="AO88" s="135"/>
      <c r="AP88" s="111"/>
      <c r="AQ88" s="135"/>
      <c r="AR88" s="111"/>
      <c r="AS88" s="111"/>
      <c r="AT88" s="112"/>
      <c r="AU88" s="111"/>
      <c r="AV88" s="1261"/>
      <c r="AW88" s="111"/>
      <c r="AX88" s="1400"/>
      <c r="AY88" s="1403"/>
      <c r="AZ88" s="111"/>
      <c r="BA88" s="135" t="s">
        <v>100</v>
      </c>
      <c r="BB88" s="111" t="s">
        <v>100</v>
      </c>
    </row>
    <row r="89" spans="1:54" x14ac:dyDescent="0.45">
      <c r="A89" s="10">
        <v>1899</v>
      </c>
      <c r="B89" s="1234">
        <f>'1.6.2 Gas1'!B29</f>
        <v>450</v>
      </c>
      <c r="C89" s="1259"/>
      <c r="D89" s="1260"/>
      <c r="E89" s="1261"/>
      <c r="F89" s="1261"/>
      <c r="G89" s="126"/>
      <c r="H89" s="1262"/>
      <c r="I89" s="1262"/>
      <c r="J89" s="1262"/>
      <c r="K89" s="1262"/>
      <c r="L89" s="1262"/>
      <c r="M89" s="1263"/>
      <c r="N89" s="1255"/>
      <c r="O89" s="1366">
        <f t="shared" si="2"/>
        <v>11847.858474906088</v>
      </c>
      <c r="P89" s="125"/>
      <c r="Q89" s="1366">
        <f t="shared" si="3"/>
        <v>11847.858474906088</v>
      </c>
      <c r="R89" s="1260"/>
      <c r="S89" s="126"/>
      <c r="T89" s="1262"/>
      <c r="U89" s="126"/>
      <c r="V89" s="1255"/>
      <c r="W89" s="1264"/>
      <c r="X89" s="12"/>
      <c r="Y89" s="12"/>
      <c r="Z89" s="12"/>
      <c r="AA89" s="12"/>
      <c r="AB89" s="112"/>
      <c r="AC89" s="124"/>
      <c r="AD89" s="111"/>
      <c r="AF89" s="121"/>
      <c r="AG89" s="1276">
        <f>'1.6.2 Gas1'!AG29</f>
        <v>450</v>
      </c>
      <c r="AH89" s="1276">
        <f>'1.6.2 Gas1'!AH29</f>
        <v>11847.858474906088</v>
      </c>
      <c r="AI89" s="1277">
        <f>'1.6.2 Gas1'!AI29</f>
        <v>1817.6489999999999</v>
      </c>
      <c r="AJ89" s="1274"/>
      <c r="AK89" s="110"/>
      <c r="AN89" s="124">
        <v>1899</v>
      </c>
      <c r="AO89" s="135"/>
      <c r="AP89" s="111"/>
      <c r="AQ89" s="135"/>
      <c r="AR89" s="111"/>
      <c r="AS89" s="111"/>
      <c r="AT89" s="112"/>
      <c r="AU89" s="111"/>
      <c r="AV89" s="1261"/>
      <c r="AW89" s="111"/>
      <c r="AX89" s="1400"/>
      <c r="AY89" s="1403"/>
      <c r="AZ89" s="111"/>
      <c r="BA89" s="135" t="s">
        <v>100</v>
      </c>
      <c r="BB89" s="111" t="s">
        <v>100</v>
      </c>
    </row>
    <row r="90" spans="1:54" x14ac:dyDescent="0.45">
      <c r="A90" s="10">
        <v>1900</v>
      </c>
      <c r="B90" s="1234">
        <f>'1.6.2 Gas1'!B30</f>
        <v>453</v>
      </c>
      <c r="C90" s="1259"/>
      <c r="D90" s="1260"/>
      <c r="E90" s="1261"/>
      <c r="F90" s="1261"/>
      <c r="G90" s="126"/>
      <c r="H90" s="1262"/>
      <c r="I90" s="1262"/>
      <c r="J90" s="1262"/>
      <c r="K90" s="1262"/>
      <c r="L90" s="1262"/>
      <c r="M90" s="1263"/>
      <c r="N90" s="1255"/>
      <c r="O90" s="1366">
        <f t="shared" si="2"/>
        <v>12258.17500015386</v>
      </c>
      <c r="P90" s="125"/>
      <c r="Q90" s="1366">
        <f t="shared" si="3"/>
        <v>12258.17500015386</v>
      </c>
      <c r="R90" s="1260"/>
      <c r="S90" s="126"/>
      <c r="T90" s="1262"/>
      <c r="U90" s="126"/>
      <c r="V90" s="1255"/>
      <c r="W90" s="1264"/>
      <c r="X90" s="12"/>
      <c r="Y90" s="12"/>
      <c r="Z90" s="12"/>
      <c r="AA90" s="12"/>
      <c r="AB90" s="112"/>
      <c r="AC90" s="124"/>
      <c r="AD90" s="111"/>
      <c r="AF90" s="121"/>
      <c r="AG90" s="1276">
        <f>'1.6.2 Gas1'!AG30</f>
        <v>453</v>
      </c>
      <c r="AH90" s="1276">
        <f>'1.6.2 Gas1'!AH30</f>
        <v>12258.17500015386</v>
      </c>
      <c r="AI90" s="1277">
        <f>'1.6.2 Gas1'!AI30</f>
        <v>1945.825</v>
      </c>
      <c r="AJ90" s="1274"/>
      <c r="AK90" s="110"/>
      <c r="AN90" s="124">
        <v>1900</v>
      </c>
      <c r="AO90" s="135"/>
      <c r="AP90" s="111"/>
      <c r="AQ90" s="135"/>
      <c r="AR90" s="111"/>
      <c r="AS90" s="111"/>
      <c r="AT90" s="112"/>
      <c r="AU90" s="111"/>
      <c r="AV90" s="1261"/>
      <c r="AW90" s="111"/>
      <c r="AX90" s="1400"/>
      <c r="AY90" s="1403"/>
      <c r="AZ90" s="111"/>
      <c r="BA90" s="135" t="s">
        <v>100</v>
      </c>
      <c r="BB90" s="111" t="s">
        <v>100</v>
      </c>
    </row>
    <row r="91" spans="1:54" x14ac:dyDescent="0.45">
      <c r="A91" s="10">
        <v>1901</v>
      </c>
      <c r="B91" s="1234">
        <f>'1.6.2 Gas1'!B31</f>
        <v>454</v>
      </c>
      <c r="C91" s="1259"/>
      <c r="D91" s="1260"/>
      <c r="E91" s="1261"/>
      <c r="F91" s="1261"/>
      <c r="G91" s="126"/>
      <c r="H91" s="1262"/>
      <c r="I91" s="1262"/>
      <c r="J91" s="1262"/>
      <c r="K91" s="1262"/>
      <c r="L91" s="1262"/>
      <c r="M91" s="1263"/>
      <c r="N91" s="1255"/>
      <c r="O91" s="1366">
        <f t="shared" si="2"/>
        <v>12537.488944383118</v>
      </c>
      <c r="P91" s="125"/>
      <c r="Q91" s="1366">
        <f t="shared" si="3"/>
        <v>12537.488944383118</v>
      </c>
      <c r="R91" s="1260"/>
      <c r="S91" s="126"/>
      <c r="T91" s="1262"/>
      <c r="U91" s="126"/>
      <c r="V91" s="1255"/>
      <c r="W91" s="1264"/>
      <c r="X91" s="12"/>
      <c r="Y91" s="12"/>
      <c r="Z91" s="12"/>
      <c r="AA91" s="12"/>
      <c r="AB91" s="112"/>
      <c r="AC91" s="124"/>
      <c r="AD91" s="111"/>
      <c r="AF91" s="121"/>
      <c r="AG91" s="1276">
        <f>'1.6.2 Gas1'!AG31</f>
        <v>454</v>
      </c>
      <c r="AH91" s="1276">
        <f>'1.6.2 Gas1'!AH31</f>
        <v>12537.488944383118</v>
      </c>
      <c r="AI91" s="1277">
        <f>'1.6.2 Gas1'!AI31</f>
        <v>2048.3589999999999</v>
      </c>
      <c r="AJ91" s="1274"/>
      <c r="AK91" s="110"/>
      <c r="AN91" s="124">
        <v>1901</v>
      </c>
      <c r="AO91" s="135"/>
      <c r="AP91" s="111"/>
      <c r="AQ91" s="135"/>
      <c r="AR91" s="111"/>
      <c r="AS91" s="111"/>
      <c r="AT91" s="112"/>
      <c r="AU91" s="111"/>
      <c r="AV91" s="1261"/>
      <c r="AW91" s="111"/>
      <c r="AX91" s="1400"/>
      <c r="AY91" s="1403"/>
      <c r="AZ91" s="111"/>
      <c r="BA91" s="135" t="s">
        <v>100</v>
      </c>
      <c r="BB91" s="111" t="s">
        <v>100</v>
      </c>
    </row>
    <row r="92" spans="1:54" x14ac:dyDescent="0.45">
      <c r="A92" s="10">
        <v>1902</v>
      </c>
      <c r="B92" s="1234">
        <f>'1.6.2 Gas1'!B32</f>
        <v>454</v>
      </c>
      <c r="C92" s="1259"/>
      <c r="D92" s="1260"/>
      <c r="E92" s="1261"/>
      <c r="F92" s="1261"/>
      <c r="G92" s="126"/>
      <c r="H92" s="1262"/>
      <c r="I92" s="1262"/>
      <c r="J92" s="1262"/>
      <c r="K92" s="1262"/>
      <c r="L92" s="1262"/>
      <c r="M92" s="1263"/>
      <c r="N92" s="1255"/>
      <c r="O92" s="1366">
        <f t="shared" si="2"/>
        <v>12854.97822022236</v>
      </c>
      <c r="P92" s="125"/>
      <c r="Q92" s="1366">
        <f t="shared" si="3"/>
        <v>12854.97822022236</v>
      </c>
      <c r="R92" s="1260"/>
      <c r="S92" s="126"/>
      <c r="T92" s="1262"/>
      <c r="U92" s="126"/>
      <c r="V92" s="1255"/>
      <c r="W92" s="1264"/>
      <c r="X92" s="12"/>
      <c r="Y92" s="12"/>
      <c r="Z92" s="12"/>
      <c r="AA92" s="12"/>
      <c r="AB92" s="112"/>
      <c r="AC92" s="124"/>
      <c r="AD92" s="111"/>
      <c r="AF92" s="121"/>
      <c r="AG92" s="1276">
        <f>'1.6.2 Gas1'!AG32</f>
        <v>454</v>
      </c>
      <c r="AH92" s="1276">
        <f>'1.6.2 Gas1'!AH32</f>
        <v>12854.97822022236</v>
      </c>
      <c r="AI92" s="1277">
        <f>'1.6.2 Gas1'!AI32</f>
        <v>2197.9870000000001</v>
      </c>
      <c r="AJ92" s="1274"/>
      <c r="AK92" s="110"/>
      <c r="AN92" s="124">
        <v>1902</v>
      </c>
      <c r="AO92" s="135"/>
      <c r="AP92" s="111"/>
      <c r="AQ92" s="135"/>
      <c r="AR92" s="111"/>
      <c r="AS92" s="111"/>
      <c r="AT92" s="112"/>
      <c r="AU92" s="111"/>
      <c r="AV92" s="1261"/>
      <c r="AW92" s="111"/>
      <c r="AX92" s="1400"/>
      <c r="AY92" s="1403"/>
      <c r="AZ92" s="111"/>
      <c r="BA92" s="135" t="s">
        <v>100</v>
      </c>
      <c r="BB92" s="111" t="s">
        <v>100</v>
      </c>
    </row>
    <row r="93" spans="1:54" x14ac:dyDescent="0.45">
      <c r="A93" s="10">
        <v>1903</v>
      </c>
      <c r="B93" s="1234">
        <f>'1.6.2 Gas1'!B33</f>
        <v>459</v>
      </c>
      <c r="C93" s="1259"/>
      <c r="D93" s="1260"/>
      <c r="E93" s="1261"/>
      <c r="F93" s="1261"/>
      <c r="G93" s="126"/>
      <c r="H93" s="1262"/>
      <c r="I93" s="1262"/>
      <c r="J93" s="1262"/>
      <c r="K93" s="1262"/>
      <c r="L93" s="1262"/>
      <c r="M93" s="1263"/>
      <c r="N93" s="1255"/>
      <c r="O93" s="1366">
        <f t="shared" si="2"/>
        <v>13129.949032343098</v>
      </c>
      <c r="P93" s="125"/>
      <c r="Q93" s="1366">
        <f t="shared" si="3"/>
        <v>13129.949032343098</v>
      </c>
      <c r="R93" s="1260"/>
      <c r="S93" s="126"/>
      <c r="T93" s="1262"/>
      <c r="U93" s="126"/>
      <c r="V93" s="1255"/>
      <c r="W93" s="1264"/>
      <c r="X93" s="12"/>
      <c r="Y93" s="12"/>
      <c r="Z93" s="12"/>
      <c r="AA93" s="12"/>
      <c r="AB93" s="112"/>
      <c r="AC93" s="124"/>
      <c r="AD93" s="111"/>
      <c r="AF93" s="121"/>
      <c r="AG93" s="1276">
        <f>'1.6.2 Gas1'!AG33</f>
        <v>459</v>
      </c>
      <c r="AH93" s="1276">
        <f>'1.6.2 Gas1'!AH33</f>
        <v>13129.949032343098</v>
      </c>
      <c r="AI93" s="1277">
        <f>'1.6.2 Gas1'!AI33</f>
        <v>2385.348</v>
      </c>
      <c r="AJ93" s="1274"/>
      <c r="AK93" s="110"/>
      <c r="AN93" s="124">
        <v>1903</v>
      </c>
      <c r="AO93" s="135"/>
      <c r="AP93" s="111"/>
      <c r="AQ93" s="135"/>
      <c r="AR93" s="111"/>
      <c r="AS93" s="111"/>
      <c r="AT93" s="112"/>
      <c r="AU93" s="111"/>
      <c r="AV93" s="1261"/>
      <c r="AW93" s="111"/>
      <c r="AX93" s="1400"/>
      <c r="AY93" s="1403"/>
      <c r="AZ93" s="111"/>
      <c r="BA93" s="135" t="s">
        <v>100</v>
      </c>
      <c r="BB93" s="111" t="s">
        <v>100</v>
      </c>
    </row>
    <row r="94" spans="1:54" x14ac:dyDescent="0.45">
      <c r="A94" s="10">
        <v>1904</v>
      </c>
      <c r="B94" s="1234">
        <f>'1.6.2 Gas1'!B34</f>
        <v>469</v>
      </c>
      <c r="C94" s="1259"/>
      <c r="D94" s="1260"/>
      <c r="E94" s="1261"/>
      <c r="F94" s="1261"/>
      <c r="G94" s="126"/>
      <c r="H94" s="1262"/>
      <c r="I94" s="1262"/>
      <c r="J94" s="1262"/>
      <c r="K94" s="1262"/>
      <c r="L94" s="1262"/>
      <c r="M94" s="1263"/>
      <c r="N94" s="1255"/>
      <c r="O94" s="1366">
        <f t="shared" si="2"/>
        <v>13595.725067580448</v>
      </c>
      <c r="P94" s="125"/>
      <c r="Q94" s="1366">
        <f t="shared" si="3"/>
        <v>13595.725067580448</v>
      </c>
      <c r="R94" s="1260"/>
      <c r="S94" s="126"/>
      <c r="T94" s="1262"/>
      <c r="U94" s="126"/>
      <c r="V94" s="1255"/>
      <c r="W94" s="1264"/>
      <c r="X94" s="12"/>
      <c r="Y94" s="12"/>
      <c r="Z94" s="12"/>
      <c r="AA94" s="12"/>
      <c r="AB94" s="112"/>
      <c r="AC94" s="124"/>
      <c r="AD94" s="111"/>
      <c r="AF94" s="121"/>
      <c r="AG94" s="1276">
        <f>'1.6.2 Gas1'!AG34</f>
        <v>469</v>
      </c>
      <c r="AH94" s="1276">
        <f>'1.6.2 Gas1'!AH34</f>
        <v>13595.725067580448</v>
      </c>
      <c r="AI94" s="1277">
        <f>'1.6.2 Gas1'!AI34</f>
        <v>2588.9169999999999</v>
      </c>
      <c r="AJ94" s="1274"/>
      <c r="AK94" s="110"/>
      <c r="AN94" s="124">
        <v>1904</v>
      </c>
      <c r="AO94" s="135"/>
      <c r="AP94" s="111"/>
      <c r="AQ94" s="135"/>
      <c r="AR94" s="111"/>
      <c r="AS94" s="111"/>
      <c r="AT94" s="112"/>
      <c r="AU94" s="111"/>
      <c r="AV94" s="1261"/>
      <c r="AW94" s="111"/>
      <c r="AX94" s="1400"/>
      <c r="AY94" s="1403"/>
      <c r="AZ94" s="111"/>
      <c r="BA94" s="135" t="s">
        <v>100</v>
      </c>
      <c r="BB94" s="111" t="s">
        <v>100</v>
      </c>
    </row>
    <row r="95" spans="1:54" x14ac:dyDescent="0.45">
      <c r="A95" s="10">
        <v>1905</v>
      </c>
      <c r="B95" s="1234">
        <f>'1.6.2 Gas1'!B35</f>
        <v>482</v>
      </c>
      <c r="C95" s="1259"/>
      <c r="D95" s="1260"/>
      <c r="E95" s="1261"/>
      <c r="F95" s="1261"/>
      <c r="G95" s="126"/>
      <c r="H95" s="1262"/>
      <c r="I95" s="1262"/>
      <c r="J95" s="1262"/>
      <c r="K95" s="1262"/>
      <c r="L95" s="1262"/>
      <c r="M95" s="1263"/>
      <c r="N95" s="1255"/>
      <c r="O95" s="1366">
        <f t="shared" si="2"/>
        <v>14098.046851223551</v>
      </c>
      <c r="P95" s="125"/>
      <c r="Q95" s="1366">
        <f t="shared" si="3"/>
        <v>14098.046851223551</v>
      </c>
      <c r="R95" s="1260"/>
      <c r="S95" s="126"/>
      <c r="T95" s="1262"/>
      <c r="U95" s="126"/>
      <c r="V95" s="1255"/>
      <c r="W95" s="1264"/>
      <c r="X95" s="12"/>
      <c r="Y95" s="12"/>
      <c r="Z95" s="12"/>
      <c r="AA95" s="12"/>
      <c r="AB95" s="112"/>
      <c r="AC95" s="124"/>
      <c r="AD95" s="111"/>
      <c r="AF95" s="121"/>
      <c r="AG95" s="1276">
        <f>'1.6.2 Gas1'!AG35</f>
        <v>482</v>
      </c>
      <c r="AH95" s="1276">
        <f>'1.6.2 Gas1'!AH35</f>
        <v>14098.046851223551</v>
      </c>
      <c r="AI95" s="1277">
        <f>'1.6.2 Gas1'!AI35</f>
        <v>2813.1559999999999</v>
      </c>
      <c r="AJ95" s="1274"/>
      <c r="AK95" s="110"/>
      <c r="AN95" s="124">
        <v>1905</v>
      </c>
      <c r="AO95" s="135"/>
      <c r="AP95" s="111"/>
      <c r="AQ95" s="135"/>
      <c r="AR95" s="111"/>
      <c r="AS95" s="111"/>
      <c r="AT95" s="112"/>
      <c r="AU95" s="111"/>
      <c r="AV95" s="1261"/>
      <c r="AW95" s="111"/>
      <c r="AX95" s="1400"/>
      <c r="AY95" s="1403"/>
      <c r="AZ95" s="111"/>
      <c r="BA95" s="135" t="s">
        <v>100</v>
      </c>
      <c r="BB95" s="111" t="s">
        <v>100</v>
      </c>
    </row>
    <row r="96" spans="1:54" x14ac:dyDescent="0.45">
      <c r="A96" s="10">
        <v>1906</v>
      </c>
      <c r="B96" s="1234">
        <f>'1.6.2 Gas1'!B36</f>
        <v>491</v>
      </c>
      <c r="C96" s="1259"/>
      <c r="D96" s="1260"/>
      <c r="E96" s="1261"/>
      <c r="F96" s="1261"/>
      <c r="G96" s="126"/>
      <c r="H96" s="1262"/>
      <c r="I96" s="1262"/>
      <c r="J96" s="1262"/>
      <c r="K96" s="1262"/>
      <c r="L96" s="1262"/>
      <c r="M96" s="1263"/>
      <c r="N96" s="1255"/>
      <c r="O96" s="1366">
        <f t="shared" si="2"/>
        <v>14708.981466793979</v>
      </c>
      <c r="P96" s="125"/>
      <c r="Q96" s="1366">
        <f t="shared" si="3"/>
        <v>14708.981466793979</v>
      </c>
      <c r="R96" s="1260"/>
      <c r="S96" s="126"/>
      <c r="T96" s="1262"/>
      <c r="U96" s="126"/>
      <c r="V96" s="1255"/>
      <c r="W96" s="1264"/>
      <c r="X96" s="12"/>
      <c r="Y96" s="12"/>
      <c r="Z96" s="12"/>
      <c r="AA96" s="12"/>
      <c r="AB96" s="112"/>
      <c r="AC96" s="124"/>
      <c r="AD96" s="111"/>
      <c r="AF96" s="121"/>
      <c r="AG96" s="1276">
        <f>'1.6.2 Gas1'!AG36</f>
        <v>491</v>
      </c>
      <c r="AH96" s="1276">
        <f>'1.6.2 Gas1'!AH36</f>
        <v>14708.981466793979</v>
      </c>
      <c r="AI96" s="1277">
        <f>'1.6.2 Gas1'!AI36</f>
        <v>3023.6190000000001</v>
      </c>
      <c r="AJ96" s="1274"/>
      <c r="AK96" s="110"/>
      <c r="AN96" s="124">
        <v>1906</v>
      </c>
      <c r="AO96" s="135"/>
      <c r="AP96" s="111"/>
      <c r="AQ96" s="135"/>
      <c r="AR96" s="111"/>
      <c r="AS96" s="111"/>
      <c r="AT96" s="112"/>
      <c r="AU96" s="111"/>
      <c r="AV96" s="1261"/>
      <c r="AW96" s="111"/>
      <c r="AX96" s="1400"/>
      <c r="AY96" s="1403"/>
      <c r="AZ96" s="111"/>
      <c r="BA96" s="135" t="s">
        <v>100</v>
      </c>
      <c r="BB96" s="111" t="s">
        <v>100</v>
      </c>
    </row>
    <row r="97" spans="1:54" x14ac:dyDescent="0.45">
      <c r="A97" s="10">
        <v>1907</v>
      </c>
      <c r="B97" s="1234">
        <f>'1.6.2 Gas1'!B37</f>
        <v>495</v>
      </c>
      <c r="C97" s="1259"/>
      <c r="D97" s="1260"/>
      <c r="E97" s="1261"/>
      <c r="F97" s="1261"/>
      <c r="G97" s="126"/>
      <c r="H97" s="1262"/>
      <c r="I97" s="1262"/>
      <c r="J97" s="1262"/>
      <c r="K97" s="1262"/>
      <c r="L97" s="1262"/>
      <c r="M97" s="1263"/>
      <c r="N97" s="1255"/>
      <c r="O97" s="1366">
        <f t="shared" si="2"/>
        <v>15131.267746891108</v>
      </c>
      <c r="P97" s="125"/>
      <c r="Q97" s="1366">
        <f t="shared" si="3"/>
        <v>15131.267746891108</v>
      </c>
      <c r="R97" s="1260"/>
      <c r="S97" s="126"/>
      <c r="T97" s="1262"/>
      <c r="U97" s="126"/>
      <c r="V97" s="1255"/>
      <c r="W97" s="1264"/>
      <c r="X97" s="12"/>
      <c r="Y97" s="12"/>
      <c r="Z97" s="12"/>
      <c r="AA97" s="12"/>
      <c r="AB97" s="112"/>
      <c r="AC97" s="124"/>
      <c r="AD97" s="111"/>
      <c r="AF97" s="121"/>
      <c r="AG97" s="1276">
        <f>'1.6.2 Gas1'!AG37</f>
        <v>495</v>
      </c>
      <c r="AH97" s="1276">
        <f>'1.6.2 Gas1'!AH37</f>
        <v>15131.267746891108</v>
      </c>
      <c r="AI97" s="1277">
        <f>'1.6.2 Gas1'!AI37</f>
        <v>3230.9929999999999</v>
      </c>
      <c r="AJ97" s="1274"/>
      <c r="AK97" s="110"/>
      <c r="AN97" s="124">
        <v>1907</v>
      </c>
      <c r="AO97" s="135"/>
      <c r="AP97" s="111"/>
      <c r="AQ97" s="135"/>
      <c r="AR97" s="111"/>
      <c r="AS97" s="111"/>
      <c r="AT97" s="112"/>
      <c r="AU97" s="111"/>
      <c r="AV97" s="1261"/>
      <c r="AW97" s="111"/>
      <c r="AX97" s="1400"/>
      <c r="AY97" s="1403"/>
      <c r="AZ97" s="111"/>
      <c r="BA97" s="135" t="s">
        <v>100</v>
      </c>
      <c r="BB97" s="111" t="s">
        <v>100</v>
      </c>
    </row>
    <row r="98" spans="1:54" x14ac:dyDescent="0.45">
      <c r="A98" s="10">
        <v>1908</v>
      </c>
      <c r="B98" s="1234">
        <f>'1.6.2 Gas1'!B38</f>
        <v>499</v>
      </c>
      <c r="C98" s="1259"/>
      <c r="D98" s="1260"/>
      <c r="E98" s="1261"/>
      <c r="F98" s="1261"/>
      <c r="G98" s="126"/>
      <c r="H98" s="1262"/>
      <c r="I98" s="1262"/>
      <c r="J98" s="1262"/>
      <c r="K98" s="1262"/>
      <c r="L98" s="1262"/>
      <c r="M98" s="1263"/>
      <c r="N98" s="1255"/>
      <c r="O98" s="1366">
        <f t="shared" si="2"/>
        <v>15281.863630023241</v>
      </c>
      <c r="P98" s="125"/>
      <c r="Q98" s="1366">
        <f t="shared" si="3"/>
        <v>15281.863630023241</v>
      </c>
      <c r="R98" s="1260"/>
      <c r="S98" s="126"/>
      <c r="T98" s="1262"/>
      <c r="U98" s="126"/>
      <c r="V98" s="1255"/>
      <c r="W98" s="1264"/>
      <c r="X98" s="12"/>
      <c r="Y98" s="12"/>
      <c r="Z98" s="12"/>
      <c r="AA98" s="12"/>
      <c r="AB98" s="112"/>
      <c r="AC98" s="124"/>
      <c r="AD98" s="111"/>
      <c r="AF98" s="121"/>
      <c r="AG98" s="1276">
        <f>'1.6.2 Gas1'!AG38</f>
        <v>499</v>
      </c>
      <c r="AH98" s="1276">
        <f>'1.6.2 Gas1'!AH38</f>
        <v>15281.863630023241</v>
      </c>
      <c r="AI98" s="1277">
        <f>'1.6.2 Gas1'!AI38</f>
        <v>3399.1930000000002</v>
      </c>
      <c r="AJ98" s="1274"/>
      <c r="AK98" s="110"/>
      <c r="AN98" s="124">
        <v>1908</v>
      </c>
      <c r="AO98" s="135"/>
      <c r="AP98" s="111"/>
      <c r="AQ98" s="135"/>
      <c r="AR98" s="111"/>
      <c r="AS98" s="111"/>
      <c r="AT98" s="112"/>
      <c r="AU98" s="111"/>
      <c r="AV98" s="1261"/>
      <c r="AW98" s="111"/>
      <c r="AX98" s="1400"/>
      <c r="AY98" s="1403"/>
      <c r="AZ98" s="111"/>
      <c r="BA98" s="135" t="s">
        <v>100</v>
      </c>
      <c r="BB98" s="111" t="s">
        <v>100</v>
      </c>
    </row>
    <row r="99" spans="1:54" x14ac:dyDescent="0.45">
      <c r="A99" s="10">
        <v>1909</v>
      </c>
      <c r="B99" s="1234">
        <f>'1.6.2 Gas1'!B39</f>
        <v>501</v>
      </c>
      <c r="C99" s="1259"/>
      <c r="D99" s="1260"/>
      <c r="E99" s="1261"/>
      <c r="F99" s="1261"/>
      <c r="G99" s="126"/>
      <c r="H99" s="1262"/>
      <c r="I99" s="1262"/>
      <c r="J99" s="1262"/>
      <c r="K99" s="1262"/>
      <c r="L99" s="1262"/>
      <c r="M99" s="1263"/>
      <c r="N99" s="1255"/>
      <c r="O99" s="1366">
        <f t="shared" si="2"/>
        <v>15703.68439480167</v>
      </c>
      <c r="P99" s="125"/>
      <c r="Q99" s="1366">
        <f t="shared" si="3"/>
        <v>15703.68439480167</v>
      </c>
      <c r="R99" s="1260"/>
      <c r="S99" s="126"/>
      <c r="T99" s="1262"/>
      <c r="U99" s="126"/>
      <c r="V99" s="1255"/>
      <c r="W99" s="1264"/>
      <c r="X99" s="12"/>
      <c r="Y99" s="12"/>
      <c r="Z99" s="12"/>
      <c r="AA99" s="12"/>
      <c r="AB99" s="112"/>
      <c r="AC99" s="124"/>
      <c r="AD99" s="111"/>
      <c r="AF99" s="121"/>
      <c r="AG99" s="1276">
        <f>'1.6.2 Gas1'!AG39</f>
        <v>501</v>
      </c>
      <c r="AH99" s="1276">
        <f>'1.6.2 Gas1'!AH39</f>
        <v>15703.68439480167</v>
      </c>
      <c r="AI99" s="1277">
        <f>'1.6.2 Gas1'!AI39</f>
        <v>3573.7959999999998</v>
      </c>
      <c r="AJ99" s="1274"/>
      <c r="AK99" s="110"/>
      <c r="AN99" s="124">
        <v>1909</v>
      </c>
      <c r="AO99" s="135"/>
      <c r="AP99" s="111"/>
      <c r="AQ99" s="135"/>
      <c r="AR99" s="111"/>
      <c r="AS99" s="111"/>
      <c r="AT99" s="112"/>
      <c r="AU99" s="111"/>
      <c r="AV99" s="1261"/>
      <c r="AW99" s="111"/>
      <c r="AX99" s="1400"/>
      <c r="AY99" s="1403"/>
      <c r="AZ99" s="111"/>
      <c r="BA99" s="135" t="s">
        <v>100</v>
      </c>
      <c r="BB99" s="111" t="s">
        <v>100</v>
      </c>
    </row>
    <row r="100" spans="1:54" x14ac:dyDescent="0.45">
      <c r="A100" s="10">
        <v>1910</v>
      </c>
      <c r="B100" s="1234">
        <f>'1.6.2 Gas1'!B40</f>
        <v>511</v>
      </c>
      <c r="C100" s="1259"/>
      <c r="D100" s="1260"/>
      <c r="E100" s="1261"/>
      <c r="F100" s="1261"/>
      <c r="G100" s="126"/>
      <c r="H100" s="1262"/>
      <c r="I100" s="1262"/>
      <c r="J100" s="1262"/>
      <c r="K100" s="1262"/>
      <c r="L100" s="1262"/>
      <c r="M100" s="1263"/>
      <c r="N100" s="1255"/>
      <c r="O100" s="1366">
        <f t="shared" si="2"/>
        <v>16124.18731786557</v>
      </c>
      <c r="P100" s="125"/>
      <c r="Q100" s="1366">
        <f t="shared" si="3"/>
        <v>16124.18731786557</v>
      </c>
      <c r="R100" s="1260"/>
      <c r="S100" s="126"/>
      <c r="T100" s="1262"/>
      <c r="U100" s="126"/>
      <c r="V100" s="1255"/>
      <c r="W100" s="1264"/>
      <c r="X100" s="12"/>
      <c r="Y100" s="12"/>
      <c r="Z100" s="12"/>
      <c r="AA100" s="12"/>
      <c r="AB100" s="112"/>
      <c r="AC100" s="124"/>
      <c r="AD100" s="111"/>
      <c r="AF100" s="121"/>
      <c r="AG100" s="1276">
        <f>'1.6.2 Gas1'!AG40</f>
        <v>511</v>
      </c>
      <c r="AH100" s="1276">
        <f>'1.6.2 Gas1'!AH40</f>
        <v>16124.18731786557</v>
      </c>
      <c r="AI100" s="1277">
        <f>'1.6.2 Gas1'!AI40</f>
        <v>3751.703</v>
      </c>
      <c r="AJ100" s="1274"/>
      <c r="AK100" s="110"/>
      <c r="AN100" s="124">
        <v>1910</v>
      </c>
      <c r="AO100" s="135"/>
      <c r="AP100" s="111"/>
      <c r="AQ100" s="135"/>
      <c r="AR100" s="111"/>
      <c r="AS100" s="111"/>
      <c r="AT100" s="112"/>
      <c r="AU100" s="111"/>
      <c r="AV100" s="1261"/>
      <c r="AW100" s="111"/>
      <c r="AX100" s="1400"/>
      <c r="AY100" s="1403"/>
      <c r="AZ100" s="111"/>
      <c r="BA100" s="135" t="s">
        <v>100</v>
      </c>
      <c r="BB100" s="111" t="s">
        <v>100</v>
      </c>
    </row>
    <row r="101" spans="1:54" x14ac:dyDescent="0.45">
      <c r="A101" s="10">
        <v>1911</v>
      </c>
      <c r="B101" s="1234">
        <f>'1.6.2 Gas1'!B41</f>
        <v>520</v>
      </c>
      <c r="C101" s="1259"/>
      <c r="D101" s="1260"/>
      <c r="E101" s="1261"/>
      <c r="F101" s="1261"/>
      <c r="G101" s="126"/>
      <c r="H101" s="1262"/>
      <c r="I101" s="1262"/>
      <c r="J101" s="1262"/>
      <c r="K101" s="1262"/>
      <c r="L101" s="1262"/>
      <c r="M101" s="1263"/>
      <c r="N101" s="1255"/>
      <c r="O101" s="1366">
        <f t="shared" si="2"/>
        <v>16705.06963444575</v>
      </c>
      <c r="P101" s="125"/>
      <c r="Q101" s="1366">
        <f t="shared" si="3"/>
        <v>16705.06963444575</v>
      </c>
      <c r="R101" s="1260"/>
      <c r="S101" s="126"/>
      <c r="T101" s="1262"/>
      <c r="U101" s="126"/>
      <c r="V101" s="1255"/>
      <c r="W101" s="1264"/>
      <c r="X101" s="12"/>
      <c r="Y101" s="12"/>
      <c r="Z101" s="12"/>
      <c r="AA101" s="12"/>
      <c r="AB101" s="112"/>
      <c r="AC101" s="124"/>
      <c r="AD101" s="111"/>
      <c r="AF101" s="121"/>
      <c r="AG101" s="1276">
        <f>'1.6.2 Gas1'!AG41</f>
        <v>520</v>
      </c>
      <c r="AH101" s="1276">
        <f>'1.6.2 Gas1'!AH41</f>
        <v>16705.06963444575</v>
      </c>
      <c r="AI101" s="1277">
        <f>'1.6.2 Gas1'!AI41</f>
        <v>3906.5279999999998</v>
      </c>
      <c r="AJ101" s="1274"/>
      <c r="AK101" s="110"/>
      <c r="AN101" s="124">
        <v>1911</v>
      </c>
      <c r="AO101" s="135"/>
      <c r="AP101" s="111"/>
      <c r="AQ101" s="135"/>
      <c r="AR101" s="111"/>
      <c r="AS101" s="111"/>
      <c r="AT101" s="112"/>
      <c r="AU101" s="111"/>
      <c r="AV101" s="1261"/>
      <c r="AW101" s="111"/>
      <c r="AX101" s="1400"/>
      <c r="AY101" s="1403"/>
      <c r="AZ101" s="111"/>
      <c r="BA101" s="135" t="s">
        <v>100</v>
      </c>
      <c r="BB101" s="111" t="s">
        <v>100</v>
      </c>
    </row>
    <row r="102" spans="1:54" x14ac:dyDescent="0.45">
      <c r="A102" s="10">
        <v>1912</v>
      </c>
      <c r="B102" s="1234">
        <f>'1.6.2 Gas1'!B42</f>
        <v>520</v>
      </c>
      <c r="C102" s="1259"/>
      <c r="D102" s="1260"/>
      <c r="E102" s="1261"/>
      <c r="F102" s="1261"/>
      <c r="G102" s="126"/>
      <c r="H102" s="1262"/>
      <c r="I102" s="1262"/>
      <c r="J102" s="1262"/>
      <c r="K102" s="1262"/>
      <c r="L102" s="1262"/>
      <c r="M102" s="1263"/>
      <c r="N102" s="1255"/>
      <c r="O102" s="1366">
        <f t="shared" si="2"/>
        <v>17614.357770780269</v>
      </c>
      <c r="P102" s="125"/>
      <c r="Q102" s="1366">
        <f t="shared" si="3"/>
        <v>17614.357770780269</v>
      </c>
      <c r="R102" s="1260"/>
      <c r="S102" s="126"/>
      <c r="T102" s="1262"/>
      <c r="U102" s="126"/>
      <c r="V102" s="1255"/>
      <c r="W102" s="1264"/>
      <c r="X102" s="12"/>
      <c r="Y102" s="12"/>
      <c r="Z102" s="12"/>
      <c r="AA102" s="12"/>
      <c r="AB102" s="112"/>
      <c r="AC102" s="124"/>
      <c r="AD102" s="111"/>
      <c r="AF102" s="121"/>
      <c r="AG102" s="1276">
        <f>'1.6.2 Gas1'!AG42</f>
        <v>520</v>
      </c>
      <c r="AH102" s="1276">
        <f>'1.6.2 Gas1'!AH42</f>
        <v>17614.357770780269</v>
      </c>
      <c r="AI102" s="1277">
        <f>'1.6.2 Gas1'!AI42</f>
        <v>4062.2890000000002</v>
      </c>
      <c r="AJ102" s="1274"/>
      <c r="AK102" s="110"/>
      <c r="AN102" s="124">
        <v>1912</v>
      </c>
      <c r="AO102" s="135"/>
      <c r="AP102" s="111"/>
      <c r="AQ102" s="135"/>
      <c r="AR102" s="111"/>
      <c r="AS102" s="111"/>
      <c r="AT102" s="112"/>
      <c r="AU102" s="111"/>
      <c r="AV102" s="1261"/>
      <c r="AW102" s="111"/>
      <c r="AX102" s="1400"/>
      <c r="AY102" s="1403"/>
      <c r="AZ102" s="111"/>
      <c r="BA102" s="135" t="s">
        <v>100</v>
      </c>
      <c r="BB102" s="111" t="s">
        <v>100</v>
      </c>
    </row>
    <row r="103" spans="1:54" x14ac:dyDescent="0.45">
      <c r="A103" s="10">
        <v>1913</v>
      </c>
      <c r="B103" s="1234">
        <f>'1.6.2 Gas1'!B43</f>
        <v>519</v>
      </c>
      <c r="C103" s="1259"/>
      <c r="D103" s="1260"/>
      <c r="E103" s="1261"/>
      <c r="F103" s="1261"/>
      <c r="G103" s="126"/>
      <c r="H103" s="1262"/>
      <c r="I103" s="1262"/>
      <c r="J103" s="1262"/>
      <c r="K103" s="1262"/>
      <c r="L103" s="1262"/>
      <c r="M103" s="1263"/>
      <c r="N103" s="1255"/>
      <c r="O103" s="1366">
        <f t="shared" si="2"/>
        <v>18197.762537333609</v>
      </c>
      <c r="P103" s="125"/>
      <c r="Q103" s="1366">
        <f t="shared" si="3"/>
        <v>18197.762537333609</v>
      </c>
      <c r="R103" s="1260"/>
      <c r="S103" s="126"/>
      <c r="T103" s="1262"/>
      <c r="U103" s="126"/>
      <c r="V103" s="1255"/>
      <c r="W103" s="1264"/>
      <c r="X103" s="12"/>
      <c r="Y103" s="12"/>
      <c r="Z103" s="12"/>
      <c r="AA103" s="12"/>
      <c r="AB103" s="112"/>
      <c r="AC103" s="124"/>
      <c r="AD103" s="111"/>
      <c r="AF103" s="121"/>
      <c r="AG103" s="1276">
        <f>'1.6.2 Gas1'!AG43</f>
        <v>519</v>
      </c>
      <c r="AH103" s="1276">
        <f>'1.6.2 Gas1'!AH43</f>
        <v>18197.762537333609</v>
      </c>
      <c r="AI103" s="1277">
        <f>'1.6.2 Gas1'!AI43</f>
        <v>4214.8649999999998</v>
      </c>
      <c r="AJ103" s="1274"/>
      <c r="AK103" s="110"/>
      <c r="AN103" s="124">
        <v>1913</v>
      </c>
      <c r="AO103" s="135"/>
      <c r="AP103" s="111"/>
      <c r="AQ103" s="135"/>
      <c r="AR103" s="111"/>
      <c r="AS103" s="111"/>
      <c r="AT103" s="112"/>
      <c r="AU103" s="111"/>
      <c r="AV103" s="1261"/>
      <c r="AW103" s="111"/>
      <c r="AX103" s="1400"/>
      <c r="AY103" s="1403"/>
      <c r="AZ103" s="111"/>
      <c r="BA103" s="135" t="s">
        <v>100</v>
      </c>
      <c r="BB103" s="111" t="s">
        <v>100</v>
      </c>
    </row>
    <row r="104" spans="1:54" x14ac:dyDescent="0.45">
      <c r="A104" s="10">
        <v>1914</v>
      </c>
      <c r="B104" s="1234">
        <f>'1.6.2 Gas1'!B44</f>
        <v>518</v>
      </c>
      <c r="C104" s="1259"/>
      <c r="D104" s="1260"/>
      <c r="E104" s="1261"/>
      <c r="F104" s="1261"/>
      <c r="G104" s="126"/>
      <c r="H104" s="1262"/>
      <c r="I104" s="1262"/>
      <c r="J104" s="1262"/>
      <c r="K104" s="1262"/>
      <c r="L104" s="1262"/>
      <c r="M104" s="1263"/>
      <c r="N104" s="1255"/>
      <c r="O104" s="1366">
        <f>AH104</f>
        <v>18570.163608742412</v>
      </c>
      <c r="P104" s="125"/>
      <c r="Q104" s="1366">
        <f t="shared" si="3"/>
        <v>18570.163608742412</v>
      </c>
      <c r="R104" s="1260"/>
      <c r="S104" s="126"/>
      <c r="T104" s="1262"/>
      <c r="U104" s="126"/>
      <c r="V104" s="1255"/>
      <c r="W104" s="1264"/>
      <c r="X104" s="12"/>
      <c r="Y104" s="12"/>
      <c r="Z104" s="12"/>
      <c r="AA104" s="12"/>
      <c r="AB104" s="112"/>
      <c r="AC104" s="124"/>
      <c r="AD104" s="111"/>
      <c r="AF104" s="121"/>
      <c r="AG104" s="1276">
        <f>'1.6.2 Gas1'!AG44</f>
        <v>518</v>
      </c>
      <c r="AH104" s="1276">
        <f>'1.6.2 Gas1'!AH44</f>
        <v>18570.163608742412</v>
      </c>
      <c r="AI104" s="1277">
        <f>'1.6.2 Gas1'!AI44</f>
        <v>4342.692</v>
      </c>
      <c r="AJ104" s="1274"/>
      <c r="AK104" s="110"/>
      <c r="AN104" s="124">
        <v>1914</v>
      </c>
      <c r="AO104" s="135"/>
      <c r="AP104" s="111"/>
      <c r="AQ104" s="135"/>
      <c r="AR104" s="111"/>
      <c r="AS104" s="111"/>
      <c r="AT104" s="112"/>
      <c r="AU104" s="111"/>
      <c r="AV104" s="1261"/>
      <c r="AW104" s="111"/>
      <c r="AX104" s="1400"/>
      <c r="AY104" s="1403"/>
      <c r="AZ104" s="111"/>
      <c r="BA104" s="135" t="s">
        <v>100</v>
      </c>
      <c r="BB104" s="111" t="s">
        <v>100</v>
      </c>
    </row>
    <row r="105" spans="1:54" x14ac:dyDescent="0.45">
      <c r="A105" s="10">
        <v>1915</v>
      </c>
      <c r="B105" s="1234"/>
      <c r="C105" s="1259"/>
      <c r="D105" s="1260"/>
      <c r="E105" s="1261"/>
      <c r="F105" s="1261"/>
      <c r="G105" s="126"/>
      <c r="H105" s="1262"/>
      <c r="I105" s="1262"/>
      <c r="J105" s="1262"/>
      <c r="K105" s="1262"/>
      <c r="L105" s="1262"/>
      <c r="M105" s="1263"/>
      <c r="N105" s="1255"/>
      <c r="O105" s="1366"/>
      <c r="P105" s="125"/>
      <c r="Q105" s="1366"/>
      <c r="R105" s="1260"/>
      <c r="S105" s="126"/>
      <c r="T105" s="1262"/>
      <c r="U105" s="126"/>
      <c r="V105" s="1255"/>
      <c r="W105" s="1264"/>
      <c r="X105" s="12"/>
      <c r="Y105" s="12"/>
      <c r="Z105" s="12"/>
      <c r="AA105" s="12"/>
      <c r="AB105" s="112"/>
      <c r="AC105" s="124"/>
      <c r="AD105" s="111"/>
      <c r="AF105" s="121"/>
      <c r="AG105" s="1276"/>
      <c r="AH105" s="1276"/>
      <c r="AI105" s="1277"/>
      <c r="AJ105" s="1274"/>
      <c r="AK105" s="110"/>
      <c r="AN105" s="124">
        <v>1915</v>
      </c>
      <c r="AO105" s="135"/>
      <c r="AP105" s="111"/>
      <c r="AQ105" s="135"/>
      <c r="AR105" s="111"/>
      <c r="AS105" s="111"/>
      <c r="AT105" s="112"/>
      <c r="AU105" s="111"/>
      <c r="AV105" s="1261"/>
      <c r="AW105" s="111"/>
      <c r="AX105" s="1400"/>
      <c r="AY105" s="1403"/>
      <c r="AZ105" s="111"/>
      <c r="BA105" s="135" t="s">
        <v>100</v>
      </c>
      <c r="BB105" s="111" t="s">
        <v>100</v>
      </c>
    </row>
    <row r="106" spans="1:54" x14ac:dyDescent="0.45">
      <c r="A106" s="10">
        <v>1916</v>
      </c>
      <c r="B106" s="1234"/>
      <c r="C106" s="1259"/>
      <c r="D106" s="1260"/>
      <c r="E106" s="1261"/>
      <c r="F106" s="1261"/>
      <c r="G106" s="126"/>
      <c r="H106" s="1262"/>
      <c r="I106" s="1262"/>
      <c r="J106" s="1262"/>
      <c r="K106" s="1262"/>
      <c r="L106" s="1262"/>
      <c r="M106" s="1263"/>
      <c r="N106" s="1255"/>
      <c r="O106" s="1366"/>
      <c r="P106" s="125"/>
      <c r="Q106" s="1366"/>
      <c r="R106" s="1260"/>
      <c r="S106" s="126"/>
      <c r="T106" s="1262"/>
      <c r="U106" s="126"/>
      <c r="V106" s="1255"/>
      <c r="W106" s="1264"/>
      <c r="X106" s="12"/>
      <c r="Y106" s="12"/>
      <c r="Z106" s="12"/>
      <c r="AA106" s="12"/>
      <c r="AB106" s="112"/>
      <c r="AC106" s="124"/>
      <c r="AD106" s="111"/>
      <c r="AF106" s="121"/>
      <c r="AG106" s="1276"/>
      <c r="AH106" s="1276"/>
      <c r="AI106" s="1277"/>
      <c r="AJ106" s="1274"/>
      <c r="AK106" s="110"/>
      <c r="AN106" s="124">
        <v>1916</v>
      </c>
      <c r="AO106" s="135"/>
      <c r="AP106" s="111"/>
      <c r="AQ106" s="135"/>
      <c r="AR106" s="111"/>
      <c r="AS106" s="111"/>
      <c r="AT106" s="112"/>
      <c r="AU106" s="111"/>
      <c r="AV106" s="1261"/>
      <c r="AW106" s="111"/>
      <c r="AX106" s="1400"/>
      <c r="AY106" s="1403"/>
      <c r="AZ106" s="111"/>
      <c r="BA106" s="135" t="s">
        <v>100</v>
      </c>
      <c r="BB106" s="111" t="s">
        <v>100</v>
      </c>
    </row>
    <row r="107" spans="1:54" x14ac:dyDescent="0.45">
      <c r="A107" s="10">
        <v>1917</v>
      </c>
      <c r="B107" s="1234"/>
      <c r="C107" s="1259"/>
      <c r="D107" s="1260"/>
      <c r="E107" s="1261"/>
      <c r="F107" s="1261"/>
      <c r="G107" s="126"/>
      <c r="H107" s="1262"/>
      <c r="I107" s="1262"/>
      <c r="J107" s="1262"/>
      <c r="K107" s="1262"/>
      <c r="L107" s="1262"/>
      <c r="M107" s="1263"/>
      <c r="N107" s="1255"/>
      <c r="O107" s="1366"/>
      <c r="P107" s="125"/>
      <c r="Q107" s="1366"/>
      <c r="R107" s="1260"/>
      <c r="S107" s="126"/>
      <c r="T107" s="1262"/>
      <c r="U107" s="126"/>
      <c r="V107" s="1255"/>
      <c r="W107" s="1264"/>
      <c r="X107" s="12"/>
      <c r="Y107" s="12"/>
      <c r="Z107" s="12"/>
      <c r="AA107" s="12"/>
      <c r="AB107" s="112"/>
      <c r="AC107" s="124"/>
      <c r="AD107" s="111"/>
      <c r="AF107" s="121"/>
      <c r="AG107" s="1276"/>
      <c r="AH107" s="1276"/>
      <c r="AI107" s="1277"/>
      <c r="AJ107" s="1274"/>
      <c r="AK107" s="110"/>
      <c r="AN107" s="124">
        <v>1917</v>
      </c>
      <c r="AO107" s="135"/>
      <c r="AP107" s="111"/>
      <c r="AQ107" s="135"/>
      <c r="AR107" s="111"/>
      <c r="AS107" s="111"/>
      <c r="AT107" s="112"/>
      <c r="AU107" s="111"/>
      <c r="AV107" s="1261"/>
      <c r="AW107" s="111"/>
      <c r="AX107" s="1400"/>
      <c r="AY107" s="1403"/>
      <c r="AZ107" s="111"/>
      <c r="BA107" s="135" t="s">
        <v>100</v>
      </c>
      <c r="BB107" s="111" t="s">
        <v>100</v>
      </c>
    </row>
    <row r="108" spans="1:54" x14ac:dyDescent="0.45">
      <c r="A108" s="10">
        <v>1918</v>
      </c>
      <c r="B108" s="1234"/>
      <c r="C108" s="1259"/>
      <c r="D108" s="1260"/>
      <c r="E108" s="1261"/>
      <c r="F108" s="1261"/>
      <c r="G108" s="126"/>
      <c r="H108" s="1262"/>
      <c r="I108" s="1262"/>
      <c r="J108" s="1262"/>
      <c r="K108" s="1262"/>
      <c r="L108" s="1262"/>
      <c r="M108" s="1263"/>
      <c r="N108" s="1255"/>
      <c r="O108" s="1366"/>
      <c r="P108" s="125"/>
      <c r="Q108" s="1366"/>
      <c r="R108" s="1260"/>
      <c r="S108" s="126"/>
      <c r="T108" s="1262"/>
      <c r="U108" s="126"/>
      <c r="V108" s="1255"/>
      <c r="W108" s="1264"/>
      <c r="X108" s="12"/>
      <c r="Y108" s="12"/>
      <c r="Z108" s="12"/>
      <c r="AA108" s="12"/>
      <c r="AB108" s="112"/>
      <c r="AC108" s="124"/>
      <c r="AD108" s="111"/>
      <c r="AF108" s="121"/>
      <c r="AG108" s="1276"/>
      <c r="AH108" s="1276"/>
      <c r="AI108" s="1277"/>
      <c r="AJ108" s="1274"/>
      <c r="AK108" s="110"/>
      <c r="AN108" s="124">
        <v>1918</v>
      </c>
      <c r="AO108" s="135"/>
      <c r="AP108" s="111"/>
      <c r="AQ108" s="135"/>
      <c r="AR108" s="111"/>
      <c r="AS108" s="111"/>
      <c r="AT108" s="112"/>
      <c r="AU108" s="111"/>
      <c r="AV108" s="1261"/>
      <c r="AW108" s="111"/>
      <c r="AX108" s="1400"/>
      <c r="AY108" s="1403"/>
      <c r="AZ108" s="111"/>
      <c r="BA108" s="135" t="s">
        <v>100</v>
      </c>
      <c r="BB108" s="111" t="s">
        <v>100</v>
      </c>
    </row>
    <row r="109" spans="1:54" x14ac:dyDescent="0.45">
      <c r="A109" s="10">
        <v>1919</v>
      </c>
      <c r="B109" s="1234">
        <f>'1.6.2 Gas1'!B49</f>
        <v>505</v>
      </c>
      <c r="C109" s="1259"/>
      <c r="D109" s="1258"/>
      <c r="E109" s="111"/>
      <c r="F109" s="111"/>
      <c r="G109" s="112"/>
      <c r="H109" s="133"/>
      <c r="I109" s="133"/>
      <c r="J109" s="133"/>
      <c r="K109" s="133"/>
      <c r="L109" s="133"/>
      <c r="M109" s="1259"/>
      <c r="N109" s="1278"/>
      <c r="O109" s="1278"/>
      <c r="P109" s="112"/>
      <c r="Q109" s="1278"/>
      <c r="R109" s="1258"/>
      <c r="S109" s="112"/>
      <c r="T109" s="1278"/>
      <c r="U109" s="112"/>
      <c r="V109" s="1278"/>
      <c r="W109" s="134"/>
      <c r="X109" s="1278"/>
      <c r="Y109" s="134"/>
      <c r="Z109" s="112"/>
      <c r="AA109" s="1258"/>
      <c r="AB109" s="112"/>
      <c r="AC109" s="111"/>
      <c r="AD109" s="111"/>
      <c r="AF109" s="121"/>
      <c r="AG109" s="1276">
        <f>'1.6.2 Gas1'!AG49</f>
        <v>505</v>
      </c>
      <c r="AH109" s="1276">
        <f>'1.6.2 Gas1'!AH49</f>
        <v>20393.267542114769</v>
      </c>
      <c r="AI109" s="1277">
        <f>'1.6.2 Gas1'!AI49</f>
        <v>4510.5950000000003</v>
      </c>
      <c r="AJ109" s="1274"/>
      <c r="AK109" s="112"/>
      <c r="AN109" s="124">
        <v>1919</v>
      </c>
      <c r="AO109" s="135"/>
      <c r="AP109" s="111"/>
      <c r="AQ109" s="135"/>
      <c r="AR109" s="111"/>
      <c r="AS109" s="111"/>
      <c r="AT109" s="112"/>
      <c r="AU109" s="111"/>
      <c r="AV109" s="1261"/>
      <c r="AW109" s="111"/>
      <c r="AX109" s="1400"/>
      <c r="AY109" s="1403"/>
      <c r="AZ109" s="111"/>
      <c r="BA109" s="135" t="s">
        <v>100</v>
      </c>
      <c r="BB109" s="111" t="s">
        <v>100</v>
      </c>
    </row>
    <row r="110" spans="1:54" x14ac:dyDescent="0.45">
      <c r="A110" s="10">
        <v>1920</v>
      </c>
      <c r="B110" s="1280">
        <f>'1.6.2 Gas1'!B50</f>
        <v>798</v>
      </c>
      <c r="C110" s="1258"/>
      <c r="D110" s="111"/>
      <c r="E110" s="1281"/>
      <c r="F110" s="111"/>
      <c r="G110" s="112"/>
      <c r="H110" s="112"/>
      <c r="I110" s="112"/>
      <c r="J110" s="112"/>
      <c r="K110" s="112"/>
      <c r="L110" s="1282"/>
      <c r="M110" s="1258"/>
      <c r="N110" s="111"/>
      <c r="O110" s="111"/>
      <c r="P110" s="112"/>
      <c r="Q110" s="1261"/>
      <c r="R110" s="1258"/>
      <c r="S110" s="112"/>
      <c r="T110" s="111"/>
      <c r="U110" s="112"/>
      <c r="V110" s="111"/>
      <c r="W110" s="134"/>
      <c r="X110" s="1283"/>
      <c r="Y110" s="134"/>
      <c r="Z110" s="1281"/>
      <c r="AA110" s="1258"/>
      <c r="AB110" s="126"/>
      <c r="AC110" s="111"/>
      <c r="AD110" s="113"/>
      <c r="AF110" s="123"/>
      <c r="AG110" s="1276">
        <f>'1.6.2 Gas1'!AG50</f>
        <v>798</v>
      </c>
      <c r="AH110" s="1276">
        <f>'1.6.2 Gas1'!AH50</f>
        <v>32908.018789169997</v>
      </c>
      <c r="AI110" s="1277">
        <f>'1.6.2 Gas1'!AI50</f>
        <v>7448.3320000000003</v>
      </c>
      <c r="AJ110" s="1274"/>
      <c r="AK110" s="114"/>
      <c r="AN110" s="124">
        <v>1920</v>
      </c>
      <c r="AO110" s="135"/>
      <c r="AP110" s="111"/>
      <c r="AQ110" s="135"/>
      <c r="AR110" s="111"/>
      <c r="AS110" s="111"/>
      <c r="AT110" s="112"/>
      <c r="AU110" s="111"/>
      <c r="AV110" s="1261"/>
      <c r="AW110" s="111">
        <f>300/1000*29.307*17566</f>
        <v>154442.02859999999</v>
      </c>
      <c r="AX110" s="1400" t="s">
        <v>100</v>
      </c>
      <c r="AY110" s="1403"/>
      <c r="AZ110" s="111" t="s">
        <v>100</v>
      </c>
      <c r="BA110" s="135" t="s">
        <v>100</v>
      </c>
      <c r="BB110" s="111" t="s">
        <v>100</v>
      </c>
    </row>
    <row r="111" spans="1:54" x14ac:dyDescent="0.45">
      <c r="A111" s="10">
        <v>1921</v>
      </c>
      <c r="B111" s="1280">
        <f>'1.6.2 Gas1'!B51</f>
        <v>797</v>
      </c>
      <c r="C111" s="1335">
        <f>'1.6.2 Gas1'!C51</f>
        <v>981.77600096999993</v>
      </c>
      <c r="D111" s="1335">
        <f>'1.6.2 Gas1'!D51</f>
        <v>11223.53239554</v>
      </c>
      <c r="E111" s="1335">
        <f>'1.6.2 Gas1'!E51</f>
        <v>7414.8409787157188</v>
      </c>
      <c r="F111" s="1335">
        <f>'1.6.2 Gas1'!F51</f>
        <v>0</v>
      </c>
      <c r="G111" s="1335">
        <f>'1.6.2 Gas1'!G51</f>
        <v>0</v>
      </c>
      <c r="H111" s="1335">
        <f>'1.6.2 Gas1'!H51</f>
        <v>0</v>
      </c>
      <c r="I111" s="1335">
        <f>'1.6.2 Gas1'!I51</f>
        <v>0</v>
      </c>
      <c r="J111" s="1335">
        <f>'1.6.2 Gas1'!J51</f>
        <v>0</v>
      </c>
      <c r="K111" s="1335">
        <f>'1.6.2 Gas1'!K51</f>
        <v>0</v>
      </c>
      <c r="L111" s="1335">
        <f>'1.6.2 Gas1'!L51</f>
        <v>12403.530102804285</v>
      </c>
      <c r="M111" s="1335">
        <f>'1.6.2 Gas1'!M51</f>
        <v>0</v>
      </c>
      <c r="N111" s="1335">
        <f>'1.6.2 Gas1'!N51</f>
        <v>19818.371081519999</v>
      </c>
      <c r="O111" s="1335">
        <f>'1.6.2 Gas1'!O51</f>
        <v>32023.679478030001</v>
      </c>
      <c r="P111" s="1335">
        <f>'1.6.2 Gas1'!P51</f>
        <v>0</v>
      </c>
      <c r="Q111" s="1335">
        <f>'1.6.2 Gas1'!Q51</f>
        <v>32023.679478030001</v>
      </c>
      <c r="R111" s="1258"/>
      <c r="S111" s="112"/>
      <c r="T111" s="111"/>
      <c r="U111" s="112"/>
      <c r="V111" s="111"/>
      <c r="W111" s="134"/>
      <c r="X111" s="1283"/>
      <c r="Y111" s="134"/>
      <c r="Z111" s="1281"/>
      <c r="AA111" s="1258"/>
      <c r="AB111" s="126"/>
      <c r="AC111" s="111"/>
      <c r="AD111" s="113"/>
      <c r="AK111" s="114"/>
      <c r="AN111" s="124">
        <v>1921</v>
      </c>
      <c r="AO111" s="135"/>
      <c r="AP111" s="111"/>
      <c r="AQ111" s="135"/>
      <c r="AR111" s="111"/>
      <c r="AS111" s="111"/>
      <c r="AT111" s="112"/>
      <c r="AU111" s="111"/>
      <c r="AV111" s="1261"/>
      <c r="AW111" s="111">
        <f>300/1000*29.307*15776</f>
        <v>138704.16959999999</v>
      </c>
      <c r="AX111" s="1400">
        <f>270/1000*29.307*1254</f>
        <v>9922.7640599999995</v>
      </c>
      <c r="AY111" s="1403"/>
      <c r="AZ111" s="111">
        <f>460/1000*29.307*196</f>
        <v>2642.3191200000001</v>
      </c>
      <c r="BA111" s="135" t="s">
        <v>100</v>
      </c>
      <c r="BB111" s="111" t="s">
        <v>100</v>
      </c>
    </row>
    <row r="112" spans="1:54" x14ac:dyDescent="0.45">
      <c r="A112" s="10">
        <v>1922</v>
      </c>
      <c r="B112" s="1280">
        <f>'1.6.2 Gas1'!B52</f>
        <v>796</v>
      </c>
      <c r="C112" s="1335">
        <f>'1.6.2 Gas1'!C52</f>
        <v>1146.8731755599999</v>
      </c>
      <c r="D112" s="1335">
        <f>'1.6.2 Gas1'!D52</f>
        <v>10935.276363359999</v>
      </c>
      <c r="E112" s="1335">
        <f>'1.6.2 Gas1'!E52</f>
        <v>7645.3387228695492</v>
      </c>
      <c r="F112" s="1335">
        <f>'1.6.2 Gas1'!F52</f>
        <v>0</v>
      </c>
      <c r="G112" s="1335">
        <f>'1.6.2 Gas1'!G52</f>
        <v>0</v>
      </c>
      <c r="H112" s="1335">
        <f>'1.6.2 Gas1'!H52</f>
        <v>0</v>
      </c>
      <c r="I112" s="1335">
        <f>'1.6.2 Gas1'!I52</f>
        <v>0</v>
      </c>
      <c r="J112" s="1335">
        <f>'1.6.2 Gas1'!J52</f>
        <v>0</v>
      </c>
      <c r="K112" s="1335">
        <f>'1.6.2 Gas1'!K52</f>
        <v>0</v>
      </c>
      <c r="L112" s="1335">
        <f>'1.6.2 Gas1'!L52</f>
        <v>12789.106235380452</v>
      </c>
      <c r="M112" s="1335">
        <f>'1.6.2 Gas1'!M52</f>
        <v>0</v>
      </c>
      <c r="N112" s="1335">
        <f>'1.6.2 Gas1'!N52</f>
        <v>20434.444958249998</v>
      </c>
      <c r="O112" s="1335">
        <f>'1.6.2 Gas1'!O52</f>
        <v>32516.594497169997</v>
      </c>
      <c r="P112" s="1335">
        <f>'1.6.2 Gas1'!P52</f>
        <v>0</v>
      </c>
      <c r="Q112" s="1335">
        <f>'1.6.2 Gas1'!Q52</f>
        <v>32516.594497169997</v>
      </c>
      <c r="R112" s="1258"/>
      <c r="S112" s="112"/>
      <c r="T112" s="111"/>
      <c r="U112" s="112"/>
      <c r="V112" s="111"/>
      <c r="W112" s="134"/>
      <c r="X112" s="1283"/>
      <c r="Y112" s="134"/>
      <c r="Z112" s="1281"/>
      <c r="AA112" s="1258"/>
      <c r="AB112" s="126"/>
      <c r="AC112" s="111"/>
      <c r="AD112" s="113"/>
      <c r="AK112" s="114"/>
      <c r="AN112" s="124">
        <v>1922</v>
      </c>
      <c r="AO112" s="135"/>
      <c r="AP112" s="111"/>
      <c r="AQ112" s="135"/>
      <c r="AR112" s="111"/>
      <c r="AS112" s="111"/>
      <c r="AT112" s="112"/>
      <c r="AU112" s="111"/>
      <c r="AV112" s="1261"/>
      <c r="AW112" s="111">
        <f>300/1000*29.307*15907</f>
        <v>139855.93469999998</v>
      </c>
      <c r="AX112" s="1400">
        <f>270/1000*29.307*1058</f>
        <v>8371.8376200000002</v>
      </c>
      <c r="AY112" s="1403"/>
      <c r="AZ112" s="111">
        <f>460/1000*29.307*174.8</f>
        <v>2356.5172560000001</v>
      </c>
      <c r="BA112" s="135" t="s">
        <v>100</v>
      </c>
      <c r="BB112" s="111" t="s">
        <v>100</v>
      </c>
    </row>
    <row r="113" spans="1:54" x14ac:dyDescent="0.45">
      <c r="A113" s="10">
        <v>1923</v>
      </c>
      <c r="B113" s="1280">
        <f>'1.6.2 Gas1'!B53</f>
        <v>790</v>
      </c>
      <c r="C113" s="1335">
        <f>'1.6.2 Gas1'!C53</f>
        <v>1253.39650074</v>
      </c>
      <c r="D113" s="1335">
        <f>'1.6.2 Gas1'!D53</f>
        <v>11519.616913559999</v>
      </c>
      <c r="E113" s="1335">
        <f>'1.6.2 Gas1'!E53</f>
        <v>7858.8381083099684</v>
      </c>
      <c r="F113" s="1335">
        <f>'1.6.2 Gas1'!F53</f>
        <v>0</v>
      </c>
      <c r="G113" s="1335">
        <f>'1.6.2 Gas1'!G53</f>
        <v>0</v>
      </c>
      <c r="H113" s="1335">
        <f>'1.6.2 Gas1'!H53</f>
        <v>0</v>
      </c>
      <c r="I113" s="1335">
        <f>'1.6.2 Gas1'!I53</f>
        <v>0</v>
      </c>
      <c r="J113" s="1335">
        <f>'1.6.2 Gas1'!J53</f>
        <v>0</v>
      </c>
      <c r="K113" s="1335">
        <f>'1.6.2 Gas1'!K53</f>
        <v>0</v>
      </c>
      <c r="L113" s="1335">
        <f>'1.6.2 Gas1'!L53</f>
        <v>13146.247549920032</v>
      </c>
      <c r="M113" s="1335">
        <f>'1.6.2 Gas1'!M53</f>
        <v>0</v>
      </c>
      <c r="N113" s="1335">
        <f>'1.6.2 Gas1'!N53</f>
        <v>21005.085658229997</v>
      </c>
      <c r="O113" s="1335">
        <f>'1.6.2 Gas1'!O53</f>
        <v>33778.09907253</v>
      </c>
      <c r="P113" s="1335">
        <f>'1.6.2 Gas1'!P53</f>
        <v>0</v>
      </c>
      <c r="Q113" s="1335">
        <f>'1.6.2 Gas1'!Q53</f>
        <v>33778.09907253</v>
      </c>
      <c r="R113" s="1258"/>
      <c r="S113" s="112"/>
      <c r="T113" s="111"/>
      <c r="U113" s="112"/>
      <c r="V113" s="111"/>
      <c r="W113" s="134"/>
      <c r="X113" s="1283"/>
      <c r="Y113" s="134"/>
      <c r="Z113" s="1281"/>
      <c r="AA113" s="1258"/>
      <c r="AB113" s="126"/>
      <c r="AC113" s="111"/>
      <c r="AD113" s="113"/>
      <c r="AK113" s="114"/>
      <c r="AN113" s="124">
        <v>1923</v>
      </c>
      <c r="AO113" s="135"/>
      <c r="AP113" s="111"/>
      <c r="AQ113" s="135"/>
      <c r="AR113" s="111"/>
      <c r="AS113" s="111"/>
      <c r="AT113" s="112"/>
      <c r="AU113" s="111"/>
      <c r="AV113" s="1261"/>
      <c r="AW113" s="111">
        <f>300/1000*29.307*16461</f>
        <v>144726.75810000001</v>
      </c>
      <c r="AX113" s="1400">
        <f>270/1000*29.307*907</f>
        <v>7176.9912299999996</v>
      </c>
      <c r="AY113" s="1403"/>
      <c r="AZ113" s="111">
        <f>460/1000*29.307*162</f>
        <v>2183.9576400000001</v>
      </c>
      <c r="BA113" s="135" t="s">
        <v>100</v>
      </c>
      <c r="BB113" s="111" t="s">
        <v>100</v>
      </c>
    </row>
    <row r="114" spans="1:54" x14ac:dyDescent="0.45">
      <c r="A114" s="10">
        <v>1924</v>
      </c>
      <c r="B114" s="1280">
        <f>'1.6.2 Gas1'!B54</f>
        <v>784</v>
      </c>
      <c r="C114" s="1335">
        <f>'1.6.2 Gas1'!C54</f>
        <v>1342.4455271699999</v>
      </c>
      <c r="D114" s="1335">
        <f>'1.6.2 Gas1'!D54</f>
        <v>12377.395290599999</v>
      </c>
      <c r="E114" s="1335">
        <f>'1.6.2 Gas1'!E54</f>
        <v>8302.9921458308054</v>
      </c>
      <c r="F114" s="1335">
        <f>'1.6.2 Gas1'!F54</f>
        <v>0</v>
      </c>
      <c r="G114" s="1335">
        <f>'1.6.2 Gas1'!G54</f>
        <v>0</v>
      </c>
      <c r="H114" s="1335">
        <f>'1.6.2 Gas1'!H54</f>
        <v>0</v>
      </c>
      <c r="I114" s="1335">
        <f>'1.6.2 Gas1'!I54</f>
        <v>0</v>
      </c>
      <c r="J114" s="1335">
        <f>'1.6.2 Gas1'!J54</f>
        <v>0</v>
      </c>
      <c r="K114" s="1335">
        <f>'1.6.2 Gas1'!K54</f>
        <v>0</v>
      </c>
      <c r="L114" s="1335">
        <f>'1.6.2 Gas1'!L54</f>
        <v>13889.227472279195</v>
      </c>
      <c r="M114" s="1335">
        <f>'1.6.2 Gas1'!M54</f>
        <v>0</v>
      </c>
      <c r="N114" s="1335">
        <f>'1.6.2 Gas1'!N54</f>
        <v>22192.219618109997</v>
      </c>
      <c r="O114" s="1335">
        <f>'1.6.2 Gas1'!O54</f>
        <v>35912.060435879997</v>
      </c>
      <c r="P114" s="1335">
        <f>'1.6.2 Gas1'!P54</f>
        <v>0</v>
      </c>
      <c r="Q114" s="1335">
        <f>'1.6.2 Gas1'!Q54</f>
        <v>35912.060435879997</v>
      </c>
      <c r="R114" s="1258"/>
      <c r="S114" s="112"/>
      <c r="T114" s="111"/>
      <c r="U114" s="112"/>
      <c r="V114" s="111"/>
      <c r="W114" s="134"/>
      <c r="X114" s="1283"/>
      <c r="Y114" s="134"/>
      <c r="Z114" s="1281"/>
      <c r="AA114" s="1258"/>
      <c r="AB114" s="126"/>
      <c r="AC114" s="111"/>
      <c r="AD114" s="113"/>
      <c r="AK114" s="114"/>
      <c r="AN114" s="124">
        <v>1924</v>
      </c>
      <c r="AO114" s="135"/>
      <c r="AP114" s="111"/>
      <c r="AQ114" s="135"/>
      <c r="AR114" s="111"/>
      <c r="AS114" s="111"/>
      <c r="AT114" s="112"/>
      <c r="AU114" s="111"/>
      <c r="AV114" s="1261"/>
      <c r="AW114" s="111">
        <f>300/1000*29.307*17329</f>
        <v>152358.3009</v>
      </c>
      <c r="AX114" s="1400">
        <f>270/1000*29.307*976</f>
        <v>7722.9806399999998</v>
      </c>
      <c r="AY114" s="1403"/>
      <c r="AZ114" s="111">
        <f>460/1000*29.307*172.9</f>
        <v>2330.9029380000002</v>
      </c>
      <c r="BA114" s="135" t="s">
        <v>100</v>
      </c>
      <c r="BB114" s="111" t="s">
        <v>100</v>
      </c>
    </row>
    <row r="115" spans="1:54" x14ac:dyDescent="0.45">
      <c r="A115" s="10">
        <v>1925</v>
      </c>
      <c r="B115" s="1280">
        <f>'1.6.2 Gas1'!B55</f>
        <v>781</v>
      </c>
      <c r="C115" s="1335">
        <f>'1.6.2 Gas1'!C55</f>
        <v>1391.09397489</v>
      </c>
      <c r="D115" s="1335">
        <f>'1.6.2 Gas1'!D55</f>
        <v>12965.510289329999</v>
      </c>
      <c r="E115" s="1335">
        <f>'1.6.2 Gas1'!E55</f>
        <v>8528.4165336917122</v>
      </c>
      <c r="F115" s="1335">
        <f>'1.6.2 Gas1'!F55</f>
        <v>0</v>
      </c>
      <c r="G115" s="1335">
        <f>'1.6.2 Gas1'!G55</f>
        <v>0</v>
      </c>
      <c r="H115" s="1335">
        <f>'1.6.2 Gas1'!H55</f>
        <v>0</v>
      </c>
      <c r="I115" s="1335">
        <f>'1.6.2 Gas1'!I55</f>
        <v>0</v>
      </c>
      <c r="J115" s="1335">
        <f>'1.6.2 Gas1'!J55</f>
        <v>0</v>
      </c>
      <c r="K115" s="1335">
        <f>'1.6.2 Gas1'!K55</f>
        <v>0</v>
      </c>
      <c r="L115" s="1335">
        <f>'1.6.2 Gas1'!L55</f>
        <v>14266.316905318288</v>
      </c>
      <c r="M115" s="1335">
        <f>'1.6.2 Gas1'!M55</f>
        <v>0</v>
      </c>
      <c r="N115" s="1335">
        <f>'1.6.2 Gas1'!N55</f>
        <v>22794.73343901</v>
      </c>
      <c r="O115" s="1335">
        <f>'1.6.2 Gas1'!O55</f>
        <v>37151.337703229998</v>
      </c>
      <c r="P115" s="1335">
        <f>'1.6.2 Gas1'!P55</f>
        <v>0</v>
      </c>
      <c r="Q115" s="1335">
        <f>'1.6.2 Gas1'!Q55</f>
        <v>37151.337703229998</v>
      </c>
      <c r="R115" s="1258"/>
      <c r="S115" s="112"/>
      <c r="T115" s="111"/>
      <c r="U115" s="112"/>
      <c r="V115" s="111"/>
      <c r="W115" s="134"/>
      <c r="X115" s="1283"/>
      <c r="Y115" s="134"/>
      <c r="Z115" s="1281"/>
      <c r="AA115" s="1258"/>
      <c r="AB115" s="126"/>
      <c r="AC115" s="111"/>
      <c r="AD115" s="113"/>
      <c r="AK115" s="114"/>
      <c r="AN115" s="124">
        <v>1925</v>
      </c>
      <c r="AO115" s="135"/>
      <c r="AP115" s="111"/>
      <c r="AQ115" s="135"/>
      <c r="AR115" s="111"/>
      <c r="AS115" s="111"/>
      <c r="AT115" s="112"/>
      <c r="AU115" s="111"/>
      <c r="AV115" s="1261"/>
      <c r="AW115" s="111">
        <f>300/1000*29.307*17031</f>
        <v>149738.25509999998</v>
      </c>
      <c r="AX115" s="1400">
        <f>270/1000*29.307*1153</f>
        <v>9123.5621699999992</v>
      </c>
      <c r="AY115" s="1403"/>
      <c r="AZ115" s="111">
        <f>460/1000*29.307*232</f>
        <v>3127.6430399999999</v>
      </c>
      <c r="BA115" s="135" t="s">
        <v>100</v>
      </c>
      <c r="BB115" s="111" t="s">
        <v>100</v>
      </c>
    </row>
    <row r="116" spans="1:54" x14ac:dyDescent="0.45">
      <c r="A116" s="10">
        <v>1926</v>
      </c>
      <c r="B116" s="1280">
        <f>'1.6.2 Gas1'!B56</f>
        <v>784</v>
      </c>
      <c r="C116" s="1335">
        <f>'1.6.2 Gas1'!C56</f>
        <v>1280.9359955699999</v>
      </c>
      <c r="D116" s="1335">
        <f>'1.6.2 Gas1'!D56</f>
        <v>13881.722721390001</v>
      </c>
      <c r="E116" s="1335">
        <f>'1.6.2 Gas1'!E56</f>
        <v>8792.3356662082133</v>
      </c>
      <c r="F116" s="1335">
        <f>'1.6.2 Gas1'!F56</f>
        <v>0</v>
      </c>
      <c r="G116" s="1335">
        <f>'1.6.2 Gas1'!G56</f>
        <v>0</v>
      </c>
      <c r="H116" s="1335">
        <f>'1.6.2 Gas1'!H56</f>
        <v>0</v>
      </c>
      <c r="I116" s="1335">
        <f>'1.6.2 Gas1'!I56</f>
        <v>0</v>
      </c>
      <c r="J116" s="1335">
        <f>'1.6.2 Gas1'!J56</f>
        <v>0</v>
      </c>
      <c r="K116" s="1335">
        <f>'1.6.2 Gas1'!K56</f>
        <v>0</v>
      </c>
      <c r="L116" s="1335">
        <f>'1.6.2 Gas1'!L56</f>
        <v>14707.800264741787</v>
      </c>
      <c r="M116" s="1335">
        <f>'1.6.2 Gas1'!M56</f>
        <v>0</v>
      </c>
      <c r="N116" s="1335">
        <f>'1.6.2 Gas1'!N56</f>
        <v>23500.13593095</v>
      </c>
      <c r="O116" s="1335">
        <f>'1.6.2 Gas1'!O56</f>
        <v>38662.794647909999</v>
      </c>
      <c r="P116" s="1335">
        <f>'1.6.2 Gas1'!P56</f>
        <v>0</v>
      </c>
      <c r="Q116" s="1335">
        <f>'1.6.2 Gas1'!Q56</f>
        <v>38662.794647909999</v>
      </c>
      <c r="R116" s="1258"/>
      <c r="S116" s="112"/>
      <c r="T116" s="111"/>
      <c r="U116" s="112"/>
      <c r="V116" s="111"/>
      <c r="W116" s="134"/>
      <c r="X116" s="1283"/>
      <c r="Y116" s="134"/>
      <c r="Z116" s="1281"/>
      <c r="AA116" s="1258"/>
      <c r="AB116" s="126"/>
      <c r="AC116" s="111"/>
      <c r="AD116" s="113"/>
      <c r="AK116" s="114"/>
      <c r="AN116" s="124">
        <v>1926</v>
      </c>
      <c r="AO116" s="135"/>
      <c r="AP116" s="111"/>
      <c r="AQ116" s="135"/>
      <c r="AR116" s="111"/>
      <c r="AS116" s="111"/>
      <c r="AT116" s="112"/>
      <c r="AU116" s="111"/>
      <c r="AV116" s="1261"/>
      <c r="AW116" s="111">
        <f>300/1000*29.307*16564</f>
        <v>145632.3444</v>
      </c>
      <c r="AX116" s="1400">
        <f>270/1000*29.307*1436</f>
        <v>11362.910040000001</v>
      </c>
      <c r="AY116" s="1403"/>
      <c r="AZ116" s="111">
        <f>460/1000*29.307*370.1</f>
        <v>4989.3995220000006</v>
      </c>
      <c r="BA116" s="135" t="s">
        <v>100</v>
      </c>
      <c r="BB116" s="111" t="s">
        <v>100</v>
      </c>
    </row>
    <row r="117" spans="1:54" x14ac:dyDescent="0.45">
      <c r="A117" s="10">
        <v>1927</v>
      </c>
      <c r="B117" s="1280">
        <f>'1.6.2 Gas1'!B57</f>
        <v>782</v>
      </c>
      <c r="C117" s="1335">
        <f>'1.6.2 Gas1'!C57</f>
        <v>1387.8787039199999</v>
      </c>
      <c r="D117" s="1335">
        <f>'1.6.2 Gas1'!D57</f>
        <v>13912.3376928</v>
      </c>
      <c r="E117" s="1335">
        <f>'1.6.2 Gas1'!E57</f>
        <v>8930.8853653830483</v>
      </c>
      <c r="F117" s="1335">
        <f>'1.6.2 Gas1'!F57</f>
        <v>0</v>
      </c>
      <c r="G117" s="1335">
        <f>'1.6.2 Gas1'!G57</f>
        <v>0</v>
      </c>
      <c r="H117" s="1335">
        <f>'1.6.2 Gas1'!H57</f>
        <v>0</v>
      </c>
      <c r="I117" s="1335">
        <f>'1.6.2 Gas1'!I57</f>
        <v>0</v>
      </c>
      <c r="J117" s="1335">
        <f>'1.6.2 Gas1'!J57</f>
        <v>0</v>
      </c>
      <c r="K117" s="1335">
        <f>'1.6.2 Gas1'!K57</f>
        <v>0</v>
      </c>
      <c r="L117" s="1335">
        <f>'1.6.2 Gas1'!L57</f>
        <v>14939.56590467694</v>
      </c>
      <c r="M117" s="1335">
        <f>'1.6.2 Gas1'!M57</f>
        <v>0</v>
      </c>
      <c r="N117" s="1335">
        <f>'1.6.2 Gas1'!N57</f>
        <v>23870.451270059999</v>
      </c>
      <c r="O117" s="1335">
        <f>'1.6.2 Gas1'!O57</f>
        <v>39170.667666779991</v>
      </c>
      <c r="P117" s="1335">
        <f>'1.6.2 Gas1'!P57</f>
        <v>0</v>
      </c>
      <c r="Q117" s="1335">
        <f>'1.6.2 Gas1'!Q57</f>
        <v>39170.667666779991</v>
      </c>
      <c r="R117" s="1258"/>
      <c r="S117" s="112"/>
      <c r="T117" s="111"/>
      <c r="U117" s="112"/>
      <c r="V117" s="111"/>
      <c r="W117" s="134"/>
      <c r="X117" s="1283"/>
      <c r="Y117" s="134"/>
      <c r="Z117" s="1281"/>
      <c r="AA117" s="1258"/>
      <c r="AB117" s="126"/>
      <c r="AC117" s="111"/>
      <c r="AD117" s="113"/>
      <c r="AK117" s="114"/>
      <c r="AN117" s="124">
        <v>1927</v>
      </c>
      <c r="AO117" s="135"/>
      <c r="AP117" s="111"/>
      <c r="AQ117" s="135"/>
      <c r="AR117" s="111"/>
      <c r="AS117" s="111"/>
      <c r="AT117" s="112"/>
      <c r="AU117" s="111"/>
      <c r="AV117" s="1261"/>
      <c r="AW117" s="111">
        <f>300/1000*29.307*17704</f>
        <v>155655.33839999998</v>
      </c>
      <c r="AX117" s="1400">
        <f>270/1000*29.307*1035</f>
        <v>8189.8411500000002</v>
      </c>
      <c r="AY117" s="1403"/>
      <c r="AZ117" s="111">
        <f>231.1*460/1000*29.307</f>
        <v>3115.5099419999997</v>
      </c>
      <c r="BA117" s="135" t="s">
        <v>100</v>
      </c>
      <c r="BB117" s="111" t="s">
        <v>100</v>
      </c>
    </row>
    <row r="118" spans="1:54" x14ac:dyDescent="0.45">
      <c r="A118" s="10">
        <v>1928</v>
      </c>
      <c r="B118" s="1280">
        <f>'1.6.2 Gas1'!B58</f>
        <v>774</v>
      </c>
      <c r="C118" s="1335">
        <f>'1.6.2 Gas1'!C58</f>
        <v>1467.7013006099999</v>
      </c>
      <c r="D118" s="1335">
        <f>'1.6.2 Gas1'!D58</f>
        <v>14292.019256039999</v>
      </c>
      <c r="E118" s="1335">
        <f>'1.6.2 Gas1'!E58</f>
        <v>8875.4445646562363</v>
      </c>
      <c r="F118" s="1335">
        <f>'1.6.2 Gas1'!F58</f>
        <v>0</v>
      </c>
      <c r="G118" s="1335">
        <f>'1.6.2 Gas1'!G58</f>
        <v>0</v>
      </c>
      <c r="H118" s="1335">
        <f>'1.6.2 Gas1'!H58</f>
        <v>0</v>
      </c>
      <c r="I118" s="1335">
        <f>'1.6.2 Gas1'!I58</f>
        <v>0</v>
      </c>
      <c r="J118" s="1335">
        <f>'1.6.2 Gas1'!J58</f>
        <v>0</v>
      </c>
      <c r="K118" s="1335">
        <f>'1.6.2 Gas1'!K58</f>
        <v>0</v>
      </c>
      <c r="L118" s="1335">
        <f>'1.6.2 Gas1'!L58</f>
        <v>14846.824652003763</v>
      </c>
      <c r="M118" s="1335">
        <f>'1.6.2 Gas1'!M58</f>
        <v>0</v>
      </c>
      <c r="N118" s="1335">
        <f>'1.6.2 Gas1'!N58</f>
        <v>23722.269216659999</v>
      </c>
      <c r="O118" s="1335">
        <f>'1.6.2 Gas1'!O58</f>
        <v>39481.989773310001</v>
      </c>
      <c r="P118" s="1335">
        <f>'1.6.2 Gas1'!P58</f>
        <v>0</v>
      </c>
      <c r="Q118" s="1335">
        <f>'1.6.2 Gas1'!Q58</f>
        <v>39481.989773310001</v>
      </c>
      <c r="R118" s="1258"/>
      <c r="S118" s="112"/>
      <c r="T118" s="111"/>
      <c r="U118" s="112"/>
      <c r="V118" s="111"/>
      <c r="W118" s="134"/>
      <c r="X118" s="1283"/>
      <c r="Y118" s="134"/>
      <c r="Z118" s="1281"/>
      <c r="AA118" s="1258"/>
      <c r="AB118" s="126"/>
      <c r="AC118" s="111"/>
      <c r="AD118" s="113"/>
      <c r="AK118" s="114"/>
      <c r="AN118" s="124">
        <v>1928</v>
      </c>
      <c r="AO118" s="135"/>
      <c r="AP118" s="111"/>
      <c r="AQ118" s="135"/>
      <c r="AR118" s="111"/>
      <c r="AS118" s="111"/>
      <c r="AT118" s="112"/>
      <c r="AU118" s="111"/>
      <c r="AV118" s="1261"/>
      <c r="AW118" s="111">
        <f>300/1000*29.307*17562</f>
        <v>154406.8602</v>
      </c>
      <c r="AX118" s="1400">
        <f>270/1000*29.307*979</f>
        <v>7746.7193100000004</v>
      </c>
      <c r="AY118" s="1403"/>
      <c r="AZ118" s="111">
        <f>213.5*460/1000*29.307</f>
        <v>2878.2404699999997</v>
      </c>
      <c r="BA118" s="135" t="s">
        <v>100</v>
      </c>
      <c r="BB118" s="111" t="s">
        <v>100</v>
      </c>
    </row>
    <row r="119" spans="1:54" x14ac:dyDescent="0.45">
      <c r="A119" s="10">
        <v>1929</v>
      </c>
      <c r="B119" s="1280">
        <f>'1.6.2 Gas1'!B59</f>
        <v>771</v>
      </c>
      <c r="C119" s="1335">
        <f>'1.6.2 Gas1'!C59</f>
        <v>1508.52126249</v>
      </c>
      <c r="D119" s="1335">
        <f>'1.6.2 Gas1'!D59</f>
        <v>14865.595638209999</v>
      </c>
      <c r="E119" s="1335">
        <f>'1.6.2 Gas1'!E59</f>
        <v>9177.440020690774</v>
      </c>
      <c r="F119" s="1335">
        <f>'1.6.2 Gas1'!F59</f>
        <v>0</v>
      </c>
      <c r="G119" s="1335">
        <f>'1.6.2 Gas1'!G59</f>
        <v>0</v>
      </c>
      <c r="H119" s="1335">
        <f>'1.6.2 Gas1'!H59</f>
        <v>0</v>
      </c>
      <c r="I119" s="1335">
        <f>'1.6.2 Gas1'!I59</f>
        <v>0</v>
      </c>
      <c r="J119" s="1335">
        <f>'1.6.2 Gas1'!J59</f>
        <v>0</v>
      </c>
      <c r="K119" s="1335">
        <f>'1.6.2 Gas1'!K59</f>
        <v>0</v>
      </c>
      <c r="L119" s="1335">
        <f>'1.6.2 Gas1'!L59</f>
        <v>15352.002003829228</v>
      </c>
      <c r="M119" s="1335">
        <f>'1.6.2 Gas1'!M59</f>
        <v>0</v>
      </c>
      <c r="N119" s="1335">
        <f>'1.6.2 Gas1'!N59</f>
        <v>24529.442024519998</v>
      </c>
      <c r="O119" s="1335">
        <f>'1.6.2 Gas1'!O59</f>
        <v>40903.558925220001</v>
      </c>
      <c r="P119" s="1335">
        <f>'1.6.2 Gas1'!P59</f>
        <v>0</v>
      </c>
      <c r="Q119" s="1335">
        <f>'1.6.2 Gas1'!Q59</f>
        <v>40903.558925220001</v>
      </c>
      <c r="R119" s="1258"/>
      <c r="S119" s="112"/>
      <c r="T119" s="111"/>
      <c r="U119" s="112"/>
      <c r="V119" s="111"/>
      <c r="W119" s="134"/>
      <c r="X119" s="1283"/>
      <c r="Y119" s="134"/>
      <c r="Z119" s="1281"/>
      <c r="AA119" s="1258"/>
      <c r="AB119" s="126"/>
      <c r="AC119" s="111"/>
      <c r="AD119" s="113"/>
      <c r="AK119" s="114"/>
      <c r="AN119" s="124">
        <v>1929</v>
      </c>
      <c r="AO119" s="135"/>
      <c r="AP119" s="111"/>
      <c r="AQ119" s="135"/>
      <c r="AR119" s="111"/>
      <c r="AS119" s="111"/>
      <c r="AT119" s="112"/>
      <c r="AU119" s="111"/>
      <c r="AV119" s="1261"/>
      <c r="AW119" s="111">
        <f>300/1000*29.307*17887</f>
        <v>157264.29269999999</v>
      </c>
      <c r="AX119" s="1400">
        <f>270/1000*29.307*949</f>
        <v>7509.3326100000004</v>
      </c>
      <c r="AY119" s="1403"/>
      <c r="AZ119" s="111">
        <f>220*460/1000*29.307</f>
        <v>2965.8683999999998</v>
      </c>
      <c r="BA119" s="135" t="s">
        <v>100</v>
      </c>
      <c r="BB119" s="111" t="s">
        <v>100</v>
      </c>
    </row>
    <row r="120" spans="1:54" x14ac:dyDescent="0.45">
      <c r="A120" s="10">
        <v>1930</v>
      </c>
      <c r="B120" s="1280">
        <f>'1.6.2 Gas1'!B60</f>
        <v>767</v>
      </c>
      <c r="C120" s="1335">
        <f>'1.6.2 Gas1'!C60</f>
        <v>1578.13886871</v>
      </c>
      <c r="D120" s="1335">
        <f>'1.6.2 Gas1'!D60</f>
        <v>15092.901316349999</v>
      </c>
      <c r="E120" s="1335">
        <f>'1.6.2 Gas1'!E60</f>
        <v>8929.9962204657313</v>
      </c>
      <c r="F120" s="1335">
        <f>'1.6.2 Gas1'!F60</f>
        <v>0</v>
      </c>
      <c r="G120" s="1335">
        <f>'1.6.2 Gas1'!G60</f>
        <v>0</v>
      </c>
      <c r="H120" s="1335">
        <f>'1.6.2 Gas1'!H60</f>
        <v>0</v>
      </c>
      <c r="I120" s="1335">
        <f>'1.6.2 Gas1'!I60</f>
        <v>0</v>
      </c>
      <c r="J120" s="1335">
        <f>'1.6.2 Gas1'!J60</f>
        <v>0</v>
      </c>
      <c r="K120" s="1335">
        <f>'1.6.2 Gas1'!K60</f>
        <v>0</v>
      </c>
      <c r="L120" s="1335">
        <f>'1.6.2 Gas1'!L60</f>
        <v>14938.078544964268</v>
      </c>
      <c r="M120" s="1335">
        <f>'1.6.2 Gas1'!M60</f>
        <v>0</v>
      </c>
      <c r="N120" s="1335">
        <f>'1.6.2 Gas1'!N60</f>
        <v>23868.074765429999</v>
      </c>
      <c r="O120" s="1335">
        <f>'1.6.2 Gas1'!O60</f>
        <v>40539.114950489995</v>
      </c>
      <c r="P120" s="1335">
        <f>'1.6.2 Gas1'!P60</f>
        <v>0</v>
      </c>
      <c r="Q120" s="1335">
        <f>'1.6.2 Gas1'!Q60</f>
        <v>40539.114950489995</v>
      </c>
      <c r="R120" s="1258"/>
      <c r="S120" s="112"/>
      <c r="T120" s="111"/>
      <c r="U120" s="112"/>
      <c r="V120" s="111"/>
      <c r="W120" s="134"/>
      <c r="X120" s="1283"/>
      <c r="Y120" s="134"/>
      <c r="Z120" s="1281"/>
      <c r="AA120" s="1258"/>
      <c r="AB120" s="126"/>
      <c r="AC120" s="111"/>
      <c r="AD120" s="113"/>
      <c r="AK120" s="114"/>
      <c r="AN120" s="124">
        <v>1930</v>
      </c>
      <c r="AO120" s="135"/>
      <c r="AP120" s="111"/>
      <c r="AQ120" s="135"/>
      <c r="AR120" s="111"/>
      <c r="AS120" s="111"/>
      <c r="AT120" s="112"/>
      <c r="AU120" s="111"/>
      <c r="AV120" s="1261"/>
      <c r="AW120" s="111">
        <f>300/1000*29.307*17669</f>
        <v>155347.61489999999</v>
      </c>
      <c r="AX120" s="1400">
        <f>270/1000*29.307*790</f>
        <v>6251.1831000000002</v>
      </c>
      <c r="AY120" s="1403"/>
      <c r="AZ120" s="111">
        <f>186*460/1000*29.307</f>
        <v>2507.5069199999998</v>
      </c>
      <c r="BA120" s="135" t="s">
        <v>100</v>
      </c>
      <c r="BB120" s="111" t="s">
        <v>100</v>
      </c>
    </row>
    <row r="121" spans="1:54" x14ac:dyDescent="0.45">
      <c r="A121" s="10">
        <v>1931</v>
      </c>
      <c r="B121" s="1280">
        <f>'1.6.2 Gas1'!B61</f>
        <v>749</v>
      </c>
      <c r="C121" s="1335">
        <f>'1.6.2 Gas1'!C61</f>
        <v>1651.3509784799999</v>
      </c>
      <c r="D121" s="1335">
        <f>'1.6.2 Gas1'!D61</f>
        <v>15481.0652046</v>
      </c>
      <c r="E121" s="1335">
        <f>'1.6.2 Gas1'!E61</f>
        <v>8825.9678002276978</v>
      </c>
      <c r="F121" s="1335">
        <f>'1.6.2 Gas1'!F61</f>
        <v>0</v>
      </c>
      <c r="G121" s="1335">
        <f>'1.6.2 Gas1'!G61</f>
        <v>0</v>
      </c>
      <c r="H121" s="1335">
        <f>'1.6.2 Gas1'!H61</f>
        <v>0</v>
      </c>
      <c r="I121" s="1335">
        <f>'1.6.2 Gas1'!I61</f>
        <v>0</v>
      </c>
      <c r="J121" s="1335">
        <f>'1.6.2 Gas1'!J61</f>
        <v>0</v>
      </c>
      <c r="K121" s="1335">
        <f>'1.6.2 Gas1'!K61</f>
        <v>0</v>
      </c>
      <c r="L121" s="1335">
        <f>'1.6.2 Gas1'!L61</f>
        <v>14764.060026472302</v>
      </c>
      <c r="M121" s="1335">
        <f>'1.6.2 Gas1'!M61</f>
        <v>0</v>
      </c>
      <c r="N121" s="1335">
        <f>'1.6.2 Gas1'!N61</f>
        <v>23590.027826699999</v>
      </c>
      <c r="O121" s="1335">
        <f>'1.6.2 Gas1'!O61</f>
        <v>40722.444009779996</v>
      </c>
      <c r="P121" s="1335">
        <f>'1.6.2 Gas1'!P61</f>
        <v>0</v>
      </c>
      <c r="Q121" s="1335">
        <f>'1.6.2 Gas1'!Q61</f>
        <v>40722.444009779996</v>
      </c>
      <c r="R121" s="1258"/>
      <c r="S121" s="112"/>
      <c r="T121" s="111"/>
      <c r="U121" s="112"/>
      <c r="V121" s="111"/>
      <c r="W121" s="134"/>
      <c r="X121" s="1283"/>
      <c r="Y121" s="134"/>
      <c r="Z121" s="1281"/>
      <c r="AA121" s="1258"/>
      <c r="AB121" s="126"/>
      <c r="AC121" s="111"/>
      <c r="AD121" s="113"/>
      <c r="AK121" s="114"/>
      <c r="AN121" s="124">
        <v>1931</v>
      </c>
      <c r="AO121" s="135"/>
      <c r="AP121" s="111"/>
      <c r="AQ121" s="135"/>
      <c r="AR121" s="111"/>
      <c r="AS121" s="111"/>
      <c r="AT121" s="112"/>
      <c r="AU121" s="111"/>
      <c r="AV121" s="1261"/>
      <c r="AW121" s="111">
        <f>300/1000*29.307*17427</f>
        <v>153219.92669999998</v>
      </c>
      <c r="AX121" s="1400">
        <f>270/1000*29.307*804</f>
        <v>6361.9635600000001</v>
      </c>
      <c r="AY121" s="1403"/>
      <c r="AZ121" s="111">
        <f>201*460/1000*29.307</f>
        <v>2709.7252199999998</v>
      </c>
      <c r="BA121" s="135" t="s">
        <v>100</v>
      </c>
      <c r="BB121" s="111" t="s">
        <v>100</v>
      </c>
    </row>
    <row r="122" spans="1:54" x14ac:dyDescent="0.45">
      <c r="A122" s="10">
        <v>1932</v>
      </c>
      <c r="B122" s="1280">
        <f>'1.6.2 Gas1'!B62</f>
        <v>734</v>
      </c>
      <c r="C122" s="1335">
        <f>'1.6.2 Gas1'!C62</f>
        <v>1699.40097726</v>
      </c>
      <c r="D122" s="1335">
        <f>'1.6.2 Gas1'!D62</f>
        <v>15405.97832604</v>
      </c>
      <c r="E122" s="1335">
        <f>'1.6.2 Gas1'!E62</f>
        <v>8641.8958330410242</v>
      </c>
      <c r="F122" s="1335">
        <f>'1.6.2 Gas1'!F62</f>
        <v>0</v>
      </c>
      <c r="G122" s="1335">
        <f>'1.6.2 Gas1'!G62</f>
        <v>0</v>
      </c>
      <c r="H122" s="1335">
        <f>'1.6.2 Gas1'!H62</f>
        <v>0</v>
      </c>
      <c r="I122" s="1335">
        <f>'1.6.2 Gas1'!I62</f>
        <v>0</v>
      </c>
      <c r="J122" s="1335">
        <f>'1.6.2 Gas1'!J62</f>
        <v>0</v>
      </c>
      <c r="K122" s="1335">
        <f>'1.6.2 Gas1'!K62</f>
        <v>0</v>
      </c>
      <c r="L122" s="1335">
        <f>'1.6.2 Gas1'!L62</f>
        <v>14456.144834138977</v>
      </c>
      <c r="M122" s="1335">
        <f>'1.6.2 Gas1'!M62</f>
        <v>0</v>
      </c>
      <c r="N122" s="1335">
        <f>'1.6.2 Gas1'!N62</f>
        <v>23098.040667180001</v>
      </c>
      <c r="O122" s="1335">
        <f>'1.6.2 Gas1'!O62</f>
        <v>40203.419970479998</v>
      </c>
      <c r="P122" s="1335">
        <f>'1.6.2 Gas1'!P62</f>
        <v>0</v>
      </c>
      <c r="Q122" s="1335">
        <f>'1.6.2 Gas1'!Q62</f>
        <v>40203.419970479998</v>
      </c>
      <c r="R122" s="1258"/>
      <c r="S122" s="112"/>
      <c r="T122" s="111"/>
      <c r="U122" s="112"/>
      <c r="V122" s="111"/>
      <c r="W122" s="134"/>
      <c r="X122" s="1283"/>
      <c r="Y122" s="134"/>
      <c r="Z122" s="1281"/>
      <c r="AA122" s="1258"/>
      <c r="AB122" s="126"/>
      <c r="AC122" s="111"/>
      <c r="AD122" s="113"/>
      <c r="AK122" s="114"/>
      <c r="AN122" s="124">
        <v>1932</v>
      </c>
      <c r="AO122" s="135"/>
      <c r="AP122" s="111"/>
      <c r="AQ122" s="135"/>
      <c r="AR122" s="111"/>
      <c r="AS122" s="111"/>
      <c r="AT122" s="112"/>
      <c r="AU122" s="111"/>
      <c r="AV122" s="1261"/>
      <c r="AW122" s="111">
        <f>300/1000*29.307*17001</f>
        <v>149474.4921</v>
      </c>
      <c r="AX122" s="1400">
        <f>270/1000*29.307*746</f>
        <v>5903.0159400000002</v>
      </c>
      <c r="AY122" s="1403"/>
      <c r="AZ122" s="111">
        <f>196*460/1000*29.307</f>
        <v>2642.3191199999997</v>
      </c>
      <c r="BA122" s="135" t="s">
        <v>100</v>
      </c>
      <c r="BB122" s="111" t="s">
        <v>100</v>
      </c>
    </row>
    <row r="123" spans="1:54" x14ac:dyDescent="0.45">
      <c r="A123" s="10">
        <v>1933</v>
      </c>
      <c r="B123" s="1280">
        <f>'1.6.2 Gas1'!B63</f>
        <v>727</v>
      </c>
      <c r="C123" s="1335">
        <f>'1.6.2 Gas1'!C63</f>
        <v>1711.5027167699998</v>
      </c>
      <c r="D123" s="1335">
        <f>'1.6.2 Gas1'!D63</f>
        <v>15610.28035374</v>
      </c>
      <c r="E123" s="1335">
        <f>'1.6.2 Gas1'!E63</f>
        <v>8485.3191565229445</v>
      </c>
      <c r="F123" s="1335">
        <f>'1.6.2 Gas1'!F63</f>
        <v>0</v>
      </c>
      <c r="G123" s="1335">
        <f>'1.6.2 Gas1'!G63</f>
        <v>0</v>
      </c>
      <c r="H123" s="1335">
        <f>'1.6.2 Gas1'!H63</f>
        <v>0</v>
      </c>
      <c r="I123" s="1335">
        <f>'1.6.2 Gas1'!I63</f>
        <v>0</v>
      </c>
      <c r="J123" s="1335">
        <f>'1.6.2 Gas1'!J63</f>
        <v>0</v>
      </c>
      <c r="K123" s="1335">
        <f>'1.6.2 Gas1'!K63</f>
        <v>0</v>
      </c>
      <c r="L123" s="1335">
        <f>'1.6.2 Gas1'!L63</f>
        <v>14194.223705127051</v>
      </c>
      <c r="M123" s="1335">
        <f>'1.6.2 Gas1'!M63</f>
        <v>0</v>
      </c>
      <c r="N123" s="1335">
        <f>'1.6.2 Gas1'!N63</f>
        <v>22679.542861649999</v>
      </c>
      <c r="O123" s="1335">
        <f>'1.6.2 Gas1'!O63</f>
        <v>40001.325932159998</v>
      </c>
      <c r="P123" s="1335">
        <f>'1.6.2 Gas1'!P63</f>
        <v>0</v>
      </c>
      <c r="Q123" s="1335">
        <f>'1.6.2 Gas1'!Q63</f>
        <v>40001.325932159998</v>
      </c>
      <c r="R123" s="1258"/>
      <c r="S123" s="112"/>
      <c r="T123" s="111"/>
      <c r="U123" s="112"/>
      <c r="V123" s="111"/>
      <c r="W123" s="134"/>
      <c r="X123" s="1283"/>
      <c r="Y123" s="134"/>
      <c r="Z123" s="1281"/>
      <c r="AA123" s="1258"/>
      <c r="AB123" s="126"/>
      <c r="AC123" s="111"/>
      <c r="AD123" s="113"/>
      <c r="AK123" s="114"/>
      <c r="AN123" s="124">
        <v>1933</v>
      </c>
      <c r="AO123" s="135"/>
      <c r="AP123" s="111"/>
      <c r="AQ123" s="135"/>
      <c r="AR123" s="111"/>
      <c r="AS123" s="111"/>
      <c r="AT123" s="112"/>
      <c r="AU123" s="111"/>
      <c r="AV123" s="1261"/>
      <c r="AW123" s="111">
        <f>300/1000*29.307*16714</f>
        <v>146951.1594</v>
      </c>
      <c r="AX123" s="1400">
        <f>270/1000*29.307*749</f>
        <v>5926.75461</v>
      </c>
      <c r="AY123" s="1403"/>
      <c r="AZ123" s="111">
        <f>205*460/1000*29.307</f>
        <v>2763.6500999999998</v>
      </c>
      <c r="BA123" s="135" t="s">
        <v>100</v>
      </c>
      <c r="BB123" s="111" t="s">
        <v>100</v>
      </c>
    </row>
    <row r="124" spans="1:54" x14ac:dyDescent="0.45">
      <c r="A124" s="10">
        <v>1934</v>
      </c>
      <c r="B124" s="1280">
        <f>'1.6.2 Gas1'!B64</f>
        <v>726</v>
      </c>
      <c r="C124" s="1335">
        <f>'1.6.2 Gas1'!C64</f>
        <v>1763.2966848000001</v>
      </c>
      <c r="D124" s="1335">
        <f>'1.6.2 Gas1'!D64</f>
        <v>15691.387476240001</v>
      </c>
      <c r="E124" s="1335">
        <f>'1.6.2 Gas1'!E64</f>
        <v>8640.1324554901203</v>
      </c>
      <c r="F124" s="1335">
        <f>'1.6.2 Gas1'!F64</f>
        <v>0</v>
      </c>
      <c r="G124" s="1335">
        <f>'1.6.2 Gas1'!G64</f>
        <v>0</v>
      </c>
      <c r="H124" s="1335">
        <f>'1.6.2 Gas1'!H64</f>
        <v>0</v>
      </c>
      <c r="I124" s="1335">
        <f>'1.6.2 Gas1'!I64</f>
        <v>0</v>
      </c>
      <c r="J124" s="1335">
        <f>'1.6.2 Gas1'!J64</f>
        <v>0</v>
      </c>
      <c r="K124" s="1335">
        <f>'1.6.2 Gas1'!K64</f>
        <v>0</v>
      </c>
      <c r="L124" s="1335">
        <f>'1.6.2 Gas1'!L64</f>
        <v>14453.195059949883</v>
      </c>
      <c r="M124" s="1335">
        <f>'1.6.2 Gas1'!M64</f>
        <v>0</v>
      </c>
      <c r="N124" s="1335">
        <f>'1.6.2 Gas1'!N64</f>
        <v>23093.327515440003</v>
      </c>
      <c r="O124" s="1335">
        <f>'1.6.2 Gas1'!O64</f>
        <v>40548.011676480004</v>
      </c>
      <c r="P124" s="1335">
        <f>'1.6.2 Gas1'!P64</f>
        <v>0</v>
      </c>
      <c r="Q124" s="1335">
        <f>'1.6.2 Gas1'!Q64</f>
        <v>40548.011676480004</v>
      </c>
      <c r="R124" s="1258"/>
      <c r="S124" s="112"/>
      <c r="T124" s="111"/>
      <c r="U124" s="112"/>
      <c r="V124" s="111"/>
      <c r="W124" s="134"/>
      <c r="X124" s="1283"/>
      <c r="Y124" s="134"/>
      <c r="Z124" s="1281"/>
      <c r="AA124" s="1258"/>
      <c r="AB124" s="126"/>
      <c r="AC124" s="111"/>
      <c r="AD124" s="113"/>
      <c r="AK124" s="114"/>
      <c r="AN124" s="124">
        <v>1934</v>
      </c>
      <c r="AO124" s="135"/>
      <c r="AP124" s="111"/>
      <c r="AQ124" s="135"/>
      <c r="AR124" s="111"/>
      <c r="AS124" s="111"/>
      <c r="AT124" s="112"/>
      <c r="AU124" s="111"/>
      <c r="AV124" s="1261"/>
      <c r="AW124" s="111">
        <f>300/1000*29.307*17137</f>
        <v>150670.21769999998</v>
      </c>
      <c r="AX124" s="1400">
        <f>270/1000*29.307*620</f>
        <v>4905.9917999999998</v>
      </c>
      <c r="AY124" s="1403"/>
      <c r="AZ124" s="111">
        <f>153*460/1000*29.307</f>
        <v>2062.6266599999999</v>
      </c>
      <c r="BA124" s="135" t="s">
        <v>100</v>
      </c>
      <c r="BB124" s="111" t="s">
        <v>100</v>
      </c>
    </row>
    <row r="125" spans="1:54" x14ac:dyDescent="0.45">
      <c r="A125" s="10">
        <v>1935</v>
      </c>
      <c r="B125" s="1280">
        <f>'1.6.2 Gas1'!B65</f>
        <v>718</v>
      </c>
      <c r="C125" s="1335">
        <f>'1.6.2 Gas1'!C65</f>
        <v>1852.4441827499998</v>
      </c>
      <c r="D125" s="1335">
        <f>'1.6.2 Gas1'!D65</f>
        <v>15754.476068999997</v>
      </c>
      <c r="E125" s="1335">
        <f>'1.6.2 Gas1'!E65</f>
        <v>8821.7726239375806</v>
      </c>
      <c r="F125" s="1335">
        <f>'1.6.2 Gas1'!F65</f>
        <v>0</v>
      </c>
      <c r="G125" s="1335">
        <f>'1.6.2 Gas1'!G65</f>
        <v>0</v>
      </c>
      <c r="H125" s="1335">
        <f>'1.6.2 Gas1'!H65</f>
        <v>0</v>
      </c>
      <c r="I125" s="1335">
        <f>'1.6.2 Gas1'!I65</f>
        <v>0</v>
      </c>
      <c r="J125" s="1335">
        <f>'1.6.2 Gas1'!J65</f>
        <v>0</v>
      </c>
      <c r="K125" s="1335">
        <f>'1.6.2 Gas1'!K65</f>
        <v>0</v>
      </c>
      <c r="L125" s="1335">
        <f>'1.6.2 Gas1'!L65</f>
        <v>14757.042344562422</v>
      </c>
      <c r="M125" s="1335">
        <f>'1.6.2 Gas1'!M65</f>
        <v>0</v>
      </c>
      <c r="N125" s="1335">
        <f>'1.6.2 Gas1'!N65</f>
        <v>23578.814968499995</v>
      </c>
      <c r="O125" s="1335">
        <f>'1.6.2 Gas1'!O65</f>
        <v>41185.735220249997</v>
      </c>
      <c r="P125" s="1335">
        <f>'1.6.2 Gas1'!P65</f>
        <v>0</v>
      </c>
      <c r="Q125" s="1335">
        <f>'1.6.2 Gas1'!Q65</f>
        <v>41185.735220249997</v>
      </c>
      <c r="R125" s="1258"/>
      <c r="S125" s="112"/>
      <c r="T125" s="111"/>
      <c r="U125" s="112"/>
      <c r="V125" s="111"/>
      <c r="W125" s="134"/>
      <c r="X125" s="1283"/>
      <c r="Y125" s="134"/>
      <c r="Z125" s="1281"/>
      <c r="AA125" s="1258"/>
      <c r="AB125" s="126"/>
      <c r="AC125" s="111"/>
      <c r="AD125" s="113"/>
      <c r="AK125" s="114"/>
      <c r="AN125" s="124">
        <v>1935</v>
      </c>
      <c r="AO125" s="135"/>
      <c r="AP125" s="111"/>
      <c r="AQ125" s="135"/>
      <c r="AR125" s="111"/>
      <c r="AS125" s="111"/>
      <c r="AT125" s="112"/>
      <c r="AU125" s="111"/>
      <c r="AV125" s="1261"/>
      <c r="AW125" s="111">
        <f>300/1000*29.307*17294</f>
        <v>152050.57739999998</v>
      </c>
      <c r="AX125" s="1400">
        <f>270/1000*29.307*640</f>
        <v>5064.2496000000001</v>
      </c>
      <c r="AY125" s="1403"/>
      <c r="AZ125" s="111">
        <f>158*460/1000*29.307</f>
        <v>2130.0327600000001</v>
      </c>
      <c r="BA125" s="135" t="s">
        <v>100</v>
      </c>
      <c r="BB125" s="111" t="s">
        <v>100</v>
      </c>
    </row>
    <row r="126" spans="1:54" x14ac:dyDescent="0.45">
      <c r="A126" s="10">
        <v>1936</v>
      </c>
      <c r="B126" s="1280">
        <f>'1.6.2 Gas1'!B66</f>
        <v>714</v>
      </c>
      <c r="C126" s="1335">
        <f>'1.6.2 Gas1'!C66</f>
        <v>1927.9563058799999</v>
      </c>
      <c r="D126" s="1335">
        <f>'1.6.2 Gas1'!D66</f>
        <v>16164.585624989999</v>
      </c>
      <c r="E126" s="1335">
        <f>'1.6.2 Gas1'!E66</f>
        <v>9305.3952001713224</v>
      </c>
      <c r="F126" s="1335">
        <f>'1.6.2 Gas1'!F66</f>
        <v>0</v>
      </c>
      <c r="G126" s="1335">
        <f>'1.6.2 Gas1'!G66</f>
        <v>0</v>
      </c>
      <c r="H126" s="1335">
        <f>'1.6.2 Gas1'!H66</f>
        <v>0</v>
      </c>
      <c r="I126" s="1335">
        <f>'1.6.2 Gas1'!I66</f>
        <v>0</v>
      </c>
      <c r="J126" s="1335">
        <f>'1.6.2 Gas1'!J66</f>
        <v>0</v>
      </c>
      <c r="K126" s="1335">
        <f>'1.6.2 Gas1'!K66</f>
        <v>0</v>
      </c>
      <c r="L126" s="1335">
        <f>'1.6.2 Gas1'!L66</f>
        <v>15566.045153918676</v>
      </c>
      <c r="M126" s="1335">
        <f>'1.6.2 Gas1'!M66</f>
        <v>0</v>
      </c>
      <c r="N126" s="1335">
        <f>'1.6.2 Gas1'!N66</f>
        <v>24871.440354089998</v>
      </c>
      <c r="O126" s="1335">
        <f>'1.6.2 Gas1'!O66</f>
        <v>42963.982284959995</v>
      </c>
      <c r="P126" s="1335">
        <f>'1.6.2 Gas1'!P66</f>
        <v>0</v>
      </c>
      <c r="Q126" s="1335">
        <f>'1.6.2 Gas1'!Q66</f>
        <v>42963.982284959995</v>
      </c>
      <c r="R126" s="1258"/>
      <c r="S126" s="112"/>
      <c r="T126" s="111"/>
      <c r="U126" s="112"/>
      <c r="V126" s="111"/>
      <c r="W126" s="134"/>
      <c r="X126" s="1283"/>
      <c r="Y126" s="134"/>
      <c r="Z126" s="1281"/>
      <c r="AA126" s="1258"/>
      <c r="AB126" s="126"/>
      <c r="AC126" s="111"/>
      <c r="AD126" s="113"/>
      <c r="AK126" s="114"/>
      <c r="AN126" s="124">
        <v>1936</v>
      </c>
      <c r="AO126" s="135"/>
      <c r="AP126" s="111"/>
      <c r="AQ126" s="135"/>
      <c r="AR126" s="111"/>
      <c r="AS126" s="111"/>
      <c r="AT126" s="112"/>
      <c r="AU126" s="111"/>
      <c r="AV126" s="1261"/>
      <c r="AW126" s="111">
        <f>300/1000*29.307*18334</f>
        <v>161194.36139999999</v>
      </c>
      <c r="AX126" s="1400">
        <f>270/1000*29.307*545</f>
        <v>4312.5250500000002</v>
      </c>
      <c r="AY126" s="1403"/>
      <c r="AZ126" s="111">
        <f>123*460/1000*29.307</f>
        <v>1658.1900599999999</v>
      </c>
      <c r="BA126" s="135" t="s">
        <v>100</v>
      </c>
      <c r="BB126" s="111" t="s">
        <v>100</v>
      </c>
    </row>
    <row r="127" spans="1:54" x14ac:dyDescent="0.45">
      <c r="A127" s="10">
        <v>1937</v>
      </c>
      <c r="B127" s="1280">
        <f>'1.6.2 Gas1'!B67</f>
        <v>706</v>
      </c>
      <c r="C127" s="1335">
        <f>'1.6.2 Gas1'!C67</f>
        <v>2007.6640191299998</v>
      </c>
      <c r="D127" s="1335">
        <f>'1.6.2 Gas1'!D67</f>
        <v>16366.973905589999</v>
      </c>
      <c r="E127" s="1335">
        <f>'1.6.2 Gas1'!E67</f>
        <v>9535.1010581995051</v>
      </c>
      <c r="F127" s="1335">
        <f>'1.6.2 Gas1'!F67</f>
        <v>0</v>
      </c>
      <c r="G127" s="1335">
        <f>'1.6.2 Gas1'!G67</f>
        <v>0</v>
      </c>
      <c r="H127" s="1335">
        <f>'1.6.2 Gas1'!H67</f>
        <v>0</v>
      </c>
      <c r="I127" s="1335">
        <f>'1.6.2 Gas1'!I67</f>
        <v>0</v>
      </c>
      <c r="J127" s="1335">
        <f>'1.6.2 Gas1'!J67</f>
        <v>0</v>
      </c>
      <c r="K127" s="1335">
        <f>'1.6.2 Gas1'!K67</f>
        <v>0</v>
      </c>
      <c r="L127" s="1335">
        <f>'1.6.2 Gas1'!L67</f>
        <v>15950.29662108049</v>
      </c>
      <c r="M127" s="1335">
        <f>'1.6.2 Gas1'!M67</f>
        <v>0</v>
      </c>
      <c r="N127" s="1335">
        <f>'1.6.2 Gas1'!N67</f>
        <v>25485.397679279999</v>
      </c>
      <c r="O127" s="1335">
        <f>'1.6.2 Gas1'!O67</f>
        <v>43860.035603999997</v>
      </c>
      <c r="P127" s="1335">
        <f>'1.6.2 Gas1'!P67</f>
        <v>0</v>
      </c>
      <c r="Q127" s="1335">
        <f>'1.6.2 Gas1'!Q67</f>
        <v>43860.035603999997</v>
      </c>
      <c r="R127" s="1258"/>
      <c r="S127" s="112"/>
      <c r="T127" s="111"/>
      <c r="U127" s="112"/>
      <c r="V127" s="111"/>
      <c r="W127" s="134"/>
      <c r="X127" s="1283"/>
      <c r="Y127" s="134"/>
      <c r="Z127" s="1281"/>
      <c r="AA127" s="1258"/>
      <c r="AB127" s="126"/>
      <c r="AC127" s="111"/>
      <c r="AD127" s="113"/>
      <c r="AJ127" s="114"/>
      <c r="AK127" s="114"/>
      <c r="AN127" s="124">
        <v>1937</v>
      </c>
      <c r="AO127" s="135"/>
      <c r="AP127" s="111"/>
      <c r="AQ127" s="135"/>
      <c r="AR127" s="111"/>
      <c r="AS127" s="111"/>
      <c r="AT127" s="112"/>
      <c r="AU127" s="111"/>
      <c r="AV127" s="1261"/>
      <c r="AW127" s="111">
        <f>300/1000*29.307*18650</f>
        <v>163972.66499999998</v>
      </c>
      <c r="AX127" s="1400">
        <f>270/1000*29.307*530</f>
        <v>4193.8316999999997</v>
      </c>
      <c r="AY127" s="1403"/>
      <c r="AZ127" s="111">
        <f>125*460/1000*29.307</f>
        <v>1685.1524999999999</v>
      </c>
      <c r="BA127" s="135" t="s">
        <v>100</v>
      </c>
      <c r="BB127" s="111" t="s">
        <v>100</v>
      </c>
    </row>
    <row r="128" spans="1:54" x14ac:dyDescent="0.45">
      <c r="A128" s="10">
        <v>1938</v>
      </c>
      <c r="B128" s="1280">
        <f>'1.6.2 Gas1'!B68</f>
        <v>703</v>
      </c>
      <c r="C128" s="1335">
        <f>'1.6.2 Gas1'!C68</f>
        <v>2088.9842035199999</v>
      </c>
      <c r="D128" s="1335">
        <f>'1.6.2 Gas1'!D68</f>
        <v>16492.496665800001</v>
      </c>
      <c r="E128" s="1335">
        <f>'1.6.2 Gas1'!E68</f>
        <v>9487.7778029800065</v>
      </c>
      <c r="F128" s="1335">
        <f>'1.6.2 Gas1'!F68</f>
        <v>0</v>
      </c>
      <c r="G128" s="1335">
        <f>'1.6.2 Gas1'!G68</f>
        <v>0</v>
      </c>
      <c r="H128" s="1335">
        <f>'1.6.2 Gas1'!H68</f>
        <v>0</v>
      </c>
      <c r="I128" s="1335">
        <f>'1.6.2 Gas1'!I68</f>
        <v>0</v>
      </c>
      <c r="J128" s="1335">
        <f>'1.6.2 Gas1'!J68</f>
        <v>0</v>
      </c>
      <c r="K128" s="1335">
        <f>'1.6.2 Gas1'!K68</f>
        <v>0</v>
      </c>
      <c r="L128" s="1335">
        <f>'1.6.2 Gas1'!L68</f>
        <v>15871.134381139993</v>
      </c>
      <c r="M128" s="1335">
        <f>'1.6.2 Gas1'!M68</f>
        <v>0</v>
      </c>
      <c r="N128" s="1335">
        <f>'1.6.2 Gas1'!N68</f>
        <v>25358.912184119999</v>
      </c>
      <c r="O128" s="1335">
        <f>'1.6.2 Gas1'!O68</f>
        <v>43940.393053439999</v>
      </c>
      <c r="P128" s="1335">
        <f>'1.6.2 Gas1'!P68</f>
        <v>0</v>
      </c>
      <c r="Q128" s="1335">
        <f>'1.6.2 Gas1'!Q68</f>
        <v>43940.393053439999</v>
      </c>
      <c r="R128" s="1258"/>
      <c r="S128" s="112"/>
      <c r="T128" s="111"/>
      <c r="U128" s="112"/>
      <c r="V128" s="111"/>
      <c r="W128" s="134"/>
      <c r="X128" s="1283"/>
      <c r="Y128" s="134"/>
      <c r="Z128" s="1281"/>
      <c r="AA128" s="1258"/>
      <c r="AB128" s="126"/>
      <c r="AC128" s="111"/>
      <c r="AD128" s="113"/>
      <c r="AJ128" s="114"/>
      <c r="AK128" s="114"/>
      <c r="AN128" s="124">
        <v>1938</v>
      </c>
      <c r="AO128" s="135"/>
      <c r="AP128" s="111"/>
      <c r="AQ128" s="135"/>
      <c r="AR128" s="111"/>
      <c r="AS128" s="111"/>
      <c r="AT128" s="112"/>
      <c r="AU128" s="111"/>
      <c r="AV128" s="1261"/>
      <c r="AW128" s="111">
        <f>300/1000*29.307*18469</f>
        <v>162381.29489999998</v>
      </c>
      <c r="AX128" s="1400">
        <f>270/1000*29.307*535</f>
        <v>4233.3961499999996</v>
      </c>
      <c r="AY128" s="1403"/>
      <c r="AZ128" s="111">
        <f>124*460/1000*29.307</f>
        <v>1671.6712799999998</v>
      </c>
      <c r="BA128" s="135" t="s">
        <v>100</v>
      </c>
      <c r="BB128" s="111" t="s">
        <v>100</v>
      </c>
    </row>
    <row r="129" spans="1:54" x14ac:dyDescent="0.45">
      <c r="A129" s="10">
        <v>1939</v>
      </c>
      <c r="B129" s="1280">
        <f>'1.6.2 Gas1'!B69</f>
        <v>704</v>
      </c>
      <c r="C129" s="1335">
        <f>'1.6.2 Gas1'!C69</f>
        <v>1365.5116015199999</v>
      </c>
      <c r="D129" s="1335">
        <f>'1.6.2 Gas1'!D69</f>
        <v>16417.453161599999</v>
      </c>
      <c r="E129" s="1335">
        <f>'1.6.2 Gas1'!E69</f>
        <v>9772.957904724246</v>
      </c>
      <c r="F129" s="1335">
        <f>'1.6.2 Gas1'!F69</f>
        <v>0</v>
      </c>
      <c r="G129" s="1335">
        <f>'1.6.2 Gas1'!G69</f>
        <v>0</v>
      </c>
      <c r="H129" s="1335">
        <f>'1.6.2 Gas1'!H69</f>
        <v>0</v>
      </c>
      <c r="I129" s="1335">
        <f>'1.6.2 Gas1'!I69</f>
        <v>0</v>
      </c>
      <c r="J129" s="1335">
        <f>'1.6.2 Gas1'!J69</f>
        <v>0</v>
      </c>
      <c r="K129" s="1335">
        <f>'1.6.2 Gas1'!K69</f>
        <v>0</v>
      </c>
      <c r="L129" s="1335">
        <f>'1.6.2 Gas1'!L69</f>
        <v>16348.183044335756</v>
      </c>
      <c r="M129" s="1335">
        <f>'1.6.2 Gas1'!M69</f>
        <v>0</v>
      </c>
      <c r="N129" s="1335">
        <f>'1.6.2 Gas1'!N69</f>
        <v>26121.140949059998</v>
      </c>
      <c r="O129" s="1335">
        <f>'1.6.2 Gas1'!O69</f>
        <v>43904.105712179997</v>
      </c>
      <c r="P129" s="1335">
        <f>'1.6.2 Gas1'!P69</f>
        <v>0</v>
      </c>
      <c r="Q129" s="1335">
        <f>'1.6.2 Gas1'!Q69</f>
        <v>43904.105712179997</v>
      </c>
      <c r="R129" s="1258"/>
      <c r="S129" s="112"/>
      <c r="T129" s="111"/>
      <c r="U129" s="112"/>
      <c r="V129" s="111"/>
      <c r="W129" s="134"/>
      <c r="X129" s="1283"/>
      <c r="Y129" s="134"/>
      <c r="Z129" s="1281"/>
      <c r="AA129" s="1258"/>
      <c r="AB129" s="126"/>
      <c r="AC129" s="111"/>
      <c r="AD129" s="113"/>
      <c r="AJ129" s="114"/>
      <c r="AK129" s="114"/>
      <c r="AN129" s="124">
        <v>1939</v>
      </c>
      <c r="AO129" s="135"/>
      <c r="AP129" s="111"/>
      <c r="AQ129" s="135"/>
      <c r="AR129" s="111"/>
      <c r="AS129" s="111"/>
      <c r="AT129" s="112"/>
      <c r="AU129" s="111"/>
      <c r="AV129" s="1261"/>
      <c r="AW129" s="111">
        <f>300/1000*29.307*18180</f>
        <v>159840.378</v>
      </c>
      <c r="AX129" s="1400">
        <f>270/1000*29.307*547</f>
        <v>4328.3508300000003</v>
      </c>
      <c r="AY129" s="1403"/>
      <c r="AZ129" s="111">
        <f>129*460/1000*29.307</f>
        <v>1739.0773799999999</v>
      </c>
      <c r="BA129" s="135" t="s">
        <v>100</v>
      </c>
      <c r="BB129" s="111" t="s">
        <v>100</v>
      </c>
    </row>
    <row r="130" spans="1:54" x14ac:dyDescent="0.45">
      <c r="A130" s="10">
        <v>1940</v>
      </c>
      <c r="B130" s="1280">
        <f>'1.6.2 Gas1'!B70</f>
        <v>693</v>
      </c>
      <c r="C130" s="1335">
        <f>'1.6.2 Gas1'!C70</f>
        <v>134.7477246</v>
      </c>
      <c r="D130" s="1335">
        <f>'1.6.2 Gas1'!D70</f>
        <v>15679.07853624</v>
      </c>
      <c r="E130" s="1335">
        <f>'1.6.2 Gas1'!E70</f>
        <v>9891.6335867072466</v>
      </c>
      <c r="F130" s="1335">
        <f>'1.6.2 Gas1'!F70</f>
        <v>0</v>
      </c>
      <c r="G130" s="1335">
        <f>'1.6.2 Gas1'!G70</f>
        <v>0</v>
      </c>
      <c r="H130" s="1335">
        <f>'1.6.2 Gas1'!H70</f>
        <v>0</v>
      </c>
      <c r="I130" s="1335">
        <f>'1.6.2 Gas1'!I70</f>
        <v>0</v>
      </c>
      <c r="J130" s="1335">
        <f>'1.6.2 Gas1'!J70</f>
        <v>0</v>
      </c>
      <c r="K130" s="1335">
        <f>'1.6.2 Gas1'!K70</f>
        <v>0</v>
      </c>
      <c r="L130" s="1335">
        <f>'1.6.2 Gas1'!L70</f>
        <v>16546.703470892753</v>
      </c>
      <c r="M130" s="1335">
        <f>'1.6.2 Gas1'!M70</f>
        <v>0</v>
      </c>
      <c r="N130" s="1335">
        <f>'1.6.2 Gas1'!N70</f>
        <v>26438.337057600002</v>
      </c>
      <c r="O130" s="1335">
        <f>'1.6.2 Gas1'!O70</f>
        <v>42252.163318439998</v>
      </c>
      <c r="P130" s="1335">
        <f>'1.6.2 Gas1'!P70</f>
        <v>0</v>
      </c>
      <c r="Q130" s="1335">
        <f>'1.6.2 Gas1'!Q70</f>
        <v>42252.163318439998</v>
      </c>
      <c r="R130" s="1258"/>
      <c r="S130" s="112"/>
      <c r="T130" s="111"/>
      <c r="U130" s="112"/>
      <c r="V130" s="111"/>
      <c r="W130" s="134"/>
      <c r="X130" s="1283"/>
      <c r="Y130" s="134"/>
      <c r="Z130" s="1281"/>
      <c r="AA130" s="1258"/>
      <c r="AB130" s="126"/>
      <c r="AC130" s="111"/>
      <c r="AD130" s="113"/>
      <c r="AJ130" s="114"/>
      <c r="AK130" s="114"/>
      <c r="AN130" s="124">
        <v>1940</v>
      </c>
      <c r="AO130" s="135"/>
      <c r="AP130" s="111"/>
      <c r="AQ130" s="135"/>
      <c r="AR130" s="111"/>
      <c r="AS130" s="111"/>
      <c r="AT130" s="112"/>
      <c r="AU130" s="111"/>
      <c r="AV130" s="1261"/>
      <c r="AW130" s="111">
        <f>300/1000*29.307*17353</f>
        <v>152569.3113</v>
      </c>
      <c r="AX130" s="1400">
        <f>270/1000*29.307*552</f>
        <v>4367.9152800000002</v>
      </c>
      <c r="AY130" s="1403"/>
      <c r="AZ130" s="111">
        <f>152*460/1000*29.307</f>
        <v>2049.1454399999998</v>
      </c>
      <c r="BA130" s="135" t="s">
        <v>100</v>
      </c>
      <c r="BB130" s="111" t="s">
        <v>100</v>
      </c>
    </row>
    <row r="131" spans="1:54" x14ac:dyDescent="0.45">
      <c r="A131" s="10">
        <v>1941</v>
      </c>
      <c r="B131" s="1280">
        <f>'1.6.2 Gas1'!B71</f>
        <v>685</v>
      </c>
      <c r="C131" s="1335">
        <f>'1.6.2 Gas1'!C71</f>
        <v>198.21965291999996</v>
      </c>
      <c r="D131" s="1335">
        <f>'1.6.2 Gas1'!D71</f>
        <v>16063.521900839998</v>
      </c>
      <c r="E131" s="1335">
        <f>'1.6.2 Gas1'!E71</f>
        <v>10618.779786931733</v>
      </c>
      <c r="F131" s="1335">
        <f>'1.6.2 Gas1'!F71</f>
        <v>0</v>
      </c>
      <c r="G131" s="1335">
        <f>'1.6.2 Gas1'!G71</f>
        <v>0</v>
      </c>
      <c r="H131" s="1335">
        <f>'1.6.2 Gas1'!H71</f>
        <v>0</v>
      </c>
      <c r="I131" s="1335">
        <f>'1.6.2 Gas1'!I71</f>
        <v>0</v>
      </c>
      <c r="J131" s="1335">
        <f>'1.6.2 Gas1'!J71</f>
        <v>0</v>
      </c>
      <c r="K131" s="1335">
        <f>'1.6.2 Gas1'!K71</f>
        <v>0</v>
      </c>
      <c r="L131" s="1335">
        <f>'1.6.2 Gas1'!L71</f>
        <v>17763.07207670826</v>
      </c>
      <c r="M131" s="1335">
        <f>'1.6.2 Gas1'!M71</f>
        <v>0</v>
      </c>
      <c r="N131" s="1335">
        <f>'1.6.2 Gas1'!N71</f>
        <v>28381.851863639997</v>
      </c>
      <c r="O131" s="1335">
        <f>'1.6.2 Gas1'!O71</f>
        <v>44643.593417399992</v>
      </c>
      <c r="P131" s="1335">
        <f>'1.6.2 Gas1'!P71</f>
        <v>0</v>
      </c>
      <c r="Q131" s="1335">
        <f>'1.6.2 Gas1'!Q71</f>
        <v>44643.593417399992</v>
      </c>
      <c r="R131" s="1258"/>
      <c r="S131" s="112"/>
      <c r="T131" s="111"/>
      <c r="U131" s="112"/>
      <c r="V131" s="111"/>
      <c r="W131" s="134"/>
      <c r="X131" s="1283"/>
      <c r="Y131" s="134"/>
      <c r="Z131" s="1281"/>
      <c r="AA131" s="1258"/>
      <c r="AB131" s="126"/>
      <c r="AC131" s="111"/>
      <c r="AD131" s="113"/>
      <c r="AJ131" s="114"/>
      <c r="AK131" s="114"/>
      <c r="AN131" s="124">
        <v>1941</v>
      </c>
      <c r="AO131" s="135"/>
      <c r="AP131" s="111"/>
      <c r="AQ131" s="135"/>
      <c r="AR131" s="111"/>
      <c r="AS131" s="111"/>
      <c r="AT131" s="112"/>
      <c r="AU131" s="111"/>
      <c r="AV131" s="1261"/>
      <c r="AW131" s="111">
        <f>300/1000*29.307*18589</f>
        <v>163436.3469</v>
      </c>
      <c r="AX131" s="1400">
        <f>270/1000*29.307*626</f>
        <v>4953.4691400000002</v>
      </c>
      <c r="AY131" s="1403"/>
      <c r="AZ131" s="111">
        <f>178*460/1000*29.307</f>
        <v>2399.6571599999997</v>
      </c>
      <c r="BA131" s="135" t="s">
        <v>100</v>
      </c>
      <c r="BB131" s="111" t="s">
        <v>100</v>
      </c>
    </row>
    <row r="132" spans="1:54" x14ac:dyDescent="0.45">
      <c r="A132" s="1308" t="s">
        <v>245</v>
      </c>
      <c r="B132" s="1280">
        <f>'1.6.2 Gas1'!B72</f>
        <v>681</v>
      </c>
      <c r="C132" s="1335">
        <f>'1.6.2 Gas1'!C72</f>
        <v>216.29621051999999</v>
      </c>
      <c r="D132" s="1335">
        <f>'1.6.2 Gas1'!D72</f>
        <v>17490.504348719998</v>
      </c>
      <c r="E132" s="1335">
        <f>'1.6.2 Gas1'!E72</f>
        <v>11308.565453257155</v>
      </c>
      <c r="F132" s="1335">
        <f>'1.6.2 Gas1'!F72</f>
        <v>0</v>
      </c>
      <c r="G132" s="1335">
        <f>'1.6.2 Gas1'!G72</f>
        <v>0</v>
      </c>
      <c r="H132" s="1335">
        <f>'1.6.2 Gas1'!H72</f>
        <v>0</v>
      </c>
      <c r="I132" s="1335">
        <f>'1.6.2 Gas1'!I72</f>
        <v>0</v>
      </c>
      <c r="J132" s="1335">
        <f>'1.6.2 Gas1'!J72</f>
        <v>0</v>
      </c>
      <c r="K132" s="1335">
        <f>'1.6.2 Gas1'!K72</f>
        <v>0</v>
      </c>
      <c r="L132" s="1335">
        <f>'1.6.2 Gas1'!L72</f>
        <v>18916.944061462847</v>
      </c>
      <c r="M132" s="1335">
        <f>'1.6.2 Gas1'!M72</f>
        <v>0</v>
      </c>
      <c r="N132" s="1335">
        <f>'1.6.2 Gas1'!N72</f>
        <v>30225.509514719997</v>
      </c>
      <c r="O132" s="1335">
        <f>'1.6.2 Gas1'!O72</f>
        <v>47932.310073959998</v>
      </c>
      <c r="P132" s="1335">
        <f>'1.6.2 Gas1'!P72</f>
        <v>0</v>
      </c>
      <c r="Q132" s="1335">
        <f>'1.6.2 Gas1'!Q72</f>
        <v>47932.310073959998</v>
      </c>
      <c r="R132" s="1258"/>
      <c r="S132" s="112"/>
      <c r="T132" s="111"/>
      <c r="U132" s="112"/>
      <c r="V132" s="111"/>
      <c r="W132" s="1315"/>
      <c r="X132" s="1312"/>
      <c r="Y132" s="1315"/>
      <c r="Z132" s="1316"/>
      <c r="AA132" s="1310"/>
      <c r="AB132" s="1317"/>
      <c r="AC132" s="1311"/>
      <c r="AD132" s="113"/>
      <c r="AJ132" s="114"/>
      <c r="AK132" s="114"/>
      <c r="AN132" s="124">
        <v>1942</v>
      </c>
      <c r="AO132" s="1358"/>
      <c r="AP132" s="1294"/>
      <c r="AQ132" s="135"/>
      <c r="AR132" s="111"/>
      <c r="AS132" s="111"/>
      <c r="AT132" s="112"/>
      <c r="AU132" s="111"/>
      <c r="AV132" s="1261"/>
      <c r="AW132" s="111">
        <f>300/1000*29.307*19855</f>
        <v>174567.14549999998</v>
      </c>
      <c r="AX132" s="1400">
        <f>270/1000*29.307*722</f>
        <v>5713.1065799999997</v>
      </c>
      <c r="AY132" s="1403"/>
      <c r="AZ132" s="111">
        <f>200*460/1000*29.307</f>
        <v>2696.2439999999997</v>
      </c>
      <c r="BA132" s="135" t="s">
        <v>100</v>
      </c>
      <c r="BB132" s="111" t="s">
        <v>100</v>
      </c>
    </row>
    <row r="133" spans="1:54" x14ac:dyDescent="0.45">
      <c r="A133" s="12">
        <v>1943</v>
      </c>
      <c r="B133" s="1280">
        <f>'1.6.2 Gas1'!B73</f>
        <v>1060</v>
      </c>
      <c r="C133" s="1335">
        <f>'1.6.2 Gas1'!C73</f>
        <v>175.84199999999998</v>
      </c>
      <c r="D133" s="1335">
        <f>'1.6.2 Gas1'!D73</f>
        <v>18083.768743369259</v>
      </c>
      <c r="E133" s="1335">
        <f>'1.6.2 Gas1'!E73</f>
        <v>29775.912</v>
      </c>
      <c r="F133" s="1335" t="str">
        <f>'1.6.2 Gas1'!F73</f>
        <v>-</v>
      </c>
      <c r="G133" s="1335">
        <f>'1.6.2 Gas1'!G73</f>
        <v>13715.675999999999</v>
      </c>
      <c r="H133" s="1335" t="str">
        <f>'1.6.2 Gas1'!H73</f>
        <v>-</v>
      </c>
      <c r="I133" s="1335" t="str">
        <f>'1.6.2 Gas1'!I73</f>
        <v>-</v>
      </c>
      <c r="J133" s="1335" t="str">
        <f>'1.6.2 Gas1'!J73</f>
        <v>-</v>
      </c>
      <c r="K133" s="1335" t="str">
        <f>'1.6.2 Gas1'!K73</f>
        <v>-</v>
      </c>
      <c r="L133" s="1335">
        <f>'1.6.2 Gas1'!L73</f>
        <v>5890.7069999999994</v>
      </c>
      <c r="M133" s="1335" t="str">
        <f>'1.6.2 Gas1'!M73</f>
        <v>-</v>
      </c>
      <c r="N133" s="1335">
        <f>'1.6.2 Gas1'!N73</f>
        <v>31250.735445756582</v>
      </c>
      <c r="O133" s="1335">
        <f>'1.6.2 Gas1'!O73</f>
        <v>49558.136999999995</v>
      </c>
      <c r="P133" s="1335" t="str">
        <f>'1.6.2 Gas1'!P73</f>
        <v>-</v>
      </c>
      <c r="Q133" s="1335">
        <f>'1.6.2 Gas1'!Q73</f>
        <v>49558.136999999995</v>
      </c>
      <c r="R133" s="111"/>
      <c r="S133" s="112"/>
      <c r="T133" s="111"/>
      <c r="U133" s="112"/>
      <c r="V133" s="111"/>
      <c r="W133" s="1319"/>
      <c r="X133" s="111"/>
      <c r="Z133" s="111"/>
      <c r="AA133" s="135"/>
      <c r="AB133" s="1317"/>
      <c r="AC133" s="1320"/>
      <c r="AD133" s="113"/>
      <c r="AJ133" s="114"/>
      <c r="AK133" s="114"/>
      <c r="AN133" s="124">
        <v>1943</v>
      </c>
      <c r="AO133" s="112"/>
      <c r="AP133" s="111"/>
      <c r="AQ133" s="135"/>
      <c r="AR133" s="111"/>
      <c r="AS133" s="111"/>
      <c r="AT133" s="112"/>
      <c r="AU133" s="111"/>
      <c r="AV133" s="1261"/>
      <c r="AW133" s="111">
        <f>300/1000*29.307*20732</f>
        <v>182277.81719999999</v>
      </c>
      <c r="AX133" s="1400">
        <f>270/1000*29.307*731</f>
        <v>5784.3225899999998</v>
      </c>
      <c r="AY133" s="1401"/>
      <c r="AZ133" s="111">
        <f>191*460/1000*29.307</f>
        <v>2574.91302</v>
      </c>
      <c r="BA133" s="135" t="s">
        <v>100</v>
      </c>
      <c r="BB133" s="111" t="s">
        <v>100</v>
      </c>
    </row>
    <row r="134" spans="1:54" x14ac:dyDescent="0.45">
      <c r="A134" s="10">
        <v>1944</v>
      </c>
      <c r="B134" s="1280">
        <f>'1.6.2 Gas1'!B74</f>
        <v>1055</v>
      </c>
      <c r="C134" s="1335">
        <f>'1.6.2 Gas1'!C74</f>
        <v>263.76299999999998</v>
      </c>
      <c r="D134" s="1335">
        <f>'1.6.2 Gas1'!D74</f>
        <v>0</v>
      </c>
      <c r="E134" s="1335">
        <f>'1.6.2 Gas1'!E74</f>
        <v>31592.946</v>
      </c>
      <c r="F134" s="1335" t="str">
        <f>'1.6.2 Gas1'!F74</f>
        <v>-</v>
      </c>
      <c r="G134" s="1335">
        <f>'1.6.2 Gas1'!G74</f>
        <v>12777.851999999999</v>
      </c>
      <c r="H134" s="1335" t="str">
        <f>'1.6.2 Gas1'!H74</f>
        <v>-</v>
      </c>
      <c r="I134" s="1335" t="str">
        <f>'1.6.2 Gas1'!I74</f>
        <v>-</v>
      </c>
      <c r="J134" s="1335" t="str">
        <f>'1.6.2 Gas1'!J74</f>
        <v>-</v>
      </c>
      <c r="K134" s="1335" t="str">
        <f>'1.6.2 Gas1'!K74</f>
        <v>-</v>
      </c>
      <c r="L134" s="1335">
        <f>'1.6.2 Gas1'!L74</f>
        <v>7238.8289999999997</v>
      </c>
      <c r="M134" s="1335" t="str">
        <f>'1.6.2 Gas1'!M74</f>
        <v>-</v>
      </c>
      <c r="N134" s="1335">
        <f>'1.6.2 Gas1'!N74</f>
        <v>0</v>
      </c>
      <c r="O134" s="1335">
        <f>'1.6.2 Gas1'!O74</f>
        <v>51873.39</v>
      </c>
      <c r="P134" s="1335" t="str">
        <f>'1.6.2 Gas1'!P74</f>
        <v>-</v>
      </c>
      <c r="Q134" s="1335">
        <f>'1.6.2 Gas1'!Q74</f>
        <v>51873.39</v>
      </c>
      <c r="R134" s="1258"/>
      <c r="S134" s="112"/>
      <c r="T134" s="111"/>
      <c r="U134" s="112"/>
      <c r="V134" s="111"/>
      <c r="W134" s="111"/>
      <c r="X134" s="111"/>
      <c r="Z134" s="111"/>
      <c r="AA134" s="135"/>
      <c r="AB134" s="1317"/>
      <c r="AC134" s="1317"/>
      <c r="AD134" s="113"/>
      <c r="AJ134" s="114"/>
      <c r="AK134" s="114"/>
      <c r="AN134" s="124">
        <v>1944</v>
      </c>
      <c r="AO134" s="135"/>
      <c r="AP134" s="111"/>
      <c r="AQ134" s="135"/>
      <c r="AR134" s="111"/>
      <c r="AS134" s="111"/>
      <c r="AT134" s="112"/>
      <c r="AU134" s="111"/>
      <c r="AV134" s="1261"/>
      <c r="AW134" s="111">
        <f>300/1000*29.307*20620</f>
        <v>181293.10199999998</v>
      </c>
      <c r="AX134" s="1400">
        <f>270/1000*29.307*1058</f>
        <v>8371.8376200000002</v>
      </c>
      <c r="AY134" s="1401"/>
      <c r="AZ134" s="111">
        <f>353*460/1000*29.307</f>
        <v>4758.8706599999996</v>
      </c>
      <c r="BA134" s="135" t="s">
        <v>100</v>
      </c>
      <c r="BB134" s="111" t="s">
        <v>100</v>
      </c>
    </row>
    <row r="135" spans="1:54" x14ac:dyDescent="0.45">
      <c r="A135" s="10">
        <v>1945</v>
      </c>
      <c r="B135" s="1280">
        <f>'1.6.2 Gas1'!B75</f>
        <v>1056</v>
      </c>
      <c r="C135" s="1335">
        <f>'1.6.2 Gas1'!C75</f>
        <v>761.98199999999997</v>
      </c>
      <c r="D135" s="1335">
        <f>'1.6.2 Gas1'!D75</f>
        <v>0</v>
      </c>
      <c r="E135" s="1335">
        <f>'1.6.2 Gas1'!E75</f>
        <v>34406.417999999998</v>
      </c>
      <c r="F135" s="1335" t="str">
        <f>'1.6.2 Gas1'!F75</f>
        <v>-</v>
      </c>
      <c r="G135" s="1335">
        <f>'1.6.2 Gas1'!G75</f>
        <v>11459.037</v>
      </c>
      <c r="H135" s="1335" t="str">
        <f>'1.6.2 Gas1'!H75</f>
        <v>-</v>
      </c>
      <c r="I135" s="1335" t="str">
        <f>'1.6.2 Gas1'!I75</f>
        <v>-</v>
      </c>
      <c r="J135" s="1335" t="str">
        <f>'1.6.2 Gas1'!J75</f>
        <v>-</v>
      </c>
      <c r="K135" s="1335" t="str">
        <f>'1.6.2 Gas1'!K75</f>
        <v>-</v>
      </c>
      <c r="L135" s="1335">
        <f>'1.6.2 Gas1'!L75</f>
        <v>6740.61</v>
      </c>
      <c r="M135" s="1335" t="str">
        <f>'1.6.2 Gas1'!M75</f>
        <v>-</v>
      </c>
      <c r="N135" s="1335">
        <f>'1.6.2 Gas1'!N75</f>
        <v>0</v>
      </c>
      <c r="O135" s="1335">
        <f>'1.6.2 Gas1'!O75</f>
        <v>53368.046999999999</v>
      </c>
      <c r="P135" s="1335" t="str">
        <f>'1.6.2 Gas1'!P75</f>
        <v>-</v>
      </c>
      <c r="Q135" s="1335">
        <f>'1.6.2 Gas1'!Q75</f>
        <v>53368.046999999999</v>
      </c>
      <c r="R135" s="1258"/>
      <c r="S135" s="112"/>
      <c r="T135" s="111"/>
      <c r="U135" s="112"/>
      <c r="V135" s="111"/>
      <c r="W135" s="111"/>
      <c r="X135" s="111"/>
      <c r="Z135" s="111"/>
      <c r="AA135" s="135"/>
      <c r="AB135" s="1317"/>
      <c r="AC135" s="1317"/>
      <c r="AD135" s="113"/>
      <c r="AJ135" s="114"/>
      <c r="AK135" s="114"/>
      <c r="AN135" s="124">
        <v>1945</v>
      </c>
      <c r="AO135" s="135"/>
      <c r="AP135" s="111"/>
      <c r="AQ135" s="135"/>
      <c r="AR135" s="111"/>
      <c r="AS135" s="111"/>
      <c r="AT135" s="112"/>
      <c r="AU135" s="111"/>
      <c r="AV135" s="1261"/>
      <c r="AW135" s="111">
        <f>300/1000*29.307*20845</f>
        <v>183271.32449999999</v>
      </c>
      <c r="AX135" s="1400">
        <f>270/1000*29.307*1181</f>
        <v>9345.1230899999991</v>
      </c>
      <c r="AY135" s="1401"/>
      <c r="AZ135" s="111">
        <f>401*460/1000*29.307</f>
        <v>5405.96922</v>
      </c>
      <c r="BA135" s="135" t="s">
        <v>100</v>
      </c>
      <c r="BB135" s="111" t="s">
        <v>100</v>
      </c>
    </row>
    <row r="136" spans="1:54" x14ac:dyDescent="0.45">
      <c r="A136" s="10">
        <v>1946</v>
      </c>
      <c r="B136" s="1280">
        <f>'1.6.2 Gas1'!B76</f>
        <v>1056</v>
      </c>
      <c r="C136" s="1335">
        <f>'1.6.2 Gas1'!C76</f>
        <v>1113.6659999999999</v>
      </c>
      <c r="D136" s="1335">
        <f>'1.6.2 Gas1'!D76</f>
        <v>0</v>
      </c>
      <c r="E136" s="1335">
        <f>'1.6.2 Gas1'!E76</f>
        <v>38538.705000000002</v>
      </c>
      <c r="F136" s="1335" t="str">
        <f>'1.6.2 Gas1'!F76</f>
        <v>-</v>
      </c>
      <c r="G136" s="1335">
        <f>'1.6.2 Gas1'!G76</f>
        <v>11752.107</v>
      </c>
      <c r="H136" s="1335" t="str">
        <f>'1.6.2 Gas1'!H76</f>
        <v>-</v>
      </c>
      <c r="I136" s="1335" t="str">
        <f>'1.6.2 Gas1'!I76</f>
        <v>-</v>
      </c>
      <c r="J136" s="1335" t="str">
        <f>'1.6.2 Gas1'!J76</f>
        <v>-</v>
      </c>
      <c r="K136" s="1335" t="str">
        <f>'1.6.2 Gas1'!K76</f>
        <v>-</v>
      </c>
      <c r="L136" s="1335">
        <f>'1.6.2 Gas1'!L76</f>
        <v>7268.1359999999995</v>
      </c>
      <c r="M136" s="1335" t="str">
        <f>'1.6.2 Gas1'!M76</f>
        <v>-</v>
      </c>
      <c r="N136" s="1335">
        <f>'1.6.2 Gas1'!N76</f>
        <v>0</v>
      </c>
      <c r="O136" s="1335">
        <f>'1.6.2 Gas1'!O76</f>
        <v>58672.613999999994</v>
      </c>
      <c r="P136" s="1335" t="str">
        <f>'1.6.2 Gas1'!P76</f>
        <v>-</v>
      </c>
      <c r="Q136" s="1335">
        <f>'1.6.2 Gas1'!Q76</f>
        <v>58672.613999999994</v>
      </c>
      <c r="R136" s="1258"/>
      <c r="S136" s="112"/>
      <c r="T136" s="111"/>
      <c r="U136" s="112"/>
      <c r="V136" s="111"/>
      <c r="W136" s="111"/>
      <c r="X136" s="111"/>
      <c r="Z136" s="111"/>
      <c r="AA136" s="135"/>
      <c r="AB136" s="1317"/>
      <c r="AC136" s="1317"/>
      <c r="AD136" s="113"/>
      <c r="AJ136" s="114"/>
      <c r="AK136" s="114"/>
      <c r="AN136" s="124">
        <v>1946</v>
      </c>
      <c r="AO136" s="135"/>
      <c r="AP136" s="111"/>
      <c r="AQ136" s="135"/>
      <c r="AR136" s="111"/>
      <c r="AS136" s="111"/>
      <c r="AT136" s="112"/>
      <c r="AU136" s="111"/>
      <c r="AV136" s="1261"/>
      <c r="AW136" s="111">
        <f>300/1000*29.307*22529</f>
        <v>198077.22089999999</v>
      </c>
      <c r="AX136" s="1400">
        <f>270/1000*29.307*1393</f>
        <v>11022.655769999999</v>
      </c>
      <c r="AY136" s="1401"/>
      <c r="AZ136" s="111">
        <f>502*460/1000*29.307</f>
        <v>6767.572439999999</v>
      </c>
      <c r="BA136" s="135" t="s">
        <v>100</v>
      </c>
      <c r="BB136" s="111" t="s">
        <v>100</v>
      </c>
    </row>
    <row r="137" spans="1:54" x14ac:dyDescent="0.45">
      <c r="A137" s="10">
        <v>1947</v>
      </c>
      <c r="B137" s="1280">
        <f>'1.6.2 Gas1'!B77</f>
        <v>1049</v>
      </c>
      <c r="C137" s="1335">
        <f>'1.6.2 Gas1'!C77</f>
        <v>761.98199999999997</v>
      </c>
      <c r="D137" s="1335">
        <f>'1.6.2 Gas1'!D77</f>
        <v>0</v>
      </c>
      <c r="E137" s="1335">
        <f>'1.6.2 Gas1'!E77</f>
        <v>40736.729999999996</v>
      </c>
      <c r="F137" s="1335" t="str">
        <f>'1.6.2 Gas1'!F77</f>
        <v>-</v>
      </c>
      <c r="G137" s="1335">
        <f>'1.6.2 Gas1'!G77</f>
        <v>12191.712</v>
      </c>
      <c r="H137" s="1335" t="str">
        <f>'1.6.2 Gas1'!H77</f>
        <v>-</v>
      </c>
      <c r="I137" s="1335" t="str">
        <f>'1.6.2 Gas1'!I77</f>
        <v>-</v>
      </c>
      <c r="J137" s="1335" t="str">
        <f>'1.6.2 Gas1'!J77</f>
        <v>-</v>
      </c>
      <c r="K137" s="1335" t="str">
        <f>'1.6.2 Gas1'!K77</f>
        <v>-</v>
      </c>
      <c r="L137" s="1335">
        <f>'1.6.2 Gas1'!L77</f>
        <v>7678.4339999999993</v>
      </c>
      <c r="M137" s="1335" t="str">
        <f>'1.6.2 Gas1'!M77</f>
        <v>-</v>
      </c>
      <c r="N137" s="1335">
        <f>'1.6.2 Gas1'!N77</f>
        <v>0</v>
      </c>
      <c r="O137" s="1335">
        <f>'1.6.2 Gas1'!O77</f>
        <v>61368.858</v>
      </c>
      <c r="P137" s="1335" t="str">
        <f>'1.6.2 Gas1'!P77</f>
        <v>-</v>
      </c>
      <c r="Q137" s="1335">
        <f>'1.6.2 Gas1'!Q77</f>
        <v>61368.858</v>
      </c>
      <c r="R137" s="1258"/>
      <c r="S137" s="112"/>
      <c r="T137" s="111"/>
      <c r="U137" s="112"/>
      <c r="V137" s="111"/>
      <c r="W137" s="111"/>
      <c r="X137" s="111"/>
      <c r="Z137" s="111"/>
      <c r="AA137" s="135"/>
      <c r="AB137" s="1317"/>
      <c r="AC137" s="1317"/>
      <c r="AD137" s="113"/>
      <c r="AJ137" s="114"/>
      <c r="AK137" s="114"/>
      <c r="AN137" s="124">
        <v>1947</v>
      </c>
      <c r="AO137" s="135"/>
      <c r="AP137" s="111"/>
      <c r="AQ137" s="135"/>
      <c r="AR137" s="111"/>
      <c r="AS137" s="111"/>
      <c r="AT137" s="112"/>
      <c r="AU137" s="111"/>
      <c r="AV137" s="1261"/>
      <c r="AW137" s="111">
        <f>300/1000*29.307*22543</f>
        <v>198200.31029999998</v>
      </c>
      <c r="AX137" s="1400">
        <f>270/1000*29.307*1483</f>
        <v>11734.81587</v>
      </c>
      <c r="AY137" s="1401"/>
      <c r="AZ137" s="111">
        <f>651*460/1000*29.307</f>
        <v>8776.2742199999993</v>
      </c>
      <c r="BA137" s="135" t="s">
        <v>100</v>
      </c>
      <c r="BB137" s="111" t="s">
        <v>100</v>
      </c>
    </row>
    <row r="138" spans="1:54" x14ac:dyDescent="0.45">
      <c r="A138" s="10">
        <v>1948</v>
      </c>
      <c r="B138" s="1280">
        <f>'1.6.2 Gas1'!B78</f>
        <v>1045</v>
      </c>
      <c r="C138" s="1335">
        <f>'1.6.2 Gas1'!C78</f>
        <v>1113.6659999999999</v>
      </c>
      <c r="D138" s="1335">
        <f>'1.6.2 Gas1'!D78</f>
        <v>0</v>
      </c>
      <c r="E138" s="1335">
        <f>'1.6.2 Gas1'!E78</f>
        <v>39945.440999999999</v>
      </c>
      <c r="F138" s="1335" t="str">
        <f>'1.6.2 Gas1'!F78</f>
        <v>-</v>
      </c>
      <c r="G138" s="1335">
        <f>'1.6.2 Gas1'!G78</f>
        <v>13891.518</v>
      </c>
      <c r="H138" s="1335" t="str">
        <f>'1.6.2 Gas1'!H78</f>
        <v>-</v>
      </c>
      <c r="I138" s="1335" t="str">
        <f>'1.6.2 Gas1'!I78</f>
        <v>-</v>
      </c>
      <c r="J138" s="1335" t="str">
        <f>'1.6.2 Gas1'!J78</f>
        <v>-</v>
      </c>
      <c r="K138" s="1335" t="str">
        <f>'1.6.2 Gas1'!K78</f>
        <v>-</v>
      </c>
      <c r="L138" s="1335">
        <f>'1.6.2 Gas1'!L78</f>
        <v>8880.0209999999988</v>
      </c>
      <c r="M138" s="1335" t="str">
        <f>'1.6.2 Gas1'!M78</f>
        <v>-</v>
      </c>
      <c r="N138" s="1335">
        <f>'1.6.2 Gas1'!N78</f>
        <v>0</v>
      </c>
      <c r="O138" s="1335">
        <f>'1.6.2 Gas1'!O78</f>
        <v>63830.645999999993</v>
      </c>
      <c r="P138" s="1335" t="str">
        <f>'1.6.2 Gas1'!P78</f>
        <v>-</v>
      </c>
      <c r="Q138" s="1335">
        <f>'1.6.2 Gas1'!Q78</f>
        <v>63830.645999999993</v>
      </c>
      <c r="R138" s="1258"/>
      <c r="S138" s="112"/>
      <c r="T138" s="111"/>
      <c r="U138" s="112"/>
      <c r="V138" s="111"/>
      <c r="W138" s="111"/>
      <c r="X138" s="111"/>
      <c r="Z138" s="111"/>
      <c r="AA138" s="135"/>
      <c r="AB138" s="1317"/>
      <c r="AC138" s="1317"/>
      <c r="AD138" s="113"/>
      <c r="AJ138" s="114"/>
      <c r="AK138" s="114"/>
      <c r="AN138" s="124">
        <v>1948</v>
      </c>
      <c r="AO138" s="135"/>
      <c r="AP138" s="111"/>
      <c r="AQ138" s="135"/>
      <c r="AR138" s="111"/>
      <c r="AS138" s="111"/>
      <c r="AT138" s="112"/>
      <c r="AU138" s="111"/>
      <c r="AV138" s="1261"/>
      <c r="AW138" s="111">
        <f>300/1000*29.307*24445</f>
        <v>214922.88449999999</v>
      </c>
      <c r="AX138" s="1400">
        <f>270/1000*29.307*1314</f>
        <v>10397.53746</v>
      </c>
      <c r="AY138" s="1401"/>
      <c r="AZ138" s="111">
        <f>462*460/1000*29.307</f>
        <v>6228.3236399999996</v>
      </c>
      <c r="BA138" s="135" t="s">
        <v>100</v>
      </c>
      <c r="BB138" s="111" t="s">
        <v>100</v>
      </c>
    </row>
    <row r="139" spans="1:54" x14ac:dyDescent="0.45">
      <c r="A139" s="10">
        <v>1949</v>
      </c>
      <c r="B139" s="1280"/>
      <c r="C139" s="1335">
        <f>'1.6.2 Gas1'!C79</f>
        <v>1436.0429999999999</v>
      </c>
      <c r="D139" s="1335">
        <f>'1.6.2 Gas1'!D79</f>
        <v>0</v>
      </c>
      <c r="E139" s="1335">
        <f>'1.6.2 Gas1'!E79</f>
        <v>39623.063999999998</v>
      </c>
      <c r="F139" s="1335" t="str">
        <f>'1.6.2 Gas1'!F79</f>
        <v>-</v>
      </c>
      <c r="G139" s="1335">
        <f>'1.6.2 Gas1'!G79</f>
        <v>15151.718999999999</v>
      </c>
      <c r="H139" s="1335" t="str">
        <f>'1.6.2 Gas1'!H79</f>
        <v>-</v>
      </c>
      <c r="I139" s="1335" t="str">
        <f>'1.6.2 Gas1'!I79</f>
        <v>-</v>
      </c>
      <c r="J139" s="1335" t="str">
        <f>'1.6.2 Gas1'!J79</f>
        <v>-</v>
      </c>
      <c r="K139" s="1335" t="str">
        <f>'1.6.2 Gas1'!K79</f>
        <v>-</v>
      </c>
      <c r="L139" s="1335">
        <f>'1.6.2 Gas1'!L79</f>
        <v>9466.1610000000001</v>
      </c>
      <c r="M139" s="1335" t="str">
        <f>'1.6.2 Gas1'!M79</f>
        <v>-</v>
      </c>
      <c r="N139" s="1335">
        <f>'1.6.2 Gas1'!N79</f>
        <v>0</v>
      </c>
      <c r="O139" s="1335">
        <f>'1.6.2 Gas1'!O79</f>
        <v>65676.986999999994</v>
      </c>
      <c r="P139" s="1335" t="str">
        <f>'1.6.2 Gas1'!P79</f>
        <v>-</v>
      </c>
      <c r="Q139" s="1335">
        <f>'1.6.2 Gas1'!Q79</f>
        <v>65676.986999999994</v>
      </c>
      <c r="R139" s="1258"/>
      <c r="S139" s="112"/>
      <c r="T139" s="111"/>
      <c r="U139" s="112"/>
      <c r="V139" s="111"/>
      <c r="W139" s="111"/>
      <c r="X139" s="111"/>
      <c r="Z139" s="111"/>
      <c r="AA139" s="135"/>
      <c r="AB139" s="1317"/>
      <c r="AC139" s="1317"/>
      <c r="AD139" s="113"/>
      <c r="AJ139" s="114"/>
      <c r="AK139" s="114"/>
      <c r="AN139" s="124">
        <v>1949</v>
      </c>
      <c r="AO139" s="135"/>
      <c r="AP139" s="111"/>
      <c r="AQ139" s="135"/>
      <c r="AR139" s="111"/>
      <c r="AS139" s="111"/>
      <c r="AT139" s="112"/>
      <c r="AU139" s="111"/>
      <c r="AV139" s="1261"/>
      <c r="AW139" s="111">
        <f>300/1000*29.307*25177</f>
        <v>221358.70169999998</v>
      </c>
      <c r="AX139" s="1400">
        <f>270/1000*29.307*1350</f>
        <v>10682.4015</v>
      </c>
      <c r="AY139" s="1401"/>
      <c r="AZ139" s="111">
        <f>472*460/1000*29.307</f>
        <v>6363.1358399999999</v>
      </c>
      <c r="BA139" s="135" t="s">
        <v>100</v>
      </c>
      <c r="BB139" s="111" t="s">
        <v>100</v>
      </c>
    </row>
    <row r="140" spans="1:54" x14ac:dyDescent="0.45">
      <c r="A140" s="10">
        <v>1950</v>
      </c>
      <c r="B140" s="1280"/>
      <c r="C140" s="1335">
        <f>'1.6.2 Gas1'!C80</f>
        <v>1582.578</v>
      </c>
      <c r="D140" s="1335">
        <f>'1.6.2 Gas1'!D80</f>
        <v>0</v>
      </c>
      <c r="E140" s="1335">
        <f>'1.6.2 Gas1'!E80</f>
        <v>39769.598999999995</v>
      </c>
      <c r="F140" s="1335" t="str">
        <f>'1.6.2 Gas1'!F80</f>
        <v>-</v>
      </c>
      <c r="G140" s="1335">
        <f>'1.6.2 Gas1'!G80</f>
        <v>16998.059999999998</v>
      </c>
      <c r="H140" s="1335" t="str">
        <f>'1.6.2 Gas1'!H80</f>
        <v>-</v>
      </c>
      <c r="I140" s="1335" t="str">
        <f>'1.6.2 Gas1'!I80</f>
        <v>-</v>
      </c>
      <c r="J140" s="1335" t="str">
        <f>'1.6.2 Gas1'!J80</f>
        <v>-</v>
      </c>
      <c r="K140" s="1335" t="str">
        <f>'1.6.2 Gas1'!K80</f>
        <v>-</v>
      </c>
      <c r="L140" s="1335">
        <f>'1.6.2 Gas1'!L80</f>
        <v>10140.222</v>
      </c>
      <c r="M140" s="1335" t="str">
        <f>'1.6.2 Gas1'!M80</f>
        <v>-</v>
      </c>
      <c r="N140" s="1335">
        <f>'1.6.2 Gas1'!N80</f>
        <v>0</v>
      </c>
      <c r="O140" s="1335">
        <f>'1.6.2 Gas1'!O80</f>
        <v>68490.459000000003</v>
      </c>
      <c r="P140" s="1335" t="str">
        <f>'1.6.2 Gas1'!P80</f>
        <v>-</v>
      </c>
      <c r="Q140" s="1335">
        <f>'1.6.2 Gas1'!Q80</f>
        <v>68490.459000000003</v>
      </c>
      <c r="R140" s="1258"/>
      <c r="S140" s="112"/>
      <c r="T140" s="111"/>
      <c r="U140" s="112"/>
      <c r="V140" s="111"/>
      <c r="W140" s="111"/>
      <c r="X140" s="111"/>
      <c r="Z140" s="111"/>
      <c r="AA140" s="135"/>
      <c r="AB140" s="1317"/>
      <c r="AC140" s="1317"/>
      <c r="AD140" s="113"/>
      <c r="AJ140" s="114"/>
      <c r="AK140" s="114"/>
      <c r="AN140" s="124">
        <v>1950</v>
      </c>
      <c r="AO140" s="135"/>
      <c r="AP140" s="111"/>
      <c r="AQ140" s="135"/>
      <c r="AR140" s="111"/>
      <c r="AS140" s="111"/>
      <c r="AT140" s="112"/>
      <c r="AU140" s="111"/>
      <c r="AV140" s="1261"/>
      <c r="AW140" s="111">
        <f>300/1000*29.307*26095</f>
        <v>229429.84949999998</v>
      </c>
      <c r="AX140" s="1400">
        <f>270/1000*29.307*1457</f>
        <v>11529.08073</v>
      </c>
      <c r="AY140" s="1401"/>
      <c r="AZ140" s="111">
        <f>522*460/1000*29.307</f>
        <v>7037.1968399999996</v>
      </c>
      <c r="BA140" s="135" t="s">
        <v>100</v>
      </c>
      <c r="BB140" s="111" t="s">
        <v>100</v>
      </c>
    </row>
    <row r="141" spans="1:54" x14ac:dyDescent="0.45">
      <c r="A141" s="10">
        <v>1951</v>
      </c>
      <c r="B141" s="1280"/>
      <c r="C141" s="1335">
        <f>'1.6.2 Gas1'!C81</f>
        <v>1523.9639999999999</v>
      </c>
      <c r="D141" s="1335">
        <f>'1.6.2 Gas1'!D81</f>
        <v>0</v>
      </c>
      <c r="E141" s="1335">
        <f>'1.6.2 Gas1'!E81</f>
        <v>40707.422999999995</v>
      </c>
      <c r="F141" s="1335" t="str">
        <f>'1.6.2 Gas1'!F81</f>
        <v>-</v>
      </c>
      <c r="G141" s="1335">
        <f>'1.6.2 Gas1'!G81</f>
        <v>18404.795999999998</v>
      </c>
      <c r="H141" s="1335" t="str">
        <f>'1.6.2 Gas1'!H81</f>
        <v>-</v>
      </c>
      <c r="I141" s="1335" t="str">
        <f>'1.6.2 Gas1'!I81</f>
        <v>-</v>
      </c>
      <c r="J141" s="1335" t="str">
        <f>'1.6.2 Gas1'!J81</f>
        <v>-</v>
      </c>
      <c r="K141" s="1335" t="str">
        <f>'1.6.2 Gas1'!K81</f>
        <v>-</v>
      </c>
      <c r="L141" s="1335">
        <f>'1.6.2 Gas1'!L81</f>
        <v>11136.66</v>
      </c>
      <c r="M141" s="1335" t="str">
        <f>'1.6.2 Gas1'!M81</f>
        <v>-</v>
      </c>
      <c r="N141" s="1335">
        <f>'1.6.2 Gas1'!N81</f>
        <v>0</v>
      </c>
      <c r="O141" s="1335">
        <f>'1.6.2 Gas1'!O81</f>
        <v>71772.842999999993</v>
      </c>
      <c r="P141" s="1335" t="str">
        <f>'1.6.2 Gas1'!P81</f>
        <v>-</v>
      </c>
      <c r="Q141" s="1335">
        <f>'1.6.2 Gas1'!Q81</f>
        <v>71772.842999999993</v>
      </c>
      <c r="R141" s="1258"/>
      <c r="S141" s="112"/>
      <c r="T141" s="111"/>
      <c r="U141" s="112"/>
      <c r="V141" s="111"/>
      <c r="W141" s="111"/>
      <c r="X141" s="111"/>
      <c r="Z141" s="111"/>
      <c r="AA141" s="135"/>
      <c r="AB141" s="1317"/>
      <c r="AC141" s="1317"/>
      <c r="AD141" s="113"/>
      <c r="AJ141" s="114"/>
      <c r="AK141" s="114"/>
      <c r="AN141" s="124">
        <v>1951</v>
      </c>
      <c r="AO141" s="135"/>
      <c r="AP141" s="111"/>
      <c r="AQ141" s="135"/>
      <c r="AR141" s="111"/>
      <c r="AS141" s="111"/>
      <c r="AT141" s="112"/>
      <c r="AU141" s="111"/>
      <c r="AV141" s="1261"/>
      <c r="AW141" s="111">
        <f>300/1000*29.307*27203</f>
        <v>239171.4963</v>
      </c>
      <c r="AX141" s="1400">
        <f>270/1000*29.307*1440</f>
        <v>11394.561599999999</v>
      </c>
      <c r="AY141" s="1401"/>
      <c r="AZ141" s="111">
        <f>496*460/1000*29.307</f>
        <v>6686.6851199999992</v>
      </c>
      <c r="BA141" s="135" t="s">
        <v>100</v>
      </c>
      <c r="BB141" s="111" t="s">
        <v>100</v>
      </c>
    </row>
    <row r="142" spans="1:54" x14ac:dyDescent="0.45">
      <c r="A142" s="10">
        <v>1952</v>
      </c>
      <c r="B142" s="1280"/>
      <c r="C142" s="1335">
        <f>'1.6.2 Gas1'!C82</f>
        <v>1494.6569999999999</v>
      </c>
      <c r="D142" s="1335">
        <f>'1.6.2 Gas1'!D82</f>
        <v>0</v>
      </c>
      <c r="E142" s="1335">
        <f>'1.6.2 Gas1'!E82</f>
        <v>39945.440999999999</v>
      </c>
      <c r="F142" s="1335" t="str">
        <f>'1.6.2 Gas1'!F82</f>
        <v>-</v>
      </c>
      <c r="G142" s="1335">
        <f>'1.6.2 Gas1'!G82</f>
        <v>18932.322</v>
      </c>
      <c r="H142" s="1335" t="str">
        <f>'1.6.2 Gas1'!H82</f>
        <v>-</v>
      </c>
      <c r="I142" s="1335" t="str">
        <f>'1.6.2 Gas1'!I82</f>
        <v>-</v>
      </c>
      <c r="J142" s="1335" t="str">
        <f>'1.6.2 Gas1'!J82</f>
        <v>-</v>
      </c>
      <c r="K142" s="1335" t="str">
        <f>'1.6.2 Gas1'!K82</f>
        <v>-</v>
      </c>
      <c r="L142" s="1335">
        <f>'1.6.2 Gas1'!L82</f>
        <v>11517.651</v>
      </c>
      <c r="M142" s="1335" t="str">
        <f>'1.6.2 Gas1'!M82</f>
        <v>-</v>
      </c>
      <c r="N142" s="1335">
        <f>'1.6.2 Gas1'!N82</f>
        <v>0</v>
      </c>
      <c r="O142" s="1335">
        <f>'1.6.2 Gas1'!O82</f>
        <v>71890.070999999996</v>
      </c>
      <c r="P142" s="1335" t="str">
        <f>'1.6.2 Gas1'!P82</f>
        <v>-</v>
      </c>
      <c r="Q142" s="1335">
        <f>'1.6.2 Gas1'!Q82</f>
        <v>71890.070999999996</v>
      </c>
      <c r="R142" s="1258"/>
      <c r="S142" s="112"/>
      <c r="T142" s="111"/>
      <c r="U142" s="112"/>
      <c r="V142" s="111"/>
      <c r="W142" s="111"/>
      <c r="X142" s="111"/>
      <c r="Z142" s="111"/>
      <c r="AA142" s="135"/>
      <c r="AB142" s="1317"/>
      <c r="AC142" s="1317"/>
      <c r="AD142" s="113"/>
      <c r="AJ142" s="114"/>
      <c r="AK142" s="114"/>
      <c r="AN142" s="124">
        <v>1952</v>
      </c>
      <c r="AO142" s="135"/>
      <c r="AP142" s="111"/>
      <c r="AQ142" s="135"/>
      <c r="AR142" s="111"/>
      <c r="AS142" s="111"/>
      <c r="AT142" s="112"/>
      <c r="AU142" s="111"/>
      <c r="AV142" s="1261"/>
      <c r="AW142" s="111">
        <f>300/1000*29.307*27658</f>
        <v>243171.90179999999</v>
      </c>
      <c r="AX142" s="1400">
        <f>270/1000*29.307*1375</f>
        <v>10880.223749999999</v>
      </c>
      <c r="AY142" s="1401"/>
      <c r="AZ142" s="111">
        <f>442*460/1000*29.307</f>
        <v>5958.6992399999999</v>
      </c>
      <c r="BA142" s="135" t="s">
        <v>100</v>
      </c>
      <c r="BB142" s="111" t="s">
        <v>100</v>
      </c>
    </row>
    <row r="143" spans="1:54" x14ac:dyDescent="0.45">
      <c r="A143" s="10">
        <v>1953</v>
      </c>
      <c r="B143" s="1280"/>
      <c r="C143" s="1335">
        <f>'1.6.2 Gas1'!C83</f>
        <v>1436.0429999999999</v>
      </c>
      <c r="D143" s="1335">
        <f>'1.6.2 Gas1'!D83</f>
        <v>0</v>
      </c>
      <c r="E143" s="1335">
        <f>'1.6.2 Gas1'!E83</f>
        <v>39447.222000000002</v>
      </c>
      <c r="F143" s="1335" t="str">
        <f>'1.6.2 Gas1'!F83</f>
        <v>-</v>
      </c>
      <c r="G143" s="1335">
        <f>'1.6.2 Gas1'!G83</f>
        <v>18990.935999999998</v>
      </c>
      <c r="H143" s="1335" t="str">
        <f>'1.6.2 Gas1'!H83</f>
        <v>-</v>
      </c>
      <c r="I143" s="1335" t="str">
        <f>'1.6.2 Gas1'!I83</f>
        <v>-</v>
      </c>
      <c r="J143" s="1335" t="str">
        <f>'1.6.2 Gas1'!J83</f>
        <v>-</v>
      </c>
      <c r="K143" s="1335" t="str">
        <f>'1.6.2 Gas1'!K83</f>
        <v>-</v>
      </c>
      <c r="L143" s="1335">
        <f>'1.6.2 Gas1'!L83</f>
        <v>11517.651</v>
      </c>
      <c r="M143" s="1335" t="str">
        <f>'1.6.2 Gas1'!M83</f>
        <v>-</v>
      </c>
      <c r="N143" s="1335">
        <f>'1.6.2 Gas1'!N83</f>
        <v>0</v>
      </c>
      <c r="O143" s="1335">
        <f>'1.6.2 Gas1'!O83</f>
        <v>71391.851999999999</v>
      </c>
      <c r="P143" s="1335" t="str">
        <f>'1.6.2 Gas1'!P83</f>
        <v>-</v>
      </c>
      <c r="Q143" s="1335">
        <f>'1.6.2 Gas1'!Q83</f>
        <v>71391.851999999999</v>
      </c>
      <c r="R143" s="1258"/>
      <c r="S143" s="112"/>
      <c r="T143" s="111"/>
      <c r="U143" s="112"/>
      <c r="V143" s="111"/>
      <c r="W143" s="111"/>
      <c r="X143" s="111"/>
      <c r="Z143" s="111"/>
      <c r="AA143" s="135"/>
      <c r="AB143" s="1317"/>
      <c r="AC143" s="1317"/>
      <c r="AD143" s="113"/>
      <c r="AJ143" s="114"/>
      <c r="AK143" s="114"/>
      <c r="AN143" s="124">
        <v>1953</v>
      </c>
      <c r="AO143" s="135"/>
      <c r="AP143" s="111"/>
      <c r="AQ143" s="135"/>
      <c r="AR143" s="111"/>
      <c r="AS143" s="111"/>
      <c r="AT143" s="112"/>
      <c r="AU143" s="111"/>
      <c r="AV143" s="1261"/>
      <c r="AW143" s="111">
        <f>300/1000*29.307*27052</f>
        <v>237843.88919999998</v>
      </c>
      <c r="AX143" s="1400">
        <f>270/1000*29.307*1339</f>
        <v>10595.359710000001</v>
      </c>
      <c r="AY143" s="1401"/>
      <c r="AZ143" s="111">
        <f>422*460/1000*29.307</f>
        <v>5689.0748400000002</v>
      </c>
      <c r="BA143" s="135" t="s">
        <v>100</v>
      </c>
      <c r="BB143" s="111" t="s">
        <v>100</v>
      </c>
    </row>
    <row r="144" spans="1:54" x14ac:dyDescent="0.45">
      <c r="A144" s="10">
        <v>1954</v>
      </c>
      <c r="B144" s="1280"/>
      <c r="C144" s="1335">
        <f>'1.6.2 Gas1'!C84</f>
        <v>1377.4289999999999</v>
      </c>
      <c r="D144" s="1335">
        <f>'1.6.2 Gas1'!D84</f>
        <v>0</v>
      </c>
      <c r="E144" s="1335">
        <f>'1.6.2 Gas1'!E84</f>
        <v>39857.519999999997</v>
      </c>
      <c r="F144" s="1335" t="str">
        <f>'1.6.2 Gas1'!F84</f>
        <v>-</v>
      </c>
      <c r="G144" s="1335">
        <f>'1.6.2 Gas1'!G84</f>
        <v>20632.128000000001</v>
      </c>
      <c r="H144" s="1335" t="str">
        <f>'1.6.2 Gas1'!H84</f>
        <v>-</v>
      </c>
      <c r="I144" s="1335" t="str">
        <f>'1.6.2 Gas1'!I84</f>
        <v>-</v>
      </c>
      <c r="J144" s="1335" t="str">
        <f>'1.6.2 Gas1'!J84</f>
        <v>-</v>
      </c>
      <c r="K144" s="1335" t="str">
        <f>'1.6.2 Gas1'!K84</f>
        <v>-</v>
      </c>
      <c r="L144" s="1335">
        <f>'1.6.2 Gas1'!L84</f>
        <v>12191.712</v>
      </c>
      <c r="M144" s="1335" t="str">
        <f>'1.6.2 Gas1'!M84</f>
        <v>-</v>
      </c>
      <c r="N144" s="1335">
        <f>'1.6.2 Gas1'!N84</f>
        <v>0</v>
      </c>
      <c r="O144" s="1335">
        <f>'1.6.2 Gas1'!O84</f>
        <v>74058.78899999999</v>
      </c>
      <c r="P144" s="1335" t="str">
        <f>'1.6.2 Gas1'!P84</f>
        <v>-</v>
      </c>
      <c r="Q144" s="1335">
        <f>'1.6.2 Gas1'!Q84</f>
        <v>74058.78899999999</v>
      </c>
      <c r="R144" s="1258"/>
      <c r="S144" s="112"/>
      <c r="T144" s="111"/>
      <c r="U144" s="112"/>
      <c r="V144" s="111"/>
      <c r="W144" s="111"/>
      <c r="X144" s="111"/>
      <c r="Z144" s="111"/>
      <c r="AA144" s="135"/>
      <c r="AB144" s="1317"/>
      <c r="AC144" s="1317"/>
      <c r="AD144" s="113"/>
      <c r="AJ144" s="114"/>
      <c r="AK144" s="114"/>
      <c r="AN144" s="124">
        <v>1954</v>
      </c>
      <c r="AO144" s="135"/>
      <c r="AP144" s="111"/>
      <c r="AQ144" s="135"/>
      <c r="AR144" s="111"/>
      <c r="AS144" s="111"/>
      <c r="AT144" s="112"/>
      <c r="AU144" s="111"/>
      <c r="AV144" s="1261"/>
      <c r="AW144" s="111">
        <f>300/1000*29.307*27256</f>
        <v>239637.47759999998</v>
      </c>
      <c r="AX144" s="1400">
        <f>270/1000*29.307*1521</f>
        <v>12035.50569</v>
      </c>
      <c r="AY144" s="1401"/>
      <c r="AZ144" s="111">
        <f>544*460/1000*29.307</f>
        <v>7333.7836799999995</v>
      </c>
      <c r="BA144" s="135" t="s">
        <v>100</v>
      </c>
      <c r="BB144" s="111" t="s">
        <v>100</v>
      </c>
    </row>
    <row r="145" spans="1:54" x14ac:dyDescent="0.45">
      <c r="A145" s="10">
        <v>1955</v>
      </c>
      <c r="B145" s="1280"/>
      <c r="C145" s="1335">
        <f>'1.6.2 Gas1'!C85</f>
        <v>1289.508</v>
      </c>
      <c r="D145" s="1335">
        <f>'1.6.2 Gas1'!D85</f>
        <v>0</v>
      </c>
      <c r="E145" s="1335">
        <f>'1.6.2 Gas1'!E85</f>
        <v>39974.748</v>
      </c>
      <c r="F145" s="1335" t="str">
        <f>'1.6.2 Gas1'!F85</f>
        <v>-</v>
      </c>
      <c r="G145" s="1335">
        <f>'1.6.2 Gas1'!G85</f>
        <v>21745.793999999998</v>
      </c>
      <c r="H145" s="1335" t="str">
        <f>'1.6.2 Gas1'!H85</f>
        <v>-</v>
      </c>
      <c r="I145" s="1335" t="str">
        <f>'1.6.2 Gas1'!I85</f>
        <v>-</v>
      </c>
      <c r="J145" s="1335" t="str">
        <f>'1.6.2 Gas1'!J85</f>
        <v>-</v>
      </c>
      <c r="K145" s="1335" t="str">
        <f>'1.6.2 Gas1'!K85</f>
        <v>-</v>
      </c>
      <c r="L145" s="1335">
        <f>'1.6.2 Gas1'!L85</f>
        <v>12689.930999999999</v>
      </c>
      <c r="M145" s="1335" t="str">
        <f>'1.6.2 Gas1'!M85</f>
        <v>-</v>
      </c>
      <c r="N145" s="1335">
        <f>'1.6.2 Gas1'!N85</f>
        <v>0</v>
      </c>
      <c r="O145" s="1335">
        <f>'1.6.2 Gas1'!O85</f>
        <v>75699.981</v>
      </c>
      <c r="P145" s="1335" t="str">
        <f>'1.6.2 Gas1'!P85</f>
        <v>-</v>
      </c>
      <c r="Q145" s="1335">
        <f>'1.6.2 Gas1'!Q85</f>
        <v>75699.981</v>
      </c>
      <c r="R145" s="1258"/>
      <c r="S145" s="112"/>
      <c r="T145" s="111"/>
      <c r="U145" s="112"/>
      <c r="V145" s="111"/>
      <c r="W145" s="111"/>
      <c r="X145" s="111"/>
      <c r="Z145" s="111"/>
      <c r="AA145" s="135"/>
      <c r="AB145" s="1317"/>
      <c r="AC145" s="1317"/>
      <c r="AD145" s="113"/>
      <c r="AJ145" s="114"/>
      <c r="AK145" s="114"/>
      <c r="AN145" s="124">
        <v>1955</v>
      </c>
      <c r="AO145" s="135"/>
      <c r="AP145" s="111"/>
      <c r="AQ145" s="135"/>
      <c r="AR145" s="111"/>
      <c r="AS145" s="111"/>
      <c r="AT145" s="112"/>
      <c r="AU145" s="111"/>
      <c r="AV145" s="1261"/>
      <c r="AW145" s="111">
        <f>300/1000*29.307*27876</f>
        <v>245088.5796</v>
      </c>
      <c r="AX145" s="1400">
        <f>270/1000*29.307*1441</f>
        <v>11402.474490000001</v>
      </c>
      <c r="AY145" s="1401"/>
      <c r="AZ145" s="111">
        <f>526*460/1000*29.307</f>
        <v>7091.1217200000001</v>
      </c>
      <c r="BA145" s="135" t="s">
        <v>100</v>
      </c>
      <c r="BB145" s="111" t="s">
        <v>100</v>
      </c>
    </row>
    <row r="146" spans="1:54" x14ac:dyDescent="0.45">
      <c r="A146" s="10">
        <v>1956</v>
      </c>
      <c r="B146" s="1280"/>
      <c r="C146" s="1335">
        <f>'1.6.2 Gas1'!C86</f>
        <v>1172.28</v>
      </c>
      <c r="D146" s="1335">
        <f>'1.6.2 Gas1'!D86</f>
        <v>0</v>
      </c>
      <c r="E146" s="1335">
        <f>'1.6.2 Gas1'!E86</f>
        <v>39535.142999999996</v>
      </c>
      <c r="F146" s="1335" t="str">
        <f>'1.6.2 Gas1'!F86</f>
        <v>-</v>
      </c>
      <c r="G146" s="1335">
        <f>'1.6.2 Gas1'!G86</f>
        <v>22273.32</v>
      </c>
      <c r="H146" s="1335" t="str">
        <f>'1.6.2 Gas1'!H86</f>
        <v>-</v>
      </c>
      <c r="I146" s="1335" t="str">
        <f>'1.6.2 Gas1'!I86</f>
        <v>-</v>
      </c>
      <c r="J146" s="1335" t="str">
        <f>'1.6.2 Gas1'!J86</f>
        <v>-</v>
      </c>
      <c r="K146" s="1335" t="str">
        <f>'1.6.2 Gas1'!K86</f>
        <v>-</v>
      </c>
      <c r="L146" s="1335">
        <f>'1.6.2 Gas1'!L86</f>
        <v>12953.694</v>
      </c>
      <c r="M146" s="1335" t="str">
        <f>'1.6.2 Gas1'!M86</f>
        <v>-</v>
      </c>
      <c r="N146" s="1335">
        <f>'1.6.2 Gas1'!N86</f>
        <v>0</v>
      </c>
      <c r="O146" s="1335">
        <f>'1.6.2 Gas1'!O86</f>
        <v>75934.436999999991</v>
      </c>
      <c r="P146" s="1335" t="str">
        <f>'1.6.2 Gas1'!P86</f>
        <v>-</v>
      </c>
      <c r="Q146" s="1335">
        <f>'1.6.2 Gas1'!Q86</f>
        <v>75934.436999999991</v>
      </c>
      <c r="R146" s="111"/>
      <c r="S146" s="112"/>
      <c r="T146" s="111"/>
      <c r="U146" s="112"/>
      <c r="V146" s="111"/>
      <c r="W146" s="111"/>
      <c r="X146" s="111"/>
      <c r="Z146" s="111"/>
      <c r="AA146" s="135"/>
      <c r="AB146" s="1317"/>
      <c r="AC146" s="1317"/>
      <c r="AD146" s="113"/>
      <c r="AJ146" s="114"/>
      <c r="AK146" s="114"/>
      <c r="AN146" s="124">
        <v>1956</v>
      </c>
      <c r="AO146" s="135"/>
      <c r="AP146" s="111"/>
      <c r="AQ146" s="135"/>
      <c r="AR146" s="111"/>
      <c r="AS146" s="111"/>
      <c r="AT146" s="112"/>
      <c r="AU146" s="111"/>
      <c r="AV146" s="1261"/>
      <c r="AW146" s="111">
        <f>300/1000*29.307*27881</f>
        <v>245132.54009999998</v>
      </c>
      <c r="AX146" s="1400">
        <f>270/1000*29.307*1351</f>
        <v>10690.31439</v>
      </c>
      <c r="AY146" s="1401"/>
      <c r="AZ146" s="111">
        <f>482*460/1000*29.307</f>
        <v>6497.9480399999993</v>
      </c>
      <c r="BA146" s="135" t="s">
        <v>100</v>
      </c>
      <c r="BB146" s="111" t="s">
        <v>100</v>
      </c>
    </row>
    <row r="147" spans="1:54" ht="14.65" thickBot="1" x14ac:dyDescent="0.5">
      <c r="A147" s="10">
        <v>1957</v>
      </c>
      <c r="B147" s="1280"/>
      <c r="C147" s="1335">
        <f>'1.6.2 Gas1'!C87</f>
        <v>1055.0519999999999</v>
      </c>
      <c r="D147" s="1335">
        <f>'1.6.2 Gas1'!D87</f>
        <v>0</v>
      </c>
      <c r="E147" s="1335">
        <f>'1.6.2 Gas1'!E87</f>
        <v>38274.941999999995</v>
      </c>
      <c r="F147" s="1335" t="str">
        <f>'1.6.2 Gas1'!F87</f>
        <v>-</v>
      </c>
      <c r="G147" s="1335">
        <f>'1.6.2 Gas1'!G87</f>
        <v>22566.39</v>
      </c>
      <c r="H147" s="1335" t="str">
        <f>'1.6.2 Gas1'!H87</f>
        <v>-</v>
      </c>
      <c r="I147" s="1335" t="str">
        <f>'1.6.2 Gas1'!I87</f>
        <v>-</v>
      </c>
      <c r="J147" s="1335" t="str">
        <f>'1.6.2 Gas1'!J87</f>
        <v>-</v>
      </c>
      <c r="K147" s="1335" t="str">
        <f>'1.6.2 Gas1'!K87</f>
        <v>-</v>
      </c>
      <c r="L147" s="1335">
        <f>'1.6.2 Gas1'!L87</f>
        <v>12455.474999999999</v>
      </c>
      <c r="M147" s="1335" t="str">
        <f>'1.6.2 Gas1'!M87</f>
        <v>-</v>
      </c>
      <c r="N147" s="1335">
        <f>'1.6.2 Gas1'!N87</f>
        <v>0</v>
      </c>
      <c r="O147" s="1335">
        <f>'1.6.2 Gas1'!O87</f>
        <v>74351.858999999997</v>
      </c>
      <c r="P147" s="1335" t="str">
        <f>'1.6.2 Gas1'!P87</f>
        <v>-</v>
      </c>
      <c r="Q147" s="1335">
        <f>'1.6.2 Gas1'!Q87</f>
        <v>74351.858999999997</v>
      </c>
      <c r="R147" s="111"/>
      <c r="S147" s="112"/>
      <c r="T147" s="111"/>
      <c r="U147" s="112"/>
      <c r="V147" s="111"/>
      <c r="W147" s="111"/>
      <c r="X147" s="111"/>
      <c r="Z147" s="111"/>
      <c r="AA147" s="135"/>
      <c r="AB147" s="1317"/>
      <c r="AC147" s="1317"/>
      <c r="AD147" s="113"/>
      <c r="AJ147" s="114"/>
      <c r="AK147" s="114"/>
      <c r="AN147" s="124">
        <v>1957</v>
      </c>
      <c r="AO147" s="135"/>
      <c r="AP147" s="111"/>
      <c r="AQ147" s="135"/>
      <c r="AR147" s="111"/>
      <c r="AS147" s="111"/>
      <c r="AT147" s="112"/>
      <c r="AU147" s="111"/>
      <c r="AV147" s="1261"/>
      <c r="AW147" s="111">
        <f>300/1000*29.307*26369</f>
        <v>231838.88489999998</v>
      </c>
      <c r="AX147" s="1400">
        <f>270/1000*29.307*1220</f>
        <v>9653.7258000000002</v>
      </c>
      <c r="AY147" s="1401"/>
      <c r="AZ147" s="111">
        <f>436*460/1000*29.307</f>
        <v>5877.8119200000001</v>
      </c>
      <c r="BA147" s="135" t="s">
        <v>100</v>
      </c>
      <c r="BB147" s="111" t="s">
        <v>100</v>
      </c>
    </row>
    <row r="148" spans="1:54" x14ac:dyDescent="0.45">
      <c r="A148" s="10">
        <v>1958</v>
      </c>
      <c r="B148" s="1280"/>
      <c r="C148" s="1335">
        <f>'1.6.2 Gas1'!C88</f>
        <v>937.82399999999996</v>
      </c>
      <c r="D148" s="1335">
        <f>'1.6.2 Gas1'!D88</f>
        <v>0</v>
      </c>
      <c r="E148" s="1335">
        <f>'1.6.2 Gas1'!E88</f>
        <v>38626.625999999997</v>
      </c>
      <c r="F148" s="1335" t="str">
        <f>'1.6.2 Gas1'!F88</f>
        <v>-</v>
      </c>
      <c r="G148" s="1335">
        <f>'1.6.2 Gas1'!G88</f>
        <v>22947.380999999998</v>
      </c>
      <c r="H148" s="1335" t="str">
        <f>'1.6.2 Gas1'!H88</f>
        <v>-</v>
      </c>
      <c r="I148" s="1335" t="str">
        <f>'1.6.2 Gas1'!I88</f>
        <v>-</v>
      </c>
      <c r="J148" s="1335" t="str">
        <f>'1.6.2 Gas1'!J88</f>
        <v>-</v>
      </c>
      <c r="K148" s="1335" t="str">
        <f>'1.6.2 Gas1'!K88</f>
        <v>-</v>
      </c>
      <c r="L148" s="1335">
        <f>'1.6.2 Gas1'!L88</f>
        <v>13012.307999999999</v>
      </c>
      <c r="M148" s="1335" t="str">
        <f>'1.6.2 Gas1'!M88</f>
        <v>-</v>
      </c>
      <c r="N148" s="1335">
        <f>'1.6.2 Gas1'!N88</f>
        <v>0</v>
      </c>
      <c r="O148" s="1335">
        <f>'1.6.2 Gas1'!O88</f>
        <v>75524.138999999996</v>
      </c>
      <c r="P148" s="1335" t="str">
        <f>'1.6.2 Gas1'!P88</f>
        <v>-</v>
      </c>
      <c r="Q148" s="1335">
        <f>'1.6.2 Gas1'!Q88</f>
        <v>75524.138999999996</v>
      </c>
      <c r="R148" s="1311"/>
      <c r="S148" s="1313"/>
      <c r="T148" s="1311"/>
      <c r="U148" s="1310"/>
      <c r="V148" s="1310"/>
      <c r="W148" s="1258"/>
      <c r="X148" s="1321"/>
      <c r="Y148" s="1217"/>
      <c r="Z148" s="1322"/>
      <c r="AA148" s="1217"/>
      <c r="AB148" s="1323"/>
      <c r="AC148" s="1323"/>
      <c r="AD148" s="116"/>
      <c r="AJ148" s="114"/>
      <c r="AK148" s="114"/>
      <c r="AN148" s="124">
        <v>1958</v>
      </c>
      <c r="AO148" s="135"/>
      <c r="AP148" s="111"/>
      <c r="AQ148" s="135"/>
      <c r="AR148" s="111"/>
      <c r="AS148" s="111"/>
      <c r="AT148" s="112"/>
      <c r="AU148" s="111"/>
      <c r="AV148" s="1261"/>
      <c r="AW148" s="111">
        <f>300/1000*29.307*24880</f>
        <v>218747.448</v>
      </c>
      <c r="AX148" s="111">
        <f>270/1000*29.307*1592</f>
        <v>12597.320879999999</v>
      </c>
      <c r="AY148" s="111">
        <f>220/1000*29.307*937</f>
        <v>6041.3449799999999</v>
      </c>
      <c r="AZ148" s="111">
        <f>(119+541+39)*460/1000*29.307</f>
        <v>9423.3727799999997</v>
      </c>
      <c r="BA148" s="135" t="s">
        <v>100</v>
      </c>
      <c r="BB148" s="111" t="s">
        <v>100</v>
      </c>
    </row>
    <row r="149" spans="1:54" x14ac:dyDescent="0.45">
      <c r="A149" s="10">
        <v>1959</v>
      </c>
      <c r="B149" s="1280"/>
      <c r="C149" s="1335">
        <f>'1.6.2 Gas1'!C89</f>
        <v>820.596</v>
      </c>
      <c r="D149" s="1335">
        <f>'1.6.2 Gas1'!D89</f>
        <v>0</v>
      </c>
      <c r="E149" s="1335">
        <f>'1.6.2 Gas1'!E89</f>
        <v>37102.661999999997</v>
      </c>
      <c r="F149" s="1335" t="str">
        <f>'1.6.2 Gas1'!F89</f>
        <v>-</v>
      </c>
      <c r="G149" s="1335">
        <f>'1.6.2 Gas1'!G89</f>
        <v>23269.757999999998</v>
      </c>
      <c r="H149" s="1335" t="str">
        <f>'1.6.2 Gas1'!H89</f>
        <v>-</v>
      </c>
      <c r="I149" s="1335" t="str">
        <f>'1.6.2 Gas1'!I89</f>
        <v>-</v>
      </c>
      <c r="J149" s="1335" t="str">
        <f>'1.6.2 Gas1'!J89</f>
        <v>-</v>
      </c>
      <c r="K149" s="1335" t="str">
        <f>'1.6.2 Gas1'!K89</f>
        <v>-</v>
      </c>
      <c r="L149" s="1335">
        <f>'1.6.2 Gas1'!L89</f>
        <v>12514.089</v>
      </c>
      <c r="M149" s="1335" t="str">
        <f>'1.6.2 Gas1'!M89</f>
        <v>-</v>
      </c>
      <c r="N149" s="1335">
        <f>'1.6.2 Gas1'!N89</f>
        <v>0</v>
      </c>
      <c r="O149" s="1335">
        <f>'1.6.2 Gas1'!O89</f>
        <v>73707.104999999996</v>
      </c>
      <c r="P149" s="1335" t="str">
        <f>'1.6.2 Gas1'!P89</f>
        <v>-</v>
      </c>
      <c r="Q149" s="1335">
        <f>'1.6.2 Gas1'!Q89</f>
        <v>73707.104999999996</v>
      </c>
      <c r="R149" s="1258"/>
      <c r="S149" s="112"/>
      <c r="T149" s="111"/>
      <c r="U149" s="1258"/>
      <c r="V149" s="1258"/>
      <c r="W149" s="1258"/>
      <c r="X149" s="1258"/>
      <c r="Y149" s="112"/>
      <c r="Z149" s="111"/>
      <c r="AA149" s="112"/>
      <c r="AB149" s="1317"/>
      <c r="AC149" s="1317"/>
      <c r="AD149" s="117"/>
      <c r="AJ149" s="114"/>
      <c r="AK149" s="114"/>
      <c r="AN149" s="124">
        <v>1959</v>
      </c>
      <c r="AO149" s="135"/>
      <c r="AP149" s="111"/>
      <c r="AQ149" s="135"/>
      <c r="AR149" s="111"/>
      <c r="AS149" s="111"/>
      <c r="AT149" s="112"/>
      <c r="AU149" s="111"/>
      <c r="AV149" s="1261"/>
      <c r="AW149" s="111">
        <f>300/1000*29.307*22634</f>
        <v>199000.39139999999</v>
      </c>
      <c r="AX149" s="111">
        <f>270/1000*29.307*1477</f>
        <v>11687.338529999999</v>
      </c>
      <c r="AY149" s="111">
        <f>220/1000*29.307*827</f>
        <v>5332.1155799999997</v>
      </c>
      <c r="AZ149" s="111">
        <f>(178+376+195)*460/1000*29.307</f>
        <v>10097.433779999999</v>
      </c>
      <c r="BA149" s="135" t="s">
        <v>100</v>
      </c>
      <c r="BB149" s="111" t="s">
        <v>100</v>
      </c>
    </row>
    <row r="150" spans="1:54" x14ac:dyDescent="0.45">
      <c r="A150" s="10">
        <v>1960</v>
      </c>
      <c r="B150" s="1280"/>
      <c r="C150" s="1335">
        <f>'1.6.2 Gas1'!C90</f>
        <v>703.36799999999994</v>
      </c>
      <c r="D150" s="1335">
        <f>'1.6.2 Gas1'!D90</f>
        <v>0</v>
      </c>
      <c r="E150" s="1335">
        <f>'1.6.2 Gas1'!E90</f>
        <v>38041</v>
      </c>
      <c r="F150" s="1335" t="str">
        <f>'1.6.2 Gas1'!F90</f>
        <v>-</v>
      </c>
      <c r="G150" s="1335">
        <f>'1.6.2 Gas1'!G90</f>
        <v>25263</v>
      </c>
      <c r="H150" s="1335" t="str">
        <f>'1.6.2 Gas1'!H90</f>
        <v>-</v>
      </c>
      <c r="I150" s="1335" t="str">
        <f>'1.6.2 Gas1'!I90</f>
        <v>-</v>
      </c>
      <c r="J150" s="1335" t="str">
        <f>'1.6.2 Gas1'!J90</f>
        <v>-</v>
      </c>
      <c r="K150" s="1335" t="str">
        <f>'1.6.2 Gas1'!K90</f>
        <v>-</v>
      </c>
      <c r="L150" s="1335">
        <f>'1.6.2 Gas1'!L90</f>
        <v>15005.632</v>
      </c>
      <c r="M150" s="1335">
        <f>'1.6.2 Gas1'!M90</f>
        <v>440</v>
      </c>
      <c r="N150" s="1335">
        <f>'1.6.2 Gas1'!N90</f>
        <v>0</v>
      </c>
      <c r="O150" s="1335">
        <f>'1.6.2 Gas1'!O90</f>
        <v>79012</v>
      </c>
      <c r="P150" s="1335">
        <f>'1.6.2 Gas1'!P90</f>
        <v>440</v>
      </c>
      <c r="Q150" s="1335">
        <f>'1.6.2 Gas1'!Q90</f>
        <v>79452</v>
      </c>
      <c r="R150" s="111"/>
      <c r="S150" s="134"/>
      <c r="T150" s="111"/>
      <c r="U150" s="1258"/>
      <c r="V150" s="112"/>
      <c r="W150" s="111"/>
      <c r="X150" s="111"/>
      <c r="Y150" s="112"/>
      <c r="Z150" s="111"/>
      <c r="AA150" s="112"/>
      <c r="AB150" s="1317"/>
      <c r="AC150" s="1317"/>
      <c r="AD150" s="117"/>
      <c r="AN150" s="124">
        <v>1960</v>
      </c>
      <c r="AO150" s="135">
        <f>22.6*300*29.307</f>
        <v>198701.46</v>
      </c>
      <c r="AP150" s="111">
        <f>29.307*13</f>
        <v>380.99099999999999</v>
      </c>
      <c r="AQ150" s="135">
        <f>0.8*460*29.307</f>
        <v>10784.975999999999</v>
      </c>
      <c r="AR150" s="111">
        <f>29.307*173</f>
        <v>5070.1109999999999</v>
      </c>
      <c r="AS150" s="111">
        <f>29.307*504</f>
        <v>14770.727999999999</v>
      </c>
      <c r="AT150" s="112">
        <f>29.307*7823</f>
        <v>229268.66099999999</v>
      </c>
      <c r="AU150" s="111" t="s">
        <v>100</v>
      </c>
      <c r="AV150" s="1261">
        <f>29.307*7823</f>
        <v>229268.66099999999</v>
      </c>
      <c r="AW150" s="111">
        <f>22387*300/1000*29.307</f>
        <v>196828.7427</v>
      </c>
      <c r="AX150" s="111">
        <f>1564*270/1000*29.307</f>
        <v>12375.759959999999</v>
      </c>
      <c r="AY150" s="111">
        <f>761*220/1000*29.307</f>
        <v>4906.5779399999992</v>
      </c>
      <c r="AZ150" s="111">
        <f>818*460/1000*29.307</f>
        <v>11027.637959999998</v>
      </c>
      <c r="BA150" s="135" t="s">
        <v>100</v>
      </c>
      <c r="BB150" s="111" t="s">
        <v>100</v>
      </c>
    </row>
    <row r="151" spans="1:54" x14ac:dyDescent="0.45">
      <c r="A151" s="10">
        <v>1961</v>
      </c>
      <c r="B151" s="1280"/>
      <c r="C151" s="1335">
        <f>'1.6.2 Gas1'!C91</f>
        <v>586.14</v>
      </c>
      <c r="D151" s="1335">
        <f>'1.6.2 Gas1'!D91</f>
        <v>0</v>
      </c>
      <c r="E151" s="1335">
        <f>'1.6.2 Gas1'!E91</f>
        <v>38099</v>
      </c>
      <c r="F151" s="1335" t="str">
        <f>'1.6.2 Gas1'!F91</f>
        <v>-</v>
      </c>
      <c r="G151" s="1335">
        <f>'1.6.2 Gas1'!G91</f>
        <v>24882</v>
      </c>
      <c r="H151" s="1335" t="str">
        <f>'1.6.2 Gas1'!H91</f>
        <v>-</v>
      </c>
      <c r="I151" s="1335" t="str">
        <f>'1.6.2 Gas1'!I91</f>
        <v>-</v>
      </c>
      <c r="J151" s="1335" t="str">
        <f>'1.6.2 Gas1'!J91</f>
        <v>-</v>
      </c>
      <c r="K151" s="1335" t="str">
        <f>'1.6.2 Gas1'!K91</f>
        <v>-</v>
      </c>
      <c r="L151" s="1335">
        <f>'1.6.2 Gas1'!L91</f>
        <v>14946.86</v>
      </c>
      <c r="M151" s="1335">
        <f>'1.6.2 Gas1'!M91</f>
        <v>440</v>
      </c>
      <c r="N151" s="1335">
        <f>'1.6.2 Gas1'!N91</f>
        <v>0</v>
      </c>
      <c r="O151" s="1335">
        <f>'1.6.2 Gas1'!O91</f>
        <v>78513</v>
      </c>
      <c r="P151" s="1335">
        <f>'1.6.2 Gas1'!P91</f>
        <v>440</v>
      </c>
      <c r="Q151" s="1335">
        <f>'1.6.2 Gas1'!Q91</f>
        <v>78602</v>
      </c>
      <c r="R151" s="111"/>
      <c r="S151" s="112"/>
      <c r="T151" s="111"/>
      <c r="U151" s="111"/>
      <c r="V151" s="112"/>
      <c r="W151" s="111"/>
      <c r="X151" s="111"/>
      <c r="Y151" s="112"/>
      <c r="Z151" s="111"/>
      <c r="AA151" s="112"/>
      <c r="AB151" s="1317"/>
      <c r="AC151" s="1317"/>
      <c r="AD151" s="117"/>
      <c r="AK151" s="118"/>
      <c r="AN151" s="124">
        <v>1961</v>
      </c>
      <c r="AO151" s="135"/>
      <c r="AP151" s="111"/>
      <c r="AQ151" s="135"/>
      <c r="AR151" s="111"/>
      <c r="AS151" s="111"/>
      <c r="AT151" s="112"/>
      <c r="AU151" s="111"/>
      <c r="AV151" s="1261"/>
      <c r="AW151" s="111">
        <f>22179*300/1000*29.307</f>
        <v>194999.9859</v>
      </c>
      <c r="AX151" s="111">
        <f>1411*270/1000*29.307</f>
        <v>11165.08779</v>
      </c>
      <c r="AY151" s="111">
        <f>705*220/1000*29.307</f>
        <v>4545.5156999999999</v>
      </c>
      <c r="AZ151" s="111">
        <f>(445+137+190)*460/1000*29.307</f>
        <v>10407.501839999999</v>
      </c>
      <c r="BA151" s="135" t="s">
        <v>100</v>
      </c>
      <c r="BB151" s="111" t="s">
        <v>100</v>
      </c>
    </row>
    <row r="152" spans="1:54" x14ac:dyDescent="0.45">
      <c r="A152" s="10">
        <v>1962</v>
      </c>
      <c r="B152" s="1280"/>
      <c r="C152" s="1335">
        <f>'1.6.2 Gas1'!C92</f>
        <v>468.91199999999998</v>
      </c>
      <c r="D152" s="1335">
        <f>'1.6.2 Gas1'!D92</f>
        <v>0</v>
      </c>
      <c r="E152" s="1335">
        <f>'1.6.2 Gas1'!E92</f>
        <v>41059</v>
      </c>
      <c r="F152" s="1335" t="str">
        <f>'1.6.2 Gas1'!F92</f>
        <v>-</v>
      </c>
      <c r="G152" s="1335">
        <f>'1.6.2 Gas1'!G92</f>
        <v>24823</v>
      </c>
      <c r="H152" s="1335" t="str">
        <f>'1.6.2 Gas1'!H92</f>
        <v>-</v>
      </c>
      <c r="I152" s="1335" t="str">
        <f>'1.6.2 Gas1'!I92</f>
        <v>-</v>
      </c>
      <c r="J152" s="1335" t="str">
        <f>'1.6.2 Gas1'!J92</f>
        <v>-</v>
      </c>
      <c r="K152" s="1335" t="str">
        <f>'1.6.2 Gas1'!K92</f>
        <v>-</v>
      </c>
      <c r="L152" s="1335">
        <f>'1.6.2 Gas1'!L92</f>
        <v>16090.088</v>
      </c>
      <c r="M152" s="1335">
        <f>'1.6.2 Gas1'!M92</f>
        <v>733</v>
      </c>
      <c r="N152" s="1335">
        <f>'1.6.2 Gas1'!N92</f>
        <v>0</v>
      </c>
      <c r="O152" s="1335">
        <f>'1.6.2 Gas1'!O92</f>
        <v>82441</v>
      </c>
      <c r="P152" s="1335">
        <f>'1.6.2 Gas1'!P92</f>
        <v>733</v>
      </c>
      <c r="Q152" s="1335">
        <f>'1.6.2 Gas1'!Q92</f>
        <v>83174</v>
      </c>
      <c r="R152" s="111"/>
      <c r="S152" s="112"/>
      <c r="T152" s="111"/>
      <c r="U152" s="111"/>
      <c r="V152" s="112"/>
      <c r="W152" s="111"/>
      <c r="X152" s="111"/>
      <c r="Y152" s="112"/>
      <c r="Z152" s="111"/>
      <c r="AA152" s="112"/>
      <c r="AB152" s="1317"/>
      <c r="AC152" s="1317"/>
      <c r="AD152" s="117"/>
      <c r="AF152" s="118"/>
      <c r="AG152" s="118"/>
      <c r="AH152" s="118"/>
      <c r="AI152" s="118"/>
      <c r="AJ152" s="118"/>
      <c r="AK152" s="118"/>
      <c r="AN152" s="124">
        <v>1962</v>
      </c>
      <c r="AO152" s="135"/>
      <c r="AP152" s="111"/>
      <c r="AQ152" s="135"/>
      <c r="AR152" s="111"/>
      <c r="AS152" s="111"/>
      <c r="AT152" s="112"/>
      <c r="AU152" s="111"/>
      <c r="AV152" s="1261"/>
      <c r="AW152" s="111">
        <f>22130*300/1000*29.307</f>
        <v>194569.17299999998</v>
      </c>
      <c r="AX152" s="111">
        <f>1597*270/1000*29.307</f>
        <v>12636.885329999999</v>
      </c>
      <c r="AY152" s="111">
        <f>730*220/1000*29.307</f>
        <v>4706.7041999999992</v>
      </c>
      <c r="AZ152" s="111">
        <f>(646+161+268)*460/1000*29.307</f>
        <v>14492.3115</v>
      </c>
      <c r="BA152" s="135" t="s">
        <v>100</v>
      </c>
      <c r="BB152" s="111" t="s">
        <v>100</v>
      </c>
    </row>
    <row r="153" spans="1:54" x14ac:dyDescent="0.45">
      <c r="A153" s="10">
        <v>1963</v>
      </c>
      <c r="B153" s="1280"/>
      <c r="C153" s="1335">
        <f>'1.6.2 Gas1'!C93</f>
        <v>380.99099999999999</v>
      </c>
      <c r="D153" s="1335">
        <f>'1.6.2 Gas1'!D93</f>
        <v>0</v>
      </c>
      <c r="E153" s="1335">
        <f>'1.6.2 Gas1'!E93</f>
        <v>45133</v>
      </c>
      <c r="F153" s="1335" t="str">
        <f>'1.6.2 Gas1'!F93</f>
        <v>-</v>
      </c>
      <c r="G153" s="1335">
        <f>'1.6.2 Gas1'!G93</f>
        <v>25233</v>
      </c>
      <c r="H153" s="1335" t="str">
        <f>'1.6.2 Gas1'!H93</f>
        <v>-</v>
      </c>
      <c r="I153" s="1335" t="str">
        <f>'1.6.2 Gas1'!I93</f>
        <v>-</v>
      </c>
      <c r="J153" s="1335" t="str">
        <f>'1.6.2 Gas1'!J93</f>
        <v>-</v>
      </c>
      <c r="K153" s="1335" t="str">
        <f>'1.6.2 Gas1'!K93</f>
        <v>-</v>
      </c>
      <c r="L153" s="1335">
        <f>'1.6.2 Gas1'!L93</f>
        <v>16734.008999999998</v>
      </c>
      <c r="M153" s="1335">
        <f>'1.6.2 Gas1'!M93</f>
        <v>1026</v>
      </c>
      <c r="N153" s="1335">
        <f>'1.6.2 Gas1'!N93</f>
        <v>0</v>
      </c>
      <c r="O153" s="1335">
        <f>'1.6.2 Gas1'!O93</f>
        <v>87482</v>
      </c>
      <c r="P153" s="1335">
        <f>'1.6.2 Gas1'!P93</f>
        <v>1026</v>
      </c>
      <c r="Q153" s="1335">
        <f>'1.6.2 Gas1'!Q93</f>
        <v>88508</v>
      </c>
      <c r="R153" s="111"/>
      <c r="S153" s="112"/>
      <c r="T153" s="111"/>
      <c r="U153" s="111"/>
      <c r="V153" s="112"/>
      <c r="W153" s="111"/>
      <c r="X153" s="111"/>
      <c r="Y153" s="112"/>
      <c r="Z153" s="111"/>
      <c r="AA153" s="112"/>
      <c r="AB153" s="1317"/>
      <c r="AC153" s="1317"/>
      <c r="AD153" s="117"/>
      <c r="AF153" s="118"/>
      <c r="AG153" s="118"/>
      <c r="AH153" s="118"/>
      <c r="AI153" s="118"/>
      <c r="AJ153" s="118"/>
      <c r="AN153" s="124">
        <v>1963</v>
      </c>
      <c r="AO153" s="135"/>
      <c r="AP153" s="111"/>
      <c r="AQ153" s="135"/>
      <c r="AR153" s="111"/>
      <c r="AS153" s="111"/>
      <c r="AT153" s="112"/>
      <c r="AU153" s="111"/>
      <c r="AV153" s="1261"/>
      <c r="AW153" s="111">
        <f>22146*300/1000*29.307</f>
        <v>194709.84659999999</v>
      </c>
      <c r="AX153" s="111">
        <f>1611*270/1000*29.307</f>
        <v>12747.665790000001</v>
      </c>
      <c r="AY153" s="111">
        <f>684*220/1000*29.307</f>
        <v>4410.1173599999993</v>
      </c>
      <c r="AZ153" s="111">
        <f>(850+156+353)*460/1000*29.307</f>
        <v>18320.97798</v>
      </c>
      <c r="BA153" s="135" t="s">
        <v>100</v>
      </c>
      <c r="BB153" s="111" t="s">
        <v>100</v>
      </c>
    </row>
    <row r="154" spans="1:54" x14ac:dyDescent="0.45">
      <c r="A154" s="10">
        <v>1964</v>
      </c>
      <c r="B154" s="1280"/>
      <c r="C154" s="1335">
        <f>'1.6.2 Gas1'!C94</f>
        <v>293.07</v>
      </c>
      <c r="D154" s="1335">
        <f>'1.6.2 Gas1'!D94</f>
        <v>0</v>
      </c>
      <c r="E154" s="1335">
        <f>'1.6.2 Gas1'!E94</f>
        <v>47302</v>
      </c>
      <c r="F154" s="1335" t="str">
        <f>'1.6.2 Gas1'!F94</f>
        <v>-</v>
      </c>
      <c r="G154" s="1335">
        <f>'1.6.2 Gas1'!G94</f>
        <v>25907</v>
      </c>
      <c r="H154" s="1335" t="str">
        <f>'1.6.2 Gas1'!H94</f>
        <v>-</v>
      </c>
      <c r="I154" s="1335" t="str">
        <f>'1.6.2 Gas1'!I94</f>
        <v>-</v>
      </c>
      <c r="J154" s="1335" t="str">
        <f>'1.6.2 Gas1'!J94</f>
        <v>-</v>
      </c>
      <c r="K154" s="1335" t="str">
        <f>'1.6.2 Gas1'!K94</f>
        <v>-</v>
      </c>
      <c r="L154" s="1335">
        <f>'1.6.2 Gas1'!L94</f>
        <v>16587.93</v>
      </c>
      <c r="M154" s="1335">
        <f>'1.6.2 Gas1'!M94</f>
        <v>1026</v>
      </c>
      <c r="N154" s="1335">
        <f>'1.6.2 Gas1'!N94</f>
        <v>0</v>
      </c>
      <c r="O154" s="1335">
        <f>'1.6.2 Gas1'!O94</f>
        <v>90090</v>
      </c>
      <c r="P154" s="1335">
        <f>'1.6.2 Gas1'!P94</f>
        <v>1026</v>
      </c>
      <c r="Q154" s="1335">
        <f>'1.6.2 Gas1'!Q94</f>
        <v>91468</v>
      </c>
      <c r="R154" s="111"/>
      <c r="S154" s="112"/>
      <c r="T154" s="111"/>
      <c r="U154" s="111"/>
      <c r="V154" s="112"/>
      <c r="W154" s="111"/>
      <c r="X154" s="111"/>
      <c r="Y154" s="112"/>
      <c r="Z154" s="111"/>
      <c r="AA154" s="112"/>
      <c r="AB154" s="1317"/>
      <c r="AC154" s="1317"/>
      <c r="AD154" s="117"/>
      <c r="AF154" s="118"/>
      <c r="AN154" s="124">
        <v>1964</v>
      </c>
      <c r="AO154" s="135"/>
      <c r="AP154" s="111"/>
      <c r="AQ154" s="135"/>
      <c r="AR154" s="111"/>
      <c r="AS154" s="111"/>
      <c r="AT154" s="112"/>
      <c r="AU154" s="111"/>
      <c r="AV154" s="1261"/>
      <c r="AW154" s="135">
        <f>20220*300/1000*29.307</f>
        <v>177776.26199999999</v>
      </c>
      <c r="AX154" s="111">
        <f>1316*270/1000*29.307</f>
        <v>10413.363239999999</v>
      </c>
      <c r="AY154" s="111">
        <f>614*220/1000*29.307</f>
        <v>3958.7895600000002</v>
      </c>
      <c r="AZ154" s="111">
        <f>1756*460/1000*29.307</f>
        <v>23673.02232</v>
      </c>
      <c r="BA154" s="135" t="s">
        <v>100</v>
      </c>
      <c r="BB154" s="111" t="s">
        <v>100</v>
      </c>
    </row>
    <row r="155" spans="1:54" x14ac:dyDescent="0.45">
      <c r="A155" s="10">
        <v>1965</v>
      </c>
      <c r="B155" s="1280"/>
      <c r="C155" s="1335">
        <f>'1.6.2 Gas1'!C95</f>
        <v>234.45599999999999</v>
      </c>
      <c r="D155" s="1335">
        <f>'1.6.2 Gas1'!D95</f>
        <v>0</v>
      </c>
      <c r="E155" s="1335">
        <f>'1.6.2 Gas1'!E95</f>
        <v>54775</v>
      </c>
      <c r="F155" s="1335" t="str">
        <f>'1.6.2 Gas1'!F95</f>
        <v>-</v>
      </c>
      <c r="G155" s="1335">
        <f>'1.6.2 Gas1'!G95</f>
        <v>26933</v>
      </c>
      <c r="H155" s="1335" t="str">
        <f>'1.6.2 Gas1'!H95</f>
        <v>-</v>
      </c>
      <c r="I155" s="1335" t="str">
        <f>'1.6.2 Gas1'!I95</f>
        <v>-</v>
      </c>
      <c r="J155" s="1335" t="str">
        <f>'1.6.2 Gas1'!J95</f>
        <v>-</v>
      </c>
      <c r="K155" s="1335" t="str">
        <f>'1.6.2 Gas1'!K95</f>
        <v>-</v>
      </c>
      <c r="L155" s="1335">
        <f>'1.6.2 Gas1'!L95</f>
        <v>16705.544000000002</v>
      </c>
      <c r="M155" s="1335">
        <f>'1.6.2 Gas1'!M95</f>
        <v>1143</v>
      </c>
      <c r="N155" s="1335">
        <f>'1.6.2 Gas1'!N95</f>
        <v>0</v>
      </c>
      <c r="O155" s="1335">
        <f>'1.6.2 Gas1'!O95</f>
        <v>98648</v>
      </c>
      <c r="P155" s="1335">
        <f>'1.6.2 Gas1'!P95</f>
        <v>1143</v>
      </c>
      <c r="Q155" s="1335">
        <f>'1.6.2 Gas1'!Q95</f>
        <v>99791</v>
      </c>
      <c r="R155" s="111"/>
      <c r="S155" s="112"/>
      <c r="T155" s="111"/>
      <c r="U155" s="111"/>
      <c r="V155" s="112"/>
      <c r="W155" s="111"/>
      <c r="X155" s="111"/>
      <c r="Y155" s="112"/>
      <c r="Z155" s="111"/>
      <c r="AA155" s="112"/>
      <c r="AB155" s="1317"/>
      <c r="AC155" s="1317"/>
      <c r="AD155" s="117"/>
      <c r="AF155" s="118"/>
      <c r="AN155" s="124">
        <v>1965</v>
      </c>
      <c r="AO155" s="135">
        <f>18.2*300*29.307</f>
        <v>160016.22</v>
      </c>
      <c r="AP155" s="111">
        <f>29.307*287</f>
        <v>8411.1090000000004</v>
      </c>
      <c r="AQ155" s="135">
        <f>2.5*460*29.307</f>
        <v>33703.049999999996</v>
      </c>
      <c r="AR155" s="111">
        <f>29.307*707</f>
        <v>20720.048999999999</v>
      </c>
      <c r="AS155" s="111">
        <f>29.307*443</f>
        <v>12983.001</v>
      </c>
      <c r="AT155" s="112">
        <f>29.307*8021</f>
        <v>235071.44699999999</v>
      </c>
      <c r="AU155" s="111" t="s">
        <v>100</v>
      </c>
      <c r="AV155" s="1261">
        <f>29.307*8021</f>
        <v>235071.44699999999</v>
      </c>
      <c r="AW155" s="135">
        <f>17961*300/1000*29.307</f>
        <v>157914.9081</v>
      </c>
      <c r="AX155" s="111">
        <f>1218*270/1000*29.307</f>
        <v>9637.9000199999991</v>
      </c>
      <c r="AY155" s="111">
        <f>597*220/1000*29.307</f>
        <v>3849.18138</v>
      </c>
      <c r="AZ155" s="111">
        <f>2480*460/1000*29.307</f>
        <v>33433.425599999995</v>
      </c>
      <c r="BA155" s="135" t="s">
        <v>100</v>
      </c>
      <c r="BB155" s="111" t="s">
        <v>100</v>
      </c>
    </row>
    <row r="156" spans="1:54" x14ac:dyDescent="0.45">
      <c r="A156" s="10">
        <v>1966</v>
      </c>
      <c r="B156" s="1280"/>
      <c r="C156" s="1335">
        <f>'1.6.2 Gas1'!C96</f>
        <v>205.149</v>
      </c>
      <c r="D156" s="1335">
        <f>'1.6.2 Gas1'!D96</f>
        <v>0</v>
      </c>
      <c r="E156" s="1335">
        <f>'1.6.2 Gas1'!E96</f>
        <v>63802</v>
      </c>
      <c r="F156" s="1335" t="str">
        <f>'1.6.2 Gas1'!F96</f>
        <v>-</v>
      </c>
      <c r="G156" s="1335">
        <f>'1.6.2 Gas1'!G96</f>
        <v>27314</v>
      </c>
      <c r="H156" s="1335" t="str">
        <f>'1.6.2 Gas1'!H96</f>
        <v>-</v>
      </c>
      <c r="I156" s="1335" t="str">
        <f>'1.6.2 Gas1'!I96</f>
        <v>-</v>
      </c>
      <c r="J156" s="1335" t="str">
        <f>'1.6.2 Gas1'!J96</f>
        <v>-</v>
      </c>
      <c r="K156" s="1335" t="str">
        <f>'1.6.2 Gas1'!K96</f>
        <v>-</v>
      </c>
      <c r="L156" s="1335">
        <f>'1.6.2 Gas1'!L96</f>
        <v>17583.850999999999</v>
      </c>
      <c r="M156" s="1335">
        <f>'1.6.2 Gas1'!M96</f>
        <v>1202</v>
      </c>
      <c r="N156" s="1335">
        <f>'1.6.2 Gas1'!N96</f>
        <v>0</v>
      </c>
      <c r="O156" s="1335">
        <f>'1.6.2 Gas1'!O96</f>
        <v>108905</v>
      </c>
      <c r="P156" s="1335">
        <f>'1.6.2 Gas1'!P96</f>
        <v>1202</v>
      </c>
      <c r="Q156" s="1335">
        <f>'1.6.2 Gas1'!Q96</f>
        <v>110107</v>
      </c>
      <c r="R156" s="111"/>
      <c r="S156" s="112"/>
      <c r="T156" s="111"/>
      <c r="U156" s="111"/>
      <c r="V156" s="112"/>
      <c r="W156" s="111"/>
      <c r="X156" s="111"/>
      <c r="Y156" s="112"/>
      <c r="Z156" s="111"/>
      <c r="AA156" s="112"/>
      <c r="AB156" s="1317"/>
      <c r="AC156" s="1317"/>
      <c r="AD156" s="117"/>
      <c r="AN156" s="124">
        <v>1966</v>
      </c>
      <c r="AO156" s="135">
        <f>16.9*300*29.307</f>
        <v>148586.49</v>
      </c>
      <c r="AP156" s="111">
        <f>29.307*277</f>
        <v>8118.0389999999998</v>
      </c>
      <c r="AQ156" s="135">
        <f>3.3*460*29.307</f>
        <v>44488.025999999998</v>
      </c>
      <c r="AR156" s="111">
        <f>29.307*799</f>
        <v>23416.292999999998</v>
      </c>
      <c r="AS156" s="111">
        <f>29.307*418</f>
        <v>12250.325999999999</v>
      </c>
      <c r="AT156" s="112">
        <f>29.307*8043</f>
        <v>235716.201</v>
      </c>
      <c r="AU156" s="111" t="s">
        <v>100</v>
      </c>
      <c r="AV156" s="1261">
        <f>29.307*8043</f>
        <v>235716.201</v>
      </c>
      <c r="AW156" s="135">
        <f>16612*300/1000*29.307</f>
        <v>146054.3652</v>
      </c>
      <c r="AX156" s="111">
        <f>1005*270/1000*29.307</f>
        <v>7952.4544500000002</v>
      </c>
      <c r="AY156" s="111">
        <f>544*220/1000*29.307</f>
        <v>3507.4617600000001</v>
      </c>
      <c r="AZ156" s="111">
        <f>3325*460/1000*29.307</f>
        <v>44825.056499999999</v>
      </c>
      <c r="BA156" s="135" t="s">
        <v>100</v>
      </c>
      <c r="BB156" s="111" t="s">
        <v>100</v>
      </c>
    </row>
    <row r="157" spans="1:54" x14ac:dyDescent="0.45">
      <c r="A157" s="10">
        <v>1967</v>
      </c>
      <c r="B157" s="1280"/>
      <c r="C157" s="1335">
        <f>'1.6.2 Gas1'!C97</f>
        <v>146.535</v>
      </c>
      <c r="D157" s="1335">
        <f>'1.6.2 Gas1'!D97</f>
        <v>0</v>
      </c>
      <c r="E157" s="1335">
        <f>'1.6.2 Gas1'!E97</f>
        <v>72447</v>
      </c>
      <c r="F157" s="1335">
        <f>'1.6.2 Gas1'!F97</f>
        <v>29</v>
      </c>
      <c r="G157" s="1335">
        <f>'1.6.2 Gas1'!G97</f>
        <v>26435</v>
      </c>
      <c r="H157" s="1335" t="str">
        <f>'1.6.2 Gas1'!H97</f>
        <v>-</v>
      </c>
      <c r="I157" s="1335" t="str">
        <f>'1.6.2 Gas1'!I97</f>
        <v>-</v>
      </c>
      <c r="J157" s="1335" t="str">
        <f>'1.6.2 Gas1'!J97</f>
        <v>-</v>
      </c>
      <c r="K157" s="1335" t="str">
        <f>'1.6.2 Gas1'!K97</f>
        <v>-</v>
      </c>
      <c r="L157" s="1335">
        <f>'1.6.2 Gas1'!L97</f>
        <v>18287.465</v>
      </c>
      <c r="M157" s="1335">
        <f>'1.6.2 Gas1'!M97</f>
        <v>1290</v>
      </c>
      <c r="N157" s="1335">
        <f>'1.6.2 Gas1'!N97</f>
        <v>0</v>
      </c>
      <c r="O157" s="1335">
        <f>'1.6.2 Gas1'!O97</f>
        <v>117316</v>
      </c>
      <c r="P157" s="1335">
        <f>'1.6.2 Gas1'!P97</f>
        <v>1319</v>
      </c>
      <c r="Q157" s="1335">
        <f>'1.6.2 Gas1'!Q97</f>
        <v>118635</v>
      </c>
      <c r="R157" s="111"/>
      <c r="S157" s="112"/>
      <c r="T157" s="111"/>
      <c r="U157" s="111"/>
      <c r="V157" s="112"/>
      <c r="W157" s="111"/>
      <c r="X157" s="111"/>
      <c r="Y157" s="112"/>
      <c r="Z157" s="111"/>
      <c r="AA157" s="112"/>
      <c r="AB157" s="1317"/>
      <c r="AC157" s="1317"/>
      <c r="AD157" s="117"/>
      <c r="AN157" s="124">
        <v>1967</v>
      </c>
      <c r="AO157" s="135">
        <f>14.6*300*29.307</f>
        <v>128364.65999999999</v>
      </c>
      <c r="AP157" s="111">
        <f>29.307*490</f>
        <v>14360.429999999998</v>
      </c>
      <c r="AQ157" s="135">
        <f>4.3*460*29.307</f>
        <v>57969.245999999999</v>
      </c>
      <c r="AR157" s="111">
        <f>29.307*800</f>
        <v>23445.599999999999</v>
      </c>
      <c r="AS157" s="111">
        <f>29.307*397</f>
        <v>11634.878999999999</v>
      </c>
      <c r="AT157" s="112">
        <f>29.307*8020</f>
        <v>235042.13999999998</v>
      </c>
      <c r="AU157" s="111" t="s">
        <v>100</v>
      </c>
      <c r="AV157" s="1261">
        <f>29.307*8020</f>
        <v>235042.13999999998</v>
      </c>
      <c r="AW157" s="135">
        <f>14292*300/1000*29.307</f>
        <v>125656.69320000001</v>
      </c>
      <c r="AX157" s="111">
        <f>587*270/1000*29.307</f>
        <v>4644.86643</v>
      </c>
      <c r="AY157" s="111">
        <f>458*220/1000*29.307</f>
        <v>2952.9733200000001</v>
      </c>
      <c r="AZ157" s="111">
        <f>4314*460/1000*29.307</f>
        <v>58157.983079999998</v>
      </c>
      <c r="BA157" s="135" t="s">
        <v>100</v>
      </c>
      <c r="BB157" s="111" t="s">
        <v>100</v>
      </c>
    </row>
    <row r="158" spans="1:54" x14ac:dyDescent="0.45">
      <c r="A158" s="10">
        <v>1968</v>
      </c>
      <c r="B158" s="1280"/>
      <c r="C158" s="1335">
        <f>'1.6.2 Gas1'!C98</f>
        <v>117.22799999999999</v>
      </c>
      <c r="D158" s="1335">
        <f>'1.6.2 Gas1'!D98</f>
        <v>0</v>
      </c>
      <c r="E158" s="1335">
        <f>'1.6.2 Gas1'!E98</f>
        <v>82089</v>
      </c>
      <c r="F158" s="1335">
        <f>'1.6.2 Gas1'!F98</f>
        <v>821</v>
      </c>
      <c r="G158" s="1335">
        <f>'1.6.2 Gas1'!G98</f>
        <v>26376</v>
      </c>
      <c r="H158" s="1335">
        <f>'1.6.2 Gas1'!H98</f>
        <v>1495</v>
      </c>
      <c r="I158" s="1335" t="str">
        <f>'1.6.2 Gas1'!I98</f>
        <v>-</v>
      </c>
      <c r="J158" s="1335" t="str">
        <f>'1.6.2 Gas1'!J98</f>
        <v>-</v>
      </c>
      <c r="K158" s="1335" t="str">
        <f>'1.6.2 Gas1'!K98</f>
        <v>-</v>
      </c>
      <c r="L158" s="1335">
        <f>'1.6.2 Gas1'!L98</f>
        <v>19752.772000000001</v>
      </c>
      <c r="M158" s="1335">
        <f>'1.6.2 Gas1'!M98</f>
        <v>1671</v>
      </c>
      <c r="N158" s="1335">
        <f>'1.6.2 Gas1'!N98</f>
        <v>0</v>
      </c>
      <c r="O158" s="1335">
        <f>'1.6.2 Gas1'!O98</f>
        <v>128336</v>
      </c>
      <c r="P158" s="1335">
        <f>'1.6.2 Gas1'!P98</f>
        <v>3986</v>
      </c>
      <c r="Q158" s="1335">
        <f>'1.6.2 Gas1'!Q98</f>
        <v>132322</v>
      </c>
      <c r="R158" s="111"/>
      <c r="S158" s="112"/>
      <c r="T158" s="111"/>
      <c r="U158" s="111"/>
      <c r="V158" s="112"/>
      <c r="W158" s="111"/>
      <c r="X158" s="111"/>
      <c r="Y158" s="112"/>
      <c r="Z158" s="111"/>
      <c r="AA158" s="112"/>
      <c r="AB158" s="1317"/>
      <c r="AC158" s="1317"/>
      <c r="AD158" s="117"/>
      <c r="AN158" s="124">
        <v>1968</v>
      </c>
      <c r="AO158" s="135">
        <f>10.9*300*29.307/1.016</f>
        <v>94324.694881889765</v>
      </c>
      <c r="AP158" s="111">
        <f>29.307*1019</f>
        <v>29863.832999999999</v>
      </c>
      <c r="AQ158" s="135">
        <f>5.5*460*29.307/1.016</f>
        <v>72979.045275590543</v>
      </c>
      <c r="AR158" s="111">
        <f>29.307*657</f>
        <v>19254.699000000001</v>
      </c>
      <c r="AS158" s="111">
        <f>29.307*368</f>
        <v>10784.975999999999</v>
      </c>
      <c r="AT158" s="112">
        <f>29.307*7728</f>
        <v>226484.49599999998</v>
      </c>
      <c r="AU158" s="111">
        <f>29.307*91</f>
        <v>2666.9369999999999</v>
      </c>
      <c r="AV158" s="1261">
        <f>29.307*7819</f>
        <v>229151.43299999999</v>
      </c>
      <c r="AW158" s="135">
        <f>10744*300/1000*29.307/1.016</f>
        <v>92974.726771653528</v>
      </c>
      <c r="AX158" s="111">
        <f>330*270/1000*29.307/1.016</f>
        <v>2570.1315944881885</v>
      </c>
      <c r="AY158" s="135">
        <f>382*220/1000*29.307/1.016</f>
        <v>2424.1735039370083</v>
      </c>
      <c r="AZ158" s="111">
        <f>5506*460/1000*29.307/1.016</f>
        <v>73058.658779527555</v>
      </c>
      <c r="BA158" s="135" t="s">
        <v>100</v>
      </c>
      <c r="BB158" s="111" t="s">
        <v>100</v>
      </c>
    </row>
    <row r="159" spans="1:54" x14ac:dyDescent="0.45">
      <c r="A159" s="10">
        <v>1969</v>
      </c>
      <c r="B159" s="1280"/>
      <c r="C159" s="1335">
        <f>'1.6.2 Gas1'!C99</f>
        <v>87.920999999999992</v>
      </c>
      <c r="D159" s="1335">
        <f>'1.6.2 Gas1'!D99</f>
        <v>0</v>
      </c>
      <c r="E159" s="1335">
        <f>'1.6.2 Gas1'!E99</f>
        <v>88683</v>
      </c>
      <c r="F159" s="1335">
        <f>'1.6.2 Gas1'!F99</f>
        <v>5422</v>
      </c>
      <c r="G159" s="1335">
        <f>'1.6.2 Gas1'!G99</f>
        <v>24911</v>
      </c>
      <c r="H159" s="1335">
        <f>'1.6.2 Gas1'!H99</f>
        <v>5773</v>
      </c>
      <c r="I159" s="1335">
        <f>'1.6.2 Gas1'!I99</f>
        <v>1279</v>
      </c>
      <c r="J159" s="1335" t="str">
        <f>'1.6.2 Gas1'!J99</f>
        <v>-</v>
      </c>
      <c r="K159" s="1335" t="str">
        <f>'1.6.2 Gas1'!K99</f>
        <v>-</v>
      </c>
      <c r="L159" s="1335">
        <f>'1.6.2 Gas1'!L99</f>
        <v>20134.079000000002</v>
      </c>
      <c r="M159" s="1335">
        <f>'1.6.2 Gas1'!M99</f>
        <v>2619</v>
      </c>
      <c r="N159" s="1335">
        <f>'1.6.2 Gas1'!N99</f>
        <v>0</v>
      </c>
      <c r="O159" s="1335">
        <f>'1.6.2 Gas1'!O99</f>
        <v>133816</v>
      </c>
      <c r="P159" s="1335">
        <f>'1.6.2 Gas1'!P99</f>
        <v>15093</v>
      </c>
      <c r="Q159" s="1335">
        <f>'1.6.2 Gas1'!Q99</f>
        <v>148909</v>
      </c>
      <c r="R159" s="111"/>
      <c r="S159" s="112"/>
      <c r="T159" s="111"/>
      <c r="U159" s="111"/>
      <c r="V159" s="112"/>
      <c r="W159" s="111"/>
      <c r="X159" s="111"/>
      <c r="Y159" s="112"/>
      <c r="Z159" s="111"/>
      <c r="AA159" s="112"/>
      <c r="AB159" s="1317"/>
      <c r="AC159" s="1317"/>
      <c r="AD159" s="117"/>
      <c r="AN159" s="124">
        <v>1969</v>
      </c>
      <c r="AO159" s="135">
        <f>6.951*300*29.307/1.016</f>
        <v>60151.463681102352</v>
      </c>
      <c r="AP159" s="111">
        <f>29.307*1686</f>
        <v>49411.601999999999</v>
      </c>
      <c r="AQ159" s="135">
        <f>5.6*460*29.307/1.016</f>
        <v>74305.937007874003</v>
      </c>
      <c r="AR159" s="111">
        <f>29.307*595</f>
        <v>17437.665000000001</v>
      </c>
      <c r="AS159" s="111">
        <f>29.307*340</f>
        <v>9964.3799999999992</v>
      </c>
      <c r="AT159" s="112">
        <f>29.307*7207</f>
        <v>211215.549</v>
      </c>
      <c r="AU159" s="111">
        <f>29.307*464</f>
        <v>13598.447999999999</v>
      </c>
      <c r="AV159" s="1261">
        <f>29.307*7671</f>
        <v>224813.997</v>
      </c>
      <c r="AW159" s="135">
        <f>6951*300/1000*29.307/1.016</f>
        <v>60151.463681102359</v>
      </c>
      <c r="AX159" s="111">
        <f>138*270/1000*29.307/1.016</f>
        <v>1074.7823031496062</v>
      </c>
      <c r="AY159" s="135">
        <f>237*220/1000*29.307/1.016</f>
        <v>1504.0029330708662</v>
      </c>
      <c r="AZ159" s="111">
        <f>5562*460/1000*29.307/1.016</f>
        <v>73801.718149606299</v>
      </c>
      <c r="BA159" s="135" t="s">
        <v>100</v>
      </c>
      <c r="BB159" s="111" t="s">
        <v>100</v>
      </c>
    </row>
    <row r="160" spans="1:54" x14ac:dyDescent="0.45">
      <c r="A160" s="10">
        <v>1970</v>
      </c>
      <c r="B160" s="1280"/>
      <c r="C160" s="1335">
        <f>'1.6.2 Gas1'!C100</f>
        <v>87.920999999999992</v>
      </c>
      <c r="D160" s="1335">
        <f>'1.6.2 Gas1'!D100</f>
        <v>0</v>
      </c>
      <c r="E160" s="1335">
        <f>'1.6.2 Gas1'!E100</f>
        <v>85430</v>
      </c>
      <c r="F160" s="1335">
        <f>'1.6.2 Gas1'!F100</f>
        <v>18376</v>
      </c>
      <c r="G160" s="1335">
        <f>'1.6.2 Gas1'!G100</f>
        <v>20691</v>
      </c>
      <c r="H160" s="1335">
        <f>'1.6.2 Gas1'!H100</f>
        <v>20808</v>
      </c>
      <c r="I160" s="1335">
        <f>'1.6.2 Gas1'!I100</f>
        <v>1858</v>
      </c>
      <c r="J160" s="1335" t="str">
        <f>'1.6.2 Gas1'!J100</f>
        <v>-</v>
      </c>
      <c r="K160" s="1335">
        <f>'1.6.2 Gas1'!K100</f>
        <v>1160</v>
      </c>
      <c r="L160" s="1335">
        <f>'1.6.2 Gas1'!L100</f>
        <v>19812</v>
      </c>
      <c r="M160" s="1335">
        <f>'1.6.2 Gas1'!M100</f>
        <v>3428</v>
      </c>
      <c r="N160" s="1335">
        <f>'1.6.2 Gas1'!N100</f>
        <v>0</v>
      </c>
      <c r="O160" s="1335">
        <f>'1.6.2 Gas1'!O100</f>
        <v>125933</v>
      </c>
      <c r="P160" s="1335">
        <f>'1.6.2 Gas1'!P100</f>
        <v>45631</v>
      </c>
      <c r="Q160" s="1335">
        <f>'1.6.2 Gas1'!Q100</f>
        <v>171564</v>
      </c>
      <c r="R160" s="111"/>
      <c r="S160" s="112"/>
      <c r="T160" s="111"/>
      <c r="U160" s="111"/>
      <c r="V160" s="112"/>
      <c r="W160" s="111"/>
      <c r="X160" s="111"/>
      <c r="Y160" s="112"/>
      <c r="Z160" s="111"/>
      <c r="AA160" s="112"/>
      <c r="AB160" s="1317"/>
      <c r="AC160" s="1317"/>
      <c r="AD160" s="117"/>
      <c r="AN160" s="124">
        <v>1970</v>
      </c>
      <c r="AO160" s="135">
        <f>4.256*300*29.307/1.016</f>
        <v>36829.89921259843</v>
      </c>
      <c r="AP160" s="111">
        <f>29.307*2089</f>
        <v>61222.322999999997</v>
      </c>
      <c r="AQ160" s="135">
        <f>3.6*460*29.307/1.016</f>
        <v>47768.102362204721</v>
      </c>
      <c r="AR160" s="111">
        <f>29.307*433</f>
        <v>12689.930999999999</v>
      </c>
      <c r="AS160" s="111">
        <f>29.307*296</f>
        <v>8674.8719999999994</v>
      </c>
      <c r="AT160" s="112">
        <f>29.307*5724</f>
        <v>167753.26799999998</v>
      </c>
      <c r="AU160" s="111">
        <f>29.307*1514</f>
        <v>44370.797999999995</v>
      </c>
      <c r="AV160" s="1261">
        <f>29.307*7238</f>
        <v>212124.06599999999</v>
      </c>
      <c r="AW160" s="135">
        <f>4256*300/1000*29.307/1.016</f>
        <v>36829.899212598422</v>
      </c>
      <c r="AX160" s="111">
        <f>40*270/1000*29.307/1.016</f>
        <v>311.53110236220471</v>
      </c>
      <c r="AY160" s="135">
        <f>111*220/1000*29.307/1.016</f>
        <v>704.40643700787405</v>
      </c>
      <c r="AZ160" s="111">
        <f>3586*460/1000*29.307/1.016</f>
        <v>47582.337519685032</v>
      </c>
      <c r="BA160" s="135" t="s">
        <v>100</v>
      </c>
      <c r="BB160" s="111" t="s">
        <v>100</v>
      </c>
    </row>
    <row r="161" spans="1:54" x14ac:dyDescent="0.45">
      <c r="A161" s="10">
        <v>1971</v>
      </c>
      <c r="B161" s="1280"/>
      <c r="C161" s="1335">
        <f>'1.6.2 Gas1'!C101</f>
        <v>58.613999999999997</v>
      </c>
      <c r="D161" s="1335">
        <f>'1.6.2 Gas1'!D101</f>
        <v>0</v>
      </c>
      <c r="E161" s="1335">
        <f>'1.6.2 Gas1'!E101</f>
        <v>73502</v>
      </c>
      <c r="F161" s="1335">
        <f>'1.6.2 Gas1'!F101</f>
        <v>41675</v>
      </c>
      <c r="G161" s="1335">
        <f>'1.6.2 Gas1'!G101</f>
        <v>12075</v>
      </c>
      <c r="H161" s="1335">
        <f>'1.6.2 Gas1'!H101</f>
        <v>60431</v>
      </c>
      <c r="I161" s="1335">
        <f>'1.6.2 Gas1'!I101</f>
        <v>7808</v>
      </c>
      <c r="J161" s="1335" t="str">
        <f>'1.6.2 Gas1'!J101</f>
        <v>-</v>
      </c>
      <c r="K161" s="1335">
        <f>'1.6.2 Gas1'!K101</f>
        <v>926</v>
      </c>
      <c r="L161" s="1335">
        <f>'1.6.2 Gas1'!L101</f>
        <v>18669</v>
      </c>
      <c r="M161" s="1335">
        <f>'1.6.2 Gas1'!M101</f>
        <v>7531</v>
      </c>
      <c r="N161" s="1335">
        <f>'1.6.2 Gas1'!N101</f>
        <v>0</v>
      </c>
      <c r="O161" s="1335">
        <f>'1.6.2 Gas1'!O101</f>
        <v>104245</v>
      </c>
      <c r="P161" s="1335">
        <f>'1.6.2 Gas1'!P101</f>
        <v>118371</v>
      </c>
      <c r="Q161" s="1335">
        <f>'1.6.2 Gas1'!Q101</f>
        <v>222616</v>
      </c>
      <c r="R161" s="111"/>
      <c r="S161" s="112"/>
      <c r="T161" s="111"/>
      <c r="U161" s="111"/>
      <c r="V161" s="112"/>
      <c r="W161" s="111"/>
      <c r="X161" s="111"/>
      <c r="Y161" s="112"/>
      <c r="Z161" s="111"/>
      <c r="AA161" s="112"/>
      <c r="AB161" s="1317"/>
      <c r="AC161" s="1317"/>
      <c r="AD161" s="117"/>
      <c r="AK161" s="118"/>
      <c r="AN161" s="124">
        <v>1971</v>
      </c>
      <c r="AO161" s="135">
        <f>1.798*300*29.307/1.016</f>
        <v>15559.247834645666</v>
      </c>
      <c r="AP161" s="111">
        <f>29.307*3041</f>
        <v>89122.587</v>
      </c>
      <c r="AQ161" s="135">
        <f>1.9*460*29.307/1.016</f>
        <v>25210.942913385825</v>
      </c>
      <c r="AR161" s="111">
        <f>29.307*326</f>
        <v>9554.0820000000003</v>
      </c>
      <c r="AS161" s="111">
        <f>29.307*222</f>
        <v>6506.1539999999995</v>
      </c>
      <c r="AT161" s="112">
        <f>29.307*5003</f>
        <v>146622.921</v>
      </c>
      <c r="AU161" s="111">
        <f>29.307*3994</f>
        <v>117052.158</v>
      </c>
      <c r="AV161" s="1261">
        <f>29.307*8997</f>
        <v>263675.07899999997</v>
      </c>
      <c r="AW161" s="135">
        <f>1798*300/1000*29.307/1.016</f>
        <v>15559.247834645666</v>
      </c>
      <c r="AX161" s="111">
        <f>9*270/1000*29.307/1.016</f>
        <v>70.094498031496059</v>
      </c>
      <c r="AY161" s="135">
        <f>33*220/1000*29.307/1.016</f>
        <v>209.4181299212598</v>
      </c>
      <c r="AZ161" s="111">
        <f>1846*460/1000*29.307/1.016</f>
        <v>24494.421377952756</v>
      </c>
      <c r="BA161" s="135" t="s">
        <v>100</v>
      </c>
      <c r="BB161" s="111" t="s">
        <v>100</v>
      </c>
    </row>
    <row r="162" spans="1:54" x14ac:dyDescent="0.45">
      <c r="A162" s="10">
        <v>1972</v>
      </c>
      <c r="B162" s="1280"/>
      <c r="C162" s="1335">
        <f>'1.6.2 Gas1'!C102</f>
        <v>0</v>
      </c>
      <c r="D162" s="1335">
        <f>'1.6.2 Gas1'!D102</f>
        <v>0</v>
      </c>
      <c r="E162" s="1335">
        <f>'1.6.2 Gas1'!E102</f>
        <v>64974</v>
      </c>
      <c r="F162" s="1335">
        <f>'1.6.2 Gas1'!F102</f>
        <v>67172</v>
      </c>
      <c r="G162" s="1335">
        <f>'1.6.2 Gas1'!G102</f>
        <v>13423</v>
      </c>
      <c r="H162" s="1335">
        <f>'1.6.2 Gas1'!H102</f>
        <v>94662</v>
      </c>
      <c r="I162" s="1335">
        <f>'1.6.2 Gas1'!I102</f>
        <v>18563</v>
      </c>
      <c r="J162" s="1335" t="str">
        <f>'1.6.2 Gas1'!J102</f>
        <v>-</v>
      </c>
      <c r="K162" s="1335">
        <f>'1.6.2 Gas1'!K102</f>
        <v>633</v>
      </c>
      <c r="L162" s="1335">
        <f>'1.6.2 Gas1'!L102</f>
        <v>17438</v>
      </c>
      <c r="M162" s="1335">
        <f>'1.6.2 Gas1'!M102</f>
        <v>13423</v>
      </c>
      <c r="N162" s="1335">
        <f>'1.6.2 Gas1'!N102</f>
        <v>0</v>
      </c>
      <c r="O162" s="1335">
        <f>'1.6.2 Gas1'!O102</f>
        <v>95834</v>
      </c>
      <c r="P162" s="1335">
        <f>'1.6.2 Gas1'!P102</f>
        <v>194453</v>
      </c>
      <c r="Q162" s="1335">
        <f>'1.6.2 Gas1'!Q102</f>
        <v>290287</v>
      </c>
      <c r="R162" s="111"/>
      <c r="S162" s="112"/>
      <c r="T162" s="111"/>
      <c r="U162" s="111"/>
      <c r="V162" s="112"/>
      <c r="W162" s="111"/>
      <c r="X162" s="111"/>
      <c r="Y162" s="112"/>
      <c r="Z162" s="111"/>
      <c r="AA162" s="112"/>
      <c r="AB162" s="1317"/>
      <c r="AC162" s="1317"/>
      <c r="AD162" s="117"/>
      <c r="AG162" s="118"/>
      <c r="AH162" s="118"/>
      <c r="AI162" s="118"/>
      <c r="AJ162" s="118"/>
      <c r="AN162" s="124">
        <v>1972</v>
      </c>
      <c r="AO162" s="135">
        <f>0.568*300*29.307/1.016</f>
        <v>4915.2685039370072</v>
      </c>
      <c r="AP162" s="111">
        <f>29.307*2711</f>
        <v>79451.277000000002</v>
      </c>
      <c r="AQ162" s="135">
        <f>1.6*460*29.307/1.016</f>
        <v>21230.267716535429</v>
      </c>
      <c r="AR162" s="111">
        <f>29.307*304</f>
        <v>8909.3279999999995</v>
      </c>
      <c r="AS162" s="111">
        <f>29.307*83</f>
        <v>2432.4809999999998</v>
      </c>
      <c r="AT162" s="112">
        <f>29.307*3981</f>
        <v>116671.167</v>
      </c>
      <c r="AU162" s="111">
        <f>29.307*7211</f>
        <v>211332.777</v>
      </c>
      <c r="AV162" s="1261">
        <f>29.307*11192</f>
        <v>328003.94399999996</v>
      </c>
      <c r="AW162" s="135">
        <f>568*300/1000*29.307/1.016</f>
        <v>4915.2685039370081</v>
      </c>
      <c r="AX162" s="111">
        <f>7*270/1000*29.307/1.016</f>
        <v>54.517942913385824</v>
      </c>
      <c r="AY162" s="135">
        <f>13*220/1000*29.307/1.016</f>
        <v>82.498051181102355</v>
      </c>
      <c r="AZ162" s="111">
        <f>1506*460/1000*29.307/1.016</f>
        <v>19982.989488188974</v>
      </c>
      <c r="BA162" s="135" t="s">
        <v>100</v>
      </c>
      <c r="BB162" s="111" t="s">
        <v>100</v>
      </c>
    </row>
    <row r="163" spans="1:54" x14ac:dyDescent="0.45">
      <c r="A163" s="10">
        <v>1973</v>
      </c>
      <c r="B163" s="1280"/>
      <c r="C163" s="1335">
        <f>'1.6.2 Gas1'!C103</f>
        <v>0</v>
      </c>
      <c r="D163" s="1335">
        <f>'1.6.2 Gas1'!D103</f>
        <v>0</v>
      </c>
      <c r="E163" s="1335">
        <f>'1.6.2 Gas1'!E103</f>
        <v>46598</v>
      </c>
      <c r="F163" s="1335">
        <f>'1.6.2 Gas1'!F103</f>
        <v>94515</v>
      </c>
      <c r="G163" s="1335">
        <f>'1.6.2 Gas1'!G103</f>
        <v>9173</v>
      </c>
      <c r="H163" s="1335">
        <f>'1.6.2 Gas1'!H103</f>
        <v>125552</v>
      </c>
      <c r="I163" s="1335">
        <f>'1.6.2 Gas1'!I103</f>
        <v>8453</v>
      </c>
      <c r="J163" s="1335" t="str">
        <f>'1.6.2 Gas1'!J103</f>
        <v>-</v>
      </c>
      <c r="K163" s="1335">
        <f>'1.6.2 Gas1'!K103</f>
        <v>2743</v>
      </c>
      <c r="L163" s="1335">
        <f>'1.6.2 Gas1'!L103</f>
        <v>12514</v>
      </c>
      <c r="M163" s="1335">
        <f>'1.6.2 Gas1'!M103</f>
        <v>20369</v>
      </c>
      <c r="N163" s="1335">
        <f>'1.6.2 Gas1'!N103</f>
        <v>0</v>
      </c>
      <c r="O163" s="1335">
        <f>'1.6.2 Gas1'!O103</f>
        <v>68286</v>
      </c>
      <c r="P163" s="1335">
        <f>'1.6.2 Gas1'!P103</f>
        <v>251631</v>
      </c>
      <c r="Q163" s="1335">
        <f>'1.6.2 Gas1'!Q103</f>
        <v>319917</v>
      </c>
      <c r="R163" s="111"/>
      <c r="S163" s="112"/>
      <c r="T163" s="111"/>
      <c r="U163" s="111"/>
      <c r="V163" s="112"/>
      <c r="W163" s="111"/>
      <c r="X163" s="111"/>
      <c r="Y163" s="112"/>
      <c r="Z163" s="111"/>
      <c r="AA163" s="112"/>
      <c r="AB163" s="1317"/>
      <c r="AC163" s="1317"/>
      <c r="AD163" s="117"/>
      <c r="AN163" s="124">
        <v>1973</v>
      </c>
      <c r="AO163" s="135">
        <f>0.512*300*29.307/1.016</f>
        <v>4430.6645669291338</v>
      </c>
      <c r="AP163" s="111">
        <f>29.307*1662</f>
        <v>48708.233999999997</v>
      </c>
      <c r="AQ163" s="135">
        <f>1.8*460*29.307/1.016</f>
        <v>23884.051181102361</v>
      </c>
      <c r="AR163" s="111">
        <f>29.307*267</f>
        <v>7824.9690000000001</v>
      </c>
      <c r="AS163" s="111">
        <f>29.307*54</f>
        <v>1582.578</v>
      </c>
      <c r="AT163" s="112">
        <f>29.307*2934</f>
        <v>85986.737999999998</v>
      </c>
      <c r="AU163" s="111">
        <f>29.307*9197</f>
        <v>269536.47899999999</v>
      </c>
      <c r="AV163" s="1261">
        <f>29.307*12131</f>
        <v>355523.217</v>
      </c>
      <c r="AW163" s="135">
        <f>512*300/1000*29.307/1.016</f>
        <v>4430.6645669291338</v>
      </c>
      <c r="AX163" s="111">
        <f>1*270/1000*29.307/1.016</f>
        <v>7.7882775590551176</v>
      </c>
      <c r="AY163" s="135">
        <f>4*220/1000*29.307/1.016</f>
        <v>25.384015748031494</v>
      </c>
      <c r="AZ163" s="111">
        <f>1692*460/1000*29.307/1.016</f>
        <v>22451.00811023622</v>
      </c>
      <c r="BA163" s="135" t="s">
        <v>100</v>
      </c>
      <c r="BB163" s="111" t="s">
        <v>100</v>
      </c>
    </row>
    <row r="164" spans="1:54" x14ac:dyDescent="0.45">
      <c r="A164" s="10">
        <v>1974</v>
      </c>
      <c r="B164" s="1280"/>
      <c r="C164" s="1335">
        <f>'1.6.2 Gas1'!C104</f>
        <v>0</v>
      </c>
      <c r="D164" s="1335">
        <f>'1.6.2 Gas1'!D104</f>
        <v>0</v>
      </c>
      <c r="E164" s="1335">
        <f>'1.6.2 Gas1'!E104</f>
        <v>30450</v>
      </c>
      <c r="F164" s="1335">
        <f>'1.6.2 Gas1'!F104</f>
        <v>127339</v>
      </c>
      <c r="G164" s="1335">
        <f>'1.6.2 Gas1'!G104</f>
        <v>5744</v>
      </c>
      <c r="H164" s="1335">
        <f>'1.6.2 Gas1'!H104</f>
        <v>143341</v>
      </c>
      <c r="I164" s="1335">
        <f>'1.6.2 Gas1'!I104</f>
        <v>28967</v>
      </c>
      <c r="J164" s="1335" t="str">
        <f>'1.6.2 Gas1'!J104</f>
        <v>-</v>
      </c>
      <c r="K164" s="1335">
        <f>'1.6.2 Gas1'!K104</f>
        <v>3094</v>
      </c>
      <c r="L164" s="1335">
        <f>'1.6.2 Gas1'!L104</f>
        <v>8646</v>
      </c>
      <c r="M164" s="1335">
        <f>'1.6.2 Gas1'!M104</f>
        <v>29806</v>
      </c>
      <c r="N164" s="1335">
        <f>'1.6.2 Gas1'!N104</f>
        <v>0</v>
      </c>
      <c r="O164" s="1335">
        <f>'1.6.2 Gas1'!O104</f>
        <v>44840</v>
      </c>
      <c r="P164" s="1335">
        <f>'1.6.2 Gas1'!P104</f>
        <v>332548</v>
      </c>
      <c r="Q164" s="1335">
        <f>'1.6.2 Gas1'!Q104</f>
        <v>377388</v>
      </c>
      <c r="R164" s="111"/>
      <c r="S164" s="112"/>
      <c r="T164" s="111"/>
      <c r="U164" s="111"/>
      <c r="V164" s="112"/>
      <c r="W164" s="111"/>
      <c r="X164" s="111"/>
      <c r="Y164" s="112"/>
      <c r="Z164" s="111"/>
      <c r="AA164" s="112"/>
      <c r="AB164" s="1317"/>
      <c r="AC164" s="1317"/>
      <c r="AD164" s="117"/>
      <c r="AN164" s="124">
        <v>1974</v>
      </c>
      <c r="AO164" s="135">
        <f>0.106*300*29.307/1.016</f>
        <v>917.2860236220472</v>
      </c>
      <c r="AP164" s="111">
        <f>29.307*1219</f>
        <v>35725.233</v>
      </c>
      <c r="AQ164" s="135">
        <f>1*460*29.307/1.016</f>
        <v>13268.917322834644</v>
      </c>
      <c r="AR164" s="111">
        <f>29.307*116</f>
        <v>3399.6119999999996</v>
      </c>
      <c r="AS164" s="111">
        <f>29.307*30</f>
        <v>879.20999999999992</v>
      </c>
      <c r="AT164" s="112">
        <f>29.307*1866</f>
        <v>54686.862000000001</v>
      </c>
      <c r="AU164" s="111">
        <f>29.307*11863</f>
        <v>347668.94099999999</v>
      </c>
      <c r="AV164" s="1261">
        <f>29.307*13729</f>
        <v>402355.80299999996</v>
      </c>
      <c r="AW164" s="135">
        <f>106*300/1000*29.307/1.016</f>
        <v>917.2860236220472</v>
      </c>
      <c r="AX164" s="111">
        <f>1*270*29.307/1000/1.016</f>
        <v>7.7882775590551168</v>
      </c>
      <c r="AY164" s="135" t="s">
        <v>100</v>
      </c>
      <c r="AZ164" s="111">
        <f>966*460/1000*29.307/1.016</f>
        <v>12817.774133858267</v>
      </c>
      <c r="BA164" s="135" t="s">
        <v>100</v>
      </c>
      <c r="BB164" s="111" t="s">
        <v>100</v>
      </c>
    </row>
    <row r="165" spans="1:54" x14ac:dyDescent="0.45">
      <c r="A165" s="10">
        <v>1975</v>
      </c>
      <c r="B165" s="1280"/>
      <c r="C165" s="1335">
        <f>'1.6.2 Gas1'!C105</f>
        <v>0</v>
      </c>
      <c r="D165" s="1335">
        <f>'1.6.2 Gas1'!D105</f>
        <v>0</v>
      </c>
      <c r="E165" s="1335">
        <f>'1.6.2 Gas1'!E105</f>
        <v>14507</v>
      </c>
      <c r="F165" s="1335">
        <f>'1.6.2 Gas1'!F105</f>
        <v>158141</v>
      </c>
      <c r="G165" s="1335">
        <f>'1.6.2 Gas1'!G105</f>
        <v>2579</v>
      </c>
      <c r="H165" s="1335">
        <f>'1.6.2 Gas1'!H105</f>
        <v>146067</v>
      </c>
      <c r="I165" s="1335">
        <f>'1.6.2 Gas1'!I105</f>
        <v>25245</v>
      </c>
      <c r="J165" s="1335" t="str">
        <f>'1.6.2 Gas1'!J105</f>
        <v>-</v>
      </c>
      <c r="K165" s="1335">
        <f>'1.6.2 Gas1'!K105</f>
        <v>3241</v>
      </c>
      <c r="L165" s="1335">
        <f>'1.6.2 Gas1'!L105</f>
        <v>3898</v>
      </c>
      <c r="M165" s="1335">
        <f>'1.6.2 Gas1'!M105</f>
        <v>37542</v>
      </c>
      <c r="N165" s="1335">
        <f>'1.6.2 Gas1'!N105</f>
        <v>0</v>
      </c>
      <c r="O165" s="1335">
        <f>'1.6.2 Gas1'!O105</f>
        <v>20984</v>
      </c>
      <c r="P165" s="1335">
        <f>'1.6.2 Gas1'!P105</f>
        <v>370237</v>
      </c>
      <c r="Q165" s="1335">
        <f>'1.6.2 Gas1'!Q105</f>
        <v>391250</v>
      </c>
      <c r="R165" s="111"/>
      <c r="S165" s="112"/>
      <c r="T165" s="111"/>
      <c r="U165" s="111"/>
      <c r="V165" s="112"/>
      <c r="W165" s="111"/>
      <c r="X165" s="111"/>
      <c r="Y165" s="112"/>
      <c r="Z165" s="111"/>
      <c r="AA165" s="112"/>
      <c r="AB165" s="1317"/>
      <c r="AC165" s="1317"/>
      <c r="AD165" s="117"/>
      <c r="AN165" s="124">
        <v>1975</v>
      </c>
      <c r="AO165" s="135">
        <f>0.01*300*29.307/1.016</f>
        <v>86.536417322834637</v>
      </c>
      <c r="AP165" s="111">
        <f>29.307*708</f>
        <v>20749.356</v>
      </c>
      <c r="AQ165" s="135">
        <f>0.5*453*29.307</f>
        <v>6638.0355</v>
      </c>
      <c r="AR165" s="111">
        <f>29.307*51</f>
        <v>1494.6569999999999</v>
      </c>
      <c r="AS165" s="111">
        <f>29.307*10</f>
        <v>293.07</v>
      </c>
      <c r="AT165" s="112">
        <f>29.307*991</f>
        <v>29043.236999999997</v>
      </c>
      <c r="AU165" s="111">
        <f>29.307*13080</f>
        <v>383335.56</v>
      </c>
      <c r="AV165" s="1261">
        <f>29.307*14071</f>
        <v>412378.79699999996</v>
      </c>
      <c r="AW165" s="135">
        <f>10*300/1000*29.307</f>
        <v>87.920999999999992</v>
      </c>
      <c r="AX165" s="111" t="s">
        <v>100</v>
      </c>
      <c r="AY165" s="135" t="s">
        <v>100</v>
      </c>
      <c r="AZ165" s="111">
        <f>415*453/1000*29.307</f>
        <v>5509.5694649999996</v>
      </c>
      <c r="BA165" s="135" t="s">
        <v>100</v>
      </c>
      <c r="BB165" s="111" t="s">
        <v>100</v>
      </c>
    </row>
    <row r="166" spans="1:54" x14ac:dyDescent="0.45">
      <c r="A166" s="10">
        <v>1976</v>
      </c>
      <c r="B166" s="1280"/>
      <c r="C166" s="1335">
        <f>'1.6.2 Gas1'!C106</f>
        <v>0</v>
      </c>
      <c r="D166" s="1335">
        <f>'1.6.2 Gas1'!D106</f>
        <v>0</v>
      </c>
      <c r="E166" s="1335">
        <f>'1.6.2 Gas1'!E106</f>
        <v>4250</v>
      </c>
      <c r="F166" s="1335">
        <f>'1.6.2 Gas1'!F106</f>
        <v>177279</v>
      </c>
      <c r="G166" s="1335">
        <f>'1.6.2 Gas1'!G106</f>
        <v>791</v>
      </c>
      <c r="H166" s="1335">
        <f>'1.6.2 Gas1'!H106</f>
        <v>165644</v>
      </c>
      <c r="I166" s="1335">
        <f>'1.6.2 Gas1'!I106</f>
        <v>19501</v>
      </c>
      <c r="J166" s="1335" t="str">
        <f>'1.6.2 Gas1'!J106</f>
        <v>-</v>
      </c>
      <c r="K166" s="1335">
        <f>'1.6.2 Gas1'!K106</f>
        <v>3563</v>
      </c>
      <c r="L166" s="1335">
        <f>'1.6.2 Gas1'!L106</f>
        <v>1231</v>
      </c>
      <c r="M166" s="1335">
        <f>'1.6.2 Gas1'!M106</f>
        <v>45132</v>
      </c>
      <c r="N166" s="1335">
        <f>'1.6.2 Gas1'!N106</f>
        <v>0</v>
      </c>
      <c r="O166" s="1335">
        <f>'1.6.2 Gas1'!O106</f>
        <v>6272</v>
      </c>
      <c r="P166" s="1335">
        <f>'1.6.2 Gas1'!P106</f>
        <v>411120</v>
      </c>
      <c r="Q166" s="1335">
        <f>'1.6.2 Gas1'!Q106</f>
        <v>417655</v>
      </c>
      <c r="R166" s="111"/>
      <c r="S166" s="112"/>
      <c r="T166" s="111"/>
      <c r="U166" s="111"/>
      <c r="V166" s="112"/>
      <c r="W166" s="111"/>
      <c r="X166" s="111"/>
      <c r="Y166" s="112"/>
      <c r="Z166" s="111"/>
      <c r="AA166" s="112"/>
      <c r="AB166" s="1317"/>
      <c r="AC166" s="1317"/>
      <c r="AD166" s="117"/>
      <c r="AN166" s="124">
        <v>1976</v>
      </c>
      <c r="AO166" s="135">
        <f>0.008*300*29.307/1.016</f>
        <v>69.229133858267716</v>
      </c>
      <c r="AP166" s="111">
        <f>29.307*181</f>
        <v>5304.567</v>
      </c>
      <c r="AQ166" s="135">
        <f>0.2*460*29.307/1.016</f>
        <v>2653.7834645669286</v>
      </c>
      <c r="AR166" s="111">
        <f>29.307*31</f>
        <v>908.51699999999994</v>
      </c>
      <c r="AS166" s="111">
        <f>29.307*9</f>
        <v>263.76299999999998</v>
      </c>
      <c r="AT166" s="112">
        <f>29.307*307</f>
        <v>8997.2489999999998</v>
      </c>
      <c r="AU166" s="111">
        <f>29.307*14264</f>
        <v>418035.04799999995</v>
      </c>
      <c r="AV166" s="1261">
        <f>29.307*14571</f>
        <v>427032.29699999996</v>
      </c>
      <c r="AW166" s="135">
        <f>8*300/1000*29.307</f>
        <v>70.336799999999997</v>
      </c>
      <c r="AX166" s="111" t="s">
        <v>100</v>
      </c>
      <c r="AY166" s="135" t="s">
        <v>100</v>
      </c>
      <c r="AZ166" s="111">
        <f>126*460/1000*29.307</f>
        <v>1698.63372</v>
      </c>
      <c r="BA166" s="135" t="s">
        <v>100</v>
      </c>
      <c r="BB166" s="111" t="s">
        <v>100</v>
      </c>
    </row>
    <row r="167" spans="1:54" x14ac:dyDescent="0.45">
      <c r="A167" s="10">
        <v>1977</v>
      </c>
      <c r="B167" s="1280"/>
      <c r="C167" s="1335">
        <f>'1.6.2 Gas1'!C107</f>
        <v>0</v>
      </c>
      <c r="D167" s="1335">
        <f>'1.6.2 Gas1'!D107</f>
        <v>0</v>
      </c>
      <c r="E167" s="1335">
        <f>'1.6.2 Gas1'!E107</f>
        <v>1290</v>
      </c>
      <c r="F167" s="1335">
        <f>'1.6.2 Gas1'!F107</f>
        <v>191844</v>
      </c>
      <c r="G167" s="1335">
        <f>'1.6.2 Gas1'!G107</f>
        <v>352</v>
      </c>
      <c r="H167" s="1335">
        <f>'1.6.2 Gas1'!H107</f>
        <v>173820</v>
      </c>
      <c r="I167" s="1335">
        <f>'1.6.2 Gas1'!I107</f>
        <v>15310</v>
      </c>
      <c r="J167" s="1335" t="str">
        <f>'1.6.2 Gas1'!J107</f>
        <v>-</v>
      </c>
      <c r="K167" s="1335">
        <f>'1.6.2 Gas1'!K107</f>
        <v>7637</v>
      </c>
      <c r="L167" s="1335">
        <f>'1.6.2 Gas1'!L107</f>
        <v>410</v>
      </c>
      <c r="M167" s="1335">
        <f>'1.6.2 Gas1'!M107</f>
        <v>46131</v>
      </c>
      <c r="N167" s="1335">
        <f>'1.6.2 Gas1'!N107</f>
        <v>0</v>
      </c>
      <c r="O167" s="1335">
        <f>'1.6.2 Gas1'!O107</f>
        <v>2051</v>
      </c>
      <c r="P167" s="1335">
        <f>'1.6.2 Gas1'!P107</f>
        <v>434742</v>
      </c>
      <c r="Q167" s="1335">
        <f>'1.6.2 Gas1'!Q107</f>
        <v>436793</v>
      </c>
      <c r="R167" s="111"/>
      <c r="S167" s="112"/>
      <c r="T167" s="111"/>
      <c r="U167" s="111"/>
      <c r="V167" s="112"/>
      <c r="W167" s="111"/>
      <c r="X167" s="111"/>
      <c r="Y167" s="112"/>
      <c r="Z167" s="111"/>
      <c r="AA167" s="112"/>
      <c r="AB167" s="1317"/>
      <c r="AC167" s="1317"/>
      <c r="AD167" s="117"/>
      <c r="AN167" s="124">
        <v>1977</v>
      </c>
      <c r="AO167" s="135">
        <f>0.007*300*29.307/1.016</f>
        <v>60.575492125984248</v>
      </c>
      <c r="AP167" s="111">
        <f>29.307*53</f>
        <v>1553.271</v>
      </c>
      <c r="AQ167" s="135">
        <f>0.1*460*29.307/1.016</f>
        <v>1326.8917322834643</v>
      </c>
      <c r="AR167" s="111">
        <f>29.307*37</f>
        <v>1084.3589999999999</v>
      </c>
      <c r="AS167" s="111" t="s">
        <v>100</v>
      </c>
      <c r="AT167" s="112">
        <f>29.307*137</f>
        <v>4015.0589999999997</v>
      </c>
      <c r="AU167" s="111">
        <f>29.307*15287</f>
        <v>448016.109</v>
      </c>
      <c r="AV167" s="1261">
        <f>29.307*15424</f>
        <v>452031.16800000001</v>
      </c>
      <c r="AW167" s="135">
        <f>7*300/1000*29.307</f>
        <v>61.544699999999999</v>
      </c>
      <c r="AX167" s="111" t="s">
        <v>100</v>
      </c>
      <c r="AY167" s="135" t="s">
        <v>100</v>
      </c>
      <c r="AZ167" s="111">
        <f>37*460/1000*29.307</f>
        <v>498.80513999999994</v>
      </c>
      <c r="BA167" s="135">
        <f>29.307*1</f>
        <v>29.306999999999999</v>
      </c>
      <c r="BB167" s="111">
        <f>29.307*14</f>
        <v>410.298</v>
      </c>
    </row>
    <row r="168" spans="1:54" x14ac:dyDescent="0.45">
      <c r="A168" s="10">
        <v>1978</v>
      </c>
      <c r="B168" s="1280"/>
      <c r="C168" s="1335">
        <f>'1.6.2 Gas1'!C108</f>
        <v>0</v>
      </c>
      <c r="D168" s="1335">
        <f>'1.6.2 Gas1'!D108</f>
        <v>0</v>
      </c>
      <c r="E168" s="1335">
        <f>'1.6.2 Gas1'!E108</f>
        <v>557</v>
      </c>
      <c r="F168" s="1335">
        <f>'1.6.2 Gas1'!F108</f>
        <v>212242</v>
      </c>
      <c r="G168" s="1335">
        <f>'1.6.2 Gas1'!G108</f>
        <v>176</v>
      </c>
      <c r="H168" s="1335">
        <f>'1.6.2 Gas1'!H108</f>
        <v>176253</v>
      </c>
      <c r="I168" s="1335">
        <f>'1.6.2 Gas1'!I108</f>
        <v>10006</v>
      </c>
      <c r="J168" s="1335" t="str">
        <f>'1.6.2 Gas1'!J108</f>
        <v>-</v>
      </c>
      <c r="K168" s="1335">
        <f>'1.6.2 Gas1'!K108</f>
        <v>9952</v>
      </c>
      <c r="L168" s="1335">
        <f>'1.6.2 Gas1'!L108</f>
        <v>205</v>
      </c>
      <c r="M168" s="1335">
        <f>'1.6.2 Gas1'!M108</f>
        <v>50906</v>
      </c>
      <c r="N168" s="1335">
        <f>'1.6.2 Gas1'!N108</f>
        <v>0</v>
      </c>
      <c r="O168" s="1335">
        <f>'1.6.2 Gas1'!O108</f>
        <v>938</v>
      </c>
      <c r="P168" s="1335">
        <f>'1.6.2 Gas1'!P108</f>
        <v>459359</v>
      </c>
      <c r="Q168" s="1335">
        <f>'1.6.2 Gas1'!Q108</f>
        <v>460297</v>
      </c>
      <c r="R168" s="111"/>
      <c r="S168" s="112"/>
      <c r="T168" s="111"/>
      <c r="U168" s="111"/>
      <c r="V168" s="112"/>
      <c r="W168" s="111"/>
      <c r="X168" s="111"/>
      <c r="Y168" s="112"/>
      <c r="Z168" s="111"/>
      <c r="AA168" s="112"/>
      <c r="AB168" s="1317"/>
      <c r="AC168" s="1317"/>
      <c r="AD168" s="117"/>
      <c r="AN168" s="124">
        <v>1978</v>
      </c>
      <c r="AO168" s="135">
        <f>29.307*2</f>
        <v>58.613999999999997</v>
      </c>
      <c r="AP168" s="111">
        <f>29.307*8</f>
        <v>234.45599999999999</v>
      </c>
      <c r="AQ168" s="135">
        <f>29.307*49</f>
        <v>1436.0429999999999</v>
      </c>
      <c r="AR168" s="111">
        <f>29.307*86</f>
        <v>2520.402</v>
      </c>
      <c r="AS168" s="111" t="s">
        <v>100</v>
      </c>
      <c r="AT168" s="112">
        <f>29.307*145</f>
        <v>4249.5149999999994</v>
      </c>
      <c r="AU168" s="111">
        <f>29.307*15777</f>
        <v>462376.53899999999</v>
      </c>
      <c r="AV168" s="1261">
        <f>29.307*15922</f>
        <v>466626.054</v>
      </c>
      <c r="AW168" s="135">
        <f>6*295/1000*29.307</f>
        <v>51.873390000000001</v>
      </c>
      <c r="AX168" s="111" t="s">
        <v>100</v>
      </c>
      <c r="AY168" s="135" t="s">
        <v>100</v>
      </c>
      <c r="AZ168" s="111">
        <f>49*453/1000*29.307</f>
        <v>650.52747899999997</v>
      </c>
      <c r="BA168" s="135">
        <f>29.307*3</f>
        <v>87.920999999999992</v>
      </c>
      <c r="BB168" s="111">
        <f>29.307*57</f>
        <v>1670.499</v>
      </c>
    </row>
    <row r="169" spans="1:54" x14ac:dyDescent="0.45">
      <c r="A169" s="10">
        <v>1979</v>
      </c>
      <c r="B169" s="1280"/>
      <c r="C169" s="1335">
        <f>'1.6.2 Gas1'!C109</f>
        <v>0</v>
      </c>
      <c r="D169" s="1335">
        <f>'1.6.2 Gas1'!D109</f>
        <v>0</v>
      </c>
      <c r="E169" s="1335">
        <f>'1.6.2 Gas1'!E109</f>
        <v>586</v>
      </c>
      <c r="F169" s="1335">
        <f>'1.6.2 Gas1'!F109</f>
        <v>240465</v>
      </c>
      <c r="G169" s="1335">
        <f>'1.6.2 Gas1'!G109</f>
        <v>205</v>
      </c>
      <c r="H169" s="1335">
        <f>'1.6.2 Gas1'!H109</f>
        <v>182232</v>
      </c>
      <c r="I169" s="1335">
        <f>'1.6.2 Gas1'!I109</f>
        <v>7104</v>
      </c>
      <c r="J169" s="1335" t="str">
        <f>'1.6.2 Gas1'!J109</f>
        <v>-</v>
      </c>
      <c r="K169" s="1335">
        <f>'1.6.2 Gas1'!K109</f>
        <v>14143</v>
      </c>
      <c r="L169" s="1335">
        <f>'1.6.2 Gas1'!L109</f>
        <v>264</v>
      </c>
      <c r="M169" s="1335">
        <f>'1.6.2 Gas1'!M109</f>
        <v>57382</v>
      </c>
      <c r="N169" s="1335">
        <f>'1.6.2 Gas1'!N109</f>
        <v>0</v>
      </c>
      <c r="O169" s="1335">
        <f>'1.6.2 Gas1'!O109</f>
        <v>1055</v>
      </c>
      <c r="P169" s="1335">
        <f>'1.6.2 Gas1'!P109</f>
        <v>501327</v>
      </c>
      <c r="Q169" s="1335">
        <f>'1.6.2 Gas1'!Q109</f>
        <v>502382</v>
      </c>
      <c r="R169" s="111"/>
      <c r="S169" s="112"/>
      <c r="T169" s="111"/>
      <c r="U169" s="111"/>
      <c r="V169" s="112"/>
      <c r="W169" s="111"/>
      <c r="X169" s="111"/>
      <c r="Y169" s="112"/>
      <c r="Z169" s="111"/>
      <c r="AA169" s="112"/>
      <c r="AB169" s="1317"/>
      <c r="AC169" s="1317"/>
      <c r="AD169" s="117"/>
      <c r="AK169" s="118"/>
      <c r="AN169" s="10">
        <v>1979</v>
      </c>
      <c r="AO169" s="111">
        <f>29.307*2</f>
        <v>58.613999999999997</v>
      </c>
      <c r="AP169" s="111" t="s">
        <v>100</v>
      </c>
      <c r="AQ169" s="135">
        <f>29.307*32</f>
        <v>937.82399999999996</v>
      </c>
      <c r="AR169" s="111">
        <f>29.307*80</f>
        <v>2344.56</v>
      </c>
      <c r="AS169" s="111" t="s">
        <v>100</v>
      </c>
      <c r="AT169" s="112">
        <f>29.307*114</f>
        <v>3340.998</v>
      </c>
      <c r="AU169" s="111">
        <f>29.307*17238</f>
        <v>505194.06599999999</v>
      </c>
      <c r="AV169" s="1261">
        <f>29.307*17352</f>
        <v>508535.06399999995</v>
      </c>
      <c r="AW169" s="1315">
        <f>6*295/1000*29.307</f>
        <v>51.873390000000001</v>
      </c>
      <c r="AX169" s="1311" t="s">
        <v>100</v>
      </c>
      <c r="AY169" s="1313" t="s">
        <v>100</v>
      </c>
      <c r="AZ169" s="1311">
        <f>5*453/1000*29.307</f>
        <v>66.380354999999994</v>
      </c>
      <c r="BA169" s="1313" t="s">
        <v>100</v>
      </c>
      <c r="BB169" s="1311">
        <f>29.307*63</f>
        <v>1846.3409999999999</v>
      </c>
    </row>
    <row r="170" spans="1:54" x14ac:dyDescent="0.45">
      <c r="A170" s="10">
        <v>1980</v>
      </c>
      <c r="B170" s="1280"/>
      <c r="C170" s="1335">
        <f>'1.6.2 Gas1'!C110</f>
        <v>0</v>
      </c>
      <c r="D170" s="1335">
        <f>'1.6.2 Gas1'!D110</f>
        <v>0</v>
      </c>
      <c r="E170" s="1335">
        <f>'1.6.2 Gas1'!E110</f>
        <v>557</v>
      </c>
      <c r="F170" s="1335">
        <f>'1.6.2 Gas1'!F110</f>
        <v>246766</v>
      </c>
      <c r="G170" s="1335">
        <f>'1.6.2 Gas1'!G110</f>
        <v>147</v>
      </c>
      <c r="H170" s="1335">
        <f>'1.6.2 Gas1'!H110</f>
        <v>177513</v>
      </c>
      <c r="I170" s="1335">
        <f>'1.6.2 Gas1'!I110</f>
        <v>4027</v>
      </c>
      <c r="J170" s="1335" t="str">
        <f>'1.6.2 Gas1'!J110</f>
        <v>-</v>
      </c>
      <c r="K170" s="1335">
        <f>'1.6.2 Gas1'!K110</f>
        <v>19096</v>
      </c>
      <c r="L170" s="1335">
        <f>'1.6.2 Gas1'!L110</f>
        <v>205</v>
      </c>
      <c r="M170" s="1335">
        <f>'1.6.2 Gas1'!M110</f>
        <v>60373</v>
      </c>
      <c r="N170" s="1335">
        <f>'1.6.2 Gas1'!N110</f>
        <v>0</v>
      </c>
      <c r="O170" s="1335">
        <f>'1.6.2 Gas1'!O110</f>
        <v>909</v>
      </c>
      <c r="P170" s="1335">
        <f>'1.6.2 Gas1'!P110</f>
        <v>507775</v>
      </c>
      <c r="Q170" s="1335">
        <f>'1.6.2 Gas1'!Q110</f>
        <v>508684</v>
      </c>
      <c r="R170" s="111"/>
      <c r="S170" s="112"/>
      <c r="T170" s="134"/>
      <c r="U170" s="111"/>
      <c r="V170" s="112"/>
      <c r="W170" s="111"/>
      <c r="X170" s="111"/>
      <c r="Y170" s="112"/>
      <c r="Z170" s="111"/>
      <c r="AA170" s="112"/>
      <c r="AB170" s="1317"/>
      <c r="AC170" s="1317"/>
      <c r="AD170" s="117"/>
      <c r="AG170" s="118"/>
      <c r="AH170" s="118"/>
      <c r="AI170" s="118"/>
      <c r="AJ170" s="118"/>
      <c r="AN170" s="10">
        <v>1980</v>
      </c>
      <c r="AO170" s="111" t="s">
        <v>100</v>
      </c>
      <c r="AP170" s="111" t="s">
        <v>100</v>
      </c>
      <c r="AQ170" s="135">
        <f>29.307*27</f>
        <v>791.28899999999999</v>
      </c>
      <c r="AR170" s="111">
        <f>29.307*79</f>
        <v>2315.2529999999997</v>
      </c>
      <c r="AS170" s="111" t="s">
        <v>100</v>
      </c>
      <c r="AT170" s="112">
        <f>29.307*106</f>
        <v>3106.5419999999999</v>
      </c>
      <c r="AU170" s="111">
        <f>29.307*17012</f>
        <v>498570.68399999995</v>
      </c>
      <c r="AV170" s="1261">
        <f>29.307*17118</f>
        <v>501677.22599999997</v>
      </c>
      <c r="AW170" s="132"/>
      <c r="AX170" s="133"/>
      <c r="AY170" s="133"/>
      <c r="AZ170" s="133"/>
      <c r="BA170" s="133"/>
      <c r="BB170" s="133"/>
    </row>
    <row r="171" spans="1:54" x14ac:dyDescent="0.45">
      <c r="A171" s="10">
        <v>1981</v>
      </c>
      <c r="B171" s="1280"/>
      <c r="C171" s="1335">
        <f>'1.6.2 Gas1'!C111</f>
        <v>0</v>
      </c>
      <c r="D171" s="1335">
        <f>'1.6.2 Gas1'!D111</f>
        <v>0</v>
      </c>
      <c r="E171" s="1335">
        <f>'1.6.2 Gas1'!E111</f>
        <v>469</v>
      </c>
      <c r="F171" s="1335">
        <f>'1.6.2 Gas1'!F111</f>
        <v>256379</v>
      </c>
      <c r="G171" s="1335">
        <f>'1.6.2 Gas1'!G111</f>
        <v>147</v>
      </c>
      <c r="H171" s="1335">
        <f>'1.6.2 Gas1'!H111</f>
        <v>168574</v>
      </c>
      <c r="I171" s="1335">
        <f>'1.6.2 Gas1'!I111</f>
        <v>4174</v>
      </c>
      <c r="J171" s="1335" t="str">
        <f>'1.6.2 Gas1'!J111</f>
        <v>-</v>
      </c>
      <c r="K171" s="1335">
        <f>'1.6.2 Gas1'!K111</f>
        <v>22320</v>
      </c>
      <c r="L171" s="1335">
        <f>'1.6.2 Gas1'!L111</f>
        <v>176</v>
      </c>
      <c r="M171" s="1335">
        <f>'1.6.2 Gas1'!M111</f>
        <v>59874</v>
      </c>
      <c r="N171" s="1335">
        <f>'1.6.2 Gas1'!N111</f>
        <v>0</v>
      </c>
      <c r="O171" s="1335">
        <f>'1.6.2 Gas1'!O111</f>
        <v>791</v>
      </c>
      <c r="P171" s="1335">
        <f>'1.6.2 Gas1'!P111</f>
        <v>511321</v>
      </c>
      <c r="Q171" s="1335">
        <f>'1.6.2 Gas1'!Q111</f>
        <v>512112</v>
      </c>
      <c r="R171" s="111"/>
      <c r="S171" s="112"/>
      <c r="T171" s="134"/>
      <c r="U171" s="111"/>
      <c r="V171" s="112"/>
      <c r="W171" s="111"/>
      <c r="X171" s="111"/>
      <c r="Y171" s="112"/>
      <c r="Z171" s="111"/>
      <c r="AA171" s="112"/>
      <c r="AB171" s="1317"/>
      <c r="AC171" s="1317"/>
      <c r="AD171" s="117"/>
      <c r="AN171" s="10">
        <v>1981</v>
      </c>
      <c r="AO171" s="111" t="s">
        <v>100</v>
      </c>
      <c r="AP171" s="111" t="s">
        <v>100</v>
      </c>
      <c r="AQ171" s="135">
        <f>29.307*29</f>
        <v>849.90299999999991</v>
      </c>
      <c r="AR171" s="111">
        <f>29.307*71</f>
        <v>2080.797</v>
      </c>
      <c r="AS171" s="111" t="s">
        <v>100</v>
      </c>
      <c r="AT171" s="112">
        <f>29.307*100</f>
        <v>2930.7</v>
      </c>
      <c r="AU171" s="111">
        <f>29.307*17044</f>
        <v>499508.50799999997</v>
      </c>
      <c r="AV171" s="1261">
        <f>29.307*17144</f>
        <v>502439.20799999998</v>
      </c>
      <c r="AW171" s="134"/>
      <c r="AX171" s="112"/>
      <c r="AY171" s="112"/>
      <c r="AZ171" s="112"/>
      <c r="BA171" s="112"/>
      <c r="BB171" s="112"/>
    </row>
    <row r="172" spans="1:54" x14ac:dyDescent="0.45">
      <c r="A172" s="10">
        <v>1982</v>
      </c>
      <c r="B172" s="1280"/>
      <c r="C172" s="1335">
        <f>'1.6.2 Gas1'!C112</f>
        <v>0</v>
      </c>
      <c r="D172" s="1335">
        <f>'1.6.2 Gas1'!D112</f>
        <v>0</v>
      </c>
      <c r="E172" s="1335">
        <f>'1.6.2 Gas1'!E112</f>
        <v>410</v>
      </c>
      <c r="F172" s="1335">
        <f>'1.6.2 Gas1'!F112</f>
        <v>255118</v>
      </c>
      <c r="G172" s="1335">
        <f>'1.6.2 Gas1'!G112</f>
        <v>88</v>
      </c>
      <c r="H172" s="1335">
        <f>'1.6.2 Gas1'!H112</f>
        <v>169717</v>
      </c>
      <c r="I172" s="1335">
        <f>'1.6.2 Gas1'!I112</f>
        <v>3793</v>
      </c>
      <c r="J172" s="1335" t="str">
        <f>'1.6.2 Gas1'!J112</f>
        <v>-</v>
      </c>
      <c r="K172" s="1335">
        <f>'1.6.2 Gas1'!K112</f>
        <v>26657</v>
      </c>
      <c r="L172" s="1335">
        <f>'1.6.2 Gas1'!L112</f>
        <v>176</v>
      </c>
      <c r="M172" s="1335">
        <f>'1.6.2 Gas1'!M112</f>
        <v>62190</v>
      </c>
      <c r="N172" s="1335">
        <f>'1.6.2 Gas1'!N112</f>
        <v>0</v>
      </c>
      <c r="O172" s="1335">
        <f>'1.6.2 Gas1'!O112</f>
        <v>674</v>
      </c>
      <c r="P172" s="1335">
        <f>'1.6.2 Gas1'!P112</f>
        <v>517475</v>
      </c>
      <c r="Q172" s="1335">
        <f>'1.6.2 Gas1'!Q112</f>
        <v>518149</v>
      </c>
      <c r="R172" s="111"/>
      <c r="S172" s="112"/>
      <c r="T172" s="134"/>
      <c r="U172" s="111"/>
      <c r="V172" s="112"/>
      <c r="W172" s="111"/>
      <c r="X172" s="111"/>
      <c r="Y172" s="112"/>
      <c r="Z172" s="111"/>
      <c r="AA172" s="112"/>
      <c r="AB172" s="1317"/>
      <c r="AC172" s="1317"/>
      <c r="AD172" s="117"/>
      <c r="AN172" s="10">
        <v>1982</v>
      </c>
      <c r="AO172" s="111" t="s">
        <v>100</v>
      </c>
      <c r="AP172" s="111" t="s">
        <v>100</v>
      </c>
      <c r="AQ172" s="135">
        <f>29.307*33</f>
        <v>967.13099999999997</v>
      </c>
      <c r="AR172" s="111">
        <f>29.307*52</f>
        <v>1523.9639999999999</v>
      </c>
      <c r="AS172" s="111" t="s">
        <v>100</v>
      </c>
      <c r="AT172" s="112">
        <f>29.307*85</f>
        <v>2491.0949999999998</v>
      </c>
      <c r="AU172" s="111">
        <f>29.307*16667</f>
        <v>488459.76899999997</v>
      </c>
      <c r="AV172" s="1261">
        <f>29.307*16752</f>
        <v>490950.864</v>
      </c>
      <c r="AW172" s="134"/>
      <c r="AX172" s="112"/>
      <c r="AY172" s="112"/>
      <c r="AZ172" s="112"/>
      <c r="BA172" s="112"/>
      <c r="BB172" s="112"/>
    </row>
    <row r="173" spans="1:54" x14ac:dyDescent="0.45">
      <c r="A173" s="10">
        <v>1983</v>
      </c>
      <c r="B173" s="1280"/>
      <c r="C173" s="1335">
        <f>'1.6.2 Gas1'!C113</f>
        <v>0</v>
      </c>
      <c r="D173" s="1335">
        <f>'1.6.2 Gas1'!D113</f>
        <v>0</v>
      </c>
      <c r="E173" s="1335">
        <f>'1.6.2 Gas1'!E113</f>
        <v>322</v>
      </c>
      <c r="F173" s="1335">
        <f>'1.6.2 Gas1'!F113</f>
        <v>259661</v>
      </c>
      <c r="G173" s="1335">
        <f>'1.6.2 Gas1'!G113</f>
        <v>59</v>
      </c>
      <c r="H173" s="1335">
        <f>'1.6.2 Gas1'!H113</f>
        <v>163123</v>
      </c>
      <c r="I173" s="1335">
        <f>'1.6.2 Gas1'!I113</f>
        <v>2357</v>
      </c>
      <c r="J173" s="1335" t="str">
        <f>'1.6.2 Gas1'!J113</f>
        <v>-</v>
      </c>
      <c r="K173" s="1335">
        <f>'1.6.2 Gas1'!K113</f>
        <v>30819</v>
      </c>
      <c r="L173" s="1335">
        <f>'1.6.2 Gas1'!L113</f>
        <v>147</v>
      </c>
      <c r="M173" s="1335">
        <f>'1.6.2 Gas1'!M113</f>
        <v>72154</v>
      </c>
      <c r="N173" s="1335">
        <f>'1.6.2 Gas1'!N113</f>
        <v>0</v>
      </c>
      <c r="O173" s="1335">
        <f>'1.6.2 Gas1'!O113</f>
        <v>528</v>
      </c>
      <c r="P173" s="1335">
        <f>'1.6.2 Gas1'!P113</f>
        <v>528114</v>
      </c>
      <c r="Q173" s="1335">
        <f>'1.6.2 Gas1'!Q113</f>
        <v>528642</v>
      </c>
      <c r="R173" s="111"/>
      <c r="S173" s="112"/>
      <c r="T173" s="134"/>
      <c r="U173" s="111"/>
      <c r="V173" s="112"/>
      <c r="W173" s="111"/>
      <c r="X173" s="111"/>
      <c r="Y173" s="112"/>
      <c r="Z173" s="111"/>
      <c r="AA173" s="112"/>
      <c r="AB173" s="1317"/>
      <c r="AC173" s="1317"/>
      <c r="AD173" s="117"/>
      <c r="AN173" s="10">
        <v>1983</v>
      </c>
      <c r="AO173" s="111" t="s">
        <v>100</v>
      </c>
      <c r="AP173" s="111" t="s">
        <v>100</v>
      </c>
      <c r="AQ173" s="135">
        <f>29.307*28</f>
        <v>820.596</v>
      </c>
      <c r="AR173" s="111">
        <f>29.307*33</f>
        <v>967.13099999999997</v>
      </c>
      <c r="AS173" s="111" t="s">
        <v>100</v>
      </c>
      <c r="AT173" s="112">
        <f>29.307*61</f>
        <v>1787.7269999999999</v>
      </c>
      <c r="AU173" s="111">
        <f>29.307*17153</f>
        <v>502702.97099999996</v>
      </c>
      <c r="AV173" s="1261">
        <f>29.307*17214</f>
        <v>504490.69799999997</v>
      </c>
      <c r="AW173" s="134"/>
      <c r="AX173" s="112"/>
      <c r="AY173" s="112"/>
      <c r="AZ173" s="112"/>
      <c r="BA173" s="112"/>
      <c r="BB173" s="112"/>
    </row>
    <row r="174" spans="1:54" x14ac:dyDescent="0.45">
      <c r="A174" s="10">
        <v>1984</v>
      </c>
      <c r="B174" s="1280"/>
      <c r="C174" s="1335">
        <f>'1.6.2 Gas1'!C114</f>
        <v>0</v>
      </c>
      <c r="D174" s="1335">
        <f>'1.6.2 Gas1'!D114</f>
        <v>0</v>
      </c>
      <c r="E174" s="1335">
        <f>'1.6.2 Gas1'!E114</f>
        <v>293</v>
      </c>
      <c r="F174" s="1335">
        <f>'1.6.2 Gas1'!F114</f>
        <v>261507</v>
      </c>
      <c r="G174" s="1335">
        <f>'1.6.2 Gas1'!G114</f>
        <v>59</v>
      </c>
      <c r="H174" s="1335">
        <f>'1.6.2 Gas1'!H114</f>
        <v>170831</v>
      </c>
      <c r="I174" s="1335">
        <f>'1.6.2 Gas1'!I114</f>
        <v>5317</v>
      </c>
      <c r="J174" s="1335" t="str">
        <f>'1.6.2 Gas1'!J114</f>
        <v>-</v>
      </c>
      <c r="K174" s="1335">
        <f>'1.6.2 Gas1'!K114</f>
        <v>33193</v>
      </c>
      <c r="L174" s="1335">
        <f>'1.6.2 Gas1'!L114</f>
        <v>147</v>
      </c>
      <c r="M174" s="1335">
        <f>'1.6.2 Gas1'!M114</f>
        <v>73238</v>
      </c>
      <c r="N174" s="1335">
        <f>'1.6.2 Gas1'!N114</f>
        <v>0</v>
      </c>
      <c r="O174" s="1335">
        <f>'1.6.2 Gas1'!O114</f>
        <v>498</v>
      </c>
      <c r="P174" s="1335">
        <f>'1.6.2 Gas1'!P114</f>
        <v>544086</v>
      </c>
      <c r="Q174" s="1335">
        <f>'1.6.2 Gas1'!Q114</f>
        <v>544584</v>
      </c>
      <c r="R174" s="111"/>
      <c r="S174" s="112"/>
      <c r="T174" s="134"/>
      <c r="U174" s="111"/>
      <c r="V174" s="112"/>
      <c r="W174" s="111"/>
      <c r="X174" s="111"/>
      <c r="Y174" s="112"/>
      <c r="Z174" s="111"/>
      <c r="AA174" s="112"/>
      <c r="AB174" s="1317"/>
      <c r="AC174" s="1317"/>
      <c r="AD174" s="117"/>
      <c r="AN174" s="10">
        <v>1984</v>
      </c>
      <c r="AO174" s="111" t="s">
        <v>100</v>
      </c>
      <c r="AP174" s="111" t="s">
        <v>100</v>
      </c>
      <c r="AQ174" s="135">
        <f>29.307*26</f>
        <v>761.98199999999997</v>
      </c>
      <c r="AR174" s="111">
        <f>29.307*30</f>
        <v>879.20999999999992</v>
      </c>
      <c r="AS174" s="111" t="s">
        <v>100</v>
      </c>
      <c r="AT174" s="112">
        <f>29.307*56</f>
        <v>1641.192</v>
      </c>
      <c r="AU174" s="111">
        <f>29.307*17739</f>
        <v>519876.87299999996</v>
      </c>
      <c r="AV174" s="1261">
        <f>29.307*17795</f>
        <v>521518.065</v>
      </c>
      <c r="AW174" s="134"/>
      <c r="AX174" s="112"/>
      <c r="AY174" s="112"/>
      <c r="AZ174" s="112"/>
      <c r="BA174" s="112"/>
      <c r="BB174" s="112"/>
    </row>
    <row r="175" spans="1:54" x14ac:dyDescent="0.45">
      <c r="A175" s="10">
        <v>1985</v>
      </c>
      <c r="B175" s="1309"/>
      <c r="C175" s="1335">
        <f>'1.6.2 Gas1'!C115</f>
        <v>0</v>
      </c>
      <c r="D175" s="1335">
        <f>'1.6.2 Gas1'!D115</f>
        <v>0</v>
      </c>
      <c r="E175" s="1335">
        <f>'1.6.2 Gas1'!E115</f>
        <v>293</v>
      </c>
      <c r="F175" s="1335">
        <f>'1.6.2 Gas1'!F115</f>
        <v>283517</v>
      </c>
      <c r="G175" s="1335">
        <f>'1.6.2 Gas1'!G115</f>
        <v>29</v>
      </c>
      <c r="H175" s="1335">
        <f>'1.6.2 Gas1'!H115</f>
        <v>172941</v>
      </c>
      <c r="I175" s="1335">
        <f>'1.6.2 Gas1'!I115</f>
        <v>5873</v>
      </c>
      <c r="J175" s="1335" t="str">
        <f>'1.6.2 Gas1'!J115</f>
        <v>-</v>
      </c>
      <c r="K175" s="1335">
        <f>'1.6.2 Gas1'!K115</f>
        <v>41135</v>
      </c>
      <c r="L175" s="1335">
        <f>'1.6.2 Gas1'!L115</f>
        <v>147</v>
      </c>
      <c r="M175" s="1335">
        <f>'1.6.2 Gas1'!M115</f>
        <v>77781</v>
      </c>
      <c r="N175" s="1335">
        <f>'1.6.2 Gas1'!N115</f>
        <v>0</v>
      </c>
      <c r="O175" s="1335">
        <f>'1.6.2 Gas1'!O115</f>
        <v>469</v>
      </c>
      <c r="P175" s="1335">
        <f>'1.6.2 Gas1'!P115</f>
        <v>581248</v>
      </c>
      <c r="Q175" s="1335">
        <f>'1.6.2 Gas1'!Q115</f>
        <v>581717</v>
      </c>
      <c r="R175" s="111"/>
      <c r="S175" s="112"/>
      <c r="T175" s="134"/>
      <c r="U175" s="111"/>
      <c r="V175" s="112"/>
      <c r="W175" s="111"/>
      <c r="X175" s="111"/>
      <c r="Y175" s="112"/>
      <c r="Z175" s="111"/>
      <c r="AA175" s="112"/>
      <c r="AB175" s="1317"/>
      <c r="AC175" s="1317"/>
      <c r="AD175" s="117"/>
      <c r="AN175" s="10">
        <v>1985</v>
      </c>
      <c r="AO175" s="111" t="s">
        <v>100</v>
      </c>
      <c r="AP175" s="111" t="s">
        <v>100</v>
      </c>
      <c r="AQ175" s="135">
        <f>29.307*29</f>
        <v>849.90299999999991</v>
      </c>
      <c r="AR175" s="111">
        <f>29.307*28</f>
        <v>820.596</v>
      </c>
      <c r="AS175" s="111" t="s">
        <v>100</v>
      </c>
      <c r="AT175" s="112">
        <f>29.307*57</f>
        <v>1670.499</v>
      </c>
      <c r="AU175" s="111">
        <f>29.307*18988</f>
        <v>556481.31599999999</v>
      </c>
      <c r="AV175" s="1261">
        <f>29.307*19045</f>
        <v>558151.81499999994</v>
      </c>
      <c r="AW175" s="134"/>
      <c r="AX175" s="112"/>
      <c r="AY175" s="112"/>
      <c r="AZ175" s="112"/>
      <c r="BA175" s="112"/>
      <c r="BB175" s="112"/>
    </row>
    <row r="176" spans="1:54" x14ac:dyDescent="0.45">
      <c r="A176" s="10">
        <v>1986</v>
      </c>
      <c r="B176" s="1280"/>
      <c r="C176" s="1335">
        <f>'1.6.2 Gas1'!C116</f>
        <v>0</v>
      </c>
      <c r="D176" s="1335">
        <f>'1.6.2 Gas1'!D116</f>
        <v>0</v>
      </c>
      <c r="E176" s="1335">
        <f>'1.6.2 Gas1'!E116</f>
        <v>234</v>
      </c>
      <c r="F176" s="1335">
        <f>'1.6.2 Gas1'!F116</f>
        <v>299929</v>
      </c>
      <c r="G176" s="1335">
        <f>'1.6.2 Gas1'!G116</f>
        <v>29</v>
      </c>
      <c r="H176" s="1335">
        <f>'1.6.2 Gas1'!H116</f>
        <v>157496</v>
      </c>
      <c r="I176" s="1335">
        <f>'1.6.2 Gas1'!I116</f>
        <v>2269</v>
      </c>
      <c r="J176" s="1335" t="str">
        <f>'1.6.2 Gas1'!J116</f>
        <v>-</v>
      </c>
      <c r="K176" s="1335">
        <f>'1.6.2 Gas1'!K116</f>
        <v>43421</v>
      </c>
      <c r="L176" s="1335">
        <f>'1.6.2 Gas1'!L116</f>
        <v>147</v>
      </c>
      <c r="M176" s="1335">
        <f>'1.6.2 Gas1'!M116</f>
        <v>85166</v>
      </c>
      <c r="N176" s="1335">
        <f>'1.6.2 Gas1'!N116</f>
        <v>0</v>
      </c>
      <c r="O176" s="1335">
        <f>'1.6.2 Gas1'!O116</f>
        <v>410</v>
      </c>
      <c r="P176" s="1335">
        <f>'1.6.2 Gas1'!P116</f>
        <v>588281</v>
      </c>
      <c r="Q176" s="1335">
        <f>'1.6.2 Gas1'!Q116</f>
        <v>588691</v>
      </c>
      <c r="R176" s="111"/>
      <c r="S176" s="112"/>
      <c r="T176" s="134"/>
      <c r="U176" s="111"/>
      <c r="V176" s="112"/>
      <c r="W176" s="111"/>
      <c r="X176" s="111"/>
      <c r="Y176" s="112"/>
      <c r="Z176" s="111"/>
      <c r="AA176" s="112"/>
      <c r="AB176" s="1317"/>
      <c r="AC176" s="1317"/>
      <c r="AD176" s="117"/>
      <c r="AN176" s="10">
        <v>1986</v>
      </c>
      <c r="AO176" s="111" t="s">
        <v>100</v>
      </c>
      <c r="AP176" s="111" t="s">
        <v>100</v>
      </c>
      <c r="AQ176" s="135">
        <f>29.307*20</f>
        <v>586.14</v>
      </c>
      <c r="AR176" s="111">
        <f>29.307*36</f>
        <v>1055.0519999999999</v>
      </c>
      <c r="AS176" s="111" t="s">
        <v>100</v>
      </c>
      <c r="AT176" s="112">
        <f>29.307*55</f>
        <v>1611.885</v>
      </c>
      <c r="AU176" s="111">
        <f>29.307*19215</f>
        <v>563134.005</v>
      </c>
      <c r="AV176" s="1261">
        <f>29.307*19270</f>
        <v>564745.89</v>
      </c>
      <c r="AW176" s="134"/>
      <c r="AX176" s="112"/>
      <c r="AY176" s="112"/>
      <c r="AZ176" s="112"/>
      <c r="BA176" s="112"/>
      <c r="BB176" s="112"/>
    </row>
    <row r="177" spans="1:54" x14ac:dyDescent="0.45">
      <c r="A177" s="10">
        <v>1987</v>
      </c>
      <c r="B177" s="1280"/>
      <c r="C177" s="1335">
        <f>'1.6.2 Gas1'!C117</f>
        <v>0</v>
      </c>
      <c r="D177" s="1335">
        <f>'1.6.2 Gas1'!D117</f>
        <v>0</v>
      </c>
      <c r="E177" s="1335">
        <f>'1.6.2 Gas1'!E117</f>
        <v>147</v>
      </c>
      <c r="F177" s="1335">
        <f>'1.6.2 Gas1'!F117</f>
        <v>307578</v>
      </c>
      <c r="G177" s="1335">
        <f>'1.6.2 Gas1'!G117</f>
        <v>29</v>
      </c>
      <c r="H177" s="1335">
        <f>'1.6.2 Gas1'!H117</f>
        <v>164442</v>
      </c>
      <c r="I177" s="1335">
        <f>'1.6.2 Gas1'!I117</f>
        <v>2415</v>
      </c>
      <c r="J177" s="1335" t="str">
        <f>'1.6.2 Gas1'!J117</f>
        <v>-</v>
      </c>
      <c r="K177" s="1335">
        <f>'1.6.2 Gas1'!K117</f>
        <v>43743</v>
      </c>
      <c r="L177" s="1335">
        <f>'1.6.2 Gas1'!L117</f>
        <v>147</v>
      </c>
      <c r="M177" s="1335">
        <f>'1.6.2 Gas1'!M117</f>
        <v>95746</v>
      </c>
      <c r="N177" s="1335">
        <f>'1.6.2 Gas1'!N117</f>
        <v>0</v>
      </c>
      <c r="O177" s="1335">
        <f>'1.6.2 Gas1'!O117</f>
        <v>322</v>
      </c>
      <c r="P177" s="1335">
        <f>'1.6.2 Gas1'!P117</f>
        <v>613925</v>
      </c>
      <c r="Q177" s="1335">
        <f>'1.6.2 Gas1'!Q117</f>
        <v>614247</v>
      </c>
      <c r="R177" s="111"/>
      <c r="S177" s="112"/>
      <c r="T177" s="134"/>
      <c r="U177" s="111"/>
      <c r="V177" s="112"/>
      <c r="W177" s="111"/>
      <c r="X177" s="111"/>
      <c r="Y177" s="112"/>
      <c r="Z177" s="111"/>
      <c r="AA177" s="112"/>
      <c r="AB177" s="1317"/>
      <c r="AC177" s="1317"/>
      <c r="AD177" s="117"/>
      <c r="AN177" s="10">
        <v>1987</v>
      </c>
      <c r="AO177" s="111" t="s">
        <v>100</v>
      </c>
      <c r="AP177" s="111" t="s">
        <v>100</v>
      </c>
      <c r="AQ177" s="135">
        <f>29.307*14</f>
        <v>410.298</v>
      </c>
      <c r="AR177" s="111">
        <f>29.307*6</f>
        <v>175.84199999999998</v>
      </c>
      <c r="AS177" s="111" t="s">
        <v>100</v>
      </c>
      <c r="AT177" s="112">
        <f>29.307*20</f>
        <v>586.14</v>
      </c>
      <c r="AU177" s="111">
        <f>29.307*20198</f>
        <v>591942.78599999996</v>
      </c>
      <c r="AV177" s="1261">
        <f>29.307*20218</f>
        <v>592528.92599999998</v>
      </c>
      <c r="AW177" s="134"/>
      <c r="AX177" s="112"/>
      <c r="AY177" s="112"/>
      <c r="AZ177" s="112"/>
      <c r="BA177" s="112"/>
      <c r="BB177" s="112"/>
    </row>
    <row r="178" spans="1:54" x14ac:dyDescent="0.45">
      <c r="A178" s="10">
        <v>1988</v>
      </c>
      <c r="B178" s="1280"/>
      <c r="C178" s="1335">
        <f>'1.6.2 Gas1'!C118</f>
        <v>0</v>
      </c>
      <c r="D178" s="1335">
        <f>'1.6.2 Gas1'!D118</f>
        <v>0</v>
      </c>
      <c r="E178" s="1335">
        <f>'1.6.2 Gas1'!E118</f>
        <v>29</v>
      </c>
      <c r="F178" s="1335">
        <f>'1.6.2 Gas1'!F118</f>
        <v>300515</v>
      </c>
      <c r="G178" s="1335" t="str">
        <f>'1.6.2 Gas1'!G118</f>
        <v>-</v>
      </c>
      <c r="H178" s="1335">
        <f>'1.6.2 Gas1'!H118</f>
        <v>149935</v>
      </c>
      <c r="I178" s="1335">
        <f>'1.6.2 Gas1'!I118</f>
        <v>2407</v>
      </c>
      <c r="J178" s="1335" t="str">
        <f>'1.6.2 Gas1'!J118</f>
        <v>-</v>
      </c>
      <c r="K178" s="1335">
        <f>'1.6.2 Gas1'!K118</f>
        <v>44109</v>
      </c>
      <c r="L178" s="1335">
        <f>'1.6.2 Gas1'!L118</f>
        <v>59</v>
      </c>
      <c r="M178" s="1335">
        <f>'1.6.2 Gas1'!M118</f>
        <v>97712</v>
      </c>
      <c r="N178" s="1335">
        <f>'1.6.2 Gas1'!N118</f>
        <v>0</v>
      </c>
      <c r="O178" s="1335">
        <f>'1.6.2 Gas1'!O118</f>
        <v>88</v>
      </c>
      <c r="P178" s="1335">
        <f>'1.6.2 Gas1'!P118</f>
        <v>594678</v>
      </c>
      <c r="Q178" s="1335">
        <f>'1.6.2 Gas1'!Q118</f>
        <v>594766</v>
      </c>
      <c r="R178" s="111"/>
      <c r="S178" s="112"/>
      <c r="T178" s="134"/>
      <c r="U178" s="111"/>
      <c r="V178" s="112"/>
      <c r="W178" s="111"/>
      <c r="X178" s="111"/>
      <c r="Y178" s="112"/>
      <c r="Z178" s="111"/>
      <c r="AA178" s="112"/>
      <c r="AB178" s="1317"/>
      <c r="AC178" s="1317"/>
      <c r="AD178" s="117"/>
      <c r="AN178" s="10">
        <v>1988</v>
      </c>
      <c r="AO178" s="111" t="s">
        <v>100</v>
      </c>
      <c r="AP178" s="111" t="s">
        <v>100</v>
      </c>
      <c r="AQ178" s="135">
        <f>29.307*5</f>
        <v>146.535</v>
      </c>
      <c r="AR178" s="111">
        <f>29.307*1</f>
        <v>29.306999999999999</v>
      </c>
      <c r="AS178" s="111" t="s">
        <v>100</v>
      </c>
      <c r="AT178" s="112">
        <f>29.307*6</f>
        <v>175.84199999999998</v>
      </c>
      <c r="AU178" s="111">
        <f>29.307*19083</f>
        <v>559265.48100000003</v>
      </c>
      <c r="AV178" s="1261">
        <f>29.307*19089</f>
        <v>559441.32299999997</v>
      </c>
      <c r="AW178" s="134"/>
      <c r="AX178" s="112"/>
      <c r="AY178" s="112"/>
      <c r="AZ178" s="112"/>
      <c r="BA178" s="112"/>
      <c r="BB178" s="112"/>
    </row>
    <row r="179" spans="1:54" x14ac:dyDescent="0.45">
      <c r="A179" s="10">
        <v>1989</v>
      </c>
      <c r="B179" s="1280"/>
      <c r="C179" s="1335">
        <f>'1.6.2 Gas1'!C119</f>
        <v>0</v>
      </c>
      <c r="D179" s="1335">
        <f>'1.6.2 Gas1'!D119</f>
        <v>0</v>
      </c>
      <c r="E179" s="1335" t="str">
        <f>'1.6.2 Gas1'!E119</f>
        <v>-</v>
      </c>
      <c r="F179" s="1335">
        <f>'1.6.2 Gas1'!F119</f>
        <v>290557</v>
      </c>
      <c r="G179" s="1335" t="str">
        <f>'1.6.2 Gas1'!G119</f>
        <v>-</v>
      </c>
      <c r="H179" s="1335">
        <f>'1.6.2 Gas1'!H119</f>
        <v>159701</v>
      </c>
      <c r="I179" s="1335">
        <f>'1.6.2 Gas1'!I119</f>
        <v>6210</v>
      </c>
      <c r="J179" s="1335" t="str">
        <f>'1.6.2 Gas1'!J119</f>
        <v>-</v>
      </c>
      <c r="K179" s="1335">
        <f>'1.6.2 Gas1'!K119</f>
        <v>37850</v>
      </c>
      <c r="L179" s="1335" t="str">
        <f>'1.6.2 Gas1'!L119</f>
        <v>-</v>
      </c>
      <c r="M179" s="1335">
        <f>'1.6.2 Gas1'!M119</f>
        <v>86204</v>
      </c>
      <c r="N179" s="1335">
        <f>'1.6.2 Gas1'!N119</f>
        <v>0</v>
      </c>
      <c r="O179" s="1335" t="str">
        <f>'1.6.2 Gas1'!O119</f>
        <v>-</v>
      </c>
      <c r="P179" s="1335">
        <f>'1.6.2 Gas1'!P119</f>
        <v>580522</v>
      </c>
      <c r="Q179" s="1335">
        <f>'1.6.2 Gas1'!Q119</f>
        <v>580522</v>
      </c>
      <c r="R179" s="111"/>
      <c r="S179" s="112"/>
      <c r="T179" s="134"/>
      <c r="U179" s="111"/>
      <c r="V179" s="112"/>
      <c r="W179" s="111"/>
      <c r="X179" s="111"/>
      <c r="Y179" s="112"/>
      <c r="Z179" s="111"/>
      <c r="AA179" s="112"/>
      <c r="AB179" s="1317"/>
      <c r="AC179" s="1317"/>
      <c r="AD179" s="117"/>
      <c r="AE179" s="1307"/>
      <c r="AN179" s="10">
        <v>1989</v>
      </c>
      <c r="AO179" s="111" t="s">
        <v>100</v>
      </c>
      <c r="AP179" s="111" t="s">
        <v>100</v>
      </c>
      <c r="AQ179" s="135" t="s">
        <v>100</v>
      </c>
      <c r="AR179" s="111">
        <f>29.307*3</f>
        <v>87.920999999999992</v>
      </c>
      <c r="AS179" s="111" t="s">
        <v>100</v>
      </c>
      <c r="AT179" s="112">
        <f>29.307*3</f>
        <v>87.920999999999992</v>
      </c>
      <c r="AU179" s="111">
        <f>29.307*18826</f>
        <v>551733.58199999994</v>
      </c>
      <c r="AV179" s="1261">
        <f>29.307*18829</f>
        <v>551821.50300000003</v>
      </c>
      <c r="AW179" s="134"/>
      <c r="AX179" s="112"/>
      <c r="AY179" s="112"/>
      <c r="AZ179" s="112"/>
      <c r="BA179" s="112"/>
      <c r="BB179" s="112"/>
    </row>
    <row r="180" spans="1:54" ht="14.65" thickBot="1" x14ac:dyDescent="0.5">
      <c r="A180" s="10">
        <v>1990</v>
      </c>
      <c r="B180" s="1280"/>
      <c r="C180" s="1335">
        <f>'1.6.2 Gas1'!C120</f>
        <v>0</v>
      </c>
      <c r="D180" s="1335">
        <f>'1.6.2 Gas1'!D120</f>
        <v>0</v>
      </c>
      <c r="E180" s="1335" t="str">
        <f>'1.6.2 Gas1'!E120</f>
        <v>-</v>
      </c>
      <c r="F180" s="1335">
        <f>'1.6.2 Gas1'!F120</f>
        <v>300410</v>
      </c>
      <c r="G180" s="1335" t="str">
        <f>'1.6.2 Gas1'!G120</f>
        <v>-</v>
      </c>
      <c r="H180" s="1335">
        <f>'1.6.2 Gas1'!H120</f>
        <v>164595</v>
      </c>
      <c r="I180" s="1335">
        <f>'1.6.2 Gas1'!I120</f>
        <v>6513</v>
      </c>
      <c r="J180" s="1335" t="str">
        <f>'1.6.2 Gas1'!J120</f>
        <v>-</v>
      </c>
      <c r="K180" s="1335">
        <f>'1.6.2 Gas1'!K120</f>
        <v>39159</v>
      </c>
      <c r="L180" s="1335" t="str">
        <f>'1.6.2 Gas1'!L120</f>
        <v>-</v>
      </c>
      <c r="M180" s="1335">
        <f>'1.6.2 Gas1'!M120</f>
        <v>86369</v>
      </c>
      <c r="N180" s="1335">
        <f>'1.6.2 Gas1'!N120</f>
        <v>0</v>
      </c>
      <c r="O180" s="1335" t="str">
        <f>'1.6.2 Gas1'!O120</f>
        <v>-</v>
      </c>
      <c r="P180" s="1335">
        <f>'1.6.2 Gas1'!P120</f>
        <v>597046</v>
      </c>
      <c r="Q180" s="1335">
        <f>'1.6.2 Gas1'!Q120</f>
        <v>597046</v>
      </c>
      <c r="R180" s="111"/>
      <c r="S180" s="112"/>
      <c r="T180" s="134"/>
      <c r="U180" s="111"/>
      <c r="V180" s="112"/>
      <c r="W180" s="111"/>
      <c r="X180" s="1326"/>
      <c r="Y180" s="1327"/>
      <c r="Z180" s="1328"/>
      <c r="AA180" s="1327"/>
      <c r="AB180" s="1329"/>
      <c r="AC180" s="1329"/>
      <c r="AD180" s="119"/>
      <c r="AE180" s="1307"/>
      <c r="AN180" s="10">
        <v>1990</v>
      </c>
      <c r="AO180" s="111" t="s">
        <v>100</v>
      </c>
      <c r="AP180" s="111" t="s">
        <v>100</v>
      </c>
      <c r="AQ180" s="112" t="s">
        <v>100</v>
      </c>
      <c r="AR180" s="111">
        <f>29.307*1</f>
        <v>29.306999999999999</v>
      </c>
      <c r="AS180" s="111" t="s">
        <v>100</v>
      </c>
      <c r="AT180" s="112">
        <f>29.307*1</f>
        <v>29.306999999999999</v>
      </c>
      <c r="AU180" s="111">
        <f>29.307*19231</f>
        <v>563602.91700000002</v>
      </c>
      <c r="AV180" s="1261">
        <f>29.307*19232</f>
        <v>563632.22399999993</v>
      </c>
      <c r="AW180" s="134"/>
      <c r="AX180" s="112"/>
      <c r="AY180" s="112"/>
      <c r="AZ180" s="112"/>
      <c r="BA180" s="112"/>
      <c r="BB180" s="112"/>
    </row>
    <row r="181" spans="1:54" x14ac:dyDescent="0.45">
      <c r="A181" s="10">
        <v>1991</v>
      </c>
      <c r="B181" s="1280"/>
      <c r="C181" s="1335">
        <f>'1.6.2 Gas1'!C121</f>
        <v>0</v>
      </c>
      <c r="D181" s="1335">
        <f>'1.6.2 Gas1'!D121</f>
        <v>0</v>
      </c>
      <c r="E181" s="1335" t="str">
        <f>'1.6.2 Gas1'!E121</f>
        <v>-</v>
      </c>
      <c r="F181" s="1335">
        <f>'1.6.2 Gas1'!F121</f>
        <v>333963</v>
      </c>
      <c r="G181" s="1335" t="str">
        <f>'1.6.2 Gas1'!G121</f>
        <v>-</v>
      </c>
      <c r="H181" s="1335">
        <f>'1.6.2 Gas1'!H121</f>
        <v>157932</v>
      </c>
      <c r="I181" s="1335">
        <f>'1.6.2 Gas1'!I121</f>
        <v>6650</v>
      </c>
      <c r="J181" s="1335" t="str">
        <f>'1.6.2 Gas1'!J121</f>
        <v>-</v>
      </c>
      <c r="K181" s="1335">
        <f>'1.6.2 Gas1'!K121</f>
        <v>41472</v>
      </c>
      <c r="L181" s="1335" t="str">
        <f>'1.6.2 Gas1'!L121</f>
        <v>-</v>
      </c>
      <c r="M181" s="1335">
        <f>'1.6.2 Gas1'!M121</f>
        <v>101746</v>
      </c>
      <c r="N181" s="1335">
        <f>'1.6.2 Gas1'!N121</f>
        <v>0</v>
      </c>
      <c r="O181" s="1335" t="str">
        <f>'1.6.2 Gas1'!O121</f>
        <v>-</v>
      </c>
      <c r="P181" s="1335">
        <f>'1.6.2 Gas1'!P121</f>
        <v>641763</v>
      </c>
      <c r="Q181" s="1335">
        <f>'1.6.2 Gas1'!Q121</f>
        <v>641763</v>
      </c>
      <c r="R181" s="111"/>
      <c r="S181" s="112"/>
      <c r="T181" s="134"/>
      <c r="U181" s="111"/>
      <c r="V181" s="112"/>
      <c r="W181" s="111"/>
      <c r="X181" s="111"/>
      <c r="Y181" s="111"/>
      <c r="Z181" s="111"/>
      <c r="AA181" s="111"/>
      <c r="AB181" s="1317"/>
      <c r="AC181" s="1317"/>
      <c r="AD181" s="120"/>
      <c r="AN181" s="10">
        <v>1991</v>
      </c>
      <c r="AO181" s="1311" t="s">
        <v>100</v>
      </c>
      <c r="AP181" s="1311" t="s">
        <v>100</v>
      </c>
      <c r="AQ181" s="1313" t="s">
        <v>100</v>
      </c>
      <c r="AR181" s="1311">
        <f>29.307*1</f>
        <v>29.306999999999999</v>
      </c>
      <c r="AS181" s="1311" t="s">
        <v>100</v>
      </c>
      <c r="AT181" s="1313">
        <f>29.307*1</f>
        <v>29.306999999999999</v>
      </c>
      <c r="AU181" s="1311">
        <f>29.307*21087</f>
        <v>617996.70899999992</v>
      </c>
      <c r="AV181" s="1314">
        <f>29.307*21088</f>
        <v>618026.01599999995</v>
      </c>
      <c r="AW181" s="134"/>
      <c r="AX181" s="112"/>
      <c r="AY181" s="112"/>
      <c r="AZ181" s="112"/>
      <c r="BA181" s="112"/>
      <c r="BB181" s="112"/>
    </row>
    <row r="182" spans="1:54" x14ac:dyDescent="0.45">
      <c r="A182" s="10">
        <v>1992</v>
      </c>
      <c r="B182" s="1280"/>
      <c r="C182" s="1335">
        <f>'1.6.2 Gas1'!C122</f>
        <v>0</v>
      </c>
      <c r="D182" s="1335">
        <f>'1.6.2 Gas1'!D122</f>
        <v>0</v>
      </c>
      <c r="E182" s="1335" t="str">
        <f>'1.6.2 Gas1'!E122</f>
        <v>-</v>
      </c>
      <c r="F182" s="1335">
        <f>'1.6.2 Gas1'!F122</f>
        <v>330101</v>
      </c>
      <c r="G182" s="1335" t="str">
        <f>'1.6.2 Gas1'!G122</f>
        <v>-</v>
      </c>
      <c r="H182" s="1335">
        <f>'1.6.2 Gas1'!H122</f>
        <v>147218</v>
      </c>
      <c r="I182" s="1335">
        <f>'1.6.2 Gas1'!I122</f>
        <v>17969</v>
      </c>
      <c r="J182" s="1335" t="str">
        <f>'1.6.2 Gas1'!J122</f>
        <v>-</v>
      </c>
      <c r="K182" s="1335">
        <f>'1.6.2 Gas1'!K122</f>
        <v>45660</v>
      </c>
      <c r="L182" s="1335" t="str">
        <f>'1.6.2 Gas1'!L122</f>
        <v>-</v>
      </c>
      <c r="M182" s="1335">
        <f>'1.6.2 Gas1'!M122</f>
        <v>99871</v>
      </c>
      <c r="N182" s="1335">
        <f>'1.6.2 Gas1'!N122</f>
        <v>0</v>
      </c>
      <c r="O182" s="1335" t="str">
        <f>'1.6.2 Gas1'!O122</f>
        <v>-</v>
      </c>
      <c r="P182" s="1335">
        <f>'1.6.2 Gas1'!P122</f>
        <v>640818</v>
      </c>
      <c r="Q182" s="1335">
        <f>'1.6.2 Gas1'!Q122</f>
        <v>640818</v>
      </c>
      <c r="R182" s="111"/>
      <c r="S182" s="112"/>
      <c r="T182" s="134"/>
      <c r="U182" s="111"/>
      <c r="V182" s="112"/>
      <c r="W182" s="111"/>
      <c r="X182" s="134"/>
      <c r="Y182" s="134"/>
      <c r="Z182" s="112"/>
      <c r="AA182" s="1258"/>
      <c r="AB182" s="126"/>
      <c r="AC182" s="126"/>
      <c r="AD182" s="121"/>
      <c r="AN182" s="12"/>
      <c r="AO182" s="12"/>
      <c r="AP182" s="12"/>
      <c r="AQ182" s="135"/>
      <c r="AR182" s="112"/>
      <c r="AS182" s="112"/>
      <c r="AT182" s="112"/>
      <c r="AU182" s="112"/>
      <c r="AV182" s="126"/>
    </row>
    <row r="183" spans="1:54" x14ac:dyDescent="0.45">
      <c r="A183" s="10">
        <v>1993</v>
      </c>
      <c r="B183" s="1280"/>
      <c r="C183" s="1335">
        <f>'1.6.2 Gas1'!C123</f>
        <v>0</v>
      </c>
      <c r="D183" s="1335">
        <f>'1.6.2 Gas1'!D123</f>
        <v>0</v>
      </c>
      <c r="E183" s="1335" t="str">
        <f>'1.6.2 Gas1'!E123</f>
        <v>-</v>
      </c>
      <c r="F183" s="1335">
        <f>'1.6.2 Gas1'!F123</f>
        <v>340162</v>
      </c>
      <c r="G183" s="1335" t="str">
        <f>'1.6.2 Gas1'!G123</f>
        <v>-</v>
      </c>
      <c r="H183" s="1335">
        <f>'1.6.2 Gas1'!H123</f>
        <v>148522</v>
      </c>
      <c r="I183" s="1335">
        <f>'1.6.2 Gas1'!I123</f>
        <v>81848</v>
      </c>
      <c r="J183" s="1335" t="str">
        <f>'1.6.2 Gas1'!J123</f>
        <v>-</v>
      </c>
      <c r="K183" s="1335">
        <f>'1.6.2 Gas1'!K123</f>
        <v>47006</v>
      </c>
      <c r="L183" s="1335" t="str">
        <f>'1.6.2 Gas1'!L123</f>
        <v>-</v>
      </c>
      <c r="M183" s="1335">
        <f>'1.6.2 Gas1'!M123</f>
        <v>99819</v>
      </c>
      <c r="N183" s="1335">
        <f>'1.6.2 Gas1'!N123</f>
        <v>0</v>
      </c>
      <c r="O183" s="1335" t="str">
        <f>'1.6.2 Gas1'!O123</f>
        <v>-</v>
      </c>
      <c r="P183" s="1335">
        <f>'1.6.2 Gas1'!P123</f>
        <v>717357</v>
      </c>
      <c r="Q183" s="1335">
        <f>'1.6.2 Gas1'!Q123</f>
        <v>717357</v>
      </c>
      <c r="R183" s="111"/>
      <c r="S183" s="112"/>
      <c r="T183" s="134"/>
      <c r="U183" s="111"/>
      <c r="V183" s="112"/>
      <c r="W183" s="111"/>
      <c r="X183" s="134"/>
      <c r="Y183" s="134"/>
      <c r="Z183" s="112"/>
      <c r="AA183" s="1258"/>
      <c r="AB183" s="126"/>
      <c r="AC183" s="126"/>
      <c r="AD183" s="121"/>
      <c r="AN183" s="136" t="s">
        <v>509</v>
      </c>
      <c r="AO183" s="12"/>
      <c r="AP183" s="12"/>
      <c r="AQ183" s="135"/>
      <c r="AR183" s="112"/>
      <c r="AS183" s="112"/>
      <c r="AT183" s="112"/>
      <c r="AU183" s="112"/>
      <c r="AV183" s="126"/>
    </row>
    <row r="184" spans="1:54" x14ac:dyDescent="0.45">
      <c r="A184" s="10">
        <v>1994</v>
      </c>
      <c r="B184" s="1280"/>
      <c r="C184" s="1335">
        <f>'1.6.2 Gas1'!C124</f>
        <v>0</v>
      </c>
      <c r="D184" s="1335">
        <f>'1.6.2 Gas1'!D124</f>
        <v>0</v>
      </c>
      <c r="E184" s="1335" t="str">
        <f>'1.6.2 Gas1'!E124</f>
        <v>-</v>
      </c>
      <c r="F184" s="1335">
        <f>'1.6.2 Gas1'!F124</f>
        <v>329710</v>
      </c>
      <c r="G184" s="1335" t="str">
        <f>'1.6.2 Gas1'!G124</f>
        <v>-</v>
      </c>
      <c r="H184" s="1335">
        <f>'1.6.2 Gas1'!H124</f>
        <v>161815</v>
      </c>
      <c r="I184" s="1335">
        <f>'1.6.2 Gas1'!I124</f>
        <v>117606</v>
      </c>
      <c r="J184" s="1335" t="str">
        <f>'1.6.2 Gas1'!J124</f>
        <v>-</v>
      </c>
      <c r="K184" s="1335">
        <f>'1.6.2 Gas1'!K124</f>
        <v>54700</v>
      </c>
      <c r="L184" s="1335" t="str">
        <f>'1.6.2 Gas1'!L124</f>
        <v>-</v>
      </c>
      <c r="M184" s="1335">
        <f>'1.6.2 Gas1'!M124</f>
        <v>100836</v>
      </c>
      <c r="N184" s="1335">
        <f>'1.6.2 Gas1'!N124</f>
        <v>0</v>
      </c>
      <c r="O184" s="1335" t="str">
        <f>'1.6.2 Gas1'!O124</f>
        <v>-</v>
      </c>
      <c r="P184" s="1335">
        <f>'1.6.2 Gas1'!P124</f>
        <v>764667</v>
      </c>
      <c r="Q184" s="1335">
        <f>'1.6.2 Gas1'!Q124</f>
        <v>764667</v>
      </c>
      <c r="R184" s="111"/>
      <c r="S184" s="112"/>
      <c r="T184" s="134"/>
      <c r="U184" s="111"/>
      <c r="V184" s="112"/>
      <c r="W184" s="111"/>
      <c r="X184" s="134"/>
      <c r="Y184" s="134"/>
      <c r="Z184" s="112"/>
      <c r="AA184" s="1258"/>
      <c r="AB184" s="126"/>
      <c r="AC184" s="126"/>
      <c r="AD184" s="121"/>
      <c r="AN184" s="118" t="s">
        <v>510</v>
      </c>
      <c r="AO184" s="12"/>
      <c r="AP184" s="12"/>
      <c r="AQ184" s="135"/>
      <c r="AR184" s="112"/>
      <c r="AS184" s="118" t="s">
        <v>511</v>
      </c>
      <c r="AT184" s="112"/>
      <c r="AU184" s="112"/>
      <c r="AV184" s="126"/>
    </row>
    <row r="185" spans="1:54" x14ac:dyDescent="0.45">
      <c r="A185" s="10">
        <v>1995</v>
      </c>
      <c r="B185" s="1280"/>
      <c r="C185" s="1335">
        <f>'1.6.2 Gas1'!C125</f>
        <v>0</v>
      </c>
      <c r="D185" s="1335">
        <f>'1.6.2 Gas1'!D125</f>
        <v>0</v>
      </c>
      <c r="E185" s="1335" t="str">
        <f>'1.6.2 Gas1'!E125</f>
        <v>-</v>
      </c>
      <c r="F185" s="1335">
        <f>'1.6.2 Gas1'!F125</f>
        <v>326010</v>
      </c>
      <c r="G185" s="1335" t="str">
        <f>'1.6.2 Gas1'!G125</f>
        <v>-</v>
      </c>
      <c r="H185" s="1335">
        <f>'1.6.2 Gas1'!H125</f>
        <v>162797</v>
      </c>
      <c r="I185" s="1335">
        <f>'1.6.2 Gas1'!I125</f>
        <v>154393</v>
      </c>
      <c r="J185" s="1335" t="str">
        <f>'1.6.2 Gas1'!J125</f>
        <v>-</v>
      </c>
      <c r="K185" s="1335">
        <f>'1.6.2 Gas1'!K125</f>
        <v>56565</v>
      </c>
      <c r="L185" s="1335" t="str">
        <f>'1.6.2 Gas1'!L125</f>
        <v>-</v>
      </c>
      <c r="M185" s="1335">
        <f>'1.6.2 Gas1'!M125</f>
        <v>109020</v>
      </c>
      <c r="N185" s="1335">
        <f>'1.6.2 Gas1'!N125</f>
        <v>0</v>
      </c>
      <c r="O185" s="1335" t="str">
        <f>'1.6.2 Gas1'!O125</f>
        <v>-</v>
      </c>
      <c r="P185" s="1335">
        <f>'1.6.2 Gas1'!P125</f>
        <v>808786</v>
      </c>
      <c r="Q185" s="1335">
        <f>'1.6.2 Gas1'!Q125</f>
        <v>808786</v>
      </c>
      <c r="R185" s="111"/>
      <c r="S185" s="112"/>
      <c r="T185" s="134"/>
      <c r="U185" s="111"/>
      <c r="V185" s="112"/>
      <c r="W185" s="111"/>
      <c r="X185" s="134"/>
      <c r="Y185" s="134"/>
      <c r="Z185" s="112"/>
      <c r="AA185" s="1258"/>
      <c r="AB185" s="126"/>
      <c r="AC185" s="126"/>
      <c r="AD185" s="121"/>
      <c r="AN185" s="118" t="s">
        <v>512</v>
      </c>
      <c r="AO185" s="12"/>
      <c r="AP185" s="12"/>
      <c r="AQ185" s="135"/>
      <c r="AR185" s="112"/>
      <c r="AS185" s="137" t="s">
        <v>513</v>
      </c>
      <c r="AT185" s="112"/>
      <c r="AU185" s="112"/>
      <c r="AV185" s="126"/>
    </row>
    <row r="186" spans="1:54" x14ac:dyDescent="0.45">
      <c r="A186" s="10">
        <v>1996</v>
      </c>
      <c r="B186" s="1280"/>
      <c r="C186" s="1335">
        <f>'1.6.2 Gas1'!C126</f>
        <v>0</v>
      </c>
      <c r="D186" s="1335">
        <f>'1.6.2 Gas1'!D126</f>
        <v>0</v>
      </c>
      <c r="E186" s="1335" t="str">
        <f>'1.6.2 Gas1'!E126</f>
        <v>-</v>
      </c>
      <c r="F186" s="1335">
        <f>'1.6.2 Gas1'!F126</f>
        <v>375841</v>
      </c>
      <c r="G186" s="1335" t="str">
        <f>'1.6.2 Gas1'!G126</f>
        <v>-</v>
      </c>
      <c r="H186" s="1335">
        <f>'1.6.2 Gas1'!H126</f>
        <v>177794</v>
      </c>
      <c r="I186" s="1335">
        <f>'1.6.2 Gas1'!I126</f>
        <v>201969</v>
      </c>
      <c r="J186" s="1335" t="str">
        <f>'1.6.2 Gas1'!J126</f>
        <v>-</v>
      </c>
      <c r="K186" s="1335">
        <f>'1.6.2 Gas1'!K126</f>
        <v>65336</v>
      </c>
      <c r="L186" s="1335" t="str">
        <f>'1.6.2 Gas1'!L126</f>
        <v>-</v>
      </c>
      <c r="M186" s="1335">
        <f>'1.6.2 Gas1'!M126</f>
        <v>117908</v>
      </c>
      <c r="N186" s="1335">
        <f>'1.6.2 Gas1'!N126</f>
        <v>0</v>
      </c>
      <c r="O186" s="1335" t="str">
        <f>'1.6.2 Gas1'!O126</f>
        <v>-</v>
      </c>
      <c r="P186" s="1335">
        <f>'1.6.2 Gas1'!P126</f>
        <v>938848</v>
      </c>
      <c r="Q186" s="1335">
        <f>'1.6.2 Gas1'!Q126</f>
        <v>938848</v>
      </c>
      <c r="R186" s="111"/>
      <c r="S186" s="112"/>
      <c r="T186" s="134"/>
      <c r="U186" s="111"/>
      <c r="V186" s="112"/>
      <c r="W186" s="111"/>
      <c r="X186" s="1311"/>
      <c r="Y186" s="134"/>
      <c r="Z186" s="112"/>
      <c r="AA186" s="1258"/>
      <c r="AB186" s="126"/>
      <c r="AC186" s="126"/>
      <c r="AD186" s="121"/>
      <c r="AN186" s="118" t="s">
        <v>514</v>
      </c>
      <c r="AO186" s="12"/>
      <c r="AP186" s="12"/>
      <c r="AQ186" s="135"/>
      <c r="AR186" s="112"/>
      <c r="AS186" s="137" t="s">
        <v>515</v>
      </c>
      <c r="AT186" s="112"/>
      <c r="AU186" s="112"/>
      <c r="AV186" s="126"/>
    </row>
    <row r="187" spans="1:54" x14ac:dyDescent="0.45">
      <c r="A187" s="10">
        <v>1997</v>
      </c>
      <c r="B187" s="1280"/>
      <c r="C187" s="1335">
        <f>'1.6.2 Gas1'!C127</f>
        <v>0</v>
      </c>
      <c r="D187" s="1335">
        <f>'1.6.2 Gas1'!D127</f>
        <v>0</v>
      </c>
      <c r="E187" s="1335" t="str">
        <f>'1.6.2 Gas1'!E127</f>
        <v>-</v>
      </c>
      <c r="F187" s="1335">
        <f>'1.6.2 Gas1'!F127</f>
        <v>345532</v>
      </c>
      <c r="G187" s="1335" t="str">
        <f>'1.6.2 Gas1'!G127</f>
        <v>-</v>
      </c>
      <c r="H187" s="1335">
        <f>'1.6.2 Gas1'!H127</f>
        <v>182867</v>
      </c>
      <c r="I187" s="1335">
        <f>'1.6.2 Gas1'!I127</f>
        <v>251822</v>
      </c>
      <c r="J187" s="1335" t="str">
        <f>'1.6.2 Gas1'!J127</f>
        <v>-</v>
      </c>
      <c r="K187" s="1335">
        <f>'1.6.2 Gas1'!K127</f>
        <v>67245</v>
      </c>
      <c r="L187" s="1335" t="str">
        <f>'1.6.2 Gas1'!L127</f>
        <v>-</v>
      </c>
      <c r="M187" s="1335">
        <f>'1.6.2 Gas1'!M127</f>
        <v>112777</v>
      </c>
      <c r="N187" s="1335">
        <f>'1.6.2 Gas1'!N127</f>
        <v>0</v>
      </c>
      <c r="O187" s="1335" t="str">
        <f>'1.6.2 Gas1'!O127</f>
        <v>-</v>
      </c>
      <c r="P187" s="1335">
        <f>'1.6.2 Gas1'!P127</f>
        <v>960243</v>
      </c>
      <c r="Q187" s="1335">
        <f>'1.6.2 Gas1'!Q127</f>
        <v>960243</v>
      </c>
      <c r="R187" s="111"/>
      <c r="S187" s="112"/>
      <c r="T187" s="134"/>
      <c r="U187" s="111"/>
      <c r="V187" s="112"/>
      <c r="W187" s="111"/>
      <c r="X187" s="134"/>
      <c r="Y187" s="134"/>
      <c r="Z187" s="112"/>
      <c r="AA187" s="1258"/>
      <c r="AB187" s="126"/>
      <c r="AC187" s="126"/>
      <c r="AD187" s="121"/>
      <c r="AN187" s="118" t="s">
        <v>516</v>
      </c>
      <c r="AO187" s="12"/>
      <c r="AP187" s="12"/>
      <c r="AQ187" s="135"/>
      <c r="AR187" s="112"/>
      <c r="AS187" s="137" t="s">
        <v>517</v>
      </c>
      <c r="AT187" s="112"/>
      <c r="AU187" s="112"/>
      <c r="AV187" s="126"/>
    </row>
    <row r="188" spans="1:54" x14ac:dyDescent="0.45">
      <c r="A188" s="10">
        <v>1998</v>
      </c>
      <c r="B188" s="1280"/>
      <c r="C188" s="1335">
        <f>'1.6.2 Gas1'!C128</f>
        <v>0</v>
      </c>
      <c r="D188" s="1335">
        <f>'1.6.2 Gas1'!D128</f>
        <v>0</v>
      </c>
      <c r="E188" s="1335" t="str">
        <f>'1.6.2 Gas1'!E128</f>
        <v>-</v>
      </c>
      <c r="F188" s="1335">
        <f>'1.6.2 Gas1'!F128</f>
        <v>355895</v>
      </c>
      <c r="G188" s="1335" t="str">
        <f>'1.6.2 Gas1'!G128</f>
        <v>-</v>
      </c>
      <c r="H188" s="1335">
        <f>'1.6.2 Gas1'!H128</f>
        <v>188595</v>
      </c>
      <c r="I188" s="1335">
        <f>'1.6.2 Gas1'!I128</f>
        <v>267733</v>
      </c>
      <c r="J188" s="1335" t="str">
        <f>'1.6.2 Gas1'!J128</f>
        <v>-</v>
      </c>
      <c r="K188" s="1335">
        <f>'1.6.2 Gas1'!K128</f>
        <v>75459</v>
      </c>
      <c r="L188" s="1335" t="str">
        <f>'1.6.2 Gas1'!L128</f>
        <v>-</v>
      </c>
      <c r="M188" s="1335">
        <f>'1.6.2 Gas1'!M128</f>
        <v>117624</v>
      </c>
      <c r="N188" s="1335">
        <f>'1.6.2 Gas1'!N128</f>
        <v>0</v>
      </c>
      <c r="O188" s="1335" t="str">
        <f>'1.6.2 Gas1'!O128</f>
        <v>-</v>
      </c>
      <c r="P188" s="1335">
        <f>'1.6.2 Gas1'!P128</f>
        <v>1005306</v>
      </c>
      <c r="Q188" s="1335">
        <f>'1.6.2 Gas1'!Q128</f>
        <v>1005306</v>
      </c>
      <c r="R188" s="111"/>
      <c r="S188" s="112"/>
      <c r="T188" s="134"/>
      <c r="U188" s="111"/>
      <c r="V188" s="112"/>
      <c r="W188" s="111"/>
      <c r="X188" s="134"/>
      <c r="Y188" s="134"/>
      <c r="Z188" s="112"/>
      <c r="AA188" s="1258"/>
      <c r="AB188" s="126"/>
      <c r="AC188" s="126"/>
      <c r="AD188" s="121"/>
      <c r="AN188" s="118" t="s">
        <v>518</v>
      </c>
      <c r="AO188" s="12"/>
      <c r="AP188" s="12"/>
      <c r="AQ188" s="135"/>
      <c r="AR188" s="112"/>
      <c r="AS188" s="137" t="s">
        <v>519</v>
      </c>
      <c r="AT188" s="112"/>
      <c r="AU188" s="112"/>
      <c r="AV188" s="126"/>
    </row>
    <row r="189" spans="1:54" x14ac:dyDescent="0.45">
      <c r="A189" s="10">
        <v>1999</v>
      </c>
      <c r="B189" s="1280"/>
      <c r="C189" s="1335">
        <f>'1.6.2 Gas1'!C129</f>
        <v>0</v>
      </c>
      <c r="D189" s="1335">
        <f>'1.6.2 Gas1'!D129</f>
        <v>0</v>
      </c>
      <c r="E189" s="1335" t="str">
        <f>'1.6.2 Gas1'!E129</f>
        <v>-</v>
      </c>
      <c r="F189" s="1335">
        <f>'1.6.2 Gas1'!F129</f>
        <v>358066</v>
      </c>
      <c r="G189" s="1335" t="str">
        <f>'1.6.2 Gas1'!G129</f>
        <v>-</v>
      </c>
      <c r="H189" s="1335">
        <f>'1.6.2 Gas1'!H129</f>
        <v>190415</v>
      </c>
      <c r="I189" s="1335">
        <f>'1.6.2 Gas1'!I129</f>
        <v>315493</v>
      </c>
      <c r="J189" s="1335" t="str">
        <f>'1.6.2 Gas1'!J129</f>
        <v>-</v>
      </c>
      <c r="K189" s="1335">
        <f>'1.6.2 Gas1'!K129</f>
        <v>102502</v>
      </c>
      <c r="L189" s="1335" t="str">
        <f>'1.6.2 Gas1'!L129</f>
        <v>-</v>
      </c>
      <c r="M189" s="1335">
        <f>'1.6.2 Gas1'!M129</f>
        <v>106487</v>
      </c>
      <c r="N189" s="1335">
        <f>'1.6.2 Gas1'!N129</f>
        <v>0</v>
      </c>
      <c r="O189" s="1335" t="str">
        <f>'1.6.2 Gas1'!O129</f>
        <v>-</v>
      </c>
      <c r="P189" s="1335">
        <f>'1.6.2 Gas1'!P129</f>
        <v>1072963</v>
      </c>
      <c r="Q189" s="1335">
        <f>'1.6.2 Gas1'!Q129</f>
        <v>1072963</v>
      </c>
      <c r="R189" s="111"/>
      <c r="S189" s="112"/>
      <c r="T189" s="134"/>
      <c r="U189" s="111"/>
      <c r="V189" s="112"/>
      <c r="W189" s="111"/>
      <c r="X189" s="134"/>
      <c r="Y189" s="134"/>
      <c r="Z189" s="112"/>
      <c r="AA189" s="1258"/>
      <c r="AB189" s="126"/>
      <c r="AC189" s="126"/>
      <c r="AD189" s="121"/>
      <c r="AN189" s="118" t="s">
        <v>520</v>
      </c>
      <c r="AO189" s="12"/>
      <c r="AP189" s="12"/>
      <c r="AQ189" s="135"/>
      <c r="AR189" s="112"/>
      <c r="AS189" s="112"/>
      <c r="AT189" s="112"/>
      <c r="AU189" s="112"/>
      <c r="AV189" s="126"/>
    </row>
    <row r="190" spans="1:54" x14ac:dyDescent="0.45">
      <c r="A190" s="12">
        <v>2000</v>
      </c>
      <c r="B190" s="1280"/>
      <c r="C190" s="1335">
        <f>'1.6.2 Gas1'!C130</f>
        <v>0</v>
      </c>
      <c r="D190" s="1335">
        <f>'1.6.2 Gas1'!D130</f>
        <v>0</v>
      </c>
      <c r="E190" s="1335" t="str">
        <f>'1.6.2 Gas1'!E130</f>
        <v>-</v>
      </c>
      <c r="F190" s="1335">
        <f>'1.6.2 Gas1'!F130</f>
        <v>369909</v>
      </c>
      <c r="G190" s="1335" t="str">
        <f>'1.6.2 Gas1'!G130</f>
        <v>-</v>
      </c>
      <c r="H190" s="1335">
        <f>'1.6.2 Gas1'!H130</f>
        <v>198506</v>
      </c>
      <c r="I190" s="1335">
        <f>'1.6.2 Gas1'!I130</f>
        <v>324563</v>
      </c>
      <c r="J190" s="1335" t="str">
        <f>'1.6.2 Gas1'!J130</f>
        <v>-</v>
      </c>
      <c r="K190" s="1335">
        <f>'1.6.2 Gas1'!K130</f>
        <v>102103</v>
      </c>
      <c r="L190" s="1335" t="str">
        <f>'1.6.2 Gas1'!L130</f>
        <v>-</v>
      </c>
      <c r="M190" s="1335">
        <f>'1.6.2 Gas1'!M130</f>
        <v>110456</v>
      </c>
      <c r="N190" s="1335">
        <f>'1.6.2 Gas1'!N130</f>
        <v>0</v>
      </c>
      <c r="O190" s="1335" t="str">
        <f>'1.6.2 Gas1'!O130</f>
        <v>-</v>
      </c>
      <c r="P190" s="1335">
        <f>'1.6.2 Gas1'!P130</f>
        <v>1105537</v>
      </c>
      <c r="Q190" s="1335">
        <f>'1.6.2 Gas1'!Q130</f>
        <v>1105537</v>
      </c>
      <c r="R190" s="111"/>
      <c r="S190" s="112"/>
      <c r="T190" s="134"/>
      <c r="U190" s="111"/>
      <c r="V190" s="112"/>
      <c r="W190" s="111"/>
      <c r="X190" s="134"/>
      <c r="Y190" s="134"/>
      <c r="Z190" s="112"/>
      <c r="AA190" s="1258"/>
      <c r="AB190" s="126"/>
      <c r="AC190" s="126"/>
      <c r="AD190" s="121"/>
      <c r="AN190" s="118" t="s">
        <v>521</v>
      </c>
      <c r="AO190" s="12"/>
      <c r="AP190" s="12"/>
      <c r="AQ190" s="135"/>
      <c r="AR190" s="112"/>
      <c r="AS190" s="112"/>
      <c r="AT190" s="112"/>
      <c r="AU190" s="112"/>
      <c r="AV190" s="126"/>
    </row>
    <row r="191" spans="1:54" s="122" customFormat="1" x14ac:dyDescent="0.45">
      <c r="A191" s="12">
        <v>2001</v>
      </c>
      <c r="B191" s="1309"/>
      <c r="C191" s="1335">
        <f>'1.6.2 Gas1'!C131</f>
        <v>0</v>
      </c>
      <c r="D191" s="1335">
        <f>'1.6.2 Gas1'!D131</f>
        <v>0</v>
      </c>
      <c r="E191" s="1335" t="str">
        <f>'1.6.2 Gas1'!E131</f>
        <v>-</v>
      </c>
      <c r="F191" s="1335">
        <f>'1.6.2 Gas1'!F131</f>
        <v>379426</v>
      </c>
      <c r="G191" s="1335" t="str">
        <f>'1.6.2 Gas1'!G131</f>
        <v>-</v>
      </c>
      <c r="H191" s="1335">
        <f>'1.6.2 Gas1'!H131</f>
        <v>191600</v>
      </c>
      <c r="I191" s="1335">
        <f>'1.6.2 Gas1'!I131</f>
        <v>312939</v>
      </c>
      <c r="J191" s="1335" t="str">
        <f>'1.6.2 Gas1'!J131</f>
        <v>-</v>
      </c>
      <c r="K191" s="1335">
        <f>'1.6.2 Gas1'!K131</f>
        <v>114653</v>
      </c>
      <c r="L191" s="1335" t="str">
        <f>'1.6.2 Gas1'!L131</f>
        <v>-</v>
      </c>
      <c r="M191" s="1335">
        <f>'1.6.2 Gas1'!M131</f>
        <v>113111</v>
      </c>
      <c r="N191" s="1335">
        <f>'1.6.2 Gas1'!N131</f>
        <v>0</v>
      </c>
      <c r="O191" s="1335" t="str">
        <f>'1.6.2 Gas1'!O131</f>
        <v>-</v>
      </c>
      <c r="P191" s="1335">
        <f>'1.6.2 Gas1'!P131</f>
        <v>1111729</v>
      </c>
      <c r="Q191" s="1335">
        <f>'1.6.2 Gas1'!Q131</f>
        <v>1111729</v>
      </c>
      <c r="R191" s="111"/>
      <c r="S191" s="111"/>
      <c r="T191" s="134"/>
      <c r="U191" s="111"/>
      <c r="V191" s="111"/>
      <c r="W191" s="111"/>
      <c r="X191" s="111"/>
      <c r="Y191" s="134"/>
      <c r="Z191" s="112"/>
      <c r="AA191" s="1258"/>
      <c r="AB191" s="1317"/>
      <c r="AC191" s="1258"/>
      <c r="AD191" s="121"/>
      <c r="AN191" s="118" t="s">
        <v>522</v>
      </c>
      <c r="AO191" s="12"/>
      <c r="AP191" s="12"/>
      <c r="AQ191" s="135"/>
      <c r="AR191" s="112"/>
      <c r="AS191" s="112"/>
      <c r="AT191" s="112"/>
      <c r="AU191" s="112"/>
      <c r="AV191" s="126"/>
      <c r="AW191" s="11"/>
      <c r="AX191" s="11"/>
      <c r="AY191" s="11"/>
      <c r="AZ191" s="11"/>
      <c r="BA191" s="11"/>
      <c r="BB191" s="11"/>
    </row>
    <row r="192" spans="1:54" s="122" customFormat="1" x14ac:dyDescent="0.45">
      <c r="A192" s="12">
        <v>2002</v>
      </c>
      <c r="B192" s="1280"/>
      <c r="C192" s="1335">
        <f>'1.6.2 Gas1'!C132</f>
        <v>0</v>
      </c>
      <c r="D192" s="1335">
        <f>'1.6.2 Gas1'!D132</f>
        <v>0</v>
      </c>
      <c r="E192" s="1335" t="str">
        <f>'1.6.2 Gas1'!E132</f>
        <v>-</v>
      </c>
      <c r="F192" s="1335">
        <f>'1.6.2 Gas1'!F132</f>
        <v>376372</v>
      </c>
      <c r="G192" s="1335" t="str">
        <f>'1.6.2 Gas1'!G132</f>
        <v>-</v>
      </c>
      <c r="H192" s="1335">
        <f>'1.6.2 Gas1'!H132</f>
        <v>176168</v>
      </c>
      <c r="I192" s="1335">
        <f>'1.6.2 Gas1'!I132</f>
        <v>329847</v>
      </c>
      <c r="J192" s="1335" t="str">
        <f>'1.6.2 Gas1'!J132</f>
        <v>-</v>
      </c>
      <c r="K192" s="1335">
        <f>'1.6.2 Gas1'!K132</f>
        <v>113047</v>
      </c>
      <c r="L192" s="1335" t="str">
        <f>'1.6.2 Gas1'!L132</f>
        <v>-</v>
      </c>
      <c r="M192" s="1335">
        <f>'1.6.2 Gas1'!M132</f>
        <v>100833</v>
      </c>
      <c r="N192" s="1335">
        <f>'1.6.2 Gas1'!N132</f>
        <v>0</v>
      </c>
      <c r="O192" s="1335" t="str">
        <f>'1.6.2 Gas1'!O132</f>
        <v>-</v>
      </c>
      <c r="P192" s="1335">
        <f>'1.6.2 Gas1'!P132</f>
        <v>1096267</v>
      </c>
      <c r="Q192" s="1335">
        <f>'1.6.2 Gas1'!Q132</f>
        <v>1096267</v>
      </c>
      <c r="R192" s="112"/>
      <c r="S192" s="134"/>
      <c r="T192" s="134"/>
      <c r="U192" s="111"/>
      <c r="V192" s="112"/>
      <c r="W192" s="111"/>
      <c r="X192" s="112"/>
      <c r="Y192" s="134"/>
      <c r="Z192" s="112"/>
      <c r="AA192" s="112"/>
      <c r="AB192" s="1317"/>
      <c r="AC192" s="112"/>
      <c r="AD192" s="121"/>
      <c r="AN192" s="118" t="s">
        <v>523</v>
      </c>
      <c r="AO192" s="12"/>
      <c r="AP192" s="12"/>
      <c r="AQ192" s="135"/>
      <c r="AR192" s="112"/>
      <c r="AS192" s="112"/>
      <c r="AT192" s="112"/>
      <c r="AU192" s="112"/>
      <c r="AV192" s="126"/>
      <c r="AW192" s="11"/>
      <c r="AX192" s="11"/>
      <c r="AY192" s="11"/>
      <c r="AZ192" s="11"/>
      <c r="BA192" s="11"/>
      <c r="BB192" s="11"/>
    </row>
    <row r="193" spans="1:54" s="122" customFormat="1" x14ac:dyDescent="0.45">
      <c r="A193" s="12">
        <v>2003</v>
      </c>
      <c r="B193" s="1280"/>
      <c r="C193" s="1335">
        <f>'1.6.2 Gas1'!C133</f>
        <v>0</v>
      </c>
      <c r="D193" s="1335">
        <f>'1.6.2 Gas1'!D133</f>
        <v>0</v>
      </c>
      <c r="E193" s="1335" t="str">
        <f>'1.6.2 Gas1'!E133</f>
        <v>-</v>
      </c>
      <c r="F193" s="1335">
        <f>'1.6.2 Gas1'!F133</f>
        <v>386486</v>
      </c>
      <c r="G193" s="1335" t="str">
        <f>'1.6.2 Gas1'!G133</f>
        <v>-</v>
      </c>
      <c r="H193" s="1335">
        <f>'1.6.2 Gas1'!H133</f>
        <v>176778</v>
      </c>
      <c r="I193" s="1335">
        <f>'1.6.2 Gas1'!I133</f>
        <v>324580</v>
      </c>
      <c r="J193" s="1335" t="str">
        <f>'1.6.2 Gas1'!J133</f>
        <v>-</v>
      </c>
      <c r="K193" s="1335">
        <f>'1.6.2 Gas1'!K133</f>
        <v>108197</v>
      </c>
      <c r="L193" s="1335" t="str">
        <f>'1.6.2 Gas1'!L133</f>
        <v>-</v>
      </c>
      <c r="M193" s="1335">
        <f>'1.6.2 Gas1'!M133</f>
        <v>106733</v>
      </c>
      <c r="N193" s="1335">
        <f>'1.6.2 Gas1'!N133</f>
        <v>0</v>
      </c>
      <c r="O193" s="1335" t="str">
        <f>'1.6.2 Gas1'!O133</f>
        <v>-</v>
      </c>
      <c r="P193" s="1335">
        <f>'1.6.2 Gas1'!P133</f>
        <v>1102774</v>
      </c>
      <c r="Q193" s="1335">
        <f>'1.6.2 Gas1'!Q133</f>
        <v>1102774</v>
      </c>
      <c r="R193" s="111"/>
      <c r="S193" s="111"/>
      <c r="T193" s="111"/>
      <c r="U193" s="111"/>
      <c r="V193" s="112"/>
      <c r="W193" s="111"/>
      <c r="X193" s="112"/>
      <c r="Y193" s="134"/>
      <c r="Z193" s="112"/>
      <c r="AA193" s="112"/>
      <c r="AB193" s="1317"/>
      <c r="AC193" s="112"/>
      <c r="AD193" s="121"/>
      <c r="AN193" s="118" t="s">
        <v>524</v>
      </c>
      <c r="AO193" s="12"/>
      <c r="AP193" s="12"/>
      <c r="AQ193" s="135"/>
      <c r="AR193" s="112"/>
      <c r="AS193" s="112"/>
      <c r="AT193" s="112"/>
      <c r="AU193" s="112"/>
      <c r="AV193" s="126"/>
      <c r="AW193" s="11"/>
      <c r="AX193" s="11"/>
      <c r="AY193" s="11"/>
      <c r="AZ193" s="11"/>
      <c r="BA193" s="11"/>
      <c r="BB193" s="11"/>
    </row>
    <row r="194" spans="1:54" s="122" customFormat="1" x14ac:dyDescent="0.45">
      <c r="A194" s="1330">
        <v>2004</v>
      </c>
      <c r="B194" s="1280"/>
      <c r="C194" s="1335">
        <f>'1.6.2 Gas1'!C134</f>
        <v>0</v>
      </c>
      <c r="D194" s="1335">
        <f>'1.6.2 Gas1'!D134</f>
        <v>0</v>
      </c>
      <c r="E194" s="1335" t="str">
        <f>'1.6.2 Gas1'!E134</f>
        <v>-</v>
      </c>
      <c r="F194" s="1335">
        <f>'1.6.2 Gas1'!F134</f>
        <v>396410.70629916881</v>
      </c>
      <c r="G194" s="1335" t="str">
        <f>'1.6.2 Gas1'!G134</f>
        <v>-</v>
      </c>
      <c r="H194" s="1335">
        <f>'1.6.2 Gas1'!H134</f>
        <v>164702.20024840863</v>
      </c>
      <c r="I194" s="1335">
        <f>'1.6.2 Gas1'!I134</f>
        <v>340824.3539961066</v>
      </c>
      <c r="J194" s="1335" t="str">
        <f>'1.6.2 Gas1'!J134</f>
        <v>-</v>
      </c>
      <c r="K194" s="1335">
        <f>'1.6.2 Gas1'!K134</f>
        <v>109583.51510168279</v>
      </c>
      <c r="L194" s="1335" t="str">
        <f>'1.6.2 Gas1'!L134</f>
        <v>-</v>
      </c>
      <c r="M194" s="1335">
        <f>'1.6.2 Gas1'!M134</f>
        <v>113474.92004223476</v>
      </c>
      <c r="N194" s="1335">
        <f>'1.6.2 Gas1'!N134</f>
        <v>0</v>
      </c>
      <c r="O194" s="1335" t="str">
        <f>'1.6.2 Gas1'!O134</f>
        <v>-</v>
      </c>
      <c r="P194" s="1335">
        <f>'1.6.2 Gas1'!P134</f>
        <v>1124995.6956876016</v>
      </c>
      <c r="Q194" s="1335">
        <f>'1.6.2 Gas1'!Q134</f>
        <v>1124995.6956876016</v>
      </c>
      <c r="R194" s="111"/>
      <c r="S194" s="111"/>
      <c r="T194" s="111"/>
      <c r="U194" s="111"/>
      <c r="V194" s="111"/>
      <c r="W194" s="111"/>
      <c r="X194" s="111"/>
      <c r="Y194" s="112"/>
      <c r="Z194" s="112"/>
      <c r="AA194" s="1258"/>
      <c r="AB194" s="126"/>
      <c r="AC194" s="1258"/>
      <c r="AD194" s="121"/>
      <c r="AN194" s="118" t="s">
        <v>525</v>
      </c>
      <c r="AO194" s="12"/>
      <c r="AP194" s="12"/>
      <c r="AQ194" s="135"/>
      <c r="AR194" s="112"/>
      <c r="AS194" s="112"/>
      <c r="AT194" s="112"/>
      <c r="AU194" s="112"/>
      <c r="AV194" s="126"/>
      <c r="AW194" s="11"/>
      <c r="AX194" s="11"/>
      <c r="AY194" s="11"/>
      <c r="AZ194" s="11"/>
      <c r="BA194" s="11"/>
      <c r="BB194" s="11"/>
    </row>
    <row r="195" spans="1:54" s="122" customFormat="1" x14ac:dyDescent="0.45">
      <c r="A195" s="12">
        <v>2005</v>
      </c>
      <c r="B195" s="1280"/>
      <c r="C195" s="1335">
        <f>'1.6.2 Gas1'!C135</f>
        <v>0</v>
      </c>
      <c r="D195" s="1335">
        <f>'1.6.2 Gas1'!D135</f>
        <v>0</v>
      </c>
      <c r="E195" s="1335" t="str">
        <f>'1.6.2 Gas1'!E135</f>
        <v>-</v>
      </c>
      <c r="F195" s="1335">
        <f>'1.6.2 Gas1'!F135</f>
        <v>381878.97176002502</v>
      </c>
      <c r="G195" s="1335" t="str">
        <f>'1.6.2 Gas1'!G135</f>
        <v>-</v>
      </c>
      <c r="H195" s="1335">
        <f>'1.6.2 Gas1'!H135</f>
        <v>160294.64573901996</v>
      </c>
      <c r="I195" s="1335">
        <f>'1.6.2 Gas1'!I135</f>
        <v>331657.71804868121</v>
      </c>
      <c r="J195" s="1335" t="str">
        <f>'1.6.2 Gas1'!J135</f>
        <v>-</v>
      </c>
      <c r="K195" s="1335">
        <f>'1.6.2 Gas1'!K135</f>
        <v>108708.74801056461</v>
      </c>
      <c r="L195" s="1335" t="str">
        <f>'1.6.2 Gas1'!L135</f>
        <v>-</v>
      </c>
      <c r="M195" s="1335">
        <f>'1.6.2 Gas1'!M135</f>
        <v>110791.18174369824</v>
      </c>
      <c r="N195" s="1335">
        <f>'1.6.2 Gas1'!N135</f>
        <v>0</v>
      </c>
      <c r="O195" s="1335" t="str">
        <f>'1.6.2 Gas1'!O135</f>
        <v>-</v>
      </c>
      <c r="P195" s="1335">
        <f>'1.6.2 Gas1'!P135</f>
        <v>1093331.2653019889</v>
      </c>
      <c r="Q195" s="1335">
        <f>'1.6.2 Gas1'!Q135</f>
        <v>1093331.2653019889</v>
      </c>
      <c r="R195" s="111"/>
      <c r="S195" s="111"/>
      <c r="T195" s="1258"/>
      <c r="U195" s="111"/>
      <c r="V195" s="1258"/>
      <c r="W195" s="111"/>
      <c r="X195" s="111"/>
      <c r="Y195" s="112"/>
      <c r="Z195" s="112"/>
      <c r="AA195" s="1258"/>
      <c r="AB195" s="126"/>
      <c r="AC195" s="1258"/>
      <c r="AD195" s="121"/>
      <c r="AN195" s="118" t="s">
        <v>526</v>
      </c>
      <c r="AO195" s="12"/>
      <c r="AP195" s="12"/>
      <c r="AQ195" s="135"/>
      <c r="AR195" s="112"/>
      <c r="AS195" s="112"/>
      <c r="AT195" s="112"/>
      <c r="AU195" s="112"/>
      <c r="AV195" s="126"/>
      <c r="AW195" s="11"/>
      <c r="AX195" s="11"/>
      <c r="AY195" s="11"/>
      <c r="AZ195" s="11"/>
      <c r="BA195" s="11"/>
      <c r="BB195" s="11"/>
    </row>
    <row r="196" spans="1:54" s="122" customFormat="1" x14ac:dyDescent="0.45">
      <c r="A196" s="12">
        <v>2006</v>
      </c>
      <c r="B196" s="1280"/>
      <c r="C196" s="1335">
        <f>'1.6.2 Gas1'!C136</f>
        <v>0</v>
      </c>
      <c r="D196" s="1335">
        <f>'1.6.2 Gas1'!D136</f>
        <v>0</v>
      </c>
      <c r="E196" s="1335" t="str">
        <f>'1.6.2 Gas1'!E136</f>
        <v>-</v>
      </c>
      <c r="F196" s="1335">
        <f>'1.6.2 Gas1'!F136</f>
        <v>366928.01925765234</v>
      </c>
      <c r="G196" s="1335" t="str">
        <f>'1.6.2 Gas1'!G136</f>
        <v>-</v>
      </c>
      <c r="H196" s="1335">
        <f>'1.6.2 Gas1'!H136</f>
        <v>153064.99607350782</v>
      </c>
      <c r="I196" s="1335">
        <f>'1.6.2 Gas1'!I136</f>
        <v>311407.73365403904</v>
      </c>
      <c r="J196" s="1335" t="str">
        <f>'1.6.2 Gas1'!J136</f>
        <v>-</v>
      </c>
      <c r="K196" s="1335">
        <f>'1.6.2 Gas1'!K136</f>
        <v>103270.24797461004</v>
      </c>
      <c r="L196" s="1335" t="str">
        <f>'1.6.2 Gas1'!L136</f>
        <v>-</v>
      </c>
      <c r="M196" s="1335">
        <f>'1.6.2 Gas1'!M136</f>
        <v>100653.54720868576</v>
      </c>
      <c r="N196" s="1335">
        <f>'1.6.2 Gas1'!N136</f>
        <v>0</v>
      </c>
      <c r="O196" s="1335" t="str">
        <f>'1.6.2 Gas1'!O136</f>
        <v>-</v>
      </c>
      <c r="P196" s="1335">
        <f>'1.6.2 Gas1'!P136</f>
        <v>1035324.5441684951</v>
      </c>
      <c r="Q196" s="1335">
        <f>'1.6.2 Gas1'!Q136</f>
        <v>1035324.5441684951</v>
      </c>
      <c r="R196" s="111"/>
      <c r="S196" s="111"/>
      <c r="T196" s="1258"/>
      <c r="U196" s="111"/>
      <c r="V196" s="111"/>
      <c r="W196" s="111"/>
      <c r="X196" s="111"/>
      <c r="Y196" s="112"/>
      <c r="Z196" s="112"/>
      <c r="AA196" s="1258"/>
      <c r="AB196" s="126"/>
      <c r="AC196" s="1258"/>
      <c r="AD196" s="121"/>
      <c r="AN196" s="118" t="s">
        <v>527</v>
      </c>
      <c r="AO196" s="12"/>
      <c r="AP196" s="12"/>
      <c r="AQ196" s="135"/>
      <c r="AR196" s="112"/>
      <c r="AS196" s="112"/>
      <c r="AT196" s="112"/>
      <c r="AU196" s="112"/>
      <c r="AV196" s="126"/>
      <c r="AW196" s="11"/>
      <c r="AX196" s="11"/>
      <c r="AY196" s="11"/>
      <c r="AZ196" s="11"/>
      <c r="BA196" s="11"/>
      <c r="BB196" s="11"/>
    </row>
    <row r="197" spans="1:54" s="122" customFormat="1" x14ac:dyDescent="0.45">
      <c r="A197" s="1332">
        <v>2007</v>
      </c>
      <c r="B197" s="1309"/>
      <c r="C197" s="1335">
        <f>'1.6.2 Gas1'!C137</f>
        <v>0</v>
      </c>
      <c r="D197" s="1335">
        <f>'1.6.2 Gas1'!D137</f>
        <v>0</v>
      </c>
      <c r="E197" s="1335" t="str">
        <f>'1.6.2 Gas1'!E137</f>
        <v>-</v>
      </c>
      <c r="F197" s="1335">
        <f>'1.6.2 Gas1'!F137</f>
        <v>352867.91019224894</v>
      </c>
      <c r="G197" s="1335" t="str">
        <f>'1.6.2 Gas1'!G137</f>
        <v>-</v>
      </c>
      <c r="H197" s="1335">
        <f>'1.6.2 Gas1'!H137</f>
        <v>144297.60855132563</v>
      </c>
      <c r="I197" s="1335">
        <f>'1.6.2 Gas1'!I137</f>
        <v>355878.03307060146</v>
      </c>
      <c r="J197" s="1335" t="str">
        <f>'1.6.2 Gas1'!J137</f>
        <v>-</v>
      </c>
      <c r="K197" s="1335">
        <f>'1.6.2 Gas1'!K137</f>
        <v>98945.795589415939</v>
      </c>
      <c r="L197" s="1335" t="str">
        <f>'1.6.2 Gas1'!L137</f>
        <v>-</v>
      </c>
      <c r="M197" s="1335">
        <f>'1.6.2 Gas1'!M137</f>
        <v>94827.296299549882</v>
      </c>
      <c r="N197" s="1335">
        <f>'1.6.2 Gas1'!N137</f>
        <v>0</v>
      </c>
      <c r="O197" s="1335" t="str">
        <f>'1.6.2 Gas1'!O137</f>
        <v>-</v>
      </c>
      <c r="P197" s="1335">
        <f>'1.6.2 Gas1'!P137</f>
        <v>1046816.6437031418</v>
      </c>
      <c r="Q197" s="1335">
        <f>'1.6.2 Gas1'!Q137</f>
        <v>1046816.6437031418</v>
      </c>
      <c r="R197" s="1311"/>
      <c r="S197" s="1311"/>
      <c r="T197" s="1311"/>
      <c r="U197" s="1313"/>
      <c r="V197" s="1311"/>
      <c r="W197" s="1311"/>
      <c r="X197" s="1311"/>
      <c r="Y197" s="1313"/>
      <c r="Z197" s="1313"/>
      <c r="AA197" s="1313"/>
      <c r="AB197" s="1334"/>
      <c r="AC197" s="1313"/>
      <c r="AD197" s="123"/>
      <c r="AN197" s="118" t="s">
        <v>528</v>
      </c>
      <c r="AO197" s="12"/>
      <c r="AP197" s="12"/>
      <c r="AQ197" s="135"/>
      <c r="AR197" s="112"/>
      <c r="AS197" s="112"/>
      <c r="AT197" s="112"/>
      <c r="AU197" s="112"/>
      <c r="AV197" s="126"/>
      <c r="AW197" s="11"/>
      <c r="AX197" s="11"/>
      <c r="AY197" s="11"/>
      <c r="AZ197" s="11"/>
      <c r="BA197" s="11"/>
      <c r="BB197" s="11"/>
    </row>
    <row r="198" spans="1:54" s="122" customFormat="1" x14ac:dyDescent="0.45">
      <c r="A198" s="12">
        <v>2008</v>
      </c>
      <c r="B198" s="1280"/>
      <c r="C198" s="1335">
        <f>'1.6.2 Gas1'!C138</f>
        <v>0</v>
      </c>
      <c r="D198" s="1335">
        <f>'1.6.2 Gas1'!D138</f>
        <v>0</v>
      </c>
      <c r="E198" s="1335" t="str">
        <f>'1.6.2 Gas1'!E138</f>
        <v>-</v>
      </c>
      <c r="F198" s="1335">
        <f>'1.6.2 Gas1'!F138</f>
        <v>359553.81775016722</v>
      </c>
      <c r="G198" s="1335" t="str">
        <f>'1.6.2 Gas1'!G138</f>
        <v>-</v>
      </c>
      <c r="H198" s="1335">
        <f>'1.6.2 Gas1'!H138</f>
        <v>136481.45750150408</v>
      </c>
      <c r="I198" s="1335">
        <f>'1.6.2 Gas1'!I138</f>
        <v>376810.49618231243</v>
      </c>
      <c r="J198" s="1335" t="str">
        <f>'1.6.2 Gas1'!J138</f>
        <v>-</v>
      </c>
      <c r="K198" s="1335">
        <f>'1.6.2 Gas1'!K138</f>
        <v>103039.39269947234</v>
      </c>
      <c r="L198" s="1335" t="str">
        <f>'1.6.2 Gas1'!L138</f>
        <v>-</v>
      </c>
      <c r="M198" s="1335">
        <f>'1.6.2 Gas1'!M138</f>
        <v>111142.90650973239</v>
      </c>
      <c r="N198" s="1335">
        <f>'1.6.2 Gas1'!N138</f>
        <v>0</v>
      </c>
      <c r="O198" s="1335" t="str">
        <f>'1.6.2 Gas1'!O138</f>
        <v>-</v>
      </c>
      <c r="P198" s="1335">
        <f>'1.6.2 Gas1'!P138</f>
        <v>1087028.0706431884</v>
      </c>
      <c r="Q198" s="1335">
        <f>'1.6.2 Gas1'!Q138</f>
        <v>1087028.0706431884</v>
      </c>
      <c r="R198" s="111"/>
      <c r="S198" s="111"/>
      <c r="T198" s="1335"/>
      <c r="U198" s="111"/>
      <c r="V198" s="111"/>
      <c r="W198" s="111"/>
      <c r="X198" s="111"/>
      <c r="Y198" s="112"/>
      <c r="Z198" s="112"/>
      <c r="AA198" s="1258"/>
      <c r="AB198" s="1261"/>
      <c r="AC198" s="111"/>
      <c r="AD198" s="124"/>
      <c r="AN198" s="118" t="s">
        <v>529</v>
      </c>
      <c r="AO198" s="12"/>
      <c r="AP198" s="12"/>
      <c r="AQ198" s="135"/>
      <c r="AR198" s="112"/>
      <c r="AS198" s="112"/>
      <c r="AT198" s="112"/>
      <c r="AU198" s="112"/>
      <c r="AV198" s="126"/>
      <c r="AW198" s="11"/>
      <c r="AX198" s="11"/>
      <c r="AY198" s="11"/>
      <c r="AZ198" s="11"/>
      <c r="BA198" s="11"/>
      <c r="BB198" s="11"/>
    </row>
    <row r="199" spans="1:54" s="122" customFormat="1" x14ac:dyDescent="0.45">
      <c r="A199" s="12">
        <v>2009</v>
      </c>
      <c r="B199" s="1280"/>
      <c r="C199" s="1335">
        <f>'1.6.2 Gas1'!C139</f>
        <v>0</v>
      </c>
      <c r="D199" s="1335">
        <f>'1.6.2 Gas1'!D139</f>
        <v>0</v>
      </c>
      <c r="E199" s="1335" t="str">
        <f>'1.6.2 Gas1'!E139</f>
        <v>-</v>
      </c>
      <c r="F199" s="1335">
        <f>'1.6.2 Gas1'!F139</f>
        <v>345199.28797677602</v>
      </c>
      <c r="G199" s="1335" t="str">
        <f>'1.6.2 Gas1'!G139</f>
        <v>-</v>
      </c>
      <c r="H199" s="1335">
        <f>'1.6.2 Gas1'!H139</f>
        <v>113250.75277875981</v>
      </c>
      <c r="I199" s="1335">
        <f>'1.6.2 Gas1'!I139</f>
        <v>359302.92960215866</v>
      </c>
      <c r="J199" s="1335" t="str">
        <f>'1.6.2 Gas1'!J139</f>
        <v>-</v>
      </c>
      <c r="K199" s="1335">
        <f>'1.6.2 Gas1'!K139</f>
        <v>102801.61546586484</v>
      </c>
      <c r="L199" s="1335" t="str">
        <f>'1.6.2 Gas1'!L139</f>
        <v>-</v>
      </c>
      <c r="M199" s="1335">
        <f>'1.6.2 Gas1'!M139</f>
        <v>93042.109352420579</v>
      </c>
      <c r="N199" s="1335">
        <f>'1.6.2 Gas1'!N139</f>
        <v>0</v>
      </c>
      <c r="O199" s="1335" t="str">
        <f>'1.6.2 Gas1'!O139</f>
        <v>-</v>
      </c>
      <c r="P199" s="1335">
        <f>'1.6.2 Gas1'!P139</f>
        <v>1013596.6951759799</v>
      </c>
      <c r="Q199" s="1335">
        <f>'1.6.2 Gas1'!Q139</f>
        <v>1013596.6951759799</v>
      </c>
      <c r="R199" s="1335"/>
      <c r="S199" s="111"/>
      <c r="T199" s="1335"/>
      <c r="U199" s="111"/>
      <c r="V199" s="111"/>
      <c r="W199" s="111"/>
      <c r="X199" s="111"/>
      <c r="Y199" s="112"/>
      <c r="Z199" s="112"/>
      <c r="AA199" s="1258"/>
      <c r="AB199" s="1261"/>
      <c r="AC199" s="111"/>
      <c r="AD199" s="124"/>
      <c r="AN199" s="118" t="s">
        <v>530</v>
      </c>
      <c r="AO199" s="12"/>
      <c r="AP199" s="12"/>
      <c r="AQ199" s="135"/>
      <c r="AR199" s="112"/>
      <c r="AS199" s="112"/>
      <c r="AT199" s="112"/>
      <c r="AU199" s="112"/>
      <c r="AV199" s="126"/>
      <c r="AW199" s="11"/>
      <c r="AX199" s="11"/>
      <c r="AY199" s="11"/>
      <c r="AZ199" s="11"/>
      <c r="BA199" s="11"/>
      <c r="BB199" s="11"/>
    </row>
    <row r="200" spans="1:54" s="122" customFormat="1" x14ac:dyDescent="0.45">
      <c r="A200" s="12">
        <v>2010</v>
      </c>
      <c r="B200" s="1280"/>
      <c r="C200" s="1335">
        <f>'1.6.2 Gas1'!C140</f>
        <v>0</v>
      </c>
      <c r="D200" s="1335">
        <f>'1.6.2 Gas1'!D140</f>
        <v>0</v>
      </c>
      <c r="E200" s="1335" t="str">
        <f>'1.6.2 Gas1'!E140</f>
        <v>-</v>
      </c>
      <c r="F200" s="1335">
        <f>'1.6.2 Gas1'!F140</f>
        <v>389595.49873115029</v>
      </c>
      <c r="G200" s="1335" t="str">
        <f>'1.6.2 Gas1'!G140</f>
        <v>-</v>
      </c>
      <c r="H200" s="1335">
        <f>'1.6.2 Gas1'!H140</f>
        <v>117357.52718165731</v>
      </c>
      <c r="I200" s="1335">
        <f>'1.6.2 Gas1'!I140</f>
        <v>377116.22983954672</v>
      </c>
      <c r="J200" s="1335" t="str">
        <f>'1.6.2 Gas1'!J140</f>
        <v>-</v>
      </c>
      <c r="K200" s="1335">
        <f>'1.6.2 Gas1'!K140</f>
        <v>108698.56592368957</v>
      </c>
      <c r="L200" s="1335" t="str">
        <f>'1.6.2 Gas1'!L140</f>
        <v>-</v>
      </c>
      <c r="M200" s="1335">
        <f>'1.6.2 Gas1'!M140</f>
        <v>101597.77334984906</v>
      </c>
      <c r="N200" s="1335">
        <f>'1.6.2 Gas1'!N140</f>
        <v>0</v>
      </c>
      <c r="O200" s="1335" t="str">
        <f>'1.6.2 Gas1'!O140</f>
        <v>-</v>
      </c>
      <c r="P200" s="1335">
        <f>'1.6.2 Gas1'!P140</f>
        <v>1094365.5950258931</v>
      </c>
      <c r="Q200" s="1335">
        <f>'1.6.2 Gas1'!Q140</f>
        <v>1094365.5950258931</v>
      </c>
      <c r="R200" s="1335"/>
      <c r="S200" s="111"/>
      <c r="T200" s="1335"/>
      <c r="U200" s="111"/>
      <c r="V200" s="111"/>
      <c r="W200" s="111"/>
      <c r="X200" s="111"/>
      <c r="Y200" s="112"/>
      <c r="Z200" s="112"/>
      <c r="AA200" s="1258"/>
      <c r="AB200" s="1261"/>
      <c r="AC200" s="111"/>
      <c r="AD200" s="124"/>
      <c r="AN200" s="118" t="s">
        <v>531</v>
      </c>
      <c r="AO200" s="12"/>
      <c r="AP200" s="12"/>
      <c r="AQ200" s="135"/>
      <c r="AR200" s="112"/>
      <c r="AS200" s="112"/>
      <c r="AT200" s="112"/>
      <c r="AU200" s="112"/>
      <c r="AV200" s="126"/>
      <c r="AW200" s="11"/>
      <c r="AX200" s="11"/>
      <c r="AY200" s="11"/>
      <c r="AZ200" s="11"/>
      <c r="BA200" s="11"/>
      <c r="BB200" s="11"/>
    </row>
    <row r="201" spans="1:54" s="122" customFormat="1" x14ac:dyDescent="0.45">
      <c r="A201" s="12">
        <v>2011</v>
      </c>
      <c r="B201" s="1280"/>
      <c r="C201" s="1335">
        <f>'1.6.2 Gas1'!C141</f>
        <v>0</v>
      </c>
      <c r="D201" s="1335">
        <f>'1.6.2 Gas1'!D141</f>
        <v>0</v>
      </c>
      <c r="E201" s="1335" t="str">
        <f>'1.6.2 Gas1'!E141</f>
        <v>-</v>
      </c>
      <c r="F201" s="1335">
        <f>'1.6.2 Gas1'!F141</f>
        <v>308840.75123267877</v>
      </c>
      <c r="G201" s="1335" t="str">
        <f>'1.6.2 Gas1'!G141</f>
        <v>-</v>
      </c>
      <c r="H201" s="1335">
        <f>'1.6.2 Gas1'!H141</f>
        <v>110704.27992321718</v>
      </c>
      <c r="I201" s="1335">
        <f>'1.6.2 Gas1'!I141</f>
        <v>309076.42444384791</v>
      </c>
      <c r="J201" s="1335" t="str">
        <f>'1.6.2 Gas1'!J141</f>
        <v>-</v>
      </c>
      <c r="K201" s="1335">
        <f>'1.6.2 Gas1'!K141</f>
        <v>96168.410830410576</v>
      </c>
      <c r="L201" s="1335" t="str">
        <f>'1.6.2 Gas1'!L141</f>
        <v>-</v>
      </c>
      <c r="M201" s="1335">
        <f>'1.6.2 Gas1'!M141</f>
        <v>85415.874778267142</v>
      </c>
      <c r="N201" s="1335">
        <f>'1.6.2 Gas1'!N141</f>
        <v>0</v>
      </c>
      <c r="O201" s="1335" t="str">
        <f>'1.6.2 Gas1'!O141</f>
        <v>-</v>
      </c>
      <c r="P201" s="1335">
        <f>'1.6.2 Gas1'!P141</f>
        <v>910205.74120842153</v>
      </c>
      <c r="Q201" s="1335">
        <f>'1.6.2 Gas1'!Q141</f>
        <v>910205.74120842153</v>
      </c>
      <c r="R201" s="1335"/>
      <c r="S201" s="111"/>
      <c r="T201" s="1335"/>
      <c r="U201" s="111"/>
      <c r="V201" s="111"/>
      <c r="W201" s="111"/>
      <c r="X201" s="111"/>
      <c r="Y201" s="112"/>
      <c r="Z201" s="112"/>
      <c r="AA201" s="1258"/>
      <c r="AB201" s="1261"/>
      <c r="AC201" s="111"/>
      <c r="AD201" s="124"/>
      <c r="AN201" s="118" t="s">
        <v>532</v>
      </c>
      <c r="AO201" s="12"/>
      <c r="AP201" s="12"/>
      <c r="AQ201" s="135"/>
      <c r="AR201" s="112"/>
      <c r="AS201" s="112"/>
      <c r="AT201" s="112"/>
      <c r="AU201" s="112"/>
      <c r="AV201" s="126"/>
      <c r="AW201" s="11"/>
      <c r="AX201" s="11"/>
      <c r="AY201" s="11"/>
      <c r="AZ201" s="11"/>
      <c r="BA201" s="11"/>
      <c r="BB201" s="11"/>
    </row>
    <row r="202" spans="1:54" s="122" customFormat="1" x14ac:dyDescent="0.45">
      <c r="A202" s="12">
        <v>2012</v>
      </c>
      <c r="B202" s="1280"/>
      <c r="C202" s="1335">
        <f>'1.6.2 Gas1'!C142</f>
        <v>0</v>
      </c>
      <c r="D202" s="1335">
        <f>'1.6.2 Gas1'!D142</f>
        <v>0</v>
      </c>
      <c r="E202" s="1335" t="str">
        <f>'1.6.2 Gas1'!E142</f>
        <v>-</v>
      </c>
      <c r="F202" s="1335">
        <f>'1.6.2 Gas1'!F142</f>
        <v>343180.11441366782</v>
      </c>
      <c r="G202" s="1335" t="str">
        <f>'1.6.2 Gas1'!G142</f>
        <v>-</v>
      </c>
      <c r="H202" s="1335">
        <f>'1.6.2 Gas1'!H142</f>
        <v>108364.6836138369</v>
      </c>
      <c r="I202" s="1335">
        <f>'1.6.2 Gas1'!I142</f>
        <v>216542.54275597868</v>
      </c>
      <c r="J202" s="1335" t="str">
        <f>'1.6.2 Gas1'!J142</f>
        <v>-</v>
      </c>
      <c r="K202" s="1335">
        <f>'1.6.2 Gas1'!K142</f>
        <v>87215.269510481841</v>
      </c>
      <c r="L202" s="1335" t="str">
        <f>'1.6.2 Gas1'!L142</f>
        <v>-</v>
      </c>
      <c r="M202" s="1335">
        <f>'1.6.2 Gas1'!M142</f>
        <v>99127.601306634329</v>
      </c>
      <c r="N202" s="1335">
        <f>'1.6.2 Gas1'!N142</f>
        <v>0</v>
      </c>
      <c r="O202" s="1335" t="str">
        <f>'1.6.2 Gas1'!O142</f>
        <v>-</v>
      </c>
      <c r="P202" s="1335">
        <f>'1.6.2 Gas1'!P142</f>
        <v>854430.21160059958</v>
      </c>
      <c r="Q202" s="1335">
        <f>'1.6.2 Gas1'!Q142</f>
        <v>854430.21160059958</v>
      </c>
      <c r="R202" s="1335"/>
      <c r="S202" s="111"/>
      <c r="T202" s="1335"/>
      <c r="U202" s="111"/>
      <c r="V202" s="111"/>
      <c r="W202" s="111"/>
      <c r="X202" s="111"/>
      <c r="Y202" s="112"/>
      <c r="Z202" s="112"/>
      <c r="AA202" s="1258"/>
      <c r="AB202" s="1261"/>
      <c r="AC202" s="111"/>
      <c r="AD202" s="124"/>
      <c r="AN202" s="118" t="s">
        <v>533</v>
      </c>
      <c r="AO202" s="12"/>
      <c r="AP202" s="12"/>
      <c r="AQ202" s="135"/>
      <c r="AR202" s="112"/>
      <c r="AS202" s="112"/>
      <c r="AT202" s="112"/>
      <c r="AU202" s="112"/>
      <c r="AV202" s="126"/>
      <c r="AW202" s="11"/>
      <c r="AX202" s="11"/>
      <c r="AY202" s="11"/>
      <c r="AZ202" s="11"/>
      <c r="BA202" s="11"/>
      <c r="BB202" s="11"/>
    </row>
    <row r="203" spans="1:54" s="122" customFormat="1" x14ac:dyDescent="0.45">
      <c r="A203" s="12">
        <v>2013</v>
      </c>
      <c r="B203" s="1336"/>
      <c r="C203" s="1335">
        <f>'1.6.2 Gas1'!C143</f>
        <v>0</v>
      </c>
      <c r="D203" s="1335">
        <f>'1.6.2 Gas1'!D143</f>
        <v>0</v>
      </c>
      <c r="E203" s="1335" t="str">
        <f>'1.6.2 Gas1'!E143</f>
        <v>-</v>
      </c>
      <c r="F203" s="1335">
        <f>'1.6.2 Gas1'!F143</f>
        <v>344500.96168994042</v>
      </c>
      <c r="G203" s="1335" t="str">
        <f>'1.6.2 Gas1'!G143</f>
        <v>-</v>
      </c>
      <c r="H203" s="1335">
        <f>'1.6.2 Gas1'!H143</f>
        <v>110612.58012829509</v>
      </c>
      <c r="I203" s="1335">
        <f>'1.6.2 Gas1'!I143</f>
        <v>205868.85313140677</v>
      </c>
      <c r="J203" s="1335" t="str">
        <f>'1.6.2 Gas1'!J143</f>
        <v>-</v>
      </c>
      <c r="K203" s="1335">
        <f>'1.6.2 Gas1'!K143</f>
        <v>84993.93425250439</v>
      </c>
      <c r="L203" s="1335" t="str">
        <f>'1.6.2 Gas1'!L143</f>
        <v>-</v>
      </c>
      <c r="M203" s="1335">
        <f>'1.6.2 Gas1'!M143</f>
        <v>102087.60979821291</v>
      </c>
      <c r="N203" s="1335">
        <f>'1.6.2 Gas1'!N143</f>
        <v>0</v>
      </c>
      <c r="O203" s="1335" t="str">
        <f>'1.6.2 Gas1'!O143</f>
        <v>-</v>
      </c>
      <c r="P203" s="1335">
        <f>'1.6.2 Gas1'!P143</f>
        <v>848063.9390003595</v>
      </c>
      <c r="Q203" s="1335">
        <f>'1.6.2 Gas1'!Q143</f>
        <v>848063.9390003595</v>
      </c>
      <c r="R203" s="1335"/>
      <c r="S203" s="1335"/>
      <c r="T203" s="1335"/>
      <c r="U203" s="1335"/>
      <c r="V203" s="1335"/>
      <c r="W203" s="1335"/>
      <c r="X203" s="1335"/>
      <c r="Y203" s="125"/>
      <c r="Z203" s="125"/>
      <c r="AA203" s="1324"/>
      <c r="AB203" s="1261"/>
      <c r="AC203" s="1335"/>
      <c r="AD203" s="124"/>
      <c r="AN203" s="118" t="s">
        <v>534</v>
      </c>
      <c r="AO203" s="118"/>
      <c r="AP203" s="118"/>
      <c r="AQ203" s="135"/>
      <c r="AR203" s="112"/>
      <c r="AS203" s="112"/>
      <c r="AT203" s="112"/>
      <c r="AU203" s="112"/>
      <c r="AV203" s="126"/>
      <c r="AW203" s="11"/>
      <c r="AX203" s="11"/>
      <c r="AY203" s="11"/>
      <c r="AZ203" s="11"/>
      <c r="BA203" s="11"/>
      <c r="BB203" s="11"/>
    </row>
    <row r="204" spans="1:54" x14ac:dyDescent="0.45">
      <c r="A204" s="12">
        <v>2014</v>
      </c>
      <c r="B204" s="1336"/>
      <c r="C204" s="1335">
        <f>'1.6.2 Gas1'!C144</f>
        <v>0</v>
      </c>
      <c r="D204" s="1335">
        <f>'1.6.2 Gas1'!D144</f>
        <v>0</v>
      </c>
      <c r="E204" s="1335" t="str">
        <f>'1.6.2 Gas1'!E144</f>
        <v>-</v>
      </c>
      <c r="F204" s="1335">
        <f>'1.6.2 Gas1'!F144</f>
        <v>283690.9906583624</v>
      </c>
      <c r="G204" s="1335" t="str">
        <f>'1.6.2 Gas1'!G144</f>
        <v>-</v>
      </c>
      <c r="H204" s="1335">
        <f>'1.6.2 Gas1'!H144</f>
        <v>106065.88075913517</v>
      </c>
      <c r="I204" s="1335">
        <f>'1.6.2 Gas1'!I144</f>
        <v>217836.95006090362</v>
      </c>
      <c r="J204" s="1335" t="str">
        <f>'1.6.2 Gas1'!J144</f>
        <v>-</v>
      </c>
      <c r="K204" s="1335">
        <f>'1.6.2 Gas1'!K144</f>
        <v>84956.929756357422</v>
      </c>
      <c r="L204" s="1335" t="str">
        <f>'1.6.2 Gas1'!L144</f>
        <v>-</v>
      </c>
      <c r="M204" s="1335">
        <f>'1.6.2 Gas1'!M144</f>
        <v>85843.77621388885</v>
      </c>
      <c r="N204" s="1335">
        <f>'1.6.2 Gas1'!N144</f>
        <v>0</v>
      </c>
      <c r="O204" s="1335" t="str">
        <f>'1.6.2 Gas1'!O144</f>
        <v>-</v>
      </c>
      <c r="P204" s="1335">
        <f>'1.6.2 Gas1'!P144</f>
        <v>778394.52744864754</v>
      </c>
      <c r="Q204" s="1335">
        <f>'1.6.2 Gas1'!Q144</f>
        <v>778394.52744864754</v>
      </c>
      <c r="R204" s="1335"/>
      <c r="S204" s="1335"/>
      <c r="T204" s="1335"/>
      <c r="U204" s="1335"/>
      <c r="V204" s="1335"/>
      <c r="W204" s="1335"/>
      <c r="X204" s="1335"/>
      <c r="Y204" s="125"/>
      <c r="Z204" s="125"/>
      <c r="AA204" s="1324"/>
      <c r="AB204" s="1324"/>
      <c r="AC204" s="1335"/>
      <c r="AD204" s="124"/>
      <c r="AN204" s="118" t="s">
        <v>535</v>
      </c>
      <c r="AO204" s="118"/>
      <c r="AP204" s="118"/>
      <c r="AQ204" s="135"/>
      <c r="AR204" s="112"/>
      <c r="AS204" s="112"/>
      <c r="AT204" s="112"/>
      <c r="AU204" s="112"/>
      <c r="AV204" s="126"/>
    </row>
    <row r="205" spans="1:54" x14ac:dyDescent="0.45">
      <c r="A205" s="12">
        <v>2015</v>
      </c>
      <c r="B205" s="1336"/>
      <c r="C205" s="1335">
        <f>'1.6.2 Gas1'!C145</f>
        <v>0</v>
      </c>
      <c r="D205" s="1335">
        <f>'1.6.2 Gas1'!D145</f>
        <v>0</v>
      </c>
      <c r="E205" s="1335" t="str">
        <f>'1.6.2 Gas1'!E145</f>
        <v>-</v>
      </c>
      <c r="F205" s="1335">
        <f>'1.6.2 Gas1'!F145</f>
        <v>297581.64172281866</v>
      </c>
      <c r="G205" s="1335" t="str">
        <f>'1.6.2 Gas1'!G145</f>
        <v>-</v>
      </c>
      <c r="H205" s="1335">
        <f>'1.6.2 Gas1'!H145</f>
        <v>103157.81422884835</v>
      </c>
      <c r="I205" s="1335">
        <f>'1.6.2 Gas1'!I145</f>
        <v>212289.04032194518</v>
      </c>
      <c r="J205" s="1335" t="str">
        <f>'1.6.2 Gas1'!J145</f>
        <v>-</v>
      </c>
      <c r="K205" s="1335">
        <f>'1.6.2 Gas1'!K145</f>
        <v>95359.242920466029</v>
      </c>
      <c r="L205" s="1335" t="str">
        <f>'1.6.2 Gas1'!L145</f>
        <v>-</v>
      </c>
      <c r="M205" s="1335">
        <f>'1.6.2 Gas1'!M145</f>
        <v>91763.504624804176</v>
      </c>
      <c r="N205" s="1335">
        <f>'1.6.2 Gas1'!N145</f>
        <v>0</v>
      </c>
      <c r="O205" s="1335" t="str">
        <f>'1.6.2 Gas1'!O145</f>
        <v>-</v>
      </c>
      <c r="P205" s="1335">
        <f>'1.6.2 Gas1'!P145</f>
        <v>800151.24381888239</v>
      </c>
      <c r="Q205" s="1335">
        <f>'1.6.2 Gas1'!Q145</f>
        <v>800151.24381888239</v>
      </c>
      <c r="R205" s="1335"/>
      <c r="S205" s="1335"/>
      <c r="T205" s="1335"/>
      <c r="U205" s="1335"/>
      <c r="V205" s="1335"/>
      <c r="W205" s="1335"/>
      <c r="X205" s="1335"/>
      <c r="Y205" s="125"/>
      <c r="Z205" s="125"/>
      <c r="AA205" s="1324"/>
      <c r="AB205" s="1261"/>
      <c r="AC205" s="1335"/>
      <c r="AD205" s="124"/>
      <c r="AN205" s="118" t="s">
        <v>536</v>
      </c>
      <c r="AO205" s="118"/>
      <c r="AP205" s="118"/>
      <c r="AQ205" s="135"/>
      <c r="AR205" s="112"/>
      <c r="AS205" s="112"/>
      <c r="AT205" s="112"/>
      <c r="AU205" s="112"/>
      <c r="AV205" s="126"/>
    </row>
    <row r="206" spans="1:54" x14ac:dyDescent="0.45">
      <c r="A206" s="12">
        <v>2016</v>
      </c>
      <c r="B206" s="1336"/>
      <c r="C206" s="1335">
        <f>'1.6.2 Gas1'!C146</f>
        <v>0</v>
      </c>
      <c r="D206" s="1335">
        <f>'1.6.2 Gas1'!D146</f>
        <v>0</v>
      </c>
      <c r="E206" s="1335" t="str">
        <f>'1.6.2 Gas1'!E146</f>
        <v>-</v>
      </c>
      <c r="F206" s="1335">
        <f>'1.6.2 Gas1'!F146</f>
        <v>305874.95458435902</v>
      </c>
      <c r="G206" s="1335" t="str">
        <f>'1.6.2 Gas1'!G146</f>
        <v>-</v>
      </c>
      <c r="H206" s="1335">
        <f>'1.6.2 Gas1'!H146</f>
        <v>105960.85326614317</v>
      </c>
      <c r="I206" s="1335">
        <f>'1.6.2 Gas1'!I146</f>
        <v>298075.47510639147</v>
      </c>
      <c r="J206" s="1335" t="str">
        <f>'1.6.2 Gas1'!J146</f>
        <v>-</v>
      </c>
      <c r="K206" s="1335">
        <f>'1.6.2 Gas1'!K146</f>
        <v>86721.204474543454</v>
      </c>
      <c r="L206" s="1335" t="str">
        <f>'1.6.2 Gas1'!L146</f>
        <v>-</v>
      </c>
      <c r="M206" s="1335">
        <f>'1.6.2 Gas1'!M146</f>
        <v>94332.936311611862</v>
      </c>
      <c r="N206" s="1335">
        <f>'1.6.2 Gas1'!N146</f>
        <v>0</v>
      </c>
      <c r="O206" s="1335" t="str">
        <f>'1.6.2 Gas1'!O146</f>
        <v>-</v>
      </c>
      <c r="P206" s="1335">
        <f>'1.6.2 Gas1'!P146</f>
        <v>890965.42374304903</v>
      </c>
      <c r="Q206" s="1335">
        <f>'1.6.2 Gas1'!Q146</f>
        <v>890965.42374304903</v>
      </c>
      <c r="R206" s="1335"/>
      <c r="S206" s="1335"/>
      <c r="T206" s="1335"/>
      <c r="U206" s="1335"/>
      <c r="V206" s="1335"/>
      <c r="W206" s="1335"/>
      <c r="X206" s="1335"/>
      <c r="Y206" s="125"/>
      <c r="Z206" s="125"/>
      <c r="AA206" s="1324"/>
      <c r="AB206" s="1324"/>
      <c r="AC206" s="1335"/>
      <c r="AD206" s="124"/>
      <c r="AN206" s="118" t="s">
        <v>537</v>
      </c>
      <c r="AO206" s="118"/>
      <c r="AP206" s="118"/>
      <c r="AQ206" s="135"/>
      <c r="AR206" s="112"/>
      <c r="AS206" s="112"/>
      <c r="AT206" s="112"/>
      <c r="AU206" s="112"/>
      <c r="AV206" s="126"/>
    </row>
    <row r="207" spans="1:54" x14ac:dyDescent="0.45">
      <c r="A207" s="12">
        <v>2017</v>
      </c>
      <c r="B207" s="1336"/>
      <c r="C207" s="1335">
        <f>'1.6.2 Gas1'!C147</f>
        <v>0</v>
      </c>
      <c r="D207" s="1335">
        <f>'1.6.2 Gas1'!D147</f>
        <v>0</v>
      </c>
      <c r="E207" s="1335" t="str">
        <f>'1.6.2 Gas1'!E147</f>
        <v>-</v>
      </c>
      <c r="F207" s="1335">
        <f>'1.6.2 Gas1'!F147</f>
        <v>295076.52304104436</v>
      </c>
      <c r="G207" s="1335" t="str">
        <f>'1.6.2 Gas1'!G147</f>
        <v>-</v>
      </c>
      <c r="H207" s="1335">
        <f>'1.6.2 Gas1'!H147</f>
        <v>108537.92306170525</v>
      </c>
      <c r="I207" s="1335">
        <f>'1.6.2 Gas1'!I147</f>
        <v>286031.45323530148</v>
      </c>
      <c r="J207" s="1335" t="str">
        <f>'1.6.2 Gas1'!J147</f>
        <v>-</v>
      </c>
      <c r="K207" s="1335">
        <f>'1.6.2 Gas1'!K147</f>
        <v>86477.251089882076</v>
      </c>
      <c r="L207" s="1335" t="str">
        <f>'1.6.2 Gas1'!L147</f>
        <v>-</v>
      </c>
      <c r="M207" s="1335">
        <f>'1.6.2 Gas1'!M147</f>
        <v>91714.339392320719</v>
      </c>
      <c r="N207" s="1335">
        <f>'1.6.2 Gas1'!N147</f>
        <v>0</v>
      </c>
      <c r="O207" s="1335" t="str">
        <f>'1.6.2 Gas1'!O147</f>
        <v>-</v>
      </c>
      <c r="P207" s="1335">
        <f>'1.6.2 Gas1'!P147</f>
        <v>867837.48982025392</v>
      </c>
      <c r="Q207" s="1335">
        <f>'1.6.2 Gas1'!Q147</f>
        <v>867837.48982025392</v>
      </c>
      <c r="R207" s="1335"/>
      <c r="S207" s="1335"/>
      <c r="T207" s="1335"/>
      <c r="U207" s="1335"/>
      <c r="V207" s="1335"/>
      <c r="W207" s="1335"/>
      <c r="X207" s="1335"/>
      <c r="Y207" s="125"/>
      <c r="Z207" s="125"/>
      <c r="AA207" s="1324"/>
      <c r="AB207" s="1324"/>
      <c r="AC207" s="1335"/>
      <c r="AD207" s="124"/>
      <c r="AN207" s="118" t="s">
        <v>538</v>
      </c>
      <c r="AO207" s="118"/>
      <c r="AP207" s="118"/>
      <c r="AS207" s="112"/>
      <c r="AV207" s="1347"/>
    </row>
    <row r="208" spans="1:54" x14ac:dyDescent="0.45">
      <c r="A208" s="12">
        <v>2018</v>
      </c>
      <c r="B208" s="1336"/>
      <c r="C208" s="1335">
        <f>'1.6.2 Gas1'!C148</f>
        <v>0</v>
      </c>
      <c r="D208" s="1335">
        <f>'1.6.2 Gas1'!D148</f>
        <v>0</v>
      </c>
      <c r="E208" s="1335" t="str">
        <f>'1.6.2 Gas1'!E148</f>
        <v>-</v>
      </c>
      <c r="F208" s="1335">
        <f>'1.6.2 Gas1'!F148</f>
        <v>309170.32795238006</v>
      </c>
      <c r="G208" s="1335" t="str">
        <f>'1.6.2 Gas1'!G148</f>
        <v>-</v>
      </c>
      <c r="H208" s="1335">
        <f>'1.6.2 Gas1'!H148</f>
        <v>110535.20131163689</v>
      </c>
      <c r="I208" s="1335">
        <f>'1.6.2 Gas1'!I148</f>
        <v>273397.56142487167</v>
      </c>
      <c r="J208" s="1335" t="str">
        <f>'1.6.2 Gas1'!J148</f>
        <v>-</v>
      </c>
      <c r="K208" s="1335">
        <f>'1.6.2 Gas1'!K148</f>
        <v>86282.030775375737</v>
      </c>
      <c r="L208" s="1335" t="str">
        <f>'1.6.2 Gas1'!L148</f>
        <v>-</v>
      </c>
      <c r="M208" s="1335">
        <f>'1.6.2 Gas1'!M148</f>
        <v>94661.612778126306</v>
      </c>
      <c r="N208" s="1335">
        <f>'1.6.2 Gas1'!N148</f>
        <v>0</v>
      </c>
      <c r="O208" s="1335" t="str">
        <f>'1.6.2 Gas1'!O148</f>
        <v>-</v>
      </c>
      <c r="P208" s="1335">
        <f>'1.6.2 Gas1'!P148</f>
        <v>874046.73424239072</v>
      </c>
      <c r="Q208" s="1335">
        <f>'1.6.2 Gas1'!Q148</f>
        <v>874046.73424239072</v>
      </c>
      <c r="R208" s="1335"/>
      <c r="S208" s="1335"/>
      <c r="T208" s="1335"/>
      <c r="U208" s="1335"/>
      <c r="V208" s="1335"/>
      <c r="W208" s="1335"/>
      <c r="X208" s="1335"/>
      <c r="Y208" s="125"/>
      <c r="Z208" s="125"/>
      <c r="AA208" s="1324"/>
      <c r="AB208" s="1324"/>
      <c r="AC208" s="1335"/>
      <c r="AD208" s="124"/>
      <c r="AN208" s="118" t="s">
        <v>539</v>
      </c>
      <c r="AO208" s="118"/>
      <c r="AP208" s="118"/>
      <c r="AV208" s="1347"/>
    </row>
    <row r="209" spans="1:54" x14ac:dyDescent="0.45">
      <c r="A209" s="12"/>
      <c r="B209" s="112"/>
      <c r="C209" s="125"/>
      <c r="D209" s="125"/>
      <c r="E209" s="125"/>
      <c r="F209" s="125"/>
      <c r="G209" s="125"/>
      <c r="H209" s="125"/>
      <c r="I209" s="125"/>
      <c r="J209" s="125"/>
      <c r="K209" s="125"/>
      <c r="L209" s="125"/>
      <c r="M209" s="125"/>
      <c r="N209" s="125"/>
      <c r="O209" s="125"/>
      <c r="P209" s="125"/>
      <c r="Q209" s="126"/>
      <c r="R209" s="125"/>
      <c r="S209" s="125"/>
      <c r="T209" s="125"/>
      <c r="U209" s="125"/>
      <c r="V209" s="125"/>
      <c r="W209" s="125"/>
      <c r="X209" s="125"/>
      <c r="Y209" s="125"/>
      <c r="Z209" s="125"/>
      <c r="AA209" s="125"/>
      <c r="AB209" s="126"/>
      <c r="AC209" s="125"/>
      <c r="AD209" s="12"/>
      <c r="AN209" s="118" t="s">
        <v>540</v>
      </c>
      <c r="AO209" s="118"/>
      <c r="AP209" s="118"/>
      <c r="AQ209" s="118"/>
      <c r="AR209" s="118"/>
      <c r="AT209" s="118"/>
      <c r="AU209" s="118"/>
      <c r="AV209" s="1347"/>
    </row>
    <row r="210" spans="1:54" s="127" customFormat="1" x14ac:dyDescent="0.45">
      <c r="A210" s="1338" t="s">
        <v>250</v>
      </c>
      <c r="B210" s="129"/>
      <c r="C210" s="129"/>
      <c r="D210" s="129"/>
      <c r="E210" s="129"/>
      <c r="F210" s="129"/>
      <c r="G210" s="129"/>
      <c r="H210" s="129"/>
      <c r="I210" s="129"/>
      <c r="J210" s="129"/>
      <c r="K210" s="129"/>
      <c r="L210" s="129"/>
      <c r="M210" s="129"/>
      <c r="N210" s="129"/>
      <c r="O210" s="129"/>
      <c r="P210" s="129"/>
      <c r="Q210" s="129"/>
      <c r="R210" s="129"/>
      <c r="S210" s="129"/>
      <c r="T210" s="125"/>
      <c r="U210" s="129"/>
      <c r="V210" s="129"/>
      <c r="W210" s="125"/>
      <c r="X210" s="129"/>
      <c r="Y210" s="129"/>
      <c r="AN210" s="118" t="s">
        <v>541</v>
      </c>
      <c r="AO210" s="118"/>
      <c r="AP210" s="118"/>
      <c r="AQ210" s="118"/>
      <c r="AR210" s="118"/>
      <c r="AS210" s="118"/>
      <c r="AT210" s="118"/>
      <c r="AU210" s="118"/>
      <c r="AV210" s="1347"/>
      <c r="AW210" s="11"/>
      <c r="AX210" s="11"/>
      <c r="AY210" s="11"/>
      <c r="AZ210" s="11"/>
      <c r="BA210" s="11"/>
      <c r="BB210" s="11"/>
    </row>
    <row r="211" spans="1:54" s="127" customFormat="1" x14ac:dyDescent="0.45">
      <c r="A211" s="128" t="s">
        <v>282</v>
      </c>
      <c r="B211" s="129"/>
      <c r="C211" s="129"/>
      <c r="D211" s="129"/>
      <c r="E211" s="129"/>
      <c r="F211" s="129"/>
      <c r="G211" s="129"/>
      <c r="H211" s="1339" t="s">
        <v>283</v>
      </c>
      <c r="I211" s="129"/>
      <c r="J211" s="129"/>
      <c r="K211" s="129"/>
      <c r="L211" s="129"/>
      <c r="M211" s="129"/>
      <c r="N211" s="129"/>
      <c r="O211" s="129"/>
      <c r="P211" s="129"/>
      <c r="Q211" s="129"/>
      <c r="R211" s="129"/>
      <c r="S211" s="129"/>
      <c r="T211" s="129"/>
      <c r="U211" s="129"/>
      <c r="V211" s="129"/>
      <c r="W211" s="129"/>
      <c r="X211" s="129"/>
      <c r="Y211" s="129"/>
      <c r="AN211" s="118" t="s">
        <v>542</v>
      </c>
      <c r="AO211" s="118"/>
      <c r="AP211" s="118"/>
      <c r="AQ211" s="118"/>
      <c r="AR211" s="118"/>
      <c r="AS211" s="118"/>
      <c r="AT211" s="118"/>
      <c r="AU211" s="118"/>
      <c r="AV211" s="1347"/>
      <c r="AW211" s="11"/>
      <c r="AX211" s="11"/>
      <c r="AY211" s="11"/>
      <c r="AZ211" s="11"/>
      <c r="BA211" s="11"/>
      <c r="BB211" s="11"/>
    </row>
    <row r="212" spans="1:54" s="127" customFormat="1" x14ac:dyDescent="0.45">
      <c r="A212" s="128" t="s">
        <v>284</v>
      </c>
      <c r="B212" s="129"/>
      <c r="C212" s="129"/>
      <c r="D212" s="129"/>
      <c r="E212" s="129"/>
      <c r="F212" s="129"/>
      <c r="G212" s="129"/>
      <c r="H212" s="1339" t="s">
        <v>285</v>
      </c>
      <c r="I212" s="129"/>
      <c r="J212" s="129"/>
      <c r="K212" s="129"/>
      <c r="L212" s="129"/>
      <c r="M212" s="129"/>
      <c r="N212" s="129"/>
      <c r="O212" s="129"/>
      <c r="P212" s="129"/>
      <c r="Q212" s="129"/>
      <c r="R212" s="129"/>
      <c r="S212" s="129"/>
      <c r="T212" s="129"/>
      <c r="U212" s="129"/>
      <c r="V212" s="129"/>
      <c r="W212" s="129"/>
      <c r="X212" s="129"/>
      <c r="Y212" s="129"/>
      <c r="AN212" s="118" t="s">
        <v>543</v>
      </c>
      <c r="AO212" s="118"/>
      <c r="AP212" s="118"/>
      <c r="AQ212" s="118"/>
      <c r="AR212" s="118"/>
      <c r="AS212" s="118"/>
      <c r="AT212" s="118"/>
      <c r="AU212" s="118"/>
      <c r="AV212" s="1347"/>
      <c r="AW212" s="11"/>
      <c r="AX212" s="11"/>
      <c r="AY212" s="11"/>
      <c r="AZ212" s="11"/>
      <c r="BA212" s="11"/>
      <c r="BB212" s="11"/>
    </row>
    <row r="213" spans="1:54" s="127" customFormat="1" x14ac:dyDescent="0.45">
      <c r="A213" s="128" t="s">
        <v>286</v>
      </c>
      <c r="B213" s="129"/>
      <c r="C213" s="129"/>
      <c r="D213" s="129"/>
      <c r="E213" s="129"/>
      <c r="F213" s="129"/>
      <c r="G213" s="1340"/>
      <c r="H213" s="1339" t="s">
        <v>287</v>
      </c>
      <c r="I213" s="129"/>
      <c r="J213" s="129"/>
      <c r="K213" s="129"/>
      <c r="L213" s="129"/>
      <c r="M213" s="129"/>
      <c r="N213" s="129"/>
      <c r="O213" s="129"/>
      <c r="P213" s="129"/>
      <c r="Q213" s="129"/>
      <c r="R213" s="129"/>
      <c r="S213" s="129"/>
      <c r="T213" s="129"/>
      <c r="U213" s="129"/>
      <c r="V213" s="129"/>
      <c r="W213" s="129"/>
      <c r="X213" s="129"/>
      <c r="Y213" s="129"/>
      <c r="AN213" s="118" t="s">
        <v>544</v>
      </c>
      <c r="AO213" s="118"/>
      <c r="AP213" s="118"/>
      <c r="AQ213" s="118"/>
      <c r="AR213" s="118"/>
      <c r="AS213" s="118"/>
      <c r="AT213" s="118"/>
      <c r="AU213" s="118"/>
      <c r="AV213" s="1347"/>
      <c r="AW213" s="11"/>
      <c r="AX213" s="11"/>
      <c r="AY213" s="11"/>
      <c r="AZ213" s="11"/>
      <c r="BA213" s="11"/>
      <c r="BB213" s="11"/>
    </row>
    <row r="214" spans="1:54" s="127" customFormat="1" x14ac:dyDescent="0.45">
      <c r="A214" s="128" t="s">
        <v>288</v>
      </c>
      <c r="B214" s="129"/>
      <c r="C214" s="129"/>
      <c r="D214" s="129"/>
      <c r="E214" s="129"/>
      <c r="F214" s="129"/>
      <c r="G214" s="1340"/>
      <c r="H214" s="129"/>
      <c r="I214" s="129"/>
      <c r="J214" s="129"/>
      <c r="K214" s="129"/>
      <c r="L214" s="129"/>
      <c r="M214" s="129"/>
      <c r="N214" s="129"/>
      <c r="O214" s="129"/>
      <c r="P214" s="129"/>
      <c r="Q214" s="129"/>
      <c r="R214" s="129"/>
      <c r="S214" s="129"/>
      <c r="T214" s="129"/>
      <c r="U214" s="129"/>
      <c r="V214" s="129"/>
      <c r="W214" s="129"/>
      <c r="X214" s="129"/>
      <c r="Y214" s="129"/>
      <c r="AN214" s="118" t="s">
        <v>545</v>
      </c>
      <c r="AO214" s="118"/>
      <c r="AP214" s="118"/>
      <c r="AQ214" s="118"/>
      <c r="AR214" s="118"/>
      <c r="AS214" s="118"/>
      <c r="AT214" s="118"/>
      <c r="AU214" s="118"/>
      <c r="AV214" s="1347"/>
      <c r="AW214" s="11"/>
      <c r="AX214" s="11"/>
      <c r="AY214" s="11"/>
      <c r="AZ214" s="11"/>
      <c r="BA214" s="11"/>
      <c r="BB214" s="11"/>
    </row>
    <row r="215" spans="1:54" s="127" customFormat="1" x14ac:dyDescent="0.45">
      <c r="A215" s="128" t="s">
        <v>289</v>
      </c>
      <c r="B215" s="129"/>
      <c r="C215" s="129"/>
      <c r="D215" s="129"/>
      <c r="E215" s="129"/>
      <c r="F215" s="129"/>
      <c r="G215" s="1340"/>
      <c r="H215" s="1339" t="s">
        <v>290</v>
      </c>
      <c r="I215" s="129"/>
      <c r="J215" s="129"/>
      <c r="K215" s="129"/>
      <c r="L215" s="129"/>
      <c r="M215" s="129"/>
      <c r="N215" s="129"/>
      <c r="O215" s="129"/>
      <c r="P215" s="129"/>
      <c r="Q215" s="129"/>
      <c r="R215" s="129"/>
      <c r="S215" s="129"/>
      <c r="T215" s="129"/>
      <c r="U215" s="129"/>
      <c r="V215" s="129"/>
      <c r="W215" s="129"/>
      <c r="X215" s="129"/>
      <c r="Y215" s="129"/>
      <c r="AN215" s="118" t="s">
        <v>546</v>
      </c>
      <c r="AO215" s="118"/>
      <c r="AP215" s="118"/>
      <c r="AQ215" s="118"/>
      <c r="AR215" s="118"/>
      <c r="AS215" s="118"/>
      <c r="AT215" s="118"/>
      <c r="AU215" s="118"/>
      <c r="AV215" s="1347"/>
      <c r="AW215" s="11"/>
      <c r="AX215" s="11"/>
      <c r="AY215" s="11"/>
      <c r="AZ215" s="11"/>
      <c r="BA215" s="11"/>
      <c r="BB215" s="11"/>
    </row>
    <row r="216" spans="1:54" s="127" customFormat="1" x14ac:dyDescent="0.45">
      <c r="A216" s="128" t="s">
        <v>291</v>
      </c>
      <c r="B216" s="129"/>
      <c r="C216" s="129"/>
      <c r="D216" s="129"/>
      <c r="E216" s="129"/>
      <c r="F216" s="129"/>
      <c r="G216" s="1341"/>
      <c r="H216" s="129"/>
      <c r="I216" s="129"/>
      <c r="J216" s="129"/>
      <c r="K216" s="129"/>
      <c r="L216" s="129"/>
      <c r="M216" s="129"/>
      <c r="N216" s="129"/>
      <c r="O216" s="129"/>
      <c r="P216" s="129"/>
      <c r="Q216" s="129"/>
      <c r="R216" s="129"/>
      <c r="S216" s="129"/>
      <c r="T216" s="129"/>
      <c r="U216" s="129"/>
      <c r="V216" s="129"/>
      <c r="W216" s="129"/>
      <c r="X216" s="129"/>
      <c r="Y216" s="129"/>
      <c r="AN216" s="118" t="s">
        <v>547</v>
      </c>
      <c r="AO216" s="118"/>
      <c r="AP216" s="118"/>
      <c r="AQ216" s="118"/>
      <c r="AR216" s="118"/>
      <c r="AS216" s="118"/>
      <c r="AT216" s="118"/>
      <c r="AU216" s="118"/>
      <c r="AV216" s="1347"/>
      <c r="AW216" s="11"/>
      <c r="AX216" s="11"/>
      <c r="AY216" s="11"/>
      <c r="AZ216" s="11"/>
      <c r="BA216" s="11"/>
      <c r="BB216" s="11"/>
    </row>
    <row r="217" spans="1:54" s="127" customFormat="1" x14ac:dyDescent="0.45">
      <c r="A217" s="128" t="s">
        <v>292</v>
      </c>
      <c r="B217" s="129"/>
      <c r="C217" s="129"/>
      <c r="D217" s="129"/>
      <c r="E217" s="129"/>
      <c r="F217" s="129"/>
      <c r="G217" s="129"/>
      <c r="H217" s="1339" t="s">
        <v>293</v>
      </c>
      <c r="I217" s="129"/>
      <c r="J217" s="129"/>
      <c r="K217" s="129"/>
      <c r="L217" s="129"/>
      <c r="M217" s="125"/>
      <c r="N217" s="129"/>
      <c r="O217" s="129"/>
      <c r="P217" s="129"/>
      <c r="Q217" s="129"/>
      <c r="R217" s="129"/>
      <c r="S217" s="129"/>
      <c r="T217" s="129"/>
      <c r="U217" s="129"/>
      <c r="V217" s="129"/>
      <c r="W217" s="129"/>
      <c r="X217" s="129"/>
      <c r="Y217" s="129"/>
      <c r="Z217" s="1342"/>
      <c r="AN217" s="118" t="s">
        <v>548</v>
      </c>
      <c r="AO217" s="118"/>
      <c r="AP217" s="118"/>
      <c r="AQ217" s="118"/>
      <c r="AR217" s="118"/>
      <c r="AS217" s="118"/>
      <c r="AT217" s="118"/>
      <c r="AU217" s="118"/>
      <c r="AV217" s="1347"/>
      <c r="AW217" s="11"/>
      <c r="AX217" s="11"/>
      <c r="AY217" s="11"/>
      <c r="AZ217" s="11"/>
      <c r="BA217" s="11"/>
      <c r="BB217" s="11"/>
    </row>
    <row r="218" spans="1:54" s="127" customFormat="1" x14ac:dyDescent="0.45">
      <c r="A218" s="128" t="s">
        <v>294</v>
      </c>
      <c r="B218" s="129"/>
      <c r="C218" s="129"/>
      <c r="D218" s="129"/>
      <c r="E218" s="129"/>
      <c r="F218" s="129"/>
      <c r="G218" s="129"/>
      <c r="H218" s="129"/>
      <c r="I218" s="129"/>
      <c r="J218" s="129"/>
      <c r="K218" s="1343"/>
      <c r="L218" s="129"/>
      <c r="M218" s="125"/>
      <c r="N218" s="129"/>
      <c r="O218" s="129"/>
      <c r="P218" s="129"/>
      <c r="Q218" s="129"/>
      <c r="R218" s="129"/>
      <c r="S218" s="1344"/>
      <c r="T218" s="1344"/>
      <c r="U218" s="129"/>
      <c r="V218" s="129"/>
      <c r="W218" s="129"/>
      <c r="X218" s="129"/>
      <c r="Y218" s="129"/>
      <c r="Z218" s="1342"/>
      <c r="AN218" s="118" t="s">
        <v>549</v>
      </c>
      <c r="AO218" s="118"/>
      <c r="AP218" s="118"/>
      <c r="AQ218" s="118"/>
      <c r="AR218" s="118"/>
      <c r="AS218" s="118"/>
      <c r="AT218" s="118"/>
      <c r="AU218" s="118"/>
      <c r="AV218" s="1347"/>
      <c r="AW218" s="11"/>
      <c r="AX218" s="11"/>
      <c r="AY218" s="11"/>
      <c r="AZ218" s="11"/>
      <c r="BA218" s="11"/>
      <c r="BB218" s="11"/>
    </row>
    <row r="219" spans="1:54" s="127" customFormat="1" x14ac:dyDescent="0.45">
      <c r="A219" s="128" t="s">
        <v>295</v>
      </c>
      <c r="B219" s="129"/>
      <c r="C219" s="129"/>
      <c r="D219" s="129"/>
      <c r="E219" s="129"/>
      <c r="F219" s="129"/>
      <c r="G219" s="129"/>
      <c r="H219" s="1345" t="s">
        <v>296</v>
      </c>
      <c r="I219" s="129"/>
      <c r="J219" s="129"/>
      <c r="K219" s="1343"/>
      <c r="L219" s="129"/>
      <c r="M219" s="125"/>
      <c r="N219" s="129"/>
      <c r="O219" s="129"/>
      <c r="P219" s="129"/>
      <c r="Q219" s="129"/>
      <c r="R219" s="129"/>
      <c r="S219" s="1344"/>
      <c r="T219" s="1344"/>
      <c r="U219" s="129"/>
      <c r="V219" s="129"/>
      <c r="W219" s="129"/>
      <c r="X219" s="129"/>
      <c r="Y219" s="129"/>
      <c r="AN219" s="118" t="s">
        <v>550</v>
      </c>
      <c r="AO219" s="118"/>
      <c r="AP219" s="118"/>
      <c r="AQ219" s="118"/>
      <c r="AR219" s="118"/>
      <c r="AS219" s="118"/>
      <c r="AT219" s="118"/>
      <c r="AU219" s="118"/>
      <c r="AV219" s="1347"/>
      <c r="AW219" s="11"/>
      <c r="AX219" s="11"/>
      <c r="AY219" s="11"/>
      <c r="AZ219" s="11"/>
      <c r="BA219" s="11"/>
      <c r="BB219" s="11"/>
    </row>
    <row r="220" spans="1:54" s="127" customFormat="1" x14ac:dyDescent="0.45">
      <c r="A220" s="128" t="s">
        <v>297</v>
      </c>
      <c r="B220" s="129"/>
      <c r="C220" s="129"/>
      <c r="D220" s="129"/>
      <c r="E220" s="129"/>
      <c r="F220" s="129"/>
      <c r="G220" s="129"/>
      <c r="H220" s="1345" t="s">
        <v>298</v>
      </c>
      <c r="I220" s="129"/>
      <c r="J220" s="129"/>
      <c r="K220" s="1343"/>
      <c r="L220" s="129"/>
      <c r="M220" s="125"/>
      <c r="N220" s="129"/>
      <c r="O220" s="129"/>
      <c r="P220" s="129"/>
      <c r="Q220" s="129"/>
      <c r="R220" s="129"/>
      <c r="S220" s="1344"/>
      <c r="T220" s="1344"/>
      <c r="U220" s="129"/>
      <c r="V220" s="129"/>
      <c r="W220" s="129"/>
      <c r="X220" s="129"/>
      <c r="Y220" s="129"/>
      <c r="AN220" s="118" t="s">
        <v>551</v>
      </c>
      <c r="AO220" s="118"/>
      <c r="AP220" s="118"/>
      <c r="AQ220" s="118"/>
      <c r="AR220" s="118"/>
      <c r="AS220" s="118"/>
      <c r="AT220" s="118"/>
      <c r="AU220" s="118"/>
      <c r="AV220" s="1347"/>
      <c r="AW220" s="11"/>
      <c r="AX220" s="11"/>
      <c r="AY220" s="11"/>
      <c r="AZ220" s="11"/>
      <c r="BA220" s="11"/>
      <c r="BB220" s="11"/>
    </row>
    <row r="221" spans="1:54" s="127" customFormat="1" x14ac:dyDescent="0.45">
      <c r="A221" s="128" t="s">
        <v>299</v>
      </c>
      <c r="B221" s="128"/>
      <c r="C221" s="128"/>
      <c r="D221" s="128"/>
      <c r="E221" s="128"/>
      <c r="F221" s="128"/>
      <c r="G221" s="129"/>
      <c r="H221" s="1345" t="s">
        <v>300</v>
      </c>
      <c r="I221" s="129"/>
      <c r="J221" s="129"/>
      <c r="K221" s="1343"/>
      <c r="L221" s="129"/>
      <c r="M221" s="125"/>
      <c r="N221" s="129"/>
      <c r="O221" s="129"/>
      <c r="P221" s="129"/>
      <c r="Q221" s="129"/>
      <c r="R221" s="129"/>
      <c r="S221" s="1344"/>
      <c r="T221" s="1344"/>
      <c r="U221" s="129"/>
      <c r="V221" s="129"/>
      <c r="W221" s="129"/>
      <c r="X221" s="129"/>
      <c r="Y221" s="129"/>
      <c r="AN221" s="118" t="s">
        <v>552</v>
      </c>
      <c r="AO221" s="118"/>
      <c r="AP221" s="118"/>
      <c r="AQ221" s="118"/>
      <c r="AR221" s="118"/>
      <c r="AS221" s="118"/>
      <c r="AT221" s="118"/>
      <c r="AU221" s="118"/>
      <c r="AV221" s="1347"/>
      <c r="AW221" s="11"/>
      <c r="AX221" s="11"/>
      <c r="AY221" s="11"/>
      <c r="AZ221" s="11"/>
      <c r="BA221" s="11"/>
      <c r="BB221" s="11"/>
    </row>
    <row r="222" spans="1:54" s="127" customFormat="1" x14ac:dyDescent="0.45">
      <c r="A222" s="128" t="s">
        <v>301</v>
      </c>
      <c r="B222" s="128"/>
      <c r="C222" s="128"/>
      <c r="D222" s="128"/>
      <c r="E222" s="128"/>
      <c r="F222" s="128"/>
      <c r="G222" s="129"/>
      <c r="H222" s="1345" t="s">
        <v>302</v>
      </c>
      <c r="I222" s="129"/>
      <c r="J222" s="129"/>
      <c r="K222" s="1343"/>
      <c r="L222" s="129"/>
      <c r="M222" s="125"/>
      <c r="N222" s="129"/>
      <c r="O222" s="129"/>
      <c r="P222" s="129"/>
      <c r="Q222" s="129"/>
      <c r="R222" s="129"/>
      <c r="S222" s="1344"/>
      <c r="T222" s="1344"/>
      <c r="U222" s="129"/>
      <c r="V222" s="129"/>
      <c r="W222" s="129"/>
      <c r="X222" s="129"/>
      <c r="Y222" s="129"/>
      <c r="AN222" s="118" t="s">
        <v>553</v>
      </c>
      <c r="AO222" s="118"/>
      <c r="AP222" s="118"/>
      <c r="AQ222" s="118"/>
      <c r="AR222" s="118"/>
      <c r="AS222" s="118"/>
      <c r="AT222" s="118"/>
      <c r="AU222" s="118"/>
      <c r="AV222" s="1347"/>
      <c r="AW222" s="11"/>
      <c r="AX222" s="11"/>
      <c r="AY222" s="11"/>
      <c r="AZ222" s="11"/>
      <c r="BA222" s="11"/>
      <c r="BB222" s="11"/>
    </row>
    <row r="223" spans="1:54" s="127" customFormat="1" x14ac:dyDescent="0.45">
      <c r="A223" s="128" t="s">
        <v>303</v>
      </c>
      <c r="B223" s="128"/>
      <c r="C223" s="128"/>
      <c r="D223" s="128"/>
      <c r="E223" s="128"/>
      <c r="F223" s="128"/>
      <c r="G223" s="129"/>
      <c r="H223" s="129"/>
      <c r="I223" s="129"/>
      <c r="J223" s="129"/>
      <c r="K223" s="1343"/>
      <c r="L223" s="129"/>
      <c r="M223" s="125"/>
      <c r="N223" s="129"/>
      <c r="O223" s="129"/>
      <c r="P223" s="129"/>
      <c r="Q223" s="129"/>
      <c r="R223" s="129"/>
      <c r="S223" s="1344"/>
      <c r="T223" s="1344"/>
      <c r="U223" s="129"/>
      <c r="V223" s="129"/>
      <c r="W223" s="129"/>
      <c r="X223" s="129"/>
      <c r="Y223" s="129"/>
      <c r="AN223" s="118" t="s">
        <v>554</v>
      </c>
      <c r="AO223" s="118"/>
      <c r="AP223" s="118"/>
      <c r="AQ223" s="118"/>
      <c r="AR223" s="118"/>
      <c r="AS223" s="118"/>
      <c r="AT223" s="118"/>
      <c r="AU223" s="118"/>
      <c r="AV223" s="1347"/>
      <c r="AW223" s="11"/>
      <c r="AX223" s="11"/>
      <c r="AY223" s="11"/>
      <c r="AZ223" s="11"/>
      <c r="BA223" s="11"/>
      <c r="BB223" s="11"/>
    </row>
    <row r="224" spans="1:54" s="127" customFormat="1" x14ac:dyDescent="0.45">
      <c r="A224" s="128" t="s">
        <v>304</v>
      </c>
      <c r="B224" s="128"/>
      <c r="C224" s="128"/>
      <c r="D224" s="128"/>
      <c r="E224" s="128"/>
      <c r="F224" s="128"/>
      <c r="G224" s="129"/>
      <c r="H224" s="1345" t="s">
        <v>305</v>
      </c>
      <c r="I224" s="129"/>
      <c r="J224" s="129"/>
      <c r="K224" s="1343"/>
      <c r="L224" s="129"/>
      <c r="M224" s="125"/>
      <c r="N224" s="129"/>
      <c r="O224" s="129"/>
      <c r="P224" s="129"/>
      <c r="Q224" s="129"/>
      <c r="R224" s="129"/>
      <c r="S224" s="1344"/>
      <c r="T224" s="1344"/>
      <c r="U224" s="129"/>
      <c r="V224" s="129"/>
      <c r="W224" s="129"/>
      <c r="X224" s="129"/>
      <c r="Y224" s="129"/>
      <c r="AN224" s="118" t="s">
        <v>555</v>
      </c>
      <c r="AO224" s="118"/>
      <c r="AP224" s="118"/>
      <c r="AQ224" s="118"/>
      <c r="AR224" s="118"/>
      <c r="AS224" s="118"/>
      <c r="AT224" s="118"/>
      <c r="AU224" s="118"/>
      <c r="AV224" s="1347"/>
      <c r="AW224" s="11"/>
      <c r="AX224" s="11"/>
      <c r="AY224" s="11"/>
      <c r="AZ224" s="11"/>
      <c r="BA224" s="11"/>
      <c r="BB224" s="11"/>
    </row>
    <row r="225" spans="1:54" s="127" customFormat="1" x14ac:dyDescent="0.45">
      <c r="A225" s="128" t="s">
        <v>306</v>
      </c>
      <c r="B225" s="128"/>
      <c r="C225" s="128"/>
      <c r="D225" s="128"/>
      <c r="E225" s="128"/>
      <c r="F225" s="128"/>
      <c r="G225" s="129"/>
      <c r="H225" s="1343"/>
      <c r="I225" s="129"/>
      <c r="J225" s="129"/>
      <c r="K225" s="1343"/>
      <c r="L225" s="129"/>
      <c r="M225" s="125"/>
      <c r="N225" s="129"/>
      <c r="O225" s="129"/>
      <c r="P225" s="129"/>
      <c r="Q225" s="129"/>
      <c r="R225" s="129"/>
      <c r="S225" s="1344"/>
      <c r="T225" s="1344"/>
      <c r="U225" s="129"/>
      <c r="V225" s="129"/>
      <c r="W225" s="129"/>
      <c r="X225" s="129"/>
      <c r="Y225" s="129"/>
      <c r="AN225" s="118" t="s">
        <v>556</v>
      </c>
      <c r="AO225" s="118"/>
      <c r="AP225" s="118"/>
      <c r="AQ225" s="118"/>
      <c r="AR225" s="118"/>
      <c r="AS225" s="118"/>
      <c r="AT225" s="118"/>
      <c r="AU225" s="118"/>
      <c r="AV225" s="1347"/>
      <c r="AW225" s="11"/>
      <c r="AX225" s="11"/>
      <c r="AY225" s="11"/>
      <c r="AZ225" s="11"/>
      <c r="BA225" s="11"/>
      <c r="BB225" s="11"/>
    </row>
    <row r="226" spans="1:54" s="127" customFormat="1" x14ac:dyDescent="0.45">
      <c r="A226" s="128" t="s">
        <v>307</v>
      </c>
      <c r="B226" s="128"/>
      <c r="C226" s="128"/>
      <c r="D226" s="128"/>
      <c r="E226" s="128"/>
      <c r="F226" s="128"/>
      <c r="G226" s="129"/>
      <c r="H226" s="1343"/>
      <c r="I226" s="129"/>
      <c r="J226" s="129"/>
      <c r="K226" s="1343"/>
      <c r="L226" s="129"/>
      <c r="M226" s="125"/>
      <c r="N226" s="129"/>
      <c r="O226" s="129"/>
      <c r="P226" s="129"/>
      <c r="Q226" s="129"/>
      <c r="R226" s="129"/>
      <c r="S226" s="1344"/>
      <c r="T226" s="1344"/>
      <c r="U226" s="129"/>
      <c r="V226" s="129"/>
      <c r="W226" s="129"/>
      <c r="X226" s="129"/>
      <c r="Y226" s="129"/>
      <c r="AN226" s="118" t="s">
        <v>557</v>
      </c>
      <c r="AO226" s="118"/>
      <c r="AP226" s="118"/>
      <c r="AQ226" s="118"/>
      <c r="AR226" s="118"/>
      <c r="AS226" s="118"/>
      <c r="AT226" s="118"/>
      <c r="AU226" s="118"/>
      <c r="AV226" s="1347"/>
      <c r="AW226" s="11"/>
      <c r="AX226" s="11"/>
      <c r="AY226" s="11"/>
      <c r="AZ226" s="11"/>
      <c r="BA226" s="11"/>
      <c r="BB226" s="11"/>
    </row>
    <row r="227" spans="1:54" s="127" customFormat="1" x14ac:dyDescent="0.45">
      <c r="A227" s="128" t="s">
        <v>308</v>
      </c>
      <c r="B227" s="128"/>
      <c r="C227" s="128"/>
      <c r="D227" s="128"/>
      <c r="E227" s="128"/>
      <c r="F227" s="128"/>
      <c r="G227" s="129"/>
      <c r="H227" s="130"/>
      <c r="I227" s="129"/>
      <c r="J227" s="129"/>
      <c r="K227" s="1343"/>
      <c r="L227" s="129"/>
      <c r="M227" s="129"/>
      <c r="N227" s="129"/>
      <c r="O227" s="129"/>
      <c r="P227" s="129"/>
      <c r="Q227" s="129"/>
      <c r="R227" s="129"/>
      <c r="S227" s="1344"/>
      <c r="T227" s="1344"/>
      <c r="U227" s="129"/>
      <c r="V227" s="129"/>
      <c r="W227" s="129"/>
      <c r="X227" s="129"/>
      <c r="Y227" s="129"/>
      <c r="AN227" s="118" t="s">
        <v>558</v>
      </c>
      <c r="AO227" s="118"/>
      <c r="AP227" s="118"/>
      <c r="AQ227" s="118"/>
      <c r="AR227" s="118"/>
      <c r="AS227" s="118"/>
      <c r="AT227" s="118"/>
      <c r="AU227" s="118"/>
      <c r="AV227" s="1347"/>
      <c r="AW227" s="11"/>
      <c r="AX227" s="11"/>
      <c r="AY227" s="11"/>
      <c r="AZ227" s="11"/>
      <c r="BA227" s="11"/>
      <c r="BB227" s="11"/>
    </row>
    <row r="228" spans="1:54" s="127" customFormat="1" x14ac:dyDescent="0.45">
      <c r="A228" s="128" t="s">
        <v>309</v>
      </c>
      <c r="B228" s="128"/>
      <c r="C228" s="128"/>
      <c r="D228" s="128"/>
      <c r="E228" s="128"/>
      <c r="F228" s="128"/>
      <c r="G228" s="129"/>
      <c r="H228" s="1343"/>
      <c r="I228" s="129"/>
      <c r="J228" s="129"/>
      <c r="K228" s="1343"/>
      <c r="L228" s="129"/>
      <c r="M228" s="129"/>
      <c r="N228" s="129"/>
      <c r="O228" s="129"/>
      <c r="P228" s="129"/>
      <c r="Q228" s="129"/>
      <c r="R228" s="129"/>
      <c r="S228" s="1344"/>
      <c r="T228" s="1344"/>
      <c r="U228" s="129"/>
      <c r="V228" s="129"/>
      <c r="W228" s="129"/>
      <c r="X228" s="129"/>
      <c r="Y228" s="129"/>
      <c r="AN228" s="118" t="s">
        <v>559</v>
      </c>
      <c r="AO228" s="118"/>
      <c r="AP228" s="118"/>
      <c r="AQ228" s="118"/>
      <c r="AR228" s="118"/>
      <c r="AS228" s="118"/>
      <c r="AT228" s="118"/>
      <c r="AU228" s="118"/>
      <c r="AV228" s="1347"/>
      <c r="AW228" s="11"/>
      <c r="AX228" s="11"/>
      <c r="AY228" s="11"/>
      <c r="AZ228" s="11"/>
      <c r="BA228" s="11"/>
      <c r="BB228" s="11"/>
    </row>
    <row r="229" spans="1:54" s="127" customFormat="1" x14ac:dyDescent="0.45">
      <c r="A229" s="128" t="s">
        <v>310</v>
      </c>
      <c r="B229" s="128"/>
      <c r="C229" s="128"/>
      <c r="D229" s="128"/>
      <c r="E229" s="128"/>
      <c r="F229" s="128"/>
      <c r="G229" s="129"/>
      <c r="H229" s="1343"/>
      <c r="I229" s="129"/>
      <c r="J229" s="129"/>
      <c r="K229" s="1343"/>
      <c r="L229" s="129"/>
      <c r="M229" s="129"/>
      <c r="N229" s="129"/>
      <c r="O229" s="129"/>
      <c r="P229" s="129"/>
      <c r="Q229" s="129"/>
      <c r="R229" s="129"/>
      <c r="S229" s="1344"/>
      <c r="T229" s="1344"/>
      <c r="U229" s="129"/>
      <c r="V229" s="129"/>
      <c r="W229" s="129"/>
      <c r="X229" s="129"/>
      <c r="Y229" s="129"/>
      <c r="AN229" s="118" t="s">
        <v>560</v>
      </c>
      <c r="AO229" s="118"/>
      <c r="AP229" s="118"/>
      <c r="AQ229" s="118"/>
      <c r="AR229" s="118"/>
      <c r="AS229" s="118"/>
      <c r="AT229" s="118"/>
      <c r="AU229" s="118"/>
      <c r="AV229" s="1347"/>
      <c r="AW229" s="11"/>
      <c r="AX229" s="11"/>
      <c r="AY229" s="11"/>
      <c r="AZ229" s="11"/>
      <c r="BA229" s="11"/>
      <c r="BB229" s="11"/>
    </row>
    <row r="230" spans="1:54" s="127" customFormat="1" x14ac:dyDescent="0.45">
      <c r="A230" s="128" t="s">
        <v>311</v>
      </c>
      <c r="B230" s="128"/>
      <c r="C230" s="128"/>
      <c r="D230" s="128"/>
      <c r="E230" s="128"/>
      <c r="F230" s="128"/>
      <c r="G230" s="129"/>
      <c r="H230" s="1343"/>
      <c r="I230" s="129"/>
      <c r="J230" s="129"/>
      <c r="K230" s="1343"/>
      <c r="L230" s="129"/>
      <c r="M230" s="129"/>
      <c r="N230" s="129"/>
      <c r="O230" s="129"/>
      <c r="P230" s="129"/>
      <c r="Q230" s="129"/>
      <c r="R230" s="129"/>
      <c r="S230" s="1344"/>
      <c r="T230" s="1344"/>
      <c r="U230" s="129"/>
      <c r="V230" s="129"/>
      <c r="W230" s="129"/>
      <c r="X230" s="129"/>
      <c r="Y230" s="129"/>
      <c r="AN230" s="118" t="s">
        <v>561</v>
      </c>
      <c r="AO230" s="118"/>
      <c r="AP230" s="118"/>
      <c r="AQ230" s="118"/>
      <c r="AR230" s="118"/>
      <c r="AS230" s="118"/>
      <c r="AT230" s="118"/>
      <c r="AU230" s="118"/>
      <c r="AV230" s="1347"/>
      <c r="AW230" s="11"/>
      <c r="AX230" s="11"/>
      <c r="AY230" s="11"/>
      <c r="AZ230" s="11"/>
      <c r="BA230" s="11"/>
      <c r="BB230" s="11"/>
    </row>
    <row r="231" spans="1:54" s="127" customFormat="1" x14ac:dyDescent="0.45">
      <c r="A231" s="128" t="s">
        <v>312</v>
      </c>
      <c r="B231" s="128"/>
      <c r="C231" s="128"/>
      <c r="D231" s="128"/>
      <c r="E231" s="128"/>
      <c r="F231" s="128"/>
      <c r="G231" s="129"/>
      <c r="H231" s="1343"/>
      <c r="I231" s="129"/>
      <c r="J231" s="129"/>
      <c r="K231" s="1343"/>
      <c r="L231" s="129"/>
      <c r="M231" s="129"/>
      <c r="N231" s="129"/>
      <c r="O231" s="129"/>
      <c r="P231" s="129"/>
      <c r="Q231" s="129"/>
      <c r="R231" s="129"/>
      <c r="S231" s="1344"/>
      <c r="T231" s="1344"/>
      <c r="U231" s="129"/>
      <c r="V231" s="129"/>
      <c r="W231" s="129"/>
      <c r="X231" s="129"/>
      <c r="Y231" s="129"/>
      <c r="AN231" s="118" t="s">
        <v>562</v>
      </c>
      <c r="AO231" s="118"/>
      <c r="AP231" s="118"/>
      <c r="AQ231" s="118"/>
      <c r="AR231" s="118"/>
      <c r="AS231" s="118"/>
      <c r="AT231" s="118"/>
      <c r="AU231" s="118"/>
      <c r="AV231" s="1347"/>
      <c r="AW231" s="11"/>
      <c r="AX231" s="11"/>
      <c r="AY231" s="11"/>
      <c r="AZ231" s="11"/>
      <c r="BA231" s="11"/>
      <c r="BB231" s="11"/>
    </row>
    <row r="232" spans="1:54" s="127" customFormat="1" x14ac:dyDescent="0.45">
      <c r="A232" s="128" t="s">
        <v>313</v>
      </c>
      <c r="B232" s="128"/>
      <c r="C232" s="128"/>
      <c r="D232" s="128"/>
      <c r="E232" s="128"/>
      <c r="F232" s="128"/>
      <c r="G232" s="129"/>
      <c r="H232" s="1343"/>
      <c r="I232" s="129"/>
      <c r="J232" s="129"/>
      <c r="K232" s="1343"/>
      <c r="L232" s="129"/>
      <c r="M232" s="129"/>
      <c r="N232" s="129"/>
      <c r="O232" s="129"/>
      <c r="P232" s="129"/>
      <c r="Q232" s="129"/>
      <c r="R232" s="129"/>
      <c r="S232" s="1344"/>
      <c r="T232" s="1344"/>
      <c r="U232" s="129"/>
      <c r="V232" s="129"/>
      <c r="W232" s="129"/>
      <c r="X232" s="129"/>
      <c r="Y232" s="129"/>
      <c r="AN232" s="118" t="s">
        <v>563</v>
      </c>
      <c r="AO232" s="118"/>
      <c r="AP232" s="118"/>
      <c r="AQ232" s="118"/>
      <c r="AR232" s="118"/>
      <c r="AS232" s="118"/>
      <c r="AT232" s="118"/>
      <c r="AU232" s="118"/>
      <c r="AV232" s="1347"/>
      <c r="AW232" s="11"/>
      <c r="AX232" s="11"/>
      <c r="AY232" s="11"/>
      <c r="AZ232" s="11"/>
      <c r="BA232" s="11"/>
      <c r="BB232" s="11"/>
    </row>
    <row r="233" spans="1:54" s="127" customFormat="1" x14ac:dyDescent="0.45">
      <c r="A233" s="128" t="s">
        <v>314</v>
      </c>
      <c r="B233" s="128"/>
      <c r="C233" s="128"/>
      <c r="D233" s="128"/>
      <c r="E233" s="128"/>
      <c r="F233" s="128"/>
      <c r="G233" s="129"/>
      <c r="H233" s="1343"/>
      <c r="I233" s="129"/>
      <c r="J233" s="129"/>
      <c r="K233" s="1343"/>
      <c r="L233" s="129"/>
      <c r="M233" s="129"/>
      <c r="N233" s="129"/>
      <c r="O233" s="129"/>
      <c r="P233" s="129"/>
      <c r="Q233" s="129"/>
      <c r="R233" s="129"/>
      <c r="S233" s="1344"/>
      <c r="T233" s="1344"/>
      <c r="U233" s="129"/>
      <c r="V233" s="129"/>
      <c r="W233" s="129"/>
      <c r="X233" s="129"/>
      <c r="Y233" s="129"/>
      <c r="AN233" s="118" t="s">
        <v>564</v>
      </c>
      <c r="AO233" s="118"/>
      <c r="AP233" s="118"/>
      <c r="AQ233" s="118"/>
      <c r="AR233" s="118"/>
      <c r="AS233" s="118"/>
      <c r="AT233" s="118"/>
      <c r="AU233" s="118"/>
      <c r="AV233" s="1347"/>
      <c r="AW233" s="11"/>
      <c r="AX233" s="11"/>
      <c r="AY233" s="11"/>
      <c r="AZ233" s="11"/>
      <c r="BA233" s="11"/>
      <c r="BB233" s="11"/>
    </row>
    <row r="234" spans="1:54" s="127" customFormat="1" x14ac:dyDescent="0.45">
      <c r="A234" s="128" t="s">
        <v>315</v>
      </c>
      <c r="B234" s="128"/>
      <c r="C234" s="128"/>
      <c r="D234" s="128"/>
      <c r="E234" s="128"/>
      <c r="F234" s="128"/>
      <c r="G234" s="129"/>
      <c r="H234" s="1343"/>
      <c r="I234" s="129"/>
      <c r="J234" s="129"/>
      <c r="K234" s="1343"/>
      <c r="L234" s="129"/>
      <c r="M234" s="129"/>
      <c r="N234" s="129"/>
      <c r="O234" s="129"/>
      <c r="P234" s="129"/>
      <c r="Q234" s="129"/>
      <c r="R234" s="129"/>
      <c r="S234" s="1344"/>
      <c r="T234" s="1344"/>
      <c r="U234" s="129"/>
      <c r="V234" s="129"/>
      <c r="W234" s="129"/>
      <c r="X234" s="129"/>
      <c r="Y234" s="129"/>
      <c r="AN234" s="118" t="s">
        <v>565</v>
      </c>
      <c r="AO234" s="118"/>
      <c r="AP234" s="118"/>
      <c r="AQ234" s="118"/>
      <c r="AR234" s="118"/>
      <c r="AS234" s="118"/>
      <c r="AT234" s="118"/>
      <c r="AU234" s="118"/>
      <c r="AV234" s="1347"/>
      <c r="AW234" s="11"/>
      <c r="AX234" s="11"/>
      <c r="AY234" s="11"/>
      <c r="AZ234" s="11"/>
      <c r="BA234" s="11"/>
      <c r="BB234" s="11"/>
    </row>
    <row r="235" spans="1:54" s="127" customFormat="1" x14ac:dyDescent="0.45">
      <c r="A235" s="128" t="s">
        <v>316</v>
      </c>
      <c r="B235" s="128"/>
      <c r="C235" s="128"/>
      <c r="D235" s="128"/>
      <c r="E235" s="128"/>
      <c r="F235" s="128"/>
      <c r="G235" s="129"/>
      <c r="H235" s="1343"/>
      <c r="I235" s="129"/>
      <c r="J235" s="129"/>
      <c r="K235" s="1343"/>
      <c r="L235" s="129"/>
      <c r="M235" s="129"/>
      <c r="N235" s="129"/>
      <c r="O235" s="129"/>
      <c r="P235" s="129"/>
      <c r="Q235" s="129"/>
      <c r="R235" s="129"/>
      <c r="S235" s="1344"/>
      <c r="T235" s="1344"/>
      <c r="U235" s="129"/>
      <c r="V235" s="129"/>
      <c r="W235" s="129"/>
      <c r="X235" s="129"/>
      <c r="Y235" s="129"/>
      <c r="AN235" s="118" t="s">
        <v>566</v>
      </c>
      <c r="AO235" s="118"/>
      <c r="AP235" s="118"/>
      <c r="AQ235" s="118"/>
      <c r="AR235" s="118"/>
      <c r="AS235" s="118"/>
      <c r="AT235" s="118"/>
      <c r="AU235" s="118"/>
      <c r="AV235" s="1347"/>
      <c r="AW235" s="11"/>
      <c r="AX235" s="11"/>
      <c r="AY235" s="11"/>
      <c r="AZ235" s="11"/>
      <c r="BA235" s="11"/>
      <c r="BB235" s="11"/>
    </row>
    <row r="236" spans="1:54" s="127" customFormat="1" x14ac:dyDescent="0.45">
      <c r="A236" s="128" t="s">
        <v>317</v>
      </c>
      <c r="B236" s="128"/>
      <c r="C236" s="128"/>
      <c r="D236" s="128"/>
      <c r="E236" s="128"/>
      <c r="F236" s="128"/>
      <c r="G236" s="129"/>
      <c r="H236" s="129"/>
      <c r="I236" s="129"/>
      <c r="J236" s="129"/>
      <c r="K236" s="1343"/>
      <c r="L236" s="1343"/>
      <c r="M236" s="129"/>
      <c r="N236" s="129"/>
      <c r="O236" s="129"/>
      <c r="P236" s="129"/>
      <c r="Q236" s="129"/>
      <c r="R236" s="129"/>
      <c r="S236" s="1344"/>
      <c r="T236" s="1344"/>
      <c r="U236" s="129"/>
      <c r="V236" s="129"/>
      <c r="W236" s="129"/>
      <c r="X236" s="129"/>
      <c r="Y236" s="129"/>
      <c r="AN236" s="118" t="s">
        <v>567</v>
      </c>
      <c r="AO236" s="118"/>
      <c r="AP236" s="118"/>
      <c r="AQ236" s="118"/>
      <c r="AR236" s="118"/>
      <c r="AS236" s="118"/>
      <c r="AT236" s="118"/>
      <c r="AU236" s="118"/>
      <c r="AV236" s="1347"/>
      <c r="AW236" s="11"/>
      <c r="AX236" s="11"/>
      <c r="AY236" s="11"/>
      <c r="AZ236" s="11"/>
      <c r="BA236" s="11"/>
      <c r="BB236" s="11"/>
    </row>
    <row r="237" spans="1:54" s="127" customFormat="1" x14ac:dyDescent="0.45">
      <c r="A237" s="128" t="s">
        <v>318</v>
      </c>
      <c r="B237" s="128"/>
      <c r="C237" s="128"/>
      <c r="D237" s="128"/>
      <c r="E237" s="128"/>
      <c r="F237" s="128"/>
      <c r="G237" s="129"/>
      <c r="H237" s="129"/>
      <c r="I237" s="129"/>
      <c r="J237" s="129"/>
      <c r="K237" s="1343"/>
      <c r="L237" s="129"/>
      <c r="M237" s="129"/>
      <c r="N237" s="129"/>
      <c r="O237" s="129"/>
      <c r="P237" s="129"/>
      <c r="Q237" s="129"/>
      <c r="R237" s="129"/>
      <c r="S237" s="1344"/>
      <c r="T237" s="1344"/>
      <c r="U237" s="129"/>
      <c r="V237" s="129"/>
      <c r="W237" s="129"/>
      <c r="X237" s="129"/>
      <c r="Y237" s="129"/>
      <c r="AN237" s="118" t="s">
        <v>568</v>
      </c>
      <c r="AO237" s="118"/>
      <c r="AP237" s="118"/>
      <c r="AQ237" s="118"/>
      <c r="AR237" s="118"/>
      <c r="AS237" s="118"/>
      <c r="AT237" s="118"/>
      <c r="AU237" s="118"/>
      <c r="AV237" s="1347"/>
      <c r="AW237" s="11"/>
      <c r="AX237" s="11"/>
      <c r="AY237" s="11"/>
      <c r="AZ237" s="11"/>
      <c r="BA237" s="11"/>
      <c r="BB237" s="11"/>
    </row>
    <row r="238" spans="1:54" s="127" customFormat="1" x14ac:dyDescent="0.45">
      <c r="A238" s="128" t="s">
        <v>319</v>
      </c>
      <c r="B238" s="129"/>
      <c r="C238" s="129"/>
      <c r="D238" s="129"/>
      <c r="E238" s="129"/>
      <c r="F238" s="129"/>
      <c r="G238" s="129"/>
      <c r="H238" s="129"/>
      <c r="I238" s="129"/>
      <c r="J238" s="129"/>
      <c r="K238" s="1343"/>
      <c r="L238" s="129"/>
      <c r="M238" s="129"/>
      <c r="N238" s="129"/>
      <c r="O238" s="129"/>
      <c r="P238" s="129"/>
      <c r="Q238" s="129"/>
      <c r="R238" s="129"/>
      <c r="S238" s="1344"/>
      <c r="T238" s="1344"/>
      <c r="U238" s="129"/>
      <c r="V238" s="129"/>
      <c r="W238" s="129"/>
      <c r="X238" s="129"/>
      <c r="Y238" s="129"/>
      <c r="AN238" s="118" t="s">
        <v>569</v>
      </c>
      <c r="AO238" s="118"/>
      <c r="AP238" s="118"/>
      <c r="AQ238" s="118"/>
      <c r="AR238" s="118"/>
      <c r="AS238" s="118"/>
      <c r="AT238" s="118"/>
      <c r="AU238" s="118"/>
      <c r="AV238" s="1347"/>
      <c r="AW238" s="11"/>
      <c r="AX238" s="11"/>
      <c r="AY238" s="11"/>
      <c r="AZ238" s="11"/>
      <c r="BA238" s="11"/>
      <c r="BB238" s="11"/>
    </row>
    <row r="239" spans="1:54" s="127" customFormat="1" x14ac:dyDescent="0.45">
      <c r="A239" s="128" t="s">
        <v>320</v>
      </c>
      <c r="B239" s="128"/>
      <c r="C239" s="128"/>
      <c r="D239" s="128"/>
      <c r="E239" s="128"/>
      <c r="F239" s="128"/>
      <c r="G239" s="1343"/>
      <c r="H239" s="129"/>
      <c r="I239" s="1343"/>
      <c r="J239" s="129"/>
      <c r="K239" s="129"/>
      <c r="L239" s="129"/>
      <c r="M239" s="129"/>
      <c r="N239" s="129"/>
      <c r="O239" s="129"/>
      <c r="P239" s="129"/>
      <c r="Q239" s="129"/>
      <c r="R239" s="129"/>
      <c r="S239" s="1344"/>
      <c r="T239" s="1344"/>
      <c r="U239" s="129"/>
      <c r="V239" s="129"/>
      <c r="W239" s="129"/>
      <c r="X239" s="129"/>
      <c r="Y239" s="129"/>
      <c r="AN239" s="118" t="s">
        <v>570</v>
      </c>
      <c r="AO239" s="118"/>
      <c r="AP239" s="118"/>
      <c r="AQ239" s="118"/>
      <c r="AR239" s="118"/>
      <c r="AS239" s="118"/>
      <c r="AT239" s="118"/>
      <c r="AU239" s="118"/>
      <c r="AV239" s="1347"/>
      <c r="AW239" s="11"/>
      <c r="AX239" s="11"/>
      <c r="AY239" s="11"/>
      <c r="AZ239" s="11"/>
      <c r="BA239" s="11"/>
      <c r="BB239" s="11"/>
    </row>
    <row r="240" spans="1:54" s="127" customFormat="1" x14ac:dyDescent="0.45">
      <c r="A240" s="128" t="s">
        <v>321</v>
      </c>
      <c r="B240" s="128"/>
      <c r="C240" s="128"/>
      <c r="D240" s="128"/>
      <c r="E240" s="128"/>
      <c r="F240" s="128"/>
      <c r="G240" s="129"/>
      <c r="H240" s="129"/>
      <c r="I240" s="1343"/>
      <c r="J240" s="129"/>
      <c r="K240" s="129"/>
      <c r="L240" s="129"/>
      <c r="M240" s="129"/>
      <c r="N240" s="129"/>
      <c r="O240" s="129"/>
      <c r="P240" s="129"/>
      <c r="Q240" s="129"/>
      <c r="R240" s="129"/>
      <c r="S240" s="1344"/>
      <c r="T240" s="1344"/>
      <c r="U240" s="129"/>
      <c r="V240" s="129"/>
      <c r="W240" s="129"/>
      <c r="X240" s="129"/>
      <c r="Y240" s="129"/>
      <c r="AN240" s="118" t="s">
        <v>571</v>
      </c>
      <c r="AO240" s="118"/>
      <c r="AP240" s="118"/>
      <c r="AQ240" s="118"/>
      <c r="AR240" s="118"/>
      <c r="AS240" s="118"/>
      <c r="AT240" s="118"/>
      <c r="AU240" s="118"/>
      <c r="AV240" s="1347"/>
      <c r="AW240" s="11"/>
      <c r="AX240" s="11"/>
      <c r="AY240" s="11"/>
      <c r="AZ240" s="11"/>
      <c r="BA240" s="11"/>
      <c r="BB240" s="11"/>
    </row>
    <row r="241" spans="1:54" s="127" customFormat="1" x14ac:dyDescent="0.45">
      <c r="A241" s="128" t="s">
        <v>322</v>
      </c>
      <c r="B241" s="128"/>
      <c r="C241" s="128"/>
      <c r="D241" s="128"/>
      <c r="E241" s="128"/>
      <c r="F241" s="128"/>
      <c r="G241" s="129"/>
      <c r="H241" s="129"/>
      <c r="I241" s="1343"/>
      <c r="J241" s="129"/>
      <c r="K241" s="129"/>
      <c r="L241" s="129"/>
      <c r="M241" s="129"/>
      <c r="N241" s="129"/>
      <c r="O241" s="129"/>
      <c r="P241" s="129"/>
      <c r="Q241" s="129"/>
      <c r="R241" s="129"/>
      <c r="S241" s="1344"/>
      <c r="T241" s="1344"/>
      <c r="U241" s="129"/>
      <c r="V241" s="129"/>
      <c r="W241" s="129"/>
      <c r="X241" s="129"/>
      <c r="Y241" s="129"/>
      <c r="AN241" s="118" t="s">
        <v>572</v>
      </c>
      <c r="AO241" s="118"/>
      <c r="AP241" s="118"/>
      <c r="AQ241" s="118"/>
      <c r="AR241" s="118"/>
      <c r="AS241" s="118"/>
      <c r="AT241" s="118"/>
      <c r="AU241" s="118"/>
      <c r="AV241" s="1347"/>
      <c r="AW241" s="11"/>
      <c r="AX241" s="11"/>
      <c r="AY241" s="11"/>
      <c r="AZ241" s="11"/>
      <c r="BA241" s="11"/>
      <c r="BB241" s="11"/>
    </row>
    <row r="242" spans="1:54" s="127" customFormat="1" x14ac:dyDescent="0.45">
      <c r="A242" s="128" t="s">
        <v>323</v>
      </c>
      <c r="B242" s="128"/>
      <c r="C242" s="128"/>
      <c r="D242" s="128"/>
      <c r="E242" s="128"/>
      <c r="F242" s="128"/>
      <c r="G242" s="129"/>
      <c r="H242" s="129"/>
      <c r="I242" s="129"/>
      <c r="J242" s="129"/>
      <c r="K242" s="129"/>
      <c r="L242" s="129"/>
      <c r="M242" s="129"/>
      <c r="N242" s="129"/>
      <c r="O242" s="129"/>
      <c r="P242" s="129"/>
      <c r="Q242" s="129"/>
      <c r="R242" s="129"/>
      <c r="S242" s="1344"/>
      <c r="T242" s="1344"/>
      <c r="U242" s="129"/>
      <c r="V242" s="129"/>
      <c r="W242" s="129"/>
      <c r="X242" s="129"/>
      <c r="Y242" s="129"/>
      <c r="AN242" s="118" t="s">
        <v>573</v>
      </c>
      <c r="AO242" s="118"/>
      <c r="AP242" s="118"/>
      <c r="AQ242" s="118"/>
      <c r="AR242" s="118"/>
      <c r="AS242" s="118"/>
      <c r="AT242" s="118"/>
      <c r="AU242" s="118"/>
      <c r="AV242" s="1347"/>
      <c r="AW242" s="11"/>
      <c r="AX242" s="11"/>
      <c r="AY242" s="11"/>
      <c r="AZ242" s="11"/>
      <c r="BA242" s="11"/>
      <c r="BB242" s="11"/>
    </row>
    <row r="243" spans="1:54" s="127" customFormat="1" x14ac:dyDescent="0.45">
      <c r="A243" s="128" t="s">
        <v>324</v>
      </c>
      <c r="B243" s="128"/>
      <c r="C243" s="128"/>
      <c r="D243" s="128"/>
      <c r="E243" s="128"/>
      <c r="F243" s="128"/>
      <c r="G243" s="129"/>
      <c r="H243" s="129"/>
      <c r="I243" s="129"/>
      <c r="J243" s="129"/>
      <c r="K243" s="129"/>
      <c r="L243" s="129"/>
      <c r="M243" s="129"/>
      <c r="N243" s="129"/>
      <c r="O243" s="129"/>
      <c r="P243" s="129"/>
      <c r="Q243" s="129"/>
      <c r="R243" s="129"/>
      <c r="S243" s="1344"/>
      <c r="T243" s="1344"/>
      <c r="U243" s="129"/>
      <c r="V243" s="129"/>
      <c r="W243" s="129"/>
      <c r="X243" s="129"/>
      <c r="Y243" s="129"/>
      <c r="AN243" s="118" t="s">
        <v>574</v>
      </c>
      <c r="AO243" s="118"/>
      <c r="AP243" s="118"/>
      <c r="AQ243" s="118"/>
      <c r="AR243" s="118"/>
      <c r="AS243" s="118"/>
      <c r="AT243" s="118"/>
      <c r="AU243" s="118"/>
      <c r="AV243" s="1347"/>
      <c r="AW243" s="11"/>
      <c r="AX243" s="11"/>
      <c r="AY243" s="11"/>
      <c r="AZ243" s="11"/>
      <c r="BA243" s="11"/>
      <c r="BB243" s="11"/>
    </row>
    <row r="244" spans="1:54" s="127" customFormat="1" x14ac:dyDescent="0.45">
      <c r="A244" s="128" t="s">
        <v>325</v>
      </c>
      <c r="B244" s="128"/>
      <c r="C244" s="128"/>
      <c r="D244" s="128"/>
      <c r="E244" s="128"/>
      <c r="F244" s="128"/>
      <c r="G244" s="129"/>
      <c r="H244" s="129"/>
      <c r="I244" s="129"/>
      <c r="J244" s="129"/>
      <c r="K244" s="129"/>
      <c r="L244" s="129"/>
      <c r="M244" s="129"/>
      <c r="N244" s="129"/>
      <c r="O244" s="129"/>
      <c r="P244" s="129"/>
      <c r="Q244" s="129"/>
      <c r="R244" s="129"/>
      <c r="S244" s="1344"/>
      <c r="T244" s="1344"/>
      <c r="U244" s="129"/>
      <c r="V244" s="129"/>
      <c r="W244" s="129"/>
      <c r="X244" s="129"/>
      <c r="Y244" s="129"/>
      <c r="AN244" s="118" t="s">
        <v>575</v>
      </c>
      <c r="AO244" s="118"/>
      <c r="AP244" s="118"/>
      <c r="AQ244" s="118"/>
      <c r="AR244" s="118"/>
      <c r="AS244" s="118"/>
      <c r="AT244" s="118"/>
      <c r="AU244" s="118"/>
      <c r="AV244" s="1347"/>
      <c r="AW244" s="11"/>
      <c r="AX244" s="11"/>
      <c r="AY244" s="11"/>
      <c r="AZ244" s="11"/>
      <c r="BA244" s="11"/>
      <c r="BB244" s="11"/>
    </row>
    <row r="245" spans="1:54" s="127" customFormat="1" x14ac:dyDescent="0.45">
      <c r="A245" s="128" t="s">
        <v>326</v>
      </c>
      <c r="B245" s="128"/>
      <c r="C245" s="128"/>
      <c r="D245" s="128"/>
      <c r="E245" s="128"/>
      <c r="F245" s="128"/>
      <c r="G245" s="129"/>
      <c r="H245" s="129"/>
      <c r="I245" s="129"/>
      <c r="J245" s="129"/>
      <c r="K245" s="129"/>
      <c r="L245" s="129"/>
      <c r="M245" s="129"/>
      <c r="N245" s="129"/>
      <c r="O245" s="129"/>
      <c r="P245" s="129"/>
      <c r="Q245" s="129"/>
      <c r="R245" s="129"/>
      <c r="S245" s="129"/>
      <c r="T245" s="129"/>
      <c r="U245" s="129"/>
      <c r="V245" s="129"/>
      <c r="W245" s="129"/>
      <c r="X245" s="129"/>
      <c r="Y245" s="129"/>
      <c r="AN245" s="118" t="s">
        <v>576</v>
      </c>
      <c r="AO245" s="118"/>
      <c r="AP245" s="118"/>
      <c r="AQ245" s="118"/>
      <c r="AR245" s="118"/>
      <c r="AS245" s="118"/>
      <c r="AT245" s="118"/>
      <c r="AU245" s="118"/>
      <c r="AV245" s="1347"/>
      <c r="AW245" s="11"/>
      <c r="AX245" s="11"/>
      <c r="AY245" s="11"/>
      <c r="AZ245" s="11"/>
      <c r="BA245" s="11"/>
      <c r="BB245" s="11"/>
    </row>
    <row r="246" spans="1:54" s="127" customFormat="1" x14ac:dyDescent="0.45">
      <c r="A246" s="128" t="s">
        <v>327</v>
      </c>
      <c r="B246" s="128"/>
      <c r="C246" s="128"/>
      <c r="D246" s="128"/>
      <c r="E246" s="128"/>
      <c r="F246" s="128"/>
      <c r="G246" s="129"/>
      <c r="H246" s="129"/>
      <c r="I246" s="129"/>
      <c r="J246" s="129"/>
      <c r="K246" s="129"/>
      <c r="L246" s="129"/>
      <c r="M246" s="129"/>
      <c r="N246" s="129"/>
      <c r="O246" s="129"/>
      <c r="P246" s="129"/>
      <c r="Q246" s="129"/>
      <c r="R246" s="129"/>
      <c r="S246" s="1344"/>
      <c r="T246" s="1344"/>
      <c r="U246" s="129"/>
      <c r="V246" s="129"/>
      <c r="W246" s="129"/>
      <c r="X246" s="129"/>
      <c r="Y246" s="129"/>
      <c r="AN246" s="118" t="s">
        <v>577</v>
      </c>
      <c r="AO246" s="118"/>
      <c r="AP246" s="118"/>
      <c r="AQ246" s="118"/>
      <c r="AR246" s="118"/>
      <c r="AS246" s="118"/>
      <c r="AT246" s="118"/>
      <c r="AU246" s="118"/>
      <c r="AV246" s="1347"/>
      <c r="AW246" s="11"/>
      <c r="AX246" s="11"/>
      <c r="AY246" s="11"/>
      <c r="AZ246" s="11"/>
      <c r="BA246" s="11"/>
      <c r="BB246" s="11"/>
    </row>
    <row r="247" spans="1:54" s="127" customFormat="1" x14ac:dyDescent="0.45">
      <c r="A247" s="128" t="s">
        <v>328</v>
      </c>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AN247" s="118" t="s">
        <v>578</v>
      </c>
      <c r="AO247" s="118"/>
      <c r="AP247" s="118"/>
      <c r="AQ247" s="118"/>
      <c r="AR247" s="118"/>
      <c r="AS247" s="118"/>
      <c r="AT247" s="118"/>
      <c r="AU247" s="118"/>
      <c r="AV247" s="1347"/>
      <c r="AW247" s="11"/>
      <c r="AX247" s="11"/>
      <c r="AY247" s="11"/>
      <c r="AZ247" s="11"/>
      <c r="BA247" s="11"/>
      <c r="BB247" s="11"/>
    </row>
    <row r="248" spans="1:54" s="127" customFormat="1" x14ac:dyDescent="0.45">
      <c r="A248" s="128" t="s">
        <v>329</v>
      </c>
      <c r="B248" s="128"/>
      <c r="C248" s="128"/>
      <c r="D248" s="128"/>
      <c r="E248" s="128"/>
      <c r="F248" s="128"/>
      <c r="G248" s="129"/>
      <c r="H248" s="129"/>
      <c r="I248" s="129"/>
      <c r="J248" s="129"/>
      <c r="K248" s="129"/>
      <c r="L248" s="129"/>
      <c r="M248" s="129"/>
      <c r="N248" s="129"/>
      <c r="O248" s="129"/>
      <c r="P248" s="129"/>
      <c r="Q248" s="129"/>
      <c r="R248" s="129"/>
      <c r="S248" s="1344"/>
      <c r="T248" s="1344"/>
      <c r="U248" s="129"/>
      <c r="V248" s="129"/>
      <c r="W248" s="129"/>
      <c r="X248" s="129"/>
      <c r="Y248" s="129"/>
      <c r="AN248" s="118" t="s">
        <v>579</v>
      </c>
      <c r="AO248" s="118"/>
      <c r="AP248" s="118"/>
      <c r="AQ248" s="118"/>
      <c r="AR248" s="118"/>
      <c r="AS248" s="118"/>
      <c r="AT248" s="118"/>
      <c r="AU248" s="118"/>
      <c r="AV248" s="1347"/>
      <c r="AW248" s="11"/>
      <c r="AX248" s="11"/>
      <c r="AY248" s="11"/>
      <c r="AZ248" s="11"/>
      <c r="BA248" s="11"/>
      <c r="BB248" s="11"/>
    </row>
    <row r="249" spans="1:54" s="127" customFormat="1" x14ac:dyDescent="0.45">
      <c r="A249" s="128" t="s">
        <v>330</v>
      </c>
      <c r="B249" s="128"/>
      <c r="C249" s="128"/>
      <c r="D249" s="128"/>
      <c r="E249" s="128"/>
      <c r="F249" s="128"/>
      <c r="G249" s="129"/>
      <c r="H249" s="129"/>
      <c r="I249" s="129"/>
      <c r="J249" s="129"/>
      <c r="K249" s="129"/>
      <c r="L249" s="129"/>
      <c r="M249" s="129"/>
      <c r="N249" s="129"/>
      <c r="O249" s="129"/>
      <c r="P249" s="129"/>
      <c r="Q249" s="129"/>
      <c r="R249" s="129"/>
      <c r="S249" s="129"/>
      <c r="T249" s="129"/>
      <c r="U249" s="129"/>
      <c r="V249" s="129"/>
      <c r="W249" s="129"/>
      <c r="X249" s="129"/>
      <c r="Y249" s="129"/>
      <c r="AN249" s="118" t="s">
        <v>580</v>
      </c>
      <c r="AO249" s="11"/>
      <c r="AP249" s="11"/>
      <c r="AQ249" s="11"/>
      <c r="AR249" s="11"/>
      <c r="AS249" s="118"/>
      <c r="AT249" s="11"/>
      <c r="AU249" s="11"/>
      <c r="AV249" s="1347"/>
      <c r="AW249" s="11"/>
      <c r="AX249" s="11"/>
      <c r="AY249" s="11"/>
      <c r="AZ249" s="11"/>
      <c r="BA249" s="11"/>
      <c r="BB249" s="11"/>
    </row>
    <row r="250" spans="1:54" s="127" customFormat="1" x14ac:dyDescent="0.45">
      <c r="A250" s="128" t="s">
        <v>331</v>
      </c>
      <c r="B250" s="128"/>
      <c r="C250" s="128"/>
      <c r="D250" s="128"/>
      <c r="E250" s="128"/>
      <c r="F250" s="128"/>
      <c r="G250" s="129"/>
      <c r="H250" s="129"/>
      <c r="I250" s="129"/>
      <c r="J250" s="129"/>
      <c r="K250" s="129"/>
      <c r="L250" s="129"/>
      <c r="M250" s="129"/>
      <c r="N250" s="129"/>
      <c r="O250" s="129"/>
      <c r="P250" s="129"/>
      <c r="Q250" s="129"/>
      <c r="R250" s="129"/>
      <c r="S250" s="1344"/>
      <c r="T250" s="1344"/>
      <c r="U250" s="129"/>
      <c r="V250" s="129"/>
      <c r="W250" s="129"/>
      <c r="X250" s="129"/>
      <c r="Y250" s="129"/>
      <c r="AN250" s="118" t="s">
        <v>581</v>
      </c>
      <c r="AO250" s="118"/>
      <c r="AP250" s="118"/>
      <c r="AQ250" s="11"/>
      <c r="AR250" s="11"/>
      <c r="AS250" s="11"/>
      <c r="AT250" s="11"/>
      <c r="AU250" s="11"/>
      <c r="AV250" s="1347"/>
      <c r="AW250" s="11"/>
      <c r="AX250" s="11"/>
      <c r="AY250" s="11"/>
      <c r="AZ250" s="11"/>
      <c r="BA250" s="11"/>
      <c r="BB250" s="11"/>
    </row>
    <row r="251" spans="1:54" s="127" customFormat="1" x14ac:dyDescent="0.45">
      <c r="A251" s="128" t="s">
        <v>332</v>
      </c>
      <c r="B251" s="128"/>
      <c r="C251" s="128"/>
      <c r="D251" s="128"/>
      <c r="E251" s="128"/>
      <c r="F251" s="128"/>
      <c r="G251" s="129"/>
      <c r="H251" s="129"/>
      <c r="I251" s="129"/>
      <c r="J251" s="129"/>
      <c r="K251" s="129"/>
      <c r="L251" s="129"/>
      <c r="M251" s="129"/>
      <c r="N251" s="129"/>
      <c r="O251" s="129"/>
      <c r="P251" s="129"/>
      <c r="Q251" s="129"/>
      <c r="R251" s="129"/>
      <c r="S251" s="129"/>
      <c r="T251" s="129"/>
      <c r="U251" s="129"/>
      <c r="V251" s="129"/>
      <c r="W251" s="129"/>
      <c r="X251" s="129"/>
      <c r="Y251" s="129"/>
      <c r="AN251" s="118" t="s">
        <v>582</v>
      </c>
      <c r="AO251" s="118"/>
      <c r="AP251" s="118"/>
      <c r="AQ251" s="11"/>
      <c r="AR251" s="11"/>
      <c r="AS251" s="11"/>
      <c r="AT251" s="11"/>
      <c r="AU251" s="11"/>
      <c r="AV251" s="1347"/>
      <c r="AW251" s="11"/>
      <c r="AX251" s="11"/>
      <c r="AY251" s="11"/>
      <c r="AZ251" s="11"/>
      <c r="BA251" s="11"/>
      <c r="BB251" s="11"/>
    </row>
    <row r="252" spans="1:54" s="127" customFormat="1" x14ac:dyDescent="0.45">
      <c r="A252" s="128" t="s">
        <v>333</v>
      </c>
      <c r="B252" s="128"/>
      <c r="C252" s="128"/>
      <c r="D252" s="128"/>
      <c r="E252" s="128"/>
      <c r="F252" s="128"/>
      <c r="G252" s="129"/>
      <c r="H252" s="129"/>
      <c r="I252" s="129"/>
      <c r="J252" s="129"/>
      <c r="K252" s="129"/>
      <c r="L252" s="129"/>
      <c r="M252" s="129"/>
      <c r="N252" s="129"/>
      <c r="O252" s="129"/>
      <c r="P252" s="129"/>
      <c r="Q252" s="129"/>
      <c r="R252" s="129"/>
      <c r="S252" s="1344"/>
      <c r="T252" s="1344"/>
      <c r="U252" s="129"/>
      <c r="V252" s="129"/>
      <c r="W252" s="129"/>
      <c r="X252" s="129"/>
      <c r="Y252" s="129"/>
      <c r="AN252" s="118" t="s">
        <v>583</v>
      </c>
      <c r="AO252" s="118"/>
      <c r="AP252" s="118"/>
      <c r="AQ252" s="11"/>
      <c r="AR252" s="11"/>
      <c r="AS252" s="11"/>
      <c r="AT252" s="11"/>
      <c r="AU252" s="11"/>
      <c r="AV252" s="1347"/>
      <c r="AW252" s="11"/>
      <c r="AX252" s="11"/>
      <c r="AY252" s="11"/>
      <c r="AZ252" s="11"/>
      <c r="BA252" s="11"/>
      <c r="BB252" s="11"/>
    </row>
    <row r="253" spans="1:54" s="127" customFormat="1" x14ac:dyDescent="0.45">
      <c r="A253" s="128" t="s">
        <v>334</v>
      </c>
      <c r="B253" s="128"/>
      <c r="C253" s="128"/>
      <c r="D253" s="128"/>
      <c r="E253" s="128"/>
      <c r="F253" s="128"/>
      <c r="G253" s="129"/>
      <c r="H253" s="129"/>
      <c r="I253" s="129"/>
      <c r="J253" s="129"/>
      <c r="K253" s="129"/>
      <c r="L253" s="129"/>
      <c r="M253" s="129"/>
      <c r="N253" s="129"/>
      <c r="O253" s="129"/>
      <c r="P253" s="129"/>
      <c r="Q253" s="129"/>
      <c r="R253" s="129"/>
      <c r="S253" s="129"/>
      <c r="T253" s="129"/>
      <c r="U253" s="129"/>
      <c r="V253" s="129"/>
      <c r="W253" s="129"/>
      <c r="X253" s="129"/>
      <c r="Y253" s="129"/>
      <c r="AN253" s="118" t="s">
        <v>584</v>
      </c>
      <c r="AO253" s="11"/>
      <c r="AP253" s="11"/>
      <c r="AQ253" s="11"/>
      <c r="AR253" s="11"/>
      <c r="AS253" s="11"/>
      <c r="AT253" s="11"/>
      <c r="AU253" s="11"/>
      <c r="AV253" s="1347"/>
      <c r="AW253" s="11"/>
      <c r="AX253" s="11"/>
      <c r="AY253" s="11"/>
      <c r="AZ253" s="11"/>
      <c r="BA253" s="11"/>
      <c r="BB253" s="11"/>
    </row>
    <row r="254" spans="1:54" s="127" customFormat="1" x14ac:dyDescent="0.45">
      <c r="A254" s="128" t="s">
        <v>335</v>
      </c>
      <c r="B254" s="128"/>
      <c r="C254" s="128"/>
      <c r="D254" s="128"/>
      <c r="E254" s="128"/>
      <c r="F254" s="128"/>
      <c r="G254" s="129"/>
      <c r="H254" s="129"/>
      <c r="I254" s="129"/>
      <c r="J254" s="129"/>
      <c r="K254" s="129"/>
      <c r="L254" s="129"/>
      <c r="M254" s="129"/>
      <c r="N254" s="129"/>
      <c r="O254" s="129"/>
      <c r="P254" s="129"/>
      <c r="Q254" s="129"/>
      <c r="R254" s="129"/>
      <c r="S254" s="129"/>
      <c r="T254" s="129"/>
      <c r="U254" s="129"/>
      <c r="V254" s="129"/>
      <c r="W254" s="129"/>
      <c r="X254" s="129"/>
      <c r="Y254" s="129"/>
      <c r="AN254" s="118" t="s">
        <v>585</v>
      </c>
      <c r="AO254" s="11"/>
      <c r="AP254" s="11"/>
      <c r="AQ254" s="11"/>
      <c r="AR254" s="11"/>
      <c r="AS254" s="11"/>
      <c r="AT254" s="11"/>
      <c r="AU254" s="11"/>
      <c r="AV254" s="1347"/>
      <c r="AW254" s="11"/>
      <c r="AX254" s="11"/>
      <c r="AY254" s="11"/>
      <c r="AZ254" s="11"/>
      <c r="BA254" s="11"/>
      <c r="BB254" s="11"/>
    </row>
    <row r="255" spans="1:54" s="127" customFormat="1" x14ac:dyDescent="0.45">
      <c r="A255" s="128" t="s">
        <v>336</v>
      </c>
      <c r="B255" s="128"/>
      <c r="C255" s="128"/>
      <c r="D255" s="128"/>
      <c r="E255" s="128"/>
      <c r="F255" s="128"/>
      <c r="G255" s="129"/>
      <c r="H255" s="129"/>
      <c r="I255" s="129"/>
      <c r="J255" s="129"/>
      <c r="K255" s="129"/>
      <c r="L255" s="129"/>
      <c r="M255" s="129"/>
      <c r="N255" s="129"/>
      <c r="O255" s="129"/>
      <c r="P255" s="129"/>
      <c r="Q255" s="129"/>
      <c r="R255" s="129"/>
      <c r="S255" s="129"/>
      <c r="T255" s="129"/>
      <c r="U255" s="129"/>
      <c r="V255" s="129"/>
      <c r="W255" s="129"/>
      <c r="X255" s="129"/>
      <c r="Y255" s="129"/>
      <c r="AN255" s="118" t="s">
        <v>586</v>
      </c>
      <c r="AO255" s="118"/>
      <c r="AP255" s="118"/>
      <c r="AQ255" s="11"/>
      <c r="AR255" s="11"/>
      <c r="AS255" s="11"/>
      <c r="AT255" s="11"/>
      <c r="AU255" s="11"/>
      <c r="AV255" s="1347"/>
      <c r="AW255" s="11"/>
      <c r="AX255" s="11"/>
      <c r="AY255" s="11"/>
      <c r="AZ255" s="11"/>
      <c r="BA255" s="11"/>
      <c r="BB255" s="11"/>
    </row>
    <row r="256" spans="1:54" s="127" customFormat="1" x14ac:dyDescent="0.45">
      <c r="A256" s="128" t="s">
        <v>337</v>
      </c>
      <c r="B256" s="128"/>
      <c r="C256" s="128"/>
      <c r="D256" s="128"/>
      <c r="E256" s="128"/>
      <c r="F256" s="128"/>
      <c r="G256" s="129"/>
      <c r="H256" s="129"/>
      <c r="I256" s="129"/>
      <c r="J256" s="129"/>
      <c r="K256" s="129"/>
      <c r="L256" s="129"/>
      <c r="M256" s="129"/>
      <c r="N256" s="129"/>
      <c r="O256" s="129"/>
      <c r="P256" s="129"/>
      <c r="Q256" s="129"/>
      <c r="R256" s="129"/>
      <c r="S256" s="129"/>
      <c r="T256" s="129"/>
      <c r="U256" s="129"/>
      <c r="V256" s="129"/>
      <c r="W256" s="129"/>
      <c r="X256" s="129"/>
      <c r="Y256" s="129"/>
      <c r="AN256" s="118" t="s">
        <v>587</v>
      </c>
      <c r="AO256" s="118"/>
      <c r="AP256" s="118"/>
      <c r="AQ256" s="11"/>
      <c r="AR256" s="11"/>
      <c r="AS256" s="11"/>
      <c r="AT256" s="11"/>
      <c r="AU256" s="11"/>
      <c r="AV256" s="1347"/>
      <c r="AW256" s="11"/>
      <c r="AX256" s="11"/>
      <c r="AY256" s="11"/>
      <c r="AZ256" s="11"/>
      <c r="BA256" s="11"/>
      <c r="BB256" s="11"/>
    </row>
    <row r="257" spans="1:54" s="127" customFormat="1" x14ac:dyDescent="0.45">
      <c r="A257" s="128" t="s">
        <v>338</v>
      </c>
      <c r="B257" s="128"/>
      <c r="C257" s="128"/>
      <c r="D257" s="128"/>
      <c r="E257" s="128"/>
      <c r="F257" s="128"/>
      <c r="G257" s="129"/>
      <c r="H257" s="129"/>
      <c r="I257" s="129"/>
      <c r="J257" s="129"/>
      <c r="K257" s="129"/>
      <c r="L257" s="129"/>
      <c r="M257" s="129"/>
      <c r="N257" s="129"/>
      <c r="O257" s="129"/>
      <c r="P257" s="129"/>
      <c r="Q257" s="129"/>
      <c r="R257" s="129"/>
      <c r="S257" s="129"/>
      <c r="T257" s="129"/>
      <c r="U257" s="129"/>
      <c r="V257" s="129"/>
      <c r="W257" s="129"/>
      <c r="X257" s="129"/>
      <c r="Y257" s="129"/>
      <c r="AN257" s="118" t="s">
        <v>588</v>
      </c>
      <c r="AO257" s="118"/>
      <c r="AP257" s="118"/>
      <c r="AQ257" s="11"/>
      <c r="AR257" s="11"/>
      <c r="AS257" s="11"/>
      <c r="AT257" s="11"/>
      <c r="AU257" s="11"/>
      <c r="AV257" s="1347"/>
      <c r="AW257" s="11"/>
      <c r="AX257" s="11"/>
      <c r="AY257" s="11"/>
      <c r="AZ257" s="11"/>
      <c r="BA257" s="11"/>
      <c r="BB257" s="11"/>
    </row>
    <row r="258" spans="1:54" s="127" customFormat="1" x14ac:dyDescent="0.45">
      <c r="A258" s="128" t="s">
        <v>339</v>
      </c>
      <c r="B258" s="128"/>
      <c r="C258" s="128"/>
      <c r="D258" s="128"/>
      <c r="E258" s="128"/>
      <c r="F258" s="128"/>
      <c r="G258" s="129"/>
      <c r="H258" s="129"/>
      <c r="I258" s="129"/>
      <c r="J258" s="129"/>
      <c r="K258" s="129"/>
      <c r="L258" s="129"/>
      <c r="M258" s="129"/>
      <c r="N258" s="129"/>
      <c r="O258" s="129"/>
      <c r="P258" s="129"/>
      <c r="Q258" s="129"/>
      <c r="R258" s="129"/>
      <c r="S258" s="1344"/>
      <c r="T258" s="1344"/>
      <c r="U258" s="129"/>
      <c r="V258" s="129"/>
      <c r="W258" s="129"/>
      <c r="X258" s="129"/>
      <c r="Y258" s="129"/>
      <c r="AN258" s="118" t="s">
        <v>589</v>
      </c>
      <c r="AO258" s="118"/>
      <c r="AP258" s="118"/>
      <c r="AQ258" s="11"/>
      <c r="AR258" s="11"/>
      <c r="AS258" s="11"/>
      <c r="AT258" s="11"/>
      <c r="AU258" s="11"/>
      <c r="AV258" s="1347"/>
      <c r="AW258" s="11"/>
      <c r="AX258" s="11"/>
      <c r="AY258" s="11"/>
      <c r="AZ258" s="11"/>
      <c r="BA258" s="11"/>
      <c r="BB258" s="11"/>
    </row>
    <row r="259" spans="1:54" s="127" customFormat="1" x14ac:dyDescent="0.45">
      <c r="A259" s="128" t="s">
        <v>340</v>
      </c>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AN259" s="118" t="s">
        <v>590</v>
      </c>
      <c r="AO259" s="118"/>
      <c r="AP259" s="118"/>
      <c r="AQ259" s="11"/>
      <c r="AR259" s="11"/>
      <c r="AS259" s="11"/>
      <c r="AT259" s="11"/>
      <c r="AU259" s="11"/>
      <c r="AV259" s="1347"/>
      <c r="AW259" s="11"/>
      <c r="AX259" s="11"/>
      <c r="AY259" s="11"/>
      <c r="AZ259" s="11"/>
      <c r="BA259" s="11"/>
      <c r="BB259" s="11"/>
    </row>
    <row r="260" spans="1:54" s="127" customFormat="1" x14ac:dyDescent="0.45">
      <c r="A260" s="128" t="s">
        <v>341</v>
      </c>
      <c r="B260" s="128"/>
      <c r="C260" s="128"/>
      <c r="D260" s="128"/>
      <c r="E260" s="128"/>
      <c r="F260" s="128"/>
      <c r="G260" s="129"/>
      <c r="H260" s="129"/>
      <c r="I260" s="129"/>
      <c r="J260" s="129"/>
      <c r="K260" s="129"/>
      <c r="L260" s="129"/>
      <c r="M260" s="129"/>
      <c r="N260" s="129"/>
      <c r="O260" s="129"/>
      <c r="P260" s="129"/>
      <c r="Q260" s="129"/>
      <c r="R260" s="129"/>
      <c r="S260" s="1344"/>
      <c r="T260" s="1344"/>
      <c r="U260" s="129"/>
      <c r="V260" s="129"/>
      <c r="W260" s="129"/>
      <c r="X260" s="129"/>
      <c r="Y260" s="129"/>
      <c r="AN260" s="118" t="s">
        <v>591</v>
      </c>
      <c r="AO260" s="118"/>
      <c r="AP260" s="118"/>
      <c r="AQ260" s="11"/>
      <c r="AR260" s="11"/>
      <c r="AS260" s="11"/>
      <c r="AT260" s="11"/>
      <c r="AU260" s="11"/>
      <c r="AV260" s="1347"/>
      <c r="AW260" s="11"/>
      <c r="AX260" s="11"/>
      <c r="AY260" s="11"/>
      <c r="AZ260" s="11"/>
      <c r="BA260" s="11"/>
      <c r="BB260" s="11"/>
    </row>
    <row r="261" spans="1:54" s="127" customFormat="1" x14ac:dyDescent="0.45">
      <c r="A261" s="128" t="s">
        <v>342</v>
      </c>
      <c r="B261" s="128"/>
      <c r="C261" s="128"/>
      <c r="D261" s="128"/>
      <c r="E261" s="128"/>
      <c r="F261" s="128"/>
      <c r="G261" s="129"/>
      <c r="H261" s="129"/>
      <c r="I261" s="129"/>
      <c r="J261" s="129"/>
      <c r="K261" s="129"/>
      <c r="L261" s="129"/>
      <c r="M261" s="129"/>
      <c r="N261" s="129"/>
      <c r="O261" s="129"/>
      <c r="P261" s="129"/>
      <c r="Q261" s="129"/>
      <c r="R261" s="129"/>
      <c r="S261" s="129"/>
      <c r="T261" s="129"/>
      <c r="U261" s="129"/>
      <c r="V261" s="129"/>
      <c r="W261" s="129"/>
      <c r="X261" s="129"/>
      <c r="Y261" s="129"/>
      <c r="AN261" s="118" t="s">
        <v>592</v>
      </c>
      <c r="AO261" s="118"/>
      <c r="AP261" s="118"/>
      <c r="AQ261" s="11"/>
      <c r="AR261" s="11"/>
      <c r="AS261" s="11"/>
      <c r="AT261" s="11"/>
      <c r="AU261" s="11"/>
      <c r="AV261" s="1347"/>
      <c r="AW261" s="11"/>
      <c r="AX261" s="11"/>
      <c r="AY261" s="11"/>
      <c r="AZ261" s="11"/>
      <c r="BA261" s="11"/>
      <c r="BB261" s="11"/>
    </row>
    <row r="262" spans="1:54" s="127" customFormat="1" x14ac:dyDescent="0.45">
      <c r="A262" s="128" t="s">
        <v>343</v>
      </c>
      <c r="B262" s="128"/>
      <c r="C262" s="128"/>
      <c r="D262" s="128"/>
      <c r="E262" s="128"/>
      <c r="F262" s="128"/>
      <c r="G262" s="129"/>
      <c r="H262" s="129"/>
      <c r="I262" s="129"/>
      <c r="J262" s="129"/>
      <c r="K262" s="129"/>
      <c r="L262" s="129"/>
      <c r="M262" s="129"/>
      <c r="N262" s="129"/>
      <c r="O262" s="129"/>
      <c r="P262" s="129"/>
      <c r="Q262" s="129"/>
      <c r="R262" s="129"/>
      <c r="S262" s="129"/>
      <c r="T262" s="129"/>
      <c r="U262" s="129"/>
      <c r="V262" s="129"/>
      <c r="W262" s="129"/>
      <c r="X262" s="129"/>
      <c r="Y262" s="129"/>
      <c r="AN262" s="1402" t="s">
        <v>593</v>
      </c>
      <c r="AO262" s="1402"/>
      <c r="AP262" s="1402"/>
      <c r="AQ262" s="1402"/>
      <c r="AR262" s="1402"/>
      <c r="AS262" s="11"/>
      <c r="AT262" s="11"/>
      <c r="AU262" s="11"/>
      <c r="AV262" s="1347"/>
      <c r="AW262" s="11"/>
      <c r="AX262" s="11"/>
      <c r="AY262" s="11"/>
      <c r="AZ262" s="11"/>
      <c r="BA262" s="11"/>
      <c r="BB262" s="11"/>
    </row>
    <row r="263" spans="1:54" s="127" customFormat="1" x14ac:dyDescent="0.45">
      <c r="A263" s="128" t="s">
        <v>344</v>
      </c>
      <c r="B263" s="128"/>
      <c r="C263" s="128"/>
      <c r="D263" s="128"/>
      <c r="E263" s="128"/>
      <c r="F263" s="128"/>
      <c r="G263" s="129"/>
      <c r="H263" s="129"/>
      <c r="I263" s="129"/>
      <c r="J263" s="129"/>
      <c r="K263" s="129"/>
      <c r="L263" s="129"/>
      <c r="M263" s="129"/>
      <c r="N263" s="129"/>
      <c r="O263" s="129"/>
      <c r="P263" s="129"/>
      <c r="Q263" s="129"/>
      <c r="R263" s="129"/>
      <c r="S263" s="129"/>
      <c r="T263" s="129"/>
      <c r="U263" s="129"/>
      <c r="V263" s="129"/>
      <c r="W263" s="129"/>
      <c r="X263" s="129"/>
      <c r="Y263" s="129"/>
      <c r="AN263" s="11" t="s">
        <v>594</v>
      </c>
      <c r="AO263" s="11"/>
      <c r="AP263" s="11"/>
      <c r="AQ263" s="11"/>
      <c r="AR263" s="11"/>
      <c r="AS263" s="11"/>
      <c r="AT263" s="11"/>
      <c r="AU263" s="11"/>
      <c r="AV263" s="1347"/>
      <c r="AW263" s="11"/>
      <c r="AX263" s="11"/>
      <c r="AY263" s="11"/>
      <c r="AZ263" s="11"/>
      <c r="BA263" s="11"/>
      <c r="BB263" s="11"/>
    </row>
    <row r="264" spans="1:54" s="127" customFormat="1" x14ac:dyDescent="0.45">
      <c r="A264" s="128" t="s">
        <v>345</v>
      </c>
      <c r="B264" s="128"/>
      <c r="C264" s="128"/>
      <c r="D264" s="128"/>
      <c r="E264" s="128"/>
      <c r="F264" s="128"/>
      <c r="G264" s="129"/>
      <c r="H264" s="129"/>
      <c r="I264" s="129"/>
      <c r="J264" s="129"/>
      <c r="K264" s="129"/>
      <c r="L264" s="129"/>
      <c r="M264" s="129"/>
      <c r="N264" s="129"/>
      <c r="O264" s="129"/>
      <c r="P264" s="129"/>
      <c r="Q264" s="129"/>
      <c r="R264" s="129"/>
      <c r="S264" s="129"/>
      <c r="T264" s="129"/>
      <c r="U264" s="129"/>
      <c r="V264" s="129"/>
      <c r="W264" s="129"/>
      <c r="X264" s="129"/>
      <c r="Y264" s="129"/>
      <c r="AN264" s="11" t="s">
        <v>595</v>
      </c>
      <c r="AO264" s="11"/>
      <c r="AP264" s="11"/>
      <c r="AQ264" s="11"/>
      <c r="AR264" s="11"/>
      <c r="AS264" s="11"/>
      <c r="AT264" s="11"/>
      <c r="AU264" s="11"/>
      <c r="AV264" s="1347"/>
      <c r="AW264" s="11"/>
      <c r="AX264" s="11"/>
      <c r="AY264" s="11"/>
      <c r="AZ264" s="11"/>
      <c r="BA264" s="11"/>
      <c r="BB264" s="11"/>
    </row>
    <row r="265" spans="1:54" s="127" customFormat="1" x14ac:dyDescent="0.45">
      <c r="A265" s="128" t="s">
        <v>346</v>
      </c>
      <c r="B265" s="128"/>
      <c r="C265" s="128"/>
      <c r="D265" s="128"/>
      <c r="E265" s="128"/>
      <c r="F265" s="128"/>
      <c r="G265" s="129"/>
      <c r="H265" s="129"/>
      <c r="I265" s="129"/>
      <c r="J265" s="129"/>
      <c r="K265" s="129"/>
      <c r="L265" s="129"/>
      <c r="M265" s="129"/>
      <c r="N265" s="129"/>
      <c r="O265" s="129"/>
      <c r="P265" s="129"/>
      <c r="Q265" s="129"/>
      <c r="R265" s="129"/>
      <c r="S265" s="129"/>
      <c r="T265" s="129"/>
      <c r="U265" s="129"/>
      <c r="V265" s="129"/>
      <c r="W265" s="129"/>
      <c r="X265" s="129"/>
      <c r="Y265" s="129"/>
      <c r="AN265" s="118" t="s">
        <v>596</v>
      </c>
      <c r="AO265" s="11"/>
      <c r="AP265" s="11"/>
      <c r="AQ265" s="11"/>
      <c r="AR265" s="11"/>
      <c r="AS265" s="11"/>
      <c r="AT265" s="11"/>
      <c r="AU265" s="11"/>
      <c r="AV265" s="1347"/>
      <c r="AW265" s="11"/>
      <c r="AX265" s="11"/>
      <c r="AY265" s="11"/>
      <c r="AZ265" s="11"/>
      <c r="BA265" s="11"/>
      <c r="BB265" s="11"/>
    </row>
    <row r="266" spans="1:54" s="127" customFormat="1" x14ac:dyDescent="0.45">
      <c r="A266" s="128" t="s">
        <v>347</v>
      </c>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AN266" s="11" t="s">
        <v>597</v>
      </c>
      <c r="AO266" s="11"/>
      <c r="AP266" s="11"/>
      <c r="AQ266" s="11"/>
      <c r="AR266" s="11"/>
      <c r="AS266" s="11"/>
      <c r="AT266" s="11"/>
      <c r="AU266" s="11"/>
      <c r="AV266" s="1347"/>
      <c r="AW266" s="11"/>
      <c r="AX266" s="11"/>
      <c r="AY266" s="11"/>
      <c r="AZ266" s="11"/>
      <c r="BA266" s="11"/>
      <c r="BB266" s="11"/>
    </row>
    <row r="267" spans="1:54" s="127" customFormat="1" x14ac:dyDescent="0.45">
      <c r="A267" s="128" t="s">
        <v>348</v>
      </c>
      <c r="B267" s="128"/>
      <c r="C267" s="128"/>
      <c r="D267" s="128"/>
      <c r="E267" s="128"/>
      <c r="F267" s="128"/>
      <c r="G267" s="129"/>
      <c r="H267" s="129"/>
      <c r="I267" s="129"/>
      <c r="J267" s="129"/>
      <c r="K267" s="129"/>
      <c r="L267" s="129"/>
      <c r="M267" s="129"/>
      <c r="N267" s="129"/>
      <c r="O267" s="129"/>
      <c r="P267" s="129"/>
      <c r="Q267" s="129"/>
      <c r="R267" s="129"/>
      <c r="S267" s="129"/>
      <c r="T267" s="129"/>
      <c r="U267" s="129"/>
      <c r="V267" s="129"/>
      <c r="W267" s="129"/>
      <c r="X267" s="129"/>
      <c r="Y267" s="129"/>
      <c r="AN267" s="118" t="s">
        <v>598</v>
      </c>
      <c r="AO267" s="11"/>
      <c r="AP267" s="11"/>
      <c r="AQ267" s="11"/>
      <c r="AR267" s="11"/>
      <c r="AS267" s="11"/>
      <c r="AT267" s="11"/>
      <c r="AU267" s="11"/>
      <c r="AV267" s="1347"/>
      <c r="AW267" s="11"/>
      <c r="AX267" s="11"/>
      <c r="AY267" s="11"/>
      <c r="AZ267" s="11"/>
      <c r="BA267" s="11"/>
      <c r="BB267" s="11"/>
    </row>
    <row r="268" spans="1:54" s="127" customFormat="1" x14ac:dyDescent="0.45">
      <c r="A268" s="128" t="s">
        <v>349</v>
      </c>
      <c r="B268" s="128"/>
      <c r="C268" s="128"/>
      <c r="D268" s="128"/>
      <c r="E268" s="128"/>
      <c r="F268" s="128"/>
      <c r="G268" s="129"/>
      <c r="H268" s="129"/>
      <c r="I268" s="129"/>
      <c r="J268" s="129"/>
      <c r="K268" s="129"/>
      <c r="L268" s="129"/>
      <c r="M268" s="129"/>
      <c r="N268" s="129"/>
      <c r="O268" s="129"/>
      <c r="P268" s="129"/>
      <c r="Q268" s="129"/>
      <c r="R268" s="129"/>
      <c r="S268" s="129"/>
      <c r="T268" s="129"/>
      <c r="U268" s="129"/>
      <c r="V268" s="129"/>
      <c r="W268" s="129"/>
      <c r="X268" s="129"/>
      <c r="Y268" s="129"/>
      <c r="AN268" s="11" t="s">
        <v>599</v>
      </c>
      <c r="AO268" s="11"/>
      <c r="AP268" s="11"/>
      <c r="AQ268" s="11"/>
      <c r="AR268" s="11"/>
      <c r="AS268" s="11"/>
      <c r="AT268" s="11"/>
      <c r="AU268" s="11"/>
      <c r="AV268" s="1347"/>
      <c r="AW268" s="11"/>
      <c r="AX268" s="11"/>
      <c r="AY268" s="11"/>
      <c r="AZ268" s="11"/>
      <c r="BA268" s="11"/>
      <c r="BB268" s="11"/>
    </row>
    <row r="269" spans="1:54" s="127" customFormat="1" x14ac:dyDescent="0.45">
      <c r="A269" s="128" t="s">
        <v>350</v>
      </c>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AN269" s="118" t="s">
        <v>600</v>
      </c>
      <c r="AO269" s="11"/>
      <c r="AP269" s="11"/>
      <c r="AQ269" s="11"/>
      <c r="AR269" s="11"/>
      <c r="AS269" s="11"/>
      <c r="AT269" s="11"/>
      <c r="AU269" s="11"/>
      <c r="AV269" s="1347"/>
      <c r="AW269" s="11"/>
      <c r="AX269" s="11"/>
      <c r="AY269" s="11"/>
      <c r="AZ269" s="11"/>
      <c r="BA269" s="11"/>
      <c r="BB269" s="11"/>
    </row>
    <row r="270" spans="1:54" s="127" customFormat="1" x14ac:dyDescent="0.45">
      <c r="A270" s="128" t="s">
        <v>351</v>
      </c>
      <c r="B270" s="128"/>
      <c r="C270" s="128"/>
      <c r="D270" s="128"/>
      <c r="E270" s="128"/>
      <c r="F270" s="128"/>
      <c r="G270" s="129"/>
      <c r="H270" s="129"/>
      <c r="I270" s="129"/>
      <c r="J270" s="129"/>
      <c r="K270" s="129"/>
      <c r="L270" s="129"/>
      <c r="M270" s="129"/>
      <c r="N270" s="129"/>
      <c r="O270" s="129"/>
      <c r="P270" s="129"/>
      <c r="Q270" s="129"/>
      <c r="R270" s="129"/>
      <c r="S270" s="129"/>
      <c r="T270" s="129"/>
      <c r="U270" s="129"/>
      <c r="V270" s="129"/>
      <c r="W270" s="129"/>
      <c r="X270" s="129"/>
      <c r="Y270" s="129"/>
      <c r="AN270" s="118" t="s">
        <v>601</v>
      </c>
      <c r="AO270" s="11"/>
      <c r="AP270" s="11"/>
      <c r="AQ270" s="11"/>
      <c r="AR270" s="11"/>
      <c r="AS270" s="11"/>
      <c r="AT270" s="11"/>
      <c r="AU270" s="11"/>
      <c r="AV270" s="1347"/>
      <c r="AW270" s="11"/>
      <c r="AX270" s="11"/>
      <c r="AY270" s="11"/>
      <c r="AZ270" s="11"/>
      <c r="BA270" s="11"/>
      <c r="BB270" s="11"/>
    </row>
    <row r="271" spans="1:54" s="127" customFormat="1" x14ac:dyDescent="0.45">
      <c r="A271" s="128" t="s">
        <v>352</v>
      </c>
      <c r="B271" s="128"/>
      <c r="C271" s="128"/>
      <c r="D271" s="128"/>
      <c r="E271" s="128"/>
      <c r="F271" s="128"/>
      <c r="G271" s="129"/>
      <c r="H271" s="129"/>
      <c r="I271" s="129"/>
      <c r="J271" s="129"/>
      <c r="K271" s="129"/>
      <c r="L271" s="129"/>
      <c r="M271" s="129"/>
      <c r="N271" s="129"/>
      <c r="O271" s="129"/>
      <c r="P271" s="129"/>
      <c r="Q271" s="129"/>
      <c r="R271" s="129"/>
      <c r="S271" s="129"/>
      <c r="T271" s="129"/>
      <c r="U271" s="129"/>
      <c r="V271" s="129"/>
      <c r="W271" s="129"/>
      <c r="X271" s="129"/>
      <c r="Y271" s="129"/>
      <c r="AN271" s="11" t="s">
        <v>602</v>
      </c>
      <c r="AO271" s="11"/>
      <c r="AP271" s="11"/>
      <c r="AQ271" s="11"/>
      <c r="AR271" s="11"/>
      <c r="AS271" s="11"/>
      <c r="AT271" s="11"/>
      <c r="AU271" s="11"/>
      <c r="AV271" s="1347"/>
      <c r="AW271" s="11"/>
      <c r="AX271" s="11"/>
      <c r="AY271" s="11"/>
      <c r="AZ271" s="11"/>
      <c r="BA271" s="11"/>
      <c r="BB271" s="11"/>
    </row>
    <row r="272" spans="1:54" s="127" customFormat="1" x14ac:dyDescent="0.45">
      <c r="A272" s="128" t="s">
        <v>353</v>
      </c>
      <c r="B272" s="128"/>
      <c r="C272" s="128"/>
      <c r="D272" s="128"/>
      <c r="E272" s="128"/>
      <c r="F272" s="128"/>
      <c r="G272" s="129"/>
      <c r="H272" s="129"/>
      <c r="I272" s="129"/>
      <c r="J272" s="129"/>
      <c r="K272" s="129"/>
      <c r="L272" s="129"/>
      <c r="M272" s="129"/>
      <c r="N272" s="129"/>
      <c r="O272" s="129"/>
      <c r="P272" s="129"/>
      <c r="Q272" s="129"/>
      <c r="R272" s="129"/>
      <c r="S272" s="129"/>
      <c r="T272" s="129"/>
      <c r="U272" s="129"/>
      <c r="V272" s="129"/>
      <c r="W272" s="129"/>
      <c r="X272" s="129"/>
      <c r="Y272" s="129"/>
      <c r="AN272" s="118" t="s">
        <v>603</v>
      </c>
      <c r="AO272" s="11"/>
      <c r="AP272" s="11"/>
      <c r="AQ272" s="11"/>
      <c r="AR272" s="11"/>
      <c r="AS272" s="11"/>
      <c r="AT272" s="11"/>
      <c r="AU272" s="11"/>
      <c r="AV272" s="1347"/>
      <c r="AW272" s="11"/>
      <c r="AX272" s="11"/>
      <c r="AY272" s="11"/>
      <c r="AZ272" s="11"/>
      <c r="BA272" s="11"/>
      <c r="BB272" s="11"/>
    </row>
    <row r="273" spans="1:54" s="127" customFormat="1" x14ac:dyDescent="0.45">
      <c r="A273" s="128" t="s">
        <v>354</v>
      </c>
      <c r="B273" s="128"/>
      <c r="C273" s="128"/>
      <c r="D273" s="128"/>
      <c r="E273" s="128"/>
      <c r="F273" s="128"/>
      <c r="G273" s="129"/>
      <c r="H273" s="129"/>
      <c r="I273" s="129"/>
      <c r="J273" s="129"/>
      <c r="K273" s="129"/>
      <c r="L273" s="129"/>
      <c r="M273" s="129"/>
      <c r="N273" s="129"/>
      <c r="O273" s="129"/>
      <c r="P273" s="129"/>
      <c r="Q273" s="129"/>
      <c r="R273" s="129"/>
      <c r="S273" s="1344"/>
      <c r="T273" s="1344"/>
      <c r="U273" s="129"/>
      <c r="V273" s="129"/>
      <c r="W273" s="129"/>
      <c r="X273" s="129"/>
      <c r="Y273" s="129"/>
      <c r="AN273" s="11" t="s">
        <v>604</v>
      </c>
      <c r="AO273" s="11"/>
      <c r="AP273" s="11"/>
      <c r="AQ273" s="11"/>
      <c r="AR273" s="11"/>
      <c r="AS273" s="11"/>
      <c r="AT273" s="11"/>
      <c r="AU273" s="11"/>
      <c r="AV273" s="1347"/>
      <c r="AW273" s="11"/>
      <c r="AX273" s="11"/>
      <c r="AY273" s="11"/>
      <c r="AZ273" s="11"/>
      <c r="BA273" s="11"/>
      <c r="BB273" s="11"/>
    </row>
    <row r="274" spans="1:54" s="127" customFormat="1" x14ac:dyDescent="0.45">
      <c r="A274" s="128" t="s">
        <v>355</v>
      </c>
      <c r="B274" s="128"/>
      <c r="C274" s="128"/>
      <c r="D274" s="128"/>
      <c r="E274" s="128"/>
      <c r="F274" s="128"/>
      <c r="G274" s="129"/>
      <c r="H274" s="129"/>
      <c r="I274" s="129"/>
      <c r="J274" s="129"/>
      <c r="K274" s="129"/>
      <c r="L274" s="129"/>
      <c r="M274" s="129"/>
      <c r="N274" s="129"/>
      <c r="O274" s="129"/>
      <c r="P274" s="129"/>
      <c r="Q274" s="129"/>
      <c r="R274" s="129"/>
      <c r="S274" s="129"/>
      <c r="T274" s="129"/>
      <c r="U274" s="129"/>
      <c r="V274" s="129"/>
      <c r="W274" s="129"/>
      <c r="X274" s="129"/>
      <c r="Y274" s="129"/>
      <c r="AN274" s="118" t="s">
        <v>605</v>
      </c>
      <c r="AO274" s="11"/>
      <c r="AP274" s="11"/>
      <c r="AQ274" s="11"/>
      <c r="AR274" s="11"/>
      <c r="AS274" s="11"/>
      <c r="AT274" s="11"/>
      <c r="AU274" s="11"/>
      <c r="AV274" s="1347"/>
      <c r="AW274" s="11"/>
      <c r="AX274" s="11"/>
      <c r="AY274" s="11"/>
      <c r="AZ274" s="11"/>
      <c r="BA274" s="11"/>
      <c r="BB274" s="11"/>
    </row>
    <row r="275" spans="1:54" s="127" customFormat="1" x14ac:dyDescent="0.45">
      <c r="A275" s="128" t="s">
        <v>356</v>
      </c>
      <c r="B275" s="128"/>
      <c r="C275" s="128"/>
      <c r="D275" s="128"/>
      <c r="E275" s="128"/>
      <c r="F275" s="129"/>
      <c r="G275" s="129"/>
      <c r="H275" s="129"/>
      <c r="I275" s="129"/>
      <c r="J275" s="129"/>
      <c r="K275" s="129"/>
      <c r="L275" s="129"/>
      <c r="M275" s="129"/>
      <c r="N275" s="129"/>
      <c r="O275" s="129"/>
      <c r="P275" s="129"/>
      <c r="Q275" s="129"/>
      <c r="R275" s="129"/>
      <c r="S275" s="129"/>
      <c r="T275" s="129"/>
      <c r="U275" s="129"/>
      <c r="V275" s="129"/>
      <c r="W275" s="129"/>
      <c r="X275" s="129"/>
      <c r="Y275" s="129"/>
      <c r="AN275" s="11" t="s">
        <v>606</v>
      </c>
      <c r="AO275" s="11"/>
      <c r="AP275" s="11"/>
      <c r="AQ275" s="11"/>
      <c r="AR275" s="11"/>
      <c r="AS275" s="11"/>
      <c r="AT275" s="11"/>
      <c r="AU275" s="11"/>
      <c r="AV275" s="1347"/>
      <c r="AW275" s="11"/>
      <c r="AX275" s="11"/>
      <c r="AY275" s="11"/>
      <c r="AZ275" s="11"/>
      <c r="BA275" s="11"/>
      <c r="BB275" s="11"/>
    </row>
    <row r="276" spans="1:54" s="127" customFormat="1" x14ac:dyDescent="0.45">
      <c r="A276" s="128" t="s">
        <v>357</v>
      </c>
      <c r="B276" s="128"/>
      <c r="C276" s="128"/>
      <c r="D276" s="128"/>
      <c r="E276" s="128"/>
      <c r="F276" s="128"/>
      <c r="G276" s="129"/>
      <c r="H276" s="129"/>
      <c r="I276" s="129"/>
      <c r="J276" s="129"/>
      <c r="K276" s="129"/>
      <c r="L276" s="129"/>
      <c r="M276" s="129"/>
      <c r="N276" s="129"/>
      <c r="O276" s="129"/>
      <c r="P276" s="129"/>
      <c r="Q276" s="129"/>
      <c r="R276" s="129"/>
      <c r="S276" s="129"/>
      <c r="T276" s="129"/>
      <c r="U276" s="129"/>
      <c r="V276" s="129"/>
      <c r="W276" s="129"/>
      <c r="X276" s="129"/>
      <c r="Y276" s="129"/>
      <c r="AN276" s="118" t="s">
        <v>607</v>
      </c>
      <c r="AO276" s="11"/>
      <c r="AP276" s="11"/>
      <c r="AQ276" s="11"/>
      <c r="AR276" s="11"/>
      <c r="AS276" s="11"/>
      <c r="AT276" s="11"/>
      <c r="AU276" s="11"/>
      <c r="AV276" s="1347"/>
      <c r="AW276" s="11"/>
      <c r="AX276" s="11"/>
      <c r="AY276" s="11"/>
      <c r="AZ276" s="11"/>
      <c r="BA276" s="11"/>
      <c r="BB276" s="11"/>
    </row>
    <row r="277" spans="1:54" s="127" customFormat="1" x14ac:dyDescent="0.45">
      <c r="A277" s="128" t="s">
        <v>358</v>
      </c>
      <c r="B277" s="128"/>
      <c r="C277" s="128"/>
      <c r="D277" s="128"/>
      <c r="E277" s="128"/>
      <c r="F277" s="128"/>
      <c r="G277" s="129"/>
      <c r="H277" s="129"/>
      <c r="I277" s="129"/>
      <c r="J277" s="129"/>
      <c r="K277" s="129"/>
      <c r="L277" s="129"/>
      <c r="M277" s="129"/>
      <c r="N277" s="129"/>
      <c r="O277" s="129"/>
      <c r="P277" s="129"/>
      <c r="Q277" s="129"/>
      <c r="R277" s="129"/>
      <c r="S277" s="129"/>
      <c r="T277" s="129"/>
      <c r="U277" s="129"/>
      <c r="V277" s="129"/>
      <c r="W277" s="129"/>
      <c r="X277" s="129"/>
      <c r="Y277" s="129"/>
      <c r="AN277" s="118" t="s">
        <v>608</v>
      </c>
      <c r="AO277" s="11"/>
      <c r="AP277" s="11"/>
      <c r="AQ277" s="11"/>
      <c r="AR277" s="11"/>
      <c r="AS277" s="11"/>
      <c r="AT277" s="11"/>
      <c r="AU277" s="11"/>
      <c r="AV277" s="1347"/>
      <c r="AW277" s="11"/>
      <c r="AX277" s="11"/>
      <c r="AY277" s="11"/>
      <c r="AZ277" s="11"/>
      <c r="BA277" s="11"/>
      <c r="BB277" s="11"/>
    </row>
    <row r="278" spans="1:54" s="127" customFormat="1" x14ac:dyDescent="0.45">
      <c r="A278" s="128" t="s">
        <v>359</v>
      </c>
      <c r="B278" s="128"/>
      <c r="C278" s="128"/>
      <c r="D278" s="128"/>
      <c r="E278" s="128"/>
      <c r="F278" s="128"/>
      <c r="G278" s="129"/>
      <c r="H278" s="129"/>
      <c r="I278" s="129"/>
      <c r="J278" s="129"/>
      <c r="K278" s="129"/>
      <c r="L278" s="129"/>
      <c r="M278" s="129"/>
      <c r="N278" s="129"/>
      <c r="O278" s="129"/>
      <c r="P278" s="129"/>
      <c r="Q278" s="129"/>
      <c r="R278" s="129"/>
      <c r="S278" s="129"/>
      <c r="T278" s="129"/>
      <c r="U278" s="129"/>
      <c r="V278" s="129"/>
      <c r="W278" s="129"/>
      <c r="X278" s="129"/>
      <c r="Y278" s="129"/>
      <c r="AN278" s="118" t="s">
        <v>609</v>
      </c>
      <c r="AO278" s="11"/>
      <c r="AP278" s="11"/>
      <c r="AQ278" s="11"/>
      <c r="AR278" s="11"/>
      <c r="AS278" s="11"/>
      <c r="AT278" s="11"/>
      <c r="AU278" s="11"/>
      <c r="AV278" s="1347"/>
      <c r="AW278" s="11"/>
      <c r="AX278" s="11"/>
      <c r="AY278" s="11"/>
      <c r="AZ278" s="11"/>
      <c r="BA278" s="11"/>
      <c r="BB278" s="11"/>
    </row>
    <row r="279" spans="1:54" s="127" customFormat="1" x14ac:dyDescent="0.45">
      <c r="A279" s="128" t="s">
        <v>360</v>
      </c>
      <c r="B279" s="128"/>
      <c r="C279" s="128"/>
      <c r="D279" s="128"/>
      <c r="E279" s="128"/>
      <c r="F279" s="128"/>
      <c r="G279" s="129"/>
      <c r="H279" s="129"/>
      <c r="I279" s="129"/>
      <c r="J279" s="129"/>
      <c r="K279" s="129"/>
      <c r="L279" s="129"/>
      <c r="M279" s="129"/>
      <c r="N279" s="129"/>
      <c r="O279" s="129"/>
      <c r="P279" s="129"/>
      <c r="Q279" s="129"/>
      <c r="R279" s="129"/>
      <c r="S279" s="129"/>
      <c r="T279" s="129"/>
      <c r="U279" s="129"/>
      <c r="V279" s="129"/>
      <c r="W279" s="129"/>
      <c r="X279" s="129"/>
      <c r="Y279" s="129"/>
      <c r="AN279" s="11" t="s">
        <v>610</v>
      </c>
      <c r="AO279" s="11"/>
      <c r="AP279" s="11"/>
      <c r="AQ279" s="11"/>
      <c r="AR279" s="11"/>
      <c r="AS279" s="11"/>
      <c r="AT279" s="11"/>
      <c r="AU279" s="11"/>
      <c r="AV279" s="1347"/>
      <c r="AW279" s="11"/>
      <c r="AX279" s="11"/>
      <c r="AY279" s="11"/>
      <c r="AZ279" s="11"/>
      <c r="BA279" s="11"/>
      <c r="BB279" s="11"/>
    </row>
    <row r="280" spans="1:54" s="127" customFormat="1" x14ac:dyDescent="0.45">
      <c r="A280" s="128" t="s">
        <v>361</v>
      </c>
      <c r="B280" s="128"/>
      <c r="C280" s="128"/>
      <c r="D280" s="128"/>
      <c r="E280" s="128"/>
      <c r="F280" s="128"/>
      <c r="G280" s="129"/>
      <c r="H280" s="129"/>
      <c r="I280" s="129"/>
      <c r="J280" s="129"/>
      <c r="K280" s="129"/>
      <c r="L280" s="129"/>
      <c r="M280" s="129"/>
      <c r="N280" s="129"/>
      <c r="O280" s="129"/>
      <c r="P280" s="129"/>
      <c r="Q280" s="129"/>
      <c r="R280" s="129"/>
      <c r="S280" s="129"/>
      <c r="T280" s="129"/>
      <c r="U280" s="129"/>
      <c r="V280" s="129"/>
      <c r="W280" s="129"/>
      <c r="X280" s="129"/>
      <c r="Y280" s="129"/>
      <c r="AN280" s="118" t="s">
        <v>611</v>
      </c>
      <c r="AO280" s="11"/>
      <c r="AP280" s="11"/>
      <c r="AQ280" s="11"/>
      <c r="AR280" s="11"/>
      <c r="AS280" s="11"/>
      <c r="AT280" s="11"/>
      <c r="AU280" s="11"/>
      <c r="AV280" s="1347"/>
      <c r="AW280" s="11"/>
      <c r="AX280" s="11"/>
      <c r="AY280" s="11"/>
      <c r="AZ280" s="11"/>
      <c r="BA280" s="11"/>
      <c r="BB280" s="11"/>
    </row>
    <row r="281" spans="1:54" s="127" customFormat="1" x14ac:dyDescent="0.45">
      <c r="A281" s="128" t="s">
        <v>362</v>
      </c>
      <c r="B281" s="128"/>
      <c r="C281" s="128"/>
      <c r="D281" s="128"/>
      <c r="E281" s="128"/>
      <c r="F281" s="128"/>
      <c r="G281" s="129"/>
      <c r="H281" s="129"/>
      <c r="I281" s="129"/>
      <c r="J281" s="129"/>
      <c r="K281" s="129"/>
      <c r="L281" s="129"/>
      <c r="M281" s="129"/>
      <c r="N281" s="129"/>
      <c r="O281" s="129"/>
      <c r="P281" s="129"/>
      <c r="Q281" s="129"/>
      <c r="R281" s="129"/>
      <c r="S281" s="129"/>
      <c r="T281" s="129"/>
      <c r="U281" s="129"/>
      <c r="V281" s="129"/>
      <c r="W281" s="129"/>
      <c r="X281" s="129"/>
      <c r="Y281" s="129"/>
      <c r="AN281" s="11" t="s">
        <v>612</v>
      </c>
      <c r="AO281" s="11"/>
      <c r="AP281" s="11"/>
      <c r="AQ281" s="11"/>
      <c r="AR281" s="11"/>
      <c r="AS281" s="11"/>
      <c r="AT281" s="11"/>
      <c r="AU281" s="11"/>
      <c r="AV281" s="1347"/>
      <c r="AW281" s="11"/>
      <c r="AX281" s="11"/>
      <c r="AY281" s="11"/>
      <c r="AZ281" s="11"/>
      <c r="BA281" s="11"/>
      <c r="BB281" s="11"/>
    </row>
    <row r="282" spans="1:54" s="127" customFormat="1" x14ac:dyDescent="0.45">
      <c r="A282" s="128" t="s">
        <v>363</v>
      </c>
      <c r="B282" s="128"/>
      <c r="C282" s="128"/>
      <c r="D282" s="128"/>
      <c r="E282" s="128"/>
      <c r="F282" s="128"/>
      <c r="G282" s="129"/>
      <c r="H282" s="129"/>
      <c r="I282" s="129"/>
      <c r="J282" s="129"/>
      <c r="K282" s="129"/>
      <c r="L282" s="129"/>
      <c r="M282" s="129"/>
      <c r="N282" s="129"/>
      <c r="O282" s="129"/>
      <c r="P282" s="129"/>
      <c r="Q282" s="129"/>
      <c r="R282" s="129"/>
      <c r="S282" s="129"/>
      <c r="T282" s="129"/>
      <c r="U282" s="129"/>
      <c r="V282" s="129"/>
      <c r="W282" s="129"/>
      <c r="X282" s="129"/>
      <c r="Y282" s="129"/>
      <c r="AN282" s="118" t="s">
        <v>613</v>
      </c>
      <c r="AO282" s="11"/>
      <c r="AP282" s="11"/>
      <c r="AQ282" s="11"/>
      <c r="AR282" s="11"/>
      <c r="AS282" s="11"/>
      <c r="AT282" s="11"/>
      <c r="AU282" s="11"/>
      <c r="AV282" s="1347"/>
      <c r="AW282" s="11"/>
      <c r="AX282" s="11"/>
      <c r="AY282" s="11"/>
      <c r="AZ282" s="11"/>
      <c r="BA282" s="11"/>
      <c r="BB282" s="11"/>
    </row>
    <row r="283" spans="1:54" s="127" customFormat="1" x14ac:dyDescent="0.45">
      <c r="A283" s="128" t="s">
        <v>364</v>
      </c>
      <c r="B283" s="128"/>
      <c r="C283" s="128"/>
      <c r="D283" s="128"/>
      <c r="E283" s="128"/>
      <c r="F283" s="128"/>
      <c r="G283" s="129"/>
      <c r="H283" s="129"/>
      <c r="I283" s="129"/>
      <c r="J283" s="129"/>
      <c r="K283" s="129"/>
      <c r="L283" s="129"/>
      <c r="M283" s="129"/>
      <c r="N283" s="129"/>
      <c r="O283" s="129"/>
      <c r="P283" s="129"/>
      <c r="Q283" s="129"/>
      <c r="R283" s="129"/>
      <c r="S283" s="129"/>
      <c r="T283" s="129"/>
      <c r="U283" s="129"/>
      <c r="V283" s="129"/>
      <c r="W283" s="129"/>
      <c r="X283" s="129"/>
      <c r="Y283" s="129"/>
      <c r="AN283" s="118" t="s">
        <v>614</v>
      </c>
      <c r="AO283" s="11"/>
      <c r="AP283" s="11"/>
      <c r="AQ283" s="11"/>
      <c r="AR283" s="11"/>
      <c r="AS283" s="11"/>
      <c r="AT283" s="11"/>
      <c r="AU283" s="11"/>
      <c r="AV283" s="1347"/>
      <c r="AW283" s="11"/>
      <c r="AX283" s="11"/>
      <c r="AY283" s="11"/>
      <c r="AZ283" s="11"/>
      <c r="BA283" s="11"/>
      <c r="BB283" s="11"/>
    </row>
    <row r="284" spans="1:54" s="127" customFormat="1" x14ac:dyDescent="0.45">
      <c r="A284" s="128" t="s">
        <v>365</v>
      </c>
      <c r="B284" s="128"/>
      <c r="C284" s="128"/>
      <c r="D284" s="128"/>
      <c r="E284" s="128"/>
      <c r="F284" s="129"/>
      <c r="G284" s="129"/>
      <c r="H284" s="129"/>
      <c r="I284" s="129"/>
      <c r="J284" s="129"/>
      <c r="K284" s="129"/>
      <c r="L284" s="129"/>
      <c r="M284" s="129"/>
      <c r="N284" s="129"/>
      <c r="O284" s="129"/>
      <c r="P284" s="129"/>
      <c r="Q284" s="129"/>
      <c r="R284" s="129"/>
      <c r="S284" s="129"/>
      <c r="T284" s="129"/>
      <c r="U284" s="129"/>
      <c r="V284" s="129"/>
      <c r="W284" s="129"/>
      <c r="X284" s="129"/>
      <c r="Y284" s="129"/>
      <c r="AN284" s="11" t="s">
        <v>615</v>
      </c>
      <c r="AO284" s="11"/>
      <c r="AP284" s="11"/>
      <c r="AQ284" s="11"/>
      <c r="AR284" s="11"/>
      <c r="AS284" s="11"/>
      <c r="AT284" s="11"/>
      <c r="AU284" s="11"/>
      <c r="AV284" s="1347"/>
      <c r="AW284" s="11"/>
      <c r="AX284" s="11"/>
      <c r="AY284" s="11"/>
      <c r="AZ284" s="11"/>
      <c r="BA284" s="11"/>
      <c r="BB284" s="11"/>
    </row>
    <row r="285" spans="1:54" s="127" customFormat="1" x14ac:dyDescent="0.45">
      <c r="A285" s="128" t="s">
        <v>366</v>
      </c>
      <c r="B285" s="128"/>
      <c r="C285" s="128"/>
      <c r="D285" s="128"/>
      <c r="E285" s="128"/>
      <c r="F285" s="128"/>
      <c r="G285" s="129"/>
      <c r="H285" s="129"/>
      <c r="I285" s="129"/>
      <c r="J285" s="129"/>
      <c r="K285" s="129"/>
      <c r="L285" s="129"/>
      <c r="M285" s="129"/>
      <c r="N285" s="129"/>
      <c r="O285" s="129"/>
      <c r="P285" s="129"/>
      <c r="Q285" s="129"/>
      <c r="R285" s="129"/>
      <c r="S285" s="129"/>
      <c r="T285" s="129"/>
      <c r="U285" s="129"/>
      <c r="V285" s="129"/>
      <c r="W285" s="129"/>
      <c r="X285" s="129"/>
      <c r="Y285" s="129"/>
      <c r="AN285" s="118" t="s">
        <v>616</v>
      </c>
      <c r="AO285" s="11"/>
      <c r="AP285" s="11"/>
      <c r="AQ285" s="11"/>
      <c r="AR285" s="11"/>
      <c r="AS285" s="11"/>
      <c r="AT285" s="11"/>
      <c r="AU285" s="11"/>
      <c r="AV285" s="1347"/>
      <c r="AW285" s="11"/>
      <c r="AX285" s="11"/>
      <c r="AY285" s="11"/>
      <c r="AZ285" s="11"/>
      <c r="BA285" s="11"/>
      <c r="BB285" s="11"/>
    </row>
    <row r="286" spans="1:54" s="127" customFormat="1" x14ac:dyDescent="0.45">
      <c r="A286" s="128" t="s">
        <v>367</v>
      </c>
      <c r="B286" s="128"/>
      <c r="C286" s="128"/>
      <c r="D286" s="128"/>
      <c r="E286" s="128"/>
      <c r="F286" s="128"/>
      <c r="G286" s="129"/>
      <c r="H286" s="129"/>
      <c r="I286" s="129"/>
      <c r="J286" s="129"/>
      <c r="K286" s="129"/>
      <c r="L286" s="129"/>
      <c r="M286" s="129"/>
      <c r="N286" s="129"/>
      <c r="O286" s="129"/>
      <c r="P286" s="129"/>
      <c r="Q286" s="129"/>
      <c r="R286" s="129"/>
      <c r="S286" s="129"/>
      <c r="T286" s="129"/>
      <c r="U286" s="129"/>
      <c r="V286" s="129"/>
      <c r="W286" s="129"/>
      <c r="X286" s="129"/>
      <c r="Y286" s="129"/>
      <c r="AN286" s="11" t="s">
        <v>617</v>
      </c>
      <c r="AO286" s="11"/>
      <c r="AP286" s="11"/>
      <c r="AQ286" s="11"/>
      <c r="AR286" s="11"/>
      <c r="AS286" s="11"/>
      <c r="AT286" s="11"/>
      <c r="AU286" s="11"/>
      <c r="AV286" s="1347"/>
      <c r="AW286" s="11"/>
      <c r="AX286" s="11"/>
      <c r="AY286" s="11"/>
      <c r="AZ286" s="11"/>
      <c r="BA286" s="11"/>
      <c r="BB286" s="11"/>
    </row>
    <row r="287" spans="1:54" s="127" customFormat="1" x14ac:dyDescent="0.45">
      <c r="A287" s="128" t="s">
        <v>368</v>
      </c>
      <c r="B287" s="128"/>
      <c r="C287" s="128"/>
      <c r="D287" s="128"/>
      <c r="E287" s="128"/>
      <c r="F287" s="129"/>
      <c r="G287" s="129"/>
      <c r="H287" s="129"/>
      <c r="I287" s="129"/>
      <c r="J287" s="129"/>
      <c r="K287" s="129"/>
      <c r="L287" s="129"/>
      <c r="M287" s="129"/>
      <c r="N287" s="129"/>
      <c r="O287" s="129"/>
      <c r="P287" s="129"/>
      <c r="Q287" s="129"/>
      <c r="R287" s="129"/>
      <c r="S287" s="129"/>
      <c r="T287" s="129"/>
      <c r="U287" s="129"/>
      <c r="V287" s="129"/>
      <c r="W287" s="129"/>
      <c r="X287" s="129"/>
      <c r="Y287" s="129"/>
      <c r="AN287" s="118" t="s">
        <v>618</v>
      </c>
      <c r="AO287" s="11"/>
      <c r="AP287" s="11"/>
      <c r="AQ287" s="11"/>
      <c r="AR287" s="11"/>
      <c r="AS287" s="11"/>
      <c r="AT287" s="11"/>
      <c r="AU287" s="11"/>
      <c r="AV287" s="1347"/>
      <c r="AW287" s="11"/>
      <c r="AX287" s="11"/>
      <c r="AY287" s="11"/>
      <c r="AZ287" s="11"/>
      <c r="BA287" s="11"/>
      <c r="BB287" s="11"/>
    </row>
    <row r="288" spans="1:54" s="127" customFormat="1" x14ac:dyDescent="0.45">
      <c r="A288" s="128" t="s">
        <v>369</v>
      </c>
      <c r="B288" s="128"/>
      <c r="C288" s="128"/>
      <c r="D288" s="128"/>
      <c r="E288" s="128"/>
      <c r="F288" s="128"/>
      <c r="G288" s="129"/>
      <c r="H288" s="129"/>
      <c r="I288" s="129"/>
      <c r="J288" s="129"/>
      <c r="K288" s="129"/>
      <c r="L288" s="129"/>
      <c r="M288" s="129"/>
      <c r="N288" s="129"/>
      <c r="O288" s="129"/>
      <c r="P288" s="129"/>
      <c r="Q288" s="129"/>
      <c r="R288" s="129"/>
      <c r="S288" s="129"/>
      <c r="T288" s="129"/>
      <c r="U288" s="129"/>
      <c r="V288" s="129"/>
      <c r="W288" s="129"/>
      <c r="X288" s="129"/>
      <c r="Y288" s="129"/>
      <c r="AN288" s="11" t="s">
        <v>619</v>
      </c>
      <c r="AO288" s="11"/>
      <c r="AP288" s="11"/>
      <c r="AQ288" s="11"/>
      <c r="AR288" s="11"/>
      <c r="AS288" s="11"/>
      <c r="AT288" s="11"/>
      <c r="AU288" s="11"/>
      <c r="AV288" s="1347"/>
      <c r="AW288" s="11"/>
      <c r="AX288" s="11"/>
      <c r="AY288" s="11"/>
      <c r="AZ288" s="11"/>
      <c r="BA288" s="11"/>
      <c r="BB288" s="11"/>
    </row>
    <row r="289" spans="1:54" s="127" customFormat="1" x14ac:dyDescent="0.45">
      <c r="A289" s="128" t="s">
        <v>370</v>
      </c>
      <c r="B289" s="128"/>
      <c r="C289" s="128"/>
      <c r="D289" s="128"/>
      <c r="E289" s="128"/>
      <c r="F289" s="129"/>
      <c r="G289" s="129"/>
      <c r="H289" s="129"/>
      <c r="I289" s="129"/>
      <c r="J289" s="129"/>
      <c r="K289" s="129"/>
      <c r="L289" s="129"/>
      <c r="M289" s="129"/>
      <c r="N289" s="129"/>
      <c r="O289" s="129"/>
      <c r="P289" s="129"/>
      <c r="Q289" s="129"/>
      <c r="R289" s="129"/>
      <c r="S289" s="129"/>
      <c r="T289" s="129"/>
      <c r="U289" s="129"/>
      <c r="V289" s="129"/>
      <c r="W289" s="129"/>
      <c r="X289" s="129"/>
      <c r="Y289" s="129"/>
      <c r="AN289" s="118" t="s">
        <v>620</v>
      </c>
      <c r="AO289" s="11"/>
      <c r="AP289" s="11"/>
      <c r="AQ289" s="11"/>
      <c r="AR289" s="11"/>
      <c r="AS289" s="11"/>
      <c r="AT289" s="11"/>
      <c r="AU289" s="11"/>
      <c r="AV289" s="1347"/>
      <c r="AW289" s="11"/>
      <c r="AX289" s="11"/>
      <c r="AY289" s="11"/>
      <c r="AZ289" s="11"/>
      <c r="BA289" s="11"/>
      <c r="BB289" s="11"/>
    </row>
    <row r="290" spans="1:54" s="127" customFormat="1" x14ac:dyDescent="0.45">
      <c r="A290" s="128" t="s">
        <v>371</v>
      </c>
      <c r="B290" s="128"/>
      <c r="C290" s="128"/>
      <c r="D290" s="128"/>
      <c r="E290" s="128"/>
      <c r="F290" s="128"/>
      <c r="G290" s="129"/>
      <c r="H290" s="129"/>
      <c r="I290" s="129"/>
      <c r="J290" s="129"/>
      <c r="K290" s="129"/>
      <c r="L290" s="129"/>
      <c r="M290" s="129"/>
      <c r="N290" s="129"/>
      <c r="O290" s="129"/>
      <c r="P290" s="129"/>
      <c r="Q290" s="129"/>
      <c r="R290" s="129"/>
      <c r="S290" s="129"/>
      <c r="T290" s="129"/>
      <c r="U290" s="129"/>
      <c r="V290" s="129"/>
      <c r="W290" s="129"/>
      <c r="X290" s="129"/>
      <c r="Y290" s="129"/>
      <c r="AN290" s="118" t="s">
        <v>621</v>
      </c>
      <c r="AO290" s="11"/>
      <c r="AP290" s="11"/>
      <c r="AQ290" s="11"/>
      <c r="AR290" s="11"/>
      <c r="AS290" s="11"/>
      <c r="AT290" s="11"/>
      <c r="AU290" s="11"/>
      <c r="AV290" s="1347"/>
      <c r="AW290" s="11"/>
      <c r="AX290" s="11"/>
      <c r="AY290" s="11"/>
      <c r="AZ290" s="11"/>
      <c r="BA290" s="11"/>
      <c r="BB290" s="11"/>
    </row>
    <row r="291" spans="1:54" s="127" customFormat="1" x14ac:dyDescent="0.45">
      <c r="A291" s="128" t="s">
        <v>372</v>
      </c>
      <c r="B291" s="128"/>
      <c r="C291" s="128"/>
      <c r="D291" s="128"/>
      <c r="E291" s="128"/>
      <c r="F291" s="128"/>
      <c r="G291" s="129"/>
      <c r="H291" s="129"/>
      <c r="I291" s="129"/>
      <c r="J291" s="129"/>
      <c r="K291" s="129"/>
      <c r="L291" s="129"/>
      <c r="M291" s="129"/>
      <c r="N291" s="129"/>
      <c r="O291" s="129"/>
      <c r="P291" s="129"/>
      <c r="Q291" s="129"/>
      <c r="R291" s="129"/>
      <c r="S291" s="129"/>
      <c r="T291" s="129"/>
      <c r="U291" s="129"/>
      <c r="V291" s="129"/>
      <c r="W291" s="129"/>
      <c r="X291" s="129"/>
      <c r="Y291" s="129"/>
      <c r="AN291" s="118" t="s">
        <v>622</v>
      </c>
      <c r="AO291" s="11"/>
      <c r="AP291" s="11"/>
      <c r="AQ291" s="11"/>
      <c r="AR291" s="11"/>
      <c r="AS291" s="11"/>
      <c r="AT291" s="11"/>
      <c r="AU291" s="11"/>
      <c r="AV291" s="1347"/>
      <c r="AW291" s="11"/>
      <c r="AX291" s="11"/>
      <c r="AY291" s="11"/>
      <c r="AZ291" s="11"/>
      <c r="BA291" s="11"/>
      <c r="BB291" s="11"/>
    </row>
    <row r="292" spans="1:54" s="127" customFormat="1" x14ac:dyDescent="0.45">
      <c r="A292" s="128" t="s">
        <v>373</v>
      </c>
      <c r="B292" s="128"/>
      <c r="C292" s="128"/>
      <c r="D292" s="128"/>
      <c r="E292" s="128"/>
      <c r="F292" s="129"/>
      <c r="G292" s="129"/>
      <c r="H292" s="129"/>
      <c r="I292" s="129"/>
      <c r="J292" s="129"/>
      <c r="K292" s="129"/>
      <c r="L292" s="129"/>
      <c r="M292" s="129"/>
      <c r="N292" s="129"/>
      <c r="O292" s="129"/>
      <c r="P292" s="129"/>
      <c r="Q292" s="129"/>
      <c r="R292" s="129"/>
      <c r="S292" s="129"/>
      <c r="T292" s="129"/>
      <c r="U292" s="129"/>
      <c r="V292" s="129"/>
      <c r="W292" s="129"/>
      <c r="X292" s="129"/>
      <c r="Y292" s="129"/>
      <c r="AN292" s="118" t="s">
        <v>623</v>
      </c>
      <c r="AO292" s="11"/>
      <c r="AP292" s="11"/>
      <c r="AQ292" s="11"/>
      <c r="AR292" s="11"/>
      <c r="AS292" s="11"/>
      <c r="AT292" s="11"/>
      <c r="AU292" s="11"/>
      <c r="AV292" s="1347"/>
      <c r="AW292" s="11"/>
      <c r="AX292" s="11"/>
      <c r="AY292" s="11"/>
      <c r="AZ292" s="11"/>
      <c r="BA292" s="11"/>
      <c r="BB292" s="11"/>
    </row>
    <row r="293" spans="1:54" s="127" customFormat="1" x14ac:dyDescent="0.45">
      <c r="A293" s="128" t="s">
        <v>374</v>
      </c>
      <c r="B293" s="128"/>
      <c r="C293" s="128"/>
      <c r="D293" s="128"/>
      <c r="E293" s="128"/>
      <c r="F293" s="128"/>
      <c r="G293" s="129"/>
      <c r="H293" s="129"/>
      <c r="I293" s="129"/>
      <c r="J293" s="129"/>
      <c r="K293" s="129"/>
      <c r="L293" s="129"/>
      <c r="M293" s="129"/>
      <c r="N293" s="129"/>
      <c r="O293" s="129"/>
      <c r="P293" s="129"/>
      <c r="Q293" s="129"/>
      <c r="R293" s="129"/>
      <c r="S293" s="129"/>
      <c r="T293" s="129"/>
      <c r="U293" s="129"/>
      <c r="V293" s="129"/>
      <c r="W293" s="129"/>
      <c r="X293" s="129"/>
      <c r="Y293" s="129"/>
      <c r="AN293" s="118" t="s">
        <v>624</v>
      </c>
      <c r="AO293" s="11"/>
      <c r="AP293" s="11"/>
      <c r="AQ293" s="11"/>
      <c r="AR293" s="11"/>
      <c r="AS293" s="11"/>
      <c r="AT293" s="11"/>
      <c r="AU293" s="11"/>
      <c r="AV293" s="1347"/>
      <c r="AW293" s="11"/>
      <c r="AX293" s="11"/>
      <c r="AY293" s="11"/>
      <c r="AZ293" s="11"/>
      <c r="BA293" s="11"/>
      <c r="BB293" s="11"/>
    </row>
    <row r="294" spans="1:54" s="127" customFormat="1" x14ac:dyDescent="0.45">
      <c r="A294" s="128" t="s">
        <v>375</v>
      </c>
      <c r="B294" s="128"/>
      <c r="C294" s="128"/>
      <c r="D294" s="128"/>
      <c r="E294" s="128"/>
      <c r="F294" s="128"/>
      <c r="G294" s="129"/>
      <c r="H294" s="129"/>
      <c r="I294" s="129"/>
      <c r="J294" s="129"/>
      <c r="K294" s="129"/>
      <c r="L294" s="129"/>
      <c r="M294" s="129"/>
      <c r="N294" s="129"/>
      <c r="O294" s="129"/>
      <c r="P294" s="129"/>
      <c r="Q294" s="129"/>
      <c r="R294" s="129"/>
      <c r="S294" s="129"/>
      <c r="T294" s="129"/>
      <c r="U294" s="129"/>
      <c r="V294" s="129"/>
      <c r="W294" s="129"/>
      <c r="X294" s="129"/>
      <c r="Y294" s="129"/>
      <c r="AN294" s="118" t="s">
        <v>625</v>
      </c>
      <c r="AO294" s="11"/>
      <c r="AP294" s="11"/>
      <c r="AQ294" s="11"/>
      <c r="AR294" s="11"/>
      <c r="AS294" s="11"/>
      <c r="AT294" s="11"/>
      <c r="AU294" s="11"/>
      <c r="AV294" s="1347"/>
      <c r="AW294" s="11"/>
      <c r="AX294" s="11"/>
      <c r="AY294" s="11"/>
      <c r="AZ294" s="11"/>
      <c r="BA294" s="11"/>
      <c r="BB294" s="11"/>
    </row>
    <row r="295" spans="1:54" s="127" customFormat="1" x14ac:dyDescent="0.45">
      <c r="A295" s="128" t="s">
        <v>376</v>
      </c>
      <c r="B295" s="128"/>
      <c r="C295" s="128"/>
      <c r="D295" s="128"/>
      <c r="E295" s="128"/>
      <c r="F295" s="128"/>
      <c r="G295" s="129"/>
      <c r="H295" s="129"/>
      <c r="I295" s="129"/>
      <c r="J295" s="129"/>
      <c r="K295" s="129"/>
      <c r="L295" s="129"/>
      <c r="M295" s="129"/>
      <c r="N295" s="129"/>
      <c r="O295" s="129"/>
      <c r="P295" s="129"/>
      <c r="Q295" s="129"/>
      <c r="R295" s="129"/>
      <c r="S295" s="129"/>
      <c r="T295" s="129"/>
      <c r="U295" s="129"/>
      <c r="V295" s="129"/>
      <c r="W295" s="129"/>
      <c r="X295" s="129"/>
      <c r="Y295" s="129"/>
      <c r="AN295" s="11"/>
      <c r="AO295" s="118"/>
      <c r="AP295" s="118"/>
      <c r="AQ295" s="118"/>
      <c r="AR295" s="118"/>
      <c r="AS295" s="11"/>
      <c r="AT295" s="118"/>
      <c r="AU295" s="118"/>
      <c r="AV295" s="1359"/>
      <c r="AW295" s="118"/>
      <c r="AX295" s="118"/>
      <c r="AY295" s="11"/>
      <c r="AZ295" s="11"/>
      <c r="BA295" s="11"/>
      <c r="BB295" s="11"/>
    </row>
    <row r="296" spans="1:54" s="127" customFormat="1" x14ac:dyDescent="0.45">
      <c r="A296" s="128" t="s">
        <v>377</v>
      </c>
      <c r="B296" s="128"/>
      <c r="C296" s="128"/>
      <c r="D296" s="128"/>
      <c r="E296" s="128"/>
      <c r="F296" s="128"/>
      <c r="G296" s="129"/>
      <c r="H296" s="129"/>
      <c r="I296" s="129"/>
      <c r="J296" s="129"/>
      <c r="K296" s="129"/>
      <c r="L296" s="129"/>
      <c r="M296" s="129"/>
      <c r="N296" s="129"/>
      <c r="O296" s="129"/>
      <c r="P296" s="129"/>
      <c r="Q296" s="129"/>
      <c r="R296" s="129"/>
      <c r="S296" s="129"/>
      <c r="T296" s="129"/>
      <c r="U296" s="129"/>
      <c r="V296" s="129"/>
      <c r="W296" s="129"/>
      <c r="X296" s="129"/>
      <c r="Y296" s="129"/>
      <c r="AN296" s="11"/>
      <c r="AO296" s="11"/>
      <c r="AP296" s="11"/>
      <c r="AQ296" s="11"/>
      <c r="AR296" s="11"/>
      <c r="AS296" s="118"/>
      <c r="AT296" s="11"/>
      <c r="AU296" s="11"/>
      <c r="AV296" s="1347"/>
      <c r="AW296" s="11"/>
      <c r="AX296" s="11"/>
      <c r="AY296" s="11"/>
      <c r="AZ296" s="11"/>
      <c r="BA296" s="11"/>
      <c r="BB296" s="11"/>
    </row>
    <row r="297" spans="1:54" s="127" customFormat="1" x14ac:dyDescent="0.45">
      <c r="A297" s="128" t="s">
        <v>378</v>
      </c>
      <c r="B297" s="128"/>
      <c r="C297" s="128"/>
      <c r="D297" s="128"/>
      <c r="E297" s="128"/>
      <c r="F297" s="128"/>
      <c r="G297" s="129"/>
      <c r="H297" s="129"/>
      <c r="I297" s="129"/>
      <c r="J297" s="129"/>
      <c r="K297" s="129"/>
      <c r="L297" s="129"/>
      <c r="M297" s="129"/>
      <c r="N297" s="129"/>
      <c r="O297" s="129"/>
      <c r="P297" s="129"/>
      <c r="Q297" s="129"/>
      <c r="R297" s="129"/>
      <c r="S297" s="129"/>
      <c r="T297" s="129"/>
      <c r="U297" s="129"/>
      <c r="V297" s="129"/>
      <c r="W297" s="129"/>
      <c r="X297" s="129"/>
      <c r="Y297" s="129"/>
      <c r="AN297" s="11"/>
      <c r="AO297" s="11"/>
      <c r="AP297" s="11"/>
      <c r="AQ297" s="11"/>
      <c r="AR297" s="11"/>
      <c r="AS297" s="11"/>
      <c r="AT297" s="11"/>
      <c r="AU297" s="11"/>
      <c r="AV297" s="1347"/>
      <c r="AW297" s="11"/>
      <c r="AX297" s="11"/>
      <c r="AY297" s="11"/>
      <c r="AZ297" s="11"/>
      <c r="BA297" s="11"/>
      <c r="BB297" s="11"/>
    </row>
    <row r="298" spans="1:54" s="127" customFormat="1" x14ac:dyDescent="0.45">
      <c r="A298" s="128" t="s">
        <v>379</v>
      </c>
      <c r="B298" s="128"/>
      <c r="C298" s="128"/>
      <c r="D298" s="128"/>
      <c r="E298" s="128"/>
      <c r="F298" s="128"/>
      <c r="G298" s="129"/>
      <c r="H298" s="129"/>
      <c r="I298" s="129"/>
      <c r="J298" s="129"/>
      <c r="K298" s="129"/>
      <c r="L298" s="129"/>
      <c r="M298" s="129"/>
      <c r="N298" s="129"/>
      <c r="O298" s="129"/>
      <c r="P298" s="129"/>
      <c r="Q298" s="129"/>
      <c r="R298" s="129"/>
      <c r="S298" s="129"/>
      <c r="T298" s="129"/>
      <c r="U298" s="129"/>
      <c r="V298" s="129"/>
      <c r="W298" s="129"/>
      <c r="X298" s="129"/>
      <c r="Y298" s="129"/>
      <c r="AN298" s="11"/>
      <c r="AO298" s="11"/>
      <c r="AP298" s="11"/>
      <c r="AQ298" s="11"/>
      <c r="AR298" s="11"/>
      <c r="AS298" s="11"/>
      <c r="AT298" s="11"/>
      <c r="AU298" s="11"/>
      <c r="AV298" s="1347"/>
      <c r="AW298" s="11"/>
      <c r="AX298" s="11"/>
      <c r="AY298" s="11"/>
      <c r="AZ298" s="11"/>
      <c r="BA298" s="11"/>
      <c r="BB298" s="11"/>
    </row>
    <row r="299" spans="1:54" s="127" customFormat="1" x14ac:dyDescent="0.45">
      <c r="A299" s="128" t="s">
        <v>380</v>
      </c>
      <c r="B299" s="128"/>
      <c r="C299" s="128"/>
      <c r="D299" s="128"/>
      <c r="E299" s="128"/>
      <c r="F299" s="128"/>
      <c r="G299" s="129"/>
      <c r="H299" s="129"/>
      <c r="I299" s="129"/>
      <c r="J299" s="129"/>
      <c r="K299" s="129"/>
      <c r="L299" s="129"/>
      <c r="M299" s="129"/>
      <c r="N299" s="129"/>
      <c r="O299" s="129"/>
      <c r="P299" s="129"/>
      <c r="Q299" s="129"/>
      <c r="R299" s="129"/>
      <c r="S299" s="129"/>
      <c r="T299" s="129"/>
      <c r="U299" s="129"/>
      <c r="V299" s="129"/>
      <c r="W299" s="129"/>
      <c r="X299" s="129"/>
      <c r="Y299" s="129"/>
      <c r="AN299" s="11"/>
      <c r="AO299" s="11"/>
      <c r="AP299" s="11"/>
      <c r="AQ299" s="11"/>
      <c r="AR299" s="11"/>
      <c r="AS299" s="11"/>
      <c r="AT299" s="11"/>
      <c r="AU299" s="11"/>
      <c r="AV299" s="1347"/>
      <c r="AW299" s="11"/>
      <c r="AX299" s="11"/>
      <c r="AY299" s="11"/>
      <c r="AZ299" s="11"/>
      <c r="BA299" s="11"/>
      <c r="BB299" s="11"/>
    </row>
    <row r="300" spans="1:54" s="127" customFormat="1" x14ac:dyDescent="0.45">
      <c r="A300" s="128" t="s">
        <v>381</v>
      </c>
      <c r="B300" s="128"/>
      <c r="C300" s="128"/>
      <c r="D300" s="128"/>
      <c r="E300" s="128"/>
      <c r="F300" s="128"/>
      <c r="G300" s="129"/>
      <c r="H300" s="129"/>
      <c r="I300" s="129"/>
      <c r="J300" s="129"/>
      <c r="K300" s="129"/>
      <c r="L300" s="129"/>
      <c r="M300" s="129"/>
      <c r="N300" s="129"/>
      <c r="O300" s="129"/>
      <c r="P300" s="129"/>
      <c r="Q300" s="129"/>
      <c r="R300" s="129"/>
      <c r="S300" s="129"/>
      <c r="T300" s="129"/>
      <c r="U300" s="129"/>
      <c r="V300" s="129"/>
      <c r="W300" s="129"/>
      <c r="X300" s="129"/>
      <c r="Y300" s="129"/>
      <c r="AN300" s="11"/>
      <c r="AO300" s="11"/>
      <c r="AP300" s="11"/>
      <c r="AQ300" s="11"/>
      <c r="AR300" s="11"/>
      <c r="AS300" s="11"/>
      <c r="AT300" s="11"/>
      <c r="AU300" s="11"/>
      <c r="AV300" s="1347"/>
      <c r="AW300" s="11"/>
      <c r="AX300" s="11"/>
      <c r="AY300" s="11"/>
      <c r="AZ300" s="11"/>
      <c r="BA300" s="11"/>
      <c r="BB300" s="11"/>
    </row>
    <row r="301" spans="1:54" s="127" customFormat="1" x14ac:dyDescent="0.45">
      <c r="A301" s="128" t="s">
        <v>382</v>
      </c>
      <c r="B301" s="128"/>
      <c r="C301" s="128"/>
      <c r="D301" s="128"/>
      <c r="E301" s="128"/>
      <c r="F301" s="128"/>
      <c r="G301" s="129"/>
      <c r="H301" s="129"/>
      <c r="I301" s="129"/>
      <c r="J301" s="129"/>
      <c r="K301" s="129"/>
      <c r="L301" s="129"/>
      <c r="M301" s="129"/>
      <c r="N301" s="129"/>
      <c r="O301" s="129"/>
      <c r="P301" s="129"/>
      <c r="Q301" s="129"/>
      <c r="R301" s="129"/>
      <c r="S301" s="129"/>
      <c r="T301" s="129"/>
      <c r="U301" s="129"/>
      <c r="V301" s="129"/>
      <c r="W301" s="129"/>
      <c r="X301" s="129"/>
      <c r="Y301" s="129"/>
      <c r="AN301" s="11"/>
      <c r="AO301" s="11"/>
      <c r="AP301" s="11"/>
      <c r="AQ301" s="11"/>
      <c r="AR301" s="11"/>
      <c r="AS301" s="11"/>
      <c r="AT301" s="11"/>
      <c r="AU301" s="11"/>
      <c r="AV301" s="1347"/>
      <c r="AW301" s="11"/>
      <c r="AX301" s="11"/>
      <c r="AY301" s="11"/>
      <c r="AZ301" s="11"/>
      <c r="BA301" s="11"/>
      <c r="BB301" s="11"/>
    </row>
    <row r="302" spans="1:54" s="127" customFormat="1" x14ac:dyDescent="0.45">
      <c r="A302" s="128" t="s">
        <v>383</v>
      </c>
      <c r="B302" s="128"/>
      <c r="C302" s="128"/>
      <c r="D302" s="128"/>
      <c r="E302" s="128"/>
      <c r="F302" s="128"/>
      <c r="G302" s="129"/>
      <c r="H302" s="129"/>
      <c r="I302" s="129"/>
      <c r="J302" s="129"/>
      <c r="K302" s="129"/>
      <c r="L302" s="129"/>
      <c r="M302" s="129"/>
      <c r="N302" s="129"/>
      <c r="O302" s="129"/>
      <c r="P302" s="129"/>
      <c r="Q302" s="129"/>
      <c r="R302" s="129"/>
      <c r="S302" s="129"/>
      <c r="T302" s="129"/>
      <c r="U302" s="129"/>
      <c r="V302" s="129"/>
      <c r="W302" s="129"/>
      <c r="X302" s="129"/>
      <c r="Y302" s="129"/>
      <c r="AN302" s="11"/>
      <c r="AO302" s="11"/>
      <c r="AP302" s="11"/>
      <c r="AQ302" s="11"/>
      <c r="AR302" s="11"/>
      <c r="AS302" s="11"/>
      <c r="AT302" s="11"/>
      <c r="AU302" s="11"/>
      <c r="AV302" s="1347"/>
      <c r="AW302" s="11"/>
      <c r="AX302" s="11"/>
      <c r="AY302" s="11"/>
      <c r="AZ302" s="11"/>
      <c r="BA302" s="11"/>
      <c r="BB302" s="11"/>
    </row>
    <row r="303" spans="1:54" s="127" customFormat="1" x14ac:dyDescent="0.45">
      <c r="A303" s="128" t="s">
        <v>384</v>
      </c>
      <c r="B303" s="128"/>
      <c r="C303" s="128"/>
      <c r="D303" s="128"/>
      <c r="E303" s="128"/>
      <c r="F303" s="128"/>
      <c r="G303" s="129"/>
      <c r="H303" s="129"/>
      <c r="I303" s="129"/>
      <c r="J303" s="129"/>
      <c r="K303" s="129"/>
      <c r="L303" s="129"/>
      <c r="M303" s="129"/>
      <c r="N303" s="129"/>
      <c r="O303" s="129"/>
      <c r="P303" s="129"/>
      <c r="Q303" s="129"/>
      <c r="R303" s="129"/>
      <c r="S303" s="129"/>
      <c r="T303" s="129"/>
      <c r="U303" s="129"/>
      <c r="V303" s="129"/>
      <c r="W303" s="129"/>
      <c r="X303" s="129"/>
      <c r="Y303" s="129"/>
      <c r="AN303" s="11"/>
      <c r="AO303" s="11"/>
      <c r="AP303" s="11"/>
      <c r="AQ303" s="11"/>
      <c r="AR303" s="11"/>
      <c r="AS303" s="11"/>
      <c r="AT303" s="11"/>
      <c r="AU303" s="11"/>
      <c r="AV303" s="1347"/>
      <c r="AW303" s="11"/>
      <c r="AX303" s="11"/>
      <c r="AY303" s="11"/>
      <c r="AZ303" s="11"/>
      <c r="BA303" s="11"/>
      <c r="BB303" s="11"/>
    </row>
    <row r="304" spans="1:54" s="127" customFormat="1" x14ac:dyDescent="0.45">
      <c r="A304" s="128" t="s">
        <v>385</v>
      </c>
      <c r="B304" s="128"/>
      <c r="C304" s="128"/>
      <c r="D304" s="128"/>
      <c r="E304" s="128"/>
      <c r="F304" s="128"/>
      <c r="G304" s="129"/>
      <c r="H304" s="129"/>
      <c r="I304" s="129"/>
      <c r="J304" s="129"/>
      <c r="K304" s="129"/>
      <c r="L304" s="129"/>
      <c r="M304" s="129"/>
      <c r="N304" s="129"/>
      <c r="O304" s="129"/>
      <c r="P304" s="129"/>
      <c r="Q304" s="129"/>
      <c r="R304" s="129"/>
      <c r="S304" s="129"/>
      <c r="T304" s="129"/>
      <c r="U304" s="129"/>
      <c r="V304" s="129"/>
      <c r="W304" s="129"/>
      <c r="X304" s="129"/>
      <c r="Y304" s="129"/>
      <c r="AN304" s="11"/>
      <c r="AO304" s="11"/>
      <c r="AP304" s="11"/>
      <c r="AQ304" s="11"/>
      <c r="AR304" s="11"/>
      <c r="AS304" s="11"/>
      <c r="AT304" s="11"/>
      <c r="AU304" s="11"/>
      <c r="AV304" s="1347"/>
      <c r="AW304" s="11"/>
      <c r="AX304" s="11"/>
      <c r="AY304" s="11"/>
      <c r="AZ304" s="11"/>
      <c r="BA304" s="11"/>
      <c r="BB304" s="11"/>
    </row>
    <row r="305" spans="1:54" s="127" customFormat="1" x14ac:dyDescent="0.45">
      <c r="A305" s="128" t="s">
        <v>386</v>
      </c>
      <c r="B305" s="128"/>
      <c r="C305" s="128"/>
      <c r="D305" s="128"/>
      <c r="E305" s="128"/>
      <c r="F305" s="128"/>
      <c r="G305" s="129"/>
      <c r="H305" s="129"/>
      <c r="I305" s="129"/>
      <c r="J305" s="129"/>
      <c r="K305" s="129"/>
      <c r="L305" s="129"/>
      <c r="M305" s="129"/>
      <c r="N305" s="129"/>
      <c r="O305" s="129"/>
      <c r="P305" s="129"/>
      <c r="Q305" s="129"/>
      <c r="R305" s="129"/>
      <c r="S305" s="129"/>
      <c r="T305" s="129"/>
      <c r="U305" s="129"/>
      <c r="V305" s="129"/>
      <c r="W305" s="129"/>
      <c r="X305" s="129"/>
      <c r="Y305" s="129"/>
      <c r="AN305" s="11"/>
      <c r="AO305" s="11"/>
      <c r="AP305" s="11"/>
      <c r="AQ305" s="11"/>
      <c r="AR305" s="11"/>
      <c r="AS305" s="11"/>
      <c r="AT305" s="11"/>
      <c r="AU305" s="11"/>
      <c r="AV305" s="1347"/>
      <c r="AW305" s="11"/>
      <c r="AX305" s="11"/>
      <c r="AY305" s="11"/>
      <c r="AZ305" s="11"/>
      <c r="BA305" s="11"/>
      <c r="BB305" s="11"/>
    </row>
    <row r="306" spans="1:54" s="127" customFormat="1" x14ac:dyDescent="0.45">
      <c r="A306" s="128" t="s">
        <v>387</v>
      </c>
      <c r="B306" s="128"/>
      <c r="C306" s="128"/>
      <c r="D306" s="128"/>
      <c r="E306" s="128"/>
      <c r="F306" s="128"/>
      <c r="G306" s="129"/>
      <c r="H306" s="129"/>
      <c r="I306" s="129"/>
      <c r="J306" s="129"/>
      <c r="K306" s="129"/>
      <c r="L306" s="129"/>
      <c r="M306" s="129"/>
      <c r="N306" s="129"/>
      <c r="O306" s="129"/>
      <c r="P306" s="129"/>
      <c r="Q306" s="129"/>
      <c r="R306" s="129"/>
      <c r="S306" s="129"/>
      <c r="T306" s="129"/>
      <c r="U306" s="129"/>
      <c r="V306" s="129"/>
      <c r="W306" s="129"/>
      <c r="X306" s="129"/>
      <c r="Y306" s="129"/>
      <c r="AN306" s="11"/>
      <c r="AO306" s="11"/>
      <c r="AP306" s="11"/>
      <c r="AQ306" s="11"/>
      <c r="AR306" s="11"/>
      <c r="AS306" s="11"/>
      <c r="AT306" s="11"/>
      <c r="AU306" s="11"/>
      <c r="AV306" s="1347"/>
      <c r="AW306" s="11"/>
      <c r="AX306" s="11"/>
      <c r="AY306" s="11"/>
      <c r="AZ306" s="11"/>
      <c r="BA306" s="11"/>
      <c r="BB306" s="11"/>
    </row>
    <row r="307" spans="1:54" s="127" customFormat="1" x14ac:dyDescent="0.45">
      <c r="A307" s="128" t="s">
        <v>388</v>
      </c>
      <c r="B307" s="128"/>
      <c r="C307" s="128"/>
      <c r="D307" s="128"/>
      <c r="E307" s="128"/>
      <c r="F307" s="128"/>
      <c r="G307" s="129"/>
      <c r="H307" s="129"/>
      <c r="I307" s="129"/>
      <c r="J307" s="129"/>
      <c r="K307" s="129"/>
      <c r="L307" s="129"/>
      <c r="M307" s="129"/>
      <c r="N307" s="129"/>
      <c r="O307" s="129"/>
      <c r="P307" s="129"/>
      <c r="Q307" s="129"/>
      <c r="R307" s="129"/>
      <c r="S307" s="129"/>
      <c r="T307" s="129"/>
      <c r="U307" s="129"/>
      <c r="V307" s="129"/>
      <c r="W307" s="129"/>
      <c r="X307" s="129"/>
      <c r="Y307" s="129"/>
      <c r="AN307" s="11"/>
      <c r="AO307" s="11"/>
      <c r="AP307" s="11"/>
      <c r="AQ307" s="11"/>
      <c r="AR307" s="11"/>
      <c r="AS307" s="11"/>
      <c r="AT307" s="11"/>
      <c r="AU307" s="11"/>
      <c r="AV307" s="1347"/>
      <c r="AW307" s="11"/>
      <c r="AX307" s="11"/>
      <c r="AY307" s="11"/>
      <c r="AZ307" s="11"/>
      <c r="BA307" s="11"/>
      <c r="BB307" s="11"/>
    </row>
    <row r="308" spans="1:54" s="127" customFormat="1" x14ac:dyDescent="0.45">
      <c r="A308" s="128" t="s">
        <v>389</v>
      </c>
      <c r="B308" s="128"/>
      <c r="C308" s="128"/>
      <c r="D308" s="128"/>
      <c r="E308" s="128"/>
      <c r="F308" s="128"/>
      <c r="G308" s="129"/>
      <c r="H308" s="129"/>
      <c r="I308" s="129"/>
      <c r="J308" s="129"/>
      <c r="K308" s="129"/>
      <c r="L308" s="129"/>
      <c r="M308" s="129"/>
      <c r="N308" s="129"/>
      <c r="O308" s="129"/>
      <c r="P308" s="129"/>
      <c r="Q308" s="129"/>
      <c r="R308" s="129"/>
      <c r="S308" s="129"/>
      <c r="T308" s="129"/>
      <c r="U308" s="129"/>
      <c r="V308" s="129"/>
      <c r="W308" s="129"/>
      <c r="X308" s="129"/>
      <c r="Y308" s="129"/>
      <c r="AN308" s="11"/>
      <c r="AO308" s="11"/>
      <c r="AP308" s="11"/>
      <c r="AQ308" s="11"/>
      <c r="AR308" s="11"/>
      <c r="AS308" s="11"/>
      <c r="AT308" s="11"/>
      <c r="AU308" s="11"/>
      <c r="AV308" s="1347"/>
      <c r="AW308" s="11"/>
      <c r="AX308" s="11"/>
      <c r="AY308" s="11"/>
      <c r="AZ308" s="11"/>
      <c r="BA308" s="11"/>
      <c r="BB308" s="11"/>
    </row>
    <row r="309" spans="1:54" s="127" customFormat="1" ht="12.75" x14ac:dyDescent="0.35">
      <c r="A309" s="128" t="s">
        <v>390</v>
      </c>
      <c r="B309" s="128"/>
      <c r="C309" s="128"/>
      <c r="D309" s="128"/>
      <c r="E309" s="128"/>
      <c r="F309" s="128"/>
      <c r="G309" s="129"/>
      <c r="H309" s="129"/>
      <c r="I309" s="129"/>
      <c r="J309" s="129"/>
      <c r="K309" s="129"/>
      <c r="L309" s="129"/>
      <c r="M309" s="129"/>
      <c r="N309" s="129"/>
      <c r="O309" s="129"/>
      <c r="P309" s="129"/>
      <c r="Q309" s="129"/>
      <c r="R309" s="129"/>
      <c r="S309" s="129"/>
      <c r="T309" s="129"/>
      <c r="U309" s="129"/>
      <c r="V309" s="129"/>
      <c r="W309" s="129"/>
      <c r="X309" s="129"/>
      <c r="Y309" s="129"/>
    </row>
    <row r="310" spans="1:54" s="127" customFormat="1" ht="12.75" x14ac:dyDescent="0.35">
      <c r="A310" s="128" t="s">
        <v>391</v>
      </c>
      <c r="B310" s="128"/>
      <c r="C310" s="128"/>
      <c r="D310" s="128"/>
      <c r="E310" s="128"/>
      <c r="F310" s="128"/>
      <c r="G310" s="129"/>
      <c r="H310" s="129"/>
      <c r="I310" s="129"/>
      <c r="J310" s="129"/>
      <c r="K310" s="129"/>
      <c r="L310" s="129"/>
      <c r="M310" s="129"/>
      <c r="N310" s="129"/>
      <c r="O310" s="129"/>
      <c r="P310" s="129"/>
      <c r="Q310" s="129"/>
      <c r="R310" s="129"/>
      <c r="S310" s="129"/>
      <c r="T310" s="129"/>
      <c r="U310" s="129"/>
      <c r="V310" s="129"/>
      <c r="W310" s="129"/>
      <c r="X310" s="129"/>
      <c r="Y310" s="129"/>
    </row>
    <row r="311" spans="1:54" s="127" customFormat="1" ht="12.75" x14ac:dyDescent="0.35">
      <c r="A311" s="128" t="s">
        <v>392</v>
      </c>
      <c r="B311" s="128"/>
      <c r="C311" s="128"/>
      <c r="D311" s="128"/>
      <c r="E311" s="128"/>
      <c r="F311" s="128"/>
      <c r="G311" s="129"/>
      <c r="H311" s="129"/>
      <c r="I311" s="129"/>
      <c r="J311" s="129"/>
      <c r="K311" s="129"/>
      <c r="L311" s="129"/>
      <c r="M311" s="129"/>
      <c r="N311" s="129"/>
      <c r="O311" s="129"/>
      <c r="P311" s="129"/>
      <c r="Q311" s="129"/>
      <c r="R311" s="129"/>
      <c r="S311" s="129"/>
      <c r="T311" s="129"/>
      <c r="U311" s="129"/>
      <c r="V311" s="129"/>
      <c r="W311" s="129"/>
      <c r="X311" s="129"/>
      <c r="Y311" s="129"/>
    </row>
    <row r="312" spans="1:54" s="127" customFormat="1" ht="12.75" x14ac:dyDescent="0.35">
      <c r="A312" s="128" t="s">
        <v>393</v>
      </c>
      <c r="B312" s="128"/>
      <c r="C312" s="128"/>
      <c r="D312" s="128"/>
      <c r="E312" s="128"/>
      <c r="F312" s="128"/>
      <c r="G312" s="129"/>
      <c r="H312" s="129"/>
      <c r="I312" s="129"/>
      <c r="J312" s="129"/>
      <c r="K312" s="129"/>
      <c r="L312" s="129"/>
      <c r="M312" s="129"/>
      <c r="N312" s="129"/>
      <c r="O312" s="129"/>
      <c r="P312" s="129"/>
      <c r="Q312" s="129"/>
      <c r="R312" s="129"/>
      <c r="S312" s="129"/>
      <c r="T312" s="129"/>
      <c r="U312" s="129"/>
      <c r="V312" s="129"/>
      <c r="W312" s="129"/>
      <c r="X312" s="129"/>
      <c r="Y312" s="129"/>
    </row>
    <row r="313" spans="1:54" s="127" customFormat="1" ht="12.75" x14ac:dyDescent="0.35">
      <c r="A313" s="128" t="s">
        <v>394</v>
      </c>
      <c r="B313" s="128"/>
      <c r="C313" s="128"/>
      <c r="D313" s="128"/>
      <c r="E313" s="128"/>
      <c r="F313" s="128"/>
      <c r="G313" s="129"/>
      <c r="H313" s="129"/>
      <c r="I313" s="129"/>
      <c r="J313" s="129"/>
      <c r="K313" s="129"/>
      <c r="L313" s="129"/>
      <c r="M313" s="129"/>
      <c r="N313" s="129"/>
      <c r="O313" s="129"/>
      <c r="P313" s="129"/>
      <c r="Q313" s="129"/>
      <c r="R313" s="129"/>
      <c r="S313" s="129"/>
      <c r="T313" s="129"/>
      <c r="U313" s="129"/>
      <c r="V313" s="129"/>
      <c r="W313" s="129"/>
      <c r="X313" s="129"/>
      <c r="Y313" s="129"/>
    </row>
    <row r="314" spans="1:54" s="127" customFormat="1" ht="12.75" x14ac:dyDescent="0.35">
      <c r="A314" s="128" t="s">
        <v>395</v>
      </c>
      <c r="B314" s="128"/>
      <c r="C314" s="128"/>
      <c r="D314" s="128"/>
      <c r="E314" s="128"/>
      <c r="F314" s="128"/>
      <c r="G314" s="129"/>
      <c r="H314" s="129"/>
      <c r="I314" s="129"/>
      <c r="J314" s="129"/>
      <c r="K314" s="129"/>
      <c r="L314" s="129"/>
      <c r="M314" s="129"/>
      <c r="N314" s="129"/>
      <c r="O314" s="129"/>
      <c r="P314" s="129"/>
      <c r="Q314" s="129"/>
      <c r="R314" s="129"/>
      <c r="S314" s="129"/>
      <c r="T314" s="129"/>
      <c r="U314" s="129"/>
      <c r="V314" s="129"/>
      <c r="W314" s="129"/>
      <c r="X314" s="129"/>
      <c r="Y314" s="129"/>
    </row>
    <row r="315" spans="1:54" s="127" customFormat="1" ht="12.75" x14ac:dyDescent="0.35">
      <c r="A315" s="128" t="s">
        <v>396</v>
      </c>
      <c r="B315" s="128"/>
      <c r="C315" s="128"/>
      <c r="D315" s="128"/>
      <c r="E315" s="128"/>
      <c r="F315" s="128"/>
      <c r="G315" s="129"/>
      <c r="H315" s="129"/>
      <c r="I315" s="129"/>
      <c r="J315" s="129"/>
      <c r="K315" s="129"/>
      <c r="L315" s="129"/>
      <c r="M315" s="129"/>
      <c r="N315" s="129"/>
      <c r="O315" s="129"/>
      <c r="P315" s="129"/>
      <c r="Q315" s="129"/>
      <c r="R315" s="129"/>
      <c r="S315" s="129"/>
      <c r="T315" s="129"/>
      <c r="U315" s="129"/>
      <c r="V315" s="129"/>
      <c r="W315" s="129"/>
      <c r="X315" s="129"/>
      <c r="Y315" s="129"/>
    </row>
    <row r="316" spans="1:54" s="127" customFormat="1" ht="12.75" x14ac:dyDescent="0.35">
      <c r="A316" s="128" t="s">
        <v>397</v>
      </c>
      <c r="B316" s="128"/>
      <c r="C316" s="128"/>
      <c r="D316" s="128"/>
      <c r="E316" s="128"/>
      <c r="F316" s="128"/>
      <c r="G316" s="129"/>
      <c r="H316" s="129"/>
      <c r="I316" s="129"/>
      <c r="J316" s="129"/>
      <c r="K316" s="129"/>
      <c r="L316" s="129"/>
      <c r="M316" s="129"/>
      <c r="N316" s="129"/>
      <c r="O316" s="129"/>
      <c r="P316" s="129"/>
      <c r="Q316" s="129"/>
      <c r="R316" s="129"/>
      <c r="S316" s="129"/>
      <c r="T316" s="129"/>
      <c r="U316" s="129"/>
      <c r="V316" s="129"/>
      <c r="W316" s="129"/>
      <c r="X316" s="129"/>
      <c r="Y316" s="129"/>
    </row>
    <row r="317" spans="1:54" s="127" customFormat="1" ht="12.75" x14ac:dyDescent="0.35">
      <c r="A317" s="128" t="s">
        <v>398</v>
      </c>
      <c r="B317" s="128"/>
      <c r="C317" s="128"/>
      <c r="D317" s="128"/>
      <c r="E317" s="128"/>
      <c r="F317" s="128"/>
      <c r="G317" s="129"/>
      <c r="H317" s="129"/>
      <c r="I317" s="129"/>
      <c r="J317" s="129"/>
      <c r="K317" s="129"/>
      <c r="L317" s="129"/>
      <c r="M317" s="129"/>
      <c r="N317" s="129"/>
      <c r="O317" s="129"/>
      <c r="P317" s="129"/>
      <c r="Q317" s="129"/>
      <c r="R317" s="129"/>
      <c r="S317" s="129"/>
      <c r="T317" s="129"/>
      <c r="U317" s="129"/>
      <c r="V317" s="129"/>
      <c r="W317" s="129"/>
      <c r="X317" s="129"/>
      <c r="Y317" s="129"/>
    </row>
    <row r="318" spans="1:54" s="127" customFormat="1" ht="12.75" x14ac:dyDescent="0.35">
      <c r="A318" s="128" t="s">
        <v>399</v>
      </c>
      <c r="B318" s="128"/>
      <c r="C318" s="128"/>
      <c r="D318" s="128"/>
      <c r="E318" s="128"/>
      <c r="F318" s="128"/>
      <c r="G318" s="129"/>
      <c r="H318" s="129"/>
      <c r="I318" s="129"/>
      <c r="J318" s="129"/>
      <c r="K318" s="129"/>
      <c r="L318" s="129"/>
      <c r="M318" s="129"/>
      <c r="N318" s="129"/>
      <c r="O318" s="129"/>
      <c r="P318" s="129"/>
      <c r="Q318" s="129"/>
      <c r="R318" s="129"/>
      <c r="S318" s="129"/>
      <c r="T318" s="129"/>
      <c r="U318" s="129"/>
      <c r="V318" s="129"/>
      <c r="W318" s="129"/>
      <c r="X318" s="129"/>
      <c r="Y318" s="129"/>
    </row>
    <row r="319" spans="1:54" s="127" customFormat="1" ht="12.75" x14ac:dyDescent="0.35">
      <c r="A319" s="128" t="s">
        <v>400</v>
      </c>
      <c r="B319" s="128"/>
      <c r="C319" s="128"/>
      <c r="D319" s="128"/>
      <c r="E319" s="128"/>
      <c r="F319" s="128"/>
      <c r="G319" s="129"/>
      <c r="H319" s="129"/>
      <c r="I319" s="129"/>
      <c r="J319" s="129"/>
      <c r="K319" s="129"/>
      <c r="L319" s="129"/>
      <c r="M319" s="129"/>
      <c r="N319" s="129"/>
      <c r="O319" s="129"/>
      <c r="P319" s="129"/>
      <c r="Q319" s="129"/>
      <c r="R319" s="129"/>
      <c r="S319" s="129"/>
      <c r="T319" s="129"/>
      <c r="U319" s="129"/>
      <c r="V319" s="129"/>
      <c r="W319" s="129"/>
      <c r="X319" s="129"/>
      <c r="Y319" s="129"/>
    </row>
    <row r="320" spans="1:54" s="127" customFormat="1" ht="12.75" x14ac:dyDescent="0.35">
      <c r="A320" s="128" t="s">
        <v>401</v>
      </c>
      <c r="B320" s="128"/>
      <c r="C320" s="128"/>
      <c r="D320" s="128"/>
      <c r="E320" s="128"/>
      <c r="F320" s="128"/>
      <c r="G320" s="129"/>
      <c r="H320" s="129"/>
      <c r="I320" s="129"/>
      <c r="J320" s="129"/>
      <c r="K320" s="129"/>
      <c r="L320" s="129"/>
      <c r="M320" s="129"/>
      <c r="N320" s="129"/>
      <c r="O320" s="129"/>
      <c r="P320" s="129"/>
      <c r="Q320" s="129"/>
      <c r="R320" s="129"/>
      <c r="S320" s="129"/>
      <c r="T320" s="129"/>
      <c r="U320" s="129"/>
      <c r="V320" s="129"/>
      <c r="W320" s="129"/>
      <c r="X320" s="129"/>
      <c r="Y320" s="129"/>
    </row>
    <row r="321" spans="1:25" s="127" customFormat="1" ht="12.75" x14ac:dyDescent="0.35">
      <c r="A321" s="128" t="s">
        <v>402</v>
      </c>
      <c r="B321" s="128"/>
      <c r="C321" s="128"/>
      <c r="D321" s="128"/>
      <c r="E321" s="128"/>
      <c r="F321" s="128"/>
      <c r="G321" s="129"/>
      <c r="H321" s="129"/>
      <c r="I321" s="129"/>
      <c r="J321" s="129"/>
      <c r="K321" s="129"/>
      <c r="L321" s="129"/>
      <c r="M321" s="129"/>
      <c r="N321" s="129"/>
      <c r="O321" s="129"/>
      <c r="P321" s="129"/>
      <c r="Q321" s="129"/>
      <c r="R321" s="129"/>
      <c r="S321" s="129"/>
      <c r="T321" s="129"/>
      <c r="U321" s="129"/>
      <c r="V321" s="129"/>
      <c r="W321" s="129"/>
      <c r="X321" s="129"/>
      <c r="Y321" s="129"/>
    </row>
    <row r="322" spans="1:25" s="127" customFormat="1" ht="12.75" x14ac:dyDescent="0.35">
      <c r="A322" s="128" t="s">
        <v>403</v>
      </c>
      <c r="B322" s="128"/>
      <c r="C322" s="128"/>
      <c r="D322" s="128"/>
      <c r="E322" s="128"/>
      <c r="F322" s="128"/>
      <c r="G322" s="129"/>
      <c r="H322" s="129"/>
      <c r="I322" s="129"/>
      <c r="J322" s="129"/>
      <c r="K322" s="129"/>
      <c r="L322" s="129"/>
      <c r="M322" s="129"/>
      <c r="N322" s="129"/>
      <c r="O322" s="129"/>
      <c r="P322" s="129"/>
      <c r="Q322" s="129"/>
      <c r="R322" s="129"/>
      <c r="S322" s="129"/>
      <c r="T322" s="129"/>
      <c r="U322" s="129"/>
      <c r="V322" s="129"/>
      <c r="W322" s="129"/>
      <c r="X322" s="129"/>
      <c r="Y322" s="129"/>
    </row>
    <row r="323" spans="1:25" s="127" customFormat="1" ht="12.75" x14ac:dyDescent="0.35">
      <c r="A323" s="128" t="s">
        <v>404</v>
      </c>
      <c r="B323" s="128"/>
      <c r="C323" s="128"/>
      <c r="D323" s="128"/>
      <c r="E323" s="128"/>
      <c r="F323" s="128"/>
      <c r="G323" s="129"/>
      <c r="H323" s="129"/>
      <c r="I323" s="129"/>
      <c r="J323" s="129"/>
      <c r="K323" s="129"/>
      <c r="L323" s="129"/>
      <c r="M323" s="129"/>
      <c r="N323" s="129"/>
      <c r="O323" s="129"/>
      <c r="P323" s="129"/>
      <c r="Q323" s="129"/>
      <c r="R323" s="129"/>
      <c r="S323" s="129"/>
      <c r="T323" s="129"/>
      <c r="U323" s="129"/>
      <c r="V323" s="129"/>
      <c r="W323" s="129"/>
      <c r="X323" s="129"/>
      <c r="Y323" s="129"/>
    </row>
    <row r="324" spans="1:25" s="127" customFormat="1" ht="12.75" x14ac:dyDescent="0.35">
      <c r="A324" s="128" t="s">
        <v>405</v>
      </c>
      <c r="B324" s="128"/>
      <c r="C324" s="128"/>
      <c r="D324" s="128"/>
      <c r="E324" s="128"/>
      <c r="F324" s="128"/>
      <c r="G324" s="129"/>
      <c r="H324" s="129"/>
      <c r="I324" s="129"/>
      <c r="J324" s="129"/>
      <c r="K324" s="129"/>
      <c r="L324" s="129"/>
      <c r="M324" s="129"/>
      <c r="N324" s="129"/>
      <c r="O324" s="129"/>
      <c r="P324" s="129"/>
      <c r="Q324" s="129"/>
      <c r="R324" s="129"/>
      <c r="S324" s="129"/>
      <c r="T324" s="129"/>
      <c r="U324" s="129"/>
      <c r="V324" s="129"/>
      <c r="W324" s="129"/>
      <c r="X324" s="129"/>
      <c r="Y324" s="129"/>
    </row>
    <row r="325" spans="1:25" s="127" customFormat="1" ht="12.75" x14ac:dyDescent="0.35">
      <c r="A325" s="128" t="s">
        <v>406</v>
      </c>
      <c r="B325" s="128"/>
      <c r="C325" s="128"/>
      <c r="D325" s="128"/>
      <c r="E325" s="128"/>
      <c r="F325" s="128"/>
      <c r="G325" s="129"/>
      <c r="H325" s="129"/>
      <c r="I325" s="129"/>
      <c r="J325" s="129"/>
      <c r="K325" s="129"/>
      <c r="L325" s="129"/>
      <c r="M325" s="129"/>
      <c r="N325" s="129"/>
      <c r="O325" s="129"/>
      <c r="P325" s="129"/>
      <c r="Q325" s="129"/>
      <c r="R325" s="129"/>
      <c r="S325" s="129"/>
      <c r="T325" s="129"/>
      <c r="U325" s="129"/>
      <c r="V325" s="129"/>
      <c r="W325" s="129"/>
      <c r="X325" s="129"/>
      <c r="Y325" s="129"/>
    </row>
    <row r="326" spans="1:25" s="127" customFormat="1" ht="12.75" x14ac:dyDescent="0.35">
      <c r="A326" s="128" t="s">
        <v>407</v>
      </c>
      <c r="B326" s="128"/>
      <c r="C326" s="128"/>
      <c r="D326" s="128"/>
      <c r="E326" s="128"/>
      <c r="F326" s="128"/>
      <c r="G326" s="129"/>
      <c r="H326" s="129"/>
      <c r="I326" s="129"/>
      <c r="J326" s="129"/>
      <c r="K326" s="129"/>
      <c r="L326" s="129"/>
      <c r="M326" s="129"/>
      <c r="N326" s="129"/>
      <c r="O326" s="129"/>
      <c r="P326" s="129"/>
      <c r="Q326" s="129"/>
      <c r="R326" s="129"/>
      <c r="S326" s="129"/>
      <c r="T326" s="129"/>
      <c r="U326" s="129"/>
      <c r="V326" s="129"/>
      <c r="W326" s="129"/>
      <c r="X326" s="129"/>
      <c r="Y326" s="129"/>
    </row>
    <row r="327" spans="1:25" s="127" customFormat="1" ht="12.75" x14ac:dyDescent="0.35">
      <c r="A327" s="128" t="s">
        <v>408</v>
      </c>
      <c r="B327" s="128"/>
      <c r="C327" s="128"/>
      <c r="D327" s="128"/>
      <c r="E327" s="128"/>
      <c r="F327" s="128"/>
      <c r="G327" s="129"/>
      <c r="H327" s="129"/>
      <c r="I327" s="129"/>
      <c r="J327" s="129"/>
      <c r="K327" s="129"/>
      <c r="L327" s="129"/>
      <c r="M327" s="129"/>
      <c r="N327" s="129"/>
      <c r="O327" s="129"/>
      <c r="P327" s="129"/>
      <c r="Q327" s="129"/>
      <c r="R327" s="129"/>
      <c r="S327" s="129"/>
      <c r="T327" s="129"/>
      <c r="U327" s="129"/>
      <c r="V327" s="129"/>
      <c r="W327" s="129"/>
      <c r="X327" s="129"/>
      <c r="Y327" s="129"/>
    </row>
    <row r="328" spans="1:25" s="127" customFormat="1" ht="12.75" x14ac:dyDescent="0.35">
      <c r="A328" s="128" t="s">
        <v>409</v>
      </c>
      <c r="B328" s="128"/>
      <c r="C328" s="128"/>
      <c r="D328" s="128"/>
      <c r="E328" s="128"/>
      <c r="F328" s="128"/>
      <c r="G328" s="129"/>
      <c r="H328" s="129"/>
      <c r="I328" s="129"/>
      <c r="J328" s="129"/>
      <c r="K328" s="129"/>
      <c r="L328" s="129"/>
      <c r="M328" s="129"/>
      <c r="N328" s="129"/>
      <c r="O328" s="129"/>
      <c r="P328" s="129"/>
      <c r="Q328" s="129"/>
      <c r="R328" s="129"/>
      <c r="S328" s="129"/>
      <c r="T328" s="129"/>
      <c r="U328" s="129"/>
      <c r="V328" s="129"/>
      <c r="W328" s="129"/>
      <c r="X328" s="129"/>
      <c r="Y328" s="129"/>
    </row>
    <row r="329" spans="1:25" s="127" customFormat="1" ht="12.75" x14ac:dyDescent="0.35">
      <c r="A329" s="128" t="s">
        <v>410</v>
      </c>
      <c r="B329" s="128"/>
      <c r="C329" s="128"/>
      <c r="D329" s="128"/>
      <c r="E329" s="128"/>
      <c r="F329" s="128"/>
      <c r="G329" s="129"/>
      <c r="H329" s="129"/>
      <c r="I329" s="129"/>
      <c r="J329" s="129"/>
      <c r="K329" s="129"/>
      <c r="L329" s="129"/>
      <c r="M329" s="129"/>
      <c r="N329" s="129"/>
      <c r="O329" s="129"/>
      <c r="P329" s="129"/>
      <c r="Q329" s="129"/>
      <c r="R329" s="129"/>
      <c r="S329" s="129"/>
      <c r="T329" s="129"/>
      <c r="U329" s="129"/>
      <c r="V329" s="129"/>
      <c r="W329" s="129"/>
      <c r="X329" s="129"/>
      <c r="Y329" s="129"/>
    </row>
    <row r="330" spans="1:25" s="127" customFormat="1" ht="12.75" x14ac:dyDescent="0.35">
      <c r="A330" s="128" t="s">
        <v>411</v>
      </c>
      <c r="B330" s="128"/>
      <c r="C330" s="128"/>
      <c r="D330" s="128"/>
      <c r="E330" s="128"/>
      <c r="F330" s="128"/>
      <c r="G330" s="129"/>
      <c r="H330" s="129"/>
      <c r="I330" s="129"/>
      <c r="J330" s="129"/>
      <c r="K330" s="129"/>
      <c r="L330" s="129"/>
      <c r="M330" s="129"/>
      <c r="N330" s="129"/>
      <c r="O330" s="129"/>
      <c r="P330" s="129"/>
      <c r="Q330" s="129"/>
      <c r="R330" s="129"/>
      <c r="S330" s="129"/>
      <c r="T330" s="129"/>
      <c r="U330" s="129"/>
      <c r="V330" s="129"/>
      <c r="W330" s="129"/>
      <c r="X330" s="129"/>
      <c r="Y330" s="129"/>
    </row>
    <row r="331" spans="1:25" s="127" customFormat="1" ht="12.75" x14ac:dyDescent="0.35">
      <c r="A331" s="128" t="s">
        <v>412</v>
      </c>
      <c r="B331" s="128"/>
      <c r="C331" s="128"/>
      <c r="D331" s="128"/>
      <c r="E331" s="128"/>
      <c r="F331" s="128"/>
      <c r="G331" s="129"/>
      <c r="H331" s="129"/>
      <c r="I331" s="129"/>
      <c r="J331" s="129"/>
      <c r="K331" s="129"/>
      <c r="L331" s="129"/>
      <c r="M331" s="129"/>
      <c r="N331" s="129"/>
      <c r="O331" s="129"/>
      <c r="P331" s="129"/>
      <c r="Q331" s="129"/>
      <c r="R331" s="129"/>
      <c r="S331" s="129"/>
      <c r="T331" s="129"/>
      <c r="U331" s="129"/>
      <c r="V331" s="129"/>
      <c r="W331" s="129"/>
      <c r="X331" s="129"/>
      <c r="Y331" s="129"/>
    </row>
    <row r="332" spans="1:25" s="127" customFormat="1" ht="12.75" x14ac:dyDescent="0.35">
      <c r="A332" s="128" t="s">
        <v>413</v>
      </c>
      <c r="B332" s="128"/>
      <c r="C332" s="128"/>
      <c r="D332" s="128"/>
      <c r="E332" s="128"/>
      <c r="F332" s="128"/>
      <c r="G332" s="129"/>
      <c r="H332" s="129"/>
      <c r="I332" s="129"/>
      <c r="J332" s="129"/>
      <c r="K332" s="129"/>
      <c r="L332" s="129"/>
      <c r="M332" s="129"/>
      <c r="N332" s="129"/>
      <c r="O332" s="129"/>
      <c r="P332" s="129"/>
      <c r="Q332" s="129"/>
      <c r="R332" s="129"/>
      <c r="S332" s="129"/>
      <c r="T332" s="129"/>
      <c r="U332" s="129"/>
      <c r="V332" s="129"/>
      <c r="W332" s="129"/>
      <c r="X332" s="129"/>
      <c r="Y332" s="129"/>
    </row>
    <row r="333" spans="1:25" s="127" customFormat="1" ht="12.75" x14ac:dyDescent="0.35">
      <c r="A333" s="128" t="s">
        <v>414</v>
      </c>
      <c r="B333" s="128"/>
      <c r="C333" s="128"/>
      <c r="D333" s="128"/>
      <c r="E333" s="128"/>
      <c r="F333" s="128"/>
      <c r="G333" s="129"/>
      <c r="H333" s="129"/>
      <c r="I333" s="129"/>
      <c r="J333" s="129"/>
      <c r="K333" s="129"/>
      <c r="L333" s="129"/>
      <c r="M333" s="129"/>
      <c r="N333" s="129"/>
      <c r="O333" s="129"/>
      <c r="P333" s="129"/>
      <c r="Q333" s="129"/>
      <c r="R333" s="129"/>
      <c r="S333" s="129"/>
      <c r="T333" s="129"/>
      <c r="U333" s="129"/>
      <c r="V333" s="129"/>
      <c r="W333" s="129"/>
      <c r="X333" s="129"/>
      <c r="Y333" s="129"/>
    </row>
    <row r="334" spans="1:25" s="127" customFormat="1" ht="12.75" x14ac:dyDescent="0.35">
      <c r="A334" s="128" t="s">
        <v>415</v>
      </c>
      <c r="B334" s="128"/>
      <c r="C334" s="128"/>
      <c r="D334" s="128"/>
      <c r="E334" s="128"/>
      <c r="F334" s="128"/>
      <c r="G334" s="129"/>
      <c r="H334" s="129"/>
      <c r="I334" s="129"/>
      <c r="J334" s="129"/>
      <c r="K334" s="129"/>
      <c r="L334" s="129"/>
      <c r="M334" s="129"/>
      <c r="N334" s="129"/>
      <c r="O334" s="129"/>
      <c r="P334" s="129"/>
      <c r="Q334" s="129"/>
      <c r="R334" s="129"/>
      <c r="S334" s="129"/>
      <c r="T334" s="129"/>
      <c r="U334" s="129"/>
      <c r="V334" s="129"/>
      <c r="W334" s="129"/>
      <c r="X334" s="129"/>
      <c r="Y334" s="129"/>
    </row>
    <row r="335" spans="1:25" s="127" customFormat="1" ht="12.75" x14ac:dyDescent="0.35">
      <c r="A335" s="128" t="s">
        <v>416</v>
      </c>
      <c r="B335" s="128"/>
      <c r="C335" s="128"/>
      <c r="D335" s="128"/>
      <c r="E335" s="128"/>
      <c r="F335" s="128"/>
      <c r="G335" s="129"/>
      <c r="H335" s="129"/>
      <c r="I335" s="129"/>
      <c r="J335" s="129"/>
      <c r="K335" s="129"/>
      <c r="L335" s="129"/>
      <c r="M335" s="129"/>
      <c r="N335" s="129"/>
      <c r="O335" s="129"/>
      <c r="P335" s="129"/>
      <c r="Q335" s="129"/>
      <c r="R335" s="129"/>
      <c r="S335" s="129"/>
      <c r="T335" s="129"/>
      <c r="U335" s="129"/>
      <c r="V335" s="129"/>
      <c r="W335" s="129"/>
      <c r="X335" s="129"/>
      <c r="Y335" s="129"/>
    </row>
    <row r="336" spans="1:25" s="127" customFormat="1" ht="12.75" x14ac:dyDescent="0.35">
      <c r="A336" s="128" t="s">
        <v>417</v>
      </c>
      <c r="B336" s="128"/>
      <c r="C336" s="128"/>
      <c r="D336" s="128"/>
      <c r="E336" s="128"/>
      <c r="F336" s="128"/>
      <c r="G336" s="129"/>
      <c r="H336" s="129"/>
      <c r="I336" s="129"/>
      <c r="J336" s="129"/>
      <c r="K336" s="129"/>
      <c r="L336" s="129"/>
      <c r="M336" s="129"/>
      <c r="N336" s="129"/>
      <c r="O336" s="129"/>
      <c r="P336" s="129"/>
      <c r="Q336" s="129"/>
      <c r="R336" s="129"/>
      <c r="S336" s="129"/>
      <c r="T336" s="129"/>
      <c r="U336" s="129"/>
      <c r="V336" s="129"/>
      <c r="W336" s="129"/>
      <c r="X336" s="129"/>
      <c r="Y336" s="129"/>
    </row>
    <row r="337" spans="1:25" s="127" customFormat="1" ht="12.75" x14ac:dyDescent="0.35">
      <c r="A337" s="128" t="s">
        <v>418</v>
      </c>
      <c r="B337" s="128"/>
      <c r="C337" s="128"/>
      <c r="D337" s="128"/>
      <c r="E337" s="128"/>
      <c r="F337" s="128"/>
      <c r="G337" s="129"/>
      <c r="H337" s="129"/>
      <c r="I337" s="129"/>
      <c r="J337" s="129"/>
      <c r="K337" s="129"/>
      <c r="L337" s="129"/>
      <c r="M337" s="129"/>
      <c r="N337" s="129"/>
      <c r="O337" s="129"/>
      <c r="P337" s="129"/>
      <c r="Q337" s="129"/>
      <c r="R337" s="129"/>
      <c r="S337" s="129"/>
      <c r="T337" s="129"/>
      <c r="U337" s="129"/>
      <c r="V337" s="129"/>
      <c r="W337" s="129"/>
      <c r="X337" s="129"/>
      <c r="Y337" s="129"/>
    </row>
    <row r="338" spans="1:25" s="127" customFormat="1" ht="12.75" x14ac:dyDescent="0.35">
      <c r="A338" s="128" t="s">
        <v>419</v>
      </c>
      <c r="B338" s="128"/>
      <c r="C338" s="128"/>
      <c r="D338" s="128"/>
      <c r="E338" s="128"/>
      <c r="F338" s="128"/>
      <c r="G338" s="129"/>
      <c r="H338" s="129"/>
      <c r="I338" s="129"/>
      <c r="J338" s="129"/>
      <c r="K338" s="129"/>
      <c r="L338" s="129"/>
      <c r="M338" s="129"/>
      <c r="N338" s="129"/>
      <c r="O338" s="129"/>
      <c r="P338" s="129"/>
      <c r="Q338" s="129"/>
      <c r="R338" s="129"/>
      <c r="S338" s="129"/>
      <c r="T338" s="129"/>
      <c r="U338" s="129"/>
      <c r="V338" s="129"/>
      <c r="W338" s="129"/>
      <c r="X338" s="129"/>
      <c r="Y338" s="129"/>
    </row>
    <row r="339" spans="1:25" s="127" customFormat="1" ht="12.75" x14ac:dyDescent="0.35">
      <c r="A339" s="128" t="s">
        <v>420</v>
      </c>
      <c r="B339" s="128"/>
      <c r="C339" s="128"/>
      <c r="D339" s="128"/>
      <c r="E339" s="128"/>
      <c r="F339" s="128"/>
      <c r="G339" s="129"/>
      <c r="H339" s="129"/>
      <c r="I339" s="129"/>
      <c r="J339" s="129"/>
      <c r="K339" s="129"/>
      <c r="L339" s="129"/>
      <c r="M339" s="129"/>
      <c r="N339" s="129"/>
      <c r="O339" s="129"/>
      <c r="P339" s="129"/>
      <c r="Q339" s="129"/>
      <c r="R339" s="129"/>
      <c r="S339" s="129"/>
      <c r="T339" s="129"/>
      <c r="U339" s="129"/>
      <c r="V339" s="129"/>
      <c r="W339" s="129"/>
      <c r="X339" s="129"/>
      <c r="Y339" s="129"/>
    </row>
    <row r="340" spans="1:25" s="127" customFormat="1" ht="12.75" x14ac:dyDescent="0.35">
      <c r="A340" s="128" t="s">
        <v>421</v>
      </c>
      <c r="B340" s="128"/>
      <c r="C340" s="128"/>
      <c r="D340" s="128"/>
      <c r="E340" s="128"/>
      <c r="F340" s="128"/>
      <c r="G340" s="129"/>
      <c r="H340" s="129"/>
      <c r="I340" s="129"/>
      <c r="J340" s="129"/>
      <c r="K340" s="129"/>
      <c r="L340" s="129"/>
      <c r="M340" s="129"/>
      <c r="N340" s="129"/>
      <c r="O340" s="129"/>
      <c r="P340" s="129"/>
      <c r="Q340" s="129"/>
      <c r="R340" s="129"/>
      <c r="S340" s="129"/>
      <c r="T340" s="129"/>
      <c r="U340" s="129"/>
      <c r="V340" s="129"/>
      <c r="W340" s="129"/>
      <c r="X340" s="129"/>
      <c r="Y340" s="129"/>
    </row>
    <row r="341" spans="1:25" s="127" customFormat="1" ht="12.75" x14ac:dyDescent="0.35">
      <c r="A341" s="128" t="s">
        <v>422</v>
      </c>
      <c r="B341" s="128"/>
      <c r="C341" s="128"/>
      <c r="D341" s="128"/>
      <c r="E341" s="128"/>
      <c r="F341" s="128"/>
      <c r="G341" s="129"/>
      <c r="H341" s="129"/>
      <c r="I341" s="129"/>
      <c r="J341" s="129"/>
      <c r="K341" s="129"/>
      <c r="L341" s="129"/>
      <c r="M341" s="129"/>
      <c r="N341" s="129"/>
      <c r="O341" s="129"/>
      <c r="P341" s="129"/>
      <c r="Q341" s="129"/>
      <c r="R341" s="129"/>
      <c r="S341" s="129"/>
      <c r="T341" s="129"/>
      <c r="U341" s="129"/>
      <c r="V341" s="129"/>
      <c r="W341" s="129"/>
      <c r="X341" s="129"/>
      <c r="Y341" s="129"/>
    </row>
    <row r="342" spans="1:25" s="127" customFormat="1" ht="12.75" x14ac:dyDescent="0.35">
      <c r="A342" s="128" t="s">
        <v>423</v>
      </c>
      <c r="B342" s="128"/>
      <c r="C342" s="128"/>
      <c r="D342" s="128"/>
      <c r="E342" s="128"/>
      <c r="F342" s="128"/>
      <c r="G342" s="129"/>
      <c r="H342" s="129"/>
      <c r="I342" s="129"/>
      <c r="J342" s="129"/>
      <c r="K342" s="129"/>
      <c r="L342" s="129"/>
      <c r="M342" s="129"/>
      <c r="N342" s="129"/>
      <c r="O342" s="129"/>
      <c r="P342" s="129"/>
      <c r="Q342" s="129"/>
      <c r="R342" s="129"/>
      <c r="S342" s="129"/>
      <c r="T342" s="129"/>
      <c r="U342" s="129"/>
      <c r="V342" s="129"/>
      <c r="W342" s="129"/>
      <c r="X342" s="129"/>
      <c r="Y342" s="129"/>
    </row>
    <row r="343" spans="1:25" s="127" customFormat="1" ht="12.75" x14ac:dyDescent="0.35">
      <c r="A343" s="128" t="s">
        <v>424</v>
      </c>
      <c r="B343" s="128"/>
      <c r="C343" s="128"/>
      <c r="D343" s="128"/>
      <c r="E343" s="128"/>
      <c r="F343" s="128"/>
      <c r="G343" s="129"/>
      <c r="H343" s="129"/>
      <c r="I343" s="129"/>
      <c r="J343" s="129"/>
      <c r="K343" s="129"/>
      <c r="L343" s="129"/>
      <c r="M343" s="129"/>
      <c r="N343" s="129"/>
      <c r="O343" s="129"/>
      <c r="P343" s="129"/>
      <c r="Q343" s="129"/>
      <c r="R343" s="129"/>
      <c r="S343" s="129"/>
      <c r="T343" s="129"/>
      <c r="U343" s="129"/>
      <c r="V343" s="129"/>
      <c r="W343" s="129"/>
      <c r="X343" s="129"/>
      <c r="Y343" s="129"/>
    </row>
    <row r="344" spans="1:25" s="127" customFormat="1" ht="12.75" x14ac:dyDescent="0.35">
      <c r="A344" s="128" t="s">
        <v>425</v>
      </c>
      <c r="B344" s="128"/>
      <c r="C344" s="128"/>
      <c r="D344" s="128"/>
      <c r="E344" s="128"/>
      <c r="F344" s="128"/>
      <c r="G344" s="129"/>
      <c r="H344" s="129"/>
      <c r="I344" s="129"/>
      <c r="J344" s="129"/>
      <c r="K344" s="129"/>
      <c r="L344" s="129"/>
      <c r="M344" s="129"/>
      <c r="N344" s="129"/>
      <c r="O344" s="129"/>
      <c r="P344" s="129"/>
      <c r="Q344" s="129"/>
      <c r="R344" s="129"/>
      <c r="S344" s="129"/>
      <c r="T344" s="129"/>
      <c r="U344" s="129"/>
      <c r="V344" s="129"/>
      <c r="W344" s="129"/>
      <c r="X344" s="129"/>
      <c r="Y344" s="129"/>
    </row>
    <row r="345" spans="1:25" s="127" customFormat="1" ht="12.75" x14ac:dyDescent="0.35">
      <c r="A345" s="128" t="s">
        <v>426</v>
      </c>
      <c r="B345" s="128"/>
      <c r="C345" s="128"/>
      <c r="D345" s="128"/>
      <c r="E345" s="128"/>
      <c r="F345" s="128"/>
      <c r="G345" s="129"/>
      <c r="H345" s="129"/>
      <c r="I345" s="129"/>
      <c r="J345" s="129"/>
      <c r="K345" s="129"/>
      <c r="L345" s="129"/>
      <c r="M345" s="129"/>
      <c r="N345" s="129"/>
      <c r="O345" s="129"/>
      <c r="P345" s="129"/>
      <c r="Q345" s="129"/>
      <c r="R345" s="129"/>
      <c r="S345" s="129"/>
      <c r="T345" s="129"/>
      <c r="U345" s="129"/>
      <c r="V345" s="129"/>
      <c r="W345" s="129"/>
      <c r="X345" s="129"/>
      <c r="Y345" s="129"/>
    </row>
    <row r="346" spans="1:25" s="127" customFormat="1" ht="12.75" x14ac:dyDescent="0.35">
      <c r="A346" s="128" t="s">
        <v>427</v>
      </c>
      <c r="B346" s="128"/>
      <c r="C346" s="128"/>
      <c r="D346" s="128"/>
      <c r="E346" s="128"/>
      <c r="F346" s="128"/>
      <c r="G346" s="129"/>
      <c r="H346" s="129"/>
      <c r="I346" s="129"/>
      <c r="J346" s="129"/>
      <c r="K346" s="129"/>
      <c r="L346" s="129"/>
      <c r="M346" s="129"/>
      <c r="N346" s="129"/>
      <c r="O346" s="129"/>
      <c r="P346" s="129"/>
      <c r="Q346" s="129"/>
      <c r="R346" s="129"/>
      <c r="S346" s="129"/>
      <c r="T346" s="129"/>
      <c r="U346" s="129"/>
      <c r="V346" s="129"/>
      <c r="W346" s="129"/>
      <c r="X346" s="129"/>
      <c r="Y346" s="129"/>
    </row>
    <row r="347" spans="1:25" s="127" customFormat="1" ht="12.75" x14ac:dyDescent="0.35">
      <c r="A347" s="128" t="s">
        <v>428</v>
      </c>
      <c r="B347" s="128"/>
      <c r="C347" s="128"/>
      <c r="D347" s="128"/>
      <c r="E347" s="128"/>
      <c r="F347" s="128"/>
      <c r="G347" s="129"/>
      <c r="H347" s="129"/>
      <c r="I347" s="129"/>
      <c r="J347" s="129"/>
      <c r="K347" s="129"/>
      <c r="L347" s="129"/>
      <c r="M347" s="129"/>
      <c r="N347" s="129"/>
      <c r="O347" s="129"/>
      <c r="P347" s="129"/>
      <c r="Q347" s="129"/>
      <c r="R347" s="129"/>
      <c r="S347" s="129"/>
      <c r="T347" s="129"/>
      <c r="U347" s="129"/>
      <c r="V347" s="129"/>
      <c r="W347" s="129"/>
      <c r="X347" s="129"/>
      <c r="Y347" s="129"/>
    </row>
    <row r="348" spans="1:25" s="127" customFormat="1" ht="12.75" x14ac:dyDescent="0.35">
      <c r="A348" s="128" t="s">
        <v>429</v>
      </c>
      <c r="B348" s="128"/>
      <c r="C348" s="128"/>
      <c r="D348" s="128"/>
      <c r="E348" s="128"/>
      <c r="F348" s="128"/>
      <c r="G348" s="129"/>
      <c r="H348" s="129"/>
      <c r="I348" s="129"/>
      <c r="J348" s="129"/>
      <c r="K348" s="129"/>
      <c r="L348" s="129"/>
      <c r="M348" s="129"/>
      <c r="N348" s="129"/>
      <c r="O348" s="129"/>
      <c r="P348" s="129"/>
      <c r="Q348" s="129"/>
      <c r="R348" s="129"/>
      <c r="S348" s="129"/>
      <c r="T348" s="129"/>
      <c r="U348" s="129"/>
      <c r="V348" s="129"/>
      <c r="W348" s="129"/>
      <c r="X348" s="129"/>
      <c r="Y348" s="129"/>
    </row>
    <row r="349" spans="1:25" s="127" customFormat="1" ht="12.75" x14ac:dyDescent="0.35">
      <c r="A349" s="128" t="s">
        <v>430</v>
      </c>
      <c r="B349" s="128"/>
      <c r="C349" s="128"/>
      <c r="D349" s="128"/>
      <c r="E349" s="128"/>
      <c r="F349" s="128"/>
      <c r="G349" s="129"/>
      <c r="H349" s="129"/>
      <c r="I349" s="129"/>
      <c r="J349" s="129"/>
      <c r="K349" s="129"/>
      <c r="L349" s="129"/>
      <c r="M349" s="129"/>
      <c r="N349" s="129"/>
      <c r="O349" s="129"/>
      <c r="P349" s="129"/>
      <c r="Q349" s="129"/>
      <c r="R349" s="129"/>
      <c r="S349" s="129"/>
      <c r="T349" s="129"/>
      <c r="U349" s="129"/>
      <c r="V349" s="129"/>
      <c r="W349" s="129"/>
      <c r="X349" s="129"/>
      <c r="Y349" s="129"/>
    </row>
    <row r="350" spans="1:25" s="127" customFormat="1" ht="12.75" x14ac:dyDescent="0.35">
      <c r="A350" s="128" t="s">
        <v>431</v>
      </c>
      <c r="B350" s="128"/>
      <c r="C350" s="128"/>
      <c r="D350" s="128"/>
      <c r="E350" s="128"/>
      <c r="F350" s="128"/>
      <c r="G350" s="129"/>
      <c r="H350" s="129"/>
      <c r="I350" s="129"/>
      <c r="J350" s="129"/>
      <c r="K350" s="129"/>
      <c r="L350" s="129"/>
      <c r="M350" s="129"/>
      <c r="N350" s="129"/>
      <c r="O350" s="129"/>
      <c r="P350" s="129"/>
      <c r="Q350" s="129"/>
      <c r="R350" s="129"/>
      <c r="S350" s="129"/>
      <c r="T350" s="129"/>
      <c r="U350" s="129"/>
      <c r="V350" s="129"/>
      <c r="W350" s="129"/>
      <c r="X350" s="129"/>
      <c r="Y350" s="129"/>
    </row>
    <row r="351" spans="1:25" s="127" customFormat="1" ht="12.75" x14ac:dyDescent="0.35">
      <c r="A351" s="128" t="s">
        <v>432</v>
      </c>
      <c r="B351" s="128"/>
      <c r="C351" s="128"/>
      <c r="D351" s="128"/>
      <c r="E351" s="128"/>
      <c r="F351" s="128"/>
      <c r="G351" s="129"/>
      <c r="H351" s="129"/>
      <c r="I351" s="129"/>
      <c r="J351" s="129"/>
      <c r="K351" s="129"/>
      <c r="L351" s="129"/>
      <c r="M351" s="129"/>
      <c r="N351" s="129"/>
      <c r="O351" s="129"/>
      <c r="P351" s="129"/>
      <c r="Q351" s="129"/>
      <c r="R351" s="129"/>
      <c r="S351" s="129"/>
      <c r="T351" s="129"/>
      <c r="U351" s="129"/>
      <c r="V351" s="129"/>
      <c r="W351" s="129"/>
      <c r="X351" s="129"/>
      <c r="Y351" s="129"/>
    </row>
    <row r="352" spans="1:25" s="127" customFormat="1" ht="12.75" x14ac:dyDescent="0.35">
      <c r="A352" s="128" t="s">
        <v>433</v>
      </c>
      <c r="B352" s="128"/>
      <c r="C352" s="128"/>
      <c r="D352" s="128"/>
      <c r="E352" s="128"/>
      <c r="F352" s="128"/>
      <c r="G352" s="129"/>
      <c r="H352" s="129"/>
      <c r="I352" s="129"/>
      <c r="J352" s="129"/>
      <c r="K352" s="129"/>
      <c r="L352" s="129"/>
      <c r="M352" s="129"/>
      <c r="N352" s="129"/>
      <c r="O352" s="129"/>
      <c r="P352" s="129"/>
      <c r="Q352" s="129"/>
      <c r="R352" s="129"/>
      <c r="S352" s="129"/>
      <c r="T352" s="129"/>
      <c r="U352" s="129"/>
      <c r="V352" s="129"/>
      <c r="W352" s="129"/>
      <c r="X352" s="129"/>
      <c r="Y352" s="129"/>
    </row>
    <row r="353" spans="1:25" s="127" customFormat="1" ht="12.75" x14ac:dyDescent="0.35">
      <c r="A353" s="128" t="s">
        <v>434</v>
      </c>
      <c r="B353" s="128"/>
      <c r="C353" s="128"/>
      <c r="D353" s="128"/>
      <c r="E353" s="128"/>
      <c r="F353" s="128"/>
      <c r="G353" s="129"/>
      <c r="H353" s="129"/>
      <c r="I353" s="129"/>
      <c r="J353" s="129"/>
      <c r="K353" s="129"/>
      <c r="L353" s="129"/>
      <c r="M353" s="129"/>
      <c r="N353" s="129"/>
      <c r="O353" s="129"/>
      <c r="P353" s="129"/>
      <c r="Q353" s="129"/>
      <c r="R353" s="129"/>
      <c r="S353" s="129"/>
      <c r="T353" s="129"/>
      <c r="U353" s="129"/>
      <c r="V353" s="129"/>
      <c r="W353" s="129"/>
      <c r="X353" s="129"/>
      <c r="Y353" s="129"/>
    </row>
    <row r="354" spans="1:25" s="127" customFormat="1" ht="12.75" x14ac:dyDescent="0.35">
      <c r="A354" s="128" t="s">
        <v>435</v>
      </c>
      <c r="B354" s="128"/>
      <c r="C354" s="128"/>
      <c r="D354" s="128"/>
      <c r="E354" s="128"/>
      <c r="F354" s="128"/>
      <c r="G354" s="129"/>
      <c r="H354" s="129"/>
      <c r="I354" s="129"/>
      <c r="J354" s="129"/>
      <c r="K354" s="129"/>
      <c r="L354" s="129"/>
      <c r="M354" s="129"/>
      <c r="N354" s="129"/>
      <c r="O354" s="129"/>
      <c r="P354" s="129"/>
      <c r="Q354" s="129"/>
      <c r="R354" s="129"/>
      <c r="S354" s="129"/>
      <c r="T354" s="129"/>
      <c r="U354" s="129"/>
      <c r="V354" s="129"/>
      <c r="W354" s="129"/>
      <c r="X354" s="129"/>
      <c r="Y354" s="129"/>
    </row>
    <row r="355" spans="1:25" s="127" customFormat="1" ht="12.75" x14ac:dyDescent="0.35">
      <c r="A355" s="128" t="s">
        <v>436</v>
      </c>
      <c r="B355" s="128"/>
      <c r="C355" s="128"/>
      <c r="D355" s="128"/>
      <c r="E355" s="128"/>
      <c r="F355" s="128"/>
      <c r="G355" s="129"/>
      <c r="H355" s="129"/>
      <c r="I355" s="129"/>
      <c r="J355" s="129"/>
      <c r="K355" s="129"/>
      <c r="L355" s="129"/>
      <c r="M355" s="129"/>
      <c r="N355" s="129"/>
      <c r="O355" s="129"/>
      <c r="P355" s="129"/>
      <c r="Q355" s="129"/>
      <c r="R355" s="129"/>
      <c r="S355" s="129"/>
      <c r="T355" s="129"/>
      <c r="U355" s="129"/>
      <c r="V355" s="129"/>
      <c r="W355" s="129"/>
      <c r="X355" s="129"/>
      <c r="Y355" s="129"/>
    </row>
    <row r="356" spans="1:25" s="127" customFormat="1" ht="12.75" x14ac:dyDescent="0.35">
      <c r="A356" s="128" t="s">
        <v>437</v>
      </c>
      <c r="B356" s="128"/>
      <c r="C356" s="128"/>
      <c r="D356" s="128"/>
      <c r="E356" s="128"/>
      <c r="F356" s="128"/>
      <c r="G356" s="129"/>
      <c r="H356" s="129"/>
      <c r="I356" s="129"/>
      <c r="J356" s="129"/>
      <c r="K356" s="129"/>
      <c r="L356" s="129"/>
      <c r="M356" s="129"/>
      <c r="N356" s="129"/>
      <c r="O356" s="129"/>
      <c r="P356" s="129"/>
      <c r="Q356" s="129"/>
      <c r="R356" s="129"/>
      <c r="S356" s="129"/>
      <c r="T356" s="129"/>
      <c r="U356" s="129"/>
      <c r="V356" s="129"/>
      <c r="W356" s="129"/>
      <c r="X356" s="129"/>
      <c r="Y356" s="129"/>
    </row>
    <row r="357" spans="1:25" s="127" customFormat="1" ht="12.75" x14ac:dyDescent="0.35">
      <c r="A357" s="128" t="s">
        <v>438</v>
      </c>
      <c r="B357" s="128"/>
      <c r="C357" s="128"/>
      <c r="D357" s="128"/>
      <c r="E357" s="128"/>
      <c r="F357" s="128"/>
      <c r="G357" s="129"/>
      <c r="H357" s="129"/>
      <c r="I357" s="129"/>
      <c r="J357" s="129"/>
      <c r="K357" s="129"/>
      <c r="L357" s="129"/>
      <c r="M357" s="129"/>
      <c r="N357" s="129"/>
      <c r="O357" s="129"/>
      <c r="P357" s="129"/>
      <c r="Q357" s="129"/>
      <c r="R357" s="129"/>
      <c r="S357" s="129"/>
      <c r="T357" s="129"/>
      <c r="U357" s="129"/>
      <c r="V357" s="129"/>
      <c r="W357" s="129"/>
      <c r="X357" s="129"/>
      <c r="Y357" s="129"/>
    </row>
    <row r="358" spans="1:25" s="127" customFormat="1" ht="12.75" x14ac:dyDescent="0.35">
      <c r="A358" s="128" t="s">
        <v>439</v>
      </c>
      <c r="B358" s="128"/>
      <c r="C358" s="128"/>
      <c r="D358" s="128"/>
      <c r="E358" s="128"/>
      <c r="F358" s="128"/>
      <c r="G358" s="129"/>
      <c r="H358" s="129"/>
      <c r="I358" s="129"/>
      <c r="J358" s="129"/>
      <c r="K358" s="129"/>
      <c r="L358" s="129"/>
      <c r="M358" s="129"/>
      <c r="N358" s="129"/>
      <c r="O358" s="129"/>
      <c r="P358" s="129"/>
      <c r="Q358" s="129"/>
      <c r="R358" s="129"/>
      <c r="S358" s="129"/>
      <c r="T358" s="129"/>
      <c r="U358" s="129"/>
      <c r="V358" s="129"/>
      <c r="W358" s="129"/>
      <c r="X358" s="129"/>
      <c r="Y358" s="129"/>
    </row>
    <row r="359" spans="1:25" s="127" customFormat="1" ht="12.75" x14ac:dyDescent="0.35">
      <c r="A359" s="128" t="s">
        <v>440</v>
      </c>
      <c r="B359" s="128"/>
      <c r="C359" s="128"/>
      <c r="D359" s="128"/>
      <c r="E359" s="128"/>
      <c r="F359" s="128"/>
      <c r="G359" s="129"/>
      <c r="H359" s="129"/>
      <c r="I359" s="129"/>
      <c r="J359" s="129"/>
      <c r="K359" s="129"/>
      <c r="L359" s="129"/>
      <c r="M359" s="129"/>
      <c r="N359" s="129"/>
      <c r="O359" s="129"/>
      <c r="P359" s="129"/>
      <c r="Q359" s="129"/>
      <c r="R359" s="129"/>
      <c r="S359" s="129"/>
      <c r="T359" s="129"/>
      <c r="U359" s="129"/>
      <c r="V359" s="129"/>
      <c r="W359" s="129"/>
      <c r="X359" s="129"/>
      <c r="Y359" s="129"/>
    </row>
    <row r="360" spans="1:25" s="127" customFormat="1" ht="12.75" x14ac:dyDescent="0.35">
      <c r="A360" s="128" t="s">
        <v>441</v>
      </c>
      <c r="B360" s="128"/>
      <c r="C360" s="128"/>
      <c r="D360" s="128"/>
      <c r="E360" s="128"/>
      <c r="F360" s="128"/>
      <c r="G360" s="129"/>
      <c r="H360" s="129"/>
      <c r="I360" s="129"/>
      <c r="J360" s="129"/>
      <c r="K360" s="129"/>
      <c r="L360" s="129"/>
      <c r="M360" s="129"/>
      <c r="N360" s="129"/>
      <c r="O360" s="129"/>
      <c r="P360" s="129"/>
      <c r="Q360" s="129"/>
      <c r="R360" s="129"/>
      <c r="S360" s="129"/>
      <c r="T360" s="129"/>
      <c r="U360" s="129"/>
      <c r="V360" s="129"/>
      <c r="W360" s="129"/>
      <c r="X360" s="129"/>
      <c r="Y360" s="129"/>
    </row>
    <row r="361" spans="1:25" s="127" customFormat="1" ht="12.75" x14ac:dyDescent="0.35">
      <c r="A361" s="128" t="s">
        <v>442</v>
      </c>
      <c r="B361" s="128"/>
      <c r="C361" s="128"/>
      <c r="D361" s="128"/>
      <c r="E361" s="128"/>
      <c r="F361" s="128"/>
      <c r="G361" s="129"/>
      <c r="H361" s="129"/>
      <c r="I361" s="129"/>
      <c r="J361" s="129"/>
      <c r="K361" s="129"/>
      <c r="L361" s="129"/>
      <c r="M361" s="129"/>
      <c r="N361" s="129"/>
      <c r="O361" s="129"/>
      <c r="P361" s="129"/>
      <c r="Q361" s="129"/>
      <c r="R361" s="129"/>
      <c r="S361" s="129"/>
      <c r="T361" s="129"/>
      <c r="U361" s="129"/>
      <c r="V361" s="129"/>
      <c r="W361" s="129"/>
      <c r="X361" s="129"/>
      <c r="Y361" s="129"/>
    </row>
    <row r="362" spans="1:25" s="127" customFormat="1" ht="12.75" x14ac:dyDescent="0.35">
      <c r="A362" s="128" t="s">
        <v>443</v>
      </c>
      <c r="B362" s="128"/>
      <c r="C362" s="128"/>
      <c r="D362" s="128"/>
      <c r="E362" s="128"/>
      <c r="F362" s="128"/>
      <c r="G362" s="129"/>
      <c r="H362" s="129"/>
      <c r="I362" s="129"/>
      <c r="J362" s="129"/>
      <c r="K362" s="129"/>
      <c r="L362" s="129"/>
      <c r="M362" s="129"/>
      <c r="N362" s="129"/>
      <c r="O362" s="129"/>
      <c r="P362" s="129"/>
      <c r="Q362" s="129"/>
      <c r="R362" s="129"/>
      <c r="S362" s="129"/>
      <c r="T362" s="129"/>
      <c r="U362" s="129"/>
      <c r="V362" s="129"/>
      <c r="W362" s="129"/>
      <c r="X362" s="129"/>
      <c r="Y362" s="129"/>
    </row>
    <row r="363" spans="1:25" s="127" customFormat="1" ht="12.75" x14ac:dyDescent="0.35">
      <c r="A363" s="128" t="s">
        <v>444</v>
      </c>
      <c r="B363" s="128"/>
      <c r="C363" s="128"/>
      <c r="D363" s="128"/>
      <c r="E363" s="128"/>
      <c r="F363" s="128"/>
      <c r="G363" s="129"/>
      <c r="H363" s="129"/>
      <c r="I363" s="129"/>
      <c r="J363" s="129"/>
      <c r="K363" s="129"/>
      <c r="L363" s="129"/>
      <c r="M363" s="129"/>
      <c r="N363" s="129"/>
      <c r="O363" s="129"/>
      <c r="P363" s="129"/>
      <c r="Q363" s="129"/>
      <c r="R363" s="129"/>
      <c r="S363" s="129"/>
      <c r="T363" s="129"/>
      <c r="U363" s="129"/>
      <c r="V363" s="129"/>
      <c r="W363" s="129"/>
      <c r="X363" s="129"/>
      <c r="Y363" s="129"/>
    </row>
    <row r="364" spans="1:25" s="127" customFormat="1" ht="12.75" x14ac:dyDescent="0.35">
      <c r="A364" s="128" t="s">
        <v>445</v>
      </c>
      <c r="B364" s="128"/>
      <c r="C364" s="128"/>
      <c r="D364" s="128"/>
      <c r="E364" s="128"/>
      <c r="F364" s="128"/>
      <c r="G364" s="129"/>
      <c r="H364" s="129"/>
      <c r="I364" s="129"/>
      <c r="J364" s="129"/>
      <c r="K364" s="129"/>
      <c r="L364" s="129"/>
      <c r="M364" s="129"/>
      <c r="N364" s="129"/>
      <c r="O364" s="129"/>
      <c r="P364" s="129"/>
      <c r="Q364" s="129"/>
      <c r="R364" s="129"/>
      <c r="S364" s="129"/>
      <c r="T364" s="129"/>
      <c r="U364" s="129"/>
      <c r="V364" s="129"/>
      <c r="W364" s="129"/>
      <c r="X364" s="129"/>
      <c r="Y364" s="129"/>
    </row>
    <row r="365" spans="1:25" s="127" customFormat="1" ht="12.75" x14ac:dyDescent="0.35">
      <c r="A365" s="128" t="s">
        <v>446</v>
      </c>
      <c r="B365" s="128"/>
      <c r="C365" s="128"/>
      <c r="D365" s="128"/>
      <c r="E365" s="128"/>
      <c r="F365" s="128"/>
      <c r="G365" s="129"/>
      <c r="H365" s="129"/>
      <c r="I365" s="129"/>
      <c r="J365" s="129"/>
      <c r="K365" s="129"/>
      <c r="L365" s="129"/>
      <c r="M365" s="129"/>
      <c r="N365" s="129"/>
      <c r="O365" s="129"/>
      <c r="P365" s="129"/>
      <c r="Q365" s="129"/>
      <c r="R365" s="129"/>
      <c r="S365" s="129"/>
      <c r="T365" s="129"/>
      <c r="U365" s="129"/>
      <c r="V365" s="129"/>
      <c r="W365" s="129"/>
      <c r="X365" s="129"/>
      <c r="Y365" s="129"/>
    </row>
    <row r="366" spans="1:25" s="127" customFormat="1" ht="12.75" x14ac:dyDescent="0.35">
      <c r="A366" s="128" t="s">
        <v>447</v>
      </c>
      <c r="B366" s="128"/>
      <c r="C366" s="128"/>
      <c r="D366" s="128"/>
      <c r="E366" s="128"/>
      <c r="F366" s="128"/>
      <c r="G366" s="129"/>
      <c r="H366" s="129"/>
      <c r="I366" s="129"/>
      <c r="J366" s="129"/>
      <c r="K366" s="129"/>
      <c r="L366" s="129"/>
      <c r="M366" s="129"/>
      <c r="N366" s="129"/>
      <c r="O366" s="129"/>
      <c r="P366" s="129"/>
      <c r="Q366" s="129"/>
      <c r="R366" s="129"/>
      <c r="S366" s="129"/>
      <c r="T366" s="129"/>
      <c r="U366" s="129"/>
      <c r="V366" s="129"/>
      <c r="W366" s="129"/>
      <c r="X366" s="129"/>
      <c r="Y366" s="129"/>
    </row>
    <row r="367" spans="1:25" s="127" customFormat="1" ht="12.75" x14ac:dyDescent="0.35">
      <c r="A367" s="128" t="s">
        <v>448</v>
      </c>
      <c r="B367" s="128"/>
      <c r="C367" s="128"/>
      <c r="D367" s="128"/>
      <c r="E367" s="128"/>
      <c r="F367" s="128"/>
      <c r="G367" s="129"/>
      <c r="H367" s="129"/>
      <c r="I367" s="129"/>
      <c r="J367" s="129"/>
      <c r="K367" s="129"/>
      <c r="L367" s="129"/>
      <c r="M367" s="129"/>
      <c r="N367" s="129"/>
      <c r="O367" s="129"/>
      <c r="P367" s="129"/>
      <c r="Q367" s="129"/>
      <c r="R367" s="129"/>
      <c r="S367" s="129"/>
      <c r="T367" s="129"/>
      <c r="U367" s="129"/>
      <c r="V367" s="129"/>
      <c r="W367" s="129"/>
      <c r="X367" s="129"/>
      <c r="Y367" s="129"/>
    </row>
    <row r="368" spans="1:25" s="127" customFormat="1" ht="12.75" x14ac:dyDescent="0.35">
      <c r="A368" s="128" t="s">
        <v>449</v>
      </c>
      <c r="B368" s="128"/>
      <c r="C368" s="128"/>
      <c r="D368" s="128"/>
      <c r="E368" s="128"/>
      <c r="F368" s="128"/>
      <c r="G368" s="129"/>
      <c r="H368" s="129"/>
      <c r="I368" s="129"/>
      <c r="J368" s="129"/>
      <c r="K368" s="129"/>
      <c r="L368" s="129"/>
      <c r="M368" s="129"/>
      <c r="N368" s="129"/>
      <c r="O368" s="129"/>
      <c r="P368" s="129"/>
      <c r="Q368" s="129"/>
      <c r="R368" s="129"/>
      <c r="S368" s="129"/>
      <c r="T368" s="129"/>
      <c r="U368" s="129"/>
      <c r="V368" s="129"/>
      <c r="W368" s="129"/>
      <c r="X368" s="129"/>
      <c r="Y368" s="129"/>
    </row>
    <row r="369" spans="1:25" s="127" customFormat="1" ht="12.75" x14ac:dyDescent="0.35">
      <c r="A369" s="128" t="s">
        <v>450</v>
      </c>
      <c r="B369" s="128"/>
      <c r="C369" s="128"/>
      <c r="D369" s="128"/>
      <c r="E369" s="128"/>
      <c r="F369" s="128"/>
      <c r="G369" s="129"/>
      <c r="H369" s="129"/>
      <c r="I369" s="129"/>
      <c r="J369" s="129"/>
      <c r="K369" s="129"/>
      <c r="L369" s="129"/>
      <c r="M369" s="129"/>
      <c r="N369" s="129"/>
      <c r="O369" s="129"/>
      <c r="P369" s="129"/>
      <c r="Q369" s="129"/>
      <c r="R369" s="129"/>
      <c r="S369" s="129"/>
      <c r="T369" s="129"/>
      <c r="U369" s="129"/>
      <c r="V369" s="129"/>
      <c r="W369" s="129"/>
      <c r="X369" s="129"/>
      <c r="Y369" s="129"/>
    </row>
    <row r="370" spans="1:25" s="127" customFormat="1" ht="12.75" x14ac:dyDescent="0.35">
      <c r="A370" s="128" t="s">
        <v>451</v>
      </c>
      <c r="B370" s="128"/>
      <c r="C370" s="128"/>
      <c r="D370" s="128"/>
      <c r="E370" s="128"/>
      <c r="F370" s="128"/>
      <c r="G370" s="129"/>
      <c r="H370" s="129"/>
      <c r="I370" s="129"/>
      <c r="J370" s="129"/>
      <c r="K370" s="129"/>
      <c r="L370" s="129"/>
      <c r="M370" s="129"/>
      <c r="N370" s="129"/>
      <c r="O370" s="129"/>
      <c r="P370" s="129"/>
      <c r="Q370" s="129"/>
      <c r="R370" s="129"/>
      <c r="S370" s="129"/>
      <c r="T370" s="129"/>
      <c r="U370" s="129"/>
      <c r="V370" s="129"/>
      <c r="W370" s="129"/>
      <c r="X370" s="129"/>
      <c r="Y370" s="129"/>
    </row>
    <row r="371" spans="1:25" s="127" customFormat="1" ht="12.75" x14ac:dyDescent="0.35">
      <c r="A371" s="128" t="s">
        <v>452</v>
      </c>
      <c r="B371" s="128"/>
      <c r="C371" s="128"/>
      <c r="D371" s="128"/>
      <c r="E371" s="128"/>
      <c r="F371" s="128"/>
      <c r="G371" s="129"/>
      <c r="H371" s="129"/>
      <c r="I371" s="129"/>
      <c r="J371" s="129"/>
      <c r="K371" s="129"/>
      <c r="L371" s="129"/>
      <c r="M371" s="129"/>
      <c r="N371" s="129"/>
      <c r="O371" s="129"/>
      <c r="P371" s="129"/>
      <c r="Q371" s="129"/>
      <c r="R371" s="129"/>
      <c r="S371" s="129"/>
      <c r="T371" s="129"/>
      <c r="U371" s="129"/>
      <c r="V371" s="129"/>
      <c r="W371" s="129"/>
      <c r="X371" s="129"/>
      <c r="Y371" s="129"/>
    </row>
    <row r="372" spans="1:25" s="127" customFormat="1" ht="12.75" x14ac:dyDescent="0.35">
      <c r="A372" s="128" t="s">
        <v>453</v>
      </c>
      <c r="B372" s="128"/>
      <c r="C372" s="128"/>
      <c r="D372" s="128"/>
      <c r="E372" s="128"/>
      <c r="F372" s="128"/>
      <c r="G372" s="129"/>
      <c r="H372" s="129"/>
      <c r="I372" s="129"/>
      <c r="J372" s="129"/>
      <c r="K372" s="129"/>
      <c r="L372" s="129"/>
      <c r="M372" s="129"/>
      <c r="N372" s="129"/>
      <c r="O372" s="129"/>
      <c r="P372" s="129"/>
      <c r="Q372" s="129"/>
      <c r="R372" s="129"/>
      <c r="S372" s="129"/>
      <c r="T372" s="129"/>
      <c r="U372" s="129"/>
      <c r="V372" s="129"/>
      <c r="W372" s="129"/>
      <c r="X372" s="129"/>
      <c r="Y372" s="129"/>
    </row>
    <row r="373" spans="1:25" s="127" customFormat="1" ht="12.75" x14ac:dyDescent="0.35">
      <c r="A373" s="128" t="s">
        <v>454</v>
      </c>
      <c r="B373" s="128"/>
      <c r="C373" s="128"/>
      <c r="D373" s="128"/>
      <c r="E373" s="128"/>
      <c r="F373" s="128"/>
      <c r="G373" s="129"/>
      <c r="H373" s="129"/>
      <c r="I373" s="129"/>
      <c r="J373" s="129"/>
      <c r="K373" s="129"/>
      <c r="L373" s="129"/>
      <c r="M373" s="129"/>
      <c r="N373" s="129"/>
      <c r="O373" s="129"/>
      <c r="P373" s="129"/>
      <c r="Q373" s="129"/>
      <c r="R373" s="129"/>
      <c r="S373" s="129"/>
      <c r="T373" s="129"/>
      <c r="U373" s="129"/>
      <c r="V373" s="129"/>
      <c r="W373" s="129"/>
      <c r="X373" s="129"/>
      <c r="Y373" s="129"/>
    </row>
    <row r="374" spans="1:25" s="127" customFormat="1" ht="12.75" x14ac:dyDescent="0.35">
      <c r="A374" s="128" t="s">
        <v>455</v>
      </c>
      <c r="B374" s="128"/>
      <c r="C374" s="128"/>
      <c r="D374" s="128"/>
      <c r="E374" s="128"/>
      <c r="F374" s="128"/>
      <c r="G374" s="129"/>
      <c r="H374" s="129"/>
      <c r="I374" s="129"/>
      <c r="J374" s="129"/>
      <c r="K374" s="129"/>
      <c r="L374" s="129"/>
      <c r="M374" s="129"/>
      <c r="N374" s="129"/>
      <c r="O374" s="129"/>
      <c r="P374" s="129"/>
      <c r="Q374" s="129"/>
      <c r="R374" s="129"/>
      <c r="S374" s="129"/>
      <c r="T374" s="129"/>
      <c r="U374" s="129"/>
      <c r="V374" s="129"/>
      <c r="W374" s="129"/>
      <c r="X374" s="129"/>
      <c r="Y374" s="129"/>
    </row>
    <row r="375" spans="1:25" s="127" customFormat="1" ht="12.75" x14ac:dyDescent="0.35">
      <c r="A375" s="128" t="s">
        <v>456</v>
      </c>
      <c r="B375" s="128"/>
      <c r="C375" s="128"/>
      <c r="D375" s="128"/>
      <c r="E375" s="128"/>
      <c r="F375" s="128"/>
      <c r="G375" s="129"/>
      <c r="H375" s="129"/>
      <c r="I375" s="129"/>
      <c r="J375" s="129"/>
      <c r="K375" s="129"/>
      <c r="L375" s="129"/>
      <c r="M375" s="129"/>
      <c r="N375" s="129"/>
      <c r="O375" s="129"/>
      <c r="P375" s="129"/>
      <c r="Q375" s="129"/>
      <c r="R375" s="129"/>
      <c r="S375" s="129"/>
      <c r="T375" s="129"/>
      <c r="U375" s="129"/>
      <c r="V375" s="129"/>
      <c r="W375" s="129"/>
      <c r="X375" s="129"/>
      <c r="Y375" s="129"/>
    </row>
    <row r="376" spans="1:25" s="127" customFormat="1" ht="12.75" x14ac:dyDescent="0.35">
      <c r="A376" s="128" t="s">
        <v>457</v>
      </c>
      <c r="B376" s="128"/>
      <c r="C376" s="128"/>
      <c r="D376" s="128"/>
      <c r="E376" s="128"/>
      <c r="F376" s="128"/>
      <c r="G376" s="129"/>
      <c r="H376" s="129"/>
      <c r="I376" s="129"/>
      <c r="J376" s="129"/>
      <c r="K376" s="129"/>
      <c r="L376" s="129"/>
      <c r="M376" s="129"/>
      <c r="N376" s="129"/>
      <c r="O376" s="129"/>
      <c r="P376" s="129"/>
      <c r="Q376" s="129"/>
      <c r="R376" s="129"/>
      <c r="S376" s="129"/>
      <c r="T376" s="129"/>
      <c r="U376" s="129"/>
      <c r="V376" s="129"/>
      <c r="W376" s="129"/>
      <c r="X376" s="129"/>
      <c r="Y376" s="129"/>
    </row>
    <row r="377" spans="1:25" s="127" customFormat="1" ht="12.75" x14ac:dyDescent="0.35">
      <c r="A377" s="128" t="s">
        <v>458</v>
      </c>
      <c r="B377" s="128"/>
      <c r="C377" s="128"/>
      <c r="D377" s="128"/>
      <c r="E377" s="128"/>
      <c r="F377" s="128"/>
      <c r="G377" s="129"/>
      <c r="H377" s="129"/>
      <c r="I377" s="129"/>
      <c r="J377" s="129"/>
      <c r="K377" s="129"/>
      <c r="L377" s="129"/>
      <c r="M377" s="129"/>
      <c r="N377" s="129"/>
      <c r="O377" s="129"/>
      <c r="P377" s="129"/>
      <c r="Q377" s="129"/>
      <c r="R377" s="129"/>
      <c r="S377" s="129"/>
      <c r="T377" s="129"/>
      <c r="U377" s="129"/>
      <c r="V377" s="129"/>
      <c r="W377" s="129"/>
      <c r="X377" s="129"/>
      <c r="Y377" s="129"/>
    </row>
    <row r="378" spans="1:25" s="127" customFormat="1" ht="12.75" x14ac:dyDescent="0.35">
      <c r="A378" s="128" t="s">
        <v>459</v>
      </c>
      <c r="B378" s="128"/>
      <c r="C378" s="128"/>
      <c r="D378" s="128"/>
      <c r="E378" s="128"/>
      <c r="F378" s="128"/>
      <c r="G378" s="129"/>
      <c r="H378" s="129"/>
      <c r="I378" s="129"/>
      <c r="J378" s="129"/>
      <c r="K378" s="129"/>
      <c r="L378" s="129"/>
      <c r="M378" s="129"/>
      <c r="N378" s="129"/>
      <c r="O378" s="129"/>
      <c r="P378" s="129"/>
      <c r="Q378" s="129"/>
      <c r="R378" s="129"/>
      <c r="S378" s="129"/>
      <c r="T378" s="129"/>
      <c r="U378" s="129"/>
      <c r="V378" s="129"/>
      <c r="W378" s="129"/>
      <c r="X378" s="129"/>
      <c r="Y378" s="129"/>
    </row>
    <row r="379" spans="1:25" s="127" customFormat="1" ht="12.75" x14ac:dyDescent="0.35">
      <c r="A379" s="128" t="s">
        <v>460</v>
      </c>
      <c r="B379" s="128"/>
      <c r="C379" s="128"/>
      <c r="D379" s="128"/>
      <c r="E379" s="128"/>
      <c r="F379" s="128"/>
      <c r="G379" s="129"/>
      <c r="H379" s="129"/>
      <c r="I379" s="129"/>
      <c r="J379" s="129"/>
      <c r="K379" s="129"/>
      <c r="L379" s="129"/>
      <c r="M379" s="129"/>
      <c r="N379" s="129"/>
      <c r="O379" s="129"/>
      <c r="P379" s="129"/>
      <c r="Q379" s="129"/>
      <c r="R379" s="129"/>
      <c r="S379" s="129"/>
      <c r="T379" s="129"/>
      <c r="U379" s="129"/>
      <c r="V379" s="129"/>
      <c r="W379" s="129"/>
      <c r="X379" s="129"/>
      <c r="Y379" s="129"/>
    </row>
    <row r="380" spans="1:25" s="127" customFormat="1" ht="12.75" x14ac:dyDescent="0.35">
      <c r="A380" s="128" t="s">
        <v>461</v>
      </c>
      <c r="B380" s="128"/>
      <c r="C380" s="128"/>
      <c r="D380" s="128"/>
      <c r="E380" s="128"/>
      <c r="F380" s="128"/>
      <c r="G380" s="129"/>
      <c r="H380" s="129"/>
      <c r="I380" s="129"/>
      <c r="J380" s="129"/>
      <c r="K380" s="129"/>
      <c r="L380" s="129"/>
      <c r="M380" s="129"/>
      <c r="N380" s="129"/>
      <c r="O380" s="129"/>
      <c r="P380" s="129"/>
      <c r="Q380" s="129"/>
      <c r="R380" s="129"/>
      <c r="S380" s="129"/>
      <c r="T380" s="129"/>
      <c r="U380" s="129"/>
      <c r="V380" s="129"/>
      <c r="W380" s="129"/>
      <c r="X380" s="129"/>
      <c r="Y380" s="129"/>
    </row>
    <row r="381" spans="1:25" s="127" customFormat="1" ht="12.75" x14ac:dyDescent="0.35">
      <c r="A381" s="128" t="s">
        <v>462</v>
      </c>
      <c r="B381" s="128"/>
      <c r="C381" s="128"/>
      <c r="D381" s="128"/>
      <c r="E381" s="128"/>
      <c r="F381" s="128"/>
      <c r="G381" s="129"/>
      <c r="H381" s="129"/>
      <c r="I381" s="129"/>
      <c r="J381" s="129"/>
      <c r="K381" s="129"/>
      <c r="L381" s="129"/>
      <c r="M381" s="129"/>
      <c r="N381" s="129"/>
      <c r="O381" s="129"/>
      <c r="P381" s="129"/>
      <c r="Q381" s="129"/>
      <c r="R381" s="129"/>
      <c r="S381" s="129"/>
      <c r="T381" s="129"/>
      <c r="U381" s="129"/>
      <c r="V381" s="129"/>
      <c r="W381" s="129"/>
      <c r="X381" s="129"/>
      <c r="Y381" s="129"/>
    </row>
    <row r="382" spans="1:25" s="127" customFormat="1" ht="12.75" x14ac:dyDescent="0.35">
      <c r="A382" s="128" t="s">
        <v>463</v>
      </c>
      <c r="B382" s="128"/>
      <c r="C382" s="128"/>
      <c r="D382" s="128"/>
      <c r="E382" s="128"/>
      <c r="F382" s="128"/>
      <c r="G382" s="129"/>
      <c r="H382" s="129"/>
      <c r="I382" s="129"/>
      <c r="J382" s="129"/>
      <c r="K382" s="129"/>
      <c r="L382" s="129"/>
      <c r="M382" s="129"/>
      <c r="N382" s="129"/>
      <c r="O382" s="129"/>
      <c r="P382" s="129"/>
      <c r="Q382" s="129"/>
      <c r="R382" s="129"/>
      <c r="S382" s="129"/>
      <c r="T382" s="129"/>
      <c r="U382" s="129"/>
      <c r="V382" s="129"/>
      <c r="W382" s="129"/>
      <c r="X382" s="129"/>
      <c r="Y382" s="129"/>
    </row>
    <row r="383" spans="1:25" s="127" customFormat="1" ht="12.75" x14ac:dyDescent="0.35">
      <c r="A383" s="128" t="s">
        <v>464</v>
      </c>
      <c r="B383" s="128"/>
      <c r="C383" s="128"/>
      <c r="D383" s="128"/>
      <c r="E383" s="128"/>
      <c r="F383" s="128"/>
      <c r="G383" s="129"/>
      <c r="H383" s="129"/>
      <c r="I383" s="129"/>
      <c r="J383" s="129"/>
      <c r="K383" s="129"/>
      <c r="L383" s="129"/>
      <c r="M383" s="129"/>
      <c r="N383" s="129"/>
      <c r="O383" s="129"/>
      <c r="P383" s="129"/>
      <c r="Q383" s="129"/>
      <c r="R383" s="129"/>
      <c r="S383" s="129"/>
      <c r="T383" s="129"/>
      <c r="U383" s="129"/>
      <c r="V383" s="129"/>
      <c r="W383" s="129"/>
      <c r="X383" s="129"/>
      <c r="Y383" s="129"/>
    </row>
    <row r="384" spans="1:25" s="127" customFormat="1" ht="12.75" x14ac:dyDescent="0.35">
      <c r="A384" s="128" t="s">
        <v>465</v>
      </c>
      <c r="B384" s="128"/>
      <c r="C384" s="128"/>
      <c r="D384" s="128"/>
      <c r="E384" s="128"/>
      <c r="F384" s="128"/>
      <c r="G384" s="129"/>
      <c r="H384" s="129"/>
      <c r="I384" s="129"/>
      <c r="J384" s="129"/>
      <c r="K384" s="129"/>
      <c r="L384" s="129"/>
      <c r="M384" s="129"/>
      <c r="N384" s="129"/>
      <c r="O384" s="129"/>
      <c r="P384" s="129"/>
      <c r="Q384" s="129"/>
      <c r="R384" s="129"/>
      <c r="S384" s="129"/>
      <c r="T384" s="129"/>
      <c r="U384" s="129"/>
      <c r="V384" s="129"/>
      <c r="W384" s="129"/>
      <c r="X384" s="129"/>
      <c r="Y384" s="129"/>
    </row>
    <row r="385" spans="1:25" s="127" customFormat="1" ht="12.75" x14ac:dyDescent="0.35">
      <c r="A385" s="128" t="s">
        <v>466</v>
      </c>
      <c r="B385" s="128"/>
      <c r="C385" s="128"/>
      <c r="D385" s="128"/>
      <c r="E385" s="128"/>
      <c r="F385" s="128"/>
      <c r="G385" s="129"/>
      <c r="H385" s="129"/>
      <c r="I385" s="129"/>
      <c r="J385" s="129"/>
      <c r="K385" s="129"/>
      <c r="L385" s="129"/>
      <c r="M385" s="129"/>
      <c r="N385" s="129"/>
      <c r="O385" s="129"/>
      <c r="P385" s="129"/>
      <c r="Q385" s="129"/>
      <c r="R385" s="129"/>
      <c r="S385" s="129"/>
      <c r="T385" s="129"/>
      <c r="U385" s="129"/>
      <c r="V385" s="129"/>
      <c r="W385" s="129"/>
      <c r="X385" s="129"/>
      <c r="Y385" s="129"/>
    </row>
    <row r="386" spans="1:25" s="127" customFormat="1" ht="12.75" x14ac:dyDescent="0.35">
      <c r="A386" s="128" t="s">
        <v>467</v>
      </c>
      <c r="B386" s="128"/>
      <c r="C386" s="128"/>
      <c r="D386" s="128"/>
      <c r="E386" s="128"/>
      <c r="F386" s="128"/>
      <c r="G386" s="129"/>
      <c r="H386" s="129"/>
      <c r="I386" s="129"/>
      <c r="J386" s="129"/>
      <c r="K386" s="129"/>
      <c r="L386" s="129"/>
      <c r="M386" s="129"/>
      <c r="N386" s="129"/>
      <c r="O386" s="129"/>
      <c r="P386" s="129"/>
      <c r="Q386" s="129"/>
      <c r="R386" s="129"/>
      <c r="S386" s="129"/>
      <c r="T386" s="129"/>
      <c r="U386" s="129"/>
      <c r="V386" s="129"/>
      <c r="W386" s="129"/>
      <c r="X386" s="129"/>
      <c r="Y386" s="129"/>
    </row>
    <row r="387" spans="1:25" s="127" customFormat="1" ht="12.75" x14ac:dyDescent="0.35">
      <c r="A387" s="128" t="s">
        <v>468</v>
      </c>
      <c r="B387" s="128"/>
      <c r="C387" s="128"/>
      <c r="D387" s="128"/>
      <c r="E387" s="128"/>
      <c r="F387" s="128"/>
      <c r="G387" s="129"/>
      <c r="H387" s="129"/>
      <c r="I387" s="129"/>
      <c r="J387" s="129"/>
      <c r="K387" s="129"/>
      <c r="L387" s="129"/>
      <c r="M387" s="129"/>
      <c r="N387" s="129"/>
      <c r="O387" s="129"/>
      <c r="P387" s="129"/>
      <c r="Q387" s="129"/>
      <c r="R387" s="129"/>
      <c r="S387" s="129"/>
      <c r="T387" s="129"/>
      <c r="U387" s="129"/>
      <c r="V387" s="129"/>
      <c r="W387" s="129"/>
      <c r="X387" s="129"/>
      <c r="Y387" s="129"/>
    </row>
    <row r="388" spans="1:25" s="127" customFormat="1" ht="12.75" x14ac:dyDescent="0.35">
      <c r="A388" s="128" t="s">
        <v>469</v>
      </c>
      <c r="B388" s="128"/>
      <c r="C388" s="128"/>
      <c r="D388" s="128"/>
      <c r="E388" s="128"/>
      <c r="F388" s="128"/>
      <c r="G388" s="129"/>
      <c r="H388" s="129"/>
      <c r="I388" s="129"/>
      <c r="J388" s="129"/>
      <c r="K388" s="129"/>
      <c r="L388" s="129"/>
      <c r="M388" s="129"/>
      <c r="N388" s="129"/>
      <c r="O388" s="129"/>
      <c r="P388" s="129"/>
      <c r="Q388" s="129"/>
      <c r="R388" s="129"/>
      <c r="S388" s="129"/>
      <c r="T388" s="129"/>
      <c r="U388" s="129"/>
      <c r="V388" s="129"/>
      <c r="W388" s="129"/>
      <c r="X388" s="129"/>
      <c r="Y388" s="129"/>
    </row>
    <row r="389" spans="1:25" s="127" customFormat="1" ht="12.75" x14ac:dyDescent="0.35">
      <c r="A389" s="128" t="s">
        <v>470</v>
      </c>
      <c r="B389" s="128"/>
      <c r="C389" s="128"/>
      <c r="D389" s="128"/>
      <c r="E389" s="128"/>
      <c r="F389" s="128"/>
      <c r="G389" s="129"/>
      <c r="H389" s="129"/>
      <c r="I389" s="129"/>
      <c r="J389" s="129"/>
      <c r="K389" s="129"/>
      <c r="L389" s="129"/>
      <c r="M389" s="129"/>
      <c r="N389" s="129"/>
      <c r="O389" s="129"/>
      <c r="P389" s="129"/>
      <c r="Q389" s="129"/>
      <c r="R389" s="129"/>
      <c r="S389" s="129"/>
      <c r="T389" s="129"/>
      <c r="U389" s="129"/>
      <c r="V389" s="129"/>
      <c r="W389" s="129"/>
      <c r="X389" s="129"/>
      <c r="Y389" s="129"/>
    </row>
    <row r="390" spans="1:25" s="127" customFormat="1" ht="12.75" x14ac:dyDescent="0.35">
      <c r="A390" s="128" t="s">
        <v>471</v>
      </c>
      <c r="B390" s="128"/>
      <c r="C390" s="128"/>
      <c r="D390" s="128"/>
      <c r="E390" s="128"/>
      <c r="F390" s="128"/>
      <c r="G390" s="129"/>
      <c r="H390" s="129"/>
      <c r="I390" s="129"/>
      <c r="J390" s="129"/>
      <c r="K390" s="129"/>
      <c r="L390" s="129"/>
      <c r="M390" s="129"/>
      <c r="N390" s="129"/>
      <c r="O390" s="129"/>
      <c r="P390" s="129"/>
      <c r="Q390" s="129"/>
      <c r="R390" s="129"/>
      <c r="S390" s="129"/>
      <c r="T390" s="129"/>
      <c r="U390" s="129"/>
      <c r="V390" s="129"/>
      <c r="W390" s="129"/>
      <c r="X390" s="129"/>
      <c r="Y390" s="129"/>
    </row>
    <row r="391" spans="1:25" s="127" customFormat="1" ht="12.75" x14ac:dyDescent="0.35">
      <c r="A391" s="128" t="s">
        <v>472</v>
      </c>
      <c r="B391" s="128"/>
      <c r="C391" s="128"/>
      <c r="D391" s="128"/>
      <c r="E391" s="128"/>
      <c r="F391" s="128"/>
      <c r="G391" s="129"/>
      <c r="H391" s="129"/>
      <c r="I391" s="129"/>
      <c r="J391" s="129"/>
      <c r="K391" s="129"/>
      <c r="L391" s="129"/>
      <c r="M391" s="129"/>
      <c r="N391" s="129"/>
      <c r="O391" s="129"/>
      <c r="P391" s="129"/>
      <c r="Q391" s="129"/>
      <c r="R391" s="129"/>
      <c r="S391" s="129"/>
      <c r="T391" s="129"/>
      <c r="U391" s="129"/>
      <c r="V391" s="129"/>
      <c r="W391" s="129"/>
      <c r="X391" s="129"/>
      <c r="Y391" s="129"/>
    </row>
    <row r="392" spans="1:25" s="127" customFormat="1" ht="12.75" x14ac:dyDescent="0.35">
      <c r="A392" s="128" t="s">
        <v>473</v>
      </c>
      <c r="B392" s="128"/>
      <c r="C392" s="128"/>
      <c r="D392" s="128"/>
      <c r="E392" s="128"/>
      <c r="F392" s="128"/>
      <c r="G392" s="129"/>
      <c r="H392" s="129"/>
      <c r="I392" s="129"/>
      <c r="J392" s="129"/>
      <c r="K392" s="129"/>
      <c r="L392" s="129"/>
      <c r="M392" s="129"/>
      <c r="N392" s="129"/>
      <c r="O392" s="129"/>
      <c r="P392" s="129"/>
      <c r="Q392" s="129"/>
      <c r="R392" s="129"/>
      <c r="S392" s="129"/>
      <c r="T392" s="129"/>
      <c r="U392" s="129"/>
      <c r="V392" s="129"/>
      <c r="W392" s="129"/>
      <c r="X392" s="129"/>
      <c r="Y392" s="129"/>
    </row>
    <row r="393" spans="1:25" s="127" customFormat="1" ht="12.75" x14ac:dyDescent="0.35">
      <c r="A393" s="128" t="s">
        <v>474</v>
      </c>
      <c r="B393" s="128"/>
      <c r="C393" s="128"/>
      <c r="D393" s="128"/>
      <c r="E393" s="128"/>
      <c r="F393" s="128"/>
      <c r="G393" s="129"/>
      <c r="H393" s="129"/>
      <c r="I393" s="129"/>
      <c r="J393" s="129"/>
      <c r="K393" s="129"/>
      <c r="L393" s="129"/>
      <c r="M393" s="129"/>
      <c r="N393" s="129"/>
      <c r="O393" s="129"/>
      <c r="P393" s="129"/>
      <c r="Q393" s="129"/>
      <c r="R393" s="129"/>
      <c r="S393" s="129"/>
      <c r="T393" s="129"/>
      <c r="U393" s="129"/>
      <c r="V393" s="129"/>
      <c r="W393" s="129"/>
      <c r="X393" s="129"/>
      <c r="Y393" s="129"/>
    </row>
    <row r="394" spans="1:25" s="127" customFormat="1" ht="12.75" x14ac:dyDescent="0.35">
      <c r="A394" s="128" t="s">
        <v>475</v>
      </c>
      <c r="B394" s="128"/>
      <c r="C394" s="128"/>
      <c r="D394" s="128"/>
      <c r="E394" s="128"/>
      <c r="F394" s="128"/>
      <c r="G394" s="129"/>
      <c r="H394" s="129"/>
      <c r="I394" s="129"/>
      <c r="J394" s="129"/>
      <c r="K394" s="129"/>
      <c r="L394" s="129"/>
      <c r="M394" s="129"/>
      <c r="N394" s="129"/>
      <c r="O394" s="129"/>
      <c r="P394" s="129"/>
      <c r="Q394" s="129"/>
      <c r="R394" s="129"/>
      <c r="S394" s="129"/>
      <c r="T394" s="129"/>
      <c r="U394" s="129"/>
      <c r="V394" s="129"/>
      <c r="W394" s="129"/>
      <c r="X394" s="129"/>
      <c r="Y394" s="129"/>
    </row>
    <row r="395" spans="1:25" s="127" customFormat="1" ht="12.75" x14ac:dyDescent="0.35">
      <c r="A395" s="128" t="s">
        <v>476</v>
      </c>
      <c r="B395" s="128"/>
      <c r="C395" s="128"/>
      <c r="D395" s="128"/>
      <c r="E395" s="128"/>
      <c r="F395" s="128"/>
      <c r="G395" s="129"/>
      <c r="H395" s="129"/>
      <c r="I395" s="129"/>
      <c r="J395" s="129"/>
      <c r="K395" s="129"/>
      <c r="L395" s="129"/>
      <c r="M395" s="129"/>
      <c r="N395" s="129"/>
      <c r="O395" s="129"/>
      <c r="P395" s="129"/>
      <c r="Q395" s="129"/>
      <c r="R395" s="129"/>
      <c r="S395" s="129"/>
      <c r="T395" s="129"/>
      <c r="U395" s="129"/>
      <c r="V395" s="129"/>
      <c r="W395" s="129"/>
      <c r="X395" s="129"/>
      <c r="Y395" s="129"/>
    </row>
    <row r="396" spans="1:25" s="127" customFormat="1" ht="12.75" x14ac:dyDescent="0.35">
      <c r="A396" s="128" t="s">
        <v>477</v>
      </c>
      <c r="B396" s="128"/>
      <c r="C396" s="128"/>
      <c r="D396" s="128"/>
      <c r="E396" s="128"/>
      <c r="F396" s="128"/>
      <c r="G396" s="129"/>
      <c r="H396" s="129"/>
      <c r="I396" s="129"/>
      <c r="J396" s="129"/>
      <c r="K396" s="129"/>
      <c r="L396" s="129"/>
      <c r="M396" s="129"/>
      <c r="N396" s="129"/>
      <c r="O396" s="129"/>
      <c r="P396" s="129"/>
      <c r="Q396" s="129"/>
      <c r="R396" s="129"/>
      <c r="S396" s="129"/>
      <c r="T396" s="129"/>
      <c r="U396" s="129"/>
      <c r="V396" s="129"/>
      <c r="W396" s="129"/>
      <c r="X396" s="129"/>
      <c r="Y396" s="129"/>
    </row>
    <row r="397" spans="1:25" s="127" customFormat="1" ht="12.75" x14ac:dyDescent="0.35">
      <c r="A397" s="128" t="s">
        <v>478</v>
      </c>
      <c r="B397" s="128"/>
      <c r="C397" s="128"/>
      <c r="D397" s="128"/>
      <c r="E397" s="128"/>
      <c r="F397" s="128"/>
      <c r="G397" s="129"/>
      <c r="H397" s="129"/>
      <c r="I397" s="129"/>
      <c r="J397" s="129"/>
      <c r="K397" s="129"/>
      <c r="L397" s="129"/>
      <c r="M397" s="129"/>
      <c r="N397" s="129"/>
      <c r="O397" s="129"/>
      <c r="P397" s="129"/>
      <c r="Q397" s="129"/>
      <c r="R397" s="129"/>
      <c r="S397" s="129"/>
      <c r="T397" s="129"/>
      <c r="U397" s="129"/>
      <c r="V397" s="129"/>
      <c r="W397" s="129"/>
      <c r="X397" s="129"/>
      <c r="Y397" s="129"/>
    </row>
    <row r="398" spans="1:25" s="127" customFormat="1" ht="12.75" x14ac:dyDescent="0.35">
      <c r="A398" s="128" t="s">
        <v>479</v>
      </c>
      <c r="B398" s="128"/>
      <c r="C398" s="128"/>
      <c r="D398" s="128"/>
      <c r="E398" s="128"/>
      <c r="F398" s="128"/>
      <c r="G398" s="129"/>
      <c r="H398" s="129"/>
      <c r="I398" s="129"/>
      <c r="J398" s="129"/>
      <c r="K398" s="129"/>
      <c r="L398" s="129"/>
      <c r="M398" s="129"/>
      <c r="N398" s="129"/>
      <c r="O398" s="129"/>
      <c r="P398" s="129"/>
      <c r="Q398" s="129"/>
      <c r="R398" s="129"/>
      <c r="S398" s="129"/>
      <c r="T398" s="129"/>
      <c r="U398" s="129"/>
      <c r="V398" s="129"/>
      <c r="W398" s="129"/>
      <c r="X398" s="129"/>
      <c r="Y398" s="129"/>
    </row>
    <row r="399" spans="1:25" s="127" customFormat="1" ht="12.75" x14ac:dyDescent="0.35">
      <c r="A399" s="128" t="s">
        <v>480</v>
      </c>
      <c r="B399" s="128"/>
      <c r="C399" s="128"/>
      <c r="D399" s="128"/>
      <c r="E399" s="128"/>
      <c r="F399" s="128"/>
      <c r="G399" s="129"/>
      <c r="H399" s="129"/>
      <c r="I399" s="129"/>
      <c r="J399" s="129"/>
      <c r="K399" s="129"/>
      <c r="L399" s="129"/>
      <c r="M399" s="129"/>
      <c r="N399" s="129"/>
      <c r="O399" s="129"/>
      <c r="P399" s="129"/>
      <c r="Q399" s="129"/>
      <c r="R399" s="129"/>
      <c r="S399" s="129"/>
      <c r="T399" s="129"/>
      <c r="U399" s="129"/>
      <c r="V399" s="129"/>
      <c r="W399" s="129"/>
      <c r="X399" s="129"/>
      <c r="Y399" s="129"/>
    </row>
    <row r="400" spans="1:25" s="127" customFormat="1" ht="12.75" x14ac:dyDescent="0.35">
      <c r="A400" s="128" t="s">
        <v>481</v>
      </c>
      <c r="B400" s="128"/>
      <c r="C400" s="128"/>
      <c r="D400" s="128"/>
      <c r="E400" s="128"/>
      <c r="F400" s="128"/>
      <c r="G400" s="125"/>
      <c r="H400" s="129"/>
      <c r="I400" s="129"/>
      <c r="J400" s="129"/>
      <c r="K400" s="129"/>
      <c r="L400" s="129"/>
      <c r="M400" s="129"/>
      <c r="N400" s="129"/>
      <c r="O400" s="129"/>
      <c r="P400" s="129"/>
      <c r="Q400" s="129"/>
      <c r="R400" s="129"/>
      <c r="S400" s="129"/>
      <c r="T400" s="129"/>
      <c r="U400" s="129"/>
      <c r="V400" s="129"/>
      <c r="W400" s="129"/>
      <c r="X400" s="129"/>
      <c r="Y400" s="129"/>
    </row>
    <row r="401" spans="1:25" s="127" customFormat="1" ht="12.75" x14ac:dyDescent="0.35">
      <c r="A401" s="128" t="s">
        <v>482</v>
      </c>
      <c r="B401" s="128"/>
      <c r="C401" s="128"/>
      <c r="D401" s="128"/>
      <c r="E401" s="128"/>
      <c r="F401" s="128"/>
      <c r="G401" s="129"/>
      <c r="H401" s="129"/>
      <c r="I401" s="129"/>
      <c r="J401" s="129"/>
      <c r="K401" s="129"/>
      <c r="L401" s="129"/>
      <c r="M401" s="129"/>
      <c r="N401" s="129"/>
      <c r="O401" s="129"/>
      <c r="P401" s="129"/>
      <c r="Q401" s="129"/>
      <c r="R401" s="129"/>
      <c r="S401" s="129"/>
      <c r="T401" s="129"/>
      <c r="U401" s="129"/>
      <c r="V401" s="129"/>
      <c r="W401" s="129"/>
      <c r="X401" s="129"/>
      <c r="Y401" s="129"/>
    </row>
    <row r="402" spans="1:25" s="127" customFormat="1" ht="12.75" x14ac:dyDescent="0.35">
      <c r="A402" s="128" t="s">
        <v>483</v>
      </c>
      <c r="B402" s="128"/>
      <c r="C402" s="128"/>
      <c r="D402" s="128"/>
      <c r="E402" s="128"/>
      <c r="F402" s="128"/>
      <c r="G402" s="129"/>
      <c r="H402" s="129"/>
      <c r="I402" s="129"/>
      <c r="J402" s="129"/>
      <c r="K402" s="129"/>
      <c r="L402" s="129"/>
      <c r="M402" s="129"/>
      <c r="N402" s="129"/>
      <c r="O402" s="129"/>
      <c r="P402" s="129"/>
      <c r="Q402" s="129"/>
      <c r="R402" s="129"/>
      <c r="S402" s="129"/>
      <c r="T402" s="129"/>
      <c r="U402" s="129"/>
      <c r="V402" s="129"/>
      <c r="W402" s="129"/>
      <c r="X402" s="129"/>
      <c r="Y402" s="129"/>
    </row>
    <row r="403" spans="1:25" s="127" customFormat="1" ht="12.75" x14ac:dyDescent="0.35">
      <c r="A403" s="128" t="s">
        <v>484</v>
      </c>
      <c r="B403" s="128"/>
      <c r="C403" s="128"/>
      <c r="D403" s="128"/>
      <c r="E403" s="128"/>
      <c r="F403" s="128"/>
      <c r="G403" s="129"/>
      <c r="H403" s="129"/>
      <c r="I403" s="129"/>
      <c r="J403" s="129"/>
      <c r="K403" s="129"/>
      <c r="L403" s="129"/>
      <c r="M403" s="129"/>
      <c r="N403" s="129"/>
      <c r="O403" s="129"/>
      <c r="P403" s="129"/>
      <c r="Q403" s="129"/>
      <c r="R403" s="129"/>
      <c r="S403" s="129"/>
      <c r="T403" s="129"/>
      <c r="U403" s="129"/>
      <c r="V403" s="129"/>
      <c r="W403" s="129"/>
      <c r="X403" s="129"/>
      <c r="Y403" s="129"/>
    </row>
    <row r="404" spans="1:25" s="127" customFormat="1" ht="12.75" x14ac:dyDescent="0.35">
      <c r="A404" s="128" t="s">
        <v>485</v>
      </c>
      <c r="B404" s="128"/>
      <c r="C404" s="128"/>
      <c r="D404" s="128"/>
      <c r="E404" s="128"/>
      <c r="F404" s="128"/>
      <c r="G404" s="129"/>
      <c r="H404" s="129"/>
      <c r="I404" s="129"/>
      <c r="J404" s="129"/>
      <c r="K404" s="129"/>
      <c r="L404" s="129"/>
      <c r="M404" s="129"/>
      <c r="N404" s="129"/>
      <c r="O404" s="129"/>
      <c r="P404" s="129"/>
      <c r="Q404" s="129"/>
      <c r="R404" s="129"/>
      <c r="S404" s="129"/>
      <c r="T404" s="129"/>
      <c r="U404" s="129"/>
      <c r="V404" s="129"/>
      <c r="W404" s="129"/>
      <c r="X404" s="129"/>
      <c r="Y404" s="129"/>
    </row>
    <row r="405" spans="1:25" s="127" customFormat="1" ht="12.75" x14ac:dyDescent="0.35">
      <c r="A405" s="128" t="s">
        <v>486</v>
      </c>
      <c r="B405" s="128"/>
      <c r="C405" s="128"/>
      <c r="D405" s="128"/>
      <c r="E405" s="128"/>
      <c r="F405" s="128"/>
      <c r="G405" s="129"/>
      <c r="H405" s="129"/>
      <c r="I405" s="129"/>
      <c r="J405" s="129"/>
      <c r="K405" s="129"/>
      <c r="L405" s="129"/>
      <c r="M405" s="129"/>
      <c r="N405" s="129"/>
      <c r="O405" s="129"/>
      <c r="P405" s="129"/>
      <c r="Q405" s="129"/>
      <c r="R405" s="129"/>
      <c r="S405" s="129"/>
      <c r="T405" s="129"/>
      <c r="U405" s="129"/>
      <c r="V405" s="129"/>
      <c r="W405" s="129"/>
      <c r="X405" s="129"/>
      <c r="Y405" s="129"/>
    </row>
    <row r="406" spans="1:25" s="127" customFormat="1" ht="12.75" x14ac:dyDescent="0.35">
      <c r="A406" s="128" t="s">
        <v>487</v>
      </c>
      <c r="B406" s="128"/>
      <c r="C406" s="128"/>
      <c r="D406" s="128"/>
      <c r="E406" s="128"/>
      <c r="F406" s="128"/>
      <c r="G406" s="129"/>
      <c r="H406" s="129"/>
      <c r="I406" s="129"/>
      <c r="J406" s="129"/>
      <c r="K406" s="129"/>
      <c r="L406" s="129"/>
      <c r="M406" s="129"/>
      <c r="N406" s="129"/>
      <c r="O406" s="129"/>
      <c r="P406" s="129"/>
      <c r="Q406" s="129"/>
      <c r="R406" s="129"/>
      <c r="S406" s="129"/>
      <c r="T406" s="129"/>
      <c r="U406" s="129"/>
      <c r="V406" s="129"/>
      <c r="W406" s="129"/>
      <c r="X406" s="129"/>
      <c r="Y406" s="129"/>
    </row>
    <row r="407" spans="1:25" s="127" customFormat="1" ht="12.75" x14ac:dyDescent="0.35">
      <c r="A407" s="128" t="s">
        <v>488</v>
      </c>
      <c r="B407" s="128"/>
      <c r="C407" s="128"/>
      <c r="D407" s="128"/>
      <c r="E407" s="128"/>
      <c r="F407" s="128"/>
      <c r="G407" s="129"/>
      <c r="H407" s="129"/>
      <c r="I407" s="129"/>
      <c r="J407" s="129"/>
      <c r="K407" s="129"/>
      <c r="L407" s="129"/>
      <c r="M407" s="129"/>
      <c r="N407" s="129"/>
      <c r="O407" s="129"/>
      <c r="P407" s="129"/>
      <c r="Q407" s="129"/>
      <c r="R407" s="129"/>
      <c r="S407" s="129"/>
      <c r="T407" s="129"/>
      <c r="U407" s="129"/>
      <c r="V407" s="129"/>
      <c r="W407" s="129"/>
      <c r="X407" s="129"/>
      <c r="Y407" s="129"/>
    </row>
    <row r="408" spans="1:25" s="127" customFormat="1" ht="12.75" x14ac:dyDescent="0.35">
      <c r="A408" s="131" t="s">
        <v>489</v>
      </c>
      <c r="B408" s="128"/>
      <c r="C408" s="128"/>
      <c r="D408" s="128"/>
      <c r="E408" s="128"/>
      <c r="F408" s="128"/>
      <c r="G408" s="129"/>
      <c r="H408" s="129"/>
      <c r="I408" s="129"/>
      <c r="J408" s="129"/>
      <c r="K408" s="129"/>
      <c r="L408" s="129"/>
      <c r="M408" s="129"/>
      <c r="N408" s="129"/>
      <c r="O408" s="129"/>
      <c r="P408" s="129"/>
      <c r="Q408" s="129"/>
      <c r="R408" s="129"/>
      <c r="S408" s="129"/>
      <c r="T408" s="129"/>
      <c r="U408" s="129"/>
      <c r="V408" s="129"/>
      <c r="W408" s="129"/>
      <c r="X408" s="129"/>
      <c r="Y408" s="129"/>
    </row>
    <row r="409" spans="1:25" s="127" customFormat="1" ht="12.75" x14ac:dyDescent="0.35">
      <c r="A409" s="131" t="s">
        <v>490</v>
      </c>
      <c r="B409" s="128"/>
      <c r="C409" s="128"/>
      <c r="D409" s="128"/>
      <c r="E409" s="128"/>
      <c r="F409" s="128"/>
      <c r="G409" s="129"/>
      <c r="H409" s="129"/>
      <c r="I409" s="129"/>
      <c r="J409" s="129"/>
      <c r="K409" s="129"/>
      <c r="L409" s="129"/>
      <c r="M409" s="129"/>
      <c r="N409" s="129"/>
      <c r="O409" s="129"/>
      <c r="P409" s="129"/>
      <c r="Q409" s="129"/>
      <c r="R409" s="129"/>
      <c r="S409" s="129"/>
      <c r="T409" s="129"/>
      <c r="U409" s="129"/>
      <c r="V409" s="129"/>
      <c r="W409" s="129"/>
      <c r="X409" s="129"/>
      <c r="Y409" s="129"/>
    </row>
    <row r="410" spans="1:25" s="127" customFormat="1" ht="12.75" x14ac:dyDescent="0.35">
      <c r="A410" s="128" t="s">
        <v>491</v>
      </c>
      <c r="B410" s="128"/>
      <c r="C410" s="128"/>
      <c r="D410" s="128"/>
      <c r="E410" s="128"/>
      <c r="F410" s="128"/>
      <c r="G410" s="129"/>
      <c r="H410" s="129"/>
      <c r="I410" s="129"/>
      <c r="J410" s="129"/>
      <c r="K410" s="129"/>
      <c r="L410" s="129"/>
      <c r="M410" s="129"/>
      <c r="N410" s="129"/>
      <c r="O410" s="129"/>
      <c r="P410" s="129"/>
      <c r="Q410" s="129"/>
      <c r="R410" s="129"/>
      <c r="S410" s="129"/>
      <c r="T410" s="129"/>
      <c r="U410" s="129"/>
      <c r="V410" s="129"/>
      <c r="W410" s="129"/>
      <c r="X410" s="129"/>
      <c r="Y410" s="129"/>
    </row>
    <row r="411" spans="1:25" s="127" customFormat="1" ht="12.75" x14ac:dyDescent="0.35">
      <c r="A411" s="128" t="s">
        <v>492</v>
      </c>
      <c r="B411" s="128"/>
      <c r="C411" s="128"/>
      <c r="D411" s="128"/>
      <c r="E411" s="128"/>
      <c r="F411" s="128"/>
      <c r="G411" s="129"/>
      <c r="H411" s="129"/>
      <c r="I411" s="129"/>
      <c r="J411" s="129"/>
      <c r="K411" s="129"/>
      <c r="L411" s="129"/>
      <c r="M411" s="129"/>
      <c r="N411" s="129"/>
      <c r="O411" s="129"/>
      <c r="P411" s="129"/>
      <c r="Q411" s="129"/>
      <c r="R411" s="129"/>
      <c r="S411" s="129"/>
      <c r="T411" s="129"/>
      <c r="U411" s="129"/>
      <c r="V411" s="129"/>
      <c r="W411" s="129"/>
      <c r="X411" s="129"/>
      <c r="Y411" s="129"/>
    </row>
    <row r="412" spans="1:25" x14ac:dyDescent="0.45">
      <c r="B412" s="118"/>
      <c r="C412" s="118"/>
      <c r="D412" s="118"/>
      <c r="E412" s="118"/>
      <c r="F412" s="118"/>
    </row>
    <row r="413" spans="1:25" x14ac:dyDescent="0.45">
      <c r="B413" s="118"/>
      <c r="C413" s="118"/>
      <c r="D413" s="118"/>
      <c r="E413" s="118"/>
      <c r="F413" s="118"/>
      <c r="G413" s="11"/>
      <c r="H413" s="11"/>
      <c r="I413" s="11"/>
      <c r="J413" s="11"/>
      <c r="K413" s="11"/>
      <c r="L413" s="11"/>
      <c r="M413" s="11"/>
      <c r="N413" s="11"/>
      <c r="O413" s="11"/>
      <c r="P413" s="11"/>
      <c r="Q413" s="11"/>
      <c r="R413" s="11"/>
      <c r="S413" s="11"/>
      <c r="T413" s="11"/>
      <c r="U413" s="11"/>
      <c r="V413" s="11"/>
      <c r="W413" s="11"/>
      <c r="X413" s="11"/>
      <c r="Y413" s="11"/>
    </row>
    <row r="414" spans="1:25" x14ac:dyDescent="0.45">
      <c r="B414" s="118"/>
      <c r="C414" s="118"/>
      <c r="D414" s="118"/>
      <c r="E414" s="118"/>
      <c r="F414" s="118"/>
      <c r="G414" s="11"/>
      <c r="H414" s="11"/>
      <c r="I414" s="11"/>
      <c r="J414" s="11"/>
      <c r="K414" s="11"/>
      <c r="L414" s="11"/>
      <c r="M414" s="11"/>
      <c r="N414" s="11"/>
      <c r="O414" s="11"/>
      <c r="P414" s="11"/>
      <c r="Q414" s="11"/>
      <c r="R414" s="11"/>
      <c r="S414" s="11"/>
      <c r="T414" s="11"/>
      <c r="U414" s="11"/>
      <c r="V414" s="11"/>
      <c r="W414" s="11"/>
      <c r="X414" s="11"/>
      <c r="Y414" s="11"/>
    </row>
    <row r="415" spans="1:25" x14ac:dyDescent="0.45">
      <c r="A415" s="1360"/>
      <c r="B415" s="118"/>
      <c r="C415" s="118"/>
      <c r="D415" s="118"/>
      <c r="E415" s="118"/>
      <c r="F415" s="118"/>
      <c r="G415" s="11"/>
      <c r="H415" s="11"/>
      <c r="I415" s="11"/>
      <c r="J415" s="11"/>
      <c r="K415" s="11"/>
      <c r="L415" s="11"/>
      <c r="M415" s="11"/>
      <c r="N415" s="11"/>
      <c r="O415" s="11"/>
      <c r="P415" s="11"/>
      <c r="Q415" s="11"/>
      <c r="R415" s="11"/>
      <c r="S415" s="11"/>
      <c r="T415" s="11"/>
      <c r="U415" s="11"/>
      <c r="V415" s="11"/>
      <c r="W415" s="11"/>
      <c r="X415" s="11"/>
      <c r="Y415" s="11"/>
    </row>
    <row r="416" spans="1:25" x14ac:dyDescent="0.45">
      <c r="A416" s="118"/>
      <c r="B416" s="118"/>
      <c r="C416" s="118"/>
      <c r="D416" s="118"/>
      <c r="E416" s="118"/>
      <c r="F416" s="118"/>
      <c r="G416" s="11"/>
      <c r="H416" s="11"/>
      <c r="I416" s="11"/>
      <c r="J416" s="11"/>
      <c r="K416" s="11"/>
      <c r="L416" s="11"/>
      <c r="M416" s="11"/>
      <c r="N416" s="11"/>
      <c r="O416" s="11"/>
      <c r="P416" s="11"/>
      <c r="Q416" s="11"/>
      <c r="R416" s="11"/>
      <c r="S416" s="11"/>
      <c r="T416" s="11"/>
      <c r="U416" s="11"/>
      <c r="V416" s="11"/>
      <c r="W416" s="11"/>
      <c r="X416" s="11"/>
      <c r="Y416" s="11"/>
    </row>
    <row r="417" spans="1:6" s="11" customFormat="1" x14ac:dyDescent="0.45">
      <c r="A417" s="10"/>
      <c r="B417" s="118"/>
      <c r="C417" s="118"/>
      <c r="D417" s="118"/>
      <c r="E417" s="118"/>
      <c r="F417" s="118"/>
    </row>
    <row r="418" spans="1:6" s="11" customFormat="1" x14ac:dyDescent="0.45">
      <c r="A418" s="10"/>
      <c r="B418" s="118"/>
      <c r="C418" s="118"/>
      <c r="D418" s="118"/>
      <c r="E418" s="118"/>
      <c r="F418" s="118"/>
    </row>
    <row r="419" spans="1:6" s="11" customFormat="1" x14ac:dyDescent="0.45">
      <c r="A419" s="10"/>
      <c r="B419" s="118"/>
      <c r="C419" s="118"/>
      <c r="D419" s="118"/>
      <c r="E419" s="118"/>
      <c r="F419" s="118"/>
    </row>
    <row r="420" spans="1:6" s="11" customFormat="1" x14ac:dyDescent="0.45">
      <c r="A420" s="10"/>
      <c r="B420" s="118"/>
      <c r="C420" s="118"/>
      <c r="D420" s="118"/>
      <c r="E420" s="118"/>
      <c r="F420" s="118"/>
    </row>
    <row r="421" spans="1:6" s="11" customFormat="1" x14ac:dyDescent="0.45">
      <c r="A421" s="10"/>
      <c r="B421" s="118"/>
      <c r="C421" s="118"/>
      <c r="D421" s="118"/>
      <c r="E421" s="118"/>
      <c r="F421" s="118"/>
    </row>
    <row r="422" spans="1:6" s="11" customFormat="1" x14ac:dyDescent="0.45">
      <c r="A422" s="10"/>
      <c r="B422" s="118"/>
      <c r="C422" s="118"/>
      <c r="D422" s="118"/>
      <c r="E422" s="118"/>
      <c r="F422" s="118"/>
    </row>
    <row r="423" spans="1:6" s="11" customFormat="1" x14ac:dyDescent="0.45">
      <c r="A423" s="10"/>
      <c r="B423" s="118"/>
      <c r="C423" s="118"/>
      <c r="D423" s="118"/>
      <c r="E423" s="118"/>
      <c r="F423" s="118"/>
    </row>
    <row r="424" spans="1:6" s="11" customFormat="1" x14ac:dyDescent="0.45">
      <c r="A424" s="10"/>
      <c r="B424" s="118"/>
      <c r="C424" s="118"/>
      <c r="D424" s="118"/>
      <c r="E424" s="118"/>
      <c r="F424" s="118"/>
    </row>
    <row r="425" spans="1:6" s="11" customFormat="1" x14ac:dyDescent="0.45">
      <c r="A425" s="10"/>
      <c r="B425" s="118"/>
      <c r="C425" s="118"/>
      <c r="D425" s="118"/>
      <c r="E425" s="118"/>
      <c r="F425" s="118"/>
    </row>
    <row r="426" spans="1:6" s="11" customFormat="1" x14ac:dyDescent="0.45">
      <c r="A426" s="10"/>
      <c r="B426" s="118"/>
      <c r="C426" s="118"/>
      <c r="D426" s="118"/>
      <c r="E426" s="118"/>
      <c r="F426" s="118"/>
    </row>
    <row r="427" spans="1:6" s="11" customFormat="1" x14ac:dyDescent="0.45">
      <c r="A427" s="10"/>
      <c r="B427" s="118"/>
      <c r="C427" s="118"/>
      <c r="D427" s="118"/>
      <c r="E427" s="118"/>
      <c r="F427" s="118"/>
    </row>
    <row r="428" spans="1:6" s="11" customFormat="1" x14ac:dyDescent="0.45">
      <c r="A428" s="10"/>
      <c r="B428" s="118"/>
      <c r="C428" s="118"/>
      <c r="D428" s="118"/>
      <c r="E428" s="118"/>
      <c r="F428" s="118"/>
    </row>
    <row r="429" spans="1:6" s="11" customFormat="1" x14ac:dyDescent="0.45">
      <c r="B429" s="118"/>
      <c r="C429" s="118"/>
      <c r="D429" s="118"/>
      <c r="E429" s="118"/>
      <c r="F429" s="118"/>
    </row>
    <row r="430" spans="1:6" s="11" customFormat="1" x14ac:dyDescent="0.45">
      <c r="B430" s="118"/>
      <c r="C430" s="118"/>
      <c r="D430" s="118"/>
      <c r="E430" s="118"/>
      <c r="F430" s="118"/>
    </row>
    <row r="431" spans="1:6" s="11" customFormat="1" x14ac:dyDescent="0.45">
      <c r="B431" s="118"/>
      <c r="C431" s="118"/>
      <c r="D431" s="118"/>
      <c r="E431" s="118"/>
      <c r="F431" s="118"/>
    </row>
    <row r="432" spans="1:6" s="11" customFormat="1" x14ac:dyDescent="0.45">
      <c r="B432" s="118"/>
      <c r="C432" s="118"/>
      <c r="D432" s="118"/>
      <c r="E432" s="118"/>
      <c r="F432" s="118"/>
    </row>
    <row r="433" spans="2:6" s="11" customFormat="1" x14ac:dyDescent="0.45">
      <c r="B433" s="118"/>
      <c r="C433" s="118"/>
      <c r="D433" s="118"/>
      <c r="E433" s="118"/>
      <c r="F433" s="118"/>
    </row>
    <row r="434" spans="2:6" s="11" customFormat="1" x14ac:dyDescent="0.45">
      <c r="B434" s="118"/>
      <c r="C434" s="118"/>
      <c r="D434" s="118"/>
      <c r="E434" s="118"/>
      <c r="F434" s="118"/>
    </row>
    <row r="435" spans="2:6" s="11" customFormat="1" x14ac:dyDescent="0.45">
      <c r="B435" s="118"/>
      <c r="C435" s="118"/>
      <c r="D435" s="118"/>
      <c r="E435" s="118"/>
      <c r="F435" s="118"/>
    </row>
    <row r="436" spans="2:6" s="11" customFormat="1" x14ac:dyDescent="0.45">
      <c r="B436" s="118"/>
      <c r="C436" s="118"/>
      <c r="D436" s="118"/>
      <c r="E436" s="118"/>
      <c r="F436" s="118"/>
    </row>
    <row r="437" spans="2:6" s="11" customFormat="1" x14ac:dyDescent="0.45">
      <c r="B437" s="118"/>
      <c r="C437" s="118"/>
      <c r="D437" s="118"/>
      <c r="E437" s="118"/>
      <c r="F437" s="118"/>
    </row>
    <row r="438" spans="2:6" s="11" customFormat="1" x14ac:dyDescent="0.45">
      <c r="B438" s="118"/>
      <c r="C438" s="118"/>
      <c r="D438" s="118"/>
      <c r="E438" s="118"/>
      <c r="F438" s="118"/>
    </row>
    <row r="439" spans="2:6" s="11" customFormat="1" x14ac:dyDescent="0.45">
      <c r="B439" s="118"/>
      <c r="C439" s="118"/>
      <c r="D439" s="118"/>
      <c r="E439" s="118"/>
      <c r="F439" s="118"/>
    </row>
    <row r="440" spans="2:6" s="11" customFormat="1" x14ac:dyDescent="0.45">
      <c r="B440" s="118"/>
      <c r="C440" s="118"/>
      <c r="D440" s="118"/>
      <c r="E440" s="118"/>
      <c r="F440" s="118"/>
    </row>
    <row r="441" spans="2:6" s="11" customFormat="1" x14ac:dyDescent="0.45">
      <c r="B441" s="118"/>
      <c r="C441" s="118"/>
      <c r="D441" s="118"/>
      <c r="E441" s="118"/>
      <c r="F441" s="118"/>
    </row>
    <row r="442" spans="2:6" s="11" customFormat="1" x14ac:dyDescent="0.45">
      <c r="B442" s="118"/>
      <c r="C442" s="118"/>
      <c r="D442" s="118"/>
      <c r="E442" s="118"/>
      <c r="F442" s="118"/>
    </row>
    <row r="443" spans="2:6" s="11" customFormat="1" x14ac:dyDescent="0.45">
      <c r="B443" s="118"/>
      <c r="C443" s="118"/>
      <c r="D443" s="118"/>
      <c r="E443" s="118"/>
      <c r="F443" s="118"/>
    </row>
    <row r="444" spans="2:6" s="11" customFormat="1" x14ac:dyDescent="0.45">
      <c r="B444" s="118"/>
      <c r="C444" s="118"/>
      <c r="D444" s="118"/>
      <c r="E444" s="118"/>
      <c r="F444" s="118"/>
    </row>
    <row r="445" spans="2:6" s="11" customFormat="1" x14ac:dyDescent="0.45">
      <c r="B445" s="118"/>
      <c r="C445" s="118"/>
      <c r="D445" s="118"/>
      <c r="E445" s="118"/>
      <c r="F445" s="118"/>
    </row>
    <row r="446" spans="2:6" s="11" customFormat="1" x14ac:dyDescent="0.45">
      <c r="B446" s="118"/>
      <c r="C446" s="118"/>
      <c r="D446" s="118"/>
      <c r="E446" s="118"/>
      <c r="F446" s="118"/>
    </row>
    <row r="447" spans="2:6" s="11" customFormat="1" x14ac:dyDescent="0.45">
      <c r="B447" s="118"/>
      <c r="C447" s="118"/>
      <c r="D447" s="118"/>
      <c r="E447" s="118"/>
      <c r="F447" s="118"/>
    </row>
    <row r="448" spans="2:6" s="11" customFormat="1" x14ac:dyDescent="0.45">
      <c r="B448" s="118"/>
      <c r="C448" s="118"/>
      <c r="D448" s="118"/>
      <c r="E448" s="118"/>
      <c r="F448" s="118"/>
    </row>
    <row r="449" spans="2:6" s="11" customFormat="1" x14ac:dyDescent="0.45">
      <c r="B449" s="118"/>
      <c r="C449" s="118"/>
      <c r="D449" s="118"/>
      <c r="E449" s="118"/>
      <c r="F449" s="118"/>
    </row>
    <row r="450" spans="2:6" s="11" customFormat="1" x14ac:dyDescent="0.45">
      <c r="B450" s="118"/>
      <c r="C450" s="118"/>
      <c r="D450" s="118"/>
      <c r="E450" s="118"/>
      <c r="F450" s="118"/>
    </row>
    <row r="451" spans="2:6" s="11" customFormat="1" x14ac:dyDescent="0.45">
      <c r="B451" s="118"/>
      <c r="C451" s="118"/>
      <c r="D451" s="118"/>
      <c r="E451" s="118"/>
      <c r="F451" s="118"/>
    </row>
    <row r="452" spans="2:6" s="11" customFormat="1" x14ac:dyDescent="0.45">
      <c r="B452" s="118"/>
      <c r="C452" s="118"/>
      <c r="D452" s="118"/>
      <c r="E452" s="118"/>
      <c r="F452" s="118"/>
    </row>
    <row r="453" spans="2:6" s="11" customFormat="1" x14ac:dyDescent="0.45">
      <c r="B453" s="118"/>
      <c r="C453" s="118"/>
      <c r="D453" s="118"/>
      <c r="E453" s="118"/>
      <c r="F453" s="118"/>
    </row>
    <row r="454" spans="2:6" s="11" customFormat="1" x14ac:dyDescent="0.45">
      <c r="B454" s="118"/>
      <c r="C454" s="118"/>
      <c r="D454" s="118"/>
      <c r="E454" s="118"/>
      <c r="F454" s="118"/>
    </row>
    <row r="455" spans="2:6" s="11" customFormat="1" x14ac:dyDescent="0.45">
      <c r="B455" s="118"/>
      <c r="C455" s="118"/>
      <c r="D455" s="118"/>
      <c r="E455" s="118"/>
      <c r="F455" s="118"/>
    </row>
    <row r="456" spans="2:6" s="11" customFormat="1" x14ac:dyDescent="0.45">
      <c r="B456" s="118"/>
      <c r="C456" s="118"/>
      <c r="D456" s="118"/>
      <c r="E456" s="118"/>
      <c r="F456" s="118"/>
    </row>
    <row r="476" spans="2:25" s="11" customFormat="1" x14ac:dyDescent="0.45">
      <c r="B476" s="118"/>
      <c r="C476" s="118"/>
      <c r="D476" s="118"/>
      <c r="E476" s="118"/>
      <c r="F476" s="118"/>
    </row>
    <row r="477" spans="2:25" s="11" customFormat="1" x14ac:dyDescent="0.45">
      <c r="B477" s="118"/>
      <c r="C477" s="118"/>
      <c r="D477" s="118"/>
      <c r="E477" s="118"/>
      <c r="F477" s="118"/>
      <c r="G477" s="135"/>
      <c r="H477" s="135"/>
      <c r="I477" s="135"/>
      <c r="J477" s="135"/>
      <c r="K477" s="135"/>
      <c r="L477" s="135"/>
      <c r="M477" s="135"/>
      <c r="N477" s="135"/>
      <c r="O477" s="135"/>
      <c r="P477" s="135"/>
      <c r="Q477" s="135"/>
      <c r="R477" s="135"/>
      <c r="S477" s="135"/>
      <c r="T477" s="135"/>
      <c r="U477" s="135"/>
      <c r="V477" s="135"/>
      <c r="W477" s="135"/>
      <c r="X477" s="135"/>
      <c r="Y477" s="135"/>
    </row>
    <row r="478" spans="2:25" s="11" customFormat="1" x14ac:dyDescent="0.45">
      <c r="B478" s="118"/>
      <c r="C478" s="118"/>
      <c r="D478" s="118"/>
      <c r="E478" s="118"/>
      <c r="F478" s="118"/>
      <c r="G478" s="135"/>
      <c r="H478" s="135"/>
      <c r="I478" s="135"/>
      <c r="J478" s="135"/>
      <c r="K478" s="135"/>
      <c r="L478" s="135"/>
      <c r="M478" s="135"/>
      <c r="N478" s="135"/>
      <c r="O478" s="135"/>
      <c r="P478" s="135"/>
      <c r="Q478" s="135"/>
      <c r="R478" s="135"/>
      <c r="S478" s="135"/>
      <c r="T478" s="135"/>
      <c r="U478" s="135"/>
      <c r="V478" s="135"/>
      <c r="W478" s="135"/>
      <c r="X478" s="135"/>
      <c r="Y478" s="135"/>
    </row>
    <row r="479" spans="2:25" s="11" customFormat="1" x14ac:dyDescent="0.45">
      <c r="B479" s="118"/>
      <c r="C479" s="118"/>
      <c r="D479" s="118"/>
      <c r="E479" s="118"/>
      <c r="F479" s="118"/>
      <c r="G479" s="135"/>
      <c r="H479" s="135"/>
      <c r="I479" s="118"/>
      <c r="J479" s="135"/>
      <c r="K479" s="118"/>
      <c r="L479" s="135"/>
      <c r="M479" s="43"/>
      <c r="N479" s="135"/>
      <c r="O479" s="135"/>
      <c r="P479" s="135"/>
      <c r="Q479" s="135"/>
      <c r="R479" s="135"/>
      <c r="S479" s="135"/>
      <c r="T479" s="135"/>
      <c r="U479" s="135"/>
      <c r="V479" s="135"/>
      <c r="W479" s="135"/>
      <c r="X479" s="135"/>
      <c r="Y479" s="135"/>
    </row>
    <row r="480" spans="2:25" s="11" customFormat="1" x14ac:dyDescent="0.45">
      <c r="B480" s="118"/>
      <c r="C480" s="118"/>
      <c r="D480" s="118"/>
      <c r="E480" s="118"/>
      <c r="F480" s="118"/>
      <c r="G480" s="135"/>
      <c r="H480" s="118"/>
      <c r="I480" s="118"/>
      <c r="J480" s="118"/>
      <c r="K480" s="118"/>
      <c r="L480" s="118"/>
      <c r="M480" s="1361"/>
      <c r="N480" s="43"/>
      <c r="O480" s="135"/>
      <c r="P480" s="43"/>
      <c r="Q480" s="135"/>
      <c r="R480" s="135"/>
      <c r="S480" s="135"/>
      <c r="T480" s="135"/>
      <c r="U480" s="135"/>
      <c r="V480" s="135"/>
      <c r="W480" s="135"/>
      <c r="X480" s="135"/>
      <c r="Y480" s="135"/>
    </row>
    <row r="481" spans="2:31" s="11" customFormat="1" ht="12.75" customHeight="1" x14ac:dyDescent="0.45">
      <c r="B481" s="135"/>
      <c r="C481" s="135"/>
      <c r="D481" s="135"/>
      <c r="E481" s="135"/>
      <c r="F481" s="135"/>
      <c r="G481" s="135"/>
      <c r="H481" s="118"/>
      <c r="I481" s="135"/>
      <c r="J481" s="118"/>
      <c r="K481" s="1361"/>
      <c r="L481" s="118"/>
      <c r="M481" s="1361"/>
      <c r="N481" s="1361"/>
      <c r="O481" s="135"/>
      <c r="P481" s="1361"/>
      <c r="Q481" s="135"/>
      <c r="R481" s="135"/>
      <c r="S481" s="135"/>
      <c r="T481" s="135"/>
      <c r="U481" s="135"/>
      <c r="V481" s="135"/>
      <c r="W481" s="135"/>
      <c r="X481" s="135"/>
      <c r="Y481" s="135"/>
      <c r="AE481" s="43"/>
    </row>
    <row r="482" spans="2:31" s="11" customFormat="1" x14ac:dyDescent="0.45">
      <c r="B482" s="118"/>
      <c r="C482" s="118"/>
      <c r="D482" s="118"/>
      <c r="E482" s="118"/>
      <c r="F482" s="118"/>
      <c r="G482" s="118"/>
      <c r="H482" s="135"/>
      <c r="I482" s="135"/>
      <c r="J482" s="1361"/>
      <c r="K482" s="135"/>
      <c r="L482" s="1361"/>
      <c r="M482" s="135"/>
      <c r="N482" s="1361"/>
      <c r="O482" s="43"/>
      <c r="P482" s="1361"/>
      <c r="Q482" s="43"/>
      <c r="R482" s="43"/>
      <c r="S482" s="43"/>
      <c r="T482" s="43"/>
      <c r="U482" s="43"/>
      <c r="V482" s="43"/>
      <c r="W482" s="43"/>
      <c r="X482" s="43"/>
      <c r="Y482" s="43"/>
      <c r="Z482" s="43"/>
      <c r="AA482" s="43"/>
      <c r="AB482" s="43"/>
      <c r="AC482" s="43"/>
      <c r="AD482" s="43"/>
    </row>
    <row r="483" spans="2:31" s="11" customFormat="1" x14ac:dyDescent="0.45">
      <c r="B483" s="118"/>
      <c r="C483" s="118"/>
      <c r="D483" s="118"/>
      <c r="E483" s="118"/>
      <c r="F483" s="118"/>
      <c r="G483" s="118"/>
      <c r="H483" s="135"/>
      <c r="I483" s="135"/>
      <c r="J483" s="135"/>
      <c r="K483" s="135"/>
      <c r="L483" s="135"/>
      <c r="M483" s="135"/>
      <c r="N483" s="135"/>
      <c r="O483" s="1361"/>
      <c r="P483" s="135"/>
      <c r="Q483" s="135"/>
      <c r="R483" s="135"/>
      <c r="S483" s="135"/>
      <c r="T483" s="135"/>
      <c r="U483" s="135"/>
      <c r="V483" s="135"/>
      <c r="W483" s="135"/>
      <c r="X483" s="135"/>
      <c r="Y483" s="135"/>
    </row>
    <row r="484" spans="2:31" s="11" customFormat="1" x14ac:dyDescent="0.45">
      <c r="B484" s="135"/>
      <c r="C484" s="135"/>
      <c r="D484" s="135"/>
      <c r="E484" s="135"/>
      <c r="F484" s="135"/>
      <c r="G484" s="135"/>
      <c r="H484" s="135"/>
      <c r="I484" s="135"/>
      <c r="J484" s="135"/>
      <c r="K484" s="135"/>
      <c r="L484" s="135"/>
      <c r="M484" s="135"/>
      <c r="N484" s="135"/>
      <c r="O484" s="1361"/>
      <c r="P484" s="135"/>
      <c r="Q484" s="135"/>
      <c r="R484" s="135"/>
      <c r="S484" s="135"/>
      <c r="T484" s="135"/>
      <c r="U484" s="135"/>
      <c r="V484" s="135"/>
      <c r="W484" s="135"/>
      <c r="X484" s="135"/>
      <c r="Y484" s="135"/>
    </row>
  </sheetData>
  <mergeCells count="155">
    <mergeCell ref="AO6:AV6"/>
    <mergeCell ref="AW6:BB6"/>
    <mergeCell ref="D7:F7"/>
    <mergeCell ref="G7:H7"/>
    <mergeCell ref="J7:K7"/>
    <mergeCell ref="L7:M7"/>
    <mergeCell ref="O7:Q7"/>
    <mergeCell ref="R7:S7"/>
    <mergeCell ref="W7:X7"/>
    <mergeCell ref="AG7:AG9"/>
    <mergeCell ref="C6:Q6"/>
    <mergeCell ref="R6:V6"/>
    <mergeCell ref="W6:AC6"/>
    <mergeCell ref="AX12:AY12"/>
    <mergeCell ref="AX13:AY13"/>
    <mergeCell ref="AX14:AY14"/>
    <mergeCell ref="AX15:AY15"/>
    <mergeCell ref="AX16:AY16"/>
    <mergeCell ref="AX17:AY17"/>
    <mergeCell ref="AO8:AV9"/>
    <mergeCell ref="AW8:BB9"/>
    <mergeCell ref="W9:AC9"/>
    <mergeCell ref="AX10:AY10"/>
    <mergeCell ref="AX11:AY11"/>
    <mergeCell ref="AX24:AY24"/>
    <mergeCell ref="AX25:AY25"/>
    <mergeCell ref="AX26:AY26"/>
    <mergeCell ref="AX27:AY27"/>
    <mergeCell ref="AX28:AY28"/>
    <mergeCell ref="AX29:AY29"/>
    <mergeCell ref="AX18:AY18"/>
    <mergeCell ref="AX19:AY19"/>
    <mergeCell ref="AX20:AY20"/>
    <mergeCell ref="AX21:AY21"/>
    <mergeCell ref="AX22:AY22"/>
    <mergeCell ref="AX23:AY23"/>
    <mergeCell ref="AX36:AY36"/>
    <mergeCell ref="AX37:AY37"/>
    <mergeCell ref="AX38:AY38"/>
    <mergeCell ref="AX39:AY39"/>
    <mergeCell ref="AX40:AY40"/>
    <mergeCell ref="AX41:AY41"/>
    <mergeCell ref="AX30:AY30"/>
    <mergeCell ref="AX31:AY31"/>
    <mergeCell ref="AX32:AY32"/>
    <mergeCell ref="AX33:AY33"/>
    <mergeCell ref="AX34:AY34"/>
    <mergeCell ref="AX35:AY35"/>
    <mergeCell ref="AX48:AY48"/>
    <mergeCell ref="AX49:AY49"/>
    <mergeCell ref="AX50:AY50"/>
    <mergeCell ref="AX51:AY51"/>
    <mergeCell ref="AX52:AY52"/>
    <mergeCell ref="AX53:AY53"/>
    <mergeCell ref="AX42:AY42"/>
    <mergeCell ref="AX43:AY43"/>
    <mergeCell ref="AX44:AY44"/>
    <mergeCell ref="AX45:AY45"/>
    <mergeCell ref="AX46:AY46"/>
    <mergeCell ref="AX47:AY47"/>
    <mergeCell ref="AX60:AY60"/>
    <mergeCell ref="AX61:AY61"/>
    <mergeCell ref="AX62:AY62"/>
    <mergeCell ref="AX63:AY63"/>
    <mergeCell ref="AX64:AY64"/>
    <mergeCell ref="AX65:AY65"/>
    <mergeCell ref="AX54:AY54"/>
    <mergeCell ref="AX55:AY55"/>
    <mergeCell ref="AX56:AY56"/>
    <mergeCell ref="AX57:AY57"/>
    <mergeCell ref="AX58:AY58"/>
    <mergeCell ref="AX59:AY59"/>
    <mergeCell ref="AX72:AY72"/>
    <mergeCell ref="AX73:AY73"/>
    <mergeCell ref="AX74:AY74"/>
    <mergeCell ref="AX75:AY75"/>
    <mergeCell ref="AX76:AY76"/>
    <mergeCell ref="AX77:AY77"/>
    <mergeCell ref="AX66:AY66"/>
    <mergeCell ref="AX67:AY67"/>
    <mergeCell ref="AX68:AY68"/>
    <mergeCell ref="AX69:AY69"/>
    <mergeCell ref="AX70:AY70"/>
    <mergeCell ref="AX71:AY71"/>
    <mergeCell ref="AX84:AY84"/>
    <mergeCell ref="AX85:AY85"/>
    <mergeCell ref="AX86:AY86"/>
    <mergeCell ref="AX87:AY87"/>
    <mergeCell ref="AX88:AY88"/>
    <mergeCell ref="AX89:AY89"/>
    <mergeCell ref="AX78:AY78"/>
    <mergeCell ref="AX79:AY79"/>
    <mergeCell ref="AX80:AY80"/>
    <mergeCell ref="AX81:AY81"/>
    <mergeCell ref="AX82:AY82"/>
    <mergeCell ref="AX83:AY83"/>
    <mergeCell ref="AX96:AY96"/>
    <mergeCell ref="AX97:AY97"/>
    <mergeCell ref="AX98:AY98"/>
    <mergeCell ref="AX99:AY99"/>
    <mergeCell ref="AX100:AY100"/>
    <mergeCell ref="AX101:AY101"/>
    <mergeCell ref="AX90:AY90"/>
    <mergeCell ref="AX91:AY91"/>
    <mergeCell ref="AX92:AY92"/>
    <mergeCell ref="AX93:AY93"/>
    <mergeCell ref="AX94:AY94"/>
    <mergeCell ref="AX95:AY95"/>
    <mergeCell ref="AX108:AY108"/>
    <mergeCell ref="AX109:AY109"/>
    <mergeCell ref="AX110:AY110"/>
    <mergeCell ref="AX111:AY111"/>
    <mergeCell ref="AX112:AY112"/>
    <mergeCell ref="AX113:AY113"/>
    <mergeCell ref="AX102:AY102"/>
    <mergeCell ref="AX103:AY103"/>
    <mergeCell ref="AX104:AY104"/>
    <mergeCell ref="AX105:AY105"/>
    <mergeCell ref="AX106:AY106"/>
    <mergeCell ref="AX107:AY107"/>
    <mergeCell ref="AX120:AY120"/>
    <mergeCell ref="AX121:AY121"/>
    <mergeCell ref="AX122:AY122"/>
    <mergeCell ref="AX123:AY123"/>
    <mergeCell ref="AX124:AY124"/>
    <mergeCell ref="AX125:AY125"/>
    <mergeCell ref="AX114:AY114"/>
    <mergeCell ref="AX115:AY115"/>
    <mergeCell ref="AX116:AY116"/>
    <mergeCell ref="AX117:AY117"/>
    <mergeCell ref="AX118:AY118"/>
    <mergeCell ref="AX119:AY119"/>
    <mergeCell ref="AX132:AY132"/>
    <mergeCell ref="AX133:AY133"/>
    <mergeCell ref="AX134:AY134"/>
    <mergeCell ref="AX135:AY135"/>
    <mergeCell ref="AX136:AY136"/>
    <mergeCell ref="AX137:AY137"/>
    <mergeCell ref="AX126:AY126"/>
    <mergeCell ref="AX127:AY127"/>
    <mergeCell ref="AX128:AY128"/>
    <mergeCell ref="AX129:AY129"/>
    <mergeCell ref="AX130:AY130"/>
    <mergeCell ref="AX131:AY131"/>
    <mergeCell ref="AX144:AY144"/>
    <mergeCell ref="AX145:AY145"/>
    <mergeCell ref="AX146:AY146"/>
    <mergeCell ref="AX147:AY147"/>
    <mergeCell ref="AN262:AR262"/>
    <mergeCell ref="AX138:AY138"/>
    <mergeCell ref="AX139:AY139"/>
    <mergeCell ref="AX140:AY140"/>
    <mergeCell ref="AX141:AY141"/>
    <mergeCell ref="AX142:AY142"/>
    <mergeCell ref="AX143:AY143"/>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B424"/>
  <sheetViews>
    <sheetView zoomScaleNormal="100" workbookViewId="0">
      <pane xSplit="1" ySplit="9" topLeftCell="B139" activePane="bottomRight" state="frozen"/>
      <selection pane="topRight" activeCell="B1" sqref="B1"/>
      <selection pane="bottomLeft" activeCell="A6" sqref="A6"/>
      <selection pane="bottomRight" activeCell="A2" sqref="A2"/>
    </sheetView>
  </sheetViews>
  <sheetFormatPr defaultRowHeight="14.25" x14ac:dyDescent="0.45"/>
  <cols>
    <col min="1" max="1" width="20.19921875" style="10" customWidth="1"/>
    <col min="2" max="2" width="13.73046875" style="135" customWidth="1"/>
    <col min="3" max="3" width="9.265625" style="135" bestFit="1" customWidth="1"/>
    <col min="4" max="4" width="10.53125" style="135" customWidth="1"/>
    <col min="5" max="6" width="9.265625" style="135" bestFit="1" customWidth="1"/>
    <col min="7" max="7" width="15.265625" style="135" bestFit="1" customWidth="1"/>
    <col min="8" max="8" width="9.265625" style="135" bestFit="1" customWidth="1"/>
    <col min="9" max="9" width="13.46484375" style="135" bestFit="1" customWidth="1"/>
    <col min="10" max="10" width="9.19921875" style="135" customWidth="1"/>
    <col min="11" max="11" width="12" style="135" customWidth="1"/>
    <col min="12" max="13" width="9.46484375" style="135" bestFit="1" customWidth="1"/>
    <col min="14" max="14" width="13.265625" style="135" customWidth="1"/>
    <col min="15" max="15" width="9.46484375" style="135" bestFit="1" customWidth="1"/>
    <col min="16" max="16" width="9.796875" style="135" bestFit="1" customWidth="1"/>
    <col min="17" max="17" width="12.46484375" style="135" bestFit="1" customWidth="1"/>
    <col min="18" max="18" width="10.19921875" style="135" customWidth="1"/>
    <col min="19" max="19" width="10" style="135" bestFit="1" customWidth="1"/>
    <col min="20" max="20" width="10.53125" style="135" customWidth="1"/>
    <col min="21" max="21" width="9.46484375" style="135" bestFit="1" customWidth="1"/>
    <col min="22" max="22" width="9.265625" style="135" bestFit="1" customWidth="1"/>
    <col min="23" max="23" width="9.265625" style="135" customWidth="1"/>
    <col min="24" max="24" width="9.46484375" style="135" bestFit="1" customWidth="1"/>
    <col min="25" max="25" width="10.19921875" style="135" customWidth="1"/>
    <col min="26" max="26" width="12.19921875" style="11" customWidth="1"/>
    <col min="27" max="27" width="9.53125" style="11" customWidth="1"/>
    <col min="28" max="28" width="11.53125" style="11" customWidth="1"/>
    <col min="29" max="29" width="12.73046875" style="11" customWidth="1"/>
    <col min="30" max="30" width="14.796875" style="11" customWidth="1"/>
    <col min="31" max="31" width="9.53125" style="11" customWidth="1"/>
    <col min="32" max="32" width="10.53125" style="11" customWidth="1"/>
    <col min="33" max="33" width="9.19921875" style="11"/>
    <col min="34" max="34" width="13.265625" style="11" customWidth="1"/>
    <col min="35" max="35" width="11.19921875" style="11" customWidth="1"/>
    <col min="36" max="36" width="9.19921875" style="11"/>
    <col min="37" max="37" width="9.19921875" style="11" customWidth="1"/>
    <col min="38" max="38" width="11.265625" style="11" customWidth="1"/>
    <col min="39" max="44" width="9.19921875" style="11"/>
    <col min="45" max="45" width="11.46484375" style="11" customWidth="1"/>
    <col min="46" max="46" width="11.73046875" style="11" customWidth="1"/>
    <col min="47" max="53" width="9.19921875" style="11"/>
    <col min="54" max="54" width="11" style="11" customWidth="1"/>
    <col min="55" max="56" width="9.19921875" style="11"/>
    <col min="57" max="57" width="10.265625" style="11" customWidth="1"/>
    <col min="58" max="58" width="10.19921875" style="11" customWidth="1"/>
    <col min="59" max="59" width="12.19921875" style="11" customWidth="1"/>
    <col min="60" max="256" width="9.19921875" style="11"/>
    <col min="257" max="257" width="34.265625" style="11" customWidth="1"/>
    <col min="258" max="258" width="13.73046875" style="11" customWidth="1"/>
    <col min="259" max="259" width="9.265625" style="11" bestFit="1" customWidth="1"/>
    <col min="260" max="260" width="10.53125" style="11" customWidth="1"/>
    <col min="261" max="262" width="9.265625" style="11" bestFit="1" customWidth="1"/>
    <col min="263" max="263" width="15.265625" style="11" bestFit="1" customWidth="1"/>
    <col min="264" max="264" width="9.265625" style="11" bestFit="1" customWidth="1"/>
    <col min="265" max="265" width="13.46484375" style="11" bestFit="1" customWidth="1"/>
    <col min="266" max="266" width="9.19921875" style="11" customWidth="1"/>
    <col min="267" max="267" width="12" style="11" customWidth="1"/>
    <col min="268" max="269" width="9.46484375" style="11" bestFit="1" customWidth="1"/>
    <col min="270" max="270" width="13.265625" style="11" customWidth="1"/>
    <col min="271" max="271" width="9.46484375" style="11" bestFit="1" customWidth="1"/>
    <col min="272" max="272" width="9.796875" style="11" bestFit="1" customWidth="1"/>
    <col min="273" max="273" width="12.46484375" style="11" bestFit="1" customWidth="1"/>
    <col min="274" max="274" width="10.19921875" style="11" customWidth="1"/>
    <col min="275" max="275" width="10" style="11" bestFit="1" customWidth="1"/>
    <col min="276" max="276" width="10.53125" style="11" customWidth="1"/>
    <col min="277" max="277" width="9.46484375" style="11" bestFit="1" customWidth="1"/>
    <col min="278" max="278" width="9.265625" style="11" bestFit="1" customWidth="1"/>
    <col min="279" max="279" width="9.265625" style="11" customWidth="1"/>
    <col min="280" max="280" width="9.46484375" style="11" bestFit="1" customWidth="1"/>
    <col min="281" max="281" width="10.19921875" style="11" customWidth="1"/>
    <col min="282" max="282" width="12.19921875" style="11" customWidth="1"/>
    <col min="283" max="283" width="9.53125" style="11" customWidth="1"/>
    <col min="284" max="284" width="11.53125" style="11" customWidth="1"/>
    <col min="285" max="285" width="12.73046875" style="11" customWidth="1"/>
    <col min="286" max="286" width="14.796875" style="11" customWidth="1"/>
    <col min="287" max="287" width="9.53125" style="11" customWidth="1"/>
    <col min="288" max="288" width="10.53125" style="11" customWidth="1"/>
    <col min="289" max="289" width="9.19921875" style="11"/>
    <col min="290" max="290" width="13.265625" style="11" customWidth="1"/>
    <col min="291" max="291" width="11.19921875" style="11" customWidth="1"/>
    <col min="292" max="292" width="9.19921875" style="11"/>
    <col min="293" max="293" width="9.19921875" style="11" customWidth="1"/>
    <col min="294" max="294" width="11.265625" style="11" customWidth="1"/>
    <col min="295" max="300" width="9.19921875" style="11"/>
    <col min="301" max="301" width="11.46484375" style="11" customWidth="1"/>
    <col min="302" max="302" width="11.73046875" style="11" customWidth="1"/>
    <col min="303" max="309" width="9.19921875" style="11"/>
    <col min="310" max="310" width="11" style="11" customWidth="1"/>
    <col min="311" max="312" width="9.19921875" style="11"/>
    <col min="313" max="313" width="10.265625" style="11" customWidth="1"/>
    <col min="314" max="314" width="10.19921875" style="11" customWidth="1"/>
    <col min="315" max="315" width="12.19921875" style="11" customWidth="1"/>
    <col min="316" max="512" width="9.19921875" style="11"/>
    <col min="513" max="513" width="34.265625" style="11" customWidth="1"/>
    <col min="514" max="514" width="13.73046875" style="11" customWidth="1"/>
    <col min="515" max="515" width="9.265625" style="11" bestFit="1" customWidth="1"/>
    <col min="516" max="516" width="10.53125" style="11" customWidth="1"/>
    <col min="517" max="518" width="9.265625" style="11" bestFit="1" customWidth="1"/>
    <col min="519" max="519" width="15.265625" style="11" bestFit="1" customWidth="1"/>
    <col min="520" max="520" width="9.265625" style="11" bestFit="1" customWidth="1"/>
    <col min="521" max="521" width="13.46484375" style="11" bestFit="1" customWidth="1"/>
    <col min="522" max="522" width="9.19921875" style="11" customWidth="1"/>
    <col min="523" max="523" width="12" style="11" customWidth="1"/>
    <col min="524" max="525" width="9.46484375" style="11" bestFit="1" customWidth="1"/>
    <col min="526" max="526" width="13.265625" style="11" customWidth="1"/>
    <col min="527" max="527" width="9.46484375" style="11" bestFit="1" customWidth="1"/>
    <col min="528" max="528" width="9.796875" style="11" bestFit="1" customWidth="1"/>
    <col min="529" max="529" width="12.46484375" style="11" bestFit="1" customWidth="1"/>
    <col min="530" max="530" width="10.19921875" style="11" customWidth="1"/>
    <col min="531" max="531" width="10" style="11" bestFit="1" customWidth="1"/>
    <col min="532" max="532" width="10.53125" style="11" customWidth="1"/>
    <col min="533" max="533" width="9.46484375" style="11" bestFit="1" customWidth="1"/>
    <col min="534" max="534" width="9.265625" style="11" bestFit="1" customWidth="1"/>
    <col min="535" max="535" width="9.265625" style="11" customWidth="1"/>
    <col min="536" max="536" width="9.46484375" style="11" bestFit="1" customWidth="1"/>
    <col min="537" max="537" width="10.19921875" style="11" customWidth="1"/>
    <col min="538" max="538" width="12.19921875" style="11" customWidth="1"/>
    <col min="539" max="539" width="9.53125" style="11" customWidth="1"/>
    <col min="540" max="540" width="11.53125" style="11" customWidth="1"/>
    <col min="541" max="541" width="12.73046875" style="11" customWidth="1"/>
    <col min="542" max="542" width="14.796875" style="11" customWidth="1"/>
    <col min="543" max="543" width="9.53125" style="11" customWidth="1"/>
    <col min="544" max="544" width="10.53125" style="11" customWidth="1"/>
    <col min="545" max="545" width="9.19921875" style="11"/>
    <col min="546" max="546" width="13.265625" style="11" customWidth="1"/>
    <col min="547" max="547" width="11.19921875" style="11" customWidth="1"/>
    <col min="548" max="548" width="9.19921875" style="11"/>
    <col min="549" max="549" width="9.19921875" style="11" customWidth="1"/>
    <col min="550" max="550" width="11.265625" style="11" customWidth="1"/>
    <col min="551" max="556" width="9.19921875" style="11"/>
    <col min="557" max="557" width="11.46484375" style="11" customWidth="1"/>
    <col min="558" max="558" width="11.73046875" style="11" customWidth="1"/>
    <col min="559" max="565" width="9.19921875" style="11"/>
    <col min="566" max="566" width="11" style="11" customWidth="1"/>
    <col min="567" max="568" width="9.19921875" style="11"/>
    <col min="569" max="569" width="10.265625" style="11" customWidth="1"/>
    <col min="570" max="570" width="10.19921875" style="11" customWidth="1"/>
    <col min="571" max="571" width="12.19921875" style="11" customWidth="1"/>
    <col min="572" max="768" width="9.19921875" style="11"/>
    <col min="769" max="769" width="34.265625" style="11" customWidth="1"/>
    <col min="770" max="770" width="13.73046875" style="11" customWidth="1"/>
    <col min="771" max="771" width="9.265625" style="11" bestFit="1" customWidth="1"/>
    <col min="772" max="772" width="10.53125" style="11" customWidth="1"/>
    <col min="773" max="774" width="9.265625" style="11" bestFit="1" customWidth="1"/>
    <col min="775" max="775" width="15.265625" style="11" bestFit="1" customWidth="1"/>
    <col min="776" max="776" width="9.265625" style="11" bestFit="1" customWidth="1"/>
    <col min="777" max="777" width="13.46484375" style="11" bestFit="1" customWidth="1"/>
    <col min="778" max="778" width="9.19921875" style="11" customWidth="1"/>
    <col min="779" max="779" width="12" style="11" customWidth="1"/>
    <col min="780" max="781" width="9.46484375" style="11" bestFit="1" customWidth="1"/>
    <col min="782" max="782" width="13.265625" style="11" customWidth="1"/>
    <col min="783" max="783" width="9.46484375" style="11" bestFit="1" customWidth="1"/>
    <col min="784" max="784" width="9.796875" style="11" bestFit="1" customWidth="1"/>
    <col min="785" max="785" width="12.46484375" style="11" bestFit="1" customWidth="1"/>
    <col min="786" max="786" width="10.19921875" style="11" customWidth="1"/>
    <col min="787" max="787" width="10" style="11" bestFit="1" customWidth="1"/>
    <col min="788" max="788" width="10.53125" style="11" customWidth="1"/>
    <col min="789" max="789" width="9.46484375" style="11" bestFit="1" customWidth="1"/>
    <col min="790" max="790" width="9.265625" style="11" bestFit="1" customWidth="1"/>
    <col min="791" max="791" width="9.265625" style="11" customWidth="1"/>
    <col min="792" max="792" width="9.46484375" style="11" bestFit="1" customWidth="1"/>
    <col min="793" max="793" width="10.19921875" style="11" customWidth="1"/>
    <col min="794" max="794" width="12.19921875" style="11" customWidth="1"/>
    <col min="795" max="795" width="9.53125" style="11" customWidth="1"/>
    <col min="796" max="796" width="11.53125" style="11" customWidth="1"/>
    <col min="797" max="797" width="12.73046875" style="11" customWidth="1"/>
    <col min="798" max="798" width="14.796875" style="11" customWidth="1"/>
    <col min="799" max="799" width="9.53125" style="11" customWidth="1"/>
    <col min="800" max="800" width="10.53125" style="11" customWidth="1"/>
    <col min="801" max="801" width="9.19921875" style="11"/>
    <col min="802" max="802" width="13.265625" style="11" customWidth="1"/>
    <col min="803" max="803" width="11.19921875" style="11" customWidth="1"/>
    <col min="804" max="804" width="9.19921875" style="11"/>
    <col min="805" max="805" width="9.19921875" style="11" customWidth="1"/>
    <col min="806" max="806" width="11.265625" style="11" customWidth="1"/>
    <col min="807" max="812" width="9.19921875" style="11"/>
    <col min="813" max="813" width="11.46484375" style="11" customWidth="1"/>
    <col min="814" max="814" width="11.73046875" style="11" customWidth="1"/>
    <col min="815" max="821" width="9.19921875" style="11"/>
    <col min="822" max="822" width="11" style="11" customWidth="1"/>
    <col min="823" max="824" width="9.19921875" style="11"/>
    <col min="825" max="825" width="10.265625" style="11" customWidth="1"/>
    <col min="826" max="826" width="10.19921875" style="11" customWidth="1"/>
    <col min="827" max="827" width="12.19921875" style="11" customWidth="1"/>
    <col min="828" max="1024" width="9.19921875" style="11"/>
    <col min="1025" max="1025" width="34.265625" style="11" customWidth="1"/>
    <col min="1026" max="1026" width="13.73046875" style="11" customWidth="1"/>
    <col min="1027" max="1027" width="9.265625" style="11" bestFit="1" customWidth="1"/>
    <col min="1028" max="1028" width="10.53125" style="11" customWidth="1"/>
    <col min="1029" max="1030" width="9.265625" style="11" bestFit="1" customWidth="1"/>
    <col min="1031" max="1031" width="15.265625" style="11" bestFit="1" customWidth="1"/>
    <col min="1032" max="1032" width="9.265625" style="11" bestFit="1" customWidth="1"/>
    <col min="1033" max="1033" width="13.46484375" style="11" bestFit="1" customWidth="1"/>
    <col min="1034" max="1034" width="9.19921875" style="11" customWidth="1"/>
    <col min="1035" max="1035" width="12" style="11" customWidth="1"/>
    <col min="1036" max="1037" width="9.46484375" style="11" bestFit="1" customWidth="1"/>
    <col min="1038" max="1038" width="13.265625" style="11" customWidth="1"/>
    <col min="1039" max="1039" width="9.46484375" style="11" bestFit="1" customWidth="1"/>
    <col min="1040" max="1040" width="9.796875" style="11" bestFit="1" customWidth="1"/>
    <col min="1041" max="1041" width="12.46484375" style="11" bestFit="1" customWidth="1"/>
    <col min="1042" max="1042" width="10.19921875" style="11" customWidth="1"/>
    <col min="1043" max="1043" width="10" style="11" bestFit="1" customWidth="1"/>
    <col min="1044" max="1044" width="10.53125" style="11" customWidth="1"/>
    <col min="1045" max="1045" width="9.46484375" style="11" bestFit="1" customWidth="1"/>
    <col min="1046" max="1046" width="9.265625" style="11" bestFit="1" customWidth="1"/>
    <col min="1047" max="1047" width="9.265625" style="11" customWidth="1"/>
    <col min="1048" max="1048" width="9.46484375" style="11" bestFit="1" customWidth="1"/>
    <col min="1049" max="1049" width="10.19921875" style="11" customWidth="1"/>
    <col min="1050" max="1050" width="12.19921875" style="11" customWidth="1"/>
    <col min="1051" max="1051" width="9.53125" style="11" customWidth="1"/>
    <col min="1052" max="1052" width="11.53125" style="11" customWidth="1"/>
    <col min="1053" max="1053" width="12.73046875" style="11" customWidth="1"/>
    <col min="1054" max="1054" width="14.796875" style="11" customWidth="1"/>
    <col min="1055" max="1055" width="9.53125" style="11" customWidth="1"/>
    <col min="1056" max="1056" width="10.53125" style="11" customWidth="1"/>
    <col min="1057" max="1057" width="9.19921875" style="11"/>
    <col min="1058" max="1058" width="13.265625" style="11" customWidth="1"/>
    <col min="1059" max="1059" width="11.19921875" style="11" customWidth="1"/>
    <col min="1060" max="1060" width="9.19921875" style="11"/>
    <col min="1061" max="1061" width="9.19921875" style="11" customWidth="1"/>
    <col min="1062" max="1062" width="11.265625" style="11" customWidth="1"/>
    <col min="1063" max="1068" width="9.19921875" style="11"/>
    <col min="1069" max="1069" width="11.46484375" style="11" customWidth="1"/>
    <col min="1070" max="1070" width="11.73046875" style="11" customWidth="1"/>
    <col min="1071" max="1077" width="9.19921875" style="11"/>
    <col min="1078" max="1078" width="11" style="11" customWidth="1"/>
    <col min="1079" max="1080" width="9.19921875" style="11"/>
    <col min="1081" max="1081" width="10.265625" style="11" customWidth="1"/>
    <col min="1082" max="1082" width="10.19921875" style="11" customWidth="1"/>
    <col min="1083" max="1083" width="12.19921875" style="11" customWidth="1"/>
    <col min="1084" max="1280" width="9.19921875" style="11"/>
    <col min="1281" max="1281" width="34.265625" style="11" customWidth="1"/>
    <col min="1282" max="1282" width="13.73046875" style="11" customWidth="1"/>
    <col min="1283" max="1283" width="9.265625" style="11" bestFit="1" customWidth="1"/>
    <col min="1284" max="1284" width="10.53125" style="11" customWidth="1"/>
    <col min="1285" max="1286" width="9.265625" style="11" bestFit="1" customWidth="1"/>
    <col min="1287" max="1287" width="15.265625" style="11" bestFit="1" customWidth="1"/>
    <col min="1288" max="1288" width="9.265625" style="11" bestFit="1" customWidth="1"/>
    <col min="1289" max="1289" width="13.46484375" style="11" bestFit="1" customWidth="1"/>
    <col min="1290" max="1290" width="9.19921875" style="11" customWidth="1"/>
    <col min="1291" max="1291" width="12" style="11" customWidth="1"/>
    <col min="1292" max="1293" width="9.46484375" style="11" bestFit="1" customWidth="1"/>
    <col min="1294" max="1294" width="13.265625" style="11" customWidth="1"/>
    <col min="1295" max="1295" width="9.46484375" style="11" bestFit="1" customWidth="1"/>
    <col min="1296" max="1296" width="9.796875" style="11" bestFit="1" customWidth="1"/>
    <col min="1297" max="1297" width="12.46484375" style="11" bestFit="1" customWidth="1"/>
    <col min="1298" max="1298" width="10.19921875" style="11" customWidth="1"/>
    <col min="1299" max="1299" width="10" style="11" bestFit="1" customWidth="1"/>
    <col min="1300" max="1300" width="10.53125" style="11" customWidth="1"/>
    <col min="1301" max="1301" width="9.46484375" style="11" bestFit="1" customWidth="1"/>
    <col min="1302" max="1302" width="9.265625" style="11" bestFit="1" customWidth="1"/>
    <col min="1303" max="1303" width="9.265625" style="11" customWidth="1"/>
    <col min="1304" max="1304" width="9.46484375" style="11" bestFit="1" customWidth="1"/>
    <col min="1305" max="1305" width="10.19921875" style="11" customWidth="1"/>
    <col min="1306" max="1306" width="12.19921875" style="11" customWidth="1"/>
    <col min="1307" max="1307" width="9.53125" style="11" customWidth="1"/>
    <col min="1308" max="1308" width="11.53125" style="11" customWidth="1"/>
    <col min="1309" max="1309" width="12.73046875" style="11" customWidth="1"/>
    <col min="1310" max="1310" width="14.796875" style="11" customWidth="1"/>
    <col min="1311" max="1311" width="9.53125" style="11" customWidth="1"/>
    <col min="1312" max="1312" width="10.53125" style="11" customWidth="1"/>
    <col min="1313" max="1313" width="9.19921875" style="11"/>
    <col min="1314" max="1314" width="13.265625" style="11" customWidth="1"/>
    <col min="1315" max="1315" width="11.19921875" style="11" customWidth="1"/>
    <col min="1316" max="1316" width="9.19921875" style="11"/>
    <col min="1317" max="1317" width="9.19921875" style="11" customWidth="1"/>
    <col min="1318" max="1318" width="11.265625" style="11" customWidth="1"/>
    <col min="1319" max="1324" width="9.19921875" style="11"/>
    <col min="1325" max="1325" width="11.46484375" style="11" customWidth="1"/>
    <col min="1326" max="1326" width="11.73046875" style="11" customWidth="1"/>
    <col min="1327" max="1333" width="9.19921875" style="11"/>
    <col min="1334" max="1334" width="11" style="11" customWidth="1"/>
    <col min="1335" max="1336" width="9.19921875" style="11"/>
    <col min="1337" max="1337" width="10.265625" style="11" customWidth="1"/>
    <col min="1338" max="1338" width="10.19921875" style="11" customWidth="1"/>
    <col min="1339" max="1339" width="12.19921875" style="11" customWidth="1"/>
    <col min="1340" max="1536" width="9.19921875" style="11"/>
    <col min="1537" max="1537" width="34.265625" style="11" customWidth="1"/>
    <col min="1538" max="1538" width="13.73046875" style="11" customWidth="1"/>
    <col min="1539" max="1539" width="9.265625" style="11" bestFit="1" customWidth="1"/>
    <col min="1540" max="1540" width="10.53125" style="11" customWidth="1"/>
    <col min="1541" max="1542" width="9.265625" style="11" bestFit="1" customWidth="1"/>
    <col min="1543" max="1543" width="15.265625" style="11" bestFit="1" customWidth="1"/>
    <col min="1544" max="1544" width="9.265625" style="11" bestFit="1" customWidth="1"/>
    <col min="1545" max="1545" width="13.46484375" style="11" bestFit="1" customWidth="1"/>
    <col min="1546" max="1546" width="9.19921875" style="11" customWidth="1"/>
    <col min="1547" max="1547" width="12" style="11" customWidth="1"/>
    <col min="1548" max="1549" width="9.46484375" style="11" bestFit="1" customWidth="1"/>
    <col min="1550" max="1550" width="13.265625" style="11" customWidth="1"/>
    <col min="1551" max="1551" width="9.46484375" style="11" bestFit="1" customWidth="1"/>
    <col min="1552" max="1552" width="9.796875" style="11" bestFit="1" customWidth="1"/>
    <col min="1553" max="1553" width="12.46484375" style="11" bestFit="1" customWidth="1"/>
    <col min="1554" max="1554" width="10.19921875" style="11" customWidth="1"/>
    <col min="1555" max="1555" width="10" style="11" bestFit="1" customWidth="1"/>
    <col min="1556" max="1556" width="10.53125" style="11" customWidth="1"/>
    <col min="1557" max="1557" width="9.46484375" style="11" bestFit="1" customWidth="1"/>
    <col min="1558" max="1558" width="9.265625" style="11" bestFit="1" customWidth="1"/>
    <col min="1559" max="1559" width="9.265625" style="11" customWidth="1"/>
    <col min="1560" max="1560" width="9.46484375" style="11" bestFit="1" customWidth="1"/>
    <col min="1561" max="1561" width="10.19921875" style="11" customWidth="1"/>
    <col min="1562" max="1562" width="12.19921875" style="11" customWidth="1"/>
    <col min="1563" max="1563" width="9.53125" style="11" customWidth="1"/>
    <col min="1564" max="1564" width="11.53125" style="11" customWidth="1"/>
    <col min="1565" max="1565" width="12.73046875" style="11" customWidth="1"/>
    <col min="1566" max="1566" width="14.796875" style="11" customWidth="1"/>
    <col min="1567" max="1567" width="9.53125" style="11" customWidth="1"/>
    <col min="1568" max="1568" width="10.53125" style="11" customWidth="1"/>
    <col min="1569" max="1569" width="9.19921875" style="11"/>
    <col min="1570" max="1570" width="13.265625" style="11" customWidth="1"/>
    <col min="1571" max="1571" width="11.19921875" style="11" customWidth="1"/>
    <col min="1572" max="1572" width="9.19921875" style="11"/>
    <col min="1573" max="1573" width="9.19921875" style="11" customWidth="1"/>
    <col min="1574" max="1574" width="11.265625" style="11" customWidth="1"/>
    <col min="1575" max="1580" width="9.19921875" style="11"/>
    <col min="1581" max="1581" width="11.46484375" style="11" customWidth="1"/>
    <col min="1582" max="1582" width="11.73046875" style="11" customWidth="1"/>
    <col min="1583" max="1589" width="9.19921875" style="11"/>
    <col min="1590" max="1590" width="11" style="11" customWidth="1"/>
    <col min="1591" max="1592" width="9.19921875" style="11"/>
    <col min="1593" max="1593" width="10.265625" style="11" customWidth="1"/>
    <col min="1594" max="1594" width="10.19921875" style="11" customWidth="1"/>
    <col min="1595" max="1595" width="12.19921875" style="11" customWidth="1"/>
    <col min="1596" max="1792" width="9.19921875" style="11"/>
    <col min="1793" max="1793" width="34.265625" style="11" customWidth="1"/>
    <col min="1794" max="1794" width="13.73046875" style="11" customWidth="1"/>
    <col min="1795" max="1795" width="9.265625" style="11" bestFit="1" customWidth="1"/>
    <col min="1796" max="1796" width="10.53125" style="11" customWidth="1"/>
    <col min="1797" max="1798" width="9.265625" style="11" bestFit="1" customWidth="1"/>
    <col min="1799" max="1799" width="15.265625" style="11" bestFit="1" customWidth="1"/>
    <col min="1800" max="1800" width="9.265625" style="11" bestFit="1" customWidth="1"/>
    <col min="1801" max="1801" width="13.46484375" style="11" bestFit="1" customWidth="1"/>
    <col min="1802" max="1802" width="9.19921875" style="11" customWidth="1"/>
    <col min="1803" max="1803" width="12" style="11" customWidth="1"/>
    <col min="1804" max="1805" width="9.46484375" style="11" bestFit="1" customWidth="1"/>
    <col min="1806" max="1806" width="13.265625" style="11" customWidth="1"/>
    <col min="1807" max="1807" width="9.46484375" style="11" bestFit="1" customWidth="1"/>
    <col min="1808" max="1808" width="9.796875" style="11" bestFit="1" customWidth="1"/>
    <col min="1809" max="1809" width="12.46484375" style="11" bestFit="1" customWidth="1"/>
    <col min="1810" max="1810" width="10.19921875" style="11" customWidth="1"/>
    <col min="1811" max="1811" width="10" style="11" bestFit="1" customWidth="1"/>
    <col min="1812" max="1812" width="10.53125" style="11" customWidth="1"/>
    <col min="1813" max="1813" width="9.46484375" style="11" bestFit="1" customWidth="1"/>
    <col min="1814" max="1814" width="9.265625" style="11" bestFit="1" customWidth="1"/>
    <col min="1815" max="1815" width="9.265625" style="11" customWidth="1"/>
    <col min="1816" max="1816" width="9.46484375" style="11" bestFit="1" customWidth="1"/>
    <col min="1817" max="1817" width="10.19921875" style="11" customWidth="1"/>
    <col min="1818" max="1818" width="12.19921875" style="11" customWidth="1"/>
    <col min="1819" max="1819" width="9.53125" style="11" customWidth="1"/>
    <col min="1820" max="1820" width="11.53125" style="11" customWidth="1"/>
    <col min="1821" max="1821" width="12.73046875" style="11" customWidth="1"/>
    <col min="1822" max="1822" width="14.796875" style="11" customWidth="1"/>
    <col min="1823" max="1823" width="9.53125" style="11" customWidth="1"/>
    <col min="1824" max="1824" width="10.53125" style="11" customWidth="1"/>
    <col min="1825" max="1825" width="9.19921875" style="11"/>
    <col min="1826" max="1826" width="13.265625" style="11" customWidth="1"/>
    <col min="1827" max="1827" width="11.19921875" style="11" customWidth="1"/>
    <col min="1828" max="1828" width="9.19921875" style="11"/>
    <col min="1829" max="1829" width="9.19921875" style="11" customWidth="1"/>
    <col min="1830" max="1830" width="11.265625" style="11" customWidth="1"/>
    <col min="1831" max="1836" width="9.19921875" style="11"/>
    <col min="1837" max="1837" width="11.46484375" style="11" customWidth="1"/>
    <col min="1838" max="1838" width="11.73046875" style="11" customWidth="1"/>
    <col min="1839" max="1845" width="9.19921875" style="11"/>
    <col min="1846" max="1846" width="11" style="11" customWidth="1"/>
    <col min="1847" max="1848" width="9.19921875" style="11"/>
    <col min="1849" max="1849" width="10.265625" style="11" customWidth="1"/>
    <col min="1850" max="1850" width="10.19921875" style="11" customWidth="1"/>
    <col min="1851" max="1851" width="12.19921875" style="11" customWidth="1"/>
    <col min="1852" max="2048" width="9.19921875" style="11"/>
    <col min="2049" max="2049" width="34.265625" style="11" customWidth="1"/>
    <col min="2050" max="2050" width="13.73046875" style="11" customWidth="1"/>
    <col min="2051" max="2051" width="9.265625" style="11" bestFit="1" customWidth="1"/>
    <col min="2052" max="2052" width="10.53125" style="11" customWidth="1"/>
    <col min="2053" max="2054" width="9.265625" style="11" bestFit="1" customWidth="1"/>
    <col min="2055" max="2055" width="15.265625" style="11" bestFit="1" customWidth="1"/>
    <col min="2056" max="2056" width="9.265625" style="11" bestFit="1" customWidth="1"/>
    <col min="2057" max="2057" width="13.46484375" style="11" bestFit="1" customWidth="1"/>
    <col min="2058" max="2058" width="9.19921875" style="11" customWidth="1"/>
    <col min="2059" max="2059" width="12" style="11" customWidth="1"/>
    <col min="2060" max="2061" width="9.46484375" style="11" bestFit="1" customWidth="1"/>
    <col min="2062" max="2062" width="13.265625" style="11" customWidth="1"/>
    <col min="2063" max="2063" width="9.46484375" style="11" bestFit="1" customWidth="1"/>
    <col min="2064" max="2064" width="9.796875" style="11" bestFit="1" customWidth="1"/>
    <col min="2065" max="2065" width="12.46484375" style="11" bestFit="1" customWidth="1"/>
    <col min="2066" max="2066" width="10.19921875" style="11" customWidth="1"/>
    <col min="2067" max="2067" width="10" style="11" bestFit="1" customWidth="1"/>
    <col min="2068" max="2068" width="10.53125" style="11" customWidth="1"/>
    <col min="2069" max="2069" width="9.46484375" style="11" bestFit="1" customWidth="1"/>
    <col min="2070" max="2070" width="9.265625" style="11" bestFit="1" customWidth="1"/>
    <col min="2071" max="2071" width="9.265625" style="11" customWidth="1"/>
    <col min="2072" max="2072" width="9.46484375" style="11" bestFit="1" customWidth="1"/>
    <col min="2073" max="2073" width="10.19921875" style="11" customWidth="1"/>
    <col min="2074" max="2074" width="12.19921875" style="11" customWidth="1"/>
    <col min="2075" max="2075" width="9.53125" style="11" customWidth="1"/>
    <col min="2076" max="2076" width="11.53125" style="11" customWidth="1"/>
    <col min="2077" max="2077" width="12.73046875" style="11" customWidth="1"/>
    <col min="2078" max="2078" width="14.796875" style="11" customWidth="1"/>
    <col min="2079" max="2079" width="9.53125" style="11" customWidth="1"/>
    <col min="2080" max="2080" width="10.53125" style="11" customWidth="1"/>
    <col min="2081" max="2081" width="9.19921875" style="11"/>
    <col min="2082" max="2082" width="13.265625" style="11" customWidth="1"/>
    <col min="2083" max="2083" width="11.19921875" style="11" customWidth="1"/>
    <col min="2084" max="2084" width="9.19921875" style="11"/>
    <col min="2085" max="2085" width="9.19921875" style="11" customWidth="1"/>
    <col min="2086" max="2086" width="11.265625" style="11" customWidth="1"/>
    <col min="2087" max="2092" width="9.19921875" style="11"/>
    <col min="2093" max="2093" width="11.46484375" style="11" customWidth="1"/>
    <col min="2094" max="2094" width="11.73046875" style="11" customWidth="1"/>
    <col min="2095" max="2101" width="9.19921875" style="11"/>
    <col min="2102" max="2102" width="11" style="11" customWidth="1"/>
    <col min="2103" max="2104" width="9.19921875" style="11"/>
    <col min="2105" max="2105" width="10.265625" style="11" customWidth="1"/>
    <col min="2106" max="2106" width="10.19921875" style="11" customWidth="1"/>
    <col min="2107" max="2107" width="12.19921875" style="11" customWidth="1"/>
    <col min="2108" max="2304" width="9.19921875" style="11"/>
    <col min="2305" max="2305" width="34.265625" style="11" customWidth="1"/>
    <col min="2306" max="2306" width="13.73046875" style="11" customWidth="1"/>
    <col min="2307" max="2307" width="9.265625" style="11" bestFit="1" customWidth="1"/>
    <col min="2308" max="2308" width="10.53125" style="11" customWidth="1"/>
    <col min="2309" max="2310" width="9.265625" style="11" bestFit="1" customWidth="1"/>
    <col min="2311" max="2311" width="15.265625" style="11" bestFit="1" customWidth="1"/>
    <col min="2312" max="2312" width="9.265625" style="11" bestFit="1" customWidth="1"/>
    <col min="2313" max="2313" width="13.46484375" style="11" bestFit="1" customWidth="1"/>
    <col min="2314" max="2314" width="9.19921875" style="11" customWidth="1"/>
    <col min="2315" max="2315" width="12" style="11" customWidth="1"/>
    <col min="2316" max="2317" width="9.46484375" style="11" bestFit="1" customWidth="1"/>
    <col min="2318" max="2318" width="13.265625" style="11" customWidth="1"/>
    <col min="2319" max="2319" width="9.46484375" style="11" bestFit="1" customWidth="1"/>
    <col min="2320" max="2320" width="9.796875" style="11" bestFit="1" customWidth="1"/>
    <col min="2321" max="2321" width="12.46484375" style="11" bestFit="1" customWidth="1"/>
    <col min="2322" max="2322" width="10.19921875" style="11" customWidth="1"/>
    <col min="2323" max="2323" width="10" style="11" bestFit="1" customWidth="1"/>
    <col min="2324" max="2324" width="10.53125" style="11" customWidth="1"/>
    <col min="2325" max="2325" width="9.46484375" style="11" bestFit="1" customWidth="1"/>
    <col min="2326" max="2326" width="9.265625" style="11" bestFit="1" customWidth="1"/>
    <col min="2327" max="2327" width="9.265625" style="11" customWidth="1"/>
    <col min="2328" max="2328" width="9.46484375" style="11" bestFit="1" customWidth="1"/>
    <col min="2329" max="2329" width="10.19921875" style="11" customWidth="1"/>
    <col min="2330" max="2330" width="12.19921875" style="11" customWidth="1"/>
    <col min="2331" max="2331" width="9.53125" style="11" customWidth="1"/>
    <col min="2332" max="2332" width="11.53125" style="11" customWidth="1"/>
    <col min="2333" max="2333" width="12.73046875" style="11" customWidth="1"/>
    <col min="2334" max="2334" width="14.796875" style="11" customWidth="1"/>
    <col min="2335" max="2335" width="9.53125" style="11" customWidth="1"/>
    <col min="2336" max="2336" width="10.53125" style="11" customWidth="1"/>
    <col min="2337" max="2337" width="9.19921875" style="11"/>
    <col min="2338" max="2338" width="13.265625" style="11" customWidth="1"/>
    <col min="2339" max="2339" width="11.19921875" style="11" customWidth="1"/>
    <col min="2340" max="2340" width="9.19921875" style="11"/>
    <col min="2341" max="2341" width="9.19921875" style="11" customWidth="1"/>
    <col min="2342" max="2342" width="11.265625" style="11" customWidth="1"/>
    <col min="2343" max="2348" width="9.19921875" style="11"/>
    <col min="2349" max="2349" width="11.46484375" style="11" customWidth="1"/>
    <col min="2350" max="2350" width="11.73046875" style="11" customWidth="1"/>
    <col min="2351" max="2357" width="9.19921875" style="11"/>
    <col min="2358" max="2358" width="11" style="11" customWidth="1"/>
    <col min="2359" max="2360" width="9.19921875" style="11"/>
    <col min="2361" max="2361" width="10.265625" style="11" customWidth="1"/>
    <col min="2362" max="2362" width="10.19921875" style="11" customWidth="1"/>
    <col min="2363" max="2363" width="12.19921875" style="11" customWidth="1"/>
    <col min="2364" max="2560" width="9.19921875" style="11"/>
    <col min="2561" max="2561" width="34.265625" style="11" customWidth="1"/>
    <col min="2562" max="2562" width="13.73046875" style="11" customWidth="1"/>
    <col min="2563" max="2563" width="9.265625" style="11" bestFit="1" customWidth="1"/>
    <col min="2564" max="2564" width="10.53125" style="11" customWidth="1"/>
    <col min="2565" max="2566" width="9.265625" style="11" bestFit="1" customWidth="1"/>
    <col min="2567" max="2567" width="15.265625" style="11" bestFit="1" customWidth="1"/>
    <col min="2568" max="2568" width="9.265625" style="11" bestFit="1" customWidth="1"/>
    <col min="2569" max="2569" width="13.46484375" style="11" bestFit="1" customWidth="1"/>
    <col min="2570" max="2570" width="9.19921875" style="11" customWidth="1"/>
    <col min="2571" max="2571" width="12" style="11" customWidth="1"/>
    <col min="2572" max="2573" width="9.46484375" style="11" bestFit="1" customWidth="1"/>
    <col min="2574" max="2574" width="13.265625" style="11" customWidth="1"/>
    <col min="2575" max="2575" width="9.46484375" style="11" bestFit="1" customWidth="1"/>
    <col min="2576" max="2576" width="9.796875" style="11" bestFit="1" customWidth="1"/>
    <col min="2577" max="2577" width="12.46484375" style="11" bestFit="1" customWidth="1"/>
    <col min="2578" max="2578" width="10.19921875" style="11" customWidth="1"/>
    <col min="2579" max="2579" width="10" style="11" bestFit="1" customWidth="1"/>
    <col min="2580" max="2580" width="10.53125" style="11" customWidth="1"/>
    <col min="2581" max="2581" width="9.46484375" style="11" bestFit="1" customWidth="1"/>
    <col min="2582" max="2582" width="9.265625" style="11" bestFit="1" customWidth="1"/>
    <col min="2583" max="2583" width="9.265625" style="11" customWidth="1"/>
    <col min="2584" max="2584" width="9.46484375" style="11" bestFit="1" customWidth="1"/>
    <col min="2585" max="2585" width="10.19921875" style="11" customWidth="1"/>
    <col min="2586" max="2586" width="12.19921875" style="11" customWidth="1"/>
    <col min="2587" max="2587" width="9.53125" style="11" customWidth="1"/>
    <col min="2588" max="2588" width="11.53125" style="11" customWidth="1"/>
    <col min="2589" max="2589" width="12.73046875" style="11" customWidth="1"/>
    <col min="2590" max="2590" width="14.796875" style="11" customWidth="1"/>
    <col min="2591" max="2591" width="9.53125" style="11" customWidth="1"/>
    <col min="2592" max="2592" width="10.53125" style="11" customWidth="1"/>
    <col min="2593" max="2593" width="9.19921875" style="11"/>
    <col min="2594" max="2594" width="13.265625" style="11" customWidth="1"/>
    <col min="2595" max="2595" width="11.19921875" style="11" customWidth="1"/>
    <col min="2596" max="2596" width="9.19921875" style="11"/>
    <col min="2597" max="2597" width="9.19921875" style="11" customWidth="1"/>
    <col min="2598" max="2598" width="11.265625" style="11" customWidth="1"/>
    <col min="2599" max="2604" width="9.19921875" style="11"/>
    <col min="2605" max="2605" width="11.46484375" style="11" customWidth="1"/>
    <col min="2606" max="2606" width="11.73046875" style="11" customWidth="1"/>
    <col min="2607" max="2613" width="9.19921875" style="11"/>
    <col min="2614" max="2614" width="11" style="11" customWidth="1"/>
    <col min="2615" max="2616" width="9.19921875" style="11"/>
    <col min="2617" max="2617" width="10.265625" style="11" customWidth="1"/>
    <col min="2618" max="2618" width="10.19921875" style="11" customWidth="1"/>
    <col min="2619" max="2619" width="12.19921875" style="11" customWidth="1"/>
    <col min="2620" max="2816" width="9.19921875" style="11"/>
    <col min="2817" max="2817" width="34.265625" style="11" customWidth="1"/>
    <col min="2818" max="2818" width="13.73046875" style="11" customWidth="1"/>
    <col min="2819" max="2819" width="9.265625" style="11" bestFit="1" customWidth="1"/>
    <col min="2820" max="2820" width="10.53125" style="11" customWidth="1"/>
    <col min="2821" max="2822" width="9.265625" style="11" bestFit="1" customWidth="1"/>
    <col min="2823" max="2823" width="15.265625" style="11" bestFit="1" customWidth="1"/>
    <col min="2824" max="2824" width="9.265625" style="11" bestFit="1" customWidth="1"/>
    <col min="2825" max="2825" width="13.46484375" style="11" bestFit="1" customWidth="1"/>
    <col min="2826" max="2826" width="9.19921875" style="11" customWidth="1"/>
    <col min="2827" max="2827" width="12" style="11" customWidth="1"/>
    <col min="2828" max="2829" width="9.46484375" style="11" bestFit="1" customWidth="1"/>
    <col min="2830" max="2830" width="13.265625" style="11" customWidth="1"/>
    <col min="2831" max="2831" width="9.46484375" style="11" bestFit="1" customWidth="1"/>
    <col min="2832" max="2832" width="9.796875" style="11" bestFit="1" customWidth="1"/>
    <col min="2833" max="2833" width="12.46484375" style="11" bestFit="1" customWidth="1"/>
    <col min="2834" max="2834" width="10.19921875" style="11" customWidth="1"/>
    <col min="2835" max="2835" width="10" style="11" bestFit="1" customWidth="1"/>
    <col min="2836" max="2836" width="10.53125" style="11" customWidth="1"/>
    <col min="2837" max="2837" width="9.46484375" style="11" bestFit="1" customWidth="1"/>
    <col min="2838" max="2838" width="9.265625" style="11" bestFit="1" customWidth="1"/>
    <col min="2839" max="2839" width="9.265625" style="11" customWidth="1"/>
    <col min="2840" max="2840" width="9.46484375" style="11" bestFit="1" customWidth="1"/>
    <col min="2841" max="2841" width="10.19921875" style="11" customWidth="1"/>
    <col min="2842" max="2842" width="12.19921875" style="11" customWidth="1"/>
    <col min="2843" max="2843" width="9.53125" style="11" customWidth="1"/>
    <col min="2844" max="2844" width="11.53125" style="11" customWidth="1"/>
    <col min="2845" max="2845" width="12.73046875" style="11" customWidth="1"/>
    <col min="2846" max="2846" width="14.796875" style="11" customWidth="1"/>
    <col min="2847" max="2847" width="9.53125" style="11" customWidth="1"/>
    <col min="2848" max="2848" width="10.53125" style="11" customWidth="1"/>
    <col min="2849" max="2849" width="9.19921875" style="11"/>
    <col min="2850" max="2850" width="13.265625" style="11" customWidth="1"/>
    <col min="2851" max="2851" width="11.19921875" style="11" customWidth="1"/>
    <col min="2852" max="2852" width="9.19921875" style="11"/>
    <col min="2853" max="2853" width="9.19921875" style="11" customWidth="1"/>
    <col min="2854" max="2854" width="11.265625" style="11" customWidth="1"/>
    <col min="2855" max="2860" width="9.19921875" style="11"/>
    <col min="2861" max="2861" width="11.46484375" style="11" customWidth="1"/>
    <col min="2862" max="2862" width="11.73046875" style="11" customWidth="1"/>
    <col min="2863" max="2869" width="9.19921875" style="11"/>
    <col min="2870" max="2870" width="11" style="11" customWidth="1"/>
    <col min="2871" max="2872" width="9.19921875" style="11"/>
    <col min="2873" max="2873" width="10.265625" style="11" customWidth="1"/>
    <col min="2874" max="2874" width="10.19921875" style="11" customWidth="1"/>
    <col min="2875" max="2875" width="12.19921875" style="11" customWidth="1"/>
    <col min="2876" max="3072" width="9.19921875" style="11"/>
    <col min="3073" max="3073" width="34.265625" style="11" customWidth="1"/>
    <col min="3074" max="3074" width="13.73046875" style="11" customWidth="1"/>
    <col min="3075" max="3075" width="9.265625" style="11" bestFit="1" customWidth="1"/>
    <col min="3076" max="3076" width="10.53125" style="11" customWidth="1"/>
    <col min="3077" max="3078" width="9.265625" style="11" bestFit="1" customWidth="1"/>
    <col min="3079" max="3079" width="15.265625" style="11" bestFit="1" customWidth="1"/>
    <col min="3080" max="3080" width="9.265625" style="11" bestFit="1" customWidth="1"/>
    <col min="3081" max="3081" width="13.46484375" style="11" bestFit="1" customWidth="1"/>
    <col min="3082" max="3082" width="9.19921875" style="11" customWidth="1"/>
    <col min="3083" max="3083" width="12" style="11" customWidth="1"/>
    <col min="3084" max="3085" width="9.46484375" style="11" bestFit="1" customWidth="1"/>
    <col min="3086" max="3086" width="13.265625" style="11" customWidth="1"/>
    <col min="3087" max="3087" width="9.46484375" style="11" bestFit="1" customWidth="1"/>
    <col min="3088" max="3088" width="9.796875" style="11" bestFit="1" customWidth="1"/>
    <col min="3089" max="3089" width="12.46484375" style="11" bestFit="1" customWidth="1"/>
    <col min="3090" max="3090" width="10.19921875" style="11" customWidth="1"/>
    <col min="3091" max="3091" width="10" style="11" bestFit="1" customWidth="1"/>
    <col min="3092" max="3092" width="10.53125" style="11" customWidth="1"/>
    <col min="3093" max="3093" width="9.46484375" style="11" bestFit="1" customWidth="1"/>
    <col min="3094" max="3094" width="9.265625" style="11" bestFit="1" customWidth="1"/>
    <col min="3095" max="3095" width="9.265625" style="11" customWidth="1"/>
    <col min="3096" max="3096" width="9.46484375" style="11" bestFit="1" customWidth="1"/>
    <col min="3097" max="3097" width="10.19921875" style="11" customWidth="1"/>
    <col min="3098" max="3098" width="12.19921875" style="11" customWidth="1"/>
    <col min="3099" max="3099" width="9.53125" style="11" customWidth="1"/>
    <col min="3100" max="3100" width="11.53125" style="11" customWidth="1"/>
    <col min="3101" max="3101" width="12.73046875" style="11" customWidth="1"/>
    <col min="3102" max="3102" width="14.796875" style="11" customWidth="1"/>
    <col min="3103" max="3103" width="9.53125" style="11" customWidth="1"/>
    <col min="3104" max="3104" width="10.53125" style="11" customWidth="1"/>
    <col min="3105" max="3105" width="9.19921875" style="11"/>
    <col min="3106" max="3106" width="13.265625" style="11" customWidth="1"/>
    <col min="3107" max="3107" width="11.19921875" style="11" customWidth="1"/>
    <col min="3108" max="3108" width="9.19921875" style="11"/>
    <col min="3109" max="3109" width="9.19921875" style="11" customWidth="1"/>
    <col min="3110" max="3110" width="11.265625" style="11" customWidth="1"/>
    <col min="3111" max="3116" width="9.19921875" style="11"/>
    <col min="3117" max="3117" width="11.46484375" style="11" customWidth="1"/>
    <col min="3118" max="3118" width="11.73046875" style="11" customWidth="1"/>
    <col min="3119" max="3125" width="9.19921875" style="11"/>
    <col min="3126" max="3126" width="11" style="11" customWidth="1"/>
    <col min="3127" max="3128" width="9.19921875" style="11"/>
    <col min="3129" max="3129" width="10.265625" style="11" customWidth="1"/>
    <col min="3130" max="3130" width="10.19921875" style="11" customWidth="1"/>
    <col min="3131" max="3131" width="12.19921875" style="11" customWidth="1"/>
    <col min="3132" max="3328" width="9.19921875" style="11"/>
    <col min="3329" max="3329" width="34.265625" style="11" customWidth="1"/>
    <col min="3330" max="3330" width="13.73046875" style="11" customWidth="1"/>
    <col min="3331" max="3331" width="9.265625" style="11" bestFit="1" customWidth="1"/>
    <col min="3332" max="3332" width="10.53125" style="11" customWidth="1"/>
    <col min="3333" max="3334" width="9.265625" style="11" bestFit="1" customWidth="1"/>
    <col min="3335" max="3335" width="15.265625" style="11" bestFit="1" customWidth="1"/>
    <col min="3336" max="3336" width="9.265625" style="11" bestFit="1" customWidth="1"/>
    <col min="3337" max="3337" width="13.46484375" style="11" bestFit="1" customWidth="1"/>
    <col min="3338" max="3338" width="9.19921875" style="11" customWidth="1"/>
    <col min="3339" max="3339" width="12" style="11" customWidth="1"/>
    <col min="3340" max="3341" width="9.46484375" style="11" bestFit="1" customWidth="1"/>
    <col min="3342" max="3342" width="13.265625" style="11" customWidth="1"/>
    <col min="3343" max="3343" width="9.46484375" style="11" bestFit="1" customWidth="1"/>
    <col min="3344" max="3344" width="9.796875" style="11" bestFit="1" customWidth="1"/>
    <col min="3345" max="3345" width="12.46484375" style="11" bestFit="1" customWidth="1"/>
    <col min="3346" max="3346" width="10.19921875" style="11" customWidth="1"/>
    <col min="3347" max="3347" width="10" style="11" bestFit="1" customWidth="1"/>
    <col min="3348" max="3348" width="10.53125" style="11" customWidth="1"/>
    <col min="3349" max="3349" width="9.46484375" style="11" bestFit="1" customWidth="1"/>
    <col min="3350" max="3350" width="9.265625" style="11" bestFit="1" customWidth="1"/>
    <col min="3351" max="3351" width="9.265625" style="11" customWidth="1"/>
    <col min="3352" max="3352" width="9.46484375" style="11" bestFit="1" customWidth="1"/>
    <col min="3353" max="3353" width="10.19921875" style="11" customWidth="1"/>
    <col min="3354" max="3354" width="12.19921875" style="11" customWidth="1"/>
    <col min="3355" max="3355" width="9.53125" style="11" customWidth="1"/>
    <col min="3356" max="3356" width="11.53125" style="11" customWidth="1"/>
    <col min="3357" max="3357" width="12.73046875" style="11" customWidth="1"/>
    <col min="3358" max="3358" width="14.796875" style="11" customWidth="1"/>
    <col min="3359" max="3359" width="9.53125" style="11" customWidth="1"/>
    <col min="3360" max="3360" width="10.53125" style="11" customWidth="1"/>
    <col min="3361" max="3361" width="9.19921875" style="11"/>
    <col min="3362" max="3362" width="13.265625" style="11" customWidth="1"/>
    <col min="3363" max="3363" width="11.19921875" style="11" customWidth="1"/>
    <col min="3364" max="3364" width="9.19921875" style="11"/>
    <col min="3365" max="3365" width="9.19921875" style="11" customWidth="1"/>
    <col min="3366" max="3366" width="11.265625" style="11" customWidth="1"/>
    <col min="3367" max="3372" width="9.19921875" style="11"/>
    <col min="3373" max="3373" width="11.46484375" style="11" customWidth="1"/>
    <col min="3374" max="3374" width="11.73046875" style="11" customWidth="1"/>
    <col min="3375" max="3381" width="9.19921875" style="11"/>
    <col min="3382" max="3382" width="11" style="11" customWidth="1"/>
    <col min="3383" max="3384" width="9.19921875" style="11"/>
    <col min="3385" max="3385" width="10.265625" style="11" customWidth="1"/>
    <col min="3386" max="3386" width="10.19921875" style="11" customWidth="1"/>
    <col min="3387" max="3387" width="12.19921875" style="11" customWidth="1"/>
    <col min="3388" max="3584" width="9.19921875" style="11"/>
    <col min="3585" max="3585" width="34.265625" style="11" customWidth="1"/>
    <col min="3586" max="3586" width="13.73046875" style="11" customWidth="1"/>
    <col min="3587" max="3587" width="9.265625" style="11" bestFit="1" customWidth="1"/>
    <col min="3588" max="3588" width="10.53125" style="11" customWidth="1"/>
    <col min="3589" max="3590" width="9.265625" style="11" bestFit="1" customWidth="1"/>
    <col min="3591" max="3591" width="15.265625" style="11" bestFit="1" customWidth="1"/>
    <col min="3592" max="3592" width="9.265625" style="11" bestFit="1" customWidth="1"/>
    <col min="3593" max="3593" width="13.46484375" style="11" bestFit="1" customWidth="1"/>
    <col min="3594" max="3594" width="9.19921875" style="11" customWidth="1"/>
    <col min="3595" max="3595" width="12" style="11" customWidth="1"/>
    <col min="3596" max="3597" width="9.46484375" style="11" bestFit="1" customWidth="1"/>
    <col min="3598" max="3598" width="13.265625" style="11" customWidth="1"/>
    <col min="3599" max="3599" width="9.46484375" style="11" bestFit="1" customWidth="1"/>
    <col min="3600" max="3600" width="9.796875" style="11" bestFit="1" customWidth="1"/>
    <col min="3601" max="3601" width="12.46484375" style="11" bestFit="1" customWidth="1"/>
    <col min="3602" max="3602" width="10.19921875" style="11" customWidth="1"/>
    <col min="3603" max="3603" width="10" style="11" bestFit="1" customWidth="1"/>
    <col min="3604" max="3604" width="10.53125" style="11" customWidth="1"/>
    <col min="3605" max="3605" width="9.46484375" style="11" bestFit="1" customWidth="1"/>
    <col min="3606" max="3606" width="9.265625" style="11" bestFit="1" customWidth="1"/>
    <col min="3607" max="3607" width="9.265625" style="11" customWidth="1"/>
    <col min="3608" max="3608" width="9.46484375" style="11" bestFit="1" customWidth="1"/>
    <col min="3609" max="3609" width="10.19921875" style="11" customWidth="1"/>
    <col min="3610" max="3610" width="12.19921875" style="11" customWidth="1"/>
    <col min="3611" max="3611" width="9.53125" style="11" customWidth="1"/>
    <col min="3612" max="3612" width="11.53125" style="11" customWidth="1"/>
    <col min="3613" max="3613" width="12.73046875" style="11" customWidth="1"/>
    <col min="3614" max="3614" width="14.796875" style="11" customWidth="1"/>
    <col min="3615" max="3615" width="9.53125" style="11" customWidth="1"/>
    <col min="3616" max="3616" width="10.53125" style="11" customWidth="1"/>
    <col min="3617" max="3617" width="9.19921875" style="11"/>
    <col min="3618" max="3618" width="13.265625" style="11" customWidth="1"/>
    <col min="3619" max="3619" width="11.19921875" style="11" customWidth="1"/>
    <col min="3620" max="3620" width="9.19921875" style="11"/>
    <col min="3621" max="3621" width="9.19921875" style="11" customWidth="1"/>
    <col min="3622" max="3622" width="11.265625" style="11" customWidth="1"/>
    <col min="3623" max="3628" width="9.19921875" style="11"/>
    <col min="3629" max="3629" width="11.46484375" style="11" customWidth="1"/>
    <col min="3630" max="3630" width="11.73046875" style="11" customWidth="1"/>
    <col min="3631" max="3637" width="9.19921875" style="11"/>
    <col min="3638" max="3638" width="11" style="11" customWidth="1"/>
    <col min="3639" max="3640" width="9.19921875" style="11"/>
    <col min="3641" max="3641" width="10.265625" style="11" customWidth="1"/>
    <col min="3642" max="3642" width="10.19921875" style="11" customWidth="1"/>
    <col min="3643" max="3643" width="12.19921875" style="11" customWidth="1"/>
    <col min="3644" max="3840" width="9.19921875" style="11"/>
    <col min="3841" max="3841" width="34.265625" style="11" customWidth="1"/>
    <col min="3842" max="3842" width="13.73046875" style="11" customWidth="1"/>
    <col min="3843" max="3843" width="9.265625" style="11" bestFit="1" customWidth="1"/>
    <col min="3844" max="3844" width="10.53125" style="11" customWidth="1"/>
    <col min="3845" max="3846" width="9.265625" style="11" bestFit="1" customWidth="1"/>
    <col min="3847" max="3847" width="15.265625" style="11" bestFit="1" customWidth="1"/>
    <col min="3848" max="3848" width="9.265625" style="11" bestFit="1" customWidth="1"/>
    <col min="3849" max="3849" width="13.46484375" style="11" bestFit="1" customWidth="1"/>
    <col min="3850" max="3850" width="9.19921875" style="11" customWidth="1"/>
    <col min="3851" max="3851" width="12" style="11" customWidth="1"/>
    <col min="3852" max="3853" width="9.46484375" style="11" bestFit="1" customWidth="1"/>
    <col min="3854" max="3854" width="13.265625" style="11" customWidth="1"/>
    <col min="3855" max="3855" width="9.46484375" style="11" bestFit="1" customWidth="1"/>
    <col min="3856" max="3856" width="9.796875" style="11" bestFit="1" customWidth="1"/>
    <col min="3857" max="3857" width="12.46484375" style="11" bestFit="1" customWidth="1"/>
    <col min="3858" max="3858" width="10.19921875" style="11" customWidth="1"/>
    <col min="3859" max="3859" width="10" style="11" bestFit="1" customWidth="1"/>
    <col min="3860" max="3860" width="10.53125" style="11" customWidth="1"/>
    <col min="3861" max="3861" width="9.46484375" style="11" bestFit="1" customWidth="1"/>
    <col min="3862" max="3862" width="9.265625" style="11" bestFit="1" customWidth="1"/>
    <col min="3863" max="3863" width="9.265625" style="11" customWidth="1"/>
    <col min="3864" max="3864" width="9.46484375" style="11" bestFit="1" customWidth="1"/>
    <col min="3865" max="3865" width="10.19921875" style="11" customWidth="1"/>
    <col min="3866" max="3866" width="12.19921875" style="11" customWidth="1"/>
    <col min="3867" max="3867" width="9.53125" style="11" customWidth="1"/>
    <col min="3868" max="3868" width="11.53125" style="11" customWidth="1"/>
    <col min="3869" max="3869" width="12.73046875" style="11" customWidth="1"/>
    <col min="3870" max="3870" width="14.796875" style="11" customWidth="1"/>
    <col min="3871" max="3871" width="9.53125" style="11" customWidth="1"/>
    <col min="3872" max="3872" width="10.53125" style="11" customWidth="1"/>
    <col min="3873" max="3873" width="9.19921875" style="11"/>
    <col min="3874" max="3874" width="13.265625" style="11" customWidth="1"/>
    <col min="3875" max="3875" width="11.19921875" style="11" customWidth="1"/>
    <col min="3876" max="3876" width="9.19921875" style="11"/>
    <col min="3877" max="3877" width="9.19921875" style="11" customWidth="1"/>
    <col min="3878" max="3878" width="11.265625" style="11" customWidth="1"/>
    <col min="3879" max="3884" width="9.19921875" style="11"/>
    <col min="3885" max="3885" width="11.46484375" style="11" customWidth="1"/>
    <col min="3886" max="3886" width="11.73046875" style="11" customWidth="1"/>
    <col min="3887" max="3893" width="9.19921875" style="11"/>
    <col min="3894" max="3894" width="11" style="11" customWidth="1"/>
    <col min="3895" max="3896" width="9.19921875" style="11"/>
    <col min="3897" max="3897" width="10.265625" style="11" customWidth="1"/>
    <col min="3898" max="3898" width="10.19921875" style="11" customWidth="1"/>
    <col min="3899" max="3899" width="12.19921875" style="11" customWidth="1"/>
    <col min="3900" max="4096" width="9.19921875" style="11"/>
    <col min="4097" max="4097" width="34.265625" style="11" customWidth="1"/>
    <col min="4098" max="4098" width="13.73046875" style="11" customWidth="1"/>
    <col min="4099" max="4099" width="9.265625" style="11" bestFit="1" customWidth="1"/>
    <col min="4100" max="4100" width="10.53125" style="11" customWidth="1"/>
    <col min="4101" max="4102" width="9.265625" style="11" bestFit="1" customWidth="1"/>
    <col min="4103" max="4103" width="15.265625" style="11" bestFit="1" customWidth="1"/>
    <col min="4104" max="4104" width="9.265625" style="11" bestFit="1" customWidth="1"/>
    <col min="4105" max="4105" width="13.46484375" style="11" bestFit="1" customWidth="1"/>
    <col min="4106" max="4106" width="9.19921875" style="11" customWidth="1"/>
    <col min="4107" max="4107" width="12" style="11" customWidth="1"/>
    <col min="4108" max="4109" width="9.46484375" style="11" bestFit="1" customWidth="1"/>
    <col min="4110" max="4110" width="13.265625" style="11" customWidth="1"/>
    <col min="4111" max="4111" width="9.46484375" style="11" bestFit="1" customWidth="1"/>
    <col min="4112" max="4112" width="9.796875" style="11" bestFit="1" customWidth="1"/>
    <col min="4113" max="4113" width="12.46484375" style="11" bestFit="1" customWidth="1"/>
    <col min="4114" max="4114" width="10.19921875" style="11" customWidth="1"/>
    <col min="4115" max="4115" width="10" style="11" bestFit="1" customWidth="1"/>
    <col min="4116" max="4116" width="10.53125" style="11" customWidth="1"/>
    <col min="4117" max="4117" width="9.46484375" style="11" bestFit="1" customWidth="1"/>
    <col min="4118" max="4118" width="9.265625" style="11" bestFit="1" customWidth="1"/>
    <col min="4119" max="4119" width="9.265625" style="11" customWidth="1"/>
    <col min="4120" max="4120" width="9.46484375" style="11" bestFit="1" customWidth="1"/>
    <col min="4121" max="4121" width="10.19921875" style="11" customWidth="1"/>
    <col min="4122" max="4122" width="12.19921875" style="11" customWidth="1"/>
    <col min="4123" max="4123" width="9.53125" style="11" customWidth="1"/>
    <col min="4124" max="4124" width="11.53125" style="11" customWidth="1"/>
    <col min="4125" max="4125" width="12.73046875" style="11" customWidth="1"/>
    <col min="4126" max="4126" width="14.796875" style="11" customWidth="1"/>
    <col min="4127" max="4127" width="9.53125" style="11" customWidth="1"/>
    <col min="4128" max="4128" width="10.53125" style="11" customWidth="1"/>
    <col min="4129" max="4129" width="9.19921875" style="11"/>
    <col min="4130" max="4130" width="13.265625" style="11" customWidth="1"/>
    <col min="4131" max="4131" width="11.19921875" style="11" customWidth="1"/>
    <col min="4132" max="4132" width="9.19921875" style="11"/>
    <col min="4133" max="4133" width="9.19921875" style="11" customWidth="1"/>
    <col min="4134" max="4134" width="11.265625" style="11" customWidth="1"/>
    <col min="4135" max="4140" width="9.19921875" style="11"/>
    <col min="4141" max="4141" width="11.46484375" style="11" customWidth="1"/>
    <col min="4142" max="4142" width="11.73046875" style="11" customWidth="1"/>
    <col min="4143" max="4149" width="9.19921875" style="11"/>
    <col min="4150" max="4150" width="11" style="11" customWidth="1"/>
    <col min="4151" max="4152" width="9.19921875" style="11"/>
    <col min="4153" max="4153" width="10.265625" style="11" customWidth="1"/>
    <col min="4154" max="4154" width="10.19921875" style="11" customWidth="1"/>
    <col min="4155" max="4155" width="12.19921875" style="11" customWidth="1"/>
    <col min="4156" max="4352" width="9.19921875" style="11"/>
    <col min="4353" max="4353" width="34.265625" style="11" customWidth="1"/>
    <col min="4354" max="4354" width="13.73046875" style="11" customWidth="1"/>
    <col min="4355" max="4355" width="9.265625" style="11" bestFit="1" customWidth="1"/>
    <col min="4356" max="4356" width="10.53125" style="11" customWidth="1"/>
    <col min="4357" max="4358" width="9.265625" style="11" bestFit="1" customWidth="1"/>
    <col min="4359" max="4359" width="15.265625" style="11" bestFit="1" customWidth="1"/>
    <col min="4360" max="4360" width="9.265625" style="11" bestFit="1" customWidth="1"/>
    <col min="4361" max="4361" width="13.46484375" style="11" bestFit="1" customWidth="1"/>
    <col min="4362" max="4362" width="9.19921875" style="11" customWidth="1"/>
    <col min="4363" max="4363" width="12" style="11" customWidth="1"/>
    <col min="4364" max="4365" width="9.46484375" style="11" bestFit="1" customWidth="1"/>
    <col min="4366" max="4366" width="13.265625" style="11" customWidth="1"/>
    <col min="4367" max="4367" width="9.46484375" style="11" bestFit="1" customWidth="1"/>
    <col min="4368" max="4368" width="9.796875" style="11" bestFit="1" customWidth="1"/>
    <col min="4369" max="4369" width="12.46484375" style="11" bestFit="1" customWidth="1"/>
    <col min="4370" max="4370" width="10.19921875" style="11" customWidth="1"/>
    <col min="4371" max="4371" width="10" style="11" bestFit="1" customWidth="1"/>
    <col min="4372" max="4372" width="10.53125" style="11" customWidth="1"/>
    <col min="4373" max="4373" width="9.46484375" style="11" bestFit="1" customWidth="1"/>
    <col min="4374" max="4374" width="9.265625" style="11" bestFit="1" customWidth="1"/>
    <col min="4375" max="4375" width="9.265625" style="11" customWidth="1"/>
    <col min="4376" max="4376" width="9.46484375" style="11" bestFit="1" customWidth="1"/>
    <col min="4377" max="4377" width="10.19921875" style="11" customWidth="1"/>
    <col min="4378" max="4378" width="12.19921875" style="11" customWidth="1"/>
    <col min="4379" max="4379" width="9.53125" style="11" customWidth="1"/>
    <col min="4380" max="4380" width="11.53125" style="11" customWidth="1"/>
    <col min="4381" max="4381" width="12.73046875" style="11" customWidth="1"/>
    <col min="4382" max="4382" width="14.796875" style="11" customWidth="1"/>
    <col min="4383" max="4383" width="9.53125" style="11" customWidth="1"/>
    <col min="4384" max="4384" width="10.53125" style="11" customWidth="1"/>
    <col min="4385" max="4385" width="9.19921875" style="11"/>
    <col min="4386" max="4386" width="13.265625" style="11" customWidth="1"/>
    <col min="4387" max="4387" width="11.19921875" style="11" customWidth="1"/>
    <col min="4388" max="4388" width="9.19921875" style="11"/>
    <col min="4389" max="4389" width="9.19921875" style="11" customWidth="1"/>
    <col min="4390" max="4390" width="11.265625" style="11" customWidth="1"/>
    <col min="4391" max="4396" width="9.19921875" style="11"/>
    <col min="4397" max="4397" width="11.46484375" style="11" customWidth="1"/>
    <col min="4398" max="4398" width="11.73046875" style="11" customWidth="1"/>
    <col min="4399" max="4405" width="9.19921875" style="11"/>
    <col min="4406" max="4406" width="11" style="11" customWidth="1"/>
    <col min="4407" max="4408" width="9.19921875" style="11"/>
    <col min="4409" max="4409" width="10.265625" style="11" customWidth="1"/>
    <col min="4410" max="4410" width="10.19921875" style="11" customWidth="1"/>
    <col min="4411" max="4411" width="12.19921875" style="11" customWidth="1"/>
    <col min="4412" max="4608" width="9.19921875" style="11"/>
    <col min="4609" max="4609" width="34.265625" style="11" customWidth="1"/>
    <col min="4610" max="4610" width="13.73046875" style="11" customWidth="1"/>
    <col min="4611" max="4611" width="9.265625" style="11" bestFit="1" customWidth="1"/>
    <col min="4612" max="4612" width="10.53125" style="11" customWidth="1"/>
    <col min="4613" max="4614" width="9.265625" style="11" bestFit="1" customWidth="1"/>
    <col min="4615" max="4615" width="15.265625" style="11" bestFit="1" customWidth="1"/>
    <col min="4616" max="4616" width="9.265625" style="11" bestFit="1" customWidth="1"/>
    <col min="4617" max="4617" width="13.46484375" style="11" bestFit="1" customWidth="1"/>
    <col min="4618" max="4618" width="9.19921875" style="11" customWidth="1"/>
    <col min="4619" max="4619" width="12" style="11" customWidth="1"/>
    <col min="4620" max="4621" width="9.46484375" style="11" bestFit="1" customWidth="1"/>
    <col min="4622" max="4622" width="13.265625" style="11" customWidth="1"/>
    <col min="4623" max="4623" width="9.46484375" style="11" bestFit="1" customWidth="1"/>
    <col min="4624" max="4624" width="9.796875" style="11" bestFit="1" customWidth="1"/>
    <col min="4625" max="4625" width="12.46484375" style="11" bestFit="1" customWidth="1"/>
    <col min="4626" max="4626" width="10.19921875" style="11" customWidth="1"/>
    <col min="4627" max="4627" width="10" style="11" bestFit="1" customWidth="1"/>
    <col min="4628" max="4628" width="10.53125" style="11" customWidth="1"/>
    <col min="4629" max="4629" width="9.46484375" style="11" bestFit="1" customWidth="1"/>
    <col min="4630" max="4630" width="9.265625" style="11" bestFit="1" customWidth="1"/>
    <col min="4631" max="4631" width="9.265625" style="11" customWidth="1"/>
    <col min="4632" max="4632" width="9.46484375" style="11" bestFit="1" customWidth="1"/>
    <col min="4633" max="4633" width="10.19921875" style="11" customWidth="1"/>
    <col min="4634" max="4634" width="12.19921875" style="11" customWidth="1"/>
    <col min="4635" max="4635" width="9.53125" style="11" customWidth="1"/>
    <col min="4636" max="4636" width="11.53125" style="11" customWidth="1"/>
    <col min="4637" max="4637" width="12.73046875" style="11" customWidth="1"/>
    <col min="4638" max="4638" width="14.796875" style="11" customWidth="1"/>
    <col min="4639" max="4639" width="9.53125" style="11" customWidth="1"/>
    <col min="4640" max="4640" width="10.53125" style="11" customWidth="1"/>
    <col min="4641" max="4641" width="9.19921875" style="11"/>
    <col min="4642" max="4642" width="13.265625" style="11" customWidth="1"/>
    <col min="4643" max="4643" width="11.19921875" style="11" customWidth="1"/>
    <col min="4644" max="4644" width="9.19921875" style="11"/>
    <col min="4645" max="4645" width="9.19921875" style="11" customWidth="1"/>
    <col min="4646" max="4646" width="11.265625" style="11" customWidth="1"/>
    <col min="4647" max="4652" width="9.19921875" style="11"/>
    <col min="4653" max="4653" width="11.46484375" style="11" customWidth="1"/>
    <col min="4654" max="4654" width="11.73046875" style="11" customWidth="1"/>
    <col min="4655" max="4661" width="9.19921875" style="11"/>
    <col min="4662" max="4662" width="11" style="11" customWidth="1"/>
    <col min="4663" max="4664" width="9.19921875" style="11"/>
    <col min="4665" max="4665" width="10.265625" style="11" customWidth="1"/>
    <col min="4666" max="4666" width="10.19921875" style="11" customWidth="1"/>
    <col min="4667" max="4667" width="12.19921875" style="11" customWidth="1"/>
    <col min="4668" max="4864" width="9.19921875" style="11"/>
    <col min="4865" max="4865" width="34.265625" style="11" customWidth="1"/>
    <col min="4866" max="4866" width="13.73046875" style="11" customWidth="1"/>
    <col min="4867" max="4867" width="9.265625" style="11" bestFit="1" customWidth="1"/>
    <col min="4868" max="4868" width="10.53125" style="11" customWidth="1"/>
    <col min="4869" max="4870" width="9.265625" style="11" bestFit="1" customWidth="1"/>
    <col min="4871" max="4871" width="15.265625" style="11" bestFit="1" customWidth="1"/>
    <col min="4872" max="4872" width="9.265625" style="11" bestFit="1" customWidth="1"/>
    <col min="4873" max="4873" width="13.46484375" style="11" bestFit="1" customWidth="1"/>
    <col min="4874" max="4874" width="9.19921875" style="11" customWidth="1"/>
    <col min="4875" max="4875" width="12" style="11" customWidth="1"/>
    <col min="4876" max="4877" width="9.46484375" style="11" bestFit="1" customWidth="1"/>
    <col min="4878" max="4878" width="13.265625" style="11" customWidth="1"/>
    <col min="4879" max="4879" width="9.46484375" style="11" bestFit="1" customWidth="1"/>
    <col min="4880" max="4880" width="9.796875" style="11" bestFit="1" customWidth="1"/>
    <col min="4881" max="4881" width="12.46484375" style="11" bestFit="1" customWidth="1"/>
    <col min="4882" max="4882" width="10.19921875" style="11" customWidth="1"/>
    <col min="4883" max="4883" width="10" style="11" bestFit="1" customWidth="1"/>
    <col min="4884" max="4884" width="10.53125" style="11" customWidth="1"/>
    <col min="4885" max="4885" width="9.46484375" style="11" bestFit="1" customWidth="1"/>
    <col min="4886" max="4886" width="9.265625" style="11" bestFit="1" customWidth="1"/>
    <col min="4887" max="4887" width="9.265625" style="11" customWidth="1"/>
    <col min="4888" max="4888" width="9.46484375" style="11" bestFit="1" customWidth="1"/>
    <col min="4889" max="4889" width="10.19921875" style="11" customWidth="1"/>
    <col min="4890" max="4890" width="12.19921875" style="11" customWidth="1"/>
    <col min="4891" max="4891" width="9.53125" style="11" customWidth="1"/>
    <col min="4892" max="4892" width="11.53125" style="11" customWidth="1"/>
    <col min="4893" max="4893" width="12.73046875" style="11" customWidth="1"/>
    <col min="4894" max="4894" width="14.796875" style="11" customWidth="1"/>
    <col min="4895" max="4895" width="9.53125" style="11" customWidth="1"/>
    <col min="4896" max="4896" width="10.53125" style="11" customWidth="1"/>
    <col min="4897" max="4897" width="9.19921875" style="11"/>
    <col min="4898" max="4898" width="13.265625" style="11" customWidth="1"/>
    <col min="4899" max="4899" width="11.19921875" style="11" customWidth="1"/>
    <col min="4900" max="4900" width="9.19921875" style="11"/>
    <col min="4901" max="4901" width="9.19921875" style="11" customWidth="1"/>
    <col min="4902" max="4902" width="11.265625" style="11" customWidth="1"/>
    <col min="4903" max="4908" width="9.19921875" style="11"/>
    <col min="4909" max="4909" width="11.46484375" style="11" customWidth="1"/>
    <col min="4910" max="4910" width="11.73046875" style="11" customWidth="1"/>
    <col min="4911" max="4917" width="9.19921875" style="11"/>
    <col min="4918" max="4918" width="11" style="11" customWidth="1"/>
    <col min="4919" max="4920" width="9.19921875" style="11"/>
    <col min="4921" max="4921" width="10.265625" style="11" customWidth="1"/>
    <col min="4922" max="4922" width="10.19921875" style="11" customWidth="1"/>
    <col min="4923" max="4923" width="12.19921875" style="11" customWidth="1"/>
    <col min="4924" max="5120" width="9.19921875" style="11"/>
    <col min="5121" max="5121" width="34.265625" style="11" customWidth="1"/>
    <col min="5122" max="5122" width="13.73046875" style="11" customWidth="1"/>
    <col min="5123" max="5123" width="9.265625" style="11" bestFit="1" customWidth="1"/>
    <col min="5124" max="5124" width="10.53125" style="11" customWidth="1"/>
    <col min="5125" max="5126" width="9.265625" style="11" bestFit="1" customWidth="1"/>
    <col min="5127" max="5127" width="15.265625" style="11" bestFit="1" customWidth="1"/>
    <col min="5128" max="5128" width="9.265625" style="11" bestFit="1" customWidth="1"/>
    <col min="5129" max="5129" width="13.46484375" style="11" bestFit="1" customWidth="1"/>
    <col min="5130" max="5130" width="9.19921875" style="11" customWidth="1"/>
    <col min="5131" max="5131" width="12" style="11" customWidth="1"/>
    <col min="5132" max="5133" width="9.46484375" style="11" bestFit="1" customWidth="1"/>
    <col min="5134" max="5134" width="13.265625" style="11" customWidth="1"/>
    <col min="5135" max="5135" width="9.46484375" style="11" bestFit="1" customWidth="1"/>
    <col min="5136" max="5136" width="9.796875" style="11" bestFit="1" customWidth="1"/>
    <col min="5137" max="5137" width="12.46484375" style="11" bestFit="1" customWidth="1"/>
    <col min="5138" max="5138" width="10.19921875" style="11" customWidth="1"/>
    <col min="5139" max="5139" width="10" style="11" bestFit="1" customWidth="1"/>
    <col min="5140" max="5140" width="10.53125" style="11" customWidth="1"/>
    <col min="5141" max="5141" width="9.46484375" style="11" bestFit="1" customWidth="1"/>
    <col min="5142" max="5142" width="9.265625" style="11" bestFit="1" customWidth="1"/>
    <col min="5143" max="5143" width="9.265625" style="11" customWidth="1"/>
    <col min="5144" max="5144" width="9.46484375" style="11" bestFit="1" customWidth="1"/>
    <col min="5145" max="5145" width="10.19921875" style="11" customWidth="1"/>
    <col min="5146" max="5146" width="12.19921875" style="11" customWidth="1"/>
    <col min="5147" max="5147" width="9.53125" style="11" customWidth="1"/>
    <col min="5148" max="5148" width="11.53125" style="11" customWidth="1"/>
    <col min="5149" max="5149" width="12.73046875" style="11" customWidth="1"/>
    <col min="5150" max="5150" width="14.796875" style="11" customWidth="1"/>
    <col min="5151" max="5151" width="9.53125" style="11" customWidth="1"/>
    <col min="5152" max="5152" width="10.53125" style="11" customWidth="1"/>
    <col min="5153" max="5153" width="9.19921875" style="11"/>
    <col min="5154" max="5154" width="13.265625" style="11" customWidth="1"/>
    <col min="5155" max="5155" width="11.19921875" style="11" customWidth="1"/>
    <col min="5156" max="5156" width="9.19921875" style="11"/>
    <col min="5157" max="5157" width="9.19921875" style="11" customWidth="1"/>
    <col min="5158" max="5158" width="11.265625" style="11" customWidth="1"/>
    <col min="5159" max="5164" width="9.19921875" style="11"/>
    <col min="5165" max="5165" width="11.46484375" style="11" customWidth="1"/>
    <col min="5166" max="5166" width="11.73046875" style="11" customWidth="1"/>
    <col min="5167" max="5173" width="9.19921875" style="11"/>
    <col min="5174" max="5174" width="11" style="11" customWidth="1"/>
    <col min="5175" max="5176" width="9.19921875" style="11"/>
    <col min="5177" max="5177" width="10.265625" style="11" customWidth="1"/>
    <col min="5178" max="5178" width="10.19921875" style="11" customWidth="1"/>
    <col min="5179" max="5179" width="12.19921875" style="11" customWidth="1"/>
    <col min="5180" max="5376" width="9.19921875" style="11"/>
    <col min="5377" max="5377" width="34.265625" style="11" customWidth="1"/>
    <col min="5378" max="5378" width="13.73046875" style="11" customWidth="1"/>
    <col min="5379" max="5379" width="9.265625" style="11" bestFit="1" customWidth="1"/>
    <col min="5380" max="5380" width="10.53125" style="11" customWidth="1"/>
    <col min="5381" max="5382" width="9.265625" style="11" bestFit="1" customWidth="1"/>
    <col min="5383" max="5383" width="15.265625" style="11" bestFit="1" customWidth="1"/>
    <col min="5384" max="5384" width="9.265625" style="11" bestFit="1" customWidth="1"/>
    <col min="5385" max="5385" width="13.46484375" style="11" bestFit="1" customWidth="1"/>
    <col min="5386" max="5386" width="9.19921875" style="11" customWidth="1"/>
    <col min="5387" max="5387" width="12" style="11" customWidth="1"/>
    <col min="5388" max="5389" width="9.46484375" style="11" bestFit="1" customWidth="1"/>
    <col min="5390" max="5390" width="13.265625" style="11" customWidth="1"/>
    <col min="5391" max="5391" width="9.46484375" style="11" bestFit="1" customWidth="1"/>
    <col min="5392" max="5392" width="9.796875" style="11" bestFit="1" customWidth="1"/>
    <col min="5393" max="5393" width="12.46484375" style="11" bestFit="1" customWidth="1"/>
    <col min="5394" max="5394" width="10.19921875" style="11" customWidth="1"/>
    <col min="5395" max="5395" width="10" style="11" bestFit="1" customWidth="1"/>
    <col min="5396" max="5396" width="10.53125" style="11" customWidth="1"/>
    <col min="5397" max="5397" width="9.46484375" style="11" bestFit="1" customWidth="1"/>
    <col min="5398" max="5398" width="9.265625" style="11" bestFit="1" customWidth="1"/>
    <col min="5399" max="5399" width="9.265625" style="11" customWidth="1"/>
    <col min="5400" max="5400" width="9.46484375" style="11" bestFit="1" customWidth="1"/>
    <col min="5401" max="5401" width="10.19921875" style="11" customWidth="1"/>
    <col min="5402" max="5402" width="12.19921875" style="11" customWidth="1"/>
    <col min="5403" max="5403" width="9.53125" style="11" customWidth="1"/>
    <col min="5404" max="5404" width="11.53125" style="11" customWidth="1"/>
    <col min="5405" max="5405" width="12.73046875" style="11" customWidth="1"/>
    <col min="5406" max="5406" width="14.796875" style="11" customWidth="1"/>
    <col min="5407" max="5407" width="9.53125" style="11" customWidth="1"/>
    <col min="5408" max="5408" width="10.53125" style="11" customWidth="1"/>
    <col min="5409" max="5409" width="9.19921875" style="11"/>
    <col min="5410" max="5410" width="13.265625" style="11" customWidth="1"/>
    <col min="5411" max="5411" width="11.19921875" style="11" customWidth="1"/>
    <col min="5412" max="5412" width="9.19921875" style="11"/>
    <col min="5413" max="5413" width="9.19921875" style="11" customWidth="1"/>
    <col min="5414" max="5414" width="11.265625" style="11" customWidth="1"/>
    <col min="5415" max="5420" width="9.19921875" style="11"/>
    <col min="5421" max="5421" width="11.46484375" style="11" customWidth="1"/>
    <col min="5422" max="5422" width="11.73046875" style="11" customWidth="1"/>
    <col min="5423" max="5429" width="9.19921875" style="11"/>
    <col min="5430" max="5430" width="11" style="11" customWidth="1"/>
    <col min="5431" max="5432" width="9.19921875" style="11"/>
    <col min="5433" max="5433" width="10.265625" style="11" customWidth="1"/>
    <col min="5434" max="5434" width="10.19921875" style="11" customWidth="1"/>
    <col min="5435" max="5435" width="12.19921875" style="11" customWidth="1"/>
    <col min="5436" max="5632" width="9.19921875" style="11"/>
    <col min="5633" max="5633" width="34.265625" style="11" customWidth="1"/>
    <col min="5634" max="5634" width="13.73046875" style="11" customWidth="1"/>
    <col min="5635" max="5635" width="9.265625" style="11" bestFit="1" customWidth="1"/>
    <col min="5636" max="5636" width="10.53125" style="11" customWidth="1"/>
    <col min="5637" max="5638" width="9.265625" style="11" bestFit="1" customWidth="1"/>
    <col min="5639" max="5639" width="15.265625" style="11" bestFit="1" customWidth="1"/>
    <col min="5640" max="5640" width="9.265625" style="11" bestFit="1" customWidth="1"/>
    <col min="5641" max="5641" width="13.46484375" style="11" bestFit="1" customWidth="1"/>
    <col min="5642" max="5642" width="9.19921875" style="11" customWidth="1"/>
    <col min="5643" max="5643" width="12" style="11" customWidth="1"/>
    <col min="5644" max="5645" width="9.46484375" style="11" bestFit="1" customWidth="1"/>
    <col min="5646" max="5646" width="13.265625" style="11" customWidth="1"/>
    <col min="5647" max="5647" width="9.46484375" style="11" bestFit="1" customWidth="1"/>
    <col min="5648" max="5648" width="9.796875" style="11" bestFit="1" customWidth="1"/>
    <col min="5649" max="5649" width="12.46484375" style="11" bestFit="1" customWidth="1"/>
    <col min="5650" max="5650" width="10.19921875" style="11" customWidth="1"/>
    <col min="5651" max="5651" width="10" style="11" bestFit="1" customWidth="1"/>
    <col min="5652" max="5652" width="10.53125" style="11" customWidth="1"/>
    <col min="5653" max="5653" width="9.46484375" style="11" bestFit="1" customWidth="1"/>
    <col min="5654" max="5654" width="9.265625" style="11" bestFit="1" customWidth="1"/>
    <col min="5655" max="5655" width="9.265625" style="11" customWidth="1"/>
    <col min="5656" max="5656" width="9.46484375" style="11" bestFit="1" customWidth="1"/>
    <col min="5657" max="5657" width="10.19921875" style="11" customWidth="1"/>
    <col min="5658" max="5658" width="12.19921875" style="11" customWidth="1"/>
    <col min="5659" max="5659" width="9.53125" style="11" customWidth="1"/>
    <col min="5660" max="5660" width="11.53125" style="11" customWidth="1"/>
    <col min="5661" max="5661" width="12.73046875" style="11" customWidth="1"/>
    <col min="5662" max="5662" width="14.796875" style="11" customWidth="1"/>
    <col min="5663" max="5663" width="9.53125" style="11" customWidth="1"/>
    <col min="5664" max="5664" width="10.53125" style="11" customWidth="1"/>
    <col min="5665" max="5665" width="9.19921875" style="11"/>
    <col min="5666" max="5666" width="13.265625" style="11" customWidth="1"/>
    <col min="5667" max="5667" width="11.19921875" style="11" customWidth="1"/>
    <col min="5668" max="5668" width="9.19921875" style="11"/>
    <col min="5669" max="5669" width="9.19921875" style="11" customWidth="1"/>
    <col min="5670" max="5670" width="11.265625" style="11" customWidth="1"/>
    <col min="5671" max="5676" width="9.19921875" style="11"/>
    <col min="5677" max="5677" width="11.46484375" style="11" customWidth="1"/>
    <col min="5678" max="5678" width="11.73046875" style="11" customWidth="1"/>
    <col min="5679" max="5685" width="9.19921875" style="11"/>
    <col min="5686" max="5686" width="11" style="11" customWidth="1"/>
    <col min="5687" max="5688" width="9.19921875" style="11"/>
    <col min="5689" max="5689" width="10.265625" style="11" customWidth="1"/>
    <col min="5690" max="5690" width="10.19921875" style="11" customWidth="1"/>
    <col min="5691" max="5691" width="12.19921875" style="11" customWidth="1"/>
    <col min="5692" max="5888" width="9.19921875" style="11"/>
    <col min="5889" max="5889" width="34.265625" style="11" customWidth="1"/>
    <col min="5890" max="5890" width="13.73046875" style="11" customWidth="1"/>
    <col min="5891" max="5891" width="9.265625" style="11" bestFit="1" customWidth="1"/>
    <col min="5892" max="5892" width="10.53125" style="11" customWidth="1"/>
    <col min="5893" max="5894" width="9.265625" style="11" bestFit="1" customWidth="1"/>
    <col min="5895" max="5895" width="15.265625" style="11" bestFit="1" customWidth="1"/>
    <col min="5896" max="5896" width="9.265625" style="11" bestFit="1" customWidth="1"/>
    <col min="5897" max="5897" width="13.46484375" style="11" bestFit="1" customWidth="1"/>
    <col min="5898" max="5898" width="9.19921875" style="11" customWidth="1"/>
    <col min="5899" max="5899" width="12" style="11" customWidth="1"/>
    <col min="5900" max="5901" width="9.46484375" style="11" bestFit="1" customWidth="1"/>
    <col min="5902" max="5902" width="13.265625" style="11" customWidth="1"/>
    <col min="5903" max="5903" width="9.46484375" style="11" bestFit="1" customWidth="1"/>
    <col min="5904" max="5904" width="9.796875" style="11" bestFit="1" customWidth="1"/>
    <col min="5905" max="5905" width="12.46484375" style="11" bestFit="1" customWidth="1"/>
    <col min="5906" max="5906" width="10.19921875" style="11" customWidth="1"/>
    <col min="5907" max="5907" width="10" style="11" bestFit="1" customWidth="1"/>
    <col min="5908" max="5908" width="10.53125" style="11" customWidth="1"/>
    <col min="5909" max="5909" width="9.46484375" style="11" bestFit="1" customWidth="1"/>
    <col min="5910" max="5910" width="9.265625" style="11" bestFit="1" customWidth="1"/>
    <col min="5911" max="5911" width="9.265625" style="11" customWidth="1"/>
    <col min="5912" max="5912" width="9.46484375" style="11" bestFit="1" customWidth="1"/>
    <col min="5913" max="5913" width="10.19921875" style="11" customWidth="1"/>
    <col min="5914" max="5914" width="12.19921875" style="11" customWidth="1"/>
    <col min="5915" max="5915" width="9.53125" style="11" customWidth="1"/>
    <col min="5916" max="5916" width="11.53125" style="11" customWidth="1"/>
    <col min="5917" max="5917" width="12.73046875" style="11" customWidth="1"/>
    <col min="5918" max="5918" width="14.796875" style="11" customWidth="1"/>
    <col min="5919" max="5919" width="9.53125" style="11" customWidth="1"/>
    <col min="5920" max="5920" width="10.53125" style="11" customWidth="1"/>
    <col min="5921" max="5921" width="9.19921875" style="11"/>
    <col min="5922" max="5922" width="13.265625" style="11" customWidth="1"/>
    <col min="5923" max="5923" width="11.19921875" style="11" customWidth="1"/>
    <col min="5924" max="5924" width="9.19921875" style="11"/>
    <col min="5925" max="5925" width="9.19921875" style="11" customWidth="1"/>
    <col min="5926" max="5926" width="11.265625" style="11" customWidth="1"/>
    <col min="5927" max="5932" width="9.19921875" style="11"/>
    <col min="5933" max="5933" width="11.46484375" style="11" customWidth="1"/>
    <col min="5934" max="5934" width="11.73046875" style="11" customWidth="1"/>
    <col min="5935" max="5941" width="9.19921875" style="11"/>
    <col min="5942" max="5942" width="11" style="11" customWidth="1"/>
    <col min="5943" max="5944" width="9.19921875" style="11"/>
    <col min="5945" max="5945" width="10.265625" style="11" customWidth="1"/>
    <col min="5946" max="5946" width="10.19921875" style="11" customWidth="1"/>
    <col min="5947" max="5947" width="12.19921875" style="11" customWidth="1"/>
    <col min="5948" max="6144" width="9.19921875" style="11"/>
    <col min="6145" max="6145" width="34.265625" style="11" customWidth="1"/>
    <col min="6146" max="6146" width="13.73046875" style="11" customWidth="1"/>
    <col min="6147" max="6147" width="9.265625" style="11" bestFit="1" customWidth="1"/>
    <col min="6148" max="6148" width="10.53125" style="11" customWidth="1"/>
    <col min="6149" max="6150" width="9.265625" style="11" bestFit="1" customWidth="1"/>
    <col min="6151" max="6151" width="15.265625" style="11" bestFit="1" customWidth="1"/>
    <col min="6152" max="6152" width="9.265625" style="11" bestFit="1" customWidth="1"/>
    <col min="6153" max="6153" width="13.46484375" style="11" bestFit="1" customWidth="1"/>
    <col min="6154" max="6154" width="9.19921875" style="11" customWidth="1"/>
    <col min="6155" max="6155" width="12" style="11" customWidth="1"/>
    <col min="6156" max="6157" width="9.46484375" style="11" bestFit="1" customWidth="1"/>
    <col min="6158" max="6158" width="13.265625" style="11" customWidth="1"/>
    <col min="6159" max="6159" width="9.46484375" style="11" bestFit="1" customWidth="1"/>
    <col min="6160" max="6160" width="9.796875" style="11" bestFit="1" customWidth="1"/>
    <col min="6161" max="6161" width="12.46484375" style="11" bestFit="1" customWidth="1"/>
    <col min="6162" max="6162" width="10.19921875" style="11" customWidth="1"/>
    <col min="6163" max="6163" width="10" style="11" bestFit="1" customWidth="1"/>
    <col min="6164" max="6164" width="10.53125" style="11" customWidth="1"/>
    <col min="6165" max="6165" width="9.46484375" style="11" bestFit="1" customWidth="1"/>
    <col min="6166" max="6166" width="9.265625" style="11" bestFit="1" customWidth="1"/>
    <col min="6167" max="6167" width="9.265625" style="11" customWidth="1"/>
    <col min="6168" max="6168" width="9.46484375" style="11" bestFit="1" customWidth="1"/>
    <col min="6169" max="6169" width="10.19921875" style="11" customWidth="1"/>
    <col min="6170" max="6170" width="12.19921875" style="11" customWidth="1"/>
    <col min="6171" max="6171" width="9.53125" style="11" customWidth="1"/>
    <col min="6172" max="6172" width="11.53125" style="11" customWidth="1"/>
    <col min="6173" max="6173" width="12.73046875" style="11" customWidth="1"/>
    <col min="6174" max="6174" width="14.796875" style="11" customWidth="1"/>
    <col min="6175" max="6175" width="9.53125" style="11" customWidth="1"/>
    <col min="6176" max="6176" width="10.53125" style="11" customWidth="1"/>
    <col min="6177" max="6177" width="9.19921875" style="11"/>
    <col min="6178" max="6178" width="13.265625" style="11" customWidth="1"/>
    <col min="6179" max="6179" width="11.19921875" style="11" customWidth="1"/>
    <col min="6180" max="6180" width="9.19921875" style="11"/>
    <col min="6181" max="6181" width="9.19921875" style="11" customWidth="1"/>
    <col min="6182" max="6182" width="11.265625" style="11" customWidth="1"/>
    <col min="6183" max="6188" width="9.19921875" style="11"/>
    <col min="6189" max="6189" width="11.46484375" style="11" customWidth="1"/>
    <col min="6190" max="6190" width="11.73046875" style="11" customWidth="1"/>
    <col min="6191" max="6197" width="9.19921875" style="11"/>
    <col min="6198" max="6198" width="11" style="11" customWidth="1"/>
    <col min="6199" max="6200" width="9.19921875" style="11"/>
    <col min="6201" max="6201" width="10.265625" style="11" customWidth="1"/>
    <col min="6202" max="6202" width="10.19921875" style="11" customWidth="1"/>
    <col min="6203" max="6203" width="12.19921875" style="11" customWidth="1"/>
    <col min="6204" max="6400" width="9.19921875" style="11"/>
    <col min="6401" max="6401" width="34.265625" style="11" customWidth="1"/>
    <col min="6402" max="6402" width="13.73046875" style="11" customWidth="1"/>
    <col min="6403" max="6403" width="9.265625" style="11" bestFit="1" customWidth="1"/>
    <col min="6404" max="6404" width="10.53125" style="11" customWidth="1"/>
    <col min="6405" max="6406" width="9.265625" style="11" bestFit="1" customWidth="1"/>
    <col min="6407" max="6407" width="15.265625" style="11" bestFit="1" customWidth="1"/>
    <col min="6408" max="6408" width="9.265625" style="11" bestFit="1" customWidth="1"/>
    <col min="6409" max="6409" width="13.46484375" style="11" bestFit="1" customWidth="1"/>
    <col min="6410" max="6410" width="9.19921875" style="11" customWidth="1"/>
    <col min="6411" max="6411" width="12" style="11" customWidth="1"/>
    <col min="6412" max="6413" width="9.46484375" style="11" bestFit="1" customWidth="1"/>
    <col min="6414" max="6414" width="13.265625" style="11" customWidth="1"/>
    <col min="6415" max="6415" width="9.46484375" style="11" bestFit="1" customWidth="1"/>
    <col min="6416" max="6416" width="9.796875" style="11" bestFit="1" customWidth="1"/>
    <col min="6417" max="6417" width="12.46484375" style="11" bestFit="1" customWidth="1"/>
    <col min="6418" max="6418" width="10.19921875" style="11" customWidth="1"/>
    <col min="6419" max="6419" width="10" style="11" bestFit="1" customWidth="1"/>
    <col min="6420" max="6420" width="10.53125" style="11" customWidth="1"/>
    <col min="6421" max="6421" width="9.46484375" style="11" bestFit="1" customWidth="1"/>
    <col min="6422" max="6422" width="9.265625" style="11" bestFit="1" customWidth="1"/>
    <col min="6423" max="6423" width="9.265625" style="11" customWidth="1"/>
    <col min="6424" max="6424" width="9.46484375" style="11" bestFit="1" customWidth="1"/>
    <col min="6425" max="6425" width="10.19921875" style="11" customWidth="1"/>
    <col min="6426" max="6426" width="12.19921875" style="11" customWidth="1"/>
    <col min="6427" max="6427" width="9.53125" style="11" customWidth="1"/>
    <col min="6428" max="6428" width="11.53125" style="11" customWidth="1"/>
    <col min="6429" max="6429" width="12.73046875" style="11" customWidth="1"/>
    <col min="6430" max="6430" width="14.796875" style="11" customWidth="1"/>
    <col min="6431" max="6431" width="9.53125" style="11" customWidth="1"/>
    <col min="6432" max="6432" width="10.53125" style="11" customWidth="1"/>
    <col min="6433" max="6433" width="9.19921875" style="11"/>
    <col min="6434" max="6434" width="13.265625" style="11" customWidth="1"/>
    <col min="6435" max="6435" width="11.19921875" style="11" customWidth="1"/>
    <col min="6436" max="6436" width="9.19921875" style="11"/>
    <col min="6437" max="6437" width="9.19921875" style="11" customWidth="1"/>
    <col min="6438" max="6438" width="11.265625" style="11" customWidth="1"/>
    <col min="6439" max="6444" width="9.19921875" style="11"/>
    <col min="6445" max="6445" width="11.46484375" style="11" customWidth="1"/>
    <col min="6446" max="6446" width="11.73046875" style="11" customWidth="1"/>
    <col min="6447" max="6453" width="9.19921875" style="11"/>
    <col min="6454" max="6454" width="11" style="11" customWidth="1"/>
    <col min="6455" max="6456" width="9.19921875" style="11"/>
    <col min="6457" max="6457" width="10.265625" style="11" customWidth="1"/>
    <col min="6458" max="6458" width="10.19921875" style="11" customWidth="1"/>
    <col min="6459" max="6459" width="12.19921875" style="11" customWidth="1"/>
    <col min="6460" max="6656" width="9.19921875" style="11"/>
    <col min="6657" max="6657" width="34.265625" style="11" customWidth="1"/>
    <col min="6658" max="6658" width="13.73046875" style="11" customWidth="1"/>
    <col min="6659" max="6659" width="9.265625" style="11" bestFit="1" customWidth="1"/>
    <col min="6660" max="6660" width="10.53125" style="11" customWidth="1"/>
    <col min="6661" max="6662" width="9.265625" style="11" bestFit="1" customWidth="1"/>
    <col min="6663" max="6663" width="15.265625" style="11" bestFit="1" customWidth="1"/>
    <col min="6664" max="6664" width="9.265625" style="11" bestFit="1" customWidth="1"/>
    <col min="6665" max="6665" width="13.46484375" style="11" bestFit="1" customWidth="1"/>
    <col min="6666" max="6666" width="9.19921875" style="11" customWidth="1"/>
    <col min="6667" max="6667" width="12" style="11" customWidth="1"/>
    <col min="6668" max="6669" width="9.46484375" style="11" bestFit="1" customWidth="1"/>
    <col min="6670" max="6670" width="13.265625" style="11" customWidth="1"/>
    <col min="6671" max="6671" width="9.46484375" style="11" bestFit="1" customWidth="1"/>
    <col min="6672" max="6672" width="9.796875" style="11" bestFit="1" customWidth="1"/>
    <col min="6673" max="6673" width="12.46484375" style="11" bestFit="1" customWidth="1"/>
    <col min="6674" max="6674" width="10.19921875" style="11" customWidth="1"/>
    <col min="6675" max="6675" width="10" style="11" bestFit="1" customWidth="1"/>
    <col min="6676" max="6676" width="10.53125" style="11" customWidth="1"/>
    <col min="6677" max="6677" width="9.46484375" style="11" bestFit="1" customWidth="1"/>
    <col min="6678" max="6678" width="9.265625" style="11" bestFit="1" customWidth="1"/>
    <col min="6679" max="6679" width="9.265625" style="11" customWidth="1"/>
    <col min="6680" max="6680" width="9.46484375" style="11" bestFit="1" customWidth="1"/>
    <col min="6681" max="6681" width="10.19921875" style="11" customWidth="1"/>
    <col min="6682" max="6682" width="12.19921875" style="11" customWidth="1"/>
    <col min="6683" max="6683" width="9.53125" style="11" customWidth="1"/>
    <col min="6684" max="6684" width="11.53125" style="11" customWidth="1"/>
    <col min="6685" max="6685" width="12.73046875" style="11" customWidth="1"/>
    <col min="6686" max="6686" width="14.796875" style="11" customWidth="1"/>
    <col min="6687" max="6687" width="9.53125" style="11" customWidth="1"/>
    <col min="6688" max="6688" width="10.53125" style="11" customWidth="1"/>
    <col min="6689" max="6689" width="9.19921875" style="11"/>
    <col min="6690" max="6690" width="13.265625" style="11" customWidth="1"/>
    <col min="6691" max="6691" width="11.19921875" style="11" customWidth="1"/>
    <col min="6692" max="6692" width="9.19921875" style="11"/>
    <col min="6693" max="6693" width="9.19921875" style="11" customWidth="1"/>
    <col min="6694" max="6694" width="11.265625" style="11" customWidth="1"/>
    <col min="6695" max="6700" width="9.19921875" style="11"/>
    <col min="6701" max="6701" width="11.46484375" style="11" customWidth="1"/>
    <col min="6702" max="6702" width="11.73046875" style="11" customWidth="1"/>
    <col min="6703" max="6709" width="9.19921875" style="11"/>
    <col min="6710" max="6710" width="11" style="11" customWidth="1"/>
    <col min="6711" max="6712" width="9.19921875" style="11"/>
    <col min="6713" max="6713" width="10.265625" style="11" customWidth="1"/>
    <col min="6714" max="6714" width="10.19921875" style="11" customWidth="1"/>
    <col min="6715" max="6715" width="12.19921875" style="11" customWidth="1"/>
    <col min="6716" max="6912" width="9.19921875" style="11"/>
    <col min="6913" max="6913" width="34.265625" style="11" customWidth="1"/>
    <col min="6914" max="6914" width="13.73046875" style="11" customWidth="1"/>
    <col min="6915" max="6915" width="9.265625" style="11" bestFit="1" customWidth="1"/>
    <col min="6916" max="6916" width="10.53125" style="11" customWidth="1"/>
    <col min="6917" max="6918" width="9.265625" style="11" bestFit="1" customWidth="1"/>
    <col min="6919" max="6919" width="15.265625" style="11" bestFit="1" customWidth="1"/>
    <col min="6920" max="6920" width="9.265625" style="11" bestFit="1" customWidth="1"/>
    <col min="6921" max="6921" width="13.46484375" style="11" bestFit="1" customWidth="1"/>
    <col min="6922" max="6922" width="9.19921875" style="11" customWidth="1"/>
    <col min="6923" max="6923" width="12" style="11" customWidth="1"/>
    <col min="6924" max="6925" width="9.46484375" style="11" bestFit="1" customWidth="1"/>
    <col min="6926" max="6926" width="13.265625" style="11" customWidth="1"/>
    <col min="6927" max="6927" width="9.46484375" style="11" bestFit="1" customWidth="1"/>
    <col min="6928" max="6928" width="9.796875" style="11" bestFit="1" customWidth="1"/>
    <col min="6929" max="6929" width="12.46484375" style="11" bestFit="1" customWidth="1"/>
    <col min="6930" max="6930" width="10.19921875" style="11" customWidth="1"/>
    <col min="6931" max="6931" width="10" style="11" bestFit="1" customWidth="1"/>
    <col min="6932" max="6932" width="10.53125" style="11" customWidth="1"/>
    <col min="6933" max="6933" width="9.46484375" style="11" bestFit="1" customWidth="1"/>
    <col min="6934" max="6934" width="9.265625" style="11" bestFit="1" customWidth="1"/>
    <col min="6935" max="6935" width="9.265625" style="11" customWidth="1"/>
    <col min="6936" max="6936" width="9.46484375" style="11" bestFit="1" customWidth="1"/>
    <col min="6937" max="6937" width="10.19921875" style="11" customWidth="1"/>
    <col min="6938" max="6938" width="12.19921875" style="11" customWidth="1"/>
    <col min="6939" max="6939" width="9.53125" style="11" customWidth="1"/>
    <col min="6940" max="6940" width="11.53125" style="11" customWidth="1"/>
    <col min="6941" max="6941" width="12.73046875" style="11" customWidth="1"/>
    <col min="6942" max="6942" width="14.796875" style="11" customWidth="1"/>
    <col min="6943" max="6943" width="9.53125" style="11" customWidth="1"/>
    <col min="6944" max="6944" width="10.53125" style="11" customWidth="1"/>
    <col min="6945" max="6945" width="9.19921875" style="11"/>
    <col min="6946" max="6946" width="13.265625" style="11" customWidth="1"/>
    <col min="6947" max="6947" width="11.19921875" style="11" customWidth="1"/>
    <col min="6948" max="6948" width="9.19921875" style="11"/>
    <col min="6949" max="6949" width="9.19921875" style="11" customWidth="1"/>
    <col min="6950" max="6950" width="11.265625" style="11" customWidth="1"/>
    <col min="6951" max="6956" width="9.19921875" style="11"/>
    <col min="6957" max="6957" width="11.46484375" style="11" customWidth="1"/>
    <col min="6958" max="6958" width="11.73046875" style="11" customWidth="1"/>
    <col min="6959" max="6965" width="9.19921875" style="11"/>
    <col min="6966" max="6966" width="11" style="11" customWidth="1"/>
    <col min="6967" max="6968" width="9.19921875" style="11"/>
    <col min="6969" max="6969" width="10.265625" style="11" customWidth="1"/>
    <col min="6970" max="6970" width="10.19921875" style="11" customWidth="1"/>
    <col min="6971" max="6971" width="12.19921875" style="11" customWidth="1"/>
    <col min="6972" max="7168" width="9.19921875" style="11"/>
    <col min="7169" max="7169" width="34.265625" style="11" customWidth="1"/>
    <col min="7170" max="7170" width="13.73046875" style="11" customWidth="1"/>
    <col min="7171" max="7171" width="9.265625" style="11" bestFit="1" customWidth="1"/>
    <col min="7172" max="7172" width="10.53125" style="11" customWidth="1"/>
    <col min="7173" max="7174" width="9.265625" style="11" bestFit="1" customWidth="1"/>
    <col min="7175" max="7175" width="15.265625" style="11" bestFit="1" customWidth="1"/>
    <col min="7176" max="7176" width="9.265625" style="11" bestFit="1" customWidth="1"/>
    <col min="7177" max="7177" width="13.46484375" style="11" bestFit="1" customWidth="1"/>
    <col min="7178" max="7178" width="9.19921875" style="11" customWidth="1"/>
    <col min="7179" max="7179" width="12" style="11" customWidth="1"/>
    <col min="7180" max="7181" width="9.46484375" style="11" bestFit="1" customWidth="1"/>
    <col min="7182" max="7182" width="13.265625" style="11" customWidth="1"/>
    <col min="7183" max="7183" width="9.46484375" style="11" bestFit="1" customWidth="1"/>
    <col min="7184" max="7184" width="9.796875" style="11" bestFit="1" customWidth="1"/>
    <col min="7185" max="7185" width="12.46484375" style="11" bestFit="1" customWidth="1"/>
    <col min="7186" max="7186" width="10.19921875" style="11" customWidth="1"/>
    <col min="7187" max="7187" width="10" style="11" bestFit="1" customWidth="1"/>
    <col min="7188" max="7188" width="10.53125" style="11" customWidth="1"/>
    <col min="7189" max="7189" width="9.46484375" style="11" bestFit="1" customWidth="1"/>
    <col min="7190" max="7190" width="9.265625" style="11" bestFit="1" customWidth="1"/>
    <col min="7191" max="7191" width="9.265625" style="11" customWidth="1"/>
    <col min="7192" max="7192" width="9.46484375" style="11" bestFit="1" customWidth="1"/>
    <col min="7193" max="7193" width="10.19921875" style="11" customWidth="1"/>
    <col min="7194" max="7194" width="12.19921875" style="11" customWidth="1"/>
    <col min="7195" max="7195" width="9.53125" style="11" customWidth="1"/>
    <col min="7196" max="7196" width="11.53125" style="11" customWidth="1"/>
    <col min="7197" max="7197" width="12.73046875" style="11" customWidth="1"/>
    <col min="7198" max="7198" width="14.796875" style="11" customWidth="1"/>
    <col min="7199" max="7199" width="9.53125" style="11" customWidth="1"/>
    <col min="7200" max="7200" width="10.53125" style="11" customWidth="1"/>
    <col min="7201" max="7201" width="9.19921875" style="11"/>
    <col min="7202" max="7202" width="13.265625" style="11" customWidth="1"/>
    <col min="7203" max="7203" width="11.19921875" style="11" customWidth="1"/>
    <col min="7204" max="7204" width="9.19921875" style="11"/>
    <col min="7205" max="7205" width="9.19921875" style="11" customWidth="1"/>
    <col min="7206" max="7206" width="11.265625" style="11" customWidth="1"/>
    <col min="7207" max="7212" width="9.19921875" style="11"/>
    <col min="7213" max="7213" width="11.46484375" style="11" customWidth="1"/>
    <col min="7214" max="7214" width="11.73046875" style="11" customWidth="1"/>
    <col min="7215" max="7221" width="9.19921875" style="11"/>
    <col min="7222" max="7222" width="11" style="11" customWidth="1"/>
    <col min="7223" max="7224" width="9.19921875" style="11"/>
    <col min="7225" max="7225" width="10.265625" style="11" customWidth="1"/>
    <col min="7226" max="7226" width="10.19921875" style="11" customWidth="1"/>
    <col min="7227" max="7227" width="12.19921875" style="11" customWidth="1"/>
    <col min="7228" max="7424" width="9.19921875" style="11"/>
    <col min="7425" max="7425" width="34.265625" style="11" customWidth="1"/>
    <col min="7426" max="7426" width="13.73046875" style="11" customWidth="1"/>
    <col min="7427" max="7427" width="9.265625" style="11" bestFit="1" customWidth="1"/>
    <col min="7428" max="7428" width="10.53125" style="11" customWidth="1"/>
    <col min="7429" max="7430" width="9.265625" style="11" bestFit="1" customWidth="1"/>
    <col min="7431" max="7431" width="15.265625" style="11" bestFit="1" customWidth="1"/>
    <col min="7432" max="7432" width="9.265625" style="11" bestFit="1" customWidth="1"/>
    <col min="7433" max="7433" width="13.46484375" style="11" bestFit="1" customWidth="1"/>
    <col min="7434" max="7434" width="9.19921875" style="11" customWidth="1"/>
    <col min="7435" max="7435" width="12" style="11" customWidth="1"/>
    <col min="7436" max="7437" width="9.46484375" style="11" bestFit="1" customWidth="1"/>
    <col min="7438" max="7438" width="13.265625" style="11" customWidth="1"/>
    <col min="7439" max="7439" width="9.46484375" style="11" bestFit="1" customWidth="1"/>
    <col min="7440" max="7440" width="9.796875" style="11" bestFit="1" customWidth="1"/>
    <col min="7441" max="7441" width="12.46484375" style="11" bestFit="1" customWidth="1"/>
    <col min="7442" max="7442" width="10.19921875" style="11" customWidth="1"/>
    <col min="7443" max="7443" width="10" style="11" bestFit="1" customWidth="1"/>
    <col min="7444" max="7444" width="10.53125" style="11" customWidth="1"/>
    <col min="7445" max="7445" width="9.46484375" style="11" bestFit="1" customWidth="1"/>
    <col min="7446" max="7446" width="9.265625" style="11" bestFit="1" customWidth="1"/>
    <col min="7447" max="7447" width="9.265625" style="11" customWidth="1"/>
    <col min="7448" max="7448" width="9.46484375" style="11" bestFit="1" customWidth="1"/>
    <col min="7449" max="7449" width="10.19921875" style="11" customWidth="1"/>
    <col min="7450" max="7450" width="12.19921875" style="11" customWidth="1"/>
    <col min="7451" max="7451" width="9.53125" style="11" customWidth="1"/>
    <col min="7452" max="7452" width="11.53125" style="11" customWidth="1"/>
    <col min="7453" max="7453" width="12.73046875" style="11" customWidth="1"/>
    <col min="7454" max="7454" width="14.796875" style="11" customWidth="1"/>
    <col min="7455" max="7455" width="9.53125" style="11" customWidth="1"/>
    <col min="7456" max="7456" width="10.53125" style="11" customWidth="1"/>
    <col min="7457" max="7457" width="9.19921875" style="11"/>
    <col min="7458" max="7458" width="13.265625" style="11" customWidth="1"/>
    <col min="7459" max="7459" width="11.19921875" style="11" customWidth="1"/>
    <col min="7460" max="7460" width="9.19921875" style="11"/>
    <col min="7461" max="7461" width="9.19921875" style="11" customWidth="1"/>
    <col min="7462" max="7462" width="11.265625" style="11" customWidth="1"/>
    <col min="7463" max="7468" width="9.19921875" style="11"/>
    <col min="7469" max="7469" width="11.46484375" style="11" customWidth="1"/>
    <col min="7470" max="7470" width="11.73046875" style="11" customWidth="1"/>
    <col min="7471" max="7477" width="9.19921875" style="11"/>
    <col min="7478" max="7478" width="11" style="11" customWidth="1"/>
    <col min="7479" max="7480" width="9.19921875" style="11"/>
    <col min="7481" max="7481" width="10.265625" style="11" customWidth="1"/>
    <col min="7482" max="7482" width="10.19921875" style="11" customWidth="1"/>
    <col min="7483" max="7483" width="12.19921875" style="11" customWidth="1"/>
    <col min="7484" max="7680" width="9.19921875" style="11"/>
    <col min="7681" max="7681" width="34.265625" style="11" customWidth="1"/>
    <col min="7682" max="7682" width="13.73046875" style="11" customWidth="1"/>
    <col min="7683" max="7683" width="9.265625" style="11" bestFit="1" customWidth="1"/>
    <col min="7684" max="7684" width="10.53125" style="11" customWidth="1"/>
    <col min="7685" max="7686" width="9.265625" style="11" bestFit="1" customWidth="1"/>
    <col min="7687" max="7687" width="15.265625" style="11" bestFit="1" customWidth="1"/>
    <col min="7688" max="7688" width="9.265625" style="11" bestFit="1" customWidth="1"/>
    <col min="7689" max="7689" width="13.46484375" style="11" bestFit="1" customWidth="1"/>
    <col min="7690" max="7690" width="9.19921875" style="11" customWidth="1"/>
    <col min="7691" max="7691" width="12" style="11" customWidth="1"/>
    <col min="7692" max="7693" width="9.46484375" style="11" bestFit="1" customWidth="1"/>
    <col min="7694" max="7694" width="13.265625" style="11" customWidth="1"/>
    <col min="7695" max="7695" width="9.46484375" style="11" bestFit="1" customWidth="1"/>
    <col min="7696" max="7696" width="9.796875" style="11" bestFit="1" customWidth="1"/>
    <col min="7697" max="7697" width="12.46484375" style="11" bestFit="1" customWidth="1"/>
    <col min="7698" max="7698" width="10.19921875" style="11" customWidth="1"/>
    <col min="7699" max="7699" width="10" style="11" bestFit="1" customWidth="1"/>
    <col min="7700" max="7700" width="10.53125" style="11" customWidth="1"/>
    <col min="7701" max="7701" width="9.46484375" style="11" bestFit="1" customWidth="1"/>
    <col min="7702" max="7702" width="9.265625" style="11" bestFit="1" customWidth="1"/>
    <col min="7703" max="7703" width="9.265625" style="11" customWidth="1"/>
    <col min="7704" max="7704" width="9.46484375" style="11" bestFit="1" customWidth="1"/>
    <col min="7705" max="7705" width="10.19921875" style="11" customWidth="1"/>
    <col min="7706" max="7706" width="12.19921875" style="11" customWidth="1"/>
    <col min="7707" max="7707" width="9.53125" style="11" customWidth="1"/>
    <col min="7708" max="7708" width="11.53125" style="11" customWidth="1"/>
    <col min="7709" max="7709" width="12.73046875" style="11" customWidth="1"/>
    <col min="7710" max="7710" width="14.796875" style="11" customWidth="1"/>
    <col min="7711" max="7711" width="9.53125" style="11" customWidth="1"/>
    <col min="7712" max="7712" width="10.53125" style="11" customWidth="1"/>
    <col min="7713" max="7713" width="9.19921875" style="11"/>
    <col min="7714" max="7714" width="13.265625" style="11" customWidth="1"/>
    <col min="7715" max="7715" width="11.19921875" style="11" customWidth="1"/>
    <col min="7716" max="7716" width="9.19921875" style="11"/>
    <col min="7717" max="7717" width="9.19921875" style="11" customWidth="1"/>
    <col min="7718" max="7718" width="11.265625" style="11" customWidth="1"/>
    <col min="7719" max="7724" width="9.19921875" style="11"/>
    <col min="7725" max="7725" width="11.46484375" style="11" customWidth="1"/>
    <col min="7726" max="7726" width="11.73046875" style="11" customWidth="1"/>
    <col min="7727" max="7733" width="9.19921875" style="11"/>
    <col min="7734" max="7734" width="11" style="11" customWidth="1"/>
    <col min="7735" max="7736" width="9.19921875" style="11"/>
    <col min="7737" max="7737" width="10.265625" style="11" customWidth="1"/>
    <col min="7738" max="7738" width="10.19921875" style="11" customWidth="1"/>
    <col min="7739" max="7739" width="12.19921875" style="11" customWidth="1"/>
    <col min="7740" max="7936" width="9.19921875" style="11"/>
    <col min="7937" max="7937" width="34.265625" style="11" customWidth="1"/>
    <col min="7938" max="7938" width="13.73046875" style="11" customWidth="1"/>
    <col min="7939" max="7939" width="9.265625" style="11" bestFit="1" customWidth="1"/>
    <col min="7940" max="7940" width="10.53125" style="11" customWidth="1"/>
    <col min="7941" max="7942" width="9.265625" style="11" bestFit="1" customWidth="1"/>
    <col min="7943" max="7943" width="15.265625" style="11" bestFit="1" customWidth="1"/>
    <col min="7944" max="7944" width="9.265625" style="11" bestFit="1" customWidth="1"/>
    <col min="7945" max="7945" width="13.46484375" style="11" bestFit="1" customWidth="1"/>
    <col min="7946" max="7946" width="9.19921875" style="11" customWidth="1"/>
    <col min="7947" max="7947" width="12" style="11" customWidth="1"/>
    <col min="7948" max="7949" width="9.46484375" style="11" bestFit="1" customWidth="1"/>
    <col min="7950" max="7950" width="13.265625" style="11" customWidth="1"/>
    <col min="7951" max="7951" width="9.46484375" style="11" bestFit="1" customWidth="1"/>
    <col min="7952" max="7952" width="9.796875" style="11" bestFit="1" customWidth="1"/>
    <col min="7953" max="7953" width="12.46484375" style="11" bestFit="1" customWidth="1"/>
    <col min="7954" max="7954" width="10.19921875" style="11" customWidth="1"/>
    <col min="7955" max="7955" width="10" style="11" bestFit="1" customWidth="1"/>
    <col min="7956" max="7956" width="10.53125" style="11" customWidth="1"/>
    <col min="7957" max="7957" width="9.46484375" style="11" bestFit="1" customWidth="1"/>
    <col min="7958" max="7958" width="9.265625" style="11" bestFit="1" customWidth="1"/>
    <col min="7959" max="7959" width="9.265625" style="11" customWidth="1"/>
    <col min="7960" max="7960" width="9.46484375" style="11" bestFit="1" customWidth="1"/>
    <col min="7961" max="7961" width="10.19921875" style="11" customWidth="1"/>
    <col min="7962" max="7962" width="12.19921875" style="11" customWidth="1"/>
    <col min="7963" max="7963" width="9.53125" style="11" customWidth="1"/>
    <col min="7964" max="7964" width="11.53125" style="11" customWidth="1"/>
    <col min="7965" max="7965" width="12.73046875" style="11" customWidth="1"/>
    <col min="7966" max="7966" width="14.796875" style="11" customWidth="1"/>
    <col min="7967" max="7967" width="9.53125" style="11" customWidth="1"/>
    <col min="7968" max="7968" width="10.53125" style="11" customWidth="1"/>
    <col min="7969" max="7969" width="9.19921875" style="11"/>
    <col min="7970" max="7970" width="13.265625" style="11" customWidth="1"/>
    <col min="7971" max="7971" width="11.19921875" style="11" customWidth="1"/>
    <col min="7972" max="7972" width="9.19921875" style="11"/>
    <col min="7973" max="7973" width="9.19921875" style="11" customWidth="1"/>
    <col min="7974" max="7974" width="11.265625" style="11" customWidth="1"/>
    <col min="7975" max="7980" width="9.19921875" style="11"/>
    <col min="7981" max="7981" width="11.46484375" style="11" customWidth="1"/>
    <col min="7982" max="7982" width="11.73046875" style="11" customWidth="1"/>
    <col min="7983" max="7989" width="9.19921875" style="11"/>
    <col min="7990" max="7990" width="11" style="11" customWidth="1"/>
    <col min="7991" max="7992" width="9.19921875" style="11"/>
    <col min="7993" max="7993" width="10.265625" style="11" customWidth="1"/>
    <col min="7994" max="7994" width="10.19921875" style="11" customWidth="1"/>
    <col min="7995" max="7995" width="12.19921875" style="11" customWidth="1"/>
    <col min="7996" max="8192" width="9.19921875" style="11"/>
    <col min="8193" max="8193" width="34.265625" style="11" customWidth="1"/>
    <col min="8194" max="8194" width="13.73046875" style="11" customWidth="1"/>
    <col min="8195" max="8195" width="9.265625" style="11" bestFit="1" customWidth="1"/>
    <col min="8196" max="8196" width="10.53125" style="11" customWidth="1"/>
    <col min="8197" max="8198" width="9.265625" style="11" bestFit="1" customWidth="1"/>
    <col min="8199" max="8199" width="15.265625" style="11" bestFit="1" customWidth="1"/>
    <col min="8200" max="8200" width="9.265625" style="11" bestFit="1" customWidth="1"/>
    <col min="8201" max="8201" width="13.46484375" style="11" bestFit="1" customWidth="1"/>
    <col min="8202" max="8202" width="9.19921875" style="11" customWidth="1"/>
    <col min="8203" max="8203" width="12" style="11" customWidth="1"/>
    <col min="8204" max="8205" width="9.46484375" style="11" bestFit="1" customWidth="1"/>
    <col min="8206" max="8206" width="13.265625" style="11" customWidth="1"/>
    <col min="8207" max="8207" width="9.46484375" style="11" bestFit="1" customWidth="1"/>
    <col min="8208" max="8208" width="9.796875" style="11" bestFit="1" customWidth="1"/>
    <col min="8209" max="8209" width="12.46484375" style="11" bestFit="1" customWidth="1"/>
    <col min="8210" max="8210" width="10.19921875" style="11" customWidth="1"/>
    <col min="8211" max="8211" width="10" style="11" bestFit="1" customWidth="1"/>
    <col min="8212" max="8212" width="10.53125" style="11" customWidth="1"/>
    <col min="8213" max="8213" width="9.46484375" style="11" bestFit="1" customWidth="1"/>
    <col min="8214" max="8214" width="9.265625" style="11" bestFit="1" customWidth="1"/>
    <col min="8215" max="8215" width="9.265625" style="11" customWidth="1"/>
    <col min="8216" max="8216" width="9.46484375" style="11" bestFit="1" customWidth="1"/>
    <col min="8217" max="8217" width="10.19921875" style="11" customWidth="1"/>
    <col min="8218" max="8218" width="12.19921875" style="11" customWidth="1"/>
    <col min="8219" max="8219" width="9.53125" style="11" customWidth="1"/>
    <col min="8220" max="8220" width="11.53125" style="11" customWidth="1"/>
    <col min="8221" max="8221" width="12.73046875" style="11" customWidth="1"/>
    <col min="8222" max="8222" width="14.796875" style="11" customWidth="1"/>
    <col min="8223" max="8223" width="9.53125" style="11" customWidth="1"/>
    <col min="8224" max="8224" width="10.53125" style="11" customWidth="1"/>
    <col min="8225" max="8225" width="9.19921875" style="11"/>
    <col min="8226" max="8226" width="13.265625" style="11" customWidth="1"/>
    <col min="8227" max="8227" width="11.19921875" style="11" customWidth="1"/>
    <col min="8228" max="8228" width="9.19921875" style="11"/>
    <col min="8229" max="8229" width="9.19921875" style="11" customWidth="1"/>
    <col min="8230" max="8230" width="11.265625" style="11" customWidth="1"/>
    <col min="8231" max="8236" width="9.19921875" style="11"/>
    <col min="8237" max="8237" width="11.46484375" style="11" customWidth="1"/>
    <col min="8238" max="8238" width="11.73046875" style="11" customWidth="1"/>
    <col min="8239" max="8245" width="9.19921875" style="11"/>
    <col min="8246" max="8246" width="11" style="11" customWidth="1"/>
    <col min="8247" max="8248" width="9.19921875" style="11"/>
    <col min="8249" max="8249" width="10.265625" style="11" customWidth="1"/>
    <col min="8250" max="8250" width="10.19921875" style="11" customWidth="1"/>
    <col min="8251" max="8251" width="12.19921875" style="11" customWidth="1"/>
    <col min="8252" max="8448" width="9.19921875" style="11"/>
    <col min="8449" max="8449" width="34.265625" style="11" customWidth="1"/>
    <col min="8450" max="8450" width="13.73046875" style="11" customWidth="1"/>
    <col min="8451" max="8451" width="9.265625" style="11" bestFit="1" customWidth="1"/>
    <col min="8452" max="8452" width="10.53125" style="11" customWidth="1"/>
    <col min="8453" max="8454" width="9.265625" style="11" bestFit="1" customWidth="1"/>
    <col min="8455" max="8455" width="15.265625" style="11" bestFit="1" customWidth="1"/>
    <col min="8456" max="8456" width="9.265625" style="11" bestFit="1" customWidth="1"/>
    <col min="8457" max="8457" width="13.46484375" style="11" bestFit="1" customWidth="1"/>
    <col min="8458" max="8458" width="9.19921875" style="11" customWidth="1"/>
    <col min="8459" max="8459" width="12" style="11" customWidth="1"/>
    <col min="8460" max="8461" width="9.46484375" style="11" bestFit="1" customWidth="1"/>
    <col min="8462" max="8462" width="13.265625" style="11" customWidth="1"/>
    <col min="8463" max="8463" width="9.46484375" style="11" bestFit="1" customWidth="1"/>
    <col min="8464" max="8464" width="9.796875" style="11" bestFit="1" customWidth="1"/>
    <col min="8465" max="8465" width="12.46484375" style="11" bestFit="1" customWidth="1"/>
    <col min="8466" max="8466" width="10.19921875" style="11" customWidth="1"/>
    <col min="8467" max="8467" width="10" style="11" bestFit="1" customWidth="1"/>
    <col min="8468" max="8468" width="10.53125" style="11" customWidth="1"/>
    <col min="8469" max="8469" width="9.46484375" style="11" bestFit="1" customWidth="1"/>
    <col min="8470" max="8470" width="9.265625" style="11" bestFit="1" customWidth="1"/>
    <col min="8471" max="8471" width="9.265625" style="11" customWidth="1"/>
    <col min="8472" max="8472" width="9.46484375" style="11" bestFit="1" customWidth="1"/>
    <col min="8473" max="8473" width="10.19921875" style="11" customWidth="1"/>
    <col min="8474" max="8474" width="12.19921875" style="11" customWidth="1"/>
    <col min="8475" max="8475" width="9.53125" style="11" customWidth="1"/>
    <col min="8476" max="8476" width="11.53125" style="11" customWidth="1"/>
    <col min="8477" max="8477" width="12.73046875" style="11" customWidth="1"/>
    <col min="8478" max="8478" width="14.796875" style="11" customWidth="1"/>
    <col min="8479" max="8479" width="9.53125" style="11" customWidth="1"/>
    <col min="8480" max="8480" width="10.53125" style="11" customWidth="1"/>
    <col min="8481" max="8481" width="9.19921875" style="11"/>
    <col min="8482" max="8482" width="13.265625" style="11" customWidth="1"/>
    <col min="8483" max="8483" width="11.19921875" style="11" customWidth="1"/>
    <col min="8484" max="8484" width="9.19921875" style="11"/>
    <col min="8485" max="8485" width="9.19921875" style="11" customWidth="1"/>
    <col min="8486" max="8486" width="11.265625" style="11" customWidth="1"/>
    <col min="8487" max="8492" width="9.19921875" style="11"/>
    <col min="8493" max="8493" width="11.46484375" style="11" customWidth="1"/>
    <col min="8494" max="8494" width="11.73046875" style="11" customWidth="1"/>
    <col min="8495" max="8501" width="9.19921875" style="11"/>
    <col min="8502" max="8502" width="11" style="11" customWidth="1"/>
    <col min="8503" max="8504" width="9.19921875" style="11"/>
    <col min="8505" max="8505" width="10.265625" style="11" customWidth="1"/>
    <col min="8506" max="8506" width="10.19921875" style="11" customWidth="1"/>
    <col min="8507" max="8507" width="12.19921875" style="11" customWidth="1"/>
    <col min="8508" max="8704" width="9.19921875" style="11"/>
    <col min="8705" max="8705" width="34.265625" style="11" customWidth="1"/>
    <col min="8706" max="8706" width="13.73046875" style="11" customWidth="1"/>
    <col min="8707" max="8707" width="9.265625" style="11" bestFit="1" customWidth="1"/>
    <col min="8708" max="8708" width="10.53125" style="11" customWidth="1"/>
    <col min="8709" max="8710" width="9.265625" style="11" bestFit="1" customWidth="1"/>
    <col min="8711" max="8711" width="15.265625" style="11" bestFit="1" customWidth="1"/>
    <col min="8712" max="8712" width="9.265625" style="11" bestFit="1" customWidth="1"/>
    <col min="8713" max="8713" width="13.46484375" style="11" bestFit="1" customWidth="1"/>
    <col min="8714" max="8714" width="9.19921875" style="11" customWidth="1"/>
    <col min="8715" max="8715" width="12" style="11" customWidth="1"/>
    <col min="8716" max="8717" width="9.46484375" style="11" bestFit="1" customWidth="1"/>
    <col min="8718" max="8718" width="13.265625" style="11" customWidth="1"/>
    <col min="8719" max="8719" width="9.46484375" style="11" bestFit="1" customWidth="1"/>
    <col min="8720" max="8720" width="9.796875" style="11" bestFit="1" customWidth="1"/>
    <col min="8721" max="8721" width="12.46484375" style="11" bestFit="1" customWidth="1"/>
    <col min="8722" max="8722" width="10.19921875" style="11" customWidth="1"/>
    <col min="8723" max="8723" width="10" style="11" bestFit="1" customWidth="1"/>
    <col min="8724" max="8724" width="10.53125" style="11" customWidth="1"/>
    <col min="8725" max="8725" width="9.46484375" style="11" bestFit="1" customWidth="1"/>
    <col min="8726" max="8726" width="9.265625" style="11" bestFit="1" customWidth="1"/>
    <col min="8727" max="8727" width="9.265625" style="11" customWidth="1"/>
    <col min="8728" max="8728" width="9.46484375" style="11" bestFit="1" customWidth="1"/>
    <col min="8729" max="8729" width="10.19921875" style="11" customWidth="1"/>
    <col min="8730" max="8730" width="12.19921875" style="11" customWidth="1"/>
    <col min="8731" max="8731" width="9.53125" style="11" customWidth="1"/>
    <col min="8732" max="8732" width="11.53125" style="11" customWidth="1"/>
    <col min="8733" max="8733" width="12.73046875" style="11" customWidth="1"/>
    <col min="8734" max="8734" width="14.796875" style="11" customWidth="1"/>
    <col min="8735" max="8735" width="9.53125" style="11" customWidth="1"/>
    <col min="8736" max="8736" width="10.53125" style="11" customWidth="1"/>
    <col min="8737" max="8737" width="9.19921875" style="11"/>
    <col min="8738" max="8738" width="13.265625" style="11" customWidth="1"/>
    <col min="8739" max="8739" width="11.19921875" style="11" customWidth="1"/>
    <col min="8740" max="8740" width="9.19921875" style="11"/>
    <col min="8741" max="8741" width="9.19921875" style="11" customWidth="1"/>
    <col min="8742" max="8742" width="11.265625" style="11" customWidth="1"/>
    <col min="8743" max="8748" width="9.19921875" style="11"/>
    <col min="8749" max="8749" width="11.46484375" style="11" customWidth="1"/>
    <col min="8750" max="8750" width="11.73046875" style="11" customWidth="1"/>
    <col min="8751" max="8757" width="9.19921875" style="11"/>
    <col min="8758" max="8758" width="11" style="11" customWidth="1"/>
    <col min="8759" max="8760" width="9.19921875" style="11"/>
    <col min="8761" max="8761" width="10.265625" style="11" customWidth="1"/>
    <col min="8762" max="8762" width="10.19921875" style="11" customWidth="1"/>
    <col min="8763" max="8763" width="12.19921875" style="11" customWidth="1"/>
    <col min="8764" max="8960" width="9.19921875" style="11"/>
    <col min="8961" max="8961" width="34.265625" style="11" customWidth="1"/>
    <col min="8962" max="8962" width="13.73046875" style="11" customWidth="1"/>
    <col min="8963" max="8963" width="9.265625" style="11" bestFit="1" customWidth="1"/>
    <col min="8964" max="8964" width="10.53125" style="11" customWidth="1"/>
    <col min="8965" max="8966" width="9.265625" style="11" bestFit="1" customWidth="1"/>
    <col min="8967" max="8967" width="15.265625" style="11" bestFit="1" customWidth="1"/>
    <col min="8968" max="8968" width="9.265625" style="11" bestFit="1" customWidth="1"/>
    <col min="8969" max="8969" width="13.46484375" style="11" bestFit="1" customWidth="1"/>
    <col min="8970" max="8970" width="9.19921875" style="11" customWidth="1"/>
    <col min="8971" max="8971" width="12" style="11" customWidth="1"/>
    <col min="8972" max="8973" width="9.46484375" style="11" bestFit="1" customWidth="1"/>
    <col min="8974" max="8974" width="13.265625" style="11" customWidth="1"/>
    <col min="8975" max="8975" width="9.46484375" style="11" bestFit="1" customWidth="1"/>
    <col min="8976" max="8976" width="9.796875" style="11" bestFit="1" customWidth="1"/>
    <col min="8977" max="8977" width="12.46484375" style="11" bestFit="1" customWidth="1"/>
    <col min="8978" max="8978" width="10.19921875" style="11" customWidth="1"/>
    <col min="8979" max="8979" width="10" style="11" bestFit="1" customWidth="1"/>
    <col min="8980" max="8980" width="10.53125" style="11" customWidth="1"/>
    <col min="8981" max="8981" width="9.46484375" style="11" bestFit="1" customWidth="1"/>
    <col min="8982" max="8982" width="9.265625" style="11" bestFit="1" customWidth="1"/>
    <col min="8983" max="8983" width="9.265625" style="11" customWidth="1"/>
    <col min="8984" max="8984" width="9.46484375" style="11" bestFit="1" customWidth="1"/>
    <col min="8985" max="8985" width="10.19921875" style="11" customWidth="1"/>
    <col min="8986" max="8986" width="12.19921875" style="11" customWidth="1"/>
    <col min="8987" max="8987" width="9.53125" style="11" customWidth="1"/>
    <col min="8988" max="8988" width="11.53125" style="11" customWidth="1"/>
    <col min="8989" max="8989" width="12.73046875" style="11" customWidth="1"/>
    <col min="8990" max="8990" width="14.796875" style="11" customWidth="1"/>
    <col min="8991" max="8991" width="9.53125" style="11" customWidth="1"/>
    <col min="8992" max="8992" width="10.53125" style="11" customWidth="1"/>
    <col min="8993" max="8993" width="9.19921875" style="11"/>
    <col min="8994" max="8994" width="13.265625" style="11" customWidth="1"/>
    <col min="8995" max="8995" width="11.19921875" style="11" customWidth="1"/>
    <col min="8996" max="8996" width="9.19921875" style="11"/>
    <col min="8997" max="8997" width="9.19921875" style="11" customWidth="1"/>
    <col min="8998" max="8998" width="11.265625" style="11" customWidth="1"/>
    <col min="8999" max="9004" width="9.19921875" style="11"/>
    <col min="9005" max="9005" width="11.46484375" style="11" customWidth="1"/>
    <col min="9006" max="9006" width="11.73046875" style="11" customWidth="1"/>
    <col min="9007" max="9013" width="9.19921875" style="11"/>
    <col min="9014" max="9014" width="11" style="11" customWidth="1"/>
    <col min="9015" max="9016" width="9.19921875" style="11"/>
    <col min="9017" max="9017" width="10.265625" style="11" customWidth="1"/>
    <col min="9018" max="9018" width="10.19921875" style="11" customWidth="1"/>
    <col min="9019" max="9019" width="12.19921875" style="11" customWidth="1"/>
    <col min="9020" max="9216" width="9.19921875" style="11"/>
    <col min="9217" max="9217" width="34.265625" style="11" customWidth="1"/>
    <col min="9218" max="9218" width="13.73046875" style="11" customWidth="1"/>
    <col min="9219" max="9219" width="9.265625" style="11" bestFit="1" customWidth="1"/>
    <col min="9220" max="9220" width="10.53125" style="11" customWidth="1"/>
    <col min="9221" max="9222" width="9.265625" style="11" bestFit="1" customWidth="1"/>
    <col min="9223" max="9223" width="15.265625" style="11" bestFit="1" customWidth="1"/>
    <col min="9224" max="9224" width="9.265625" style="11" bestFit="1" customWidth="1"/>
    <col min="9225" max="9225" width="13.46484375" style="11" bestFit="1" customWidth="1"/>
    <col min="9226" max="9226" width="9.19921875" style="11" customWidth="1"/>
    <col min="9227" max="9227" width="12" style="11" customWidth="1"/>
    <col min="9228" max="9229" width="9.46484375" style="11" bestFit="1" customWidth="1"/>
    <col min="9230" max="9230" width="13.265625" style="11" customWidth="1"/>
    <col min="9231" max="9231" width="9.46484375" style="11" bestFit="1" customWidth="1"/>
    <col min="9232" max="9232" width="9.796875" style="11" bestFit="1" customWidth="1"/>
    <col min="9233" max="9233" width="12.46484375" style="11" bestFit="1" customWidth="1"/>
    <col min="9234" max="9234" width="10.19921875" style="11" customWidth="1"/>
    <col min="9235" max="9235" width="10" style="11" bestFit="1" customWidth="1"/>
    <col min="9236" max="9236" width="10.53125" style="11" customWidth="1"/>
    <col min="9237" max="9237" width="9.46484375" style="11" bestFit="1" customWidth="1"/>
    <col min="9238" max="9238" width="9.265625" style="11" bestFit="1" customWidth="1"/>
    <col min="9239" max="9239" width="9.265625" style="11" customWidth="1"/>
    <col min="9240" max="9240" width="9.46484375" style="11" bestFit="1" customWidth="1"/>
    <col min="9241" max="9241" width="10.19921875" style="11" customWidth="1"/>
    <col min="9242" max="9242" width="12.19921875" style="11" customWidth="1"/>
    <col min="9243" max="9243" width="9.53125" style="11" customWidth="1"/>
    <col min="9244" max="9244" width="11.53125" style="11" customWidth="1"/>
    <col min="9245" max="9245" width="12.73046875" style="11" customWidth="1"/>
    <col min="9246" max="9246" width="14.796875" style="11" customWidth="1"/>
    <col min="9247" max="9247" width="9.53125" style="11" customWidth="1"/>
    <col min="9248" max="9248" width="10.53125" style="11" customWidth="1"/>
    <col min="9249" max="9249" width="9.19921875" style="11"/>
    <col min="9250" max="9250" width="13.265625" style="11" customWidth="1"/>
    <col min="9251" max="9251" width="11.19921875" style="11" customWidth="1"/>
    <col min="9252" max="9252" width="9.19921875" style="11"/>
    <col min="9253" max="9253" width="9.19921875" style="11" customWidth="1"/>
    <col min="9254" max="9254" width="11.265625" style="11" customWidth="1"/>
    <col min="9255" max="9260" width="9.19921875" style="11"/>
    <col min="9261" max="9261" width="11.46484375" style="11" customWidth="1"/>
    <col min="9262" max="9262" width="11.73046875" style="11" customWidth="1"/>
    <col min="9263" max="9269" width="9.19921875" style="11"/>
    <col min="9270" max="9270" width="11" style="11" customWidth="1"/>
    <col min="9271" max="9272" width="9.19921875" style="11"/>
    <col min="9273" max="9273" width="10.265625" style="11" customWidth="1"/>
    <col min="9274" max="9274" width="10.19921875" style="11" customWidth="1"/>
    <col min="9275" max="9275" width="12.19921875" style="11" customWidth="1"/>
    <col min="9276" max="9472" width="9.19921875" style="11"/>
    <col min="9473" max="9473" width="34.265625" style="11" customWidth="1"/>
    <col min="9474" max="9474" width="13.73046875" style="11" customWidth="1"/>
    <col min="9475" max="9475" width="9.265625" style="11" bestFit="1" customWidth="1"/>
    <col min="9476" max="9476" width="10.53125" style="11" customWidth="1"/>
    <col min="9477" max="9478" width="9.265625" style="11" bestFit="1" customWidth="1"/>
    <col min="9479" max="9479" width="15.265625" style="11" bestFit="1" customWidth="1"/>
    <col min="9480" max="9480" width="9.265625" style="11" bestFit="1" customWidth="1"/>
    <col min="9481" max="9481" width="13.46484375" style="11" bestFit="1" customWidth="1"/>
    <col min="9482" max="9482" width="9.19921875" style="11" customWidth="1"/>
    <col min="9483" max="9483" width="12" style="11" customWidth="1"/>
    <col min="9484" max="9485" width="9.46484375" style="11" bestFit="1" customWidth="1"/>
    <col min="9486" max="9486" width="13.265625" style="11" customWidth="1"/>
    <col min="9487" max="9487" width="9.46484375" style="11" bestFit="1" customWidth="1"/>
    <col min="9488" max="9488" width="9.796875" style="11" bestFit="1" customWidth="1"/>
    <col min="9489" max="9489" width="12.46484375" style="11" bestFit="1" customWidth="1"/>
    <col min="9490" max="9490" width="10.19921875" style="11" customWidth="1"/>
    <col min="9491" max="9491" width="10" style="11" bestFit="1" customWidth="1"/>
    <col min="9492" max="9492" width="10.53125" style="11" customWidth="1"/>
    <col min="9493" max="9493" width="9.46484375" style="11" bestFit="1" customWidth="1"/>
    <col min="9494" max="9494" width="9.265625" style="11" bestFit="1" customWidth="1"/>
    <col min="9495" max="9495" width="9.265625" style="11" customWidth="1"/>
    <col min="9496" max="9496" width="9.46484375" style="11" bestFit="1" customWidth="1"/>
    <col min="9497" max="9497" width="10.19921875" style="11" customWidth="1"/>
    <col min="9498" max="9498" width="12.19921875" style="11" customWidth="1"/>
    <col min="9499" max="9499" width="9.53125" style="11" customWidth="1"/>
    <col min="9500" max="9500" width="11.53125" style="11" customWidth="1"/>
    <col min="9501" max="9501" width="12.73046875" style="11" customWidth="1"/>
    <col min="9502" max="9502" width="14.796875" style="11" customWidth="1"/>
    <col min="9503" max="9503" width="9.53125" style="11" customWidth="1"/>
    <col min="9504" max="9504" width="10.53125" style="11" customWidth="1"/>
    <col min="9505" max="9505" width="9.19921875" style="11"/>
    <col min="9506" max="9506" width="13.265625" style="11" customWidth="1"/>
    <col min="9507" max="9507" width="11.19921875" style="11" customWidth="1"/>
    <col min="9508" max="9508" width="9.19921875" style="11"/>
    <col min="9509" max="9509" width="9.19921875" style="11" customWidth="1"/>
    <col min="9510" max="9510" width="11.265625" style="11" customWidth="1"/>
    <col min="9511" max="9516" width="9.19921875" style="11"/>
    <col min="9517" max="9517" width="11.46484375" style="11" customWidth="1"/>
    <col min="9518" max="9518" width="11.73046875" style="11" customWidth="1"/>
    <col min="9519" max="9525" width="9.19921875" style="11"/>
    <col min="9526" max="9526" width="11" style="11" customWidth="1"/>
    <col min="9527" max="9528" width="9.19921875" style="11"/>
    <col min="9529" max="9529" width="10.265625" style="11" customWidth="1"/>
    <col min="9530" max="9530" width="10.19921875" style="11" customWidth="1"/>
    <col min="9531" max="9531" width="12.19921875" style="11" customWidth="1"/>
    <col min="9532" max="9728" width="9.19921875" style="11"/>
    <col min="9729" max="9729" width="34.265625" style="11" customWidth="1"/>
    <col min="9730" max="9730" width="13.73046875" style="11" customWidth="1"/>
    <col min="9731" max="9731" width="9.265625" style="11" bestFit="1" customWidth="1"/>
    <col min="9732" max="9732" width="10.53125" style="11" customWidth="1"/>
    <col min="9733" max="9734" width="9.265625" style="11" bestFit="1" customWidth="1"/>
    <col min="9735" max="9735" width="15.265625" style="11" bestFit="1" customWidth="1"/>
    <col min="9736" max="9736" width="9.265625" style="11" bestFit="1" customWidth="1"/>
    <col min="9737" max="9737" width="13.46484375" style="11" bestFit="1" customWidth="1"/>
    <col min="9738" max="9738" width="9.19921875" style="11" customWidth="1"/>
    <col min="9739" max="9739" width="12" style="11" customWidth="1"/>
    <col min="9740" max="9741" width="9.46484375" style="11" bestFit="1" customWidth="1"/>
    <col min="9742" max="9742" width="13.265625" style="11" customWidth="1"/>
    <col min="9743" max="9743" width="9.46484375" style="11" bestFit="1" customWidth="1"/>
    <col min="9744" max="9744" width="9.796875" style="11" bestFit="1" customWidth="1"/>
    <col min="9745" max="9745" width="12.46484375" style="11" bestFit="1" customWidth="1"/>
    <col min="9746" max="9746" width="10.19921875" style="11" customWidth="1"/>
    <col min="9747" max="9747" width="10" style="11" bestFit="1" customWidth="1"/>
    <col min="9748" max="9748" width="10.53125" style="11" customWidth="1"/>
    <col min="9749" max="9749" width="9.46484375" style="11" bestFit="1" customWidth="1"/>
    <col min="9750" max="9750" width="9.265625" style="11" bestFit="1" customWidth="1"/>
    <col min="9751" max="9751" width="9.265625" style="11" customWidth="1"/>
    <col min="9752" max="9752" width="9.46484375" style="11" bestFit="1" customWidth="1"/>
    <col min="9753" max="9753" width="10.19921875" style="11" customWidth="1"/>
    <col min="9754" max="9754" width="12.19921875" style="11" customWidth="1"/>
    <col min="9755" max="9755" width="9.53125" style="11" customWidth="1"/>
    <col min="9756" max="9756" width="11.53125" style="11" customWidth="1"/>
    <col min="9757" max="9757" width="12.73046875" style="11" customWidth="1"/>
    <col min="9758" max="9758" width="14.796875" style="11" customWidth="1"/>
    <col min="9759" max="9759" width="9.53125" style="11" customWidth="1"/>
    <col min="9760" max="9760" width="10.53125" style="11" customWidth="1"/>
    <col min="9761" max="9761" width="9.19921875" style="11"/>
    <col min="9762" max="9762" width="13.265625" style="11" customWidth="1"/>
    <col min="9763" max="9763" width="11.19921875" style="11" customWidth="1"/>
    <col min="9764" max="9764" width="9.19921875" style="11"/>
    <col min="9765" max="9765" width="9.19921875" style="11" customWidth="1"/>
    <col min="9766" max="9766" width="11.265625" style="11" customWidth="1"/>
    <col min="9767" max="9772" width="9.19921875" style="11"/>
    <col min="9773" max="9773" width="11.46484375" style="11" customWidth="1"/>
    <col min="9774" max="9774" width="11.73046875" style="11" customWidth="1"/>
    <col min="9775" max="9781" width="9.19921875" style="11"/>
    <col min="9782" max="9782" width="11" style="11" customWidth="1"/>
    <col min="9783" max="9784" width="9.19921875" style="11"/>
    <col min="9785" max="9785" width="10.265625" style="11" customWidth="1"/>
    <col min="9786" max="9786" width="10.19921875" style="11" customWidth="1"/>
    <col min="9787" max="9787" width="12.19921875" style="11" customWidth="1"/>
    <col min="9788" max="9984" width="9.19921875" style="11"/>
    <col min="9985" max="9985" width="34.265625" style="11" customWidth="1"/>
    <col min="9986" max="9986" width="13.73046875" style="11" customWidth="1"/>
    <col min="9987" max="9987" width="9.265625" style="11" bestFit="1" customWidth="1"/>
    <col min="9988" max="9988" width="10.53125" style="11" customWidth="1"/>
    <col min="9989" max="9990" width="9.265625" style="11" bestFit="1" customWidth="1"/>
    <col min="9991" max="9991" width="15.265625" style="11" bestFit="1" customWidth="1"/>
    <col min="9992" max="9992" width="9.265625" style="11" bestFit="1" customWidth="1"/>
    <col min="9993" max="9993" width="13.46484375" style="11" bestFit="1" customWidth="1"/>
    <col min="9994" max="9994" width="9.19921875" style="11" customWidth="1"/>
    <col min="9995" max="9995" width="12" style="11" customWidth="1"/>
    <col min="9996" max="9997" width="9.46484375" style="11" bestFit="1" customWidth="1"/>
    <col min="9998" max="9998" width="13.265625" style="11" customWidth="1"/>
    <col min="9999" max="9999" width="9.46484375" style="11" bestFit="1" customWidth="1"/>
    <col min="10000" max="10000" width="9.796875" style="11" bestFit="1" customWidth="1"/>
    <col min="10001" max="10001" width="12.46484375" style="11" bestFit="1" customWidth="1"/>
    <col min="10002" max="10002" width="10.19921875" style="11" customWidth="1"/>
    <col min="10003" max="10003" width="10" style="11" bestFit="1" customWidth="1"/>
    <col min="10004" max="10004" width="10.53125" style="11" customWidth="1"/>
    <col min="10005" max="10005" width="9.46484375" style="11" bestFit="1" customWidth="1"/>
    <col min="10006" max="10006" width="9.265625" style="11" bestFit="1" customWidth="1"/>
    <col min="10007" max="10007" width="9.265625" style="11" customWidth="1"/>
    <col min="10008" max="10008" width="9.46484375" style="11" bestFit="1" customWidth="1"/>
    <col min="10009" max="10009" width="10.19921875" style="11" customWidth="1"/>
    <col min="10010" max="10010" width="12.19921875" style="11" customWidth="1"/>
    <col min="10011" max="10011" width="9.53125" style="11" customWidth="1"/>
    <col min="10012" max="10012" width="11.53125" style="11" customWidth="1"/>
    <col min="10013" max="10013" width="12.73046875" style="11" customWidth="1"/>
    <col min="10014" max="10014" width="14.796875" style="11" customWidth="1"/>
    <col min="10015" max="10015" width="9.53125" style="11" customWidth="1"/>
    <col min="10016" max="10016" width="10.53125" style="11" customWidth="1"/>
    <col min="10017" max="10017" width="9.19921875" style="11"/>
    <col min="10018" max="10018" width="13.265625" style="11" customWidth="1"/>
    <col min="10019" max="10019" width="11.19921875" style="11" customWidth="1"/>
    <col min="10020" max="10020" width="9.19921875" style="11"/>
    <col min="10021" max="10021" width="9.19921875" style="11" customWidth="1"/>
    <col min="10022" max="10022" width="11.265625" style="11" customWidth="1"/>
    <col min="10023" max="10028" width="9.19921875" style="11"/>
    <col min="10029" max="10029" width="11.46484375" style="11" customWidth="1"/>
    <col min="10030" max="10030" width="11.73046875" style="11" customWidth="1"/>
    <col min="10031" max="10037" width="9.19921875" style="11"/>
    <col min="10038" max="10038" width="11" style="11" customWidth="1"/>
    <col min="10039" max="10040" width="9.19921875" style="11"/>
    <col min="10041" max="10041" width="10.265625" style="11" customWidth="1"/>
    <col min="10042" max="10042" width="10.19921875" style="11" customWidth="1"/>
    <col min="10043" max="10043" width="12.19921875" style="11" customWidth="1"/>
    <col min="10044" max="10240" width="9.19921875" style="11"/>
    <col min="10241" max="10241" width="34.265625" style="11" customWidth="1"/>
    <col min="10242" max="10242" width="13.73046875" style="11" customWidth="1"/>
    <col min="10243" max="10243" width="9.265625" style="11" bestFit="1" customWidth="1"/>
    <col min="10244" max="10244" width="10.53125" style="11" customWidth="1"/>
    <col min="10245" max="10246" width="9.265625" style="11" bestFit="1" customWidth="1"/>
    <col min="10247" max="10247" width="15.265625" style="11" bestFit="1" customWidth="1"/>
    <col min="10248" max="10248" width="9.265625" style="11" bestFit="1" customWidth="1"/>
    <col min="10249" max="10249" width="13.46484375" style="11" bestFit="1" customWidth="1"/>
    <col min="10250" max="10250" width="9.19921875" style="11" customWidth="1"/>
    <col min="10251" max="10251" width="12" style="11" customWidth="1"/>
    <col min="10252" max="10253" width="9.46484375" style="11" bestFit="1" customWidth="1"/>
    <col min="10254" max="10254" width="13.265625" style="11" customWidth="1"/>
    <col min="10255" max="10255" width="9.46484375" style="11" bestFit="1" customWidth="1"/>
    <col min="10256" max="10256" width="9.796875" style="11" bestFit="1" customWidth="1"/>
    <col min="10257" max="10257" width="12.46484375" style="11" bestFit="1" customWidth="1"/>
    <col min="10258" max="10258" width="10.19921875" style="11" customWidth="1"/>
    <col min="10259" max="10259" width="10" style="11" bestFit="1" customWidth="1"/>
    <col min="10260" max="10260" width="10.53125" style="11" customWidth="1"/>
    <col min="10261" max="10261" width="9.46484375" style="11" bestFit="1" customWidth="1"/>
    <col min="10262" max="10262" width="9.265625" style="11" bestFit="1" customWidth="1"/>
    <col min="10263" max="10263" width="9.265625" style="11" customWidth="1"/>
    <col min="10264" max="10264" width="9.46484375" style="11" bestFit="1" customWidth="1"/>
    <col min="10265" max="10265" width="10.19921875" style="11" customWidth="1"/>
    <col min="10266" max="10266" width="12.19921875" style="11" customWidth="1"/>
    <col min="10267" max="10267" width="9.53125" style="11" customWidth="1"/>
    <col min="10268" max="10268" width="11.53125" style="11" customWidth="1"/>
    <col min="10269" max="10269" width="12.73046875" style="11" customWidth="1"/>
    <col min="10270" max="10270" width="14.796875" style="11" customWidth="1"/>
    <col min="10271" max="10271" width="9.53125" style="11" customWidth="1"/>
    <col min="10272" max="10272" width="10.53125" style="11" customWidth="1"/>
    <col min="10273" max="10273" width="9.19921875" style="11"/>
    <col min="10274" max="10274" width="13.265625" style="11" customWidth="1"/>
    <col min="10275" max="10275" width="11.19921875" style="11" customWidth="1"/>
    <col min="10276" max="10276" width="9.19921875" style="11"/>
    <col min="10277" max="10277" width="9.19921875" style="11" customWidth="1"/>
    <col min="10278" max="10278" width="11.265625" style="11" customWidth="1"/>
    <col min="10279" max="10284" width="9.19921875" style="11"/>
    <col min="10285" max="10285" width="11.46484375" style="11" customWidth="1"/>
    <col min="10286" max="10286" width="11.73046875" style="11" customWidth="1"/>
    <col min="10287" max="10293" width="9.19921875" style="11"/>
    <col min="10294" max="10294" width="11" style="11" customWidth="1"/>
    <col min="10295" max="10296" width="9.19921875" style="11"/>
    <col min="10297" max="10297" width="10.265625" style="11" customWidth="1"/>
    <col min="10298" max="10298" width="10.19921875" style="11" customWidth="1"/>
    <col min="10299" max="10299" width="12.19921875" style="11" customWidth="1"/>
    <col min="10300" max="10496" width="9.19921875" style="11"/>
    <col min="10497" max="10497" width="34.265625" style="11" customWidth="1"/>
    <col min="10498" max="10498" width="13.73046875" style="11" customWidth="1"/>
    <col min="10499" max="10499" width="9.265625" style="11" bestFit="1" customWidth="1"/>
    <col min="10500" max="10500" width="10.53125" style="11" customWidth="1"/>
    <col min="10501" max="10502" width="9.265625" style="11" bestFit="1" customWidth="1"/>
    <col min="10503" max="10503" width="15.265625" style="11" bestFit="1" customWidth="1"/>
    <col min="10504" max="10504" width="9.265625" style="11" bestFit="1" customWidth="1"/>
    <col min="10505" max="10505" width="13.46484375" style="11" bestFit="1" customWidth="1"/>
    <col min="10506" max="10506" width="9.19921875" style="11" customWidth="1"/>
    <col min="10507" max="10507" width="12" style="11" customWidth="1"/>
    <col min="10508" max="10509" width="9.46484375" style="11" bestFit="1" customWidth="1"/>
    <col min="10510" max="10510" width="13.265625" style="11" customWidth="1"/>
    <col min="10511" max="10511" width="9.46484375" style="11" bestFit="1" customWidth="1"/>
    <col min="10512" max="10512" width="9.796875" style="11" bestFit="1" customWidth="1"/>
    <col min="10513" max="10513" width="12.46484375" style="11" bestFit="1" customWidth="1"/>
    <col min="10514" max="10514" width="10.19921875" style="11" customWidth="1"/>
    <col min="10515" max="10515" width="10" style="11" bestFit="1" customWidth="1"/>
    <col min="10516" max="10516" width="10.53125" style="11" customWidth="1"/>
    <col min="10517" max="10517" width="9.46484375" style="11" bestFit="1" customWidth="1"/>
    <col min="10518" max="10518" width="9.265625" style="11" bestFit="1" customWidth="1"/>
    <col min="10519" max="10519" width="9.265625" style="11" customWidth="1"/>
    <col min="10520" max="10520" width="9.46484375" style="11" bestFit="1" customWidth="1"/>
    <col min="10521" max="10521" width="10.19921875" style="11" customWidth="1"/>
    <col min="10522" max="10522" width="12.19921875" style="11" customWidth="1"/>
    <col min="10523" max="10523" width="9.53125" style="11" customWidth="1"/>
    <col min="10524" max="10524" width="11.53125" style="11" customWidth="1"/>
    <col min="10525" max="10525" width="12.73046875" style="11" customWidth="1"/>
    <col min="10526" max="10526" width="14.796875" style="11" customWidth="1"/>
    <col min="10527" max="10527" width="9.53125" style="11" customWidth="1"/>
    <col min="10528" max="10528" width="10.53125" style="11" customWidth="1"/>
    <col min="10529" max="10529" width="9.19921875" style="11"/>
    <col min="10530" max="10530" width="13.265625" style="11" customWidth="1"/>
    <col min="10531" max="10531" width="11.19921875" style="11" customWidth="1"/>
    <col min="10532" max="10532" width="9.19921875" style="11"/>
    <col min="10533" max="10533" width="9.19921875" style="11" customWidth="1"/>
    <col min="10534" max="10534" width="11.265625" style="11" customWidth="1"/>
    <col min="10535" max="10540" width="9.19921875" style="11"/>
    <col min="10541" max="10541" width="11.46484375" style="11" customWidth="1"/>
    <col min="10542" max="10542" width="11.73046875" style="11" customWidth="1"/>
    <col min="10543" max="10549" width="9.19921875" style="11"/>
    <col min="10550" max="10550" width="11" style="11" customWidth="1"/>
    <col min="10551" max="10552" width="9.19921875" style="11"/>
    <col min="10553" max="10553" width="10.265625" style="11" customWidth="1"/>
    <col min="10554" max="10554" width="10.19921875" style="11" customWidth="1"/>
    <col min="10555" max="10555" width="12.19921875" style="11" customWidth="1"/>
    <col min="10556" max="10752" width="9.19921875" style="11"/>
    <col min="10753" max="10753" width="34.265625" style="11" customWidth="1"/>
    <col min="10754" max="10754" width="13.73046875" style="11" customWidth="1"/>
    <col min="10755" max="10755" width="9.265625" style="11" bestFit="1" customWidth="1"/>
    <col min="10756" max="10756" width="10.53125" style="11" customWidth="1"/>
    <col min="10757" max="10758" width="9.265625" style="11" bestFit="1" customWidth="1"/>
    <col min="10759" max="10759" width="15.265625" style="11" bestFit="1" customWidth="1"/>
    <col min="10760" max="10760" width="9.265625" style="11" bestFit="1" customWidth="1"/>
    <col min="10761" max="10761" width="13.46484375" style="11" bestFit="1" customWidth="1"/>
    <col min="10762" max="10762" width="9.19921875" style="11" customWidth="1"/>
    <col min="10763" max="10763" width="12" style="11" customWidth="1"/>
    <col min="10764" max="10765" width="9.46484375" style="11" bestFit="1" customWidth="1"/>
    <col min="10766" max="10766" width="13.265625" style="11" customWidth="1"/>
    <col min="10767" max="10767" width="9.46484375" style="11" bestFit="1" customWidth="1"/>
    <col min="10768" max="10768" width="9.796875" style="11" bestFit="1" customWidth="1"/>
    <col min="10769" max="10769" width="12.46484375" style="11" bestFit="1" customWidth="1"/>
    <col min="10770" max="10770" width="10.19921875" style="11" customWidth="1"/>
    <col min="10771" max="10771" width="10" style="11" bestFit="1" customWidth="1"/>
    <col min="10772" max="10772" width="10.53125" style="11" customWidth="1"/>
    <col min="10773" max="10773" width="9.46484375" style="11" bestFit="1" customWidth="1"/>
    <col min="10774" max="10774" width="9.265625" style="11" bestFit="1" customWidth="1"/>
    <col min="10775" max="10775" width="9.265625" style="11" customWidth="1"/>
    <col min="10776" max="10776" width="9.46484375" style="11" bestFit="1" customWidth="1"/>
    <col min="10777" max="10777" width="10.19921875" style="11" customWidth="1"/>
    <col min="10778" max="10778" width="12.19921875" style="11" customWidth="1"/>
    <col min="10779" max="10779" width="9.53125" style="11" customWidth="1"/>
    <col min="10780" max="10780" width="11.53125" style="11" customWidth="1"/>
    <col min="10781" max="10781" width="12.73046875" style="11" customWidth="1"/>
    <col min="10782" max="10782" width="14.796875" style="11" customWidth="1"/>
    <col min="10783" max="10783" width="9.53125" style="11" customWidth="1"/>
    <col min="10784" max="10784" width="10.53125" style="11" customWidth="1"/>
    <col min="10785" max="10785" width="9.19921875" style="11"/>
    <col min="10786" max="10786" width="13.265625" style="11" customWidth="1"/>
    <col min="10787" max="10787" width="11.19921875" style="11" customWidth="1"/>
    <col min="10788" max="10788" width="9.19921875" style="11"/>
    <col min="10789" max="10789" width="9.19921875" style="11" customWidth="1"/>
    <col min="10790" max="10790" width="11.265625" style="11" customWidth="1"/>
    <col min="10791" max="10796" width="9.19921875" style="11"/>
    <col min="10797" max="10797" width="11.46484375" style="11" customWidth="1"/>
    <col min="10798" max="10798" width="11.73046875" style="11" customWidth="1"/>
    <col min="10799" max="10805" width="9.19921875" style="11"/>
    <col min="10806" max="10806" width="11" style="11" customWidth="1"/>
    <col min="10807" max="10808" width="9.19921875" style="11"/>
    <col min="10809" max="10809" width="10.265625" style="11" customWidth="1"/>
    <col min="10810" max="10810" width="10.19921875" style="11" customWidth="1"/>
    <col min="10811" max="10811" width="12.19921875" style="11" customWidth="1"/>
    <col min="10812" max="11008" width="9.19921875" style="11"/>
    <col min="11009" max="11009" width="34.265625" style="11" customWidth="1"/>
    <col min="11010" max="11010" width="13.73046875" style="11" customWidth="1"/>
    <col min="11011" max="11011" width="9.265625" style="11" bestFit="1" customWidth="1"/>
    <col min="11012" max="11012" width="10.53125" style="11" customWidth="1"/>
    <col min="11013" max="11014" width="9.265625" style="11" bestFit="1" customWidth="1"/>
    <col min="11015" max="11015" width="15.265625" style="11" bestFit="1" customWidth="1"/>
    <col min="11016" max="11016" width="9.265625" style="11" bestFit="1" customWidth="1"/>
    <col min="11017" max="11017" width="13.46484375" style="11" bestFit="1" customWidth="1"/>
    <col min="11018" max="11018" width="9.19921875" style="11" customWidth="1"/>
    <col min="11019" max="11019" width="12" style="11" customWidth="1"/>
    <col min="11020" max="11021" width="9.46484375" style="11" bestFit="1" customWidth="1"/>
    <col min="11022" max="11022" width="13.265625" style="11" customWidth="1"/>
    <col min="11023" max="11023" width="9.46484375" style="11" bestFit="1" customWidth="1"/>
    <col min="11024" max="11024" width="9.796875" style="11" bestFit="1" customWidth="1"/>
    <col min="11025" max="11025" width="12.46484375" style="11" bestFit="1" customWidth="1"/>
    <col min="11026" max="11026" width="10.19921875" style="11" customWidth="1"/>
    <col min="11027" max="11027" width="10" style="11" bestFit="1" customWidth="1"/>
    <col min="11028" max="11028" width="10.53125" style="11" customWidth="1"/>
    <col min="11029" max="11029" width="9.46484375" style="11" bestFit="1" customWidth="1"/>
    <col min="11030" max="11030" width="9.265625" style="11" bestFit="1" customWidth="1"/>
    <col min="11031" max="11031" width="9.265625" style="11" customWidth="1"/>
    <col min="11032" max="11032" width="9.46484375" style="11" bestFit="1" customWidth="1"/>
    <col min="11033" max="11033" width="10.19921875" style="11" customWidth="1"/>
    <col min="11034" max="11034" width="12.19921875" style="11" customWidth="1"/>
    <col min="11035" max="11035" width="9.53125" style="11" customWidth="1"/>
    <col min="11036" max="11036" width="11.53125" style="11" customWidth="1"/>
    <col min="11037" max="11037" width="12.73046875" style="11" customWidth="1"/>
    <col min="11038" max="11038" width="14.796875" style="11" customWidth="1"/>
    <col min="11039" max="11039" width="9.53125" style="11" customWidth="1"/>
    <col min="11040" max="11040" width="10.53125" style="11" customWidth="1"/>
    <col min="11041" max="11041" width="9.19921875" style="11"/>
    <col min="11042" max="11042" width="13.265625" style="11" customWidth="1"/>
    <col min="11043" max="11043" width="11.19921875" style="11" customWidth="1"/>
    <col min="11044" max="11044" width="9.19921875" style="11"/>
    <col min="11045" max="11045" width="9.19921875" style="11" customWidth="1"/>
    <col min="11046" max="11046" width="11.265625" style="11" customWidth="1"/>
    <col min="11047" max="11052" width="9.19921875" style="11"/>
    <col min="11053" max="11053" width="11.46484375" style="11" customWidth="1"/>
    <col min="11054" max="11054" width="11.73046875" style="11" customWidth="1"/>
    <col min="11055" max="11061" width="9.19921875" style="11"/>
    <col min="11062" max="11062" width="11" style="11" customWidth="1"/>
    <col min="11063" max="11064" width="9.19921875" style="11"/>
    <col min="11065" max="11065" width="10.265625" style="11" customWidth="1"/>
    <col min="11066" max="11066" width="10.19921875" style="11" customWidth="1"/>
    <col min="11067" max="11067" width="12.19921875" style="11" customWidth="1"/>
    <col min="11068" max="11264" width="9.19921875" style="11"/>
    <col min="11265" max="11265" width="34.265625" style="11" customWidth="1"/>
    <col min="11266" max="11266" width="13.73046875" style="11" customWidth="1"/>
    <col min="11267" max="11267" width="9.265625" style="11" bestFit="1" customWidth="1"/>
    <col min="11268" max="11268" width="10.53125" style="11" customWidth="1"/>
    <col min="11269" max="11270" width="9.265625" style="11" bestFit="1" customWidth="1"/>
    <col min="11271" max="11271" width="15.265625" style="11" bestFit="1" customWidth="1"/>
    <col min="11272" max="11272" width="9.265625" style="11" bestFit="1" customWidth="1"/>
    <col min="11273" max="11273" width="13.46484375" style="11" bestFit="1" customWidth="1"/>
    <col min="11274" max="11274" width="9.19921875" style="11" customWidth="1"/>
    <col min="11275" max="11275" width="12" style="11" customWidth="1"/>
    <col min="11276" max="11277" width="9.46484375" style="11" bestFit="1" customWidth="1"/>
    <col min="11278" max="11278" width="13.265625" style="11" customWidth="1"/>
    <col min="11279" max="11279" width="9.46484375" style="11" bestFit="1" customWidth="1"/>
    <col min="11280" max="11280" width="9.796875" style="11" bestFit="1" customWidth="1"/>
    <col min="11281" max="11281" width="12.46484375" style="11" bestFit="1" customWidth="1"/>
    <col min="11282" max="11282" width="10.19921875" style="11" customWidth="1"/>
    <col min="11283" max="11283" width="10" style="11" bestFit="1" customWidth="1"/>
    <col min="11284" max="11284" width="10.53125" style="11" customWidth="1"/>
    <col min="11285" max="11285" width="9.46484375" style="11" bestFit="1" customWidth="1"/>
    <col min="11286" max="11286" width="9.265625" style="11" bestFit="1" customWidth="1"/>
    <col min="11287" max="11287" width="9.265625" style="11" customWidth="1"/>
    <col min="11288" max="11288" width="9.46484375" style="11" bestFit="1" customWidth="1"/>
    <col min="11289" max="11289" width="10.19921875" style="11" customWidth="1"/>
    <col min="11290" max="11290" width="12.19921875" style="11" customWidth="1"/>
    <col min="11291" max="11291" width="9.53125" style="11" customWidth="1"/>
    <col min="11292" max="11292" width="11.53125" style="11" customWidth="1"/>
    <col min="11293" max="11293" width="12.73046875" style="11" customWidth="1"/>
    <col min="11294" max="11294" width="14.796875" style="11" customWidth="1"/>
    <col min="11295" max="11295" width="9.53125" style="11" customWidth="1"/>
    <col min="11296" max="11296" width="10.53125" style="11" customWidth="1"/>
    <col min="11297" max="11297" width="9.19921875" style="11"/>
    <col min="11298" max="11298" width="13.265625" style="11" customWidth="1"/>
    <col min="11299" max="11299" width="11.19921875" style="11" customWidth="1"/>
    <col min="11300" max="11300" width="9.19921875" style="11"/>
    <col min="11301" max="11301" width="9.19921875" style="11" customWidth="1"/>
    <col min="11302" max="11302" width="11.265625" style="11" customWidth="1"/>
    <col min="11303" max="11308" width="9.19921875" style="11"/>
    <col min="11309" max="11309" width="11.46484375" style="11" customWidth="1"/>
    <col min="11310" max="11310" width="11.73046875" style="11" customWidth="1"/>
    <col min="11311" max="11317" width="9.19921875" style="11"/>
    <col min="11318" max="11318" width="11" style="11" customWidth="1"/>
    <col min="11319" max="11320" width="9.19921875" style="11"/>
    <col min="11321" max="11321" width="10.265625" style="11" customWidth="1"/>
    <col min="11322" max="11322" width="10.19921875" style="11" customWidth="1"/>
    <col min="11323" max="11323" width="12.19921875" style="11" customWidth="1"/>
    <col min="11324" max="11520" width="9.19921875" style="11"/>
    <col min="11521" max="11521" width="34.265625" style="11" customWidth="1"/>
    <col min="11522" max="11522" width="13.73046875" style="11" customWidth="1"/>
    <col min="11523" max="11523" width="9.265625" style="11" bestFit="1" customWidth="1"/>
    <col min="11524" max="11524" width="10.53125" style="11" customWidth="1"/>
    <col min="11525" max="11526" width="9.265625" style="11" bestFit="1" customWidth="1"/>
    <col min="11527" max="11527" width="15.265625" style="11" bestFit="1" customWidth="1"/>
    <col min="11528" max="11528" width="9.265625" style="11" bestFit="1" customWidth="1"/>
    <col min="11529" max="11529" width="13.46484375" style="11" bestFit="1" customWidth="1"/>
    <col min="11530" max="11530" width="9.19921875" style="11" customWidth="1"/>
    <col min="11531" max="11531" width="12" style="11" customWidth="1"/>
    <col min="11532" max="11533" width="9.46484375" style="11" bestFit="1" customWidth="1"/>
    <col min="11534" max="11534" width="13.265625" style="11" customWidth="1"/>
    <col min="11535" max="11535" width="9.46484375" style="11" bestFit="1" customWidth="1"/>
    <col min="11536" max="11536" width="9.796875" style="11" bestFit="1" customWidth="1"/>
    <col min="11537" max="11537" width="12.46484375" style="11" bestFit="1" customWidth="1"/>
    <col min="11538" max="11538" width="10.19921875" style="11" customWidth="1"/>
    <col min="11539" max="11539" width="10" style="11" bestFit="1" customWidth="1"/>
    <col min="11540" max="11540" width="10.53125" style="11" customWidth="1"/>
    <col min="11541" max="11541" width="9.46484375" style="11" bestFit="1" customWidth="1"/>
    <col min="11542" max="11542" width="9.265625" style="11" bestFit="1" customWidth="1"/>
    <col min="11543" max="11543" width="9.265625" style="11" customWidth="1"/>
    <col min="11544" max="11544" width="9.46484375" style="11" bestFit="1" customWidth="1"/>
    <col min="11545" max="11545" width="10.19921875" style="11" customWidth="1"/>
    <col min="11546" max="11546" width="12.19921875" style="11" customWidth="1"/>
    <col min="11547" max="11547" width="9.53125" style="11" customWidth="1"/>
    <col min="11548" max="11548" width="11.53125" style="11" customWidth="1"/>
    <col min="11549" max="11549" width="12.73046875" style="11" customWidth="1"/>
    <col min="11550" max="11550" width="14.796875" style="11" customWidth="1"/>
    <col min="11551" max="11551" width="9.53125" style="11" customWidth="1"/>
    <col min="11552" max="11552" width="10.53125" style="11" customWidth="1"/>
    <col min="11553" max="11553" width="9.19921875" style="11"/>
    <col min="11554" max="11554" width="13.265625" style="11" customWidth="1"/>
    <col min="11555" max="11555" width="11.19921875" style="11" customWidth="1"/>
    <col min="11556" max="11556" width="9.19921875" style="11"/>
    <col min="11557" max="11557" width="9.19921875" style="11" customWidth="1"/>
    <col min="11558" max="11558" width="11.265625" style="11" customWidth="1"/>
    <col min="11559" max="11564" width="9.19921875" style="11"/>
    <col min="11565" max="11565" width="11.46484375" style="11" customWidth="1"/>
    <col min="11566" max="11566" width="11.73046875" style="11" customWidth="1"/>
    <col min="11567" max="11573" width="9.19921875" style="11"/>
    <col min="11574" max="11574" width="11" style="11" customWidth="1"/>
    <col min="11575" max="11576" width="9.19921875" style="11"/>
    <col min="11577" max="11577" width="10.265625" style="11" customWidth="1"/>
    <col min="11578" max="11578" width="10.19921875" style="11" customWidth="1"/>
    <col min="11579" max="11579" width="12.19921875" style="11" customWidth="1"/>
    <col min="11580" max="11776" width="9.19921875" style="11"/>
    <col min="11777" max="11777" width="34.265625" style="11" customWidth="1"/>
    <col min="11778" max="11778" width="13.73046875" style="11" customWidth="1"/>
    <col min="11779" max="11779" width="9.265625" style="11" bestFit="1" customWidth="1"/>
    <col min="11780" max="11780" width="10.53125" style="11" customWidth="1"/>
    <col min="11781" max="11782" width="9.265625" style="11" bestFit="1" customWidth="1"/>
    <col min="11783" max="11783" width="15.265625" style="11" bestFit="1" customWidth="1"/>
    <col min="11784" max="11784" width="9.265625" style="11" bestFit="1" customWidth="1"/>
    <col min="11785" max="11785" width="13.46484375" style="11" bestFit="1" customWidth="1"/>
    <col min="11786" max="11786" width="9.19921875" style="11" customWidth="1"/>
    <col min="11787" max="11787" width="12" style="11" customWidth="1"/>
    <col min="11788" max="11789" width="9.46484375" style="11" bestFit="1" customWidth="1"/>
    <col min="11790" max="11790" width="13.265625" style="11" customWidth="1"/>
    <col min="11791" max="11791" width="9.46484375" style="11" bestFit="1" customWidth="1"/>
    <col min="11792" max="11792" width="9.796875" style="11" bestFit="1" customWidth="1"/>
    <col min="11793" max="11793" width="12.46484375" style="11" bestFit="1" customWidth="1"/>
    <col min="11794" max="11794" width="10.19921875" style="11" customWidth="1"/>
    <col min="11795" max="11795" width="10" style="11" bestFit="1" customWidth="1"/>
    <col min="11796" max="11796" width="10.53125" style="11" customWidth="1"/>
    <col min="11797" max="11797" width="9.46484375" style="11" bestFit="1" customWidth="1"/>
    <col min="11798" max="11798" width="9.265625" style="11" bestFit="1" customWidth="1"/>
    <col min="11799" max="11799" width="9.265625" style="11" customWidth="1"/>
    <col min="11800" max="11800" width="9.46484375" style="11" bestFit="1" customWidth="1"/>
    <col min="11801" max="11801" width="10.19921875" style="11" customWidth="1"/>
    <col min="11802" max="11802" width="12.19921875" style="11" customWidth="1"/>
    <col min="11803" max="11803" width="9.53125" style="11" customWidth="1"/>
    <col min="11804" max="11804" width="11.53125" style="11" customWidth="1"/>
    <col min="11805" max="11805" width="12.73046875" style="11" customWidth="1"/>
    <col min="11806" max="11806" width="14.796875" style="11" customWidth="1"/>
    <col min="11807" max="11807" width="9.53125" style="11" customWidth="1"/>
    <col min="11808" max="11808" width="10.53125" style="11" customWidth="1"/>
    <col min="11809" max="11809" width="9.19921875" style="11"/>
    <col min="11810" max="11810" width="13.265625" style="11" customWidth="1"/>
    <col min="11811" max="11811" width="11.19921875" style="11" customWidth="1"/>
    <col min="11812" max="11812" width="9.19921875" style="11"/>
    <col min="11813" max="11813" width="9.19921875" style="11" customWidth="1"/>
    <col min="11814" max="11814" width="11.265625" style="11" customWidth="1"/>
    <col min="11815" max="11820" width="9.19921875" style="11"/>
    <col min="11821" max="11821" width="11.46484375" style="11" customWidth="1"/>
    <col min="11822" max="11822" width="11.73046875" style="11" customWidth="1"/>
    <col min="11823" max="11829" width="9.19921875" style="11"/>
    <col min="11830" max="11830" width="11" style="11" customWidth="1"/>
    <col min="11831" max="11832" width="9.19921875" style="11"/>
    <col min="11833" max="11833" width="10.265625" style="11" customWidth="1"/>
    <col min="11834" max="11834" width="10.19921875" style="11" customWidth="1"/>
    <col min="11835" max="11835" width="12.19921875" style="11" customWidth="1"/>
    <col min="11836" max="12032" width="9.19921875" style="11"/>
    <col min="12033" max="12033" width="34.265625" style="11" customWidth="1"/>
    <col min="12034" max="12034" width="13.73046875" style="11" customWidth="1"/>
    <col min="12035" max="12035" width="9.265625" style="11" bestFit="1" customWidth="1"/>
    <col min="12036" max="12036" width="10.53125" style="11" customWidth="1"/>
    <col min="12037" max="12038" width="9.265625" style="11" bestFit="1" customWidth="1"/>
    <col min="12039" max="12039" width="15.265625" style="11" bestFit="1" customWidth="1"/>
    <col min="12040" max="12040" width="9.265625" style="11" bestFit="1" customWidth="1"/>
    <col min="12041" max="12041" width="13.46484375" style="11" bestFit="1" customWidth="1"/>
    <col min="12042" max="12042" width="9.19921875" style="11" customWidth="1"/>
    <col min="12043" max="12043" width="12" style="11" customWidth="1"/>
    <col min="12044" max="12045" width="9.46484375" style="11" bestFit="1" customWidth="1"/>
    <col min="12046" max="12046" width="13.265625" style="11" customWidth="1"/>
    <col min="12047" max="12047" width="9.46484375" style="11" bestFit="1" customWidth="1"/>
    <col min="12048" max="12048" width="9.796875" style="11" bestFit="1" customWidth="1"/>
    <col min="12049" max="12049" width="12.46484375" style="11" bestFit="1" customWidth="1"/>
    <col min="12050" max="12050" width="10.19921875" style="11" customWidth="1"/>
    <col min="12051" max="12051" width="10" style="11" bestFit="1" customWidth="1"/>
    <col min="12052" max="12052" width="10.53125" style="11" customWidth="1"/>
    <col min="12053" max="12053" width="9.46484375" style="11" bestFit="1" customWidth="1"/>
    <col min="12054" max="12054" width="9.265625" style="11" bestFit="1" customWidth="1"/>
    <col min="12055" max="12055" width="9.265625" style="11" customWidth="1"/>
    <col min="12056" max="12056" width="9.46484375" style="11" bestFit="1" customWidth="1"/>
    <col min="12057" max="12057" width="10.19921875" style="11" customWidth="1"/>
    <col min="12058" max="12058" width="12.19921875" style="11" customWidth="1"/>
    <col min="12059" max="12059" width="9.53125" style="11" customWidth="1"/>
    <col min="12060" max="12060" width="11.53125" style="11" customWidth="1"/>
    <col min="12061" max="12061" width="12.73046875" style="11" customWidth="1"/>
    <col min="12062" max="12062" width="14.796875" style="11" customWidth="1"/>
    <col min="12063" max="12063" width="9.53125" style="11" customWidth="1"/>
    <col min="12064" max="12064" width="10.53125" style="11" customWidth="1"/>
    <col min="12065" max="12065" width="9.19921875" style="11"/>
    <col min="12066" max="12066" width="13.265625" style="11" customWidth="1"/>
    <col min="12067" max="12067" width="11.19921875" style="11" customWidth="1"/>
    <col min="12068" max="12068" width="9.19921875" style="11"/>
    <col min="12069" max="12069" width="9.19921875" style="11" customWidth="1"/>
    <col min="12070" max="12070" width="11.265625" style="11" customWidth="1"/>
    <col min="12071" max="12076" width="9.19921875" style="11"/>
    <col min="12077" max="12077" width="11.46484375" style="11" customWidth="1"/>
    <col min="12078" max="12078" width="11.73046875" style="11" customWidth="1"/>
    <col min="12079" max="12085" width="9.19921875" style="11"/>
    <col min="12086" max="12086" width="11" style="11" customWidth="1"/>
    <col min="12087" max="12088" width="9.19921875" style="11"/>
    <col min="12089" max="12089" width="10.265625" style="11" customWidth="1"/>
    <col min="12090" max="12090" width="10.19921875" style="11" customWidth="1"/>
    <col min="12091" max="12091" width="12.19921875" style="11" customWidth="1"/>
    <col min="12092" max="12288" width="9.19921875" style="11"/>
    <col min="12289" max="12289" width="34.265625" style="11" customWidth="1"/>
    <col min="12290" max="12290" width="13.73046875" style="11" customWidth="1"/>
    <col min="12291" max="12291" width="9.265625" style="11" bestFit="1" customWidth="1"/>
    <col min="12292" max="12292" width="10.53125" style="11" customWidth="1"/>
    <col min="12293" max="12294" width="9.265625" style="11" bestFit="1" customWidth="1"/>
    <col min="12295" max="12295" width="15.265625" style="11" bestFit="1" customWidth="1"/>
    <col min="12296" max="12296" width="9.265625" style="11" bestFit="1" customWidth="1"/>
    <col min="12297" max="12297" width="13.46484375" style="11" bestFit="1" customWidth="1"/>
    <col min="12298" max="12298" width="9.19921875" style="11" customWidth="1"/>
    <col min="12299" max="12299" width="12" style="11" customWidth="1"/>
    <col min="12300" max="12301" width="9.46484375" style="11" bestFit="1" customWidth="1"/>
    <col min="12302" max="12302" width="13.265625" style="11" customWidth="1"/>
    <col min="12303" max="12303" width="9.46484375" style="11" bestFit="1" customWidth="1"/>
    <col min="12304" max="12304" width="9.796875" style="11" bestFit="1" customWidth="1"/>
    <col min="12305" max="12305" width="12.46484375" style="11" bestFit="1" customWidth="1"/>
    <col min="12306" max="12306" width="10.19921875" style="11" customWidth="1"/>
    <col min="12307" max="12307" width="10" style="11" bestFit="1" customWidth="1"/>
    <col min="12308" max="12308" width="10.53125" style="11" customWidth="1"/>
    <col min="12309" max="12309" width="9.46484375" style="11" bestFit="1" customWidth="1"/>
    <col min="12310" max="12310" width="9.265625" style="11" bestFit="1" customWidth="1"/>
    <col min="12311" max="12311" width="9.265625" style="11" customWidth="1"/>
    <col min="12312" max="12312" width="9.46484375" style="11" bestFit="1" customWidth="1"/>
    <col min="12313" max="12313" width="10.19921875" style="11" customWidth="1"/>
    <col min="12314" max="12314" width="12.19921875" style="11" customWidth="1"/>
    <col min="12315" max="12315" width="9.53125" style="11" customWidth="1"/>
    <col min="12316" max="12316" width="11.53125" style="11" customWidth="1"/>
    <col min="12317" max="12317" width="12.73046875" style="11" customWidth="1"/>
    <col min="12318" max="12318" width="14.796875" style="11" customWidth="1"/>
    <col min="12319" max="12319" width="9.53125" style="11" customWidth="1"/>
    <col min="12320" max="12320" width="10.53125" style="11" customWidth="1"/>
    <col min="12321" max="12321" width="9.19921875" style="11"/>
    <col min="12322" max="12322" width="13.265625" style="11" customWidth="1"/>
    <col min="12323" max="12323" width="11.19921875" style="11" customWidth="1"/>
    <col min="12324" max="12324" width="9.19921875" style="11"/>
    <col min="12325" max="12325" width="9.19921875" style="11" customWidth="1"/>
    <col min="12326" max="12326" width="11.265625" style="11" customWidth="1"/>
    <col min="12327" max="12332" width="9.19921875" style="11"/>
    <col min="12333" max="12333" width="11.46484375" style="11" customWidth="1"/>
    <col min="12334" max="12334" width="11.73046875" style="11" customWidth="1"/>
    <col min="12335" max="12341" width="9.19921875" style="11"/>
    <col min="12342" max="12342" width="11" style="11" customWidth="1"/>
    <col min="12343" max="12344" width="9.19921875" style="11"/>
    <col min="12345" max="12345" width="10.265625" style="11" customWidth="1"/>
    <col min="12346" max="12346" width="10.19921875" style="11" customWidth="1"/>
    <col min="12347" max="12347" width="12.19921875" style="11" customWidth="1"/>
    <col min="12348" max="12544" width="9.19921875" style="11"/>
    <col min="12545" max="12545" width="34.265625" style="11" customWidth="1"/>
    <col min="12546" max="12546" width="13.73046875" style="11" customWidth="1"/>
    <col min="12547" max="12547" width="9.265625" style="11" bestFit="1" customWidth="1"/>
    <col min="12548" max="12548" width="10.53125" style="11" customWidth="1"/>
    <col min="12549" max="12550" width="9.265625" style="11" bestFit="1" customWidth="1"/>
    <col min="12551" max="12551" width="15.265625" style="11" bestFit="1" customWidth="1"/>
    <col min="12552" max="12552" width="9.265625" style="11" bestFit="1" customWidth="1"/>
    <col min="12553" max="12553" width="13.46484375" style="11" bestFit="1" customWidth="1"/>
    <col min="12554" max="12554" width="9.19921875" style="11" customWidth="1"/>
    <col min="12555" max="12555" width="12" style="11" customWidth="1"/>
    <col min="12556" max="12557" width="9.46484375" style="11" bestFit="1" customWidth="1"/>
    <col min="12558" max="12558" width="13.265625" style="11" customWidth="1"/>
    <col min="12559" max="12559" width="9.46484375" style="11" bestFit="1" customWidth="1"/>
    <col min="12560" max="12560" width="9.796875" style="11" bestFit="1" customWidth="1"/>
    <col min="12561" max="12561" width="12.46484375" style="11" bestFit="1" customWidth="1"/>
    <col min="12562" max="12562" width="10.19921875" style="11" customWidth="1"/>
    <col min="12563" max="12563" width="10" style="11" bestFit="1" customWidth="1"/>
    <col min="12564" max="12564" width="10.53125" style="11" customWidth="1"/>
    <col min="12565" max="12565" width="9.46484375" style="11" bestFit="1" customWidth="1"/>
    <col min="12566" max="12566" width="9.265625" style="11" bestFit="1" customWidth="1"/>
    <col min="12567" max="12567" width="9.265625" style="11" customWidth="1"/>
    <col min="12568" max="12568" width="9.46484375" style="11" bestFit="1" customWidth="1"/>
    <col min="12569" max="12569" width="10.19921875" style="11" customWidth="1"/>
    <col min="12570" max="12570" width="12.19921875" style="11" customWidth="1"/>
    <col min="12571" max="12571" width="9.53125" style="11" customWidth="1"/>
    <col min="12572" max="12572" width="11.53125" style="11" customWidth="1"/>
    <col min="12573" max="12573" width="12.73046875" style="11" customWidth="1"/>
    <col min="12574" max="12574" width="14.796875" style="11" customWidth="1"/>
    <col min="12575" max="12575" width="9.53125" style="11" customWidth="1"/>
    <col min="12576" max="12576" width="10.53125" style="11" customWidth="1"/>
    <col min="12577" max="12577" width="9.19921875" style="11"/>
    <col min="12578" max="12578" width="13.265625" style="11" customWidth="1"/>
    <col min="12579" max="12579" width="11.19921875" style="11" customWidth="1"/>
    <col min="12580" max="12580" width="9.19921875" style="11"/>
    <col min="12581" max="12581" width="9.19921875" style="11" customWidth="1"/>
    <col min="12582" max="12582" width="11.265625" style="11" customWidth="1"/>
    <col min="12583" max="12588" width="9.19921875" style="11"/>
    <col min="12589" max="12589" width="11.46484375" style="11" customWidth="1"/>
    <col min="12590" max="12590" width="11.73046875" style="11" customWidth="1"/>
    <col min="12591" max="12597" width="9.19921875" style="11"/>
    <col min="12598" max="12598" width="11" style="11" customWidth="1"/>
    <col min="12599" max="12600" width="9.19921875" style="11"/>
    <col min="12601" max="12601" width="10.265625" style="11" customWidth="1"/>
    <col min="12602" max="12602" width="10.19921875" style="11" customWidth="1"/>
    <col min="12603" max="12603" width="12.19921875" style="11" customWidth="1"/>
    <col min="12604" max="12800" width="9.19921875" style="11"/>
    <col min="12801" max="12801" width="34.265625" style="11" customWidth="1"/>
    <col min="12802" max="12802" width="13.73046875" style="11" customWidth="1"/>
    <col min="12803" max="12803" width="9.265625" style="11" bestFit="1" customWidth="1"/>
    <col min="12804" max="12804" width="10.53125" style="11" customWidth="1"/>
    <col min="12805" max="12806" width="9.265625" style="11" bestFit="1" customWidth="1"/>
    <col min="12807" max="12807" width="15.265625" style="11" bestFit="1" customWidth="1"/>
    <col min="12808" max="12808" width="9.265625" style="11" bestFit="1" customWidth="1"/>
    <col min="12809" max="12809" width="13.46484375" style="11" bestFit="1" customWidth="1"/>
    <col min="12810" max="12810" width="9.19921875" style="11" customWidth="1"/>
    <col min="12811" max="12811" width="12" style="11" customWidth="1"/>
    <col min="12812" max="12813" width="9.46484375" style="11" bestFit="1" customWidth="1"/>
    <col min="12814" max="12814" width="13.265625" style="11" customWidth="1"/>
    <col min="12815" max="12815" width="9.46484375" style="11" bestFit="1" customWidth="1"/>
    <col min="12816" max="12816" width="9.796875" style="11" bestFit="1" customWidth="1"/>
    <col min="12817" max="12817" width="12.46484375" style="11" bestFit="1" customWidth="1"/>
    <col min="12818" max="12818" width="10.19921875" style="11" customWidth="1"/>
    <col min="12819" max="12819" width="10" style="11" bestFit="1" customWidth="1"/>
    <col min="12820" max="12820" width="10.53125" style="11" customWidth="1"/>
    <col min="12821" max="12821" width="9.46484375" style="11" bestFit="1" customWidth="1"/>
    <col min="12822" max="12822" width="9.265625" style="11" bestFit="1" customWidth="1"/>
    <col min="12823" max="12823" width="9.265625" style="11" customWidth="1"/>
    <col min="12824" max="12824" width="9.46484375" style="11" bestFit="1" customWidth="1"/>
    <col min="12825" max="12825" width="10.19921875" style="11" customWidth="1"/>
    <col min="12826" max="12826" width="12.19921875" style="11" customWidth="1"/>
    <col min="12827" max="12827" width="9.53125" style="11" customWidth="1"/>
    <col min="12828" max="12828" width="11.53125" style="11" customWidth="1"/>
    <col min="12829" max="12829" width="12.73046875" style="11" customWidth="1"/>
    <col min="12830" max="12830" width="14.796875" style="11" customWidth="1"/>
    <col min="12831" max="12831" width="9.53125" style="11" customWidth="1"/>
    <col min="12832" max="12832" width="10.53125" style="11" customWidth="1"/>
    <col min="12833" max="12833" width="9.19921875" style="11"/>
    <col min="12834" max="12834" width="13.265625" style="11" customWidth="1"/>
    <col min="12835" max="12835" width="11.19921875" style="11" customWidth="1"/>
    <col min="12836" max="12836" width="9.19921875" style="11"/>
    <col min="12837" max="12837" width="9.19921875" style="11" customWidth="1"/>
    <col min="12838" max="12838" width="11.265625" style="11" customWidth="1"/>
    <col min="12839" max="12844" width="9.19921875" style="11"/>
    <col min="12845" max="12845" width="11.46484375" style="11" customWidth="1"/>
    <col min="12846" max="12846" width="11.73046875" style="11" customWidth="1"/>
    <col min="12847" max="12853" width="9.19921875" style="11"/>
    <col min="12854" max="12854" width="11" style="11" customWidth="1"/>
    <col min="12855" max="12856" width="9.19921875" style="11"/>
    <col min="12857" max="12857" width="10.265625" style="11" customWidth="1"/>
    <col min="12858" max="12858" width="10.19921875" style="11" customWidth="1"/>
    <col min="12859" max="12859" width="12.19921875" style="11" customWidth="1"/>
    <col min="12860" max="13056" width="9.19921875" style="11"/>
    <col min="13057" max="13057" width="34.265625" style="11" customWidth="1"/>
    <col min="13058" max="13058" width="13.73046875" style="11" customWidth="1"/>
    <col min="13059" max="13059" width="9.265625" style="11" bestFit="1" customWidth="1"/>
    <col min="13060" max="13060" width="10.53125" style="11" customWidth="1"/>
    <col min="13061" max="13062" width="9.265625" style="11" bestFit="1" customWidth="1"/>
    <col min="13063" max="13063" width="15.265625" style="11" bestFit="1" customWidth="1"/>
    <col min="13064" max="13064" width="9.265625" style="11" bestFit="1" customWidth="1"/>
    <col min="13065" max="13065" width="13.46484375" style="11" bestFit="1" customWidth="1"/>
    <col min="13066" max="13066" width="9.19921875" style="11" customWidth="1"/>
    <col min="13067" max="13067" width="12" style="11" customWidth="1"/>
    <col min="13068" max="13069" width="9.46484375" style="11" bestFit="1" customWidth="1"/>
    <col min="13070" max="13070" width="13.265625" style="11" customWidth="1"/>
    <col min="13071" max="13071" width="9.46484375" style="11" bestFit="1" customWidth="1"/>
    <col min="13072" max="13072" width="9.796875" style="11" bestFit="1" customWidth="1"/>
    <col min="13073" max="13073" width="12.46484375" style="11" bestFit="1" customWidth="1"/>
    <col min="13074" max="13074" width="10.19921875" style="11" customWidth="1"/>
    <col min="13075" max="13075" width="10" style="11" bestFit="1" customWidth="1"/>
    <col min="13076" max="13076" width="10.53125" style="11" customWidth="1"/>
    <col min="13077" max="13077" width="9.46484375" style="11" bestFit="1" customWidth="1"/>
    <col min="13078" max="13078" width="9.265625" style="11" bestFit="1" customWidth="1"/>
    <col min="13079" max="13079" width="9.265625" style="11" customWidth="1"/>
    <col min="13080" max="13080" width="9.46484375" style="11" bestFit="1" customWidth="1"/>
    <col min="13081" max="13081" width="10.19921875" style="11" customWidth="1"/>
    <col min="13082" max="13082" width="12.19921875" style="11" customWidth="1"/>
    <col min="13083" max="13083" width="9.53125" style="11" customWidth="1"/>
    <col min="13084" max="13084" width="11.53125" style="11" customWidth="1"/>
    <col min="13085" max="13085" width="12.73046875" style="11" customWidth="1"/>
    <col min="13086" max="13086" width="14.796875" style="11" customWidth="1"/>
    <col min="13087" max="13087" width="9.53125" style="11" customWidth="1"/>
    <col min="13088" max="13088" width="10.53125" style="11" customWidth="1"/>
    <col min="13089" max="13089" width="9.19921875" style="11"/>
    <col min="13090" max="13090" width="13.265625" style="11" customWidth="1"/>
    <col min="13091" max="13091" width="11.19921875" style="11" customWidth="1"/>
    <col min="13092" max="13092" width="9.19921875" style="11"/>
    <col min="13093" max="13093" width="9.19921875" style="11" customWidth="1"/>
    <col min="13094" max="13094" width="11.265625" style="11" customWidth="1"/>
    <col min="13095" max="13100" width="9.19921875" style="11"/>
    <col min="13101" max="13101" width="11.46484375" style="11" customWidth="1"/>
    <col min="13102" max="13102" width="11.73046875" style="11" customWidth="1"/>
    <col min="13103" max="13109" width="9.19921875" style="11"/>
    <col min="13110" max="13110" width="11" style="11" customWidth="1"/>
    <col min="13111" max="13112" width="9.19921875" style="11"/>
    <col min="13113" max="13113" width="10.265625" style="11" customWidth="1"/>
    <col min="13114" max="13114" width="10.19921875" style="11" customWidth="1"/>
    <col min="13115" max="13115" width="12.19921875" style="11" customWidth="1"/>
    <col min="13116" max="13312" width="9.19921875" style="11"/>
    <col min="13313" max="13313" width="34.265625" style="11" customWidth="1"/>
    <col min="13314" max="13314" width="13.73046875" style="11" customWidth="1"/>
    <col min="13315" max="13315" width="9.265625" style="11" bestFit="1" customWidth="1"/>
    <col min="13316" max="13316" width="10.53125" style="11" customWidth="1"/>
    <col min="13317" max="13318" width="9.265625" style="11" bestFit="1" customWidth="1"/>
    <col min="13319" max="13319" width="15.265625" style="11" bestFit="1" customWidth="1"/>
    <col min="13320" max="13320" width="9.265625" style="11" bestFit="1" customWidth="1"/>
    <col min="13321" max="13321" width="13.46484375" style="11" bestFit="1" customWidth="1"/>
    <col min="13322" max="13322" width="9.19921875" style="11" customWidth="1"/>
    <col min="13323" max="13323" width="12" style="11" customWidth="1"/>
    <col min="13324" max="13325" width="9.46484375" style="11" bestFit="1" customWidth="1"/>
    <col min="13326" max="13326" width="13.265625" style="11" customWidth="1"/>
    <col min="13327" max="13327" width="9.46484375" style="11" bestFit="1" customWidth="1"/>
    <col min="13328" max="13328" width="9.796875" style="11" bestFit="1" customWidth="1"/>
    <col min="13329" max="13329" width="12.46484375" style="11" bestFit="1" customWidth="1"/>
    <col min="13330" max="13330" width="10.19921875" style="11" customWidth="1"/>
    <col min="13331" max="13331" width="10" style="11" bestFit="1" customWidth="1"/>
    <col min="13332" max="13332" width="10.53125" style="11" customWidth="1"/>
    <col min="13333" max="13333" width="9.46484375" style="11" bestFit="1" customWidth="1"/>
    <col min="13334" max="13334" width="9.265625" style="11" bestFit="1" customWidth="1"/>
    <col min="13335" max="13335" width="9.265625" style="11" customWidth="1"/>
    <col min="13336" max="13336" width="9.46484375" style="11" bestFit="1" customWidth="1"/>
    <col min="13337" max="13337" width="10.19921875" style="11" customWidth="1"/>
    <col min="13338" max="13338" width="12.19921875" style="11" customWidth="1"/>
    <col min="13339" max="13339" width="9.53125" style="11" customWidth="1"/>
    <col min="13340" max="13340" width="11.53125" style="11" customWidth="1"/>
    <col min="13341" max="13341" width="12.73046875" style="11" customWidth="1"/>
    <col min="13342" max="13342" width="14.796875" style="11" customWidth="1"/>
    <col min="13343" max="13343" width="9.53125" style="11" customWidth="1"/>
    <col min="13344" max="13344" width="10.53125" style="11" customWidth="1"/>
    <col min="13345" max="13345" width="9.19921875" style="11"/>
    <col min="13346" max="13346" width="13.265625" style="11" customWidth="1"/>
    <col min="13347" max="13347" width="11.19921875" style="11" customWidth="1"/>
    <col min="13348" max="13348" width="9.19921875" style="11"/>
    <col min="13349" max="13349" width="9.19921875" style="11" customWidth="1"/>
    <col min="13350" max="13350" width="11.265625" style="11" customWidth="1"/>
    <col min="13351" max="13356" width="9.19921875" style="11"/>
    <col min="13357" max="13357" width="11.46484375" style="11" customWidth="1"/>
    <col min="13358" max="13358" width="11.73046875" style="11" customWidth="1"/>
    <col min="13359" max="13365" width="9.19921875" style="11"/>
    <col min="13366" max="13366" width="11" style="11" customWidth="1"/>
    <col min="13367" max="13368" width="9.19921875" style="11"/>
    <col min="13369" max="13369" width="10.265625" style="11" customWidth="1"/>
    <col min="13370" max="13370" width="10.19921875" style="11" customWidth="1"/>
    <col min="13371" max="13371" width="12.19921875" style="11" customWidth="1"/>
    <col min="13372" max="13568" width="9.19921875" style="11"/>
    <col min="13569" max="13569" width="34.265625" style="11" customWidth="1"/>
    <col min="13570" max="13570" width="13.73046875" style="11" customWidth="1"/>
    <col min="13571" max="13571" width="9.265625" style="11" bestFit="1" customWidth="1"/>
    <col min="13572" max="13572" width="10.53125" style="11" customWidth="1"/>
    <col min="13573" max="13574" width="9.265625" style="11" bestFit="1" customWidth="1"/>
    <col min="13575" max="13575" width="15.265625" style="11" bestFit="1" customWidth="1"/>
    <col min="13576" max="13576" width="9.265625" style="11" bestFit="1" customWidth="1"/>
    <col min="13577" max="13577" width="13.46484375" style="11" bestFit="1" customWidth="1"/>
    <col min="13578" max="13578" width="9.19921875" style="11" customWidth="1"/>
    <col min="13579" max="13579" width="12" style="11" customWidth="1"/>
    <col min="13580" max="13581" width="9.46484375" style="11" bestFit="1" customWidth="1"/>
    <col min="13582" max="13582" width="13.265625" style="11" customWidth="1"/>
    <col min="13583" max="13583" width="9.46484375" style="11" bestFit="1" customWidth="1"/>
    <col min="13584" max="13584" width="9.796875" style="11" bestFit="1" customWidth="1"/>
    <col min="13585" max="13585" width="12.46484375" style="11" bestFit="1" customWidth="1"/>
    <col min="13586" max="13586" width="10.19921875" style="11" customWidth="1"/>
    <col min="13587" max="13587" width="10" style="11" bestFit="1" customWidth="1"/>
    <col min="13588" max="13588" width="10.53125" style="11" customWidth="1"/>
    <col min="13589" max="13589" width="9.46484375" style="11" bestFit="1" customWidth="1"/>
    <col min="13590" max="13590" width="9.265625" style="11" bestFit="1" customWidth="1"/>
    <col min="13591" max="13591" width="9.265625" style="11" customWidth="1"/>
    <col min="13592" max="13592" width="9.46484375" style="11" bestFit="1" customWidth="1"/>
    <col min="13593" max="13593" width="10.19921875" style="11" customWidth="1"/>
    <col min="13594" max="13594" width="12.19921875" style="11" customWidth="1"/>
    <col min="13595" max="13595" width="9.53125" style="11" customWidth="1"/>
    <col min="13596" max="13596" width="11.53125" style="11" customWidth="1"/>
    <col min="13597" max="13597" width="12.73046875" style="11" customWidth="1"/>
    <col min="13598" max="13598" width="14.796875" style="11" customWidth="1"/>
    <col min="13599" max="13599" width="9.53125" style="11" customWidth="1"/>
    <col min="13600" max="13600" width="10.53125" style="11" customWidth="1"/>
    <col min="13601" max="13601" width="9.19921875" style="11"/>
    <col min="13602" max="13602" width="13.265625" style="11" customWidth="1"/>
    <col min="13603" max="13603" width="11.19921875" style="11" customWidth="1"/>
    <col min="13604" max="13604" width="9.19921875" style="11"/>
    <col min="13605" max="13605" width="9.19921875" style="11" customWidth="1"/>
    <col min="13606" max="13606" width="11.265625" style="11" customWidth="1"/>
    <col min="13607" max="13612" width="9.19921875" style="11"/>
    <col min="13613" max="13613" width="11.46484375" style="11" customWidth="1"/>
    <col min="13614" max="13614" width="11.73046875" style="11" customWidth="1"/>
    <col min="13615" max="13621" width="9.19921875" style="11"/>
    <col min="13622" max="13622" width="11" style="11" customWidth="1"/>
    <col min="13623" max="13624" width="9.19921875" style="11"/>
    <col min="13625" max="13625" width="10.265625" style="11" customWidth="1"/>
    <col min="13626" max="13626" width="10.19921875" style="11" customWidth="1"/>
    <col min="13627" max="13627" width="12.19921875" style="11" customWidth="1"/>
    <col min="13628" max="13824" width="9.19921875" style="11"/>
    <col min="13825" max="13825" width="34.265625" style="11" customWidth="1"/>
    <col min="13826" max="13826" width="13.73046875" style="11" customWidth="1"/>
    <col min="13827" max="13827" width="9.265625" style="11" bestFit="1" customWidth="1"/>
    <col min="13828" max="13828" width="10.53125" style="11" customWidth="1"/>
    <col min="13829" max="13830" width="9.265625" style="11" bestFit="1" customWidth="1"/>
    <col min="13831" max="13831" width="15.265625" style="11" bestFit="1" customWidth="1"/>
    <col min="13832" max="13832" width="9.265625" style="11" bestFit="1" customWidth="1"/>
    <col min="13833" max="13833" width="13.46484375" style="11" bestFit="1" customWidth="1"/>
    <col min="13834" max="13834" width="9.19921875" style="11" customWidth="1"/>
    <col min="13835" max="13835" width="12" style="11" customWidth="1"/>
    <col min="13836" max="13837" width="9.46484375" style="11" bestFit="1" customWidth="1"/>
    <col min="13838" max="13838" width="13.265625" style="11" customWidth="1"/>
    <col min="13839" max="13839" width="9.46484375" style="11" bestFit="1" customWidth="1"/>
    <col min="13840" max="13840" width="9.796875" style="11" bestFit="1" customWidth="1"/>
    <col min="13841" max="13841" width="12.46484375" style="11" bestFit="1" customWidth="1"/>
    <col min="13842" max="13842" width="10.19921875" style="11" customWidth="1"/>
    <col min="13843" max="13843" width="10" style="11" bestFit="1" customWidth="1"/>
    <col min="13844" max="13844" width="10.53125" style="11" customWidth="1"/>
    <col min="13845" max="13845" width="9.46484375" style="11" bestFit="1" customWidth="1"/>
    <col min="13846" max="13846" width="9.265625" style="11" bestFit="1" customWidth="1"/>
    <col min="13847" max="13847" width="9.265625" style="11" customWidth="1"/>
    <col min="13848" max="13848" width="9.46484375" style="11" bestFit="1" customWidth="1"/>
    <col min="13849" max="13849" width="10.19921875" style="11" customWidth="1"/>
    <col min="13850" max="13850" width="12.19921875" style="11" customWidth="1"/>
    <col min="13851" max="13851" width="9.53125" style="11" customWidth="1"/>
    <col min="13852" max="13852" width="11.53125" style="11" customWidth="1"/>
    <col min="13853" max="13853" width="12.73046875" style="11" customWidth="1"/>
    <col min="13854" max="13854" width="14.796875" style="11" customWidth="1"/>
    <col min="13855" max="13855" width="9.53125" style="11" customWidth="1"/>
    <col min="13856" max="13856" width="10.53125" style="11" customWidth="1"/>
    <col min="13857" max="13857" width="9.19921875" style="11"/>
    <col min="13858" max="13858" width="13.265625" style="11" customWidth="1"/>
    <col min="13859" max="13859" width="11.19921875" style="11" customWidth="1"/>
    <col min="13860" max="13860" width="9.19921875" style="11"/>
    <col min="13861" max="13861" width="9.19921875" style="11" customWidth="1"/>
    <col min="13862" max="13862" width="11.265625" style="11" customWidth="1"/>
    <col min="13863" max="13868" width="9.19921875" style="11"/>
    <col min="13869" max="13869" width="11.46484375" style="11" customWidth="1"/>
    <col min="13870" max="13870" width="11.73046875" style="11" customWidth="1"/>
    <col min="13871" max="13877" width="9.19921875" style="11"/>
    <col min="13878" max="13878" width="11" style="11" customWidth="1"/>
    <col min="13879" max="13880" width="9.19921875" style="11"/>
    <col min="13881" max="13881" width="10.265625" style="11" customWidth="1"/>
    <col min="13882" max="13882" width="10.19921875" style="11" customWidth="1"/>
    <col min="13883" max="13883" width="12.19921875" style="11" customWidth="1"/>
    <col min="13884" max="14080" width="9.19921875" style="11"/>
    <col min="14081" max="14081" width="34.265625" style="11" customWidth="1"/>
    <col min="14082" max="14082" width="13.73046875" style="11" customWidth="1"/>
    <col min="14083" max="14083" width="9.265625" style="11" bestFit="1" customWidth="1"/>
    <col min="14084" max="14084" width="10.53125" style="11" customWidth="1"/>
    <col min="14085" max="14086" width="9.265625" style="11" bestFit="1" customWidth="1"/>
    <col min="14087" max="14087" width="15.265625" style="11" bestFit="1" customWidth="1"/>
    <col min="14088" max="14088" width="9.265625" style="11" bestFit="1" customWidth="1"/>
    <col min="14089" max="14089" width="13.46484375" style="11" bestFit="1" customWidth="1"/>
    <col min="14090" max="14090" width="9.19921875" style="11" customWidth="1"/>
    <col min="14091" max="14091" width="12" style="11" customWidth="1"/>
    <col min="14092" max="14093" width="9.46484375" style="11" bestFit="1" customWidth="1"/>
    <col min="14094" max="14094" width="13.265625" style="11" customWidth="1"/>
    <col min="14095" max="14095" width="9.46484375" style="11" bestFit="1" customWidth="1"/>
    <col min="14096" max="14096" width="9.796875" style="11" bestFit="1" customWidth="1"/>
    <col min="14097" max="14097" width="12.46484375" style="11" bestFit="1" customWidth="1"/>
    <col min="14098" max="14098" width="10.19921875" style="11" customWidth="1"/>
    <col min="14099" max="14099" width="10" style="11" bestFit="1" customWidth="1"/>
    <col min="14100" max="14100" width="10.53125" style="11" customWidth="1"/>
    <col min="14101" max="14101" width="9.46484375" style="11" bestFit="1" customWidth="1"/>
    <col min="14102" max="14102" width="9.265625" style="11" bestFit="1" customWidth="1"/>
    <col min="14103" max="14103" width="9.265625" style="11" customWidth="1"/>
    <col min="14104" max="14104" width="9.46484375" style="11" bestFit="1" customWidth="1"/>
    <col min="14105" max="14105" width="10.19921875" style="11" customWidth="1"/>
    <col min="14106" max="14106" width="12.19921875" style="11" customWidth="1"/>
    <col min="14107" max="14107" width="9.53125" style="11" customWidth="1"/>
    <col min="14108" max="14108" width="11.53125" style="11" customWidth="1"/>
    <col min="14109" max="14109" width="12.73046875" style="11" customWidth="1"/>
    <col min="14110" max="14110" width="14.796875" style="11" customWidth="1"/>
    <col min="14111" max="14111" width="9.53125" style="11" customWidth="1"/>
    <col min="14112" max="14112" width="10.53125" style="11" customWidth="1"/>
    <col min="14113" max="14113" width="9.19921875" style="11"/>
    <col min="14114" max="14114" width="13.265625" style="11" customWidth="1"/>
    <col min="14115" max="14115" width="11.19921875" style="11" customWidth="1"/>
    <col min="14116" max="14116" width="9.19921875" style="11"/>
    <col min="14117" max="14117" width="9.19921875" style="11" customWidth="1"/>
    <col min="14118" max="14118" width="11.265625" style="11" customWidth="1"/>
    <col min="14119" max="14124" width="9.19921875" style="11"/>
    <col min="14125" max="14125" width="11.46484375" style="11" customWidth="1"/>
    <col min="14126" max="14126" width="11.73046875" style="11" customWidth="1"/>
    <col min="14127" max="14133" width="9.19921875" style="11"/>
    <col min="14134" max="14134" width="11" style="11" customWidth="1"/>
    <col min="14135" max="14136" width="9.19921875" style="11"/>
    <col min="14137" max="14137" width="10.265625" style="11" customWidth="1"/>
    <col min="14138" max="14138" width="10.19921875" style="11" customWidth="1"/>
    <col min="14139" max="14139" width="12.19921875" style="11" customWidth="1"/>
    <col min="14140" max="14336" width="9.19921875" style="11"/>
    <col min="14337" max="14337" width="34.265625" style="11" customWidth="1"/>
    <col min="14338" max="14338" width="13.73046875" style="11" customWidth="1"/>
    <col min="14339" max="14339" width="9.265625" style="11" bestFit="1" customWidth="1"/>
    <col min="14340" max="14340" width="10.53125" style="11" customWidth="1"/>
    <col min="14341" max="14342" width="9.265625" style="11" bestFit="1" customWidth="1"/>
    <col min="14343" max="14343" width="15.265625" style="11" bestFit="1" customWidth="1"/>
    <col min="14344" max="14344" width="9.265625" style="11" bestFit="1" customWidth="1"/>
    <col min="14345" max="14345" width="13.46484375" style="11" bestFit="1" customWidth="1"/>
    <col min="14346" max="14346" width="9.19921875" style="11" customWidth="1"/>
    <col min="14347" max="14347" width="12" style="11" customWidth="1"/>
    <col min="14348" max="14349" width="9.46484375" style="11" bestFit="1" customWidth="1"/>
    <col min="14350" max="14350" width="13.265625" style="11" customWidth="1"/>
    <col min="14351" max="14351" width="9.46484375" style="11" bestFit="1" customWidth="1"/>
    <col min="14352" max="14352" width="9.796875" style="11" bestFit="1" customWidth="1"/>
    <col min="14353" max="14353" width="12.46484375" style="11" bestFit="1" customWidth="1"/>
    <col min="14354" max="14354" width="10.19921875" style="11" customWidth="1"/>
    <col min="14355" max="14355" width="10" style="11" bestFit="1" customWidth="1"/>
    <col min="14356" max="14356" width="10.53125" style="11" customWidth="1"/>
    <col min="14357" max="14357" width="9.46484375" style="11" bestFit="1" customWidth="1"/>
    <col min="14358" max="14358" width="9.265625" style="11" bestFit="1" customWidth="1"/>
    <col min="14359" max="14359" width="9.265625" style="11" customWidth="1"/>
    <col min="14360" max="14360" width="9.46484375" style="11" bestFit="1" customWidth="1"/>
    <col min="14361" max="14361" width="10.19921875" style="11" customWidth="1"/>
    <col min="14362" max="14362" width="12.19921875" style="11" customWidth="1"/>
    <col min="14363" max="14363" width="9.53125" style="11" customWidth="1"/>
    <col min="14364" max="14364" width="11.53125" style="11" customWidth="1"/>
    <col min="14365" max="14365" width="12.73046875" style="11" customWidth="1"/>
    <col min="14366" max="14366" width="14.796875" style="11" customWidth="1"/>
    <col min="14367" max="14367" width="9.53125" style="11" customWidth="1"/>
    <col min="14368" max="14368" width="10.53125" style="11" customWidth="1"/>
    <col min="14369" max="14369" width="9.19921875" style="11"/>
    <col min="14370" max="14370" width="13.265625" style="11" customWidth="1"/>
    <col min="14371" max="14371" width="11.19921875" style="11" customWidth="1"/>
    <col min="14372" max="14372" width="9.19921875" style="11"/>
    <col min="14373" max="14373" width="9.19921875" style="11" customWidth="1"/>
    <col min="14374" max="14374" width="11.265625" style="11" customWidth="1"/>
    <col min="14375" max="14380" width="9.19921875" style="11"/>
    <col min="14381" max="14381" width="11.46484375" style="11" customWidth="1"/>
    <col min="14382" max="14382" width="11.73046875" style="11" customWidth="1"/>
    <col min="14383" max="14389" width="9.19921875" style="11"/>
    <col min="14390" max="14390" width="11" style="11" customWidth="1"/>
    <col min="14391" max="14392" width="9.19921875" style="11"/>
    <col min="14393" max="14393" width="10.265625" style="11" customWidth="1"/>
    <col min="14394" max="14394" width="10.19921875" style="11" customWidth="1"/>
    <col min="14395" max="14395" width="12.19921875" style="11" customWidth="1"/>
    <col min="14396" max="14592" width="9.19921875" style="11"/>
    <col min="14593" max="14593" width="34.265625" style="11" customWidth="1"/>
    <col min="14594" max="14594" width="13.73046875" style="11" customWidth="1"/>
    <col min="14595" max="14595" width="9.265625" style="11" bestFit="1" customWidth="1"/>
    <col min="14596" max="14596" width="10.53125" style="11" customWidth="1"/>
    <col min="14597" max="14598" width="9.265625" style="11" bestFit="1" customWidth="1"/>
    <col min="14599" max="14599" width="15.265625" style="11" bestFit="1" customWidth="1"/>
    <col min="14600" max="14600" width="9.265625" style="11" bestFit="1" customWidth="1"/>
    <col min="14601" max="14601" width="13.46484375" style="11" bestFit="1" customWidth="1"/>
    <col min="14602" max="14602" width="9.19921875" style="11" customWidth="1"/>
    <col min="14603" max="14603" width="12" style="11" customWidth="1"/>
    <col min="14604" max="14605" width="9.46484375" style="11" bestFit="1" customWidth="1"/>
    <col min="14606" max="14606" width="13.265625" style="11" customWidth="1"/>
    <col min="14607" max="14607" width="9.46484375" style="11" bestFit="1" customWidth="1"/>
    <col min="14608" max="14608" width="9.796875" style="11" bestFit="1" customWidth="1"/>
    <col min="14609" max="14609" width="12.46484375" style="11" bestFit="1" customWidth="1"/>
    <col min="14610" max="14610" width="10.19921875" style="11" customWidth="1"/>
    <col min="14611" max="14611" width="10" style="11" bestFit="1" customWidth="1"/>
    <col min="14612" max="14612" width="10.53125" style="11" customWidth="1"/>
    <col min="14613" max="14613" width="9.46484375" style="11" bestFit="1" customWidth="1"/>
    <col min="14614" max="14614" width="9.265625" style="11" bestFit="1" customWidth="1"/>
    <col min="14615" max="14615" width="9.265625" style="11" customWidth="1"/>
    <col min="14616" max="14616" width="9.46484375" style="11" bestFit="1" customWidth="1"/>
    <col min="14617" max="14617" width="10.19921875" style="11" customWidth="1"/>
    <col min="14618" max="14618" width="12.19921875" style="11" customWidth="1"/>
    <col min="14619" max="14619" width="9.53125" style="11" customWidth="1"/>
    <col min="14620" max="14620" width="11.53125" style="11" customWidth="1"/>
    <col min="14621" max="14621" width="12.73046875" style="11" customWidth="1"/>
    <col min="14622" max="14622" width="14.796875" style="11" customWidth="1"/>
    <col min="14623" max="14623" width="9.53125" style="11" customWidth="1"/>
    <col min="14624" max="14624" width="10.53125" style="11" customWidth="1"/>
    <col min="14625" max="14625" width="9.19921875" style="11"/>
    <col min="14626" max="14626" width="13.265625" style="11" customWidth="1"/>
    <col min="14627" max="14627" width="11.19921875" style="11" customWidth="1"/>
    <col min="14628" max="14628" width="9.19921875" style="11"/>
    <col min="14629" max="14629" width="9.19921875" style="11" customWidth="1"/>
    <col min="14630" max="14630" width="11.265625" style="11" customWidth="1"/>
    <col min="14631" max="14636" width="9.19921875" style="11"/>
    <col min="14637" max="14637" width="11.46484375" style="11" customWidth="1"/>
    <col min="14638" max="14638" width="11.73046875" style="11" customWidth="1"/>
    <col min="14639" max="14645" width="9.19921875" style="11"/>
    <col min="14646" max="14646" width="11" style="11" customWidth="1"/>
    <col min="14647" max="14648" width="9.19921875" style="11"/>
    <col min="14649" max="14649" width="10.265625" style="11" customWidth="1"/>
    <col min="14650" max="14650" width="10.19921875" style="11" customWidth="1"/>
    <col min="14651" max="14651" width="12.19921875" style="11" customWidth="1"/>
    <col min="14652" max="14848" width="9.19921875" style="11"/>
    <col min="14849" max="14849" width="34.265625" style="11" customWidth="1"/>
    <col min="14850" max="14850" width="13.73046875" style="11" customWidth="1"/>
    <col min="14851" max="14851" width="9.265625" style="11" bestFit="1" customWidth="1"/>
    <col min="14852" max="14852" width="10.53125" style="11" customWidth="1"/>
    <col min="14853" max="14854" width="9.265625" style="11" bestFit="1" customWidth="1"/>
    <col min="14855" max="14855" width="15.265625" style="11" bestFit="1" customWidth="1"/>
    <col min="14856" max="14856" width="9.265625" style="11" bestFit="1" customWidth="1"/>
    <col min="14857" max="14857" width="13.46484375" style="11" bestFit="1" customWidth="1"/>
    <col min="14858" max="14858" width="9.19921875" style="11" customWidth="1"/>
    <col min="14859" max="14859" width="12" style="11" customWidth="1"/>
    <col min="14860" max="14861" width="9.46484375" style="11" bestFit="1" customWidth="1"/>
    <col min="14862" max="14862" width="13.265625" style="11" customWidth="1"/>
    <col min="14863" max="14863" width="9.46484375" style="11" bestFit="1" customWidth="1"/>
    <col min="14864" max="14864" width="9.796875" style="11" bestFit="1" customWidth="1"/>
    <col min="14865" max="14865" width="12.46484375" style="11" bestFit="1" customWidth="1"/>
    <col min="14866" max="14866" width="10.19921875" style="11" customWidth="1"/>
    <col min="14867" max="14867" width="10" style="11" bestFit="1" customWidth="1"/>
    <col min="14868" max="14868" width="10.53125" style="11" customWidth="1"/>
    <col min="14869" max="14869" width="9.46484375" style="11" bestFit="1" customWidth="1"/>
    <col min="14870" max="14870" width="9.265625" style="11" bestFit="1" customWidth="1"/>
    <col min="14871" max="14871" width="9.265625" style="11" customWidth="1"/>
    <col min="14872" max="14872" width="9.46484375" style="11" bestFit="1" customWidth="1"/>
    <col min="14873" max="14873" width="10.19921875" style="11" customWidth="1"/>
    <col min="14874" max="14874" width="12.19921875" style="11" customWidth="1"/>
    <col min="14875" max="14875" width="9.53125" style="11" customWidth="1"/>
    <col min="14876" max="14876" width="11.53125" style="11" customWidth="1"/>
    <col min="14877" max="14877" width="12.73046875" style="11" customWidth="1"/>
    <col min="14878" max="14878" width="14.796875" style="11" customWidth="1"/>
    <col min="14879" max="14879" width="9.53125" style="11" customWidth="1"/>
    <col min="14880" max="14880" width="10.53125" style="11" customWidth="1"/>
    <col min="14881" max="14881" width="9.19921875" style="11"/>
    <col min="14882" max="14882" width="13.265625" style="11" customWidth="1"/>
    <col min="14883" max="14883" width="11.19921875" style="11" customWidth="1"/>
    <col min="14884" max="14884" width="9.19921875" style="11"/>
    <col min="14885" max="14885" width="9.19921875" style="11" customWidth="1"/>
    <col min="14886" max="14886" width="11.265625" style="11" customWidth="1"/>
    <col min="14887" max="14892" width="9.19921875" style="11"/>
    <col min="14893" max="14893" width="11.46484375" style="11" customWidth="1"/>
    <col min="14894" max="14894" width="11.73046875" style="11" customWidth="1"/>
    <col min="14895" max="14901" width="9.19921875" style="11"/>
    <col min="14902" max="14902" width="11" style="11" customWidth="1"/>
    <col min="14903" max="14904" width="9.19921875" style="11"/>
    <col min="14905" max="14905" width="10.265625" style="11" customWidth="1"/>
    <col min="14906" max="14906" width="10.19921875" style="11" customWidth="1"/>
    <col min="14907" max="14907" width="12.19921875" style="11" customWidth="1"/>
    <col min="14908" max="15104" width="9.19921875" style="11"/>
    <col min="15105" max="15105" width="34.265625" style="11" customWidth="1"/>
    <col min="15106" max="15106" width="13.73046875" style="11" customWidth="1"/>
    <col min="15107" max="15107" width="9.265625" style="11" bestFit="1" customWidth="1"/>
    <col min="15108" max="15108" width="10.53125" style="11" customWidth="1"/>
    <col min="15109" max="15110" width="9.265625" style="11" bestFit="1" customWidth="1"/>
    <col min="15111" max="15111" width="15.265625" style="11" bestFit="1" customWidth="1"/>
    <col min="15112" max="15112" width="9.265625" style="11" bestFit="1" customWidth="1"/>
    <col min="15113" max="15113" width="13.46484375" style="11" bestFit="1" customWidth="1"/>
    <col min="15114" max="15114" width="9.19921875" style="11" customWidth="1"/>
    <col min="15115" max="15115" width="12" style="11" customWidth="1"/>
    <col min="15116" max="15117" width="9.46484375" style="11" bestFit="1" customWidth="1"/>
    <col min="15118" max="15118" width="13.265625" style="11" customWidth="1"/>
    <col min="15119" max="15119" width="9.46484375" style="11" bestFit="1" customWidth="1"/>
    <col min="15120" max="15120" width="9.796875" style="11" bestFit="1" customWidth="1"/>
    <col min="15121" max="15121" width="12.46484375" style="11" bestFit="1" customWidth="1"/>
    <col min="15122" max="15122" width="10.19921875" style="11" customWidth="1"/>
    <col min="15123" max="15123" width="10" style="11" bestFit="1" customWidth="1"/>
    <col min="15124" max="15124" width="10.53125" style="11" customWidth="1"/>
    <col min="15125" max="15125" width="9.46484375" style="11" bestFit="1" customWidth="1"/>
    <col min="15126" max="15126" width="9.265625" style="11" bestFit="1" customWidth="1"/>
    <col min="15127" max="15127" width="9.265625" style="11" customWidth="1"/>
    <col min="15128" max="15128" width="9.46484375" style="11" bestFit="1" customWidth="1"/>
    <col min="15129" max="15129" width="10.19921875" style="11" customWidth="1"/>
    <col min="15130" max="15130" width="12.19921875" style="11" customWidth="1"/>
    <col min="15131" max="15131" width="9.53125" style="11" customWidth="1"/>
    <col min="15132" max="15132" width="11.53125" style="11" customWidth="1"/>
    <col min="15133" max="15133" width="12.73046875" style="11" customWidth="1"/>
    <col min="15134" max="15134" width="14.796875" style="11" customWidth="1"/>
    <col min="15135" max="15135" width="9.53125" style="11" customWidth="1"/>
    <col min="15136" max="15136" width="10.53125" style="11" customWidth="1"/>
    <col min="15137" max="15137" width="9.19921875" style="11"/>
    <col min="15138" max="15138" width="13.265625" style="11" customWidth="1"/>
    <col min="15139" max="15139" width="11.19921875" style="11" customWidth="1"/>
    <col min="15140" max="15140" width="9.19921875" style="11"/>
    <col min="15141" max="15141" width="9.19921875" style="11" customWidth="1"/>
    <col min="15142" max="15142" width="11.265625" style="11" customWidth="1"/>
    <col min="15143" max="15148" width="9.19921875" style="11"/>
    <col min="15149" max="15149" width="11.46484375" style="11" customWidth="1"/>
    <col min="15150" max="15150" width="11.73046875" style="11" customWidth="1"/>
    <col min="15151" max="15157" width="9.19921875" style="11"/>
    <col min="15158" max="15158" width="11" style="11" customWidth="1"/>
    <col min="15159" max="15160" width="9.19921875" style="11"/>
    <col min="15161" max="15161" width="10.265625" style="11" customWidth="1"/>
    <col min="15162" max="15162" width="10.19921875" style="11" customWidth="1"/>
    <col min="15163" max="15163" width="12.19921875" style="11" customWidth="1"/>
    <col min="15164" max="15360" width="9.19921875" style="11"/>
    <col min="15361" max="15361" width="34.265625" style="11" customWidth="1"/>
    <col min="15362" max="15362" width="13.73046875" style="11" customWidth="1"/>
    <col min="15363" max="15363" width="9.265625" style="11" bestFit="1" customWidth="1"/>
    <col min="15364" max="15364" width="10.53125" style="11" customWidth="1"/>
    <col min="15365" max="15366" width="9.265625" style="11" bestFit="1" customWidth="1"/>
    <col min="15367" max="15367" width="15.265625" style="11" bestFit="1" customWidth="1"/>
    <col min="15368" max="15368" width="9.265625" style="11" bestFit="1" customWidth="1"/>
    <col min="15369" max="15369" width="13.46484375" style="11" bestFit="1" customWidth="1"/>
    <col min="15370" max="15370" width="9.19921875" style="11" customWidth="1"/>
    <col min="15371" max="15371" width="12" style="11" customWidth="1"/>
    <col min="15372" max="15373" width="9.46484375" style="11" bestFit="1" customWidth="1"/>
    <col min="15374" max="15374" width="13.265625" style="11" customWidth="1"/>
    <col min="15375" max="15375" width="9.46484375" style="11" bestFit="1" customWidth="1"/>
    <col min="15376" max="15376" width="9.796875" style="11" bestFit="1" customWidth="1"/>
    <col min="15377" max="15377" width="12.46484375" style="11" bestFit="1" customWidth="1"/>
    <col min="15378" max="15378" width="10.19921875" style="11" customWidth="1"/>
    <col min="15379" max="15379" width="10" style="11" bestFit="1" customWidth="1"/>
    <col min="15380" max="15380" width="10.53125" style="11" customWidth="1"/>
    <col min="15381" max="15381" width="9.46484375" style="11" bestFit="1" customWidth="1"/>
    <col min="15382" max="15382" width="9.265625" style="11" bestFit="1" customWidth="1"/>
    <col min="15383" max="15383" width="9.265625" style="11" customWidth="1"/>
    <col min="15384" max="15384" width="9.46484375" style="11" bestFit="1" customWidth="1"/>
    <col min="15385" max="15385" width="10.19921875" style="11" customWidth="1"/>
    <col min="15386" max="15386" width="12.19921875" style="11" customWidth="1"/>
    <col min="15387" max="15387" width="9.53125" style="11" customWidth="1"/>
    <col min="15388" max="15388" width="11.53125" style="11" customWidth="1"/>
    <col min="15389" max="15389" width="12.73046875" style="11" customWidth="1"/>
    <col min="15390" max="15390" width="14.796875" style="11" customWidth="1"/>
    <col min="15391" max="15391" width="9.53125" style="11" customWidth="1"/>
    <col min="15392" max="15392" width="10.53125" style="11" customWidth="1"/>
    <col min="15393" max="15393" width="9.19921875" style="11"/>
    <col min="15394" max="15394" width="13.265625" style="11" customWidth="1"/>
    <col min="15395" max="15395" width="11.19921875" style="11" customWidth="1"/>
    <col min="15396" max="15396" width="9.19921875" style="11"/>
    <col min="15397" max="15397" width="9.19921875" style="11" customWidth="1"/>
    <col min="15398" max="15398" width="11.265625" style="11" customWidth="1"/>
    <col min="15399" max="15404" width="9.19921875" style="11"/>
    <col min="15405" max="15405" width="11.46484375" style="11" customWidth="1"/>
    <col min="15406" max="15406" width="11.73046875" style="11" customWidth="1"/>
    <col min="15407" max="15413" width="9.19921875" style="11"/>
    <col min="15414" max="15414" width="11" style="11" customWidth="1"/>
    <col min="15415" max="15416" width="9.19921875" style="11"/>
    <col min="15417" max="15417" width="10.265625" style="11" customWidth="1"/>
    <col min="15418" max="15418" width="10.19921875" style="11" customWidth="1"/>
    <col min="15419" max="15419" width="12.19921875" style="11" customWidth="1"/>
    <col min="15420" max="15616" width="9.19921875" style="11"/>
    <col min="15617" max="15617" width="34.265625" style="11" customWidth="1"/>
    <col min="15618" max="15618" width="13.73046875" style="11" customWidth="1"/>
    <col min="15619" max="15619" width="9.265625" style="11" bestFit="1" customWidth="1"/>
    <col min="15620" max="15620" width="10.53125" style="11" customWidth="1"/>
    <col min="15621" max="15622" width="9.265625" style="11" bestFit="1" customWidth="1"/>
    <col min="15623" max="15623" width="15.265625" style="11" bestFit="1" customWidth="1"/>
    <col min="15624" max="15624" width="9.265625" style="11" bestFit="1" customWidth="1"/>
    <col min="15625" max="15625" width="13.46484375" style="11" bestFit="1" customWidth="1"/>
    <col min="15626" max="15626" width="9.19921875" style="11" customWidth="1"/>
    <col min="15627" max="15627" width="12" style="11" customWidth="1"/>
    <col min="15628" max="15629" width="9.46484375" style="11" bestFit="1" customWidth="1"/>
    <col min="15630" max="15630" width="13.265625" style="11" customWidth="1"/>
    <col min="15631" max="15631" width="9.46484375" style="11" bestFit="1" customWidth="1"/>
    <col min="15632" max="15632" width="9.796875" style="11" bestFit="1" customWidth="1"/>
    <col min="15633" max="15633" width="12.46484375" style="11" bestFit="1" customWidth="1"/>
    <col min="15634" max="15634" width="10.19921875" style="11" customWidth="1"/>
    <col min="15635" max="15635" width="10" style="11" bestFit="1" customWidth="1"/>
    <col min="15636" max="15636" width="10.53125" style="11" customWidth="1"/>
    <col min="15637" max="15637" width="9.46484375" style="11" bestFit="1" customWidth="1"/>
    <col min="15638" max="15638" width="9.265625" style="11" bestFit="1" customWidth="1"/>
    <col min="15639" max="15639" width="9.265625" style="11" customWidth="1"/>
    <col min="15640" max="15640" width="9.46484375" style="11" bestFit="1" customWidth="1"/>
    <col min="15641" max="15641" width="10.19921875" style="11" customWidth="1"/>
    <col min="15642" max="15642" width="12.19921875" style="11" customWidth="1"/>
    <col min="15643" max="15643" width="9.53125" style="11" customWidth="1"/>
    <col min="15644" max="15644" width="11.53125" style="11" customWidth="1"/>
    <col min="15645" max="15645" width="12.73046875" style="11" customWidth="1"/>
    <col min="15646" max="15646" width="14.796875" style="11" customWidth="1"/>
    <col min="15647" max="15647" width="9.53125" style="11" customWidth="1"/>
    <col min="15648" max="15648" width="10.53125" style="11" customWidth="1"/>
    <col min="15649" max="15649" width="9.19921875" style="11"/>
    <col min="15650" max="15650" width="13.265625" style="11" customWidth="1"/>
    <col min="15651" max="15651" width="11.19921875" style="11" customWidth="1"/>
    <col min="15652" max="15652" width="9.19921875" style="11"/>
    <col min="15653" max="15653" width="9.19921875" style="11" customWidth="1"/>
    <col min="15654" max="15654" width="11.265625" style="11" customWidth="1"/>
    <col min="15655" max="15660" width="9.19921875" style="11"/>
    <col min="15661" max="15661" width="11.46484375" style="11" customWidth="1"/>
    <col min="15662" max="15662" width="11.73046875" style="11" customWidth="1"/>
    <col min="15663" max="15669" width="9.19921875" style="11"/>
    <col min="15670" max="15670" width="11" style="11" customWidth="1"/>
    <col min="15671" max="15672" width="9.19921875" style="11"/>
    <col min="15673" max="15673" width="10.265625" style="11" customWidth="1"/>
    <col min="15674" max="15674" width="10.19921875" style="11" customWidth="1"/>
    <col min="15675" max="15675" width="12.19921875" style="11" customWidth="1"/>
    <col min="15676" max="15872" width="9.19921875" style="11"/>
    <col min="15873" max="15873" width="34.265625" style="11" customWidth="1"/>
    <col min="15874" max="15874" width="13.73046875" style="11" customWidth="1"/>
    <col min="15875" max="15875" width="9.265625" style="11" bestFit="1" customWidth="1"/>
    <col min="15876" max="15876" width="10.53125" style="11" customWidth="1"/>
    <col min="15877" max="15878" width="9.265625" style="11" bestFit="1" customWidth="1"/>
    <col min="15879" max="15879" width="15.265625" style="11" bestFit="1" customWidth="1"/>
    <col min="15880" max="15880" width="9.265625" style="11" bestFit="1" customWidth="1"/>
    <col min="15881" max="15881" width="13.46484375" style="11" bestFit="1" customWidth="1"/>
    <col min="15882" max="15882" width="9.19921875" style="11" customWidth="1"/>
    <col min="15883" max="15883" width="12" style="11" customWidth="1"/>
    <col min="15884" max="15885" width="9.46484375" style="11" bestFit="1" customWidth="1"/>
    <col min="15886" max="15886" width="13.265625" style="11" customWidth="1"/>
    <col min="15887" max="15887" width="9.46484375" style="11" bestFit="1" customWidth="1"/>
    <col min="15888" max="15888" width="9.796875" style="11" bestFit="1" customWidth="1"/>
    <col min="15889" max="15889" width="12.46484375" style="11" bestFit="1" customWidth="1"/>
    <col min="15890" max="15890" width="10.19921875" style="11" customWidth="1"/>
    <col min="15891" max="15891" width="10" style="11" bestFit="1" customWidth="1"/>
    <col min="15892" max="15892" width="10.53125" style="11" customWidth="1"/>
    <col min="15893" max="15893" width="9.46484375" style="11" bestFit="1" customWidth="1"/>
    <col min="15894" max="15894" width="9.265625" style="11" bestFit="1" customWidth="1"/>
    <col min="15895" max="15895" width="9.265625" style="11" customWidth="1"/>
    <col min="15896" max="15896" width="9.46484375" style="11" bestFit="1" customWidth="1"/>
    <col min="15897" max="15897" width="10.19921875" style="11" customWidth="1"/>
    <col min="15898" max="15898" width="12.19921875" style="11" customWidth="1"/>
    <col min="15899" max="15899" width="9.53125" style="11" customWidth="1"/>
    <col min="15900" max="15900" width="11.53125" style="11" customWidth="1"/>
    <col min="15901" max="15901" width="12.73046875" style="11" customWidth="1"/>
    <col min="15902" max="15902" width="14.796875" style="11" customWidth="1"/>
    <col min="15903" max="15903" width="9.53125" style="11" customWidth="1"/>
    <col min="15904" max="15904" width="10.53125" style="11" customWidth="1"/>
    <col min="15905" max="15905" width="9.19921875" style="11"/>
    <col min="15906" max="15906" width="13.265625" style="11" customWidth="1"/>
    <col min="15907" max="15907" width="11.19921875" style="11" customWidth="1"/>
    <col min="15908" max="15908" width="9.19921875" style="11"/>
    <col min="15909" max="15909" width="9.19921875" style="11" customWidth="1"/>
    <col min="15910" max="15910" width="11.265625" style="11" customWidth="1"/>
    <col min="15911" max="15916" width="9.19921875" style="11"/>
    <col min="15917" max="15917" width="11.46484375" style="11" customWidth="1"/>
    <col min="15918" max="15918" width="11.73046875" style="11" customWidth="1"/>
    <col min="15919" max="15925" width="9.19921875" style="11"/>
    <col min="15926" max="15926" width="11" style="11" customWidth="1"/>
    <col min="15927" max="15928" width="9.19921875" style="11"/>
    <col min="15929" max="15929" width="10.265625" style="11" customWidth="1"/>
    <col min="15930" max="15930" width="10.19921875" style="11" customWidth="1"/>
    <col min="15931" max="15931" width="12.19921875" style="11" customWidth="1"/>
    <col min="15932" max="16128" width="9.19921875" style="11"/>
    <col min="16129" max="16129" width="34.265625" style="11" customWidth="1"/>
    <col min="16130" max="16130" width="13.73046875" style="11" customWidth="1"/>
    <col min="16131" max="16131" width="9.265625" style="11" bestFit="1" customWidth="1"/>
    <col min="16132" max="16132" width="10.53125" style="11" customWidth="1"/>
    <col min="16133" max="16134" width="9.265625" style="11" bestFit="1" customWidth="1"/>
    <col min="16135" max="16135" width="15.265625" style="11" bestFit="1" customWidth="1"/>
    <col min="16136" max="16136" width="9.265625" style="11" bestFit="1" customWidth="1"/>
    <col min="16137" max="16137" width="13.46484375" style="11" bestFit="1" customWidth="1"/>
    <col min="16138" max="16138" width="9.19921875" style="11" customWidth="1"/>
    <col min="16139" max="16139" width="12" style="11" customWidth="1"/>
    <col min="16140" max="16141" width="9.46484375" style="11" bestFit="1" customWidth="1"/>
    <col min="16142" max="16142" width="13.265625" style="11" customWidth="1"/>
    <col min="16143" max="16143" width="9.46484375" style="11" bestFit="1" customWidth="1"/>
    <col min="16144" max="16144" width="9.796875" style="11" bestFit="1" customWidth="1"/>
    <col min="16145" max="16145" width="12.46484375" style="11" bestFit="1" customWidth="1"/>
    <col min="16146" max="16146" width="10.19921875" style="11" customWidth="1"/>
    <col min="16147" max="16147" width="10" style="11" bestFit="1" customWidth="1"/>
    <col min="16148" max="16148" width="10.53125" style="11" customWidth="1"/>
    <col min="16149" max="16149" width="9.46484375" style="11" bestFit="1" customWidth="1"/>
    <col min="16150" max="16150" width="9.265625" style="11" bestFit="1" customWidth="1"/>
    <col min="16151" max="16151" width="9.265625" style="11" customWidth="1"/>
    <col min="16152" max="16152" width="9.46484375" style="11" bestFit="1" customWidth="1"/>
    <col min="16153" max="16153" width="10.19921875" style="11" customWidth="1"/>
    <col min="16154" max="16154" width="12.19921875" style="11" customWidth="1"/>
    <col min="16155" max="16155" width="9.53125" style="11" customWidth="1"/>
    <col min="16156" max="16156" width="11.53125" style="11" customWidth="1"/>
    <col min="16157" max="16157" width="12.73046875" style="11" customWidth="1"/>
    <col min="16158" max="16158" width="14.796875" style="11" customWidth="1"/>
    <col min="16159" max="16159" width="9.53125" style="11" customWidth="1"/>
    <col min="16160" max="16160" width="10.53125" style="11" customWidth="1"/>
    <col min="16161" max="16161" width="9.19921875" style="11"/>
    <col min="16162" max="16162" width="13.265625" style="11" customWidth="1"/>
    <col min="16163" max="16163" width="11.19921875" style="11" customWidth="1"/>
    <col min="16164" max="16164" width="9.19921875" style="11"/>
    <col min="16165" max="16165" width="9.19921875" style="11" customWidth="1"/>
    <col min="16166" max="16166" width="11.265625" style="11" customWidth="1"/>
    <col min="16167" max="16172" width="9.19921875" style="11"/>
    <col min="16173" max="16173" width="11.46484375" style="11" customWidth="1"/>
    <col min="16174" max="16174" width="11.73046875" style="11" customWidth="1"/>
    <col min="16175" max="16181" width="9.19921875" style="11"/>
    <col min="16182" max="16182" width="11" style="11" customWidth="1"/>
    <col min="16183" max="16184" width="9.19921875" style="11"/>
    <col min="16185" max="16185" width="10.265625" style="11" customWidth="1"/>
    <col min="16186" max="16186" width="10.19921875" style="11" customWidth="1"/>
    <col min="16187" max="16187" width="12.19921875" style="11" customWidth="1"/>
    <col min="16188" max="16384" width="9.19921875" style="11"/>
  </cols>
  <sheetData>
    <row r="1" spans="1:80" ht="17.649999999999999" x14ac:dyDescent="0.5">
      <c r="A1" s="1346" t="s">
        <v>2504</v>
      </c>
    </row>
    <row r="2" spans="1:80" ht="15.4" x14ac:dyDescent="0.45">
      <c r="B2" s="1211"/>
      <c r="C2" s="1211"/>
      <c r="D2" s="1211"/>
      <c r="E2" s="1211"/>
      <c r="F2" s="1211"/>
      <c r="G2" s="1211"/>
      <c r="H2" s="1211"/>
    </row>
    <row r="3" spans="1:80" ht="15.4" x14ac:dyDescent="0.45">
      <c r="B3" s="1212" t="s">
        <v>992</v>
      </c>
      <c r="C3" s="1212" t="s">
        <v>2358</v>
      </c>
      <c r="D3" s="1211"/>
      <c r="E3" s="1211"/>
      <c r="F3" s="1211"/>
      <c r="G3" s="1211"/>
      <c r="H3" s="1211"/>
    </row>
    <row r="4" spans="1:80" ht="15.4" x14ac:dyDescent="0.45">
      <c r="B4" s="1211"/>
      <c r="C4" s="1213" t="s">
        <v>2347</v>
      </c>
      <c r="D4" s="1211"/>
      <c r="E4" s="1211"/>
      <c r="F4" s="1211"/>
      <c r="G4" s="1211"/>
      <c r="H4" s="1211"/>
    </row>
    <row r="5" spans="1:80" ht="21.75" customHeight="1" thickBot="1" x14ac:dyDescent="0.5">
      <c r="K5" s="1214"/>
      <c r="BR5" s="118" t="s">
        <v>493</v>
      </c>
      <c r="BV5" s="1347"/>
    </row>
    <row r="6" spans="1:80" ht="14.25" customHeight="1" thickBot="1" x14ac:dyDescent="0.5">
      <c r="A6" s="1215"/>
      <c r="C6" s="1432" t="s">
        <v>202</v>
      </c>
      <c r="D6" s="1433"/>
      <c r="E6" s="1433"/>
      <c r="F6" s="1433"/>
      <c r="G6" s="1433"/>
      <c r="H6" s="1433"/>
      <c r="I6" s="1433"/>
      <c r="J6" s="1433"/>
      <c r="K6" s="1433"/>
      <c r="L6" s="1433"/>
      <c r="M6" s="1433"/>
      <c r="N6" s="1433"/>
      <c r="O6" s="1433"/>
      <c r="P6" s="1433"/>
      <c r="Q6" s="1434"/>
      <c r="R6" s="1432" t="s">
        <v>203</v>
      </c>
      <c r="S6" s="1425"/>
      <c r="T6" s="1425"/>
      <c r="U6" s="1425"/>
      <c r="V6" s="1426"/>
      <c r="W6" s="1435" t="s">
        <v>204</v>
      </c>
      <c r="X6" s="1436"/>
      <c r="Y6" s="1436"/>
      <c r="Z6" s="1436"/>
      <c r="AA6" s="1436"/>
      <c r="AB6" s="1436"/>
      <c r="AC6" s="1437"/>
      <c r="AD6" s="106"/>
      <c r="AG6" s="112"/>
      <c r="AH6" s="122"/>
      <c r="AI6" s="107"/>
      <c r="AL6" s="1216"/>
      <c r="AM6" s="1217"/>
      <c r="AN6" s="1443" t="s">
        <v>202</v>
      </c>
      <c r="AO6" s="1444"/>
      <c r="AP6" s="1444"/>
      <c r="AQ6" s="1444"/>
      <c r="AR6" s="1444"/>
      <c r="AS6" s="1444"/>
      <c r="AT6" s="1444"/>
      <c r="AU6" s="1444"/>
      <c r="AV6" s="1444"/>
      <c r="AW6" s="1444"/>
      <c r="AX6" s="1444"/>
      <c r="AY6" s="1445"/>
      <c r="AZ6" s="1446" t="s">
        <v>203</v>
      </c>
      <c r="BA6" s="1444"/>
      <c r="BB6" s="1444"/>
      <c r="BC6" s="1444"/>
      <c r="BD6" s="1444"/>
      <c r="BE6" s="1447" t="s">
        <v>204</v>
      </c>
      <c r="BF6" s="1444"/>
      <c r="BG6" s="1444"/>
      <c r="BH6" s="1444"/>
      <c r="BI6" s="1448"/>
      <c r="BJ6" s="108"/>
      <c r="BK6" s="122"/>
      <c r="BO6" s="1415" t="s">
        <v>494</v>
      </c>
      <c r="BP6" s="1416"/>
      <c r="BQ6" s="1416"/>
      <c r="BR6" s="1416"/>
      <c r="BS6" s="1416"/>
      <c r="BT6" s="1416"/>
      <c r="BU6" s="1416"/>
      <c r="BV6" s="1417"/>
      <c r="BW6" s="1418" t="s">
        <v>495</v>
      </c>
      <c r="BX6" s="1419"/>
      <c r="BY6" s="1419"/>
      <c r="BZ6" s="1419"/>
      <c r="CA6" s="1419"/>
      <c r="CB6" s="1419"/>
    </row>
    <row r="7" spans="1:80" ht="67.5" customHeight="1" x14ac:dyDescent="0.45">
      <c r="A7" s="1218"/>
      <c r="B7" s="1219" t="s">
        <v>205</v>
      </c>
      <c r="C7" s="1220" t="s">
        <v>206</v>
      </c>
      <c r="D7" s="1420" t="s">
        <v>17</v>
      </c>
      <c r="E7" s="1421"/>
      <c r="F7" s="1422"/>
      <c r="G7" s="1420" t="s">
        <v>172</v>
      </c>
      <c r="H7" s="1422"/>
      <c r="I7" s="1221" t="s">
        <v>207</v>
      </c>
      <c r="J7" s="1423" t="s">
        <v>208</v>
      </c>
      <c r="K7" s="1424"/>
      <c r="L7" s="1420" t="s">
        <v>209</v>
      </c>
      <c r="M7" s="1422"/>
      <c r="N7" s="1222" t="s">
        <v>210</v>
      </c>
      <c r="O7" s="1423" t="s">
        <v>211</v>
      </c>
      <c r="P7" s="1425"/>
      <c r="Q7" s="1426"/>
      <c r="R7" s="1420" t="s">
        <v>212</v>
      </c>
      <c r="S7" s="1426"/>
      <c r="T7" s="1223" t="s">
        <v>213</v>
      </c>
      <c r="U7" s="1221" t="s">
        <v>214</v>
      </c>
      <c r="V7" s="1224" t="s">
        <v>215</v>
      </c>
      <c r="W7" s="1427" t="s">
        <v>17</v>
      </c>
      <c r="X7" s="1428"/>
      <c r="Y7" s="1225" t="s">
        <v>172</v>
      </c>
      <c r="Z7" s="1226" t="s">
        <v>216</v>
      </c>
      <c r="AA7" s="1226" t="s">
        <v>217</v>
      </c>
      <c r="AB7" s="1227" t="s">
        <v>211</v>
      </c>
      <c r="AC7" s="1226" t="s">
        <v>218</v>
      </c>
      <c r="AD7" s="109"/>
      <c r="AF7" s="1228"/>
      <c r="AG7" s="1429" t="s">
        <v>219</v>
      </c>
      <c r="AH7" s="1229" t="s">
        <v>220</v>
      </c>
      <c r="AI7" s="1230" t="s">
        <v>221</v>
      </c>
      <c r="AJ7" s="108"/>
      <c r="AK7" s="108"/>
      <c r="AL7" s="1362" t="s">
        <v>222</v>
      </c>
      <c r="AM7" s="1440" t="s">
        <v>205</v>
      </c>
      <c r="AN7" s="1220" t="s">
        <v>206</v>
      </c>
      <c r="AO7" s="1420" t="s">
        <v>17</v>
      </c>
      <c r="AP7" s="1422"/>
      <c r="AQ7" s="1420" t="s">
        <v>172</v>
      </c>
      <c r="AR7" s="1422"/>
      <c r="AS7" s="1221" t="s">
        <v>207</v>
      </c>
      <c r="AT7" s="1224" t="s">
        <v>208</v>
      </c>
      <c r="AU7" s="1420" t="s">
        <v>209</v>
      </c>
      <c r="AV7" s="1422"/>
      <c r="AW7" s="1423" t="s">
        <v>211</v>
      </c>
      <c r="AX7" s="1425"/>
      <c r="AY7" s="1426"/>
      <c r="AZ7" s="1420" t="s">
        <v>212</v>
      </c>
      <c r="BA7" s="1426"/>
      <c r="BB7" s="1223" t="s">
        <v>213</v>
      </c>
      <c r="BC7" s="1221" t="s">
        <v>214</v>
      </c>
      <c r="BD7" s="1224" t="s">
        <v>215</v>
      </c>
      <c r="BE7" s="1231" t="s">
        <v>17</v>
      </c>
      <c r="BF7" s="1231" t="s">
        <v>172</v>
      </c>
      <c r="BG7" s="1231" t="s">
        <v>223</v>
      </c>
      <c r="BH7" s="1232" t="s">
        <v>217</v>
      </c>
      <c r="BI7" s="1233" t="s">
        <v>211</v>
      </c>
      <c r="BJ7" s="110"/>
      <c r="BK7" s="122"/>
      <c r="BO7" s="1223" t="s">
        <v>496</v>
      </c>
      <c r="BP7" s="1232" t="s">
        <v>497</v>
      </c>
      <c r="BQ7" s="1231" t="s">
        <v>168</v>
      </c>
      <c r="BR7" s="1232" t="s">
        <v>498</v>
      </c>
      <c r="BS7" s="1232" t="s">
        <v>499</v>
      </c>
      <c r="BT7" s="1232" t="s">
        <v>500</v>
      </c>
      <c r="BU7" s="1232" t="s">
        <v>501</v>
      </c>
      <c r="BV7" s="1348" t="s">
        <v>502</v>
      </c>
      <c r="BW7" s="1232" t="s">
        <v>503</v>
      </c>
      <c r="BX7" s="1232" t="s">
        <v>504</v>
      </c>
      <c r="BY7" s="1232" t="s">
        <v>505</v>
      </c>
      <c r="BZ7" s="1232" t="s">
        <v>506</v>
      </c>
      <c r="CA7" s="1232" t="s">
        <v>507</v>
      </c>
      <c r="CB7" s="1349" t="s">
        <v>508</v>
      </c>
    </row>
    <row r="8" spans="1:80" ht="26.25" customHeight="1" x14ac:dyDescent="0.45">
      <c r="A8" s="1218"/>
      <c r="B8" s="1234"/>
      <c r="C8" s="1220"/>
      <c r="D8" s="1222" t="s">
        <v>224</v>
      </c>
      <c r="E8" s="1235" t="s">
        <v>225</v>
      </c>
      <c r="F8" s="1236"/>
      <c r="G8" s="1237"/>
      <c r="H8" s="1238"/>
      <c r="I8" s="1222"/>
      <c r="J8" s="1224"/>
      <c r="K8" s="1220"/>
      <c r="L8" s="1235"/>
      <c r="M8" s="1238"/>
      <c r="N8" s="1222"/>
      <c r="O8" s="1239"/>
      <c r="P8" s="1240"/>
      <c r="Q8" s="1241"/>
      <c r="R8" s="1237"/>
      <c r="S8" s="1242"/>
      <c r="T8" s="1243"/>
      <c r="U8" s="1224"/>
      <c r="V8" s="1224"/>
      <c r="W8" s="1224" t="s">
        <v>226</v>
      </c>
      <c r="X8" s="1244" t="s">
        <v>225</v>
      </c>
      <c r="Y8" s="1244"/>
      <c r="Z8" s="1245"/>
      <c r="AA8" s="1243"/>
      <c r="AB8" s="1245"/>
      <c r="AC8" s="1246"/>
      <c r="AD8" s="109"/>
      <c r="AF8" s="121"/>
      <c r="AG8" s="1430"/>
      <c r="AH8" s="1247"/>
      <c r="AI8" s="1248"/>
      <c r="AJ8" s="108"/>
      <c r="AK8" s="108"/>
      <c r="AL8" s="1249"/>
      <c r="AM8" s="1441"/>
      <c r="AN8" s="1250"/>
      <c r="AO8" s="1235"/>
      <c r="AP8" s="1238"/>
      <c r="AQ8" s="1237"/>
      <c r="AR8" s="1238"/>
      <c r="AS8" s="1222"/>
      <c r="AT8" s="1221"/>
      <c r="AU8" s="1235"/>
      <c r="AV8" s="1238"/>
      <c r="AW8" s="1239"/>
      <c r="AX8" s="1251"/>
      <c r="AY8" s="1242"/>
      <c r="AZ8" s="1237"/>
      <c r="BA8" s="1242"/>
      <c r="BB8" s="1243"/>
      <c r="BC8" s="1224"/>
      <c r="BD8" s="1224"/>
      <c r="BE8" s="1244"/>
      <c r="BF8" s="1245"/>
      <c r="BG8" s="1245"/>
      <c r="BH8" s="1243"/>
      <c r="BI8" s="1252"/>
      <c r="BJ8" s="110"/>
      <c r="BK8" s="122"/>
      <c r="BO8" s="1404" t="s">
        <v>203</v>
      </c>
      <c r="BP8" s="1405"/>
      <c r="BQ8" s="1405"/>
      <c r="BR8" s="1405"/>
      <c r="BS8" s="1405"/>
      <c r="BT8" s="1405"/>
      <c r="BU8" s="1405"/>
      <c r="BV8" s="1406"/>
      <c r="BW8" s="1409" t="s">
        <v>203</v>
      </c>
      <c r="BX8" s="1410"/>
      <c r="BY8" s="1410"/>
      <c r="BZ8" s="1410"/>
      <c r="CA8" s="1410"/>
      <c r="CB8" s="1410"/>
    </row>
    <row r="9" spans="1:80" x14ac:dyDescent="0.45">
      <c r="B9" s="1253"/>
      <c r="C9" s="1254"/>
      <c r="D9" s="1236" t="s">
        <v>227</v>
      </c>
      <c r="E9" s="1236" t="s">
        <v>227</v>
      </c>
      <c r="F9" s="1236" t="s">
        <v>228</v>
      </c>
      <c r="G9" s="1237" t="s">
        <v>227</v>
      </c>
      <c r="H9" s="1236" t="s">
        <v>228</v>
      </c>
      <c r="I9" s="1237" t="s">
        <v>228</v>
      </c>
      <c r="J9" s="1236" t="s">
        <v>227</v>
      </c>
      <c r="K9" s="1238" t="s">
        <v>228</v>
      </c>
      <c r="L9" s="1236" t="s">
        <v>227</v>
      </c>
      <c r="M9" s="1236" t="s">
        <v>228</v>
      </c>
      <c r="N9" s="1236" t="s">
        <v>227</v>
      </c>
      <c r="O9" s="1255" t="s">
        <v>227</v>
      </c>
      <c r="P9" s="1236" t="s">
        <v>228</v>
      </c>
      <c r="Q9" s="1236" t="s">
        <v>229</v>
      </c>
      <c r="R9" s="1238" t="s">
        <v>227</v>
      </c>
      <c r="S9" s="1238" t="s">
        <v>228</v>
      </c>
      <c r="T9" s="1237" t="s">
        <v>230</v>
      </c>
      <c r="U9" s="1235" t="s">
        <v>228</v>
      </c>
      <c r="V9" s="1236" t="s">
        <v>228</v>
      </c>
      <c r="W9" s="1413" t="s">
        <v>231</v>
      </c>
      <c r="X9" s="1414"/>
      <c r="Y9" s="1414"/>
      <c r="Z9" s="1414"/>
      <c r="AA9" s="1414"/>
      <c r="AB9" s="1414"/>
      <c r="AC9" s="1403"/>
      <c r="AD9" s="111"/>
      <c r="AF9" s="121"/>
      <c r="AG9" s="1431"/>
      <c r="AH9" s="1225" t="s">
        <v>203</v>
      </c>
      <c r="AI9" s="1256" t="s">
        <v>231</v>
      </c>
      <c r="AJ9" s="110"/>
      <c r="AK9" s="110"/>
      <c r="AL9" s="1257"/>
      <c r="AM9" s="1442"/>
      <c r="AN9" s="1258"/>
      <c r="AO9" s="1236" t="s">
        <v>227</v>
      </c>
      <c r="AP9" s="1236" t="s">
        <v>228</v>
      </c>
      <c r="AQ9" s="1237" t="s">
        <v>227</v>
      </c>
      <c r="AR9" s="1236" t="s">
        <v>228</v>
      </c>
      <c r="AS9" s="1237" t="s">
        <v>228</v>
      </c>
      <c r="AT9" s="1236" t="s">
        <v>228</v>
      </c>
      <c r="AU9" s="1236" t="s">
        <v>227</v>
      </c>
      <c r="AV9" s="1236" t="s">
        <v>228</v>
      </c>
      <c r="AW9" s="1255" t="s">
        <v>227</v>
      </c>
      <c r="AX9" s="1236" t="s">
        <v>228</v>
      </c>
      <c r="AY9" s="1236" t="s">
        <v>229</v>
      </c>
      <c r="AZ9" s="1238" t="s">
        <v>227</v>
      </c>
      <c r="BA9" s="1238" t="s">
        <v>228</v>
      </c>
      <c r="BB9" s="1237" t="s">
        <v>230</v>
      </c>
      <c r="BC9" s="1235" t="s">
        <v>228</v>
      </c>
      <c r="BD9" s="1236" t="s">
        <v>228</v>
      </c>
      <c r="BE9" s="1438" t="s">
        <v>231</v>
      </c>
      <c r="BF9" s="1425"/>
      <c r="BG9" s="1425"/>
      <c r="BH9" s="1425"/>
      <c r="BI9" s="1439"/>
      <c r="BJ9" s="112"/>
      <c r="BK9" s="122"/>
      <c r="BO9" s="1407"/>
      <c r="BP9" s="1407"/>
      <c r="BQ9" s="1407"/>
      <c r="BR9" s="1407"/>
      <c r="BS9" s="1407"/>
      <c r="BT9" s="1407"/>
      <c r="BU9" s="1407"/>
      <c r="BV9" s="1408"/>
      <c r="BW9" s="1411"/>
      <c r="BX9" s="1412"/>
      <c r="BY9" s="1412"/>
      <c r="BZ9" s="1412"/>
      <c r="CA9" s="1412"/>
      <c r="CB9" s="1412"/>
    </row>
    <row r="10" spans="1:80" x14ac:dyDescent="0.45">
      <c r="A10" s="10">
        <v>1880</v>
      </c>
      <c r="B10" s="1234"/>
      <c r="C10" s="1259"/>
      <c r="D10" s="1260"/>
      <c r="E10" s="1261"/>
      <c r="F10" s="1261"/>
      <c r="G10" s="126"/>
      <c r="H10" s="1262"/>
      <c r="I10" s="1262"/>
      <c r="J10" s="1262"/>
      <c r="K10" s="1262"/>
      <c r="L10" s="1262"/>
      <c r="M10" s="1263"/>
      <c r="N10" s="1255"/>
      <c r="O10" s="1255"/>
      <c r="P10" s="126"/>
      <c r="Q10" s="1255"/>
      <c r="R10" s="1260"/>
      <c r="S10" s="126"/>
      <c r="T10" s="1262"/>
      <c r="U10" s="126"/>
      <c r="V10" s="1255"/>
      <c r="W10" s="1264"/>
      <c r="X10" s="12"/>
      <c r="Y10" s="12"/>
      <c r="Z10" s="12"/>
      <c r="AA10" s="12"/>
      <c r="AB10" s="12"/>
      <c r="AC10" s="124"/>
      <c r="AD10" s="111"/>
      <c r="AF10" s="121"/>
      <c r="AG10" s="1350"/>
      <c r="AH10" s="1351"/>
      <c r="AI10" s="1352"/>
      <c r="AJ10" s="110"/>
      <c r="AK10" s="110"/>
      <c r="AL10" s="1268"/>
      <c r="AM10" s="1353"/>
      <c r="AN10" s="112"/>
      <c r="AO10" s="1262"/>
      <c r="AP10" s="1262"/>
      <c r="AQ10" s="1262"/>
      <c r="AR10" s="1262"/>
      <c r="AS10" s="1262"/>
      <c r="AT10" s="1262"/>
      <c r="AU10" s="1262"/>
      <c r="AV10" s="1262"/>
      <c r="AW10" s="1262"/>
      <c r="AX10" s="1262"/>
      <c r="AY10" s="1255"/>
      <c r="AZ10" s="1263"/>
      <c r="BA10" s="126"/>
      <c r="BB10" s="1262"/>
      <c r="BC10" s="1269"/>
      <c r="BD10" s="126"/>
      <c r="BE10" s="1270"/>
      <c r="BF10" s="12"/>
      <c r="BG10" s="1271"/>
      <c r="BH10" s="12"/>
      <c r="BI10" s="1272"/>
      <c r="BJ10" s="112"/>
      <c r="BK10" s="122"/>
      <c r="BN10" s="124">
        <v>1880</v>
      </c>
      <c r="BO10" s="135"/>
      <c r="BP10" s="111"/>
      <c r="BQ10" s="135"/>
      <c r="BR10" s="111"/>
      <c r="BS10" s="111"/>
      <c r="BT10" s="112"/>
      <c r="BU10" s="111"/>
      <c r="BV10" s="1261"/>
      <c r="BW10" s="111"/>
      <c r="BX10" s="1400"/>
      <c r="BY10" s="1403"/>
      <c r="BZ10" s="111"/>
      <c r="CA10" s="135" t="s">
        <v>100</v>
      </c>
      <c r="CB10" s="111" t="s">
        <v>100</v>
      </c>
    </row>
    <row r="11" spans="1:80" x14ac:dyDescent="0.45">
      <c r="A11" s="10">
        <v>1881</v>
      </c>
      <c r="B11" s="1234"/>
      <c r="C11" s="1259"/>
      <c r="D11" s="1260"/>
      <c r="E11" s="1261"/>
      <c r="F11" s="1261"/>
      <c r="G11" s="126"/>
      <c r="H11" s="1262"/>
      <c r="I11" s="1262"/>
      <c r="J11" s="1262"/>
      <c r="K11" s="1262"/>
      <c r="L11" s="1262"/>
      <c r="M11" s="1263"/>
      <c r="N11" s="1255"/>
      <c r="O11" s="1255"/>
      <c r="P11" s="126"/>
      <c r="Q11" s="1255"/>
      <c r="R11" s="1260"/>
      <c r="S11" s="126"/>
      <c r="T11" s="1262"/>
      <c r="U11" s="126"/>
      <c r="V11" s="1255"/>
      <c r="W11" s="1264"/>
      <c r="X11" s="12"/>
      <c r="Y11" s="12"/>
      <c r="Z11" s="12"/>
      <c r="AA11" s="12"/>
      <c r="AB11" s="12"/>
      <c r="AC11" s="124"/>
      <c r="AD11" s="111"/>
      <c r="AF11" s="121"/>
      <c r="AG11" s="1350"/>
      <c r="AH11" s="1351"/>
      <c r="AI11" s="1352"/>
      <c r="AJ11" s="110"/>
      <c r="AK11" s="110"/>
      <c r="AL11" s="1268"/>
      <c r="AM11" s="1353"/>
      <c r="AN11" s="112"/>
      <c r="AO11" s="1262"/>
      <c r="AP11" s="1262"/>
      <c r="AQ11" s="1262"/>
      <c r="AR11" s="1262"/>
      <c r="AS11" s="1262"/>
      <c r="AT11" s="1262"/>
      <c r="AU11" s="1262"/>
      <c r="AV11" s="1262"/>
      <c r="AW11" s="1262"/>
      <c r="AX11" s="1262"/>
      <c r="AY11" s="1255"/>
      <c r="AZ11" s="1263"/>
      <c r="BA11" s="126"/>
      <c r="BB11" s="1262"/>
      <c r="BC11" s="1269"/>
      <c r="BD11" s="126"/>
      <c r="BE11" s="1270"/>
      <c r="BF11" s="12"/>
      <c r="BG11" s="1271"/>
      <c r="BH11" s="12"/>
      <c r="BI11" s="1272"/>
      <c r="BJ11" s="112"/>
      <c r="BK11" s="122"/>
      <c r="BN11" s="124">
        <v>1881</v>
      </c>
      <c r="BO11" s="135"/>
      <c r="BP11" s="111"/>
      <c r="BQ11" s="135"/>
      <c r="BR11" s="111"/>
      <c r="BS11" s="111"/>
      <c r="BT11" s="112"/>
      <c r="BU11" s="111"/>
      <c r="BV11" s="1261"/>
      <c r="BW11" s="111"/>
      <c r="BX11" s="1400"/>
      <c r="BY11" s="1403"/>
      <c r="BZ11" s="111"/>
      <c r="CA11" s="135" t="s">
        <v>100</v>
      </c>
      <c r="CB11" s="111" t="s">
        <v>100</v>
      </c>
    </row>
    <row r="12" spans="1:80" x14ac:dyDescent="0.45">
      <c r="A12" s="10">
        <v>1882</v>
      </c>
      <c r="B12" s="1234">
        <f>AG12</f>
        <v>352</v>
      </c>
      <c r="C12" s="1259"/>
      <c r="D12" s="1260"/>
      <c r="E12" s="1261"/>
      <c r="F12" s="1261"/>
      <c r="G12" s="126"/>
      <c r="H12" s="1262"/>
      <c r="I12" s="1262"/>
      <c r="J12" s="1262"/>
      <c r="K12" s="1262"/>
      <c r="L12" s="1262"/>
      <c r="M12" s="1263"/>
      <c r="N12" s="1255"/>
      <c r="O12" s="1255"/>
      <c r="P12" s="126"/>
      <c r="Q12" s="1255">
        <f>AH12</f>
        <v>6358.5352476549006</v>
      </c>
      <c r="R12" s="1260"/>
      <c r="S12" s="126"/>
      <c r="T12" s="1262"/>
      <c r="U12" s="126"/>
      <c r="V12" s="1255"/>
      <c r="W12" s="1264"/>
      <c r="X12" s="12"/>
      <c r="Y12" s="12"/>
      <c r="Z12" s="12"/>
      <c r="AA12" s="12"/>
      <c r="AB12" s="112">
        <f t="shared" ref="AB12:AB44" si="0">AI12</f>
        <v>1055.009</v>
      </c>
      <c r="AC12" s="124"/>
      <c r="AD12" s="111"/>
      <c r="AF12" s="121">
        <v>1882</v>
      </c>
      <c r="AG12" s="1354">
        <v>352</v>
      </c>
      <c r="AH12" s="111">
        <f>45484910/1000*0.00477*29.307</f>
        <v>6358.5352476549006</v>
      </c>
      <c r="AI12" s="1355">
        <f>1055009/1000</f>
        <v>1055.009</v>
      </c>
      <c r="AJ12" s="110"/>
      <c r="AK12" s="110"/>
      <c r="AL12" s="1268"/>
      <c r="AM12" s="1353"/>
      <c r="AN12" s="112"/>
      <c r="AO12" s="1262"/>
      <c r="AP12" s="1262"/>
      <c r="AQ12" s="1262"/>
      <c r="AR12" s="1262"/>
      <c r="AS12" s="1262"/>
      <c r="AT12" s="1262"/>
      <c r="AU12" s="1262"/>
      <c r="AV12" s="1262"/>
      <c r="AW12" s="1262"/>
      <c r="AX12" s="1262"/>
      <c r="AY12" s="1255"/>
      <c r="AZ12" s="1263"/>
      <c r="BA12" s="126"/>
      <c r="BB12" s="1262"/>
      <c r="BC12" s="1269"/>
      <c r="BD12" s="126"/>
      <c r="BE12" s="1270"/>
      <c r="BF12" s="12"/>
      <c r="BG12" s="1271"/>
      <c r="BH12" s="12"/>
      <c r="BI12" s="1272"/>
      <c r="BJ12" s="112"/>
      <c r="BK12" s="122"/>
      <c r="BN12" s="124">
        <v>1882</v>
      </c>
      <c r="BO12" s="135"/>
      <c r="BP12" s="111"/>
      <c r="BQ12" s="135"/>
      <c r="BR12" s="111"/>
      <c r="BS12" s="111"/>
      <c r="BT12" s="112"/>
      <c r="BU12" s="111"/>
      <c r="BV12" s="1261"/>
      <c r="BW12" s="111"/>
      <c r="BX12" s="1400"/>
      <c r="BY12" s="1403"/>
      <c r="BZ12" s="111"/>
      <c r="CA12" s="135" t="s">
        <v>100</v>
      </c>
      <c r="CB12" s="111" t="s">
        <v>100</v>
      </c>
    </row>
    <row r="13" spans="1:80" x14ac:dyDescent="0.45">
      <c r="A13" s="10">
        <v>1883</v>
      </c>
      <c r="B13" s="1234">
        <f t="shared" ref="B13:B49" si="1">AG13</f>
        <v>357</v>
      </c>
      <c r="C13" s="1259"/>
      <c r="D13" s="1260"/>
      <c r="E13" s="1261"/>
      <c r="F13" s="1261"/>
      <c r="G13" s="126"/>
      <c r="H13" s="1262"/>
      <c r="I13" s="1262"/>
      <c r="J13" s="1262"/>
      <c r="K13" s="1262"/>
      <c r="L13" s="1262"/>
      <c r="M13" s="1263"/>
      <c r="N13" s="1255"/>
      <c r="O13" s="1255"/>
      <c r="P13" s="126"/>
      <c r="Q13" s="1255">
        <f t="shared" ref="Q13:Q44" si="2">AH13</f>
        <v>6683.3273824277403</v>
      </c>
      <c r="R13" s="1260"/>
      <c r="S13" s="126"/>
      <c r="T13" s="1262"/>
      <c r="U13" s="126"/>
      <c r="V13" s="1255"/>
      <c r="W13" s="1264"/>
      <c r="X13" s="12"/>
      <c r="Y13" s="12"/>
      <c r="Z13" s="12"/>
      <c r="AA13" s="12"/>
      <c r="AB13" s="112">
        <f t="shared" si="0"/>
        <v>1091.3879999999999</v>
      </c>
      <c r="AC13" s="124"/>
      <c r="AD13" s="111"/>
      <c r="AF13" s="121">
        <v>1883</v>
      </c>
      <c r="AG13" s="1354">
        <v>357</v>
      </c>
      <c r="AH13" s="111">
        <f>47808266/1000*0.00477*29.307</f>
        <v>6683.3273824277403</v>
      </c>
      <c r="AI13" s="1355">
        <f>1091388/1000</f>
        <v>1091.3879999999999</v>
      </c>
      <c r="AJ13" s="110"/>
      <c r="AK13" s="110"/>
      <c r="AL13" s="1268"/>
      <c r="AM13" s="1353"/>
      <c r="AN13" s="112"/>
      <c r="AO13" s="1262"/>
      <c r="AP13" s="1262"/>
      <c r="AQ13" s="1262"/>
      <c r="AR13" s="1262"/>
      <c r="AS13" s="1262"/>
      <c r="AT13" s="1262"/>
      <c r="AU13" s="1262"/>
      <c r="AV13" s="1262"/>
      <c r="AW13" s="1262"/>
      <c r="AX13" s="1262"/>
      <c r="AY13" s="1255"/>
      <c r="AZ13" s="1263"/>
      <c r="BA13" s="126"/>
      <c r="BB13" s="1262"/>
      <c r="BC13" s="1269"/>
      <c r="BD13" s="126"/>
      <c r="BE13" s="1270"/>
      <c r="BF13" s="12"/>
      <c r="BG13" s="1271"/>
      <c r="BH13" s="12"/>
      <c r="BI13" s="1272"/>
      <c r="BJ13" s="112"/>
      <c r="BK13" s="122"/>
      <c r="BN13" s="124">
        <v>1883</v>
      </c>
      <c r="BO13" s="135"/>
      <c r="BP13" s="111"/>
      <c r="BQ13" s="135"/>
      <c r="BR13" s="111"/>
      <c r="BS13" s="111"/>
      <c r="BT13" s="112"/>
      <c r="BU13" s="111"/>
      <c r="BV13" s="1261"/>
      <c r="BW13" s="111"/>
      <c r="BX13" s="1400"/>
      <c r="BY13" s="1403"/>
      <c r="BZ13" s="111"/>
      <c r="CA13" s="135" t="s">
        <v>100</v>
      </c>
      <c r="CB13" s="111" t="s">
        <v>100</v>
      </c>
    </row>
    <row r="14" spans="1:80" x14ac:dyDescent="0.45">
      <c r="A14" s="10">
        <v>1884</v>
      </c>
      <c r="B14" s="1234">
        <f t="shared" si="1"/>
        <v>361</v>
      </c>
      <c r="C14" s="1259"/>
      <c r="D14" s="1260"/>
      <c r="E14" s="1261"/>
      <c r="F14" s="1261"/>
      <c r="G14" s="126"/>
      <c r="H14" s="1262"/>
      <c r="I14" s="1262"/>
      <c r="J14" s="1262"/>
      <c r="K14" s="1262"/>
      <c r="L14" s="1262"/>
      <c r="M14" s="1263"/>
      <c r="N14" s="1255"/>
      <c r="O14" s="1255"/>
      <c r="P14" s="126"/>
      <c r="Q14" s="1255">
        <f t="shared" si="2"/>
        <v>6976.3295739426294</v>
      </c>
      <c r="R14" s="1260"/>
      <c r="S14" s="126"/>
      <c r="T14" s="1262"/>
      <c r="U14" s="126"/>
      <c r="V14" s="1255"/>
      <c r="W14" s="1264"/>
      <c r="X14" s="12"/>
      <c r="Y14" s="12"/>
      <c r="Z14" s="12"/>
      <c r="AA14" s="12"/>
      <c r="AB14" s="112">
        <f t="shared" si="0"/>
        <v>1102.6279999999999</v>
      </c>
      <c r="AC14" s="124"/>
      <c r="AD14" s="111"/>
      <c r="AF14" s="121">
        <v>1884</v>
      </c>
      <c r="AG14" s="1354">
        <v>361</v>
      </c>
      <c r="AH14" s="111">
        <f>49904217/1000*0.00477*29.307</f>
        <v>6976.3295739426294</v>
      </c>
      <c r="AI14" s="1355">
        <f>1102628/1000</f>
        <v>1102.6279999999999</v>
      </c>
      <c r="AJ14" s="110"/>
      <c r="AK14" s="110"/>
      <c r="AL14" s="1268"/>
      <c r="AM14" s="1353"/>
      <c r="AN14" s="112"/>
      <c r="AO14" s="1262"/>
      <c r="AP14" s="1262"/>
      <c r="AQ14" s="1262"/>
      <c r="AR14" s="1262"/>
      <c r="AS14" s="1262"/>
      <c r="AT14" s="1262"/>
      <c r="AU14" s="1262"/>
      <c r="AV14" s="1262"/>
      <c r="AW14" s="1262"/>
      <c r="AX14" s="1262"/>
      <c r="AY14" s="1255"/>
      <c r="AZ14" s="1263"/>
      <c r="BA14" s="126"/>
      <c r="BB14" s="1262"/>
      <c r="BC14" s="1269"/>
      <c r="BD14" s="126"/>
      <c r="BE14" s="1270"/>
      <c r="BF14" s="12"/>
      <c r="BG14" s="1271"/>
      <c r="BH14" s="12"/>
      <c r="BI14" s="1272"/>
      <c r="BJ14" s="112"/>
      <c r="BK14" s="122"/>
      <c r="BN14" s="124">
        <v>1884</v>
      </c>
      <c r="BO14" s="135"/>
      <c r="BP14" s="111"/>
      <c r="BQ14" s="135"/>
      <c r="BR14" s="111"/>
      <c r="BS14" s="111"/>
      <c r="BT14" s="112"/>
      <c r="BU14" s="111"/>
      <c r="BV14" s="1261"/>
      <c r="BW14" s="111"/>
      <c r="BX14" s="1400"/>
      <c r="BY14" s="1403"/>
      <c r="BZ14" s="111"/>
      <c r="CA14" s="135" t="s">
        <v>100</v>
      </c>
      <c r="CB14" s="111" t="s">
        <v>100</v>
      </c>
    </row>
    <row r="15" spans="1:80" x14ac:dyDescent="0.45">
      <c r="A15" s="10">
        <v>1885</v>
      </c>
      <c r="B15" s="1234">
        <f t="shared" si="1"/>
        <v>364</v>
      </c>
      <c r="C15" s="1259"/>
      <c r="D15" s="1260"/>
      <c r="E15" s="1261"/>
      <c r="F15" s="1261"/>
      <c r="G15" s="126"/>
      <c r="H15" s="1262"/>
      <c r="I15" s="1262"/>
      <c r="J15" s="1262"/>
      <c r="K15" s="1262"/>
      <c r="L15" s="1262"/>
      <c r="M15" s="1263"/>
      <c r="N15" s="1255"/>
      <c r="O15" s="1255"/>
      <c r="P15" s="126"/>
      <c r="Q15" s="1255">
        <f t="shared" si="2"/>
        <v>7296.1490824687799</v>
      </c>
      <c r="R15" s="1260"/>
      <c r="S15" s="126"/>
      <c r="T15" s="1262"/>
      <c r="U15" s="126"/>
      <c r="V15" s="1255"/>
      <c r="W15" s="1264"/>
      <c r="X15" s="12"/>
      <c r="Y15" s="12"/>
      <c r="Z15" s="12"/>
      <c r="AA15" s="12"/>
      <c r="AB15" s="112">
        <f t="shared" si="0"/>
        <v>1115.223</v>
      </c>
      <c r="AC15" s="124"/>
      <c r="AD15" s="111"/>
      <c r="AF15" s="121">
        <v>1885</v>
      </c>
      <c r="AG15" s="1354">
        <v>364</v>
      </c>
      <c r="AH15" s="111">
        <f>52192002/1000*0.00477*29.307</f>
        <v>7296.1490824687799</v>
      </c>
      <c r="AI15" s="1355">
        <f>1115223/1000</f>
        <v>1115.223</v>
      </c>
      <c r="AJ15" s="110"/>
      <c r="AK15" s="110"/>
      <c r="AL15" s="1268"/>
      <c r="AM15" s="1353"/>
      <c r="AN15" s="112"/>
      <c r="AO15" s="1262"/>
      <c r="AP15" s="1262"/>
      <c r="AQ15" s="1262"/>
      <c r="AR15" s="1262"/>
      <c r="AS15" s="1262"/>
      <c r="AT15" s="1262"/>
      <c r="AU15" s="1262"/>
      <c r="AV15" s="1262"/>
      <c r="AW15" s="1262"/>
      <c r="AX15" s="1262"/>
      <c r="AY15" s="1255"/>
      <c r="AZ15" s="1263"/>
      <c r="BA15" s="126"/>
      <c r="BB15" s="1262"/>
      <c r="BC15" s="1269"/>
      <c r="BD15" s="126"/>
      <c r="BE15" s="1270"/>
      <c r="BF15" s="12"/>
      <c r="BG15" s="1271"/>
      <c r="BH15" s="12"/>
      <c r="BI15" s="1272"/>
      <c r="BJ15" s="112"/>
      <c r="BK15" s="122"/>
      <c r="BN15" s="124">
        <v>1885</v>
      </c>
      <c r="BO15" s="135"/>
      <c r="BP15" s="111"/>
      <c r="BQ15" s="135"/>
      <c r="BR15" s="111"/>
      <c r="BS15" s="111"/>
      <c r="BT15" s="112"/>
      <c r="BU15" s="111"/>
      <c r="BV15" s="1261"/>
      <c r="BW15" s="111"/>
      <c r="BX15" s="1400"/>
      <c r="BY15" s="1403"/>
      <c r="BZ15" s="111"/>
      <c r="CA15" s="135" t="s">
        <v>100</v>
      </c>
      <c r="CB15" s="111" t="s">
        <v>100</v>
      </c>
    </row>
    <row r="16" spans="1:80" x14ac:dyDescent="0.45">
      <c r="A16" s="10">
        <v>1886</v>
      </c>
      <c r="B16" s="1234">
        <f t="shared" si="1"/>
        <v>377</v>
      </c>
      <c r="C16" s="1259"/>
      <c r="D16" s="1260"/>
      <c r="E16" s="1261"/>
      <c r="F16" s="1261"/>
      <c r="G16" s="126"/>
      <c r="H16" s="1262"/>
      <c r="I16" s="1262"/>
      <c r="J16" s="1262"/>
      <c r="K16" s="1262"/>
      <c r="L16" s="1262"/>
      <c r="M16" s="1263"/>
      <c r="N16" s="1255"/>
      <c r="O16" s="1255"/>
      <c r="P16" s="126"/>
      <c r="Q16" s="1255">
        <f t="shared" si="2"/>
        <v>7592.1997702464005</v>
      </c>
      <c r="R16" s="1260"/>
      <c r="S16" s="126"/>
      <c r="T16" s="1262"/>
      <c r="U16" s="126"/>
      <c r="V16" s="1255"/>
      <c r="W16" s="1264"/>
      <c r="X16" s="12"/>
      <c r="Y16" s="12"/>
      <c r="Z16" s="12"/>
      <c r="AA16" s="12"/>
      <c r="AB16" s="112">
        <f t="shared" si="0"/>
        <v>1133.8969999999999</v>
      </c>
      <c r="AC16" s="124"/>
      <c r="AD16" s="111"/>
      <c r="AF16" s="121">
        <v>1886</v>
      </c>
      <c r="AG16" s="1354">
        <v>377</v>
      </c>
      <c r="AH16" s="111">
        <f>54309760/1000*0.00477*29.307</f>
        <v>7592.1997702464005</v>
      </c>
      <c r="AI16" s="1355">
        <f>1133897/1000</f>
        <v>1133.8969999999999</v>
      </c>
      <c r="AJ16" s="110"/>
      <c r="AK16" s="110"/>
      <c r="AL16" s="1268"/>
      <c r="AM16" s="1353"/>
      <c r="AN16" s="112"/>
      <c r="AO16" s="1262"/>
      <c r="AP16" s="1262"/>
      <c r="AQ16" s="1262"/>
      <c r="AR16" s="1262"/>
      <c r="AS16" s="1262"/>
      <c r="AT16" s="1262"/>
      <c r="AU16" s="1262"/>
      <c r="AV16" s="1262"/>
      <c r="AW16" s="1262"/>
      <c r="AX16" s="1262"/>
      <c r="AY16" s="1255"/>
      <c r="AZ16" s="1263"/>
      <c r="BA16" s="126"/>
      <c r="BB16" s="1262"/>
      <c r="BC16" s="1269"/>
      <c r="BD16" s="126"/>
      <c r="BE16" s="1270"/>
      <c r="BF16" s="12"/>
      <c r="BG16" s="1271"/>
      <c r="BH16" s="12"/>
      <c r="BI16" s="1272"/>
      <c r="BJ16" s="112"/>
      <c r="BK16" s="122"/>
      <c r="BN16" s="124">
        <v>1886</v>
      </c>
      <c r="BO16" s="135"/>
      <c r="BP16" s="111"/>
      <c r="BQ16" s="135"/>
      <c r="BR16" s="111"/>
      <c r="BS16" s="111"/>
      <c r="BT16" s="112"/>
      <c r="BU16" s="111"/>
      <c r="BV16" s="1261"/>
      <c r="BW16" s="111"/>
      <c r="BX16" s="1400"/>
      <c r="BY16" s="1403"/>
      <c r="BZ16" s="111"/>
      <c r="CA16" s="135" t="s">
        <v>100</v>
      </c>
      <c r="CB16" s="111" t="s">
        <v>100</v>
      </c>
    </row>
    <row r="17" spans="1:80" x14ac:dyDescent="0.45">
      <c r="A17" s="10">
        <v>1887</v>
      </c>
      <c r="B17" s="1234">
        <f t="shared" si="1"/>
        <v>384</v>
      </c>
      <c r="C17" s="1259"/>
      <c r="D17" s="1260"/>
      <c r="E17" s="1261"/>
      <c r="F17" s="1261"/>
      <c r="G17" s="126"/>
      <c r="H17" s="1262"/>
      <c r="I17" s="1262"/>
      <c r="J17" s="1262"/>
      <c r="K17" s="1262"/>
      <c r="L17" s="1262"/>
      <c r="M17" s="1263"/>
      <c r="N17" s="1255"/>
      <c r="O17" s="1255"/>
      <c r="P17" s="126"/>
      <c r="Q17" s="1255">
        <f t="shared" si="2"/>
        <v>7862.1261018039895</v>
      </c>
      <c r="R17" s="1260"/>
      <c r="S17" s="126"/>
      <c r="T17" s="1262"/>
      <c r="U17" s="126"/>
      <c r="V17" s="1255"/>
      <c r="W17" s="1264"/>
      <c r="X17" s="12"/>
      <c r="Y17" s="12"/>
      <c r="Z17" s="12"/>
      <c r="AA17" s="12"/>
      <c r="AB17" s="112">
        <f t="shared" si="0"/>
        <v>1152.1189999999999</v>
      </c>
      <c r="AC17" s="124"/>
      <c r="AD17" s="111"/>
      <c r="AF17" s="121">
        <v>1887</v>
      </c>
      <c r="AG17" s="1354">
        <v>384</v>
      </c>
      <c r="AH17" s="111">
        <f>56240641/1000*0.00477*29.307</f>
        <v>7862.1261018039895</v>
      </c>
      <c r="AI17" s="1355">
        <f>1152119/1000</f>
        <v>1152.1189999999999</v>
      </c>
      <c r="AJ17" s="110"/>
      <c r="AK17" s="110"/>
      <c r="AL17" s="1268"/>
      <c r="AM17" s="1353"/>
      <c r="AN17" s="112"/>
      <c r="AO17" s="1262"/>
      <c r="AP17" s="1262"/>
      <c r="AQ17" s="1262"/>
      <c r="AR17" s="1262"/>
      <c r="AS17" s="1262"/>
      <c r="AT17" s="1262"/>
      <c r="AU17" s="1262"/>
      <c r="AV17" s="1262"/>
      <c r="AW17" s="1262"/>
      <c r="AX17" s="1262"/>
      <c r="AY17" s="1255"/>
      <c r="AZ17" s="1263"/>
      <c r="BA17" s="126"/>
      <c r="BB17" s="1262"/>
      <c r="BC17" s="1269"/>
      <c r="BD17" s="126"/>
      <c r="BE17" s="1270"/>
      <c r="BF17" s="12"/>
      <c r="BG17" s="1271"/>
      <c r="BH17" s="12"/>
      <c r="BI17" s="1272"/>
      <c r="BJ17" s="112"/>
      <c r="BK17" s="122"/>
      <c r="BN17" s="124">
        <v>1887</v>
      </c>
      <c r="BO17" s="135"/>
      <c r="BP17" s="111"/>
      <c r="BQ17" s="135"/>
      <c r="BR17" s="111"/>
      <c r="BS17" s="111"/>
      <c r="BT17" s="112"/>
      <c r="BU17" s="111"/>
      <c r="BV17" s="1261"/>
      <c r="BW17" s="111"/>
      <c r="BX17" s="1400"/>
      <c r="BY17" s="1403"/>
      <c r="BZ17" s="111"/>
      <c r="CA17" s="135" t="s">
        <v>100</v>
      </c>
      <c r="CB17" s="111" t="s">
        <v>100</v>
      </c>
    </row>
    <row r="18" spans="1:80" x14ac:dyDescent="0.45">
      <c r="A18" s="10">
        <v>1888</v>
      </c>
      <c r="B18" s="1234">
        <f t="shared" si="1"/>
        <v>395</v>
      </c>
      <c r="C18" s="1259"/>
      <c r="D18" s="1260"/>
      <c r="E18" s="1261"/>
      <c r="F18" s="1261"/>
      <c r="G18" s="126"/>
      <c r="H18" s="1262"/>
      <c r="I18" s="1262"/>
      <c r="J18" s="1262"/>
      <c r="K18" s="1262"/>
      <c r="L18" s="1262"/>
      <c r="M18" s="1263"/>
      <c r="N18" s="1255"/>
      <c r="O18" s="1255"/>
      <c r="P18" s="126"/>
      <c r="Q18" s="1255">
        <f t="shared" si="2"/>
        <v>8034.7545593608493</v>
      </c>
      <c r="R18" s="1260"/>
      <c r="S18" s="126"/>
      <c r="T18" s="1262"/>
      <c r="U18" s="126"/>
      <c r="V18" s="1255"/>
      <c r="W18" s="1264"/>
      <c r="X18" s="12"/>
      <c r="Y18" s="12"/>
      <c r="Z18" s="12"/>
      <c r="AA18" s="12"/>
      <c r="AB18" s="112">
        <f t="shared" si="0"/>
        <v>1103.1980000000001</v>
      </c>
      <c r="AC18" s="124"/>
      <c r="AD18" s="111"/>
      <c r="AF18" s="121">
        <v>1888</v>
      </c>
      <c r="AG18" s="1354">
        <v>395</v>
      </c>
      <c r="AH18" s="111">
        <f>57475515/1000*0.00477*29.307</f>
        <v>8034.7545593608493</v>
      </c>
      <c r="AI18" s="1355">
        <f>1103198/1000</f>
        <v>1103.1980000000001</v>
      </c>
      <c r="AJ18" s="110"/>
      <c r="AK18" s="110"/>
      <c r="AL18" s="1268"/>
      <c r="AM18" s="1353"/>
      <c r="AN18" s="112"/>
      <c r="AO18" s="1262"/>
      <c r="AP18" s="1262"/>
      <c r="AQ18" s="1262"/>
      <c r="AR18" s="1262"/>
      <c r="AS18" s="1262"/>
      <c r="AT18" s="1262"/>
      <c r="AU18" s="1262"/>
      <c r="AV18" s="1262"/>
      <c r="AW18" s="1262"/>
      <c r="AX18" s="1262"/>
      <c r="AY18" s="1255"/>
      <c r="AZ18" s="1263"/>
      <c r="BA18" s="126"/>
      <c r="BB18" s="1262"/>
      <c r="BC18" s="1269"/>
      <c r="BD18" s="126"/>
      <c r="BE18" s="1270"/>
      <c r="BF18" s="12"/>
      <c r="BG18" s="1271"/>
      <c r="BH18" s="12"/>
      <c r="BI18" s="1272"/>
      <c r="BJ18" s="112"/>
      <c r="BK18" s="122"/>
      <c r="BN18" s="124">
        <v>1888</v>
      </c>
      <c r="BO18" s="135"/>
      <c r="BP18" s="111"/>
      <c r="BQ18" s="135"/>
      <c r="BR18" s="111"/>
      <c r="BS18" s="111"/>
      <c r="BT18" s="112"/>
      <c r="BU18" s="111"/>
      <c r="BV18" s="1261"/>
      <c r="BW18" s="111"/>
      <c r="BX18" s="1400"/>
      <c r="BY18" s="1403"/>
      <c r="BZ18" s="111"/>
      <c r="CA18" s="135" t="s">
        <v>100</v>
      </c>
      <c r="CB18" s="111" t="s">
        <v>100</v>
      </c>
    </row>
    <row r="19" spans="1:80" x14ac:dyDescent="0.45">
      <c r="A19" s="10">
        <v>1889</v>
      </c>
      <c r="B19" s="1234">
        <f t="shared" si="1"/>
        <v>405</v>
      </c>
      <c r="C19" s="1259"/>
      <c r="D19" s="1260"/>
      <c r="E19" s="1261"/>
      <c r="F19" s="1261"/>
      <c r="G19" s="126"/>
      <c r="H19" s="1262"/>
      <c r="I19" s="1262"/>
      <c r="J19" s="1262"/>
      <c r="K19" s="1262"/>
      <c r="L19" s="1262"/>
      <c r="M19" s="1263"/>
      <c r="N19" s="1255"/>
      <c r="O19" s="1255"/>
      <c r="P19" s="126"/>
      <c r="Q19" s="1255">
        <f t="shared" si="2"/>
        <v>8331.7880017001698</v>
      </c>
      <c r="R19" s="1260"/>
      <c r="S19" s="126"/>
      <c r="T19" s="1262"/>
      <c r="U19" s="126"/>
      <c r="V19" s="1255"/>
      <c r="W19" s="1264"/>
      <c r="X19" s="12"/>
      <c r="Y19" s="12"/>
      <c r="Z19" s="12"/>
      <c r="AA19" s="12"/>
      <c r="AB19" s="112">
        <f t="shared" si="0"/>
        <v>1128.838</v>
      </c>
      <c r="AC19" s="124"/>
      <c r="AD19" s="111"/>
      <c r="AF19" s="121">
        <v>1889</v>
      </c>
      <c r="AG19" s="1354">
        <v>405</v>
      </c>
      <c r="AH19" s="111">
        <f>59600303/1000*0.00477*29.307</f>
        <v>8331.7880017001698</v>
      </c>
      <c r="AI19" s="1355">
        <f>1128838/1000</f>
        <v>1128.838</v>
      </c>
      <c r="AJ19" s="110"/>
      <c r="AK19" s="110"/>
      <c r="AL19" s="1268"/>
      <c r="AM19" s="1353"/>
      <c r="AN19" s="112"/>
      <c r="AO19" s="1262"/>
      <c r="AP19" s="1262"/>
      <c r="AQ19" s="1262"/>
      <c r="AR19" s="1262"/>
      <c r="AS19" s="1262"/>
      <c r="AT19" s="1262"/>
      <c r="AU19" s="1262"/>
      <c r="AV19" s="1262"/>
      <c r="AW19" s="1262"/>
      <c r="AX19" s="1262"/>
      <c r="AY19" s="1255"/>
      <c r="AZ19" s="1263"/>
      <c r="BA19" s="126"/>
      <c r="BB19" s="1262"/>
      <c r="BC19" s="1269"/>
      <c r="BD19" s="126"/>
      <c r="BE19" s="1270"/>
      <c r="BF19" s="12"/>
      <c r="BG19" s="1271"/>
      <c r="BH19" s="12"/>
      <c r="BI19" s="1272"/>
      <c r="BJ19" s="112"/>
      <c r="BK19" s="122"/>
      <c r="BN19" s="124">
        <v>1889</v>
      </c>
      <c r="BO19" s="135"/>
      <c r="BP19" s="111"/>
      <c r="BQ19" s="135"/>
      <c r="BR19" s="111"/>
      <c r="BS19" s="111"/>
      <c r="BT19" s="112"/>
      <c r="BU19" s="111"/>
      <c r="BV19" s="1261"/>
      <c r="BW19" s="111"/>
      <c r="BX19" s="1400"/>
      <c r="BY19" s="1403"/>
      <c r="BZ19" s="111"/>
      <c r="CA19" s="135" t="s">
        <v>100</v>
      </c>
      <c r="CB19" s="111" t="s">
        <v>100</v>
      </c>
    </row>
    <row r="20" spans="1:80" x14ac:dyDescent="0.45">
      <c r="A20" s="10">
        <v>1890</v>
      </c>
      <c r="B20" s="1234">
        <f t="shared" si="1"/>
        <v>416</v>
      </c>
      <c r="C20" s="1259"/>
      <c r="D20" s="1260"/>
      <c r="E20" s="1261"/>
      <c r="F20" s="1261"/>
      <c r="G20" s="126"/>
      <c r="H20" s="1262"/>
      <c r="I20" s="1262"/>
      <c r="J20" s="1262"/>
      <c r="K20" s="1262"/>
      <c r="L20" s="1262"/>
      <c r="M20" s="1263"/>
      <c r="N20" s="1255"/>
      <c r="O20" s="1255"/>
      <c r="P20" s="126"/>
      <c r="Q20" s="1255">
        <f t="shared" si="2"/>
        <v>8660.7879476120088</v>
      </c>
      <c r="R20" s="1260"/>
      <c r="S20" s="126"/>
      <c r="T20" s="1262"/>
      <c r="U20" s="126"/>
      <c r="V20" s="1255"/>
      <c r="W20" s="1264"/>
      <c r="X20" s="12"/>
      <c r="Y20" s="12"/>
      <c r="Z20" s="12"/>
      <c r="AA20" s="12"/>
      <c r="AB20" s="112">
        <f t="shared" si="0"/>
        <v>1153.9590000000001</v>
      </c>
      <c r="AC20" s="124"/>
      <c r="AD20" s="111"/>
      <c r="AF20" s="121">
        <v>1890</v>
      </c>
      <c r="AG20" s="1354">
        <v>416</v>
      </c>
      <c r="AH20" s="111">
        <f>61953759/1000*0.00477*29.307</f>
        <v>8660.7879476120088</v>
      </c>
      <c r="AI20" s="1355">
        <f>1153959/1000</f>
        <v>1153.9590000000001</v>
      </c>
      <c r="AJ20" s="110"/>
      <c r="AK20" s="110"/>
      <c r="AL20" s="1268"/>
      <c r="AM20" s="1353"/>
      <c r="AN20" s="112"/>
      <c r="AO20" s="1262"/>
      <c r="AP20" s="1262"/>
      <c r="AQ20" s="1262"/>
      <c r="AR20" s="1262"/>
      <c r="AS20" s="1262"/>
      <c r="AT20" s="1262"/>
      <c r="AU20" s="1262"/>
      <c r="AV20" s="1262"/>
      <c r="AW20" s="1262"/>
      <c r="AX20" s="1262"/>
      <c r="AY20" s="1255"/>
      <c r="AZ20" s="1263"/>
      <c r="BA20" s="126"/>
      <c r="BB20" s="1262"/>
      <c r="BC20" s="1269"/>
      <c r="BD20" s="126"/>
      <c r="BE20" s="1270"/>
      <c r="BF20" s="12"/>
      <c r="BG20" s="1271"/>
      <c r="BH20" s="12"/>
      <c r="BI20" s="1272"/>
      <c r="BJ20" s="112"/>
      <c r="BK20" s="122"/>
      <c r="BN20" s="124">
        <v>1890</v>
      </c>
      <c r="BO20" s="135"/>
      <c r="BP20" s="111"/>
      <c r="BQ20" s="135"/>
      <c r="BR20" s="111"/>
      <c r="BS20" s="111"/>
      <c r="BT20" s="112"/>
      <c r="BU20" s="111"/>
      <c r="BV20" s="1261"/>
      <c r="BW20" s="111"/>
      <c r="BX20" s="1400"/>
      <c r="BY20" s="1403"/>
      <c r="BZ20" s="111"/>
      <c r="CA20" s="135" t="s">
        <v>100</v>
      </c>
      <c r="CB20" s="111" t="s">
        <v>100</v>
      </c>
    </row>
    <row r="21" spans="1:80" x14ac:dyDescent="0.45">
      <c r="A21" s="10">
        <v>1891</v>
      </c>
      <c r="B21" s="1234">
        <f t="shared" si="1"/>
        <v>422</v>
      </c>
      <c r="C21" s="1259"/>
      <c r="D21" s="1260"/>
      <c r="E21" s="1261"/>
      <c r="F21" s="1261"/>
      <c r="G21" s="126"/>
      <c r="H21" s="1262"/>
      <c r="I21" s="1262"/>
      <c r="J21" s="1262"/>
      <c r="K21" s="1262"/>
      <c r="L21" s="1262"/>
      <c r="M21" s="1263"/>
      <c r="N21" s="1255"/>
      <c r="O21" s="1255"/>
      <c r="P21" s="126"/>
      <c r="Q21" s="1255">
        <f t="shared" si="2"/>
        <v>9133.92471666042</v>
      </c>
      <c r="R21" s="1260"/>
      <c r="S21" s="126"/>
      <c r="T21" s="1262"/>
      <c r="U21" s="126"/>
      <c r="V21" s="1255"/>
      <c r="W21" s="1264"/>
      <c r="X21" s="12"/>
      <c r="Y21" s="12"/>
      <c r="Z21" s="12"/>
      <c r="AA21" s="12"/>
      <c r="AB21" s="112">
        <f t="shared" si="0"/>
        <v>1180.3330000000001</v>
      </c>
      <c r="AC21" s="124"/>
      <c r="AD21" s="111"/>
      <c r="AF21" s="121">
        <v>1891</v>
      </c>
      <c r="AG21" s="1354">
        <v>422</v>
      </c>
      <c r="AH21" s="111">
        <f>65338278/1000*0.00477*29.307</f>
        <v>9133.92471666042</v>
      </c>
      <c r="AI21" s="1355">
        <f>1180333/1000</f>
        <v>1180.3330000000001</v>
      </c>
      <c r="AJ21" s="110"/>
      <c r="AK21" s="110"/>
      <c r="AL21" s="1268"/>
      <c r="AM21" s="1353"/>
      <c r="AN21" s="112"/>
      <c r="AO21" s="1262"/>
      <c r="AP21" s="1262"/>
      <c r="AQ21" s="1262"/>
      <c r="AR21" s="1262"/>
      <c r="AS21" s="1262"/>
      <c r="AT21" s="1262"/>
      <c r="AU21" s="1262"/>
      <c r="AV21" s="1262"/>
      <c r="AW21" s="1262"/>
      <c r="AX21" s="1262"/>
      <c r="AY21" s="1255"/>
      <c r="AZ21" s="1263"/>
      <c r="BA21" s="126"/>
      <c r="BB21" s="1262"/>
      <c r="BC21" s="1269"/>
      <c r="BD21" s="126"/>
      <c r="BE21" s="1270"/>
      <c r="BF21" s="12"/>
      <c r="BG21" s="1271"/>
      <c r="BH21" s="12"/>
      <c r="BI21" s="1272"/>
      <c r="BJ21" s="112"/>
      <c r="BK21" s="122"/>
      <c r="BN21" s="124">
        <v>1891</v>
      </c>
      <c r="BO21" s="135"/>
      <c r="BP21" s="111"/>
      <c r="BQ21" s="135"/>
      <c r="BR21" s="111"/>
      <c r="BS21" s="111"/>
      <c r="BT21" s="112"/>
      <c r="BU21" s="111"/>
      <c r="BV21" s="1261"/>
      <c r="BW21" s="111"/>
      <c r="BX21" s="1400"/>
      <c r="BY21" s="1403"/>
      <c r="BZ21" s="111"/>
      <c r="CA21" s="135" t="s">
        <v>100</v>
      </c>
      <c r="CB21" s="111" t="s">
        <v>100</v>
      </c>
    </row>
    <row r="22" spans="1:80" x14ac:dyDescent="0.45">
      <c r="A22" s="10">
        <v>1892</v>
      </c>
      <c r="B22" s="1234">
        <f t="shared" si="1"/>
        <v>429</v>
      </c>
      <c r="C22" s="1259"/>
      <c r="D22" s="1260"/>
      <c r="E22" s="1261"/>
      <c r="F22" s="1261"/>
      <c r="G22" s="126"/>
      <c r="H22" s="1262"/>
      <c r="I22" s="1262"/>
      <c r="J22" s="1262"/>
      <c r="K22" s="1262"/>
      <c r="L22" s="1262"/>
      <c r="M22" s="1263"/>
      <c r="N22" s="1255"/>
      <c r="O22" s="1255"/>
      <c r="P22" s="126"/>
      <c r="Q22" s="1255">
        <f t="shared" si="2"/>
        <v>9333.5944418413201</v>
      </c>
      <c r="R22" s="1260"/>
      <c r="S22" s="126"/>
      <c r="T22" s="1262"/>
      <c r="U22" s="126"/>
      <c r="V22" s="1255"/>
      <c r="W22" s="1264"/>
      <c r="X22" s="12"/>
      <c r="Y22" s="12"/>
      <c r="Z22" s="12"/>
      <c r="AA22" s="12"/>
      <c r="AB22" s="112">
        <f t="shared" si="0"/>
        <v>1213.3219999999999</v>
      </c>
      <c r="AC22" s="124"/>
      <c r="AD22" s="111"/>
      <c r="AF22" s="121">
        <v>1892</v>
      </c>
      <c r="AG22" s="1354">
        <v>429</v>
      </c>
      <c r="AH22" s="111">
        <f>66766588/1000*0.00477*29.307</f>
        <v>9333.5944418413201</v>
      </c>
      <c r="AI22" s="1355">
        <f>1213322/1000</f>
        <v>1213.3219999999999</v>
      </c>
      <c r="AJ22" s="110"/>
      <c r="AK22" s="110"/>
      <c r="AL22" s="1268"/>
      <c r="AM22" s="1353"/>
      <c r="AN22" s="112"/>
      <c r="AO22" s="1262"/>
      <c r="AP22" s="1262"/>
      <c r="AQ22" s="1262"/>
      <c r="AR22" s="1262"/>
      <c r="AS22" s="1262"/>
      <c r="AT22" s="1262"/>
      <c r="AU22" s="1262"/>
      <c r="AV22" s="1262"/>
      <c r="AW22" s="1262"/>
      <c r="AX22" s="1262"/>
      <c r="AY22" s="1255"/>
      <c r="AZ22" s="1263"/>
      <c r="BA22" s="126"/>
      <c r="BB22" s="1262"/>
      <c r="BC22" s="1269"/>
      <c r="BD22" s="126"/>
      <c r="BE22" s="1270"/>
      <c r="BF22" s="12"/>
      <c r="BG22" s="1271"/>
      <c r="BH22" s="12"/>
      <c r="BI22" s="1272"/>
      <c r="BJ22" s="112"/>
      <c r="BK22" s="122"/>
      <c r="BN22" s="124">
        <v>1892</v>
      </c>
      <c r="BO22" s="135"/>
      <c r="BP22" s="111"/>
      <c r="BQ22" s="135"/>
      <c r="BR22" s="111"/>
      <c r="BS22" s="111"/>
      <c r="BT22" s="112"/>
      <c r="BU22" s="111"/>
      <c r="BV22" s="1261"/>
      <c r="BW22" s="111"/>
      <c r="BX22" s="1400"/>
      <c r="BY22" s="1403"/>
      <c r="BZ22" s="111"/>
      <c r="CA22" s="135" t="s">
        <v>100</v>
      </c>
      <c r="CB22" s="111" t="s">
        <v>100</v>
      </c>
    </row>
    <row r="23" spans="1:80" x14ac:dyDescent="0.45">
      <c r="A23" s="10">
        <v>1893</v>
      </c>
      <c r="B23" s="1234">
        <f t="shared" si="1"/>
        <v>428</v>
      </c>
      <c r="C23" s="1259"/>
      <c r="D23" s="1260"/>
      <c r="E23" s="1261"/>
      <c r="F23" s="1261"/>
      <c r="G23" s="126"/>
      <c r="H23" s="1262"/>
      <c r="I23" s="1262"/>
      <c r="J23" s="1262"/>
      <c r="K23" s="1262"/>
      <c r="L23" s="1262"/>
      <c r="M23" s="1263"/>
      <c r="N23" s="1255"/>
      <c r="O23" s="1255"/>
      <c r="P23" s="126"/>
      <c r="Q23" s="1255">
        <f t="shared" si="2"/>
        <v>9155.1304072682997</v>
      </c>
      <c r="R23" s="1260"/>
      <c r="S23" s="126"/>
      <c r="T23" s="1262"/>
      <c r="U23" s="126"/>
      <c r="V23" s="1255"/>
      <c r="W23" s="1264"/>
      <c r="X23" s="12"/>
      <c r="Y23" s="12"/>
      <c r="Z23" s="12"/>
      <c r="AA23" s="12"/>
      <c r="AB23" s="112">
        <f t="shared" si="0"/>
        <v>1225.2529999999999</v>
      </c>
      <c r="AC23" s="124"/>
      <c r="AD23" s="111"/>
      <c r="AF23" s="121">
        <v>1893</v>
      </c>
      <c r="AG23" s="1354">
        <v>428</v>
      </c>
      <c r="AH23" s="111">
        <f>65489970/1000*0.00477*29.307</f>
        <v>9155.1304072682997</v>
      </c>
      <c r="AI23" s="1355">
        <f>1225253/1000</f>
        <v>1225.2529999999999</v>
      </c>
      <c r="AJ23" s="110"/>
      <c r="AK23" s="110"/>
      <c r="AL23" s="1268"/>
      <c r="AM23" s="1353"/>
      <c r="AN23" s="112"/>
      <c r="AO23" s="1262"/>
      <c r="AP23" s="1262"/>
      <c r="AQ23" s="1262"/>
      <c r="AR23" s="1262"/>
      <c r="AS23" s="1262"/>
      <c r="AT23" s="1262"/>
      <c r="AU23" s="1262"/>
      <c r="AV23" s="1262"/>
      <c r="AW23" s="1262"/>
      <c r="AX23" s="1262"/>
      <c r="AY23" s="1255"/>
      <c r="AZ23" s="1263"/>
      <c r="BA23" s="126"/>
      <c r="BB23" s="1262"/>
      <c r="BC23" s="1269"/>
      <c r="BD23" s="126"/>
      <c r="BE23" s="1270"/>
      <c r="BF23" s="12"/>
      <c r="BG23" s="1271"/>
      <c r="BH23" s="12"/>
      <c r="BI23" s="1272"/>
      <c r="BJ23" s="112"/>
      <c r="BK23" s="122"/>
      <c r="BN23" s="124">
        <v>1893</v>
      </c>
      <c r="BO23" s="135"/>
      <c r="BP23" s="111"/>
      <c r="BQ23" s="135"/>
      <c r="BR23" s="111"/>
      <c r="BS23" s="111"/>
      <c r="BT23" s="112"/>
      <c r="BU23" s="111"/>
      <c r="BV23" s="1261"/>
      <c r="BW23" s="111"/>
      <c r="BX23" s="1400"/>
      <c r="BY23" s="1403"/>
      <c r="BZ23" s="111"/>
      <c r="CA23" s="135" t="s">
        <v>100</v>
      </c>
      <c r="CB23" s="111" t="s">
        <v>100</v>
      </c>
    </row>
    <row r="24" spans="1:80" x14ac:dyDescent="0.45">
      <c r="A24" s="10">
        <v>1894</v>
      </c>
      <c r="B24" s="1234">
        <f t="shared" si="1"/>
        <v>428</v>
      </c>
      <c r="C24" s="1259"/>
      <c r="D24" s="1260"/>
      <c r="E24" s="1261"/>
      <c r="F24" s="1261"/>
      <c r="G24" s="126"/>
      <c r="H24" s="1262"/>
      <c r="I24" s="1262"/>
      <c r="J24" s="1262"/>
      <c r="K24" s="1262"/>
      <c r="L24" s="1262"/>
      <c r="M24" s="1263"/>
      <c r="N24" s="1255"/>
      <c r="O24" s="1255"/>
      <c r="P24" s="126"/>
      <c r="Q24" s="1255">
        <f t="shared" si="2"/>
        <v>9363.1356525417305</v>
      </c>
      <c r="R24" s="1260"/>
      <c r="S24" s="126"/>
      <c r="T24" s="1262"/>
      <c r="U24" s="126"/>
      <c r="V24" s="1255"/>
      <c r="W24" s="1264"/>
      <c r="X24" s="12"/>
      <c r="Y24" s="12"/>
      <c r="Z24" s="12"/>
      <c r="AA24" s="12"/>
      <c r="AB24" s="112">
        <f t="shared" si="0"/>
        <v>1266.943</v>
      </c>
      <c r="AC24" s="124"/>
      <c r="AD24" s="111"/>
      <c r="AF24" s="121">
        <v>1894</v>
      </c>
      <c r="AG24" s="1354">
        <v>428</v>
      </c>
      <c r="AH24" s="111">
        <f>66977907/1000*0.00477*29.307</f>
        <v>9363.1356525417305</v>
      </c>
      <c r="AI24" s="1355">
        <f>1266943/1000</f>
        <v>1266.943</v>
      </c>
      <c r="AJ24" s="110"/>
      <c r="AK24" s="110"/>
      <c r="AL24" s="1268"/>
      <c r="AM24" s="1353"/>
      <c r="AN24" s="112"/>
      <c r="AO24" s="1262"/>
      <c r="AP24" s="1262"/>
      <c r="AQ24" s="1262"/>
      <c r="AR24" s="1262"/>
      <c r="AS24" s="1262"/>
      <c r="AT24" s="1262"/>
      <c r="AU24" s="1262"/>
      <c r="AV24" s="1262"/>
      <c r="AW24" s="1262"/>
      <c r="AX24" s="1262"/>
      <c r="AY24" s="1255"/>
      <c r="AZ24" s="1263"/>
      <c r="BA24" s="126"/>
      <c r="BB24" s="1262"/>
      <c r="BC24" s="1269"/>
      <c r="BD24" s="126"/>
      <c r="BE24" s="1270"/>
      <c r="BF24" s="12"/>
      <c r="BG24" s="1271"/>
      <c r="BH24" s="12"/>
      <c r="BI24" s="1272"/>
      <c r="BJ24" s="112"/>
      <c r="BK24" s="122"/>
      <c r="BN24" s="124">
        <v>1894</v>
      </c>
      <c r="BO24" s="135"/>
      <c r="BP24" s="111"/>
      <c r="BQ24" s="135"/>
      <c r="BR24" s="111"/>
      <c r="BS24" s="111"/>
      <c r="BT24" s="112"/>
      <c r="BU24" s="111"/>
      <c r="BV24" s="1261"/>
      <c r="BW24" s="111"/>
      <c r="BX24" s="1400"/>
      <c r="BY24" s="1403"/>
      <c r="BZ24" s="111"/>
      <c r="CA24" s="135" t="s">
        <v>100</v>
      </c>
      <c r="CB24" s="111" t="s">
        <v>100</v>
      </c>
    </row>
    <row r="25" spans="1:80" x14ac:dyDescent="0.45">
      <c r="A25" s="10">
        <v>1895</v>
      </c>
      <c r="B25" s="1234">
        <f t="shared" si="1"/>
        <v>429</v>
      </c>
      <c r="C25" s="1259"/>
      <c r="D25" s="1260"/>
      <c r="E25" s="1261"/>
      <c r="F25" s="1261"/>
      <c r="G25" s="126"/>
      <c r="H25" s="1262"/>
      <c r="I25" s="1262"/>
      <c r="J25" s="1262"/>
      <c r="K25" s="1262"/>
      <c r="L25" s="1262"/>
      <c r="M25" s="1263"/>
      <c r="N25" s="1255"/>
      <c r="O25" s="1255"/>
      <c r="P25" s="126"/>
      <c r="Q25" s="1255">
        <f t="shared" si="2"/>
        <v>9922.3081799436895</v>
      </c>
      <c r="R25" s="1260"/>
      <c r="S25" s="126"/>
      <c r="T25" s="1262"/>
      <c r="U25" s="126"/>
      <c r="V25" s="1255"/>
      <c r="W25" s="1264"/>
      <c r="X25" s="12"/>
      <c r="Y25" s="12"/>
      <c r="Z25" s="12"/>
      <c r="AA25" s="12"/>
      <c r="AB25" s="112">
        <f t="shared" si="0"/>
        <v>1339.712</v>
      </c>
      <c r="AC25" s="124"/>
      <c r="AD25" s="111"/>
      <c r="AF25" s="121">
        <v>1895</v>
      </c>
      <c r="AG25" s="1354">
        <v>429</v>
      </c>
      <c r="AH25" s="111">
        <f>70977871/1000*0.00477*29.307</f>
        <v>9922.3081799436895</v>
      </c>
      <c r="AI25" s="1355">
        <f>1339712/1000</f>
        <v>1339.712</v>
      </c>
      <c r="AJ25" s="110"/>
      <c r="AK25" s="110"/>
      <c r="AL25" s="1268"/>
      <c r="AM25" s="1353"/>
      <c r="AN25" s="112"/>
      <c r="AO25" s="1262"/>
      <c r="AP25" s="1262"/>
      <c r="AQ25" s="1262"/>
      <c r="AR25" s="1262"/>
      <c r="AS25" s="1262"/>
      <c r="AT25" s="1262"/>
      <c r="AU25" s="1262"/>
      <c r="AV25" s="1262"/>
      <c r="AW25" s="1262"/>
      <c r="AX25" s="1262"/>
      <c r="AY25" s="1255"/>
      <c r="AZ25" s="1263"/>
      <c r="BA25" s="126"/>
      <c r="BB25" s="1262"/>
      <c r="BC25" s="1269"/>
      <c r="BD25" s="126"/>
      <c r="BE25" s="1270"/>
      <c r="BF25" s="12"/>
      <c r="BG25" s="1271"/>
      <c r="BH25" s="12"/>
      <c r="BI25" s="1272"/>
      <c r="BJ25" s="112"/>
      <c r="BK25" s="122"/>
      <c r="BN25" s="124">
        <v>1895</v>
      </c>
      <c r="BO25" s="135"/>
      <c r="BP25" s="111"/>
      <c r="BQ25" s="135"/>
      <c r="BR25" s="111"/>
      <c r="BS25" s="111"/>
      <c r="BT25" s="112"/>
      <c r="BU25" s="111"/>
      <c r="BV25" s="1261"/>
      <c r="BW25" s="111"/>
      <c r="BX25" s="1400"/>
      <c r="BY25" s="1403"/>
      <c r="BZ25" s="111"/>
      <c r="CA25" s="135" t="s">
        <v>100</v>
      </c>
      <c r="CB25" s="111" t="s">
        <v>100</v>
      </c>
    </row>
    <row r="26" spans="1:80" x14ac:dyDescent="0.45">
      <c r="A26" s="10">
        <v>1896</v>
      </c>
      <c r="B26" s="1234">
        <f t="shared" si="1"/>
        <v>433</v>
      </c>
      <c r="C26" s="1259"/>
      <c r="D26" s="1260"/>
      <c r="E26" s="1261"/>
      <c r="F26" s="1261"/>
      <c r="G26" s="126"/>
      <c r="H26" s="1262"/>
      <c r="I26" s="1262"/>
      <c r="J26" s="1262"/>
      <c r="K26" s="1262"/>
      <c r="L26" s="1262"/>
      <c r="M26" s="1263"/>
      <c r="N26" s="1255"/>
      <c r="O26" s="1255"/>
      <c r="P26" s="126"/>
      <c r="Q26" s="1255">
        <f t="shared" si="2"/>
        <v>10309.910912704259</v>
      </c>
      <c r="R26" s="1260"/>
      <c r="S26" s="126"/>
      <c r="T26" s="1262"/>
      <c r="U26" s="126"/>
      <c r="V26" s="1255"/>
      <c r="W26" s="1264"/>
      <c r="X26" s="12"/>
      <c r="Y26" s="12"/>
      <c r="Z26" s="12"/>
      <c r="AA26" s="12"/>
      <c r="AB26" s="112">
        <f t="shared" si="0"/>
        <v>1439.2719999999999</v>
      </c>
      <c r="AC26" s="124"/>
      <c r="AD26" s="111"/>
      <c r="AF26" s="121">
        <v>1896</v>
      </c>
      <c r="AG26" s="1354">
        <v>433</v>
      </c>
      <c r="AH26" s="111">
        <f>73750534/1000*0.00477*29.307</f>
        <v>10309.910912704259</v>
      </c>
      <c r="AI26" s="1355">
        <f>1439272/1000</f>
        <v>1439.2719999999999</v>
      </c>
      <c r="AJ26" s="110"/>
      <c r="AK26" s="110"/>
      <c r="AL26" s="1268"/>
      <c r="AM26" s="1353"/>
      <c r="AN26" s="112"/>
      <c r="AO26" s="1262"/>
      <c r="AP26" s="1262"/>
      <c r="AQ26" s="1262"/>
      <c r="AR26" s="1262"/>
      <c r="AS26" s="1262"/>
      <c r="AT26" s="1262"/>
      <c r="AU26" s="1262"/>
      <c r="AV26" s="1262"/>
      <c r="AW26" s="1262"/>
      <c r="AX26" s="1262"/>
      <c r="AY26" s="1255"/>
      <c r="AZ26" s="1263"/>
      <c r="BA26" s="126"/>
      <c r="BB26" s="1262"/>
      <c r="BC26" s="1269"/>
      <c r="BD26" s="126"/>
      <c r="BE26" s="1270"/>
      <c r="BF26" s="12"/>
      <c r="BG26" s="1271"/>
      <c r="BH26" s="12"/>
      <c r="BI26" s="1272"/>
      <c r="BJ26" s="112"/>
      <c r="BK26" s="122"/>
      <c r="BN26" s="124">
        <v>1896</v>
      </c>
      <c r="BO26" s="135"/>
      <c r="BP26" s="111"/>
      <c r="BQ26" s="135"/>
      <c r="BR26" s="111"/>
      <c r="BS26" s="111"/>
      <c r="BT26" s="112"/>
      <c r="BU26" s="111"/>
      <c r="BV26" s="1261"/>
      <c r="BW26" s="111"/>
      <c r="BX26" s="1400"/>
      <c r="BY26" s="1403"/>
      <c r="BZ26" s="111"/>
      <c r="CA26" s="135" t="s">
        <v>100</v>
      </c>
      <c r="CB26" s="111" t="s">
        <v>100</v>
      </c>
    </row>
    <row r="27" spans="1:80" x14ac:dyDescent="0.45">
      <c r="A27" s="10">
        <v>1897</v>
      </c>
      <c r="B27" s="1234">
        <f t="shared" si="1"/>
        <v>436</v>
      </c>
      <c r="C27" s="1259"/>
      <c r="D27" s="1260"/>
      <c r="E27" s="1261"/>
      <c r="F27" s="1261"/>
      <c r="G27" s="126"/>
      <c r="H27" s="1262"/>
      <c r="I27" s="1262"/>
      <c r="J27" s="1262"/>
      <c r="K27" s="1262"/>
      <c r="L27" s="1262"/>
      <c r="M27" s="1263"/>
      <c r="N27" s="1255"/>
      <c r="O27" s="1255"/>
      <c r="P27" s="126"/>
      <c r="Q27" s="1255">
        <f t="shared" si="2"/>
        <v>10872.116139602878</v>
      </c>
      <c r="R27" s="1260"/>
      <c r="S27" s="126"/>
      <c r="T27" s="1262"/>
      <c r="U27" s="126"/>
      <c r="V27" s="1255"/>
      <c r="W27" s="1264"/>
      <c r="X27" s="12"/>
      <c r="Y27" s="12"/>
      <c r="Z27" s="12"/>
      <c r="AA27" s="12"/>
      <c r="AB27" s="112">
        <f t="shared" si="0"/>
        <v>1549.627</v>
      </c>
      <c r="AC27" s="124"/>
      <c r="AD27" s="111"/>
      <c r="AF27" s="121">
        <v>1897</v>
      </c>
      <c r="AG27" s="1354">
        <v>436</v>
      </c>
      <c r="AH27" s="111">
        <f>77772192/1000*0.00477*29.307</f>
        <v>10872.116139602878</v>
      </c>
      <c r="AI27" s="1355">
        <f>1549627/1000</f>
        <v>1549.627</v>
      </c>
      <c r="AJ27" s="110"/>
      <c r="AK27" s="110"/>
      <c r="AL27" s="1268"/>
      <c r="AM27" s="1353"/>
      <c r="AN27" s="112"/>
      <c r="AO27" s="1262"/>
      <c r="AP27" s="1262"/>
      <c r="AQ27" s="1262"/>
      <c r="AR27" s="1262"/>
      <c r="AS27" s="1262"/>
      <c r="AT27" s="1262"/>
      <c r="AU27" s="1262"/>
      <c r="AV27" s="1262"/>
      <c r="AW27" s="1262"/>
      <c r="AX27" s="1262"/>
      <c r="AY27" s="1255"/>
      <c r="AZ27" s="1263"/>
      <c r="BA27" s="126"/>
      <c r="BB27" s="1262"/>
      <c r="BC27" s="1269"/>
      <c r="BD27" s="126"/>
      <c r="BE27" s="1270"/>
      <c r="BF27" s="12"/>
      <c r="BG27" s="1271"/>
      <c r="BH27" s="12"/>
      <c r="BI27" s="1272"/>
      <c r="BJ27" s="112"/>
      <c r="BK27" s="122"/>
      <c r="BN27" s="124">
        <v>1897</v>
      </c>
      <c r="BO27" s="135"/>
      <c r="BP27" s="111"/>
      <c r="BQ27" s="135"/>
      <c r="BR27" s="111"/>
      <c r="BS27" s="111"/>
      <c r="BT27" s="112"/>
      <c r="BU27" s="111"/>
      <c r="BV27" s="1261"/>
      <c r="BW27" s="111"/>
      <c r="BX27" s="1400"/>
      <c r="BY27" s="1403"/>
      <c r="BZ27" s="111"/>
      <c r="CA27" s="135" t="s">
        <v>100</v>
      </c>
      <c r="CB27" s="111" t="s">
        <v>100</v>
      </c>
    </row>
    <row r="28" spans="1:80" x14ac:dyDescent="0.45">
      <c r="A28" s="10">
        <v>1898</v>
      </c>
      <c r="B28" s="1234">
        <f t="shared" si="1"/>
        <v>439</v>
      </c>
      <c r="C28" s="1259"/>
      <c r="D28" s="1260"/>
      <c r="E28" s="1261"/>
      <c r="F28" s="1261"/>
      <c r="G28" s="126"/>
      <c r="H28" s="1262"/>
      <c r="I28" s="1262"/>
      <c r="J28" s="1262"/>
      <c r="K28" s="1262"/>
      <c r="L28" s="1262"/>
      <c r="M28" s="1263"/>
      <c r="N28" s="1255"/>
      <c r="O28" s="1255"/>
      <c r="P28" s="126"/>
      <c r="Q28" s="1255">
        <f t="shared" si="2"/>
        <v>11194.41560060763</v>
      </c>
      <c r="R28" s="1260"/>
      <c r="S28" s="126"/>
      <c r="T28" s="1262"/>
      <c r="U28" s="126"/>
      <c r="V28" s="1255"/>
      <c r="W28" s="1264"/>
      <c r="X28" s="12"/>
      <c r="Y28" s="12"/>
      <c r="Z28" s="12"/>
      <c r="AA28" s="12"/>
      <c r="AB28" s="112">
        <f t="shared" si="0"/>
        <v>1670.847</v>
      </c>
      <c r="AC28" s="124"/>
      <c r="AD28" s="111"/>
      <c r="AF28" s="121">
        <v>1898</v>
      </c>
      <c r="AG28" s="1354">
        <v>439</v>
      </c>
      <c r="AH28" s="111">
        <f>80077717/1000*0.00477*29.307</f>
        <v>11194.41560060763</v>
      </c>
      <c r="AI28" s="1355">
        <f>1670847/1000</f>
        <v>1670.847</v>
      </c>
      <c r="AJ28" s="110"/>
      <c r="AK28" s="110"/>
      <c r="AL28" s="1268"/>
      <c r="AM28" s="1353"/>
      <c r="AN28" s="112"/>
      <c r="AO28" s="1262"/>
      <c r="AP28" s="1262"/>
      <c r="AQ28" s="1262"/>
      <c r="AR28" s="1262"/>
      <c r="AS28" s="1262"/>
      <c r="AT28" s="1262"/>
      <c r="AU28" s="1262"/>
      <c r="AV28" s="1262"/>
      <c r="AW28" s="1262"/>
      <c r="AX28" s="1262"/>
      <c r="AY28" s="1255"/>
      <c r="AZ28" s="1263"/>
      <c r="BA28" s="126"/>
      <c r="BB28" s="1262"/>
      <c r="BC28" s="1269"/>
      <c r="BD28" s="126"/>
      <c r="BE28" s="1270"/>
      <c r="BF28" s="12"/>
      <c r="BG28" s="1271"/>
      <c r="BH28" s="12"/>
      <c r="BI28" s="1272"/>
      <c r="BJ28" s="112"/>
      <c r="BK28" s="122"/>
      <c r="BN28" s="124">
        <v>1898</v>
      </c>
      <c r="BO28" s="135"/>
      <c r="BP28" s="111"/>
      <c r="BQ28" s="135"/>
      <c r="BR28" s="111"/>
      <c r="BS28" s="111"/>
      <c r="BT28" s="112"/>
      <c r="BU28" s="111"/>
      <c r="BV28" s="1261"/>
      <c r="BW28" s="111"/>
      <c r="BX28" s="1400"/>
      <c r="BY28" s="1403"/>
      <c r="BZ28" s="111"/>
      <c r="CA28" s="135" t="s">
        <v>100</v>
      </c>
      <c r="CB28" s="111" t="s">
        <v>100</v>
      </c>
    </row>
    <row r="29" spans="1:80" x14ac:dyDescent="0.45">
      <c r="A29" s="10">
        <v>1899</v>
      </c>
      <c r="B29" s="1234">
        <f t="shared" si="1"/>
        <v>450</v>
      </c>
      <c r="C29" s="1259"/>
      <c r="D29" s="1260"/>
      <c r="E29" s="1261"/>
      <c r="F29" s="1261"/>
      <c r="G29" s="126"/>
      <c r="H29" s="1262"/>
      <c r="I29" s="1262"/>
      <c r="J29" s="1262"/>
      <c r="K29" s="1262"/>
      <c r="L29" s="1262"/>
      <c r="M29" s="1263"/>
      <c r="N29" s="1255"/>
      <c r="O29" s="1255"/>
      <c r="P29" s="126"/>
      <c r="Q29" s="1255">
        <f t="shared" si="2"/>
        <v>11847.858474906088</v>
      </c>
      <c r="R29" s="1260"/>
      <c r="S29" s="126"/>
      <c r="T29" s="1262"/>
      <c r="U29" s="126"/>
      <c r="V29" s="1255"/>
      <c r="W29" s="1264"/>
      <c r="X29" s="12"/>
      <c r="Y29" s="12"/>
      <c r="Z29" s="12"/>
      <c r="AA29" s="12"/>
      <c r="AB29" s="112">
        <f t="shared" si="0"/>
        <v>1817.6489999999999</v>
      </c>
      <c r="AC29" s="124"/>
      <c r="AD29" s="111"/>
      <c r="AF29" s="121">
        <v>1899</v>
      </c>
      <c r="AG29" s="1354">
        <v>450</v>
      </c>
      <c r="AH29" s="111">
        <f>84752031/1000*0.00477*29.307</f>
        <v>11847.858474906088</v>
      </c>
      <c r="AI29" s="1355">
        <f>1817649/1000</f>
        <v>1817.6489999999999</v>
      </c>
      <c r="AJ29" s="110"/>
      <c r="AK29" s="110"/>
      <c r="AL29" s="1268"/>
      <c r="AM29" s="1353"/>
      <c r="AN29" s="112"/>
      <c r="AO29" s="1262"/>
      <c r="AP29" s="1262"/>
      <c r="AQ29" s="1262"/>
      <c r="AR29" s="1262"/>
      <c r="AS29" s="1262"/>
      <c r="AT29" s="1262"/>
      <c r="AU29" s="1262"/>
      <c r="AV29" s="1262"/>
      <c r="AW29" s="1262"/>
      <c r="AX29" s="1262"/>
      <c r="AY29" s="1255"/>
      <c r="AZ29" s="1263"/>
      <c r="BA29" s="126"/>
      <c r="BB29" s="1262"/>
      <c r="BC29" s="1269"/>
      <c r="BD29" s="126"/>
      <c r="BE29" s="1270"/>
      <c r="BF29" s="12"/>
      <c r="BG29" s="1271"/>
      <c r="BH29" s="12"/>
      <c r="BI29" s="1272"/>
      <c r="BJ29" s="112"/>
      <c r="BK29" s="122"/>
      <c r="BN29" s="124">
        <v>1899</v>
      </c>
      <c r="BO29" s="135"/>
      <c r="BP29" s="111"/>
      <c r="BQ29" s="135"/>
      <c r="BR29" s="111"/>
      <c r="BS29" s="111"/>
      <c r="BT29" s="112"/>
      <c r="BU29" s="111"/>
      <c r="BV29" s="1261"/>
      <c r="BW29" s="111"/>
      <c r="BX29" s="1400"/>
      <c r="BY29" s="1403"/>
      <c r="BZ29" s="111"/>
      <c r="CA29" s="135" t="s">
        <v>100</v>
      </c>
      <c r="CB29" s="111" t="s">
        <v>100</v>
      </c>
    </row>
    <row r="30" spans="1:80" x14ac:dyDescent="0.45">
      <c r="A30" s="10">
        <v>1900</v>
      </c>
      <c r="B30" s="1234">
        <f t="shared" si="1"/>
        <v>453</v>
      </c>
      <c r="C30" s="1259"/>
      <c r="D30" s="1260"/>
      <c r="E30" s="1261"/>
      <c r="F30" s="1261"/>
      <c r="G30" s="126"/>
      <c r="H30" s="1262"/>
      <c r="I30" s="1262"/>
      <c r="J30" s="1262"/>
      <c r="K30" s="1262"/>
      <c r="L30" s="1262"/>
      <c r="M30" s="1263"/>
      <c r="N30" s="1255"/>
      <c r="O30" s="1255"/>
      <c r="P30" s="126"/>
      <c r="Q30" s="1255">
        <f t="shared" si="2"/>
        <v>12258.17500015386</v>
      </c>
      <c r="R30" s="1260"/>
      <c r="S30" s="126"/>
      <c r="T30" s="1262"/>
      <c r="U30" s="126"/>
      <c r="V30" s="1255"/>
      <c r="W30" s="1264"/>
      <c r="X30" s="12"/>
      <c r="Y30" s="12"/>
      <c r="Z30" s="12"/>
      <c r="AA30" s="12"/>
      <c r="AB30" s="112">
        <f t="shared" si="0"/>
        <v>1945.825</v>
      </c>
      <c r="AC30" s="124"/>
      <c r="AD30" s="111"/>
      <c r="AF30" s="121">
        <v>1900</v>
      </c>
      <c r="AG30" s="1354">
        <v>453</v>
      </c>
      <c r="AH30" s="111">
        <f>87687174/1000*0.00477*29.307</f>
        <v>12258.17500015386</v>
      </c>
      <c r="AI30" s="1355">
        <f>1945825/1000</f>
        <v>1945.825</v>
      </c>
      <c r="AJ30" s="110"/>
      <c r="AK30" s="110"/>
      <c r="AL30" s="1268"/>
      <c r="AM30" s="1353"/>
      <c r="AN30" s="112"/>
      <c r="AO30" s="1262"/>
      <c r="AP30" s="1262"/>
      <c r="AQ30" s="1262"/>
      <c r="AR30" s="1262"/>
      <c r="AS30" s="1262"/>
      <c r="AT30" s="1262"/>
      <c r="AU30" s="1262"/>
      <c r="AV30" s="1262"/>
      <c r="AW30" s="1262"/>
      <c r="AX30" s="1262"/>
      <c r="AY30" s="1255"/>
      <c r="AZ30" s="1263"/>
      <c r="BA30" s="126"/>
      <c r="BB30" s="1262"/>
      <c r="BC30" s="1269"/>
      <c r="BD30" s="126"/>
      <c r="BE30" s="1270"/>
      <c r="BF30" s="12"/>
      <c r="BG30" s="1271"/>
      <c r="BH30" s="12"/>
      <c r="BI30" s="1272"/>
      <c r="BJ30" s="112"/>
      <c r="BK30" s="122"/>
      <c r="BN30" s="124">
        <v>1900</v>
      </c>
      <c r="BO30" s="135"/>
      <c r="BP30" s="111"/>
      <c r="BQ30" s="135"/>
      <c r="BR30" s="111"/>
      <c r="BS30" s="111"/>
      <c r="BT30" s="112"/>
      <c r="BU30" s="111"/>
      <c r="BV30" s="1261"/>
      <c r="BW30" s="111"/>
      <c r="BX30" s="1400"/>
      <c r="BY30" s="1403"/>
      <c r="BZ30" s="111"/>
      <c r="CA30" s="135" t="s">
        <v>100</v>
      </c>
      <c r="CB30" s="111" t="s">
        <v>100</v>
      </c>
    </row>
    <row r="31" spans="1:80" x14ac:dyDescent="0.45">
      <c r="A31" s="10">
        <v>1901</v>
      </c>
      <c r="B31" s="1234">
        <f t="shared" si="1"/>
        <v>454</v>
      </c>
      <c r="C31" s="1259"/>
      <c r="D31" s="1260"/>
      <c r="E31" s="1261"/>
      <c r="F31" s="1261"/>
      <c r="G31" s="126"/>
      <c r="H31" s="1262"/>
      <c r="I31" s="1262"/>
      <c r="J31" s="1262"/>
      <c r="K31" s="1262"/>
      <c r="L31" s="1262"/>
      <c r="M31" s="1263"/>
      <c r="N31" s="1255"/>
      <c r="O31" s="1255"/>
      <c r="P31" s="126"/>
      <c r="Q31" s="1255">
        <f t="shared" si="2"/>
        <v>12537.488944383118</v>
      </c>
      <c r="R31" s="1260"/>
      <c r="S31" s="126"/>
      <c r="T31" s="1262"/>
      <c r="U31" s="126"/>
      <c r="V31" s="1255"/>
      <c r="W31" s="1264"/>
      <c r="X31" s="12"/>
      <c r="Y31" s="12"/>
      <c r="Z31" s="12"/>
      <c r="AA31" s="12"/>
      <c r="AB31" s="112">
        <f t="shared" si="0"/>
        <v>2048.3589999999999</v>
      </c>
      <c r="AC31" s="124"/>
      <c r="AD31" s="111"/>
      <c r="AF31" s="121">
        <v>1901</v>
      </c>
      <c r="AG31" s="1354">
        <v>454</v>
      </c>
      <c r="AH31" s="111">
        <f>89685208/1000*0.00477*29.307</f>
        <v>12537.488944383118</v>
      </c>
      <c r="AI31" s="1355">
        <f>2048359/1000</f>
        <v>2048.3589999999999</v>
      </c>
      <c r="AJ31" s="110"/>
      <c r="AK31" s="110"/>
      <c r="AL31" s="1268"/>
      <c r="AM31" s="1353"/>
      <c r="AN31" s="112"/>
      <c r="AO31" s="1262"/>
      <c r="AP31" s="1262"/>
      <c r="AQ31" s="1262"/>
      <c r="AR31" s="1262"/>
      <c r="AS31" s="1262"/>
      <c r="AT31" s="1262"/>
      <c r="AU31" s="1262"/>
      <c r="AV31" s="1262"/>
      <c r="AW31" s="1262"/>
      <c r="AX31" s="1262"/>
      <c r="AY31" s="1255"/>
      <c r="AZ31" s="1263"/>
      <c r="BA31" s="126"/>
      <c r="BB31" s="1262"/>
      <c r="BC31" s="1269"/>
      <c r="BD31" s="126"/>
      <c r="BE31" s="1270"/>
      <c r="BF31" s="12"/>
      <c r="BG31" s="1271"/>
      <c r="BH31" s="12"/>
      <c r="BI31" s="1272"/>
      <c r="BJ31" s="112"/>
      <c r="BK31" s="122"/>
      <c r="BN31" s="124">
        <v>1901</v>
      </c>
      <c r="BO31" s="135"/>
      <c r="BP31" s="111"/>
      <c r="BQ31" s="135"/>
      <c r="BR31" s="111"/>
      <c r="BS31" s="111"/>
      <c r="BT31" s="112"/>
      <c r="BU31" s="111"/>
      <c r="BV31" s="1261"/>
      <c r="BW31" s="111"/>
      <c r="BX31" s="1400"/>
      <c r="BY31" s="1403"/>
      <c r="BZ31" s="111"/>
      <c r="CA31" s="135" t="s">
        <v>100</v>
      </c>
      <c r="CB31" s="111" t="s">
        <v>100</v>
      </c>
    </row>
    <row r="32" spans="1:80" x14ac:dyDescent="0.45">
      <c r="A32" s="10">
        <v>1902</v>
      </c>
      <c r="B32" s="1234">
        <f t="shared" si="1"/>
        <v>454</v>
      </c>
      <c r="C32" s="1259"/>
      <c r="D32" s="1260"/>
      <c r="E32" s="1261"/>
      <c r="F32" s="1261"/>
      <c r="G32" s="126"/>
      <c r="H32" s="1262"/>
      <c r="I32" s="1262"/>
      <c r="J32" s="1262"/>
      <c r="K32" s="1262"/>
      <c r="L32" s="1262"/>
      <c r="M32" s="1263"/>
      <c r="N32" s="1255"/>
      <c r="O32" s="1255"/>
      <c r="P32" s="126"/>
      <c r="Q32" s="1255">
        <f t="shared" si="2"/>
        <v>12854.97822022236</v>
      </c>
      <c r="R32" s="1260"/>
      <c r="S32" s="126"/>
      <c r="T32" s="1262"/>
      <c r="U32" s="126"/>
      <c r="V32" s="1255"/>
      <c r="W32" s="1264"/>
      <c r="X32" s="12"/>
      <c r="Y32" s="12"/>
      <c r="Z32" s="12"/>
      <c r="AA32" s="12"/>
      <c r="AB32" s="112">
        <f t="shared" si="0"/>
        <v>2197.9870000000001</v>
      </c>
      <c r="AC32" s="124"/>
      <c r="AD32" s="111"/>
      <c r="AF32" s="121">
        <v>1902</v>
      </c>
      <c r="AG32" s="1354">
        <v>454</v>
      </c>
      <c r="AH32" s="111">
        <f>91956324/1000*0.00477*29.307</f>
        <v>12854.97822022236</v>
      </c>
      <c r="AI32" s="1355">
        <f>2197987/1000</f>
        <v>2197.9870000000001</v>
      </c>
      <c r="AJ32" s="110"/>
      <c r="AK32" s="110"/>
      <c r="AL32" s="1268"/>
      <c r="AM32" s="1353"/>
      <c r="AN32" s="112"/>
      <c r="AO32" s="1262"/>
      <c r="AP32" s="1262"/>
      <c r="AQ32" s="1262"/>
      <c r="AR32" s="1262"/>
      <c r="AS32" s="1262"/>
      <c r="AT32" s="1262"/>
      <c r="AU32" s="1262"/>
      <c r="AV32" s="1262"/>
      <c r="AW32" s="1262"/>
      <c r="AX32" s="1262"/>
      <c r="AY32" s="1255"/>
      <c r="AZ32" s="1263"/>
      <c r="BA32" s="126"/>
      <c r="BB32" s="1262"/>
      <c r="BC32" s="1269"/>
      <c r="BD32" s="126"/>
      <c r="BE32" s="1270"/>
      <c r="BF32" s="12"/>
      <c r="BG32" s="1271"/>
      <c r="BH32" s="12"/>
      <c r="BI32" s="1272"/>
      <c r="BJ32" s="112"/>
      <c r="BK32" s="122"/>
      <c r="BN32" s="124">
        <v>1902</v>
      </c>
      <c r="BO32" s="135"/>
      <c r="BP32" s="111"/>
      <c r="BQ32" s="135"/>
      <c r="BR32" s="111"/>
      <c r="BS32" s="111"/>
      <c r="BT32" s="112"/>
      <c r="BU32" s="111"/>
      <c r="BV32" s="1261"/>
      <c r="BW32" s="111"/>
      <c r="BX32" s="1400"/>
      <c r="BY32" s="1403"/>
      <c r="BZ32" s="111"/>
      <c r="CA32" s="135" t="s">
        <v>100</v>
      </c>
      <c r="CB32" s="111" t="s">
        <v>100</v>
      </c>
    </row>
    <row r="33" spans="1:80" x14ac:dyDescent="0.45">
      <c r="A33" s="10">
        <v>1903</v>
      </c>
      <c r="B33" s="1234">
        <f t="shared" si="1"/>
        <v>459</v>
      </c>
      <c r="C33" s="1259"/>
      <c r="D33" s="1260"/>
      <c r="E33" s="1261"/>
      <c r="F33" s="1261"/>
      <c r="G33" s="126"/>
      <c r="H33" s="1262"/>
      <c r="I33" s="1262"/>
      <c r="J33" s="1262"/>
      <c r="K33" s="1262"/>
      <c r="L33" s="1262"/>
      <c r="M33" s="1263"/>
      <c r="N33" s="1255"/>
      <c r="O33" s="1255"/>
      <c r="P33" s="126"/>
      <c r="Q33" s="1255">
        <f t="shared" si="2"/>
        <v>13129.949032343098</v>
      </c>
      <c r="R33" s="1260"/>
      <c r="S33" s="126"/>
      <c r="T33" s="1262"/>
      <c r="U33" s="126"/>
      <c r="V33" s="1255"/>
      <c r="W33" s="1264"/>
      <c r="X33" s="12"/>
      <c r="Y33" s="12"/>
      <c r="Z33" s="12"/>
      <c r="AA33" s="12"/>
      <c r="AB33" s="112">
        <f t="shared" si="0"/>
        <v>2385.348</v>
      </c>
      <c r="AC33" s="124"/>
      <c r="AD33" s="111"/>
      <c r="AF33" s="121">
        <v>1903</v>
      </c>
      <c r="AG33" s="1354">
        <v>459</v>
      </c>
      <c r="AH33" s="111">
        <f>93923290/1000*0.00477*29.307</f>
        <v>13129.949032343098</v>
      </c>
      <c r="AI33" s="1355">
        <f>2385348/1000</f>
        <v>2385.348</v>
      </c>
      <c r="AJ33" s="110"/>
      <c r="AK33" s="110"/>
      <c r="AL33" s="1268"/>
      <c r="AM33" s="1353"/>
      <c r="AN33" s="112"/>
      <c r="AO33" s="1262"/>
      <c r="AP33" s="1262"/>
      <c r="AQ33" s="1262"/>
      <c r="AR33" s="1262"/>
      <c r="AS33" s="1262"/>
      <c r="AT33" s="1262"/>
      <c r="AU33" s="1262"/>
      <c r="AV33" s="1262"/>
      <c r="AW33" s="1262"/>
      <c r="AX33" s="1262"/>
      <c r="AY33" s="1255"/>
      <c r="AZ33" s="1263"/>
      <c r="BA33" s="126"/>
      <c r="BB33" s="1262"/>
      <c r="BC33" s="1269"/>
      <c r="BD33" s="126"/>
      <c r="BE33" s="1270"/>
      <c r="BF33" s="12"/>
      <c r="BG33" s="1271"/>
      <c r="BH33" s="12"/>
      <c r="BI33" s="1272"/>
      <c r="BJ33" s="112"/>
      <c r="BK33" s="122"/>
      <c r="BN33" s="124">
        <v>1903</v>
      </c>
      <c r="BO33" s="135"/>
      <c r="BP33" s="111"/>
      <c r="BQ33" s="135"/>
      <c r="BR33" s="111"/>
      <c r="BS33" s="111"/>
      <c r="BT33" s="112"/>
      <c r="BU33" s="111"/>
      <c r="BV33" s="1261"/>
      <c r="BW33" s="111"/>
      <c r="BX33" s="1400"/>
      <c r="BY33" s="1403"/>
      <c r="BZ33" s="111"/>
      <c r="CA33" s="135" t="s">
        <v>100</v>
      </c>
      <c r="CB33" s="111" t="s">
        <v>100</v>
      </c>
    </row>
    <row r="34" spans="1:80" x14ac:dyDescent="0.45">
      <c r="A34" s="10">
        <v>1904</v>
      </c>
      <c r="B34" s="1234">
        <f t="shared" si="1"/>
        <v>469</v>
      </c>
      <c r="C34" s="1259"/>
      <c r="D34" s="1260"/>
      <c r="E34" s="1261"/>
      <c r="F34" s="1261"/>
      <c r="G34" s="126"/>
      <c r="H34" s="1262"/>
      <c r="I34" s="1262"/>
      <c r="J34" s="1262"/>
      <c r="K34" s="1262"/>
      <c r="L34" s="1262"/>
      <c r="M34" s="1263"/>
      <c r="N34" s="1255"/>
      <c r="O34" s="1255"/>
      <c r="P34" s="126"/>
      <c r="Q34" s="1255">
        <f t="shared" si="2"/>
        <v>13595.725067580448</v>
      </c>
      <c r="R34" s="1260"/>
      <c r="S34" s="126"/>
      <c r="T34" s="1262"/>
      <c r="U34" s="126"/>
      <c r="V34" s="1255"/>
      <c r="W34" s="1264"/>
      <c r="X34" s="12"/>
      <c r="Y34" s="12"/>
      <c r="Z34" s="12"/>
      <c r="AA34" s="12"/>
      <c r="AB34" s="112">
        <f t="shared" si="0"/>
        <v>2588.9169999999999</v>
      </c>
      <c r="AC34" s="124"/>
      <c r="AD34" s="111"/>
      <c r="AF34" s="121">
        <v>1904</v>
      </c>
      <c r="AG34" s="1354">
        <v>469</v>
      </c>
      <c r="AH34" s="111">
        <f>97255155/1000*0.00477*29.307</f>
        <v>13595.725067580448</v>
      </c>
      <c r="AI34" s="1355">
        <f>2588917/1000</f>
        <v>2588.9169999999999</v>
      </c>
      <c r="AJ34" s="110"/>
      <c r="AK34" s="110"/>
      <c r="AL34" s="1268"/>
      <c r="AM34" s="1353"/>
      <c r="AN34" s="112"/>
      <c r="AO34" s="1262"/>
      <c r="AP34" s="1262"/>
      <c r="AQ34" s="1262"/>
      <c r="AR34" s="1262"/>
      <c r="AS34" s="1262"/>
      <c r="AT34" s="1262"/>
      <c r="AU34" s="1262"/>
      <c r="AV34" s="1262"/>
      <c r="AW34" s="1262"/>
      <c r="AX34" s="1262"/>
      <c r="AY34" s="1255"/>
      <c r="AZ34" s="1263"/>
      <c r="BA34" s="126"/>
      <c r="BB34" s="1262"/>
      <c r="BC34" s="1269"/>
      <c r="BD34" s="126"/>
      <c r="BE34" s="1270"/>
      <c r="BF34" s="12"/>
      <c r="BG34" s="1271"/>
      <c r="BH34" s="12"/>
      <c r="BI34" s="1272"/>
      <c r="BJ34" s="112"/>
      <c r="BK34" s="122"/>
      <c r="BN34" s="124">
        <v>1904</v>
      </c>
      <c r="BO34" s="135"/>
      <c r="BP34" s="111"/>
      <c r="BQ34" s="135"/>
      <c r="BR34" s="111"/>
      <c r="BS34" s="111"/>
      <c r="BT34" s="112"/>
      <c r="BU34" s="111"/>
      <c r="BV34" s="1261"/>
      <c r="BW34" s="111"/>
      <c r="BX34" s="1400"/>
      <c r="BY34" s="1403"/>
      <c r="BZ34" s="111"/>
      <c r="CA34" s="135" t="s">
        <v>100</v>
      </c>
      <c r="CB34" s="111" t="s">
        <v>100</v>
      </c>
    </row>
    <row r="35" spans="1:80" x14ac:dyDescent="0.45">
      <c r="A35" s="10">
        <v>1905</v>
      </c>
      <c r="B35" s="1234">
        <f t="shared" si="1"/>
        <v>482</v>
      </c>
      <c r="C35" s="1259"/>
      <c r="D35" s="1260"/>
      <c r="E35" s="1261"/>
      <c r="F35" s="1261"/>
      <c r="G35" s="126"/>
      <c r="H35" s="1262"/>
      <c r="I35" s="1262"/>
      <c r="J35" s="1262"/>
      <c r="K35" s="1262"/>
      <c r="L35" s="1262"/>
      <c r="M35" s="1263"/>
      <c r="N35" s="1255"/>
      <c r="O35" s="1255"/>
      <c r="P35" s="126"/>
      <c r="Q35" s="1255">
        <f t="shared" si="2"/>
        <v>14098.046851223551</v>
      </c>
      <c r="R35" s="1260"/>
      <c r="S35" s="126"/>
      <c r="T35" s="1262"/>
      <c r="U35" s="126"/>
      <c r="V35" s="1255"/>
      <c r="W35" s="1264"/>
      <c r="X35" s="12"/>
      <c r="Y35" s="12"/>
      <c r="Z35" s="12"/>
      <c r="AA35" s="12"/>
      <c r="AB35" s="112">
        <f t="shared" si="0"/>
        <v>2813.1559999999999</v>
      </c>
      <c r="AC35" s="124"/>
      <c r="AD35" s="111"/>
      <c r="AF35" s="121">
        <v>1905</v>
      </c>
      <c r="AG35" s="1354">
        <v>482</v>
      </c>
      <c r="AH35" s="111">
        <f>100848445/1000*0.00477*29.307</f>
        <v>14098.046851223551</v>
      </c>
      <c r="AI35" s="1355">
        <f>2813156/1000</f>
        <v>2813.1559999999999</v>
      </c>
      <c r="AJ35" s="110"/>
      <c r="AK35" s="110"/>
      <c r="AL35" s="1268"/>
      <c r="AM35" s="1353"/>
      <c r="AN35" s="112"/>
      <c r="AO35" s="1262"/>
      <c r="AP35" s="1262"/>
      <c r="AQ35" s="1262"/>
      <c r="AR35" s="1262"/>
      <c r="AS35" s="1262"/>
      <c r="AT35" s="1262"/>
      <c r="AU35" s="1262"/>
      <c r="AV35" s="1262"/>
      <c r="AW35" s="1262"/>
      <c r="AX35" s="1262"/>
      <c r="AY35" s="1255"/>
      <c r="AZ35" s="1263"/>
      <c r="BA35" s="126"/>
      <c r="BB35" s="1262"/>
      <c r="BC35" s="1269"/>
      <c r="BD35" s="126"/>
      <c r="BE35" s="1270"/>
      <c r="BF35" s="12"/>
      <c r="BG35" s="1271"/>
      <c r="BH35" s="12"/>
      <c r="BI35" s="1272"/>
      <c r="BJ35" s="112"/>
      <c r="BK35" s="122"/>
      <c r="BN35" s="124">
        <v>1905</v>
      </c>
      <c r="BO35" s="135"/>
      <c r="BP35" s="111"/>
      <c r="BQ35" s="135"/>
      <c r="BR35" s="111"/>
      <c r="BS35" s="111"/>
      <c r="BT35" s="112"/>
      <c r="BU35" s="111"/>
      <c r="BV35" s="1261"/>
      <c r="BW35" s="111"/>
      <c r="BX35" s="1400"/>
      <c r="BY35" s="1403"/>
      <c r="BZ35" s="111"/>
      <c r="CA35" s="135" t="s">
        <v>100</v>
      </c>
      <c r="CB35" s="111" t="s">
        <v>100</v>
      </c>
    </row>
    <row r="36" spans="1:80" x14ac:dyDescent="0.45">
      <c r="A36" s="10">
        <v>1906</v>
      </c>
      <c r="B36" s="1234">
        <f t="shared" si="1"/>
        <v>491</v>
      </c>
      <c r="C36" s="1259"/>
      <c r="D36" s="1260"/>
      <c r="E36" s="1261"/>
      <c r="F36" s="1261"/>
      <c r="G36" s="126"/>
      <c r="H36" s="1262"/>
      <c r="I36" s="1262"/>
      <c r="J36" s="1262"/>
      <c r="K36" s="1262"/>
      <c r="L36" s="1262"/>
      <c r="M36" s="1263"/>
      <c r="N36" s="1255"/>
      <c r="O36" s="1255"/>
      <c r="P36" s="126"/>
      <c r="Q36" s="1255">
        <f t="shared" si="2"/>
        <v>14708.981466793979</v>
      </c>
      <c r="R36" s="1260"/>
      <c r="S36" s="126"/>
      <c r="T36" s="1262"/>
      <c r="U36" s="126"/>
      <c r="V36" s="1255"/>
      <c r="W36" s="1264"/>
      <c r="X36" s="12"/>
      <c r="Y36" s="12"/>
      <c r="Z36" s="12"/>
      <c r="AA36" s="12"/>
      <c r="AB36" s="112">
        <f t="shared" si="0"/>
        <v>3023.6190000000001</v>
      </c>
      <c r="AC36" s="124"/>
      <c r="AD36" s="111"/>
      <c r="AF36" s="121">
        <v>1906</v>
      </c>
      <c r="AG36" s="1354">
        <v>491</v>
      </c>
      <c r="AH36" s="111">
        <f>105218682/1000*0.00477*29.307</f>
        <v>14708.981466793979</v>
      </c>
      <c r="AI36" s="1355">
        <f>3023619/1000</f>
        <v>3023.6190000000001</v>
      </c>
      <c r="AJ36" s="110"/>
      <c r="AK36" s="110"/>
      <c r="AL36" s="1268"/>
      <c r="AM36" s="1353"/>
      <c r="AN36" s="112"/>
      <c r="AO36" s="1262"/>
      <c r="AP36" s="1262"/>
      <c r="AQ36" s="1262"/>
      <c r="AR36" s="1262"/>
      <c r="AS36" s="1262"/>
      <c r="AT36" s="1262"/>
      <c r="AU36" s="1262"/>
      <c r="AV36" s="1262"/>
      <c r="AW36" s="1262"/>
      <c r="AX36" s="1262"/>
      <c r="AY36" s="1255"/>
      <c r="AZ36" s="1263"/>
      <c r="BA36" s="126"/>
      <c r="BB36" s="1262"/>
      <c r="BC36" s="1269"/>
      <c r="BD36" s="126"/>
      <c r="BE36" s="1270"/>
      <c r="BF36" s="12"/>
      <c r="BG36" s="1271"/>
      <c r="BH36" s="12"/>
      <c r="BI36" s="1272"/>
      <c r="BJ36" s="112"/>
      <c r="BK36" s="122"/>
      <c r="BN36" s="124">
        <v>1906</v>
      </c>
      <c r="BO36" s="135"/>
      <c r="BP36" s="111"/>
      <c r="BQ36" s="135"/>
      <c r="BR36" s="111"/>
      <c r="BS36" s="111"/>
      <c r="BT36" s="112"/>
      <c r="BU36" s="111"/>
      <c r="BV36" s="1261"/>
      <c r="BW36" s="111"/>
      <c r="BX36" s="1400"/>
      <c r="BY36" s="1403"/>
      <c r="BZ36" s="111"/>
      <c r="CA36" s="135" t="s">
        <v>100</v>
      </c>
      <c r="CB36" s="111" t="s">
        <v>100</v>
      </c>
    </row>
    <row r="37" spans="1:80" x14ac:dyDescent="0.45">
      <c r="A37" s="10">
        <v>1907</v>
      </c>
      <c r="B37" s="1234">
        <f t="shared" si="1"/>
        <v>495</v>
      </c>
      <c r="C37" s="1259"/>
      <c r="D37" s="1260"/>
      <c r="E37" s="1261"/>
      <c r="F37" s="1261"/>
      <c r="G37" s="126"/>
      <c r="H37" s="1262"/>
      <c r="I37" s="1262"/>
      <c r="J37" s="1262"/>
      <c r="K37" s="1262"/>
      <c r="L37" s="1262"/>
      <c r="M37" s="1263"/>
      <c r="N37" s="1255"/>
      <c r="O37" s="1255"/>
      <c r="P37" s="126"/>
      <c r="Q37" s="1255">
        <f t="shared" si="2"/>
        <v>15131.267746891108</v>
      </c>
      <c r="R37" s="1260"/>
      <c r="S37" s="126"/>
      <c r="T37" s="1262"/>
      <c r="U37" s="126"/>
      <c r="V37" s="1255"/>
      <c r="W37" s="1264"/>
      <c r="X37" s="12"/>
      <c r="Y37" s="12"/>
      <c r="Z37" s="12"/>
      <c r="AA37" s="12"/>
      <c r="AB37" s="112">
        <f t="shared" si="0"/>
        <v>3230.9929999999999</v>
      </c>
      <c r="AC37" s="124"/>
      <c r="AD37" s="111"/>
      <c r="AF37" s="121">
        <v>1907</v>
      </c>
      <c r="AG37" s="1354">
        <v>495</v>
      </c>
      <c r="AH37" s="111">
        <f>108239449/1000*0.00477*29.307</f>
        <v>15131.267746891108</v>
      </c>
      <c r="AI37" s="1355">
        <f>3230993/1000</f>
        <v>3230.9929999999999</v>
      </c>
      <c r="AJ37" s="110"/>
      <c r="AK37" s="110"/>
      <c r="AL37" s="1268"/>
      <c r="AM37" s="1353"/>
      <c r="AN37" s="112"/>
      <c r="AO37" s="1262"/>
      <c r="AP37" s="1262"/>
      <c r="AQ37" s="1262"/>
      <c r="AR37" s="1262"/>
      <c r="AS37" s="1262"/>
      <c r="AT37" s="1262"/>
      <c r="AU37" s="1262"/>
      <c r="AV37" s="1262"/>
      <c r="AW37" s="1262"/>
      <c r="AX37" s="1262"/>
      <c r="AY37" s="1255"/>
      <c r="AZ37" s="1263"/>
      <c r="BA37" s="126"/>
      <c r="BB37" s="1262"/>
      <c r="BC37" s="1269"/>
      <c r="BD37" s="126"/>
      <c r="BE37" s="1270"/>
      <c r="BF37" s="12"/>
      <c r="BG37" s="1271"/>
      <c r="BH37" s="12"/>
      <c r="BI37" s="1272"/>
      <c r="BJ37" s="112"/>
      <c r="BK37" s="122"/>
      <c r="BN37" s="124">
        <v>1907</v>
      </c>
      <c r="BO37" s="135"/>
      <c r="BP37" s="111"/>
      <c r="BQ37" s="135"/>
      <c r="BR37" s="111"/>
      <c r="BS37" s="111"/>
      <c r="BT37" s="112"/>
      <c r="BU37" s="111"/>
      <c r="BV37" s="1261"/>
      <c r="BW37" s="111"/>
      <c r="BX37" s="1400"/>
      <c r="BY37" s="1403"/>
      <c r="BZ37" s="111"/>
      <c r="CA37" s="135" t="s">
        <v>100</v>
      </c>
      <c r="CB37" s="111" t="s">
        <v>100</v>
      </c>
    </row>
    <row r="38" spans="1:80" x14ac:dyDescent="0.45">
      <c r="A38" s="10">
        <v>1908</v>
      </c>
      <c r="B38" s="1234">
        <f t="shared" si="1"/>
        <v>499</v>
      </c>
      <c r="C38" s="1259"/>
      <c r="D38" s="1260"/>
      <c r="E38" s="1261"/>
      <c r="F38" s="1261"/>
      <c r="G38" s="126"/>
      <c r="H38" s="1262"/>
      <c r="I38" s="1262"/>
      <c r="J38" s="1262"/>
      <c r="K38" s="1262"/>
      <c r="L38" s="1262"/>
      <c r="M38" s="1263"/>
      <c r="N38" s="1255"/>
      <c r="O38" s="1255"/>
      <c r="P38" s="126"/>
      <c r="Q38" s="1255">
        <f t="shared" si="2"/>
        <v>15281.863630023241</v>
      </c>
      <c r="R38" s="1260"/>
      <c r="S38" s="126"/>
      <c r="T38" s="1262"/>
      <c r="U38" s="126"/>
      <c r="V38" s="1255"/>
      <c r="W38" s="1264"/>
      <c r="X38" s="12"/>
      <c r="Y38" s="12"/>
      <c r="Z38" s="12"/>
      <c r="AA38" s="12"/>
      <c r="AB38" s="112">
        <f t="shared" si="0"/>
        <v>3399.1930000000002</v>
      </c>
      <c r="AC38" s="124"/>
      <c r="AD38" s="111"/>
      <c r="AF38" s="121">
        <v>1908</v>
      </c>
      <c r="AG38" s="1354">
        <v>499</v>
      </c>
      <c r="AH38" s="111">
        <f>109316716/1000*0.00477*29.307</f>
        <v>15281.863630023241</v>
      </c>
      <c r="AI38" s="1355">
        <f>3399193/1000</f>
        <v>3399.1930000000002</v>
      </c>
      <c r="AJ38" s="110"/>
      <c r="AK38" s="110"/>
      <c r="AL38" s="1268"/>
      <c r="AM38" s="1353"/>
      <c r="AN38" s="112"/>
      <c r="AO38" s="1262"/>
      <c r="AP38" s="1262"/>
      <c r="AQ38" s="1262"/>
      <c r="AR38" s="1262"/>
      <c r="AS38" s="1262"/>
      <c r="AT38" s="1262"/>
      <c r="AU38" s="1262"/>
      <c r="AV38" s="1262"/>
      <c r="AW38" s="1262"/>
      <c r="AX38" s="1262"/>
      <c r="AY38" s="1255"/>
      <c r="AZ38" s="1263"/>
      <c r="BA38" s="126"/>
      <c r="BB38" s="1262"/>
      <c r="BC38" s="1269"/>
      <c r="BD38" s="126"/>
      <c r="BE38" s="1270"/>
      <c r="BF38" s="12"/>
      <c r="BG38" s="1271"/>
      <c r="BH38" s="12"/>
      <c r="BI38" s="1272"/>
      <c r="BJ38" s="112"/>
      <c r="BK38" s="122"/>
      <c r="BN38" s="124">
        <v>1908</v>
      </c>
      <c r="BO38" s="135"/>
      <c r="BP38" s="111"/>
      <c r="BQ38" s="135"/>
      <c r="BR38" s="111"/>
      <c r="BS38" s="111"/>
      <c r="BT38" s="112"/>
      <c r="BU38" s="111"/>
      <c r="BV38" s="1261"/>
      <c r="BW38" s="111"/>
      <c r="BX38" s="1400"/>
      <c r="BY38" s="1403"/>
      <c r="BZ38" s="111"/>
      <c r="CA38" s="135" t="s">
        <v>100</v>
      </c>
      <c r="CB38" s="111" t="s">
        <v>100</v>
      </c>
    </row>
    <row r="39" spans="1:80" x14ac:dyDescent="0.45">
      <c r="A39" s="10">
        <v>1909</v>
      </c>
      <c r="B39" s="1234">
        <f t="shared" si="1"/>
        <v>501</v>
      </c>
      <c r="C39" s="1259"/>
      <c r="D39" s="1260"/>
      <c r="E39" s="1261"/>
      <c r="F39" s="1261"/>
      <c r="G39" s="126"/>
      <c r="H39" s="1262"/>
      <c r="I39" s="1262"/>
      <c r="J39" s="1262"/>
      <c r="K39" s="1262"/>
      <c r="L39" s="1262"/>
      <c r="M39" s="1263"/>
      <c r="N39" s="1255"/>
      <c r="O39" s="1255"/>
      <c r="P39" s="126"/>
      <c r="Q39" s="1255">
        <f t="shared" si="2"/>
        <v>15703.68439480167</v>
      </c>
      <c r="R39" s="1260"/>
      <c r="S39" s="126"/>
      <c r="T39" s="1262"/>
      <c r="U39" s="126"/>
      <c r="V39" s="1255"/>
      <c r="W39" s="1264"/>
      <c r="X39" s="12"/>
      <c r="Y39" s="12"/>
      <c r="Z39" s="12"/>
      <c r="AA39" s="12"/>
      <c r="AB39" s="112">
        <f t="shared" si="0"/>
        <v>3573.7959999999998</v>
      </c>
      <c r="AC39" s="124"/>
      <c r="AD39" s="111"/>
      <c r="AF39" s="121">
        <v>1909</v>
      </c>
      <c r="AG39" s="1354">
        <v>501</v>
      </c>
      <c r="AH39" s="111">
        <f>112334153/1000*0.00477*29.307</f>
        <v>15703.68439480167</v>
      </c>
      <c r="AI39" s="1355">
        <f>3573796/1000</f>
        <v>3573.7959999999998</v>
      </c>
      <c r="AJ39" s="110"/>
      <c r="AK39" s="110"/>
      <c r="AL39" s="1268"/>
      <c r="AM39" s="1353"/>
      <c r="AN39" s="112"/>
      <c r="AO39" s="1262"/>
      <c r="AP39" s="1262"/>
      <c r="AQ39" s="1262"/>
      <c r="AR39" s="1262"/>
      <c r="AS39" s="1262"/>
      <c r="AT39" s="1262"/>
      <c r="AU39" s="1262"/>
      <c r="AV39" s="1262"/>
      <c r="AW39" s="1262"/>
      <c r="AX39" s="1262"/>
      <c r="AY39" s="1255"/>
      <c r="AZ39" s="1263"/>
      <c r="BA39" s="126"/>
      <c r="BB39" s="1262"/>
      <c r="BC39" s="1269"/>
      <c r="BD39" s="126"/>
      <c r="BE39" s="1270"/>
      <c r="BF39" s="12"/>
      <c r="BG39" s="1271"/>
      <c r="BH39" s="12"/>
      <c r="BI39" s="1272"/>
      <c r="BJ39" s="112"/>
      <c r="BK39" s="122"/>
      <c r="BN39" s="124">
        <v>1909</v>
      </c>
      <c r="BO39" s="135"/>
      <c r="BP39" s="111"/>
      <c r="BQ39" s="135"/>
      <c r="BR39" s="111"/>
      <c r="BS39" s="111"/>
      <c r="BT39" s="112"/>
      <c r="BU39" s="111"/>
      <c r="BV39" s="1261"/>
      <c r="BW39" s="111"/>
      <c r="BX39" s="1400"/>
      <c r="BY39" s="1403"/>
      <c r="BZ39" s="111"/>
      <c r="CA39" s="135" t="s">
        <v>100</v>
      </c>
      <c r="CB39" s="111" t="s">
        <v>100</v>
      </c>
    </row>
    <row r="40" spans="1:80" x14ac:dyDescent="0.45">
      <c r="A40" s="10">
        <v>1910</v>
      </c>
      <c r="B40" s="1234">
        <f t="shared" si="1"/>
        <v>511</v>
      </c>
      <c r="C40" s="1259"/>
      <c r="D40" s="1260"/>
      <c r="E40" s="1261"/>
      <c r="F40" s="1261"/>
      <c r="G40" s="126"/>
      <c r="H40" s="1262"/>
      <c r="I40" s="1262"/>
      <c r="J40" s="1262"/>
      <c r="K40" s="1262"/>
      <c r="L40" s="1262"/>
      <c r="M40" s="1263"/>
      <c r="N40" s="1255"/>
      <c r="O40" s="1255"/>
      <c r="P40" s="126"/>
      <c r="Q40" s="1255">
        <f t="shared" si="2"/>
        <v>16124.18731786557</v>
      </c>
      <c r="R40" s="1260"/>
      <c r="S40" s="126"/>
      <c r="T40" s="1262"/>
      <c r="U40" s="126"/>
      <c r="V40" s="1255"/>
      <c r="W40" s="1264"/>
      <c r="X40" s="12"/>
      <c r="Y40" s="12"/>
      <c r="Z40" s="12"/>
      <c r="AA40" s="12"/>
      <c r="AB40" s="112">
        <f t="shared" si="0"/>
        <v>3751.703</v>
      </c>
      <c r="AC40" s="124"/>
      <c r="AD40" s="111"/>
      <c r="AF40" s="121">
        <v>1910</v>
      </c>
      <c r="AG40" s="1354">
        <v>511</v>
      </c>
      <c r="AH40" s="111">
        <f>115342163/1000*0.00477*29.307</f>
        <v>16124.18731786557</v>
      </c>
      <c r="AI40" s="1355">
        <f>3751703/1000</f>
        <v>3751.703</v>
      </c>
      <c r="AJ40" s="110"/>
      <c r="AK40" s="110"/>
      <c r="AL40" s="1268"/>
      <c r="AM40" s="1353"/>
      <c r="AN40" s="112"/>
      <c r="AO40" s="1262"/>
      <c r="AP40" s="1262"/>
      <c r="AQ40" s="1262"/>
      <c r="AR40" s="1262"/>
      <c r="AS40" s="1262"/>
      <c r="AT40" s="1262"/>
      <c r="AU40" s="1262"/>
      <c r="AV40" s="1262"/>
      <c r="AW40" s="1262"/>
      <c r="AX40" s="1262"/>
      <c r="AY40" s="1255"/>
      <c r="AZ40" s="1263"/>
      <c r="BA40" s="126"/>
      <c r="BB40" s="1262"/>
      <c r="BC40" s="1269"/>
      <c r="BD40" s="126"/>
      <c r="BE40" s="1270"/>
      <c r="BF40" s="12"/>
      <c r="BG40" s="1271"/>
      <c r="BH40" s="12"/>
      <c r="BI40" s="1272"/>
      <c r="BJ40" s="112"/>
      <c r="BK40" s="122"/>
      <c r="BN40" s="124">
        <v>1910</v>
      </c>
      <c r="BO40" s="135"/>
      <c r="BP40" s="111"/>
      <c r="BQ40" s="135"/>
      <c r="BR40" s="111"/>
      <c r="BS40" s="111"/>
      <c r="BT40" s="112"/>
      <c r="BU40" s="111"/>
      <c r="BV40" s="1261"/>
      <c r="BW40" s="111"/>
      <c r="BX40" s="1400"/>
      <c r="BY40" s="1403"/>
      <c r="BZ40" s="111"/>
      <c r="CA40" s="135" t="s">
        <v>100</v>
      </c>
      <c r="CB40" s="111" t="s">
        <v>100</v>
      </c>
    </row>
    <row r="41" spans="1:80" x14ac:dyDescent="0.45">
      <c r="A41" s="10">
        <v>1911</v>
      </c>
      <c r="B41" s="1234">
        <f t="shared" si="1"/>
        <v>520</v>
      </c>
      <c r="C41" s="1259"/>
      <c r="D41" s="1260"/>
      <c r="E41" s="1261"/>
      <c r="F41" s="1261"/>
      <c r="G41" s="126"/>
      <c r="H41" s="1262"/>
      <c r="I41" s="1262"/>
      <c r="J41" s="1262"/>
      <c r="K41" s="1262"/>
      <c r="L41" s="1262"/>
      <c r="M41" s="1263"/>
      <c r="N41" s="1255"/>
      <c r="O41" s="1255"/>
      <c r="P41" s="126"/>
      <c r="Q41" s="1255">
        <f t="shared" si="2"/>
        <v>16705.06963444575</v>
      </c>
      <c r="R41" s="1260"/>
      <c r="S41" s="126"/>
      <c r="T41" s="1262"/>
      <c r="U41" s="126"/>
      <c r="V41" s="1255"/>
      <c r="W41" s="1264"/>
      <c r="X41" s="12"/>
      <c r="Y41" s="12"/>
      <c r="Z41" s="12"/>
      <c r="AA41" s="12"/>
      <c r="AB41" s="112">
        <f t="shared" si="0"/>
        <v>3906.5279999999998</v>
      </c>
      <c r="AC41" s="124"/>
      <c r="AD41" s="111"/>
      <c r="AF41" s="121">
        <v>1911</v>
      </c>
      <c r="AG41" s="1354">
        <v>520</v>
      </c>
      <c r="AH41" s="111">
        <f>119497425/1000*0.00477*29.307</f>
        <v>16705.06963444575</v>
      </c>
      <c r="AI41" s="1355">
        <f>3906528/1000</f>
        <v>3906.5279999999998</v>
      </c>
      <c r="AJ41" s="110"/>
      <c r="AK41" s="110"/>
      <c r="AL41" s="1268"/>
      <c r="AM41" s="1353"/>
      <c r="AN41" s="112"/>
      <c r="AO41" s="1262"/>
      <c r="AP41" s="1262"/>
      <c r="AQ41" s="1262"/>
      <c r="AR41" s="1262"/>
      <c r="AS41" s="1262"/>
      <c r="AT41" s="1262"/>
      <c r="AU41" s="1262"/>
      <c r="AV41" s="1262"/>
      <c r="AW41" s="1262"/>
      <c r="AX41" s="1262"/>
      <c r="AY41" s="1255"/>
      <c r="AZ41" s="1263"/>
      <c r="BA41" s="126"/>
      <c r="BB41" s="1262"/>
      <c r="BC41" s="1269"/>
      <c r="BD41" s="126"/>
      <c r="BE41" s="1270"/>
      <c r="BF41" s="12"/>
      <c r="BG41" s="1271"/>
      <c r="BH41" s="12"/>
      <c r="BI41" s="1272"/>
      <c r="BJ41" s="112"/>
      <c r="BK41" s="122"/>
      <c r="BN41" s="124">
        <v>1911</v>
      </c>
      <c r="BO41" s="135"/>
      <c r="BP41" s="111"/>
      <c r="BQ41" s="135"/>
      <c r="BR41" s="111"/>
      <c r="BS41" s="111"/>
      <c r="BT41" s="112"/>
      <c r="BU41" s="111"/>
      <c r="BV41" s="1261"/>
      <c r="BW41" s="111"/>
      <c r="BX41" s="1400"/>
      <c r="BY41" s="1403"/>
      <c r="BZ41" s="111"/>
      <c r="CA41" s="135" t="s">
        <v>100</v>
      </c>
      <c r="CB41" s="111" t="s">
        <v>100</v>
      </c>
    </row>
    <row r="42" spans="1:80" x14ac:dyDescent="0.45">
      <c r="A42" s="10">
        <v>1912</v>
      </c>
      <c r="B42" s="1234">
        <f t="shared" si="1"/>
        <v>520</v>
      </c>
      <c r="C42" s="1259"/>
      <c r="D42" s="1260"/>
      <c r="E42" s="1261"/>
      <c r="F42" s="1261"/>
      <c r="G42" s="126"/>
      <c r="H42" s="1262"/>
      <c r="I42" s="1262"/>
      <c r="J42" s="1262"/>
      <c r="K42" s="1262"/>
      <c r="L42" s="1262"/>
      <c r="M42" s="1263"/>
      <c r="N42" s="1255"/>
      <c r="O42" s="1255"/>
      <c r="P42" s="126"/>
      <c r="Q42" s="1255">
        <f t="shared" si="2"/>
        <v>17614.357770780269</v>
      </c>
      <c r="R42" s="1260"/>
      <c r="S42" s="126"/>
      <c r="T42" s="1262"/>
      <c r="U42" s="126"/>
      <c r="V42" s="1255"/>
      <c r="W42" s="1264"/>
      <c r="X42" s="12"/>
      <c r="Y42" s="12"/>
      <c r="Z42" s="12"/>
      <c r="AA42" s="12"/>
      <c r="AB42" s="112">
        <f t="shared" si="0"/>
        <v>4062.2890000000002</v>
      </c>
      <c r="AC42" s="124"/>
      <c r="AD42" s="111"/>
      <c r="AF42" s="121">
        <v>1912</v>
      </c>
      <c r="AG42" s="1354">
        <v>520</v>
      </c>
      <c r="AH42" s="111">
        <f>126001893/1000*0.00477*29.307</f>
        <v>17614.357770780269</v>
      </c>
      <c r="AI42" s="1355">
        <f>4062289/1000</f>
        <v>4062.2890000000002</v>
      </c>
      <c r="AJ42" s="110"/>
      <c r="AK42" s="110"/>
      <c r="AL42" s="1268"/>
      <c r="AM42" s="1353"/>
      <c r="AN42" s="112"/>
      <c r="AO42" s="1262"/>
      <c r="AP42" s="1262"/>
      <c r="AQ42" s="1262"/>
      <c r="AR42" s="1262"/>
      <c r="AS42" s="1262"/>
      <c r="AT42" s="1262"/>
      <c r="AU42" s="1262"/>
      <c r="AV42" s="1262"/>
      <c r="AW42" s="1262"/>
      <c r="AX42" s="1262"/>
      <c r="AY42" s="1255"/>
      <c r="AZ42" s="1263"/>
      <c r="BA42" s="126"/>
      <c r="BB42" s="1262"/>
      <c r="BC42" s="1269"/>
      <c r="BD42" s="126"/>
      <c r="BE42" s="1270"/>
      <c r="BF42" s="12"/>
      <c r="BG42" s="1271"/>
      <c r="BH42" s="12"/>
      <c r="BI42" s="1272"/>
      <c r="BJ42" s="112"/>
      <c r="BK42" s="122"/>
      <c r="BN42" s="124">
        <v>1912</v>
      </c>
      <c r="BO42" s="135"/>
      <c r="BP42" s="111"/>
      <c r="BQ42" s="135"/>
      <c r="BR42" s="111"/>
      <c r="BS42" s="111"/>
      <c r="BT42" s="112"/>
      <c r="BU42" s="111"/>
      <c r="BV42" s="1261"/>
      <c r="BW42" s="111"/>
      <c r="BX42" s="1400"/>
      <c r="BY42" s="1403"/>
      <c r="BZ42" s="111"/>
      <c r="CA42" s="135" t="s">
        <v>100</v>
      </c>
      <c r="CB42" s="111" t="s">
        <v>100</v>
      </c>
    </row>
    <row r="43" spans="1:80" x14ac:dyDescent="0.45">
      <c r="A43" s="10">
        <v>1913</v>
      </c>
      <c r="B43" s="1234">
        <f t="shared" si="1"/>
        <v>519</v>
      </c>
      <c r="C43" s="1259"/>
      <c r="D43" s="1260"/>
      <c r="E43" s="1261"/>
      <c r="F43" s="1261"/>
      <c r="G43" s="126"/>
      <c r="H43" s="1262"/>
      <c r="I43" s="1262"/>
      <c r="J43" s="1262"/>
      <c r="K43" s="1262"/>
      <c r="L43" s="1262"/>
      <c r="M43" s="1263"/>
      <c r="N43" s="1255"/>
      <c r="O43" s="1255"/>
      <c r="P43" s="126"/>
      <c r="Q43" s="1255">
        <f t="shared" si="2"/>
        <v>18197.762537333609</v>
      </c>
      <c r="R43" s="1260"/>
      <c r="S43" s="126"/>
      <c r="T43" s="1262"/>
      <c r="U43" s="126"/>
      <c r="V43" s="1255"/>
      <c r="W43" s="1264"/>
      <c r="X43" s="12"/>
      <c r="Y43" s="12"/>
      <c r="Z43" s="12"/>
      <c r="AA43" s="12"/>
      <c r="AB43" s="112">
        <f t="shared" si="0"/>
        <v>4214.8649999999998</v>
      </c>
      <c r="AC43" s="124"/>
      <c r="AD43" s="111"/>
      <c r="AF43" s="121">
        <v>1913</v>
      </c>
      <c r="AG43" s="1354">
        <v>519</v>
      </c>
      <c r="AH43" s="111">
        <f>130175199/1000*0.00477*29.307</f>
        <v>18197.762537333609</v>
      </c>
      <c r="AI43" s="1355">
        <f>4214865/1000</f>
        <v>4214.8649999999998</v>
      </c>
      <c r="AJ43" s="110"/>
      <c r="AK43" s="110"/>
      <c r="AL43" s="1268"/>
      <c r="AM43" s="1353"/>
      <c r="AN43" s="112"/>
      <c r="AO43" s="1262"/>
      <c r="AP43" s="1262"/>
      <c r="AQ43" s="1262"/>
      <c r="AR43" s="1262"/>
      <c r="AS43" s="1262"/>
      <c r="AT43" s="1262"/>
      <c r="AU43" s="1262"/>
      <c r="AV43" s="1262"/>
      <c r="AW43" s="1262"/>
      <c r="AX43" s="1262"/>
      <c r="AY43" s="1255"/>
      <c r="AZ43" s="1263"/>
      <c r="BA43" s="126"/>
      <c r="BB43" s="1262"/>
      <c r="BC43" s="1269"/>
      <c r="BD43" s="126"/>
      <c r="BE43" s="1270"/>
      <c r="BF43" s="12"/>
      <c r="BG43" s="1271"/>
      <c r="BH43" s="12"/>
      <c r="BI43" s="1272"/>
      <c r="BJ43" s="112"/>
      <c r="BK43" s="122"/>
      <c r="BN43" s="124">
        <v>1913</v>
      </c>
      <c r="BO43" s="135"/>
      <c r="BP43" s="111"/>
      <c r="BQ43" s="135"/>
      <c r="BR43" s="111"/>
      <c r="BS43" s="111"/>
      <c r="BT43" s="112"/>
      <c r="BU43" s="111"/>
      <c r="BV43" s="1261"/>
      <c r="BW43" s="111"/>
      <c r="BX43" s="1400"/>
      <c r="BY43" s="1403"/>
      <c r="BZ43" s="111"/>
      <c r="CA43" s="135" t="s">
        <v>100</v>
      </c>
      <c r="CB43" s="111" t="s">
        <v>100</v>
      </c>
    </row>
    <row r="44" spans="1:80" x14ac:dyDescent="0.45">
      <c r="A44" s="10">
        <v>1914</v>
      </c>
      <c r="B44" s="1234">
        <f t="shared" si="1"/>
        <v>518</v>
      </c>
      <c r="C44" s="1259"/>
      <c r="D44" s="1260"/>
      <c r="E44" s="1261"/>
      <c r="F44" s="1261"/>
      <c r="G44" s="126"/>
      <c r="H44" s="1262"/>
      <c r="I44" s="1262"/>
      <c r="J44" s="1262"/>
      <c r="K44" s="1262"/>
      <c r="L44" s="1262"/>
      <c r="M44" s="1263"/>
      <c r="N44" s="1255"/>
      <c r="O44" s="1255"/>
      <c r="P44" s="126"/>
      <c r="Q44" s="1255">
        <f t="shared" si="2"/>
        <v>18570.163608742412</v>
      </c>
      <c r="R44" s="1260"/>
      <c r="S44" s="126"/>
      <c r="T44" s="1262"/>
      <c r="U44" s="126"/>
      <c r="V44" s="1255"/>
      <c r="W44" s="1264"/>
      <c r="X44" s="12"/>
      <c r="Y44" s="12"/>
      <c r="Z44" s="12"/>
      <c r="AA44" s="12"/>
      <c r="AB44" s="112">
        <f t="shared" si="0"/>
        <v>4342.692</v>
      </c>
      <c r="AC44" s="124"/>
      <c r="AD44" s="111"/>
      <c r="AF44" s="121">
        <v>1914</v>
      </c>
      <c r="AG44" s="1354">
        <v>518</v>
      </c>
      <c r="AH44" s="111">
        <f>132839119/1000*0.00477*29.307</f>
        <v>18570.163608742412</v>
      </c>
      <c r="AI44" s="1355">
        <f>4342692/1000</f>
        <v>4342.692</v>
      </c>
      <c r="AJ44" s="110"/>
      <c r="AK44" s="110"/>
      <c r="AL44" s="1268"/>
      <c r="AM44" s="1353"/>
      <c r="AN44" s="112"/>
      <c r="AO44" s="1262"/>
      <c r="AP44" s="1262"/>
      <c r="AQ44" s="1262"/>
      <c r="AR44" s="1262"/>
      <c r="AS44" s="1262"/>
      <c r="AT44" s="1262"/>
      <c r="AU44" s="1262"/>
      <c r="AV44" s="1262"/>
      <c r="AW44" s="1262"/>
      <c r="AX44" s="1262"/>
      <c r="AY44" s="1255"/>
      <c r="AZ44" s="1263"/>
      <c r="BA44" s="126"/>
      <c r="BB44" s="1262"/>
      <c r="BC44" s="1269"/>
      <c r="BD44" s="126"/>
      <c r="BE44" s="1270"/>
      <c r="BF44" s="12"/>
      <c r="BG44" s="1271"/>
      <c r="BH44" s="12"/>
      <c r="BI44" s="1272"/>
      <c r="BJ44" s="112"/>
      <c r="BK44" s="122"/>
      <c r="BN44" s="124">
        <v>1914</v>
      </c>
      <c r="BO44" s="135"/>
      <c r="BP44" s="111"/>
      <c r="BQ44" s="135"/>
      <c r="BR44" s="111"/>
      <c r="BS44" s="111"/>
      <c r="BT44" s="112"/>
      <c r="BU44" s="111"/>
      <c r="BV44" s="1261"/>
      <c r="BW44" s="111"/>
      <c r="BX44" s="1400"/>
      <c r="BY44" s="1403"/>
      <c r="BZ44" s="111"/>
      <c r="CA44" s="135" t="s">
        <v>100</v>
      </c>
      <c r="CB44" s="111" t="s">
        <v>100</v>
      </c>
    </row>
    <row r="45" spans="1:80" x14ac:dyDescent="0.45">
      <c r="A45" s="10">
        <v>1915</v>
      </c>
      <c r="B45" s="1234"/>
      <c r="C45" s="1259"/>
      <c r="D45" s="1260"/>
      <c r="E45" s="1261"/>
      <c r="F45" s="1261"/>
      <c r="G45" s="126"/>
      <c r="H45" s="1262"/>
      <c r="I45" s="1262"/>
      <c r="J45" s="1262"/>
      <c r="K45" s="1262"/>
      <c r="L45" s="1262"/>
      <c r="M45" s="1263"/>
      <c r="N45" s="1255"/>
      <c r="O45" s="1255"/>
      <c r="P45" s="126"/>
      <c r="Q45" s="1255"/>
      <c r="R45" s="1260"/>
      <c r="S45" s="126"/>
      <c r="T45" s="1262"/>
      <c r="U45" s="126"/>
      <c r="V45" s="1255"/>
      <c r="W45" s="1264"/>
      <c r="X45" s="12"/>
      <c r="Y45" s="12"/>
      <c r="Z45" s="12"/>
      <c r="AA45" s="12"/>
      <c r="AB45" s="112"/>
      <c r="AC45" s="124"/>
      <c r="AD45" s="111"/>
      <c r="AF45" s="121">
        <v>1915</v>
      </c>
      <c r="AG45" s="1354"/>
      <c r="AH45" s="1284"/>
      <c r="AI45" s="1355"/>
      <c r="AJ45" s="110"/>
      <c r="AK45" s="110"/>
      <c r="AL45" s="1268"/>
      <c r="AM45" s="1353"/>
      <c r="AN45" s="112"/>
      <c r="AO45" s="1262"/>
      <c r="AP45" s="1262"/>
      <c r="AQ45" s="1262"/>
      <c r="AR45" s="1262"/>
      <c r="AS45" s="1262"/>
      <c r="AT45" s="1262"/>
      <c r="AU45" s="1262"/>
      <c r="AV45" s="1262"/>
      <c r="AW45" s="1262"/>
      <c r="AX45" s="1262"/>
      <c r="AY45" s="1255"/>
      <c r="AZ45" s="1263"/>
      <c r="BA45" s="126"/>
      <c r="BB45" s="1262"/>
      <c r="BC45" s="1269"/>
      <c r="BD45" s="126"/>
      <c r="BE45" s="1270"/>
      <c r="BF45" s="12"/>
      <c r="BG45" s="1271"/>
      <c r="BH45" s="12"/>
      <c r="BI45" s="1272"/>
      <c r="BJ45" s="112"/>
      <c r="BK45" s="122"/>
      <c r="BN45" s="124">
        <v>1915</v>
      </c>
      <c r="BO45" s="135"/>
      <c r="BP45" s="111"/>
      <c r="BQ45" s="135"/>
      <c r="BR45" s="111"/>
      <c r="BS45" s="111"/>
      <c r="BT45" s="112"/>
      <c r="BU45" s="111"/>
      <c r="BV45" s="1261"/>
      <c r="BW45" s="111"/>
      <c r="BX45" s="1400"/>
      <c r="BY45" s="1403"/>
      <c r="BZ45" s="111"/>
      <c r="CA45" s="135" t="s">
        <v>100</v>
      </c>
      <c r="CB45" s="111" t="s">
        <v>100</v>
      </c>
    </row>
    <row r="46" spans="1:80" x14ac:dyDescent="0.45">
      <c r="A46" s="10">
        <v>1916</v>
      </c>
      <c r="B46" s="1234"/>
      <c r="C46" s="1259"/>
      <c r="D46" s="1260"/>
      <c r="E46" s="1261"/>
      <c r="F46" s="1261"/>
      <c r="G46" s="126"/>
      <c r="H46" s="1262"/>
      <c r="I46" s="1262"/>
      <c r="J46" s="1262"/>
      <c r="K46" s="1262"/>
      <c r="L46" s="1262"/>
      <c r="M46" s="1263"/>
      <c r="N46" s="1255"/>
      <c r="O46" s="1255"/>
      <c r="P46" s="126"/>
      <c r="Q46" s="1255"/>
      <c r="R46" s="1260"/>
      <c r="S46" s="126"/>
      <c r="T46" s="1262"/>
      <c r="U46" s="126"/>
      <c r="V46" s="1255"/>
      <c r="W46" s="1264"/>
      <c r="X46" s="12"/>
      <c r="Y46" s="12"/>
      <c r="Z46" s="12"/>
      <c r="AA46" s="12"/>
      <c r="AB46" s="112"/>
      <c r="AC46" s="124"/>
      <c r="AD46" s="111"/>
      <c r="AF46" s="121">
        <v>1916</v>
      </c>
      <c r="AG46" s="1354"/>
      <c r="AH46" s="111"/>
      <c r="AI46" s="1355"/>
      <c r="AJ46" s="110"/>
      <c r="AK46" s="110"/>
      <c r="AL46" s="1268"/>
      <c r="AM46" s="1353"/>
      <c r="AN46" s="112"/>
      <c r="AO46" s="1262"/>
      <c r="AP46" s="1262"/>
      <c r="AQ46" s="1262"/>
      <c r="AR46" s="1262"/>
      <c r="AS46" s="1262"/>
      <c r="AT46" s="1262"/>
      <c r="AU46" s="1262"/>
      <c r="AV46" s="1262"/>
      <c r="AW46" s="1262"/>
      <c r="AX46" s="1262"/>
      <c r="AY46" s="1255"/>
      <c r="AZ46" s="1263"/>
      <c r="BA46" s="126"/>
      <c r="BB46" s="1262"/>
      <c r="BC46" s="1269"/>
      <c r="BD46" s="126"/>
      <c r="BE46" s="1270"/>
      <c r="BF46" s="12"/>
      <c r="BG46" s="1271"/>
      <c r="BH46" s="12"/>
      <c r="BI46" s="1272"/>
      <c r="BJ46" s="112"/>
      <c r="BK46" s="122"/>
      <c r="BN46" s="124">
        <v>1916</v>
      </c>
      <c r="BO46" s="135"/>
      <c r="BP46" s="111"/>
      <c r="BQ46" s="135"/>
      <c r="BR46" s="111"/>
      <c r="BS46" s="111"/>
      <c r="BT46" s="112"/>
      <c r="BU46" s="111"/>
      <c r="BV46" s="1261"/>
      <c r="BW46" s="111"/>
      <c r="BX46" s="1400"/>
      <c r="BY46" s="1403"/>
      <c r="BZ46" s="111"/>
      <c r="CA46" s="135" t="s">
        <v>100</v>
      </c>
      <c r="CB46" s="111" t="s">
        <v>100</v>
      </c>
    </row>
    <row r="47" spans="1:80" x14ac:dyDescent="0.45">
      <c r="A47" s="10">
        <v>1917</v>
      </c>
      <c r="B47" s="1234"/>
      <c r="C47" s="1259"/>
      <c r="D47" s="1260"/>
      <c r="E47" s="1261"/>
      <c r="F47" s="1261"/>
      <c r="G47" s="126"/>
      <c r="H47" s="1262"/>
      <c r="I47" s="1262"/>
      <c r="J47" s="1262"/>
      <c r="K47" s="1262"/>
      <c r="L47" s="1262"/>
      <c r="M47" s="1263"/>
      <c r="N47" s="1255"/>
      <c r="O47" s="1255"/>
      <c r="P47" s="126"/>
      <c r="Q47" s="1255"/>
      <c r="R47" s="1260"/>
      <c r="S47" s="126"/>
      <c r="T47" s="1262"/>
      <c r="U47" s="126"/>
      <c r="V47" s="1255"/>
      <c r="W47" s="1264"/>
      <c r="X47" s="12"/>
      <c r="Y47" s="12"/>
      <c r="Z47" s="12"/>
      <c r="AA47" s="12"/>
      <c r="AB47" s="112"/>
      <c r="AC47" s="124"/>
      <c r="AD47" s="111"/>
      <c r="AF47" s="121">
        <v>1917</v>
      </c>
      <c r="AG47" s="1354"/>
      <c r="AH47" s="111"/>
      <c r="AI47" s="1355"/>
      <c r="AJ47" s="110"/>
      <c r="AK47" s="110"/>
      <c r="AL47" s="1268"/>
      <c r="AM47" s="1353"/>
      <c r="AN47" s="112"/>
      <c r="AO47" s="1262"/>
      <c r="AP47" s="1262"/>
      <c r="AQ47" s="1262"/>
      <c r="AR47" s="1262"/>
      <c r="AS47" s="1262"/>
      <c r="AT47" s="1262"/>
      <c r="AU47" s="1262"/>
      <c r="AV47" s="1262"/>
      <c r="AW47" s="1262"/>
      <c r="AX47" s="1262"/>
      <c r="AY47" s="1255"/>
      <c r="AZ47" s="1263"/>
      <c r="BA47" s="126"/>
      <c r="BB47" s="1262"/>
      <c r="BC47" s="1269"/>
      <c r="BD47" s="126"/>
      <c r="BE47" s="1270"/>
      <c r="BF47" s="12"/>
      <c r="BG47" s="1271"/>
      <c r="BH47" s="12"/>
      <c r="BI47" s="1272"/>
      <c r="BJ47" s="112"/>
      <c r="BK47" s="122"/>
      <c r="BN47" s="124">
        <v>1917</v>
      </c>
      <c r="BO47" s="135"/>
      <c r="BP47" s="111"/>
      <c r="BQ47" s="135"/>
      <c r="BR47" s="111"/>
      <c r="BS47" s="111"/>
      <c r="BT47" s="112"/>
      <c r="BU47" s="111"/>
      <c r="BV47" s="1261"/>
      <c r="BW47" s="111"/>
      <c r="BX47" s="1400"/>
      <c r="BY47" s="1403"/>
      <c r="BZ47" s="111"/>
      <c r="CA47" s="135" t="s">
        <v>100</v>
      </c>
      <c r="CB47" s="111" t="s">
        <v>100</v>
      </c>
    </row>
    <row r="48" spans="1:80" x14ac:dyDescent="0.45">
      <c r="A48" s="10">
        <v>1918</v>
      </c>
      <c r="B48" s="1234"/>
      <c r="C48" s="1259"/>
      <c r="D48" s="1260"/>
      <c r="E48" s="1261"/>
      <c r="F48" s="1261"/>
      <c r="G48" s="126"/>
      <c r="H48" s="1262"/>
      <c r="I48" s="1262"/>
      <c r="J48" s="1262"/>
      <c r="K48" s="1262"/>
      <c r="L48" s="1262"/>
      <c r="M48" s="1263"/>
      <c r="N48" s="1255"/>
      <c r="O48" s="1255"/>
      <c r="P48" s="126"/>
      <c r="Q48" s="1255"/>
      <c r="R48" s="1260"/>
      <c r="S48" s="126"/>
      <c r="T48" s="1262"/>
      <c r="U48" s="126"/>
      <c r="V48" s="1255"/>
      <c r="W48" s="1264"/>
      <c r="X48" s="12"/>
      <c r="Y48" s="12"/>
      <c r="Z48" s="12"/>
      <c r="AA48" s="12"/>
      <c r="AB48" s="112"/>
      <c r="AC48" s="124"/>
      <c r="AD48" s="111"/>
      <c r="AF48" s="121">
        <v>1918</v>
      </c>
      <c r="AG48" s="1354"/>
      <c r="AH48" s="111"/>
      <c r="AI48" s="1355"/>
      <c r="AJ48" s="110"/>
      <c r="AK48" s="110"/>
      <c r="AL48" s="1268"/>
      <c r="AM48" s="1353"/>
      <c r="AN48" s="112"/>
      <c r="AO48" s="1262"/>
      <c r="AP48" s="1262"/>
      <c r="AQ48" s="1262"/>
      <c r="AR48" s="1262"/>
      <c r="AS48" s="1262"/>
      <c r="AT48" s="1262"/>
      <c r="AU48" s="1262"/>
      <c r="AV48" s="1262"/>
      <c r="AW48" s="1262"/>
      <c r="AX48" s="1262"/>
      <c r="AY48" s="1255"/>
      <c r="AZ48" s="1263"/>
      <c r="BA48" s="126"/>
      <c r="BB48" s="1262"/>
      <c r="BC48" s="1269"/>
      <c r="BD48" s="126"/>
      <c r="BE48" s="1270"/>
      <c r="BF48" s="12"/>
      <c r="BG48" s="1271"/>
      <c r="BH48" s="12"/>
      <c r="BI48" s="1272"/>
      <c r="BJ48" s="112"/>
      <c r="BK48" s="122"/>
      <c r="BN48" s="124">
        <v>1918</v>
      </c>
      <c r="BO48" s="135"/>
      <c r="BP48" s="111"/>
      <c r="BQ48" s="135"/>
      <c r="BR48" s="111"/>
      <c r="BS48" s="111"/>
      <c r="BT48" s="112"/>
      <c r="BU48" s="111"/>
      <c r="BV48" s="1261"/>
      <c r="BW48" s="111"/>
      <c r="BX48" s="1400"/>
      <c r="BY48" s="1403"/>
      <c r="BZ48" s="111"/>
      <c r="CA48" s="135" t="s">
        <v>100</v>
      </c>
      <c r="CB48" s="111" t="s">
        <v>100</v>
      </c>
    </row>
    <row r="49" spans="1:80" x14ac:dyDescent="0.45">
      <c r="A49" s="10">
        <v>1919</v>
      </c>
      <c r="B49" s="1234">
        <f t="shared" si="1"/>
        <v>505</v>
      </c>
      <c r="C49" s="1259"/>
      <c r="D49" s="1258"/>
      <c r="E49" s="111"/>
      <c r="F49" s="111"/>
      <c r="G49" s="112"/>
      <c r="H49" s="133"/>
      <c r="I49" s="133"/>
      <c r="J49" s="133"/>
      <c r="K49" s="133"/>
      <c r="L49" s="133"/>
      <c r="M49" s="1259"/>
      <c r="N49" s="1278"/>
      <c r="O49" s="1278"/>
      <c r="P49" s="112"/>
      <c r="Q49" s="1278">
        <f>AH49</f>
        <v>20393.267542114769</v>
      </c>
      <c r="R49" s="1258"/>
      <c r="S49" s="112"/>
      <c r="T49" s="1278"/>
      <c r="U49" s="112" t="s">
        <v>100</v>
      </c>
      <c r="V49" s="1278" t="s">
        <v>100</v>
      </c>
      <c r="W49" s="134"/>
      <c r="X49" s="1278"/>
      <c r="Y49" s="134"/>
      <c r="Z49" s="112"/>
      <c r="AA49" s="1258"/>
      <c r="AB49" s="112">
        <f>AI49</f>
        <v>4510.5950000000003</v>
      </c>
      <c r="AC49" s="111"/>
      <c r="AD49" s="111"/>
      <c r="AF49" s="121">
        <v>1919</v>
      </c>
      <c r="AG49" s="1354">
        <v>505</v>
      </c>
      <c r="AH49" s="111">
        <f>145880443/1000*0.00477*29.307</f>
        <v>20393.267542114769</v>
      </c>
      <c r="AI49" s="1355">
        <f>4510595/1000</f>
        <v>4510.5950000000003</v>
      </c>
      <c r="AJ49" s="112"/>
      <c r="AK49" s="112"/>
      <c r="AL49" s="1268"/>
      <c r="AM49" s="1247"/>
      <c r="AN49" s="133"/>
      <c r="AO49" s="133"/>
      <c r="AP49" s="133"/>
      <c r="AQ49" s="133"/>
      <c r="AR49" s="133"/>
      <c r="AS49" s="133"/>
      <c r="AT49" s="133"/>
      <c r="AU49" s="133"/>
      <c r="AV49" s="133"/>
      <c r="AW49" s="133"/>
      <c r="AX49" s="133"/>
      <c r="AY49" s="1278"/>
      <c r="AZ49" s="1278"/>
      <c r="BA49" s="112"/>
      <c r="BB49" s="1278"/>
      <c r="BC49" s="1278"/>
      <c r="BD49" s="112" t="s">
        <v>100</v>
      </c>
      <c r="BE49" s="1278"/>
      <c r="BF49" s="112"/>
      <c r="BG49" s="133"/>
      <c r="BH49" s="112"/>
      <c r="BI49" s="1279"/>
      <c r="BJ49" s="112"/>
      <c r="BK49" s="122"/>
      <c r="BN49" s="124">
        <v>1919</v>
      </c>
      <c r="BO49" s="135"/>
      <c r="BP49" s="111"/>
      <c r="BQ49" s="135"/>
      <c r="BR49" s="111"/>
      <c r="BS49" s="111"/>
      <c r="BT49" s="112"/>
      <c r="BU49" s="111"/>
      <c r="BV49" s="1261"/>
      <c r="BW49" s="111"/>
      <c r="BX49" s="1400"/>
      <c r="BY49" s="1403"/>
      <c r="BZ49" s="111"/>
      <c r="CA49" s="135" t="s">
        <v>100</v>
      </c>
      <c r="CB49" s="111" t="s">
        <v>100</v>
      </c>
    </row>
    <row r="50" spans="1:80" ht="14.65" thickBot="1" x14ac:dyDescent="0.5">
      <c r="A50" s="10">
        <v>1920</v>
      </c>
      <c r="B50" s="1280">
        <v>798</v>
      </c>
      <c r="C50" s="1258">
        <f>6928745/1000*0.00477*29.307</f>
        <v>968.59968074054996</v>
      </c>
      <c r="D50" s="111">
        <f>77911168/1000*0.00477*29.307</f>
        <v>10891.544204747521</v>
      </c>
      <c r="E50" s="1281">
        <f t="shared" ref="E50:E72" si="3">($E$73-$D$73)*N50/$N$73</f>
        <v>7874.8380618865167</v>
      </c>
      <c r="F50" s="111"/>
      <c r="G50" s="112"/>
      <c r="H50" s="112"/>
      <c r="I50" s="112"/>
      <c r="J50" s="112"/>
      <c r="K50" s="112"/>
      <c r="L50" s="1282">
        <f>O50-C50-D50-E50</f>
        <v>13173.036841795412</v>
      </c>
      <c r="M50" s="1258"/>
      <c r="N50" s="111">
        <f>150562911/1000*0.00477*29.307</f>
        <v>21047.850299869289</v>
      </c>
      <c r="O50" s="111">
        <f>235403*0.00477*29.307</f>
        <v>32908.018789169997</v>
      </c>
      <c r="P50" s="112"/>
      <c r="Q50" s="1261">
        <f>235403*0.00477*29.307</f>
        <v>32908.018789169997</v>
      </c>
      <c r="R50" s="1258"/>
      <c r="S50" s="112"/>
      <c r="T50" s="111"/>
      <c r="U50" s="112" t="s">
        <v>100</v>
      </c>
      <c r="V50" s="111" t="s">
        <v>100</v>
      </c>
      <c r="W50" s="134">
        <f>4030647/1000</f>
        <v>4030.6469999999999</v>
      </c>
      <c r="X50" s="1283">
        <f>($X$73-$W$73)*AC50/$AC$73</f>
        <v>2960.9843780047004</v>
      </c>
      <c r="Y50" s="134"/>
      <c r="Z50" s="1281">
        <f>AB50-W50-X50</f>
        <v>456.70062199530003</v>
      </c>
      <c r="AA50" s="1258"/>
      <c r="AB50" s="126">
        <f>7448332/1000</f>
        <v>7448.3320000000003</v>
      </c>
      <c r="AC50" s="111">
        <f>3417685/1000</f>
        <v>3417.6849999999999</v>
      </c>
      <c r="AD50" s="113">
        <v>1920</v>
      </c>
      <c r="AF50" s="123">
        <v>1920</v>
      </c>
      <c r="AG50" s="1356">
        <v>798</v>
      </c>
      <c r="AH50" s="1311">
        <f>235403*0.00477*29.307</f>
        <v>32908.018789169997</v>
      </c>
      <c r="AI50" s="1357">
        <f>7448332/1000</f>
        <v>7448.3320000000003</v>
      </c>
      <c r="AJ50" s="114"/>
      <c r="AK50" s="114"/>
      <c r="AL50" s="1268"/>
      <c r="AM50" s="1284"/>
      <c r="AN50" s="122"/>
      <c r="AO50" s="122"/>
      <c r="AP50" s="122"/>
      <c r="AQ50" s="122"/>
      <c r="AR50" s="122"/>
      <c r="AS50" s="122"/>
      <c r="AT50" s="122"/>
      <c r="AU50" s="122"/>
      <c r="AV50" s="122"/>
      <c r="AW50" s="122"/>
      <c r="AX50" s="122"/>
      <c r="AY50" s="1284"/>
      <c r="AZ50" s="1284"/>
      <c r="BA50" s="122"/>
      <c r="BB50" s="1284"/>
      <c r="BC50" s="1284"/>
      <c r="BD50" s="122"/>
      <c r="BE50" s="1284"/>
      <c r="BF50" s="122"/>
      <c r="BG50" s="122"/>
      <c r="BH50" s="122"/>
      <c r="BI50" s="1285"/>
      <c r="BN50" s="124">
        <v>1920</v>
      </c>
      <c r="BO50" s="135"/>
      <c r="BP50" s="111"/>
      <c r="BQ50" s="135"/>
      <c r="BR50" s="111"/>
      <c r="BS50" s="111"/>
      <c r="BT50" s="112"/>
      <c r="BU50" s="111"/>
      <c r="BV50" s="1261"/>
      <c r="BW50" s="111">
        <f>300/1000*29.307*17566</f>
        <v>154442.02859999999</v>
      </c>
      <c r="BX50" s="1400" t="s">
        <v>100</v>
      </c>
      <c r="BY50" s="1403"/>
      <c r="BZ50" s="111" t="s">
        <v>100</v>
      </c>
      <c r="CA50" s="135" t="s">
        <v>100</v>
      </c>
      <c r="CB50" s="111" t="s">
        <v>100</v>
      </c>
    </row>
    <row r="51" spans="1:80" x14ac:dyDescent="0.45">
      <c r="A51" s="10">
        <v>1921</v>
      </c>
      <c r="B51" s="1280">
        <v>797</v>
      </c>
      <c r="C51" s="1258">
        <f>7023*0.00477*29.307</f>
        <v>981.77600096999993</v>
      </c>
      <c r="D51" s="111">
        <f>80286*0.00477*29.307</f>
        <v>11223.53239554</v>
      </c>
      <c r="E51" s="1281">
        <f t="shared" si="3"/>
        <v>7414.8409787157188</v>
      </c>
      <c r="F51" s="111"/>
      <c r="G51" s="112"/>
      <c r="H51" s="112"/>
      <c r="I51" s="112"/>
      <c r="J51" s="112"/>
      <c r="K51" s="112"/>
      <c r="L51" s="1282">
        <f t="shared" ref="L51:L72" si="4">O51-C51-D51-E51</f>
        <v>12403.530102804285</v>
      </c>
      <c r="M51" s="1258"/>
      <c r="N51" s="111">
        <f>141768*0.00477*29.307</f>
        <v>19818.371081519999</v>
      </c>
      <c r="O51" s="111">
        <f>229077*0.00477*29.307</f>
        <v>32023.679478030001</v>
      </c>
      <c r="P51" s="112"/>
      <c r="Q51" s="1261">
        <f>229077*0.00477*29.307</f>
        <v>32023.679478030001</v>
      </c>
      <c r="R51" s="1258"/>
      <c r="S51" s="112"/>
      <c r="T51" s="111"/>
      <c r="U51" s="112" t="s">
        <v>100</v>
      </c>
      <c r="V51" s="111" t="s">
        <v>100</v>
      </c>
      <c r="W51" s="134">
        <v>4071</v>
      </c>
      <c r="X51" s="1283">
        <f t="shared" ref="X51:X72" si="5">($X$73-$W$73)*AC51/$AC$73</f>
        <v>3021.903279699678</v>
      </c>
      <c r="Y51" s="134"/>
      <c r="Z51" s="1281">
        <f t="shared" ref="Z51:Z72" si="6">AB51-W51-X51</f>
        <v>466.09672030032198</v>
      </c>
      <c r="AA51" s="1258"/>
      <c r="AB51" s="126">
        <v>7559</v>
      </c>
      <c r="AC51" s="111">
        <v>3488</v>
      </c>
      <c r="AD51" s="113">
        <v>1921</v>
      </c>
      <c r="AJ51" s="114"/>
      <c r="AK51" s="114"/>
      <c r="AL51" s="1268" t="s">
        <v>232</v>
      </c>
      <c r="AM51" s="1286">
        <f>AVERAGE(AG12:AG21)</f>
        <v>383.3</v>
      </c>
      <c r="AN51" s="122"/>
      <c r="AO51" s="122"/>
      <c r="AP51" s="122"/>
      <c r="AQ51" s="122"/>
      <c r="AR51" s="122"/>
      <c r="AS51" s="122"/>
      <c r="AT51" s="122"/>
      <c r="AU51" s="122"/>
      <c r="AV51" s="122"/>
      <c r="AW51" s="1287">
        <f>AY51</f>
        <v>7692.9922383877883</v>
      </c>
      <c r="AX51" s="122"/>
      <c r="AY51" s="1286">
        <f>AVERAGE(AH12:AH21)</f>
        <v>7692.9922383877883</v>
      </c>
      <c r="AZ51" s="1284"/>
      <c r="BA51" s="122"/>
      <c r="BB51" s="1284"/>
      <c r="BC51" s="1284"/>
      <c r="BD51" s="122"/>
      <c r="BE51" s="1284"/>
      <c r="BF51" s="122"/>
      <c r="BG51" s="122"/>
      <c r="BH51" s="122"/>
      <c r="BI51" s="1288">
        <f>AVERAGE(AI12:AI21)</f>
        <v>1121.6592000000001</v>
      </c>
      <c r="BN51" s="124">
        <v>1921</v>
      </c>
      <c r="BO51" s="135"/>
      <c r="BP51" s="111"/>
      <c r="BQ51" s="135"/>
      <c r="BR51" s="111"/>
      <c r="BS51" s="111"/>
      <c r="BT51" s="112"/>
      <c r="BU51" s="111"/>
      <c r="BV51" s="1261"/>
      <c r="BW51" s="111">
        <f>300/1000*29.307*15776</f>
        <v>138704.16959999999</v>
      </c>
      <c r="BX51" s="1400">
        <f>270/1000*29.307*1254</f>
        <v>9922.7640599999995</v>
      </c>
      <c r="BY51" s="1403"/>
      <c r="BZ51" s="111">
        <f>460/1000*29.307*196</f>
        <v>2642.3191200000001</v>
      </c>
      <c r="CA51" s="135" t="s">
        <v>100</v>
      </c>
      <c r="CB51" s="111" t="s">
        <v>100</v>
      </c>
    </row>
    <row r="52" spans="1:80" x14ac:dyDescent="0.45">
      <c r="A52" s="10">
        <v>1922</v>
      </c>
      <c r="B52" s="1280">
        <v>796</v>
      </c>
      <c r="C52" s="1258">
        <f>8204*0.00477*29.307</f>
        <v>1146.8731755599999</v>
      </c>
      <c r="D52" s="111">
        <f>78224*0.00477*29.307</f>
        <v>10935.276363359999</v>
      </c>
      <c r="E52" s="1281">
        <f t="shared" si="3"/>
        <v>7645.3387228695492</v>
      </c>
      <c r="F52" s="111"/>
      <c r="G52" s="112"/>
      <c r="H52" s="112"/>
      <c r="I52" s="112"/>
      <c r="J52" s="112"/>
      <c r="K52" s="112"/>
      <c r="L52" s="1282">
        <f t="shared" si="4"/>
        <v>12789.106235380452</v>
      </c>
      <c r="M52" s="1258"/>
      <c r="N52" s="111">
        <f>146175*0.00477*29.307</f>
        <v>20434.444958249998</v>
      </c>
      <c r="O52" s="111">
        <f>232603*0.00477*29.307</f>
        <v>32516.594497169997</v>
      </c>
      <c r="P52" s="112"/>
      <c r="Q52" s="1261">
        <f>232603*0.00477*29.307</f>
        <v>32516.594497169997</v>
      </c>
      <c r="R52" s="1258"/>
      <c r="S52" s="112"/>
      <c r="T52" s="111"/>
      <c r="U52" s="112" t="s">
        <v>100</v>
      </c>
      <c r="V52" s="111" t="s">
        <v>100</v>
      </c>
      <c r="W52" s="134">
        <v>4137</v>
      </c>
      <c r="X52" s="1283">
        <f t="shared" si="5"/>
        <v>3062.6227332965486</v>
      </c>
      <c r="Y52" s="134"/>
      <c r="Z52" s="1281">
        <f t="shared" si="6"/>
        <v>472.37726670345137</v>
      </c>
      <c r="AA52" s="1258"/>
      <c r="AB52" s="126">
        <v>7672</v>
      </c>
      <c r="AC52" s="111">
        <v>3535</v>
      </c>
      <c r="AD52" s="113">
        <v>1922</v>
      </c>
      <c r="AJ52" s="114"/>
      <c r="AK52" s="114"/>
      <c r="AL52" s="1268" t="s">
        <v>233</v>
      </c>
      <c r="AM52" s="1286">
        <f>AVERAGE(AG22:AG31)</f>
        <v>437.9</v>
      </c>
      <c r="AN52" s="122"/>
      <c r="AO52" s="122"/>
      <c r="AP52" s="122"/>
      <c r="AQ52" s="122"/>
      <c r="AR52" s="122"/>
      <c r="AS52" s="122"/>
      <c r="AT52" s="122"/>
      <c r="AU52" s="122"/>
      <c r="AV52" s="122"/>
      <c r="AW52" s="1287">
        <f>AY52</f>
        <v>10679.413375395286</v>
      </c>
      <c r="AX52" s="122"/>
      <c r="AY52" s="1286">
        <f>AVERAGE(AH22:AH31)</f>
        <v>10679.413375395286</v>
      </c>
      <c r="AZ52" s="1284"/>
      <c r="BA52" s="122"/>
      <c r="BB52" s="1284"/>
      <c r="BC52" s="1284"/>
      <c r="BD52" s="122"/>
      <c r="BE52" s="1284"/>
      <c r="BF52" s="122"/>
      <c r="BG52" s="122"/>
      <c r="BH52" s="122"/>
      <c r="BI52" s="1288">
        <f>AVERAGE(AI22:AI31)</f>
        <v>1551.6808999999998</v>
      </c>
      <c r="BN52" s="124">
        <v>1922</v>
      </c>
      <c r="BO52" s="135"/>
      <c r="BP52" s="111"/>
      <c r="BQ52" s="135"/>
      <c r="BR52" s="111"/>
      <c r="BS52" s="111"/>
      <c r="BT52" s="112"/>
      <c r="BU52" s="111"/>
      <c r="BV52" s="1261"/>
      <c r="BW52" s="111">
        <f>300/1000*29.307*15907</f>
        <v>139855.93469999998</v>
      </c>
      <c r="BX52" s="1400">
        <f>270/1000*29.307*1058</f>
        <v>8371.8376200000002</v>
      </c>
      <c r="BY52" s="1403"/>
      <c r="BZ52" s="111">
        <f>460/1000*29.307*174.8</f>
        <v>2356.5172560000001</v>
      </c>
      <c r="CA52" s="135" t="s">
        <v>100</v>
      </c>
      <c r="CB52" s="111" t="s">
        <v>100</v>
      </c>
    </row>
    <row r="53" spans="1:80" x14ac:dyDescent="0.45">
      <c r="A53" s="10">
        <v>1923</v>
      </c>
      <c r="B53" s="1280">
        <v>790</v>
      </c>
      <c r="C53" s="1258">
        <f>8966*0.00477*29.307</f>
        <v>1253.39650074</v>
      </c>
      <c r="D53" s="111">
        <f>82404*0.00477*29.307</f>
        <v>11519.616913559999</v>
      </c>
      <c r="E53" s="1281">
        <f t="shared" si="3"/>
        <v>7858.8381083099684</v>
      </c>
      <c r="F53" s="111"/>
      <c r="G53" s="112"/>
      <c r="H53" s="112"/>
      <c r="I53" s="112"/>
      <c r="J53" s="112"/>
      <c r="K53" s="112"/>
      <c r="L53" s="1282">
        <f t="shared" si="4"/>
        <v>13146.247549920032</v>
      </c>
      <c r="M53" s="1258"/>
      <c r="N53" s="111">
        <f>150257*0.00477*29.307</f>
        <v>21005.085658229997</v>
      </c>
      <c r="O53" s="111">
        <f>241627*0.00477*29.307</f>
        <v>33778.09907253</v>
      </c>
      <c r="P53" s="112"/>
      <c r="Q53" s="1261">
        <f>241627*0.00477*29.307</f>
        <v>33778.09907253</v>
      </c>
      <c r="R53" s="1258"/>
      <c r="S53" s="112"/>
      <c r="T53" s="111"/>
      <c r="U53" s="112" t="s">
        <v>100</v>
      </c>
      <c r="V53" s="111" t="s">
        <v>100</v>
      </c>
      <c r="W53" s="134">
        <v>4231</v>
      </c>
      <c r="X53" s="1283">
        <f t="shared" si="5"/>
        <v>3100.7430728340446</v>
      </c>
      <c r="Y53" s="134"/>
      <c r="Z53" s="1281">
        <f t="shared" si="6"/>
        <v>478.2569271659554</v>
      </c>
      <c r="AA53" s="1258"/>
      <c r="AB53" s="126">
        <v>7810</v>
      </c>
      <c r="AC53" s="111">
        <v>3579</v>
      </c>
      <c r="AD53" s="113">
        <v>1923</v>
      </c>
      <c r="AJ53" s="114"/>
      <c r="AK53" s="114"/>
      <c r="AL53" s="1268" t="s">
        <v>234</v>
      </c>
      <c r="AM53" s="1286">
        <f>AVERAGE(AG32:AG41)</f>
        <v>488.1</v>
      </c>
      <c r="AN53" s="122"/>
      <c r="AO53" s="122"/>
      <c r="AP53" s="122"/>
      <c r="AQ53" s="122"/>
      <c r="AR53" s="122"/>
      <c r="AS53" s="122"/>
      <c r="AT53" s="122"/>
      <c r="AU53" s="122"/>
      <c r="AV53" s="122"/>
      <c r="AW53" s="1287">
        <f>AY53</f>
        <v>14733.37533621908</v>
      </c>
      <c r="AX53" s="122"/>
      <c r="AY53" s="1286">
        <f>AVERAGE(AH32:AH41)</f>
        <v>14733.37533621908</v>
      </c>
      <c r="AZ53" s="1284"/>
      <c r="BA53" s="122"/>
      <c r="BB53" s="1284"/>
      <c r="BC53" s="1284"/>
      <c r="BD53" s="122"/>
      <c r="BE53" s="1284"/>
      <c r="BF53" s="122"/>
      <c r="BG53" s="122"/>
      <c r="BH53" s="122"/>
      <c r="BI53" s="1288">
        <f>AVERAGE(AI32:AI41)</f>
        <v>3087.1239999999998</v>
      </c>
      <c r="BN53" s="124">
        <v>1923</v>
      </c>
      <c r="BO53" s="135"/>
      <c r="BP53" s="111"/>
      <c r="BQ53" s="135"/>
      <c r="BR53" s="111"/>
      <c r="BS53" s="111"/>
      <c r="BT53" s="112"/>
      <c r="BU53" s="111"/>
      <c r="BV53" s="1261"/>
      <c r="BW53" s="111">
        <f>300/1000*29.307*16461</f>
        <v>144726.75810000001</v>
      </c>
      <c r="BX53" s="1400">
        <f>270/1000*29.307*907</f>
        <v>7176.9912299999996</v>
      </c>
      <c r="BY53" s="1403"/>
      <c r="BZ53" s="111">
        <f>460/1000*29.307*162</f>
        <v>2183.9576400000001</v>
      </c>
      <c r="CA53" s="135" t="s">
        <v>100</v>
      </c>
      <c r="CB53" s="111" t="s">
        <v>100</v>
      </c>
    </row>
    <row r="54" spans="1:80" x14ac:dyDescent="0.45">
      <c r="A54" s="10">
        <v>1924</v>
      </c>
      <c r="B54" s="1280">
        <v>784</v>
      </c>
      <c r="C54" s="1258">
        <f>9603*0.00477*29.307</f>
        <v>1342.4455271699999</v>
      </c>
      <c r="D54" s="111">
        <f>88540*0.00477*29.307</f>
        <v>12377.395290599999</v>
      </c>
      <c r="E54" s="1281">
        <f t="shared" si="3"/>
        <v>8302.9921458308054</v>
      </c>
      <c r="F54" s="111"/>
      <c r="G54" s="112"/>
      <c r="H54" s="112"/>
      <c r="I54" s="112"/>
      <c r="J54" s="112"/>
      <c r="K54" s="112"/>
      <c r="L54" s="1282">
        <f t="shared" si="4"/>
        <v>13889.227472279195</v>
      </c>
      <c r="M54" s="1258"/>
      <c r="N54" s="111">
        <f>158749*0.00477*29.307</f>
        <v>22192.219618109997</v>
      </c>
      <c r="O54" s="111">
        <f>256892*0.00477*29.307</f>
        <v>35912.060435879997</v>
      </c>
      <c r="P54" s="112"/>
      <c r="Q54" s="1261">
        <f>256892*0.00477*29.307</f>
        <v>35912.060435879997</v>
      </c>
      <c r="R54" s="1258"/>
      <c r="S54" s="112"/>
      <c r="T54" s="111"/>
      <c r="U54" s="112" t="s">
        <v>100</v>
      </c>
      <c r="V54" s="111" t="s">
        <v>100</v>
      </c>
      <c r="W54" s="134">
        <v>4341</v>
      </c>
      <c r="X54" s="1283">
        <f t="shared" si="5"/>
        <v>3164.8545529652879</v>
      </c>
      <c r="Y54" s="134"/>
      <c r="Z54" s="1281">
        <f t="shared" si="6"/>
        <v>488.14544703471211</v>
      </c>
      <c r="AA54" s="1258"/>
      <c r="AB54" s="126">
        <v>7994</v>
      </c>
      <c r="AC54" s="111">
        <v>3653</v>
      </c>
      <c r="AD54" s="113">
        <v>1924</v>
      </c>
      <c r="AJ54" s="114"/>
      <c r="AK54" s="114"/>
      <c r="AL54" s="1268" t="s">
        <v>235</v>
      </c>
      <c r="AM54" s="1286">
        <f>AVERAGE(AG42:AG49)</f>
        <v>515.5</v>
      </c>
      <c r="AN54" s="1289"/>
      <c r="AO54" s="1290"/>
      <c r="AP54" s="1291"/>
      <c r="AQ54" s="1291"/>
      <c r="AR54" s="1291"/>
      <c r="AS54" s="1291"/>
      <c r="AT54" s="1291"/>
      <c r="AU54" s="1291"/>
      <c r="AV54" s="1291"/>
      <c r="AW54" s="1290">
        <f>AY54</f>
        <v>18693.887864742766</v>
      </c>
      <c r="AX54" s="1291"/>
      <c r="AY54" s="1286">
        <f>AVERAGE(AH42:AH49)</f>
        <v>18693.887864742766</v>
      </c>
      <c r="AZ54" s="1284"/>
      <c r="BA54" s="122"/>
      <c r="BB54" s="1284"/>
      <c r="BC54" s="1284"/>
      <c r="BD54" s="122"/>
      <c r="BE54" s="1284"/>
      <c r="BF54" s="122"/>
      <c r="BG54" s="122"/>
      <c r="BH54" s="122"/>
      <c r="BI54" s="1288">
        <f>AVERAGE(AI42:AI50)</f>
        <v>4915.7546000000002</v>
      </c>
      <c r="BN54" s="124">
        <v>1924</v>
      </c>
      <c r="BO54" s="135"/>
      <c r="BP54" s="111"/>
      <c r="BQ54" s="135"/>
      <c r="BR54" s="111"/>
      <c r="BS54" s="111"/>
      <c r="BT54" s="112"/>
      <c r="BU54" s="111"/>
      <c r="BV54" s="1261"/>
      <c r="BW54" s="111">
        <f>300/1000*29.307*17329</f>
        <v>152358.3009</v>
      </c>
      <c r="BX54" s="1400">
        <f>270/1000*29.307*976</f>
        <v>7722.9806399999998</v>
      </c>
      <c r="BY54" s="1403"/>
      <c r="BZ54" s="111">
        <f>460/1000*29.307*172.9</f>
        <v>2330.9029380000002</v>
      </c>
      <c r="CA54" s="135" t="s">
        <v>100</v>
      </c>
      <c r="CB54" s="111" t="s">
        <v>100</v>
      </c>
    </row>
    <row r="55" spans="1:80" x14ac:dyDescent="0.45">
      <c r="A55" s="10">
        <v>1925</v>
      </c>
      <c r="B55" s="1280">
        <v>781</v>
      </c>
      <c r="C55" s="1258">
        <f>9951*0.00477*29.307</f>
        <v>1391.09397489</v>
      </c>
      <c r="D55" s="111">
        <f>92747*0.00477*29.307</f>
        <v>12965.510289329999</v>
      </c>
      <c r="E55" s="1281">
        <f t="shared" si="3"/>
        <v>8528.4165336917122</v>
      </c>
      <c r="F55" s="111"/>
      <c r="G55" s="112"/>
      <c r="H55" s="112"/>
      <c r="I55" s="112"/>
      <c r="J55" s="112"/>
      <c r="K55" s="112"/>
      <c r="L55" s="1282">
        <f t="shared" si="4"/>
        <v>14266.316905318288</v>
      </c>
      <c r="M55" s="1258"/>
      <c r="N55" s="111">
        <f>163059*0.00477*29.307</f>
        <v>22794.73343901</v>
      </c>
      <c r="O55" s="111">
        <f>265757*0.00477*29.307</f>
        <v>37151.337703229998</v>
      </c>
      <c r="P55" s="112"/>
      <c r="Q55" s="1261">
        <f>265757*0.00477*29.307</f>
        <v>37151.337703229998</v>
      </c>
      <c r="R55" s="1258"/>
      <c r="S55" s="112"/>
      <c r="T55" s="111"/>
      <c r="U55" s="112" t="s">
        <v>100</v>
      </c>
      <c r="V55" s="111" t="s">
        <v>100</v>
      </c>
      <c r="W55" s="134">
        <v>4446</v>
      </c>
      <c r="X55" s="1283">
        <f t="shared" si="5"/>
        <v>3252.3580596309034</v>
      </c>
      <c r="Y55" s="134"/>
      <c r="Z55" s="1281">
        <f t="shared" si="6"/>
        <v>501.64194036909657</v>
      </c>
      <c r="AA55" s="1258"/>
      <c r="AB55" s="126">
        <v>8200</v>
      </c>
      <c r="AC55" s="111">
        <v>3754</v>
      </c>
      <c r="AD55" s="113">
        <v>1925</v>
      </c>
      <c r="AJ55" s="114"/>
      <c r="AK55" s="114"/>
      <c r="AL55" s="1268" t="s">
        <v>236</v>
      </c>
      <c r="AM55" s="1286">
        <f>AVERAGE(B50:B59)</f>
        <v>785.7</v>
      </c>
      <c r="AN55" s="1292">
        <f>AVERAGE(C50:C59)</f>
        <v>1272.9222122660549</v>
      </c>
      <c r="AO55" s="1292">
        <f>SUM(D50:E59)/10</f>
        <v>21026.592093382009</v>
      </c>
      <c r="AP55" s="1287"/>
      <c r="AQ55" s="1293"/>
      <c r="AR55" s="1293"/>
      <c r="AS55" s="1293"/>
      <c r="AT55" s="1293"/>
      <c r="AU55" s="1293">
        <f>SUM(L50:L59)/10</f>
        <v>13951.365793274939</v>
      </c>
      <c r="AV55" s="1292"/>
      <c r="AW55" s="1287">
        <f>AVERAGE(O50:O59)</f>
        <v>36250.880098923</v>
      </c>
      <c r="AX55" s="1294" t="s">
        <v>100</v>
      </c>
      <c r="AY55" s="1287">
        <f>AVERAGE(Q50:Q59)</f>
        <v>36250.880098923</v>
      </c>
      <c r="AZ55" s="1286"/>
      <c r="BA55" s="1287"/>
      <c r="BB55" s="1286"/>
      <c r="BC55" s="1286"/>
      <c r="BD55" s="1287"/>
      <c r="BE55" s="1286">
        <f>SUM(W50:X59)/10</f>
        <v>7686.1497325773471</v>
      </c>
      <c r="BF55" s="1287"/>
      <c r="BG55" s="1287">
        <f>BI55-BE55</f>
        <v>495.18346742265203</v>
      </c>
      <c r="BH55" s="1287"/>
      <c r="BI55" s="1288">
        <f>SUM(AB50:AB59)/10</f>
        <v>8181.3331999999991</v>
      </c>
      <c r="BN55" s="124">
        <v>1925</v>
      </c>
      <c r="BO55" s="135"/>
      <c r="BP55" s="111"/>
      <c r="BQ55" s="135"/>
      <c r="BR55" s="111"/>
      <c r="BS55" s="111"/>
      <c r="BT55" s="112"/>
      <c r="BU55" s="111"/>
      <c r="BV55" s="1261"/>
      <c r="BW55" s="111">
        <f>300/1000*29.307*17031</f>
        <v>149738.25509999998</v>
      </c>
      <c r="BX55" s="1400">
        <f>270/1000*29.307*1153</f>
        <v>9123.5621699999992</v>
      </c>
      <c r="BY55" s="1403"/>
      <c r="BZ55" s="111">
        <f>460/1000*29.307*232</f>
        <v>3127.6430399999999</v>
      </c>
      <c r="CA55" s="135" t="s">
        <v>100</v>
      </c>
      <c r="CB55" s="111" t="s">
        <v>100</v>
      </c>
    </row>
    <row r="56" spans="1:80" x14ac:dyDescent="0.45">
      <c r="A56" s="10">
        <v>1926</v>
      </c>
      <c r="B56" s="1280">
        <v>784</v>
      </c>
      <c r="C56" s="1258">
        <f>9163*0.00477*29.307</f>
        <v>1280.9359955699999</v>
      </c>
      <c r="D56" s="111">
        <f>99301*0.00477*29.307</f>
        <v>13881.722721390001</v>
      </c>
      <c r="E56" s="1281">
        <f t="shared" si="3"/>
        <v>8792.3356662082133</v>
      </c>
      <c r="F56" s="111"/>
      <c r="G56" s="112"/>
      <c r="H56" s="112"/>
      <c r="I56" s="112"/>
      <c r="J56" s="112"/>
      <c r="K56" s="112"/>
      <c r="L56" s="1282">
        <f t="shared" si="4"/>
        <v>14707.800264741787</v>
      </c>
      <c r="M56" s="1258"/>
      <c r="N56" s="111">
        <f>168105*0.00477*29.307</f>
        <v>23500.13593095</v>
      </c>
      <c r="O56" s="111">
        <f>276569*0.00477*29.307</f>
        <v>38662.794647909999</v>
      </c>
      <c r="P56" s="112"/>
      <c r="Q56" s="1261">
        <f>276569*0.00477*29.307</f>
        <v>38662.794647909999</v>
      </c>
      <c r="R56" s="1258"/>
      <c r="S56" s="112"/>
      <c r="T56" s="111"/>
      <c r="U56" s="112" t="s">
        <v>100</v>
      </c>
      <c r="V56" s="111" t="s">
        <v>100</v>
      </c>
      <c r="W56" s="134">
        <v>4580</v>
      </c>
      <c r="X56" s="1283">
        <f t="shared" si="5"/>
        <v>3313.8704257027721</v>
      </c>
      <c r="Y56" s="134"/>
      <c r="Z56" s="1281">
        <f t="shared" si="6"/>
        <v>511.12957429722792</v>
      </c>
      <c r="AA56" s="1258"/>
      <c r="AB56" s="126">
        <v>8405</v>
      </c>
      <c r="AC56" s="111">
        <v>3825</v>
      </c>
      <c r="AD56" s="113">
        <v>1926</v>
      </c>
      <c r="AJ56" s="114"/>
      <c r="AK56" s="114"/>
      <c r="AL56" s="1268" t="s">
        <v>237</v>
      </c>
      <c r="AM56" s="1286">
        <f>AVERAGE(B60:B69)</f>
        <v>724.8</v>
      </c>
      <c r="AN56" s="1292">
        <f>AVERAGE(C60:C69)</f>
        <v>1764.6250538819997</v>
      </c>
      <c r="AO56" s="1292">
        <f>SUM(D60:E69)/10</f>
        <v>24892.391415971018</v>
      </c>
      <c r="AP56" s="1295"/>
      <c r="AQ56" s="1290"/>
      <c r="AR56" s="1290"/>
      <c r="AS56" s="1290"/>
      <c r="AT56" s="1290"/>
      <c r="AU56" s="1290">
        <f>SUM(L60:L69)/10</f>
        <v>15129.840371568982</v>
      </c>
      <c r="AV56" s="1296"/>
      <c r="AW56" s="1287">
        <f>AVERAGE(O60:O69)</f>
        <v>41786.856841421999</v>
      </c>
      <c r="AX56" s="1294" t="s">
        <v>100</v>
      </c>
      <c r="AY56" s="1287">
        <f>AVERAGE(Q60:Q69)</f>
        <v>41786.856841421999</v>
      </c>
      <c r="AZ56" s="1286"/>
      <c r="BA56" s="1287"/>
      <c r="BB56" s="1286"/>
      <c r="BC56" s="1286"/>
      <c r="BD56" s="1287"/>
      <c r="BE56" s="1286">
        <f>SUM(W60:X69)/10</f>
        <v>9851.6325886186951</v>
      </c>
      <c r="BF56" s="1295"/>
      <c r="BG56" s="1290">
        <f>BI56-BE56</f>
        <v>531.26741138130456</v>
      </c>
      <c r="BH56" s="1296"/>
      <c r="BI56" s="1288">
        <f>SUM(AB60:AB69)/10</f>
        <v>10382.9</v>
      </c>
      <c r="BN56" s="124">
        <v>1926</v>
      </c>
      <c r="BO56" s="135"/>
      <c r="BP56" s="111"/>
      <c r="BQ56" s="135"/>
      <c r="BR56" s="111"/>
      <c r="BS56" s="111"/>
      <c r="BT56" s="112"/>
      <c r="BU56" s="111"/>
      <c r="BV56" s="1261"/>
      <c r="BW56" s="111">
        <f>300/1000*29.307*16564</f>
        <v>145632.3444</v>
      </c>
      <c r="BX56" s="1400">
        <f>270/1000*29.307*1436</f>
        <v>11362.910040000001</v>
      </c>
      <c r="BY56" s="1403"/>
      <c r="BZ56" s="111">
        <f>460/1000*29.307*370.1</f>
        <v>4989.3995220000006</v>
      </c>
      <c r="CA56" s="135" t="s">
        <v>100</v>
      </c>
      <c r="CB56" s="111" t="s">
        <v>100</v>
      </c>
    </row>
    <row r="57" spans="1:80" x14ac:dyDescent="0.45">
      <c r="A57" s="10">
        <v>1927</v>
      </c>
      <c r="B57" s="1280">
        <v>782</v>
      </c>
      <c r="C57" s="1258">
        <f>9928*0.00477*29.307</f>
        <v>1387.8787039199999</v>
      </c>
      <c r="D57" s="111">
        <f>99520*0.00477*29.307</f>
        <v>13912.3376928</v>
      </c>
      <c r="E57" s="1281">
        <f t="shared" si="3"/>
        <v>8930.8853653830483</v>
      </c>
      <c r="F57" s="111"/>
      <c r="G57" s="112"/>
      <c r="H57" s="112"/>
      <c r="I57" s="112"/>
      <c r="J57" s="112"/>
      <c r="K57" s="112"/>
      <c r="L57" s="1282">
        <f t="shared" si="4"/>
        <v>14939.56590467694</v>
      </c>
      <c r="M57" s="1258"/>
      <c r="N57" s="111">
        <f>170754*0.00477*29.307</f>
        <v>23870.451270059999</v>
      </c>
      <c r="O57" s="111">
        <f>280202*0.00477*29.307</f>
        <v>39170.667666779991</v>
      </c>
      <c r="P57" s="112"/>
      <c r="Q57" s="1261">
        <f>280202*0.00477*29.307</f>
        <v>39170.667666779991</v>
      </c>
      <c r="R57" s="1258"/>
      <c r="S57" s="112"/>
      <c r="T57" s="111"/>
      <c r="U57" s="112" t="s">
        <v>100</v>
      </c>
      <c r="V57" s="111" t="s">
        <v>100</v>
      </c>
      <c r="W57" s="134">
        <v>4787</v>
      </c>
      <c r="X57" s="1283">
        <f t="shared" si="5"/>
        <v>3377.9819058340154</v>
      </c>
      <c r="Y57" s="134"/>
      <c r="Z57" s="1281">
        <f t="shared" si="6"/>
        <v>521.01809416598462</v>
      </c>
      <c r="AA57" s="1258"/>
      <c r="AB57" s="126">
        <v>8686</v>
      </c>
      <c r="AC57" s="111">
        <v>3899</v>
      </c>
      <c r="AD57" s="113">
        <v>1927</v>
      </c>
      <c r="AJ57" s="114"/>
      <c r="AK57" s="114"/>
      <c r="AL57" s="1268" t="s">
        <v>238</v>
      </c>
      <c r="AM57" s="1297">
        <f>AVERAGE(B73:B78)</f>
        <v>1053.5</v>
      </c>
      <c r="AN57" s="1292">
        <f>SUM(C70:C79)/10</f>
        <v>617.62075880399993</v>
      </c>
      <c r="AO57" s="1292">
        <f>SUM(D70:E79)/10</f>
        <v>35375.506835606539</v>
      </c>
      <c r="AP57" s="1294" t="s">
        <v>100</v>
      </c>
      <c r="AQ57" s="1286">
        <f>SUM(G73:G79)/7</f>
        <v>12991.374428571429</v>
      </c>
      <c r="AR57" s="1294" t="s">
        <v>100</v>
      </c>
      <c r="AS57" s="1294" t="s">
        <v>100</v>
      </c>
      <c r="AT57" s="1294" t="s">
        <v>100</v>
      </c>
      <c r="AU57" s="1287">
        <f>SUM(L73:L79)/7</f>
        <v>7594.6997142857144</v>
      </c>
      <c r="AV57" s="1294" t="s">
        <v>100</v>
      </c>
      <c r="AW57" s="1287">
        <f>SUM(O73:O79)/7</f>
        <v>57764.097000000002</v>
      </c>
      <c r="AX57" s="1294" t="s">
        <v>100</v>
      </c>
      <c r="AY57" s="1287">
        <f>AVERAGE(Q73:Q79)</f>
        <v>57764.097000000002</v>
      </c>
      <c r="AZ57" s="1286"/>
      <c r="BA57" s="1287"/>
      <c r="BB57" s="1286"/>
      <c r="BC57" s="1286"/>
      <c r="BD57" s="1287"/>
      <c r="BE57" s="1286">
        <f>SUM(W70:X79)/10</f>
        <v>11469.224620414618</v>
      </c>
      <c r="BF57" s="1287">
        <f>AVERAGE(Y73:Y79)</f>
        <v>104.42857142857143</v>
      </c>
      <c r="BG57" s="1286">
        <f>AVERAGE(Z73:Z79)</f>
        <v>484.42857142857144</v>
      </c>
      <c r="BH57" s="1287">
        <f>AVERAGE(AA73:AA79)</f>
        <v>75.714285714285708</v>
      </c>
      <c r="BI57" s="1288">
        <f>SUM(AB70:AB79)/10</f>
        <v>11343</v>
      </c>
      <c r="BN57" s="124">
        <v>1927</v>
      </c>
      <c r="BO57" s="135"/>
      <c r="BP57" s="111"/>
      <c r="BQ57" s="135"/>
      <c r="BR57" s="111"/>
      <c r="BS57" s="111"/>
      <c r="BT57" s="112"/>
      <c r="BU57" s="111"/>
      <c r="BV57" s="1261"/>
      <c r="BW57" s="111">
        <f>300/1000*29.307*17704</f>
        <v>155655.33839999998</v>
      </c>
      <c r="BX57" s="1400">
        <f>270/1000*29.307*1035</f>
        <v>8189.8411500000002</v>
      </c>
      <c r="BY57" s="1403"/>
      <c r="BZ57" s="111">
        <f>231.1*460/1000*29.307</f>
        <v>3115.5099419999997</v>
      </c>
      <c r="CA57" s="135" t="s">
        <v>100</v>
      </c>
      <c r="CB57" s="111" t="s">
        <v>100</v>
      </c>
    </row>
    <row r="58" spans="1:80" x14ac:dyDescent="0.45">
      <c r="A58" s="10">
        <v>1928</v>
      </c>
      <c r="B58" s="1280">
        <v>774</v>
      </c>
      <c r="C58" s="1258">
        <f>10499*0.00477*29.307</f>
        <v>1467.7013006099999</v>
      </c>
      <c r="D58" s="111">
        <f>102236*0.00477*29.307</f>
        <v>14292.019256039999</v>
      </c>
      <c r="E58" s="1281">
        <f t="shared" si="3"/>
        <v>8875.4445646562363</v>
      </c>
      <c r="F58" s="111"/>
      <c r="G58" s="112"/>
      <c r="H58" s="112"/>
      <c r="I58" s="112"/>
      <c r="J58" s="112"/>
      <c r="K58" s="112"/>
      <c r="L58" s="1282">
        <f t="shared" si="4"/>
        <v>14846.824652003763</v>
      </c>
      <c r="M58" s="1258"/>
      <c r="N58" s="111">
        <f>169694*0.00477*29.307</f>
        <v>23722.269216659999</v>
      </c>
      <c r="O58" s="111">
        <f>282429*0.00477*29.307</f>
        <v>39481.989773310001</v>
      </c>
      <c r="P58" s="112"/>
      <c r="Q58" s="1261">
        <f>282429*0.00477*29.307</f>
        <v>39481.989773310001</v>
      </c>
      <c r="R58" s="1258"/>
      <c r="S58" s="112"/>
      <c r="T58" s="111"/>
      <c r="U58" s="112" t="s">
        <v>100</v>
      </c>
      <c r="V58" s="111" t="s">
        <v>100</v>
      </c>
      <c r="W58" s="134">
        <v>4968</v>
      </c>
      <c r="X58" s="1283">
        <f t="shared" si="5"/>
        <v>3407.4385318402619</v>
      </c>
      <c r="Y58" s="134"/>
      <c r="Z58" s="1281">
        <f t="shared" si="6"/>
        <v>525.56146815973807</v>
      </c>
      <c r="AA58" s="1258"/>
      <c r="AB58" s="126">
        <v>8901</v>
      </c>
      <c r="AC58" s="111">
        <v>3933</v>
      </c>
      <c r="AD58" s="113">
        <v>1928</v>
      </c>
      <c r="AJ58" s="114"/>
      <c r="AK58" s="114"/>
      <c r="AL58" s="1268" t="s">
        <v>239</v>
      </c>
      <c r="AM58" s="1286"/>
      <c r="AN58" s="1292">
        <f>AVERAGE(C80:C89)</f>
        <v>1268.9931000000001</v>
      </c>
      <c r="AO58" s="1292">
        <f>AVERAGE(E80:E89)</f>
        <v>39324.132599999997</v>
      </c>
      <c r="AP58" s="1294" t="s">
        <v>100</v>
      </c>
      <c r="AQ58" s="1286">
        <f>AVERAGE(G80:G89)</f>
        <v>20676.088499999998</v>
      </c>
      <c r="AR58" s="1294" t="s">
        <v>100</v>
      </c>
      <c r="AS58" s="1294" t="s">
        <v>100</v>
      </c>
      <c r="AT58" s="1294" t="s">
        <v>100</v>
      </c>
      <c r="AU58" s="1287">
        <f>AVERAGE(L80:L89)</f>
        <v>12012.939299999998</v>
      </c>
      <c r="AV58" s="1294" t="s">
        <v>100</v>
      </c>
      <c r="AW58" s="1287">
        <f>SUM(O80:O89)/10</f>
        <v>73282.153499999986</v>
      </c>
      <c r="AX58" s="1294" t="s">
        <v>100</v>
      </c>
      <c r="AY58" s="1287">
        <f>AVERAGE(Q80:Q89)</f>
        <v>73282.153499999986</v>
      </c>
      <c r="AZ58" s="1297"/>
      <c r="BA58" s="1290"/>
      <c r="BB58" s="1297"/>
      <c r="BC58" s="1297"/>
      <c r="BD58" s="1296"/>
      <c r="BE58" s="1286">
        <f>AVERAGE(X80:X89)</f>
        <v>11823.8</v>
      </c>
      <c r="BF58" s="1287">
        <f>AVERAGE(Y80:Y89)</f>
        <v>102.3</v>
      </c>
      <c r="BG58" s="1286">
        <f>AVERAGE(Z80:Z89)</f>
        <v>603.1</v>
      </c>
      <c r="BH58" s="1287">
        <f>AVERAGE(AA80:AA89)</f>
        <v>43.6</v>
      </c>
      <c r="BI58" s="1288">
        <f>AVERAGE(AB80:AB89)</f>
        <v>12572.8</v>
      </c>
      <c r="BN58" s="124">
        <v>1928</v>
      </c>
      <c r="BO58" s="135"/>
      <c r="BP58" s="111"/>
      <c r="BQ58" s="135"/>
      <c r="BR58" s="111"/>
      <c r="BS58" s="111"/>
      <c r="BT58" s="112"/>
      <c r="BU58" s="111"/>
      <c r="BV58" s="1261"/>
      <c r="BW58" s="111">
        <f>300/1000*29.307*17562</f>
        <v>154406.8602</v>
      </c>
      <c r="BX58" s="1400">
        <f>270/1000*29.307*979</f>
        <v>7746.7193100000004</v>
      </c>
      <c r="BY58" s="1403"/>
      <c r="BZ58" s="111">
        <f>213.5*460/1000*29.307</f>
        <v>2878.2404699999997</v>
      </c>
      <c r="CA58" s="135" t="s">
        <v>100</v>
      </c>
      <c r="CB58" s="111" t="s">
        <v>100</v>
      </c>
    </row>
    <row r="59" spans="1:80" x14ac:dyDescent="0.45">
      <c r="A59" s="10">
        <v>1929</v>
      </c>
      <c r="B59" s="1280">
        <v>771</v>
      </c>
      <c r="C59" s="1258">
        <f>10791*0.00477*29.307</f>
        <v>1508.52126249</v>
      </c>
      <c r="D59" s="111">
        <f>106339*0.00477*29.307</f>
        <v>14865.595638209999</v>
      </c>
      <c r="E59" s="1281">
        <f t="shared" si="3"/>
        <v>9177.440020690774</v>
      </c>
      <c r="F59" s="111"/>
      <c r="G59" s="112"/>
      <c r="H59" s="112"/>
      <c r="I59" s="112"/>
      <c r="J59" s="112"/>
      <c r="K59" s="112"/>
      <c r="L59" s="1282">
        <f t="shared" si="4"/>
        <v>15352.002003829228</v>
      </c>
      <c r="M59" s="1258"/>
      <c r="N59" s="111">
        <f>175468*0.00477*29.307</f>
        <v>24529.442024519998</v>
      </c>
      <c r="O59" s="111">
        <f>292598*0.00477*29.307</f>
        <v>40903.558925220001</v>
      </c>
      <c r="P59" s="112"/>
      <c r="Q59" s="1261">
        <f>292598*0.00477*29.307</f>
        <v>40903.558925220001</v>
      </c>
      <c r="R59" s="1258"/>
      <c r="S59" s="112"/>
      <c r="T59" s="111"/>
      <c r="U59" s="112" t="s">
        <v>100</v>
      </c>
      <c r="V59" s="111" t="s">
        <v>100</v>
      </c>
      <c r="W59" s="134">
        <v>5165</v>
      </c>
      <c r="X59" s="1283">
        <f t="shared" si="5"/>
        <v>3442.0933859652582</v>
      </c>
      <c r="Y59" s="134"/>
      <c r="Z59" s="1281">
        <f t="shared" si="6"/>
        <v>530.90661403474178</v>
      </c>
      <c r="AA59" s="1258"/>
      <c r="AB59" s="126">
        <v>9138</v>
      </c>
      <c r="AC59" s="111">
        <v>3973</v>
      </c>
      <c r="AD59" s="113">
        <v>1929</v>
      </c>
      <c r="AJ59" s="114"/>
      <c r="AK59" s="114"/>
      <c r="AL59" s="1268" t="s">
        <v>240</v>
      </c>
      <c r="AM59" s="1286"/>
      <c r="AN59" s="1292">
        <f>SUM(C90:C99)/10</f>
        <v>322.37700000000001</v>
      </c>
      <c r="AO59" s="1292">
        <f>SUM(E90:E99)/10</f>
        <v>57143</v>
      </c>
      <c r="AP59" s="1287">
        <f>SUM(F90:F99)/10</f>
        <v>627.20000000000005</v>
      </c>
      <c r="AQ59" s="1286">
        <f>SUM(G90:G99)/10</f>
        <v>25807.7</v>
      </c>
      <c r="AR59" s="1287">
        <f>SUM(H90:H99)/10</f>
        <v>726.8</v>
      </c>
      <c r="AS59" s="1286">
        <f>SUM(I90:I99)/10</f>
        <v>127.9</v>
      </c>
      <c r="AT59" s="1294" t="s">
        <v>100</v>
      </c>
      <c r="AU59" s="1287">
        <f>SUM(L90:L99)/10</f>
        <v>17182.822999999997</v>
      </c>
      <c r="AV59" s="1286">
        <f>SUM(M90:M99)/10</f>
        <v>1159</v>
      </c>
      <c r="AW59" s="1287">
        <f>SUM(O90:O99)/10</f>
        <v>100455.9</v>
      </c>
      <c r="AX59" s="1286">
        <f>SUM(P90:P99)/10</f>
        <v>2640.8</v>
      </c>
      <c r="AY59" s="1287">
        <f>SUM(Q90:Q99)/10</f>
        <v>103096.8</v>
      </c>
      <c r="AZ59" s="1286">
        <f>AVERAGE(R90:R99)</f>
        <v>72262.5</v>
      </c>
      <c r="BA59" s="1287">
        <f>AVERAGE(S90:S99)</f>
        <v>9744.6</v>
      </c>
      <c r="BB59" s="1286">
        <f>SUM(T90:T99)/10</f>
        <v>28178.776649999996</v>
      </c>
      <c r="BC59" s="1286">
        <f>AVERAGE(U90:U99)</f>
        <v>7000.3295714285714</v>
      </c>
      <c r="BD59" s="1287"/>
      <c r="BE59" s="1286">
        <f>AVERAGE(X90:X99)</f>
        <v>12297.9</v>
      </c>
      <c r="BF59" s="1287">
        <f>AVERAGE(Y90:Y99)</f>
        <v>80.3</v>
      </c>
      <c r="BG59" s="1286">
        <f>AVERAGE(Z90:Z99)</f>
        <v>563.20000000000005</v>
      </c>
      <c r="BH59" s="1287">
        <f>AVERAGE(AA90:AA99)</f>
        <v>34.5</v>
      </c>
      <c r="BI59" s="1288">
        <f>AVERAGE(AB90:AB99)</f>
        <v>12975.9</v>
      </c>
      <c r="BJ59" s="1307"/>
      <c r="BN59" s="124">
        <v>1929</v>
      </c>
      <c r="BO59" s="135"/>
      <c r="BP59" s="111"/>
      <c r="BQ59" s="135"/>
      <c r="BR59" s="111"/>
      <c r="BS59" s="111"/>
      <c r="BT59" s="112"/>
      <c r="BU59" s="111"/>
      <c r="BV59" s="1261"/>
      <c r="BW59" s="111">
        <f>300/1000*29.307*17887</f>
        <v>157264.29269999999</v>
      </c>
      <c r="BX59" s="1400">
        <f>270/1000*29.307*949</f>
        <v>7509.3326100000004</v>
      </c>
      <c r="BY59" s="1403"/>
      <c r="BZ59" s="111">
        <f>220*460/1000*29.307</f>
        <v>2965.8683999999998</v>
      </c>
      <c r="CA59" s="135" t="s">
        <v>100</v>
      </c>
      <c r="CB59" s="111" t="s">
        <v>100</v>
      </c>
    </row>
    <row r="60" spans="1:80" x14ac:dyDescent="0.45">
      <c r="A60" s="10">
        <v>1930</v>
      </c>
      <c r="B60" s="1280">
        <v>767</v>
      </c>
      <c r="C60" s="1258">
        <f>0.00477*29.307*11289</f>
        <v>1578.13886871</v>
      </c>
      <c r="D60" s="111">
        <f>0.00477*29.307*107965</f>
        <v>15092.901316349999</v>
      </c>
      <c r="E60" s="1281">
        <f t="shared" si="3"/>
        <v>8929.9962204657313</v>
      </c>
      <c r="F60" s="111"/>
      <c r="G60" s="112"/>
      <c r="H60" s="112"/>
      <c r="I60" s="112"/>
      <c r="J60" s="112"/>
      <c r="K60" s="112"/>
      <c r="L60" s="1282">
        <f t="shared" si="4"/>
        <v>14938.078544964268</v>
      </c>
      <c r="M60" s="1258"/>
      <c r="N60" s="111">
        <f>0.00477*29.307*170737</f>
        <v>23868.074765429999</v>
      </c>
      <c r="O60" s="111">
        <f>0.00477*29.307*289991</f>
        <v>40539.114950489995</v>
      </c>
      <c r="P60" s="112"/>
      <c r="Q60" s="1261">
        <f>0.00477*29.307*289991</f>
        <v>40539.114950489995</v>
      </c>
      <c r="R60" s="1258"/>
      <c r="S60" s="112"/>
      <c r="T60" s="111"/>
      <c r="U60" s="112" t="s">
        <v>100</v>
      </c>
      <c r="V60" s="111" t="s">
        <v>100</v>
      </c>
      <c r="W60" s="134">
        <v>5355</v>
      </c>
      <c r="X60" s="1283">
        <f t="shared" si="5"/>
        <v>3455.9553276152565</v>
      </c>
      <c r="Y60" s="134"/>
      <c r="Z60" s="1281">
        <f t="shared" si="6"/>
        <v>533.04467238474354</v>
      </c>
      <c r="AA60" s="1258"/>
      <c r="AB60" s="126">
        <v>9344</v>
      </c>
      <c r="AC60" s="111">
        <v>3989</v>
      </c>
      <c r="AD60" s="113">
        <v>1930</v>
      </c>
      <c r="AJ60" s="114"/>
      <c r="AK60" s="114"/>
      <c r="AL60" s="1268" t="s">
        <v>241</v>
      </c>
      <c r="AM60" s="1297"/>
      <c r="AN60" s="1292">
        <f>SUM(C100:C109)/10</f>
        <v>14.653499999999999</v>
      </c>
      <c r="AO60" s="1292">
        <f>SUM(E100:E109)/10</f>
        <v>32214.400000000001</v>
      </c>
      <c r="AP60" s="1287">
        <f>SUM(F100:F109)/10</f>
        <v>132904.79999999999</v>
      </c>
      <c r="AQ60" s="1286">
        <f>SUM(G100:G109)/10</f>
        <v>6520.9</v>
      </c>
      <c r="AR60" s="1287">
        <f>SUM(H100:H109)/10</f>
        <v>128881</v>
      </c>
      <c r="AS60" s="1286">
        <f>SUM(I100:I109)/10</f>
        <v>14281.5</v>
      </c>
      <c r="AT60" s="1286">
        <f>SUM(K100:K109)/10</f>
        <v>4709.2</v>
      </c>
      <c r="AU60" s="1287">
        <f>SUM(L100:L109)/10</f>
        <v>8308.7000000000007</v>
      </c>
      <c r="AV60" s="1286">
        <f>AVERAGE(M100:M109)</f>
        <v>31165</v>
      </c>
      <c r="AW60" s="1287">
        <f>SUM(O100:O109)/10</f>
        <v>47043.8</v>
      </c>
      <c r="AX60" s="1286">
        <f>SUM(P100:P109)/10</f>
        <v>311941.90000000002</v>
      </c>
      <c r="AY60" s="1287">
        <f>SUM(Q100:Q109)/10</f>
        <v>359014.9</v>
      </c>
      <c r="AZ60" s="1286">
        <f>AVERAGE(R100:R109)</f>
        <v>13504.8</v>
      </c>
      <c r="BA60" s="1287">
        <f>AVERAGE(S100:S109)</f>
        <v>342216.1</v>
      </c>
      <c r="BB60" s="1286">
        <f>SUM(T100:T109)/10</f>
        <v>7048.3575500000006</v>
      </c>
      <c r="BC60" s="1286">
        <f>AVERAGE(U100:U109)</f>
        <v>23557.1</v>
      </c>
      <c r="BD60" s="1287"/>
      <c r="BE60" s="1286">
        <f>AVERAGE(X100:X109)</f>
        <v>13458.2</v>
      </c>
      <c r="BF60" s="1287">
        <f>AVERAGE(Y100:Y109)</f>
        <v>70.7</v>
      </c>
      <c r="BG60" s="1286">
        <f>AVERAGE(Z100:Z109)</f>
        <v>470.8</v>
      </c>
      <c r="BH60" s="1287">
        <f>AVERAGE(AA100:AA109)</f>
        <v>30</v>
      </c>
      <c r="BI60" s="1288">
        <f>AVERAGE(AB100:AB109)</f>
        <v>14029.7</v>
      </c>
      <c r="BN60" s="124">
        <v>1930</v>
      </c>
      <c r="BO60" s="135"/>
      <c r="BP60" s="111"/>
      <c r="BQ60" s="135"/>
      <c r="BR60" s="111"/>
      <c r="BS60" s="111"/>
      <c r="BT60" s="112"/>
      <c r="BU60" s="111"/>
      <c r="BV60" s="1261"/>
      <c r="BW60" s="111">
        <f>300/1000*29.307*17669</f>
        <v>155347.61489999999</v>
      </c>
      <c r="BX60" s="1400">
        <f>270/1000*29.307*790</f>
        <v>6251.1831000000002</v>
      </c>
      <c r="BY60" s="1403"/>
      <c r="BZ60" s="111">
        <f>186*460/1000*29.307</f>
        <v>2507.5069199999998</v>
      </c>
      <c r="CA60" s="135" t="s">
        <v>100</v>
      </c>
      <c r="CB60" s="111" t="s">
        <v>100</v>
      </c>
    </row>
    <row r="61" spans="1:80" x14ac:dyDescent="0.45">
      <c r="A61" s="10">
        <v>1931</v>
      </c>
      <c r="B61" s="1280">
        <v>749</v>
      </c>
      <c r="C61" s="1258">
        <f>0.00478*29.307*11788</f>
        <v>1651.3509784799999</v>
      </c>
      <c r="D61" s="111">
        <f>0.00478*29.307*110510</f>
        <v>15481.0652046</v>
      </c>
      <c r="E61" s="1281">
        <f t="shared" si="3"/>
        <v>8825.9678002276978</v>
      </c>
      <c r="F61" s="111"/>
      <c r="G61" s="112"/>
      <c r="H61" s="112"/>
      <c r="I61" s="112"/>
      <c r="J61" s="112"/>
      <c r="K61" s="112"/>
      <c r="L61" s="1282">
        <f t="shared" si="4"/>
        <v>14764.060026472302</v>
      </c>
      <c r="M61" s="1258"/>
      <c r="N61" s="111">
        <f>0.00478*29.307*168395</f>
        <v>23590.027826699999</v>
      </c>
      <c r="O61" s="111">
        <f>0.00478*29.307*290693</f>
        <v>40722.444009779996</v>
      </c>
      <c r="P61" s="112"/>
      <c r="Q61" s="1261">
        <f>0.00478*29.307*290693</f>
        <v>40722.444009779996</v>
      </c>
      <c r="R61" s="1258"/>
      <c r="S61" s="112"/>
      <c r="T61" s="111"/>
      <c r="U61" s="112" t="s">
        <v>100</v>
      </c>
      <c r="V61" s="111" t="s">
        <v>100</v>
      </c>
      <c r="W61" s="134">
        <v>5561</v>
      </c>
      <c r="X61" s="1283">
        <f t="shared" si="5"/>
        <v>3462.8862984402563</v>
      </c>
      <c r="Y61" s="134"/>
      <c r="Z61" s="1281">
        <f t="shared" si="6"/>
        <v>534.11370155974373</v>
      </c>
      <c r="AA61" s="1258"/>
      <c r="AB61" s="126">
        <v>9558</v>
      </c>
      <c r="AC61" s="111">
        <v>3997</v>
      </c>
      <c r="AD61" s="113">
        <v>1931</v>
      </c>
      <c r="AJ61" s="114"/>
      <c r="AK61" s="114"/>
      <c r="AL61" s="1268" t="s">
        <v>242</v>
      </c>
      <c r="AM61" s="1286">
        <f>AVERAGE(B110:B119)</f>
        <v>1.25</v>
      </c>
      <c r="AN61" s="1294" t="s">
        <v>100</v>
      </c>
      <c r="AO61" s="1292">
        <f>AVERAGE(E110:E119)</f>
        <v>306</v>
      </c>
      <c r="AP61" s="1287">
        <f>AVERAGE(F110:F119)</f>
        <v>276152.7</v>
      </c>
      <c r="AQ61" s="1286">
        <f>AVERAGE(G110:G119)</f>
        <v>73.375</v>
      </c>
      <c r="AR61" s="1287">
        <f>AVERAGE(H110:H119)</f>
        <v>165427.29999999999</v>
      </c>
      <c r="AS61" s="1286">
        <f>AVERAGE(I110:I119)</f>
        <v>3884.2</v>
      </c>
      <c r="AT61" s="1286">
        <f>AVERAGE(K110:K119)</f>
        <v>34234.300000000003</v>
      </c>
      <c r="AU61" s="1287">
        <f>AVERAGE(L110:L119)</f>
        <v>150.11111111111111</v>
      </c>
      <c r="AV61" s="1286">
        <f>SUM(M110:M119)/10</f>
        <v>77043.8</v>
      </c>
      <c r="AW61" s="1287">
        <f>SUM(O110:O119)/10</f>
        <v>468.9</v>
      </c>
      <c r="AX61" s="1286">
        <f>SUM(P110:P119)/10</f>
        <v>556742.5</v>
      </c>
      <c r="AY61" s="1287">
        <f>SUM(Q110:Q119)/10</f>
        <v>557211.4</v>
      </c>
      <c r="AZ61" s="1286">
        <f>AVERAGE(R110:R119)</f>
        <v>465.66666666666669</v>
      </c>
      <c r="BA61" s="1287">
        <f>AVERAGE(S110:S119)</f>
        <v>446416.6</v>
      </c>
      <c r="BB61" s="1298" t="s">
        <v>100</v>
      </c>
      <c r="BC61" s="1286">
        <f>AVERAGE(U110:U119)</f>
        <v>126979.1</v>
      </c>
      <c r="BD61" s="1287"/>
      <c r="BE61" s="1286">
        <f>AVERAGE(X110:X119)</f>
        <v>15979</v>
      </c>
      <c r="BF61" s="1287">
        <f>AVERAGE(Y110:Y119)</f>
        <v>84.2</v>
      </c>
      <c r="BG61" s="1286">
        <f>AVERAGE(Z110:Z119)</f>
        <v>476.8</v>
      </c>
      <c r="BH61" s="1287">
        <f>AVERAGE(AA110:AA119)</f>
        <v>28.1</v>
      </c>
      <c r="BI61" s="1288">
        <f>AVERAGE(AB110:AB119)</f>
        <v>16568.099999999999</v>
      </c>
      <c r="BN61" s="124">
        <v>1931</v>
      </c>
      <c r="BO61" s="135"/>
      <c r="BP61" s="111"/>
      <c r="BQ61" s="135"/>
      <c r="BR61" s="111"/>
      <c r="BS61" s="111"/>
      <c r="BT61" s="112"/>
      <c r="BU61" s="111"/>
      <c r="BV61" s="1261"/>
      <c r="BW61" s="111">
        <f>300/1000*29.307*17427</f>
        <v>153219.92669999998</v>
      </c>
      <c r="BX61" s="1400">
        <f>270/1000*29.307*804</f>
        <v>6361.9635600000001</v>
      </c>
      <c r="BY61" s="1403"/>
      <c r="BZ61" s="111">
        <f>201*460/1000*29.307</f>
        <v>2709.7252199999998</v>
      </c>
      <c r="CA61" s="135" t="s">
        <v>100</v>
      </c>
      <c r="CB61" s="111" t="s">
        <v>100</v>
      </c>
    </row>
    <row r="62" spans="1:80" x14ac:dyDescent="0.45">
      <c r="A62" s="10">
        <v>1932</v>
      </c>
      <c r="B62" s="1280">
        <v>734</v>
      </c>
      <c r="C62" s="1258">
        <f>0.00478*29.307*12131</f>
        <v>1699.40097726</v>
      </c>
      <c r="D62" s="111">
        <f>0.00478*29.307*109974</f>
        <v>15405.97832604</v>
      </c>
      <c r="E62" s="1281">
        <f t="shared" si="3"/>
        <v>8641.8958330410242</v>
      </c>
      <c r="F62" s="111"/>
      <c r="G62" s="112"/>
      <c r="H62" s="112"/>
      <c r="I62" s="112"/>
      <c r="J62" s="112"/>
      <c r="K62" s="112"/>
      <c r="L62" s="1282">
        <f t="shared" si="4"/>
        <v>14456.144834138977</v>
      </c>
      <c r="M62" s="1258"/>
      <c r="N62" s="111">
        <f>0.00478*29.307*164883</f>
        <v>23098.040667180001</v>
      </c>
      <c r="O62" s="111">
        <f>0.00478*29.307*286988</f>
        <v>40203.419970479998</v>
      </c>
      <c r="P62" s="112"/>
      <c r="Q62" s="1261">
        <f>0.00478*29.307*286988</f>
        <v>40203.419970479998</v>
      </c>
      <c r="R62" s="1258"/>
      <c r="S62" s="112"/>
      <c r="T62" s="111"/>
      <c r="U62" s="112" t="s">
        <v>100</v>
      </c>
      <c r="V62" s="111" t="s">
        <v>100</v>
      </c>
      <c r="W62" s="134">
        <v>5783</v>
      </c>
      <c r="X62" s="1283">
        <f t="shared" si="5"/>
        <v>3456.821698968382</v>
      </c>
      <c r="Y62" s="134"/>
      <c r="Z62" s="1281">
        <f t="shared" si="6"/>
        <v>533.17830103161805</v>
      </c>
      <c r="AA62" s="1258"/>
      <c r="AB62" s="126">
        <v>9773</v>
      </c>
      <c r="AC62" s="111">
        <v>3990</v>
      </c>
      <c r="AD62" s="113">
        <v>1932</v>
      </c>
      <c r="AJ62" s="114"/>
      <c r="AK62" s="114"/>
      <c r="AL62" s="1268" t="s">
        <v>243</v>
      </c>
      <c r="AM62" s="1286">
        <f>AVERAGE(B120:B129)</f>
        <v>21.7</v>
      </c>
      <c r="AN62" s="1294" t="s">
        <v>100</v>
      </c>
      <c r="AO62" s="1294" t="s">
        <v>100</v>
      </c>
      <c r="AP62" s="1292">
        <f>SUM(F120:F129)/10</f>
        <v>339569</v>
      </c>
      <c r="AQ62" s="1298" t="s">
        <v>100</v>
      </c>
      <c r="AR62" s="1287">
        <f>SUM(H120:H129)/10</f>
        <v>168255</v>
      </c>
      <c r="AS62" s="1286">
        <f>SUM(I120:I129)/10</f>
        <v>142199.6</v>
      </c>
      <c r="AT62" s="1286">
        <f>SUM(K120:K129)/10</f>
        <v>59510.400000000001</v>
      </c>
      <c r="AU62" s="1298" t="s">
        <v>100</v>
      </c>
      <c r="AV62" s="1286">
        <f>SUM(M120:M129)/10</f>
        <v>105245.7</v>
      </c>
      <c r="AW62" s="1298" t="s">
        <v>100</v>
      </c>
      <c r="AX62" s="1286">
        <f>SUM(P120:P129)/10</f>
        <v>814779.7</v>
      </c>
      <c r="AY62" s="1292">
        <f>SUM(Q120:Q128)/10</f>
        <v>707483.4</v>
      </c>
      <c r="AZ62" s="1298" t="s">
        <v>100</v>
      </c>
      <c r="BA62" s="1286">
        <f>AVERAGE(S120:S129)</f>
        <v>817470.5</v>
      </c>
      <c r="BB62" s="1298" t="s">
        <v>100</v>
      </c>
      <c r="BC62" s="1286">
        <f>AVERAGE(U120:U129)</f>
        <v>37144.300000000003</v>
      </c>
      <c r="BD62" s="1292">
        <f>AVERAGE(V120:V129)</f>
        <v>22642.375</v>
      </c>
      <c r="BE62" s="1286">
        <f>AVERAGE(X120:X129)</f>
        <v>18709.5</v>
      </c>
      <c r="BF62" s="1299"/>
      <c r="BG62" s="1299"/>
      <c r="BH62" s="1299"/>
      <c r="BI62" s="1288">
        <f>(AB121+AB129)/2</f>
        <v>19441.5</v>
      </c>
      <c r="BN62" s="124">
        <v>1932</v>
      </c>
      <c r="BO62" s="135"/>
      <c r="BP62" s="111"/>
      <c r="BQ62" s="135"/>
      <c r="BR62" s="111"/>
      <c r="BS62" s="111"/>
      <c r="BT62" s="112"/>
      <c r="BU62" s="111"/>
      <c r="BV62" s="1261"/>
      <c r="BW62" s="111">
        <f>300/1000*29.307*17001</f>
        <v>149474.4921</v>
      </c>
      <c r="BX62" s="1400">
        <f>270/1000*29.307*746</f>
        <v>5903.0159400000002</v>
      </c>
      <c r="BY62" s="1403"/>
      <c r="BZ62" s="111">
        <f>196*460/1000*29.307</f>
        <v>2642.3191199999997</v>
      </c>
      <c r="CA62" s="135" t="s">
        <v>100</v>
      </c>
      <c r="CB62" s="111" t="s">
        <v>100</v>
      </c>
    </row>
    <row r="63" spans="1:80" ht="14.65" thickBot="1" x14ac:dyDescent="0.5">
      <c r="A63" s="10">
        <v>1933</v>
      </c>
      <c r="B63" s="1280">
        <v>727</v>
      </c>
      <c r="C63" s="1258">
        <f>0.00477*29.307*12243</f>
        <v>1711.5027167699998</v>
      </c>
      <c r="D63" s="111">
        <f>0.00477*29.307*111666</f>
        <v>15610.28035374</v>
      </c>
      <c r="E63" s="1281">
        <f t="shared" si="3"/>
        <v>8485.3191565229445</v>
      </c>
      <c r="F63" s="111"/>
      <c r="G63" s="112"/>
      <c r="H63" s="112"/>
      <c r="I63" s="112"/>
      <c r="J63" s="112"/>
      <c r="K63" s="112"/>
      <c r="L63" s="1282">
        <f t="shared" si="4"/>
        <v>14194.223705127051</v>
      </c>
      <c r="M63" s="1258"/>
      <c r="N63" s="111">
        <f>0.00477*29.307*162235</f>
        <v>22679.542861649999</v>
      </c>
      <c r="O63" s="111">
        <f>0.00477*29.307*286144</f>
        <v>40001.325932159998</v>
      </c>
      <c r="P63" s="112"/>
      <c r="Q63" s="1261">
        <f>0.00477*29.307*286144</f>
        <v>40001.325932159998</v>
      </c>
      <c r="R63" s="1258"/>
      <c r="S63" s="112"/>
      <c r="T63" s="111"/>
      <c r="U63" s="112" t="s">
        <v>100</v>
      </c>
      <c r="V63" s="111" t="s">
        <v>100</v>
      </c>
      <c r="W63" s="134">
        <v>6017</v>
      </c>
      <c r="X63" s="1283">
        <f t="shared" si="5"/>
        <v>3461.1535557340062</v>
      </c>
      <c r="Y63" s="134"/>
      <c r="Z63" s="1281">
        <f t="shared" si="6"/>
        <v>533.8464442659938</v>
      </c>
      <c r="AA63" s="1258"/>
      <c r="AB63" s="126">
        <v>10012</v>
      </c>
      <c r="AC63" s="111">
        <v>3995</v>
      </c>
      <c r="AD63" s="113">
        <v>1933</v>
      </c>
      <c r="AJ63" s="114"/>
      <c r="AK63" s="114"/>
      <c r="AL63" s="1300" t="s">
        <v>244</v>
      </c>
      <c r="AM63" s="1301">
        <f>AVERAGE(B130:B139)</f>
        <v>23.625</v>
      </c>
      <c r="AN63" s="1302" t="s">
        <v>100</v>
      </c>
      <c r="AO63" s="1302" t="s">
        <v>100</v>
      </c>
      <c r="AP63" s="1303">
        <f>SUM(F130:F139)/10</f>
        <v>371503.17132360378</v>
      </c>
      <c r="AQ63" s="1304" t="s">
        <v>100</v>
      </c>
      <c r="AR63" s="1303">
        <f>SUM(H130:H139)/10</f>
        <v>161514.36608925258</v>
      </c>
      <c r="AS63" s="1301">
        <f>SUM(I130:I139)/10</f>
        <v>336781.02645538992</v>
      </c>
      <c r="AT63" s="1301">
        <f>SUM(K130:K139)/10</f>
        <v>106434.93148416106</v>
      </c>
      <c r="AU63" s="1304" t="s">
        <v>100</v>
      </c>
      <c r="AV63" s="1301">
        <f>SUM(M130:M139)/10</f>
        <v>105506.49611563215</v>
      </c>
      <c r="AW63" s="1304" t="s">
        <v>100</v>
      </c>
      <c r="AX63" s="1301">
        <f>SUM(P130:P139)/10</f>
        <v>1081739.9914680396</v>
      </c>
      <c r="AY63" s="1303">
        <f>SUM(Q130:Q139)/10</f>
        <v>1081739.9914680396</v>
      </c>
      <c r="AZ63" s="1304" t="s">
        <v>100</v>
      </c>
      <c r="BA63" s="1303">
        <f>AVERAGE(S130:S139)</f>
        <v>1029957.3275156688</v>
      </c>
      <c r="BB63" s="1304" t="s">
        <v>100</v>
      </c>
      <c r="BC63" s="1301">
        <f>AVERAGE(U130:U139)</f>
        <v>197259.5084610981</v>
      </c>
      <c r="BD63" s="1303">
        <f>AVERAGE(V130:V139)</f>
        <v>132625.33946219753</v>
      </c>
      <c r="BE63" s="1305">
        <f>AVERAGE(X130:X138)</f>
        <v>21229.777777777777</v>
      </c>
      <c r="BF63" s="1305"/>
      <c r="BG63" s="1305"/>
      <c r="BH63" s="1305"/>
      <c r="BI63" s="1306">
        <f>AVERAGE(AB130,AB138)</f>
        <v>21758.5</v>
      </c>
      <c r="BN63" s="124">
        <v>1933</v>
      </c>
      <c r="BO63" s="135"/>
      <c r="BP63" s="111"/>
      <c r="BQ63" s="135"/>
      <c r="BR63" s="111"/>
      <c r="BS63" s="111"/>
      <c r="BT63" s="112"/>
      <c r="BU63" s="111"/>
      <c r="BV63" s="1261"/>
      <c r="BW63" s="111">
        <f>300/1000*29.307*16714</f>
        <v>146951.1594</v>
      </c>
      <c r="BX63" s="1400">
        <f>270/1000*29.307*749</f>
        <v>5926.75461</v>
      </c>
      <c r="BY63" s="1403"/>
      <c r="BZ63" s="111">
        <f>205*460/1000*29.307</f>
        <v>2763.6500999999998</v>
      </c>
      <c r="CA63" s="135" t="s">
        <v>100</v>
      </c>
      <c r="CB63" s="111" t="s">
        <v>100</v>
      </c>
    </row>
    <row r="64" spans="1:80" x14ac:dyDescent="0.45">
      <c r="A64" s="10">
        <v>1934</v>
      </c>
      <c r="B64" s="1280">
        <v>726</v>
      </c>
      <c r="C64" s="1258">
        <f>0.00476*29.307*12640</f>
        <v>1763.2966848000001</v>
      </c>
      <c r="D64" s="111">
        <f>0.00476*29.307*112482</f>
        <v>15691.387476240001</v>
      </c>
      <c r="E64" s="1281">
        <f t="shared" si="3"/>
        <v>8640.1324554901203</v>
      </c>
      <c r="F64" s="111"/>
      <c r="G64" s="112"/>
      <c r="H64" s="112"/>
      <c r="I64" s="112"/>
      <c r="J64" s="112"/>
      <c r="K64" s="112"/>
      <c r="L64" s="1282">
        <f t="shared" si="4"/>
        <v>14453.195059949883</v>
      </c>
      <c r="M64" s="1258"/>
      <c r="N64" s="111">
        <f>0.00476*29.307*165542</f>
        <v>23093.327515440003</v>
      </c>
      <c r="O64" s="111">
        <f>0.00476*29.307*290664</f>
        <v>40548.011676480004</v>
      </c>
      <c r="P64" s="112"/>
      <c r="Q64" s="1261">
        <f>0.00476*29.307*290664</f>
        <v>40548.011676480004</v>
      </c>
      <c r="R64" s="1258"/>
      <c r="S64" s="112"/>
      <c r="T64" s="111"/>
      <c r="U64" s="112" t="s">
        <v>100</v>
      </c>
      <c r="V64" s="111" t="s">
        <v>100</v>
      </c>
      <c r="W64" s="134">
        <v>6313</v>
      </c>
      <c r="X64" s="1283">
        <f t="shared" si="5"/>
        <v>3434.2960437871338</v>
      </c>
      <c r="Y64" s="134"/>
      <c r="Z64" s="1281">
        <f t="shared" si="6"/>
        <v>529.70395621286616</v>
      </c>
      <c r="AA64" s="1258"/>
      <c r="AB64" s="126">
        <v>10277</v>
      </c>
      <c r="AC64" s="111">
        <v>3964</v>
      </c>
      <c r="AD64" s="113">
        <v>1934</v>
      </c>
      <c r="AJ64" s="114"/>
      <c r="AK64" s="114"/>
      <c r="BD64" s="127"/>
      <c r="BN64" s="124">
        <v>1934</v>
      </c>
      <c r="BO64" s="135"/>
      <c r="BP64" s="111"/>
      <c r="BQ64" s="135"/>
      <c r="BR64" s="111"/>
      <c r="BS64" s="111"/>
      <c r="BT64" s="112"/>
      <c r="BU64" s="111"/>
      <c r="BV64" s="1261"/>
      <c r="BW64" s="111">
        <f>300/1000*29.307*17137</f>
        <v>150670.21769999998</v>
      </c>
      <c r="BX64" s="1400">
        <f>270/1000*29.307*620</f>
        <v>4905.9917999999998</v>
      </c>
      <c r="BY64" s="1403"/>
      <c r="BZ64" s="111">
        <f>153*460/1000*29.307</f>
        <v>2062.6266599999999</v>
      </c>
      <c r="CA64" s="135" t="s">
        <v>100</v>
      </c>
      <c r="CB64" s="111" t="s">
        <v>100</v>
      </c>
    </row>
    <row r="65" spans="1:80" x14ac:dyDescent="0.45">
      <c r="A65" s="10">
        <v>1935</v>
      </c>
      <c r="B65" s="1280">
        <v>718</v>
      </c>
      <c r="C65" s="1258">
        <f>0.00475*29.307*13307</f>
        <v>1852.4441827499998</v>
      </c>
      <c r="D65" s="111">
        <f>0.00475*29.307*113172</f>
        <v>15754.476068999997</v>
      </c>
      <c r="E65" s="1281">
        <f t="shared" si="3"/>
        <v>8821.7726239375806</v>
      </c>
      <c r="F65" s="111"/>
      <c r="G65" s="112"/>
      <c r="H65" s="112"/>
      <c r="I65" s="112"/>
      <c r="J65" s="112"/>
      <c r="K65" s="112"/>
      <c r="L65" s="1282">
        <f t="shared" si="4"/>
        <v>14757.042344562422</v>
      </c>
      <c r="M65" s="1258"/>
      <c r="N65" s="111">
        <f>0.00475*29.307*169378</f>
        <v>23578.814968499995</v>
      </c>
      <c r="O65" s="111">
        <f>0.00475*29.307*295857</f>
        <v>41185.735220249997</v>
      </c>
      <c r="P65" s="112"/>
      <c r="Q65" s="1261">
        <f>0.00475*29.307*295857</f>
        <v>41185.735220249997</v>
      </c>
      <c r="R65" s="1258"/>
      <c r="S65" s="112"/>
      <c r="T65" s="111"/>
      <c r="U65" s="112" t="s">
        <v>100</v>
      </c>
      <c r="V65" s="111" t="s">
        <v>100</v>
      </c>
      <c r="W65" s="134">
        <v>6559</v>
      </c>
      <c r="X65" s="1283">
        <f t="shared" si="5"/>
        <v>3429.0978156683846</v>
      </c>
      <c r="Y65" s="134"/>
      <c r="Z65" s="1281">
        <f t="shared" si="6"/>
        <v>528.90218433161544</v>
      </c>
      <c r="AA65" s="1258"/>
      <c r="AB65" s="126">
        <v>10517</v>
      </c>
      <c r="AC65" s="111">
        <v>3958</v>
      </c>
      <c r="AD65" s="113">
        <v>1935</v>
      </c>
      <c r="AJ65" s="114"/>
      <c r="AK65" s="114"/>
      <c r="BN65" s="124">
        <v>1935</v>
      </c>
      <c r="BO65" s="135"/>
      <c r="BP65" s="111"/>
      <c r="BQ65" s="135"/>
      <c r="BR65" s="111"/>
      <c r="BS65" s="111"/>
      <c r="BT65" s="112"/>
      <c r="BU65" s="111"/>
      <c r="BV65" s="1261"/>
      <c r="BW65" s="111">
        <f>300/1000*29.307*17294</f>
        <v>152050.57739999998</v>
      </c>
      <c r="BX65" s="1400">
        <f>270/1000*29.307*640</f>
        <v>5064.2496000000001</v>
      </c>
      <c r="BY65" s="1403"/>
      <c r="BZ65" s="111">
        <f>158*460/1000*29.307</f>
        <v>2130.0327600000001</v>
      </c>
      <c r="CA65" s="135" t="s">
        <v>100</v>
      </c>
      <c r="CB65" s="111" t="s">
        <v>100</v>
      </c>
    </row>
    <row r="66" spans="1:80" x14ac:dyDescent="0.45">
      <c r="A66" s="10">
        <v>1936</v>
      </c>
      <c r="B66" s="1280">
        <v>714</v>
      </c>
      <c r="C66" s="1258">
        <f>0.00473*29.307*13908</f>
        <v>1927.9563058799999</v>
      </c>
      <c r="D66" s="111">
        <f>0.00473*29.307*116609</f>
        <v>16164.585624989999</v>
      </c>
      <c r="E66" s="1281">
        <f t="shared" si="3"/>
        <v>9305.3952001713224</v>
      </c>
      <c r="F66" s="111"/>
      <c r="G66" s="112"/>
      <c r="H66" s="112"/>
      <c r="I66" s="112"/>
      <c r="J66" s="112"/>
      <c r="K66" s="112"/>
      <c r="L66" s="1282">
        <f t="shared" si="4"/>
        <v>15566.045153918676</v>
      </c>
      <c r="M66" s="1258"/>
      <c r="N66" s="111">
        <f>0.00473*29.307*179419</f>
        <v>24871.440354089998</v>
      </c>
      <c r="O66" s="111">
        <f>0.00473*29.307*309936</f>
        <v>42963.982284959995</v>
      </c>
      <c r="P66" s="112"/>
      <c r="Q66" s="1261">
        <f>0.00473*29.307*309936</f>
        <v>42963.982284959995</v>
      </c>
      <c r="R66" s="1258"/>
      <c r="S66" s="112"/>
      <c r="T66" s="111"/>
      <c r="U66" s="112" t="s">
        <v>100</v>
      </c>
      <c r="V66" s="111" t="s">
        <v>100</v>
      </c>
      <c r="W66" s="134">
        <v>6802</v>
      </c>
      <c r="X66" s="1283">
        <f t="shared" si="5"/>
        <v>3442.0933859652582</v>
      </c>
      <c r="Y66" s="134"/>
      <c r="Z66" s="1281">
        <f t="shared" si="6"/>
        <v>530.90661403474178</v>
      </c>
      <c r="AA66" s="1258"/>
      <c r="AB66" s="126">
        <v>10775</v>
      </c>
      <c r="AC66" s="111">
        <v>3973</v>
      </c>
      <c r="AD66" s="113">
        <v>1936</v>
      </c>
      <c r="AJ66" s="114"/>
      <c r="AK66" s="114"/>
      <c r="BN66" s="124">
        <v>1936</v>
      </c>
      <c r="BO66" s="135"/>
      <c r="BP66" s="111"/>
      <c r="BQ66" s="135"/>
      <c r="BR66" s="111"/>
      <c r="BS66" s="111"/>
      <c r="BT66" s="112"/>
      <c r="BU66" s="111"/>
      <c r="BV66" s="1261"/>
      <c r="BW66" s="111">
        <f>300/1000*29.307*18334</f>
        <v>161194.36139999999</v>
      </c>
      <c r="BX66" s="1400">
        <f>270/1000*29.307*545</f>
        <v>4312.5250500000002</v>
      </c>
      <c r="BY66" s="1403"/>
      <c r="BZ66" s="111">
        <f>123*460/1000*29.307</f>
        <v>1658.1900599999999</v>
      </c>
      <c r="CA66" s="135" t="s">
        <v>100</v>
      </c>
      <c r="CB66" s="111" t="s">
        <v>100</v>
      </c>
    </row>
    <row r="67" spans="1:80" x14ac:dyDescent="0.45">
      <c r="A67" s="10">
        <v>1937</v>
      </c>
      <c r="B67" s="1280">
        <v>706</v>
      </c>
      <c r="C67" s="1258">
        <f>0.00473*29.307*14483</f>
        <v>2007.6640191299998</v>
      </c>
      <c r="D67" s="111">
        <f>0.00473*29.307*118069</f>
        <v>16366.973905589999</v>
      </c>
      <c r="E67" s="1281">
        <f t="shared" si="3"/>
        <v>9535.1010581995051</v>
      </c>
      <c r="F67" s="111"/>
      <c r="G67" s="112"/>
      <c r="H67" s="112"/>
      <c r="I67" s="112"/>
      <c r="J67" s="112"/>
      <c r="K67" s="112"/>
      <c r="L67" s="1282">
        <f t="shared" si="4"/>
        <v>15950.29662108049</v>
      </c>
      <c r="M67" s="1258"/>
      <c r="N67" s="111">
        <f>0.00473*29.307*183848</f>
        <v>25485.397679279999</v>
      </c>
      <c r="O67" s="111">
        <f>0.00473*29.307*316400</f>
        <v>43860.035603999997</v>
      </c>
      <c r="P67" s="112"/>
      <c r="Q67" s="1261">
        <f>0.00473*29.307*316400</f>
        <v>43860.035603999997</v>
      </c>
      <c r="R67" s="1258"/>
      <c r="S67" s="112"/>
      <c r="T67" s="111"/>
      <c r="U67" s="112" t="s">
        <v>100</v>
      </c>
      <c r="V67" s="111" t="s">
        <v>100</v>
      </c>
      <c r="W67" s="134">
        <v>7007</v>
      </c>
      <c r="X67" s="1283">
        <f t="shared" si="5"/>
        <v>3468.0845265590056</v>
      </c>
      <c r="Y67" s="134"/>
      <c r="Z67" s="1281">
        <f t="shared" si="6"/>
        <v>534.91547344099445</v>
      </c>
      <c r="AA67" s="1258"/>
      <c r="AB67" s="126">
        <v>11010</v>
      </c>
      <c r="AC67" s="111">
        <v>4003</v>
      </c>
      <c r="AD67" s="113">
        <v>1937</v>
      </c>
      <c r="AJ67" s="114"/>
      <c r="AK67" s="114"/>
      <c r="BC67" s="1307"/>
      <c r="BN67" s="124">
        <v>1937</v>
      </c>
      <c r="BO67" s="135"/>
      <c r="BP67" s="111"/>
      <c r="BQ67" s="135"/>
      <c r="BR67" s="111"/>
      <c r="BS67" s="111"/>
      <c r="BT67" s="112"/>
      <c r="BU67" s="111"/>
      <c r="BV67" s="1261"/>
      <c r="BW67" s="111">
        <f>300/1000*29.307*18650</f>
        <v>163972.66499999998</v>
      </c>
      <c r="BX67" s="1400">
        <f>270/1000*29.307*530</f>
        <v>4193.8316999999997</v>
      </c>
      <c r="BY67" s="1403"/>
      <c r="BZ67" s="111">
        <f>125*460/1000*29.307</f>
        <v>1685.1524999999999</v>
      </c>
      <c r="CA67" s="135" t="s">
        <v>100</v>
      </c>
      <c r="CB67" s="111" t="s">
        <v>100</v>
      </c>
    </row>
    <row r="68" spans="1:80" x14ac:dyDescent="0.45">
      <c r="A68" s="10">
        <v>1938</v>
      </c>
      <c r="B68" s="1280">
        <v>703</v>
      </c>
      <c r="C68" s="1258">
        <f>0.00478*29.307*14912</f>
        <v>2088.9842035199999</v>
      </c>
      <c r="D68" s="111">
        <f>0.00478*29.307*117730</f>
        <v>16492.496665800001</v>
      </c>
      <c r="E68" s="1281">
        <f t="shared" si="3"/>
        <v>9487.7778029800065</v>
      </c>
      <c r="F68" s="111"/>
      <c r="G68" s="112"/>
      <c r="H68" s="112"/>
      <c r="I68" s="112"/>
      <c r="J68" s="112"/>
      <c r="K68" s="112"/>
      <c r="L68" s="1282">
        <f t="shared" si="4"/>
        <v>15871.134381139993</v>
      </c>
      <c r="M68" s="1258"/>
      <c r="N68" s="111">
        <f>0.00478*29.307*181022</f>
        <v>25358.912184119999</v>
      </c>
      <c r="O68" s="111">
        <f>0.00478*29.307*313664</f>
        <v>43940.393053439999</v>
      </c>
      <c r="P68" s="112"/>
      <c r="Q68" s="1261">
        <f>0.00478*29.307*313664</f>
        <v>43940.393053439999</v>
      </c>
      <c r="R68" s="1258"/>
      <c r="S68" s="112"/>
      <c r="T68" s="111"/>
      <c r="U68" s="112" t="s">
        <v>100</v>
      </c>
      <c r="V68" s="111" t="s">
        <v>100</v>
      </c>
      <c r="W68" s="134">
        <v>7249</v>
      </c>
      <c r="X68" s="1283">
        <f t="shared" si="5"/>
        <v>3436.0287864933839</v>
      </c>
      <c r="Y68" s="134"/>
      <c r="Z68" s="1281">
        <f t="shared" si="6"/>
        <v>529.9712135066161</v>
      </c>
      <c r="AA68" s="1258"/>
      <c r="AB68" s="126">
        <v>11215</v>
      </c>
      <c r="AC68" s="111">
        <v>3966</v>
      </c>
      <c r="AD68" s="113">
        <v>1938</v>
      </c>
      <c r="AJ68" s="114"/>
      <c r="AK68" s="114"/>
      <c r="BC68" s="1307"/>
      <c r="BN68" s="124">
        <v>1938</v>
      </c>
      <c r="BO68" s="135"/>
      <c r="BP68" s="111"/>
      <c r="BQ68" s="135"/>
      <c r="BR68" s="111"/>
      <c r="BS68" s="111"/>
      <c r="BT68" s="112"/>
      <c r="BU68" s="111"/>
      <c r="BV68" s="1261"/>
      <c r="BW68" s="111">
        <f>300/1000*29.307*18469</f>
        <v>162381.29489999998</v>
      </c>
      <c r="BX68" s="1400">
        <f>270/1000*29.307*535</f>
        <v>4233.3961499999996</v>
      </c>
      <c r="BY68" s="1403"/>
      <c r="BZ68" s="111">
        <f>124*460/1000*29.307</f>
        <v>1671.6712799999998</v>
      </c>
      <c r="CA68" s="135" t="s">
        <v>100</v>
      </c>
      <c r="CB68" s="111" t="s">
        <v>100</v>
      </c>
    </row>
    <row r="69" spans="1:80" x14ac:dyDescent="0.45">
      <c r="A69" s="10">
        <v>1939</v>
      </c>
      <c r="B69" s="1280">
        <v>704</v>
      </c>
      <c r="C69" s="1258">
        <f>0.00477*29.307*9768</f>
        <v>1365.5116015199999</v>
      </c>
      <c r="D69" s="111">
        <f>0.00477*29.307*117440</f>
        <v>16417.453161599999</v>
      </c>
      <c r="E69" s="1281">
        <f t="shared" si="3"/>
        <v>9772.957904724246</v>
      </c>
      <c r="F69" s="111"/>
      <c r="G69" s="112"/>
      <c r="H69" s="112"/>
      <c r="I69" s="112"/>
      <c r="J69" s="112"/>
      <c r="K69" s="112"/>
      <c r="L69" s="1282">
        <f t="shared" si="4"/>
        <v>16348.183044335756</v>
      </c>
      <c r="M69" s="1258"/>
      <c r="N69" s="111">
        <f>0.00477*29.307*186854</f>
        <v>26121.140949059998</v>
      </c>
      <c r="O69" s="111">
        <f>0.00477*29.307*314062</f>
        <v>43904.105712179997</v>
      </c>
      <c r="P69" s="112"/>
      <c r="Q69" s="1261">
        <f>0.00477*29.307*314062</f>
        <v>43904.105712179997</v>
      </c>
      <c r="R69" s="1258"/>
      <c r="S69" s="112"/>
      <c r="T69" s="111"/>
      <c r="U69" s="112" t="s">
        <v>100</v>
      </c>
      <c r="V69" s="111" t="s">
        <v>100</v>
      </c>
      <c r="W69" s="134">
        <v>7426</v>
      </c>
      <c r="X69" s="1283">
        <f t="shared" si="5"/>
        <v>3397.9084469558884</v>
      </c>
      <c r="Y69" s="134"/>
      <c r="Z69" s="1281">
        <f t="shared" si="6"/>
        <v>524.09155304411161</v>
      </c>
      <c r="AA69" s="1258"/>
      <c r="AB69" s="126">
        <v>11348</v>
      </c>
      <c r="AC69" s="111">
        <v>3922</v>
      </c>
      <c r="AD69" s="113">
        <v>1939</v>
      </c>
      <c r="AJ69" s="114"/>
      <c r="AK69" s="114"/>
      <c r="BN69" s="124">
        <v>1939</v>
      </c>
      <c r="BO69" s="135"/>
      <c r="BP69" s="111"/>
      <c r="BQ69" s="135"/>
      <c r="BR69" s="111"/>
      <c r="BS69" s="111"/>
      <c r="BT69" s="112"/>
      <c r="BU69" s="111"/>
      <c r="BV69" s="1261"/>
      <c r="BW69" s="111">
        <f>300/1000*29.307*18180</f>
        <v>159840.378</v>
      </c>
      <c r="BX69" s="1400">
        <f>270/1000*29.307*547</f>
        <v>4328.3508300000003</v>
      </c>
      <c r="BY69" s="1403"/>
      <c r="BZ69" s="111">
        <f>129*460/1000*29.307</f>
        <v>1739.0773799999999</v>
      </c>
      <c r="CA69" s="135" t="s">
        <v>100</v>
      </c>
      <c r="CB69" s="111" t="s">
        <v>100</v>
      </c>
    </row>
    <row r="70" spans="1:80" x14ac:dyDescent="0.45">
      <c r="A70" s="10">
        <v>1940</v>
      </c>
      <c r="B70" s="1280">
        <v>693</v>
      </c>
      <c r="C70" s="1258">
        <f>0.00474*29.307*970</f>
        <v>134.7477246</v>
      </c>
      <c r="D70" s="111">
        <f>0.00474*29.307*112868</f>
        <v>15679.07853624</v>
      </c>
      <c r="E70" s="1281">
        <f t="shared" si="3"/>
        <v>9891.6335867072466</v>
      </c>
      <c r="F70" s="111"/>
      <c r="G70" s="112"/>
      <c r="H70" s="112"/>
      <c r="I70" s="112"/>
      <c r="J70" s="112"/>
      <c r="K70" s="112"/>
      <c r="L70" s="1282">
        <f t="shared" si="4"/>
        <v>16546.703470892753</v>
      </c>
      <c r="M70" s="1258"/>
      <c r="N70" s="111">
        <f>0.00474*29.307*190320</f>
        <v>26438.337057600002</v>
      </c>
      <c r="O70" s="111">
        <f>0.00474*29.307*304158</f>
        <v>42252.163318439998</v>
      </c>
      <c r="P70" s="112"/>
      <c r="Q70" s="1261">
        <f>0.00474*29.307*304158</f>
        <v>42252.163318439998</v>
      </c>
      <c r="R70" s="1258"/>
      <c r="S70" s="112"/>
      <c r="T70" s="111"/>
      <c r="U70" s="112" t="s">
        <v>100</v>
      </c>
      <c r="V70" s="111" t="s">
        <v>100</v>
      </c>
      <c r="W70" s="134">
        <v>7421</v>
      </c>
      <c r="X70" s="1283">
        <f t="shared" si="5"/>
        <v>3300.8748554058984</v>
      </c>
      <c r="Y70" s="134"/>
      <c r="Z70" s="1281">
        <f t="shared" si="6"/>
        <v>509.12514459410158</v>
      </c>
      <c r="AA70" s="1258"/>
      <c r="AB70" s="126">
        <v>11231</v>
      </c>
      <c r="AC70" s="111">
        <v>3810</v>
      </c>
      <c r="AD70" s="113">
        <v>1940</v>
      </c>
      <c r="AJ70" s="114"/>
      <c r="AK70" s="114"/>
      <c r="BN70" s="124">
        <v>1940</v>
      </c>
      <c r="BO70" s="135"/>
      <c r="BP70" s="111"/>
      <c r="BQ70" s="135"/>
      <c r="BR70" s="111"/>
      <c r="BS70" s="111"/>
      <c r="BT70" s="112"/>
      <c r="BU70" s="111"/>
      <c r="BV70" s="1261"/>
      <c r="BW70" s="111">
        <f>300/1000*29.307*17353</f>
        <v>152569.3113</v>
      </c>
      <c r="BX70" s="1400">
        <f>270/1000*29.307*552</f>
        <v>4367.9152800000002</v>
      </c>
      <c r="BY70" s="1403"/>
      <c r="BZ70" s="111">
        <f>152*460/1000*29.307</f>
        <v>2049.1454399999998</v>
      </c>
      <c r="CA70" s="135" t="s">
        <v>100</v>
      </c>
      <c r="CB70" s="111" t="s">
        <v>100</v>
      </c>
    </row>
    <row r="71" spans="1:80" x14ac:dyDescent="0.45">
      <c r="A71" s="10">
        <v>1941</v>
      </c>
      <c r="B71" s="1280">
        <v>685</v>
      </c>
      <c r="C71" s="1258">
        <f>0.00471*29.307*1436</f>
        <v>198.21965291999996</v>
      </c>
      <c r="D71" s="111">
        <f>0.00471*29.307*116372</f>
        <v>16063.521900839998</v>
      </c>
      <c r="E71" s="1281">
        <f t="shared" si="3"/>
        <v>10618.779786931733</v>
      </c>
      <c r="F71" s="111"/>
      <c r="G71" s="112"/>
      <c r="H71" s="112"/>
      <c r="I71" s="112"/>
      <c r="J71" s="112"/>
      <c r="K71" s="112"/>
      <c r="L71" s="1282">
        <f t="shared" si="4"/>
        <v>17763.07207670826</v>
      </c>
      <c r="M71" s="1258"/>
      <c r="N71" s="111">
        <f>0.00471*29.307*205612</f>
        <v>28381.851863639997</v>
      </c>
      <c r="O71" s="111">
        <f>0.00471*29.307*323420</f>
        <v>44643.593417399992</v>
      </c>
      <c r="P71" s="112"/>
      <c r="Q71" s="1261">
        <f>0.00471*29.307*323420</f>
        <v>44643.593417399992</v>
      </c>
      <c r="R71" s="1258"/>
      <c r="S71" s="112"/>
      <c r="T71" s="111"/>
      <c r="U71" s="112" t="s">
        <v>100</v>
      </c>
      <c r="V71" s="111" t="s">
        <v>100</v>
      </c>
      <c r="W71" s="134">
        <v>7286</v>
      </c>
      <c r="X71" s="1283">
        <f t="shared" si="5"/>
        <v>3210.7722346809078</v>
      </c>
      <c r="Y71" s="134"/>
      <c r="Z71" s="1281">
        <f t="shared" si="6"/>
        <v>495.22776531909221</v>
      </c>
      <c r="AA71" s="1258"/>
      <c r="AB71" s="126">
        <v>10992</v>
      </c>
      <c r="AC71" s="111">
        <v>3706</v>
      </c>
      <c r="AD71" s="113">
        <v>1941</v>
      </c>
      <c r="AJ71" s="114"/>
      <c r="AK71" s="114"/>
      <c r="BN71" s="124">
        <v>1941</v>
      </c>
      <c r="BO71" s="135"/>
      <c r="BP71" s="111"/>
      <c r="BQ71" s="135"/>
      <c r="BR71" s="111"/>
      <c r="BS71" s="111"/>
      <c r="BT71" s="112"/>
      <c r="BU71" s="111"/>
      <c r="BV71" s="1261"/>
      <c r="BW71" s="111">
        <f>300/1000*29.307*18589</f>
        <v>163436.3469</v>
      </c>
      <c r="BX71" s="1400">
        <f>270/1000*29.307*626</f>
        <v>4953.4691400000002</v>
      </c>
      <c r="BY71" s="1403"/>
      <c r="BZ71" s="111">
        <f>178*460/1000*29.307</f>
        <v>2399.6571599999997</v>
      </c>
      <c r="CA71" s="135" t="s">
        <v>100</v>
      </c>
      <c r="CB71" s="111" t="s">
        <v>100</v>
      </c>
    </row>
    <row r="72" spans="1:80" x14ac:dyDescent="0.45">
      <c r="A72" s="1308" t="s">
        <v>245</v>
      </c>
      <c r="B72" s="1309">
        <v>681</v>
      </c>
      <c r="C72" s="1310">
        <f>0.00468*29.307*1577</f>
        <v>216.29621051999999</v>
      </c>
      <c r="D72" s="1311">
        <f>0.00468*29.307*127522</f>
        <v>17490.504348719998</v>
      </c>
      <c r="E72" s="1312">
        <f t="shared" si="3"/>
        <v>11308.565453257155</v>
      </c>
      <c r="F72" s="1311"/>
      <c r="G72" s="1313"/>
      <c r="H72" s="1313"/>
      <c r="I72" s="1313"/>
      <c r="J72" s="1313"/>
      <c r="K72" s="1313"/>
      <c r="L72" s="1282">
        <f t="shared" si="4"/>
        <v>18916.944061462847</v>
      </c>
      <c r="M72" s="1310"/>
      <c r="N72" s="1311">
        <f>0.00468*29.307*220372</f>
        <v>30225.509514719997</v>
      </c>
      <c r="O72" s="1311">
        <f>0.00468*29.307*349471</f>
        <v>47932.310073959998</v>
      </c>
      <c r="P72" s="1311"/>
      <c r="Q72" s="1314">
        <f>0.00468*29.307*349471</f>
        <v>47932.310073959998</v>
      </c>
      <c r="R72" s="1258"/>
      <c r="S72" s="112"/>
      <c r="T72" s="111"/>
      <c r="U72" s="112" t="s">
        <v>100</v>
      </c>
      <c r="V72" s="111" t="s">
        <v>100</v>
      </c>
      <c r="W72" s="1315">
        <v>7269</v>
      </c>
      <c r="X72" s="1312">
        <f t="shared" si="5"/>
        <v>3208.1731206215336</v>
      </c>
      <c r="Y72" s="1315"/>
      <c r="Z72" s="1316">
        <f t="shared" si="6"/>
        <v>494.8268793784664</v>
      </c>
      <c r="AA72" s="1310"/>
      <c r="AB72" s="1317">
        <v>10972</v>
      </c>
      <c r="AC72" s="1311">
        <v>3703</v>
      </c>
      <c r="AD72" s="113">
        <v>1942</v>
      </c>
      <c r="AJ72" s="114"/>
      <c r="AK72" s="114"/>
      <c r="BN72" s="124">
        <v>1942</v>
      </c>
      <c r="BO72" s="1358"/>
      <c r="BP72" s="1294"/>
      <c r="BQ72" s="135"/>
      <c r="BR72" s="111"/>
      <c r="BS72" s="111"/>
      <c r="BT72" s="112"/>
      <c r="BU72" s="111"/>
      <c r="BV72" s="1261"/>
      <c r="BW72" s="111">
        <f>300/1000*29.307*19855</f>
        <v>174567.14549999998</v>
      </c>
      <c r="BX72" s="1400">
        <f>270/1000*29.307*722</f>
        <v>5713.1065799999997</v>
      </c>
      <c r="BY72" s="1403"/>
      <c r="BZ72" s="111">
        <f>200*460/1000*29.307</f>
        <v>2696.2439999999997</v>
      </c>
      <c r="CA72" s="135" t="s">
        <v>100</v>
      </c>
      <c r="CB72" s="111" t="s">
        <v>100</v>
      </c>
    </row>
    <row r="73" spans="1:80" x14ac:dyDescent="0.45">
      <c r="A73" s="12">
        <v>1943</v>
      </c>
      <c r="B73" s="1280">
        <v>1060</v>
      </c>
      <c r="C73" s="112">
        <f>6*29.307</f>
        <v>175.84199999999998</v>
      </c>
      <c r="D73" s="1318">
        <f>D72*O73/O72</f>
        <v>18083.768743369259</v>
      </c>
      <c r="E73" s="134">
        <f>1016*29.307</f>
        <v>29775.912</v>
      </c>
      <c r="F73" s="111" t="s">
        <v>100</v>
      </c>
      <c r="G73" s="134">
        <f>468*29.307</f>
        <v>13715.675999999999</v>
      </c>
      <c r="H73" s="111" t="s">
        <v>100</v>
      </c>
      <c r="I73" s="111" t="s">
        <v>100</v>
      </c>
      <c r="J73" s="111" t="s">
        <v>100</v>
      </c>
      <c r="K73" s="111" t="s">
        <v>100</v>
      </c>
      <c r="L73" s="1278">
        <f>(135+66)*29.307</f>
        <v>5890.7069999999994</v>
      </c>
      <c r="M73" s="111" t="s">
        <v>100</v>
      </c>
      <c r="N73" s="134">
        <f>N72*O73/O72</f>
        <v>31250.735445756582</v>
      </c>
      <c r="O73" s="134">
        <f>1691*29.307</f>
        <v>49558.136999999995</v>
      </c>
      <c r="P73" s="111" t="s">
        <v>100</v>
      </c>
      <c r="Q73" s="1317">
        <f>1691*29.307</f>
        <v>49558.136999999995</v>
      </c>
      <c r="R73" s="111"/>
      <c r="S73" s="112"/>
      <c r="T73" s="111"/>
      <c r="U73" s="112" t="s">
        <v>100</v>
      </c>
      <c r="V73" s="111" t="s">
        <v>100</v>
      </c>
      <c r="W73" s="1319">
        <f>W72*AB73/AB72</f>
        <v>7413.4259934378415</v>
      </c>
      <c r="X73" s="111">
        <v>10619</v>
      </c>
      <c r="Y73" s="135">
        <v>98</v>
      </c>
      <c r="Z73" s="111">
        <v>385</v>
      </c>
      <c r="AA73" s="135">
        <v>88</v>
      </c>
      <c r="AB73" s="1317">
        <v>11190</v>
      </c>
      <c r="AC73" s="1320">
        <f>3700</f>
        <v>3700</v>
      </c>
      <c r="AD73" s="113">
        <v>1943</v>
      </c>
      <c r="AJ73" s="114"/>
      <c r="AK73" s="114"/>
      <c r="BN73" s="124">
        <v>1943</v>
      </c>
      <c r="BO73" s="112"/>
      <c r="BP73" s="111"/>
      <c r="BQ73" s="135"/>
      <c r="BR73" s="111"/>
      <c r="BS73" s="111"/>
      <c r="BT73" s="112"/>
      <c r="BU73" s="111"/>
      <c r="BV73" s="1261"/>
      <c r="BW73" s="111">
        <f>300/1000*29.307*20732</f>
        <v>182277.81719999999</v>
      </c>
      <c r="BX73" s="1400">
        <f>270/1000*29.307*731</f>
        <v>5784.3225899999998</v>
      </c>
      <c r="BY73" s="1401"/>
      <c r="BZ73" s="111">
        <f>191*460/1000*29.307</f>
        <v>2574.91302</v>
      </c>
      <c r="CA73" s="135" t="s">
        <v>100</v>
      </c>
      <c r="CB73" s="111" t="s">
        <v>100</v>
      </c>
    </row>
    <row r="74" spans="1:80" x14ac:dyDescent="0.45">
      <c r="A74" s="10">
        <v>1944</v>
      </c>
      <c r="B74" s="1280">
        <v>1055</v>
      </c>
      <c r="C74" s="1258">
        <f>9*29.307</f>
        <v>263.76299999999998</v>
      </c>
      <c r="D74" s="1258"/>
      <c r="E74" s="111">
        <f>1078*29.307</f>
        <v>31592.946</v>
      </c>
      <c r="F74" s="111" t="s">
        <v>100</v>
      </c>
      <c r="G74" s="1258">
        <f>436*29.307</f>
        <v>12777.851999999999</v>
      </c>
      <c r="H74" s="111" t="s">
        <v>100</v>
      </c>
      <c r="I74" s="111" t="s">
        <v>100</v>
      </c>
      <c r="J74" s="111" t="s">
        <v>100</v>
      </c>
      <c r="K74" s="111" t="s">
        <v>100</v>
      </c>
      <c r="L74" s="111">
        <f>(163+84)*29.307</f>
        <v>7238.8289999999997</v>
      </c>
      <c r="M74" s="111" t="s">
        <v>100</v>
      </c>
      <c r="N74" s="134"/>
      <c r="O74" s="111">
        <f>1770*29.307</f>
        <v>51873.39</v>
      </c>
      <c r="P74" s="111" t="s">
        <v>100</v>
      </c>
      <c r="Q74" s="1261">
        <f>1770*29.307</f>
        <v>51873.39</v>
      </c>
      <c r="R74" s="1258"/>
      <c r="S74" s="112"/>
      <c r="T74" s="111"/>
      <c r="U74" s="112" t="s">
        <v>100</v>
      </c>
      <c r="V74" s="111" t="s">
        <v>100</v>
      </c>
      <c r="W74" s="111"/>
      <c r="X74" s="111">
        <v>10528</v>
      </c>
      <c r="Y74" s="135">
        <v>100</v>
      </c>
      <c r="Z74" s="111">
        <v>432</v>
      </c>
      <c r="AA74" s="135">
        <v>97</v>
      </c>
      <c r="AB74" s="1317">
        <v>11157</v>
      </c>
      <c r="AC74" s="1317"/>
      <c r="AD74" s="113">
        <v>1944</v>
      </c>
      <c r="AJ74" s="114"/>
      <c r="AK74" s="114"/>
      <c r="BN74" s="124">
        <v>1944</v>
      </c>
      <c r="BO74" s="135"/>
      <c r="BP74" s="111"/>
      <c r="BQ74" s="135"/>
      <c r="BR74" s="111"/>
      <c r="BS74" s="111"/>
      <c r="BT74" s="112"/>
      <c r="BU74" s="111"/>
      <c r="BV74" s="1261"/>
      <c r="BW74" s="111">
        <f>300/1000*29.307*20620</f>
        <v>181293.10199999998</v>
      </c>
      <c r="BX74" s="1400">
        <f>270/1000*29.307*1058</f>
        <v>8371.8376200000002</v>
      </c>
      <c r="BY74" s="1401"/>
      <c r="BZ74" s="111">
        <f>353*460/1000*29.307</f>
        <v>4758.8706599999996</v>
      </c>
      <c r="CA74" s="135" t="s">
        <v>100</v>
      </c>
      <c r="CB74" s="111" t="s">
        <v>100</v>
      </c>
    </row>
    <row r="75" spans="1:80" x14ac:dyDescent="0.45">
      <c r="A75" s="10">
        <v>1945</v>
      </c>
      <c r="B75" s="1280">
        <v>1056</v>
      </c>
      <c r="C75" s="1258">
        <f>26*29.307</f>
        <v>761.98199999999997</v>
      </c>
      <c r="D75" s="1258"/>
      <c r="E75" s="111">
        <f>1174*29.307</f>
        <v>34406.417999999998</v>
      </c>
      <c r="F75" s="111" t="s">
        <v>100</v>
      </c>
      <c r="G75" s="1258">
        <f>391*29.307</f>
        <v>11459.037</v>
      </c>
      <c r="H75" s="111" t="s">
        <v>100</v>
      </c>
      <c r="I75" s="111" t="s">
        <v>100</v>
      </c>
      <c r="J75" s="111" t="s">
        <v>100</v>
      </c>
      <c r="K75" s="111" t="s">
        <v>100</v>
      </c>
      <c r="L75" s="111">
        <f>(160+70)*29.307</f>
        <v>6740.61</v>
      </c>
      <c r="M75" s="111" t="s">
        <v>100</v>
      </c>
      <c r="N75" s="134"/>
      <c r="O75" s="111">
        <f>1821*29.307</f>
        <v>53368.046999999999</v>
      </c>
      <c r="P75" s="111" t="s">
        <v>100</v>
      </c>
      <c r="Q75" s="1261">
        <f>1821*29.307</f>
        <v>53368.046999999999</v>
      </c>
      <c r="R75" s="1258"/>
      <c r="S75" s="112"/>
      <c r="T75" s="111"/>
      <c r="U75" s="112" t="s">
        <v>100</v>
      </c>
      <c r="V75" s="111" t="s">
        <v>100</v>
      </c>
      <c r="W75" s="111"/>
      <c r="X75" s="111">
        <v>10638</v>
      </c>
      <c r="Y75" s="135">
        <v>102</v>
      </c>
      <c r="Z75" s="111">
        <v>463</v>
      </c>
      <c r="AA75" s="135">
        <v>87</v>
      </c>
      <c r="AB75" s="1317">
        <v>11290</v>
      </c>
      <c r="AC75" s="1317"/>
      <c r="AD75" s="113">
        <v>1945</v>
      </c>
      <c r="AJ75" s="114"/>
      <c r="AK75" s="114"/>
      <c r="BN75" s="124">
        <v>1945</v>
      </c>
      <c r="BO75" s="135"/>
      <c r="BP75" s="111"/>
      <c r="BQ75" s="135"/>
      <c r="BR75" s="111"/>
      <c r="BS75" s="111"/>
      <c r="BT75" s="112"/>
      <c r="BU75" s="111"/>
      <c r="BV75" s="1261"/>
      <c r="BW75" s="111">
        <f>300/1000*29.307*20845</f>
        <v>183271.32449999999</v>
      </c>
      <c r="BX75" s="1400">
        <f>270/1000*29.307*1181</f>
        <v>9345.1230899999991</v>
      </c>
      <c r="BY75" s="1401"/>
      <c r="BZ75" s="111">
        <f>401*460/1000*29.307</f>
        <v>5405.96922</v>
      </c>
      <c r="CA75" s="135" t="s">
        <v>100</v>
      </c>
      <c r="CB75" s="111" t="s">
        <v>100</v>
      </c>
    </row>
    <row r="76" spans="1:80" x14ac:dyDescent="0.45">
      <c r="A76" s="10">
        <v>1946</v>
      </c>
      <c r="B76" s="1280">
        <v>1056</v>
      </c>
      <c r="C76" s="1258">
        <f>38*29.307</f>
        <v>1113.6659999999999</v>
      </c>
      <c r="D76" s="1258"/>
      <c r="E76" s="111">
        <f>1315*29.307</f>
        <v>38538.705000000002</v>
      </c>
      <c r="F76" s="111" t="s">
        <v>100</v>
      </c>
      <c r="G76" s="1258">
        <f>401*29.307</f>
        <v>11752.107</v>
      </c>
      <c r="H76" s="111" t="s">
        <v>100</v>
      </c>
      <c r="I76" s="111" t="s">
        <v>100</v>
      </c>
      <c r="J76" s="111" t="s">
        <v>100</v>
      </c>
      <c r="K76" s="111" t="s">
        <v>100</v>
      </c>
      <c r="L76" s="111">
        <f>(186+62)*29.307</f>
        <v>7268.1359999999995</v>
      </c>
      <c r="M76" s="111" t="s">
        <v>100</v>
      </c>
      <c r="N76" s="134"/>
      <c r="O76" s="111">
        <f>2002*29.307</f>
        <v>58672.613999999994</v>
      </c>
      <c r="P76" s="111" t="s">
        <v>100</v>
      </c>
      <c r="Q76" s="1261">
        <f>2002*29.307</f>
        <v>58672.613999999994</v>
      </c>
      <c r="R76" s="1258"/>
      <c r="S76" s="112"/>
      <c r="T76" s="111"/>
      <c r="U76" s="112" t="s">
        <v>100</v>
      </c>
      <c r="V76" s="111" t="s">
        <v>100</v>
      </c>
      <c r="W76" s="111"/>
      <c r="X76" s="111">
        <v>10767</v>
      </c>
      <c r="Y76" s="135">
        <v>105</v>
      </c>
      <c r="Z76" s="111">
        <v>502</v>
      </c>
      <c r="AA76" s="135">
        <v>76</v>
      </c>
      <c r="AB76" s="1317">
        <v>11450</v>
      </c>
      <c r="AC76" s="1317"/>
      <c r="AD76" s="113">
        <v>1946</v>
      </c>
      <c r="AJ76" s="114"/>
      <c r="AK76" s="114"/>
      <c r="BN76" s="124">
        <v>1946</v>
      </c>
      <c r="BO76" s="135"/>
      <c r="BP76" s="111"/>
      <c r="BQ76" s="135"/>
      <c r="BR76" s="111"/>
      <c r="BS76" s="111"/>
      <c r="BT76" s="112"/>
      <c r="BU76" s="111"/>
      <c r="BV76" s="1261"/>
      <c r="BW76" s="111">
        <f>300/1000*29.307*22529</f>
        <v>198077.22089999999</v>
      </c>
      <c r="BX76" s="1400">
        <f>270/1000*29.307*1393</f>
        <v>11022.655769999999</v>
      </c>
      <c r="BY76" s="1401"/>
      <c r="BZ76" s="111">
        <f>502*460/1000*29.307</f>
        <v>6767.572439999999</v>
      </c>
      <c r="CA76" s="135" t="s">
        <v>100</v>
      </c>
      <c r="CB76" s="111" t="s">
        <v>100</v>
      </c>
    </row>
    <row r="77" spans="1:80" x14ac:dyDescent="0.45">
      <c r="A77" s="10">
        <v>1947</v>
      </c>
      <c r="B77" s="1280">
        <v>1049</v>
      </c>
      <c r="C77" s="1258">
        <f>26*29.307</f>
        <v>761.98199999999997</v>
      </c>
      <c r="D77" s="1258"/>
      <c r="E77" s="111">
        <f>1390*29.307</f>
        <v>40736.729999999996</v>
      </c>
      <c r="F77" s="111" t="s">
        <v>100</v>
      </c>
      <c r="G77" s="1258">
        <f>416*29.307</f>
        <v>12191.712</v>
      </c>
      <c r="H77" s="111" t="s">
        <v>100</v>
      </c>
      <c r="I77" s="111" t="s">
        <v>100</v>
      </c>
      <c r="J77" s="111" t="s">
        <v>100</v>
      </c>
      <c r="K77" s="111" t="s">
        <v>100</v>
      </c>
      <c r="L77" s="111">
        <f>(202+60)*29.307</f>
        <v>7678.4339999999993</v>
      </c>
      <c r="M77" s="111" t="s">
        <v>100</v>
      </c>
      <c r="N77" s="134"/>
      <c r="O77" s="111">
        <f>2094*29.307</f>
        <v>61368.858</v>
      </c>
      <c r="P77" s="111" t="s">
        <v>100</v>
      </c>
      <c r="Q77" s="1261">
        <f>2094*29.307</f>
        <v>61368.858</v>
      </c>
      <c r="R77" s="1258"/>
      <c r="S77" s="112"/>
      <c r="T77" s="111"/>
      <c r="U77" s="112" t="s">
        <v>100</v>
      </c>
      <c r="V77" s="111" t="s">
        <v>100</v>
      </c>
      <c r="W77" s="111"/>
      <c r="X77" s="111">
        <v>10909</v>
      </c>
      <c r="Y77" s="135">
        <v>105</v>
      </c>
      <c r="Z77" s="111">
        <v>511</v>
      </c>
      <c r="AA77" s="135">
        <v>74</v>
      </c>
      <c r="AB77" s="1317">
        <v>11599</v>
      </c>
      <c r="AC77" s="1317"/>
      <c r="AD77" s="113">
        <v>1947</v>
      </c>
      <c r="AJ77" s="114"/>
      <c r="AK77" s="114"/>
      <c r="BN77" s="124">
        <v>1947</v>
      </c>
      <c r="BO77" s="135"/>
      <c r="BP77" s="111"/>
      <c r="BQ77" s="135"/>
      <c r="BR77" s="111"/>
      <c r="BS77" s="111"/>
      <c r="BT77" s="112"/>
      <c r="BU77" s="111"/>
      <c r="BV77" s="1261"/>
      <c r="BW77" s="111">
        <f>300/1000*29.307*22543</f>
        <v>198200.31029999998</v>
      </c>
      <c r="BX77" s="1400">
        <f>270/1000*29.307*1483</f>
        <v>11734.81587</v>
      </c>
      <c r="BY77" s="1401"/>
      <c r="BZ77" s="111">
        <f>651*460/1000*29.307</f>
        <v>8776.2742199999993</v>
      </c>
      <c r="CA77" s="135" t="s">
        <v>100</v>
      </c>
      <c r="CB77" s="111" t="s">
        <v>100</v>
      </c>
    </row>
    <row r="78" spans="1:80" x14ac:dyDescent="0.45">
      <c r="A78" s="10">
        <v>1948</v>
      </c>
      <c r="B78" s="1309">
        <v>1045</v>
      </c>
      <c r="C78" s="1258">
        <f>38*29.307</f>
        <v>1113.6659999999999</v>
      </c>
      <c r="D78" s="1258"/>
      <c r="E78" s="111">
        <f>1363*29.307</f>
        <v>39945.440999999999</v>
      </c>
      <c r="F78" s="111" t="s">
        <v>100</v>
      </c>
      <c r="G78" s="1258">
        <f>474*29.307</f>
        <v>13891.518</v>
      </c>
      <c r="H78" s="111" t="s">
        <v>100</v>
      </c>
      <c r="I78" s="111" t="s">
        <v>100</v>
      </c>
      <c r="J78" s="111" t="s">
        <v>100</v>
      </c>
      <c r="K78" s="111" t="s">
        <v>100</v>
      </c>
      <c r="L78" s="111">
        <f>(250+53)*29.307</f>
        <v>8880.0209999999988</v>
      </c>
      <c r="M78" s="111" t="s">
        <v>100</v>
      </c>
      <c r="N78" s="134"/>
      <c r="O78" s="111">
        <f>2178*29.307</f>
        <v>63830.645999999993</v>
      </c>
      <c r="P78" s="111" t="s">
        <v>100</v>
      </c>
      <c r="Q78" s="1261">
        <f>2178*29.307</f>
        <v>63830.645999999993</v>
      </c>
      <c r="R78" s="1258"/>
      <c r="S78" s="112"/>
      <c r="T78" s="111"/>
      <c r="U78" s="112" t="s">
        <v>100</v>
      </c>
      <c r="V78" s="111" t="s">
        <v>100</v>
      </c>
      <c r="W78" s="111"/>
      <c r="X78" s="111">
        <v>11004</v>
      </c>
      <c r="Y78" s="135">
        <v>107</v>
      </c>
      <c r="Z78" s="111">
        <v>536</v>
      </c>
      <c r="AA78" s="135">
        <v>56</v>
      </c>
      <c r="AB78" s="1317">
        <v>11703</v>
      </c>
      <c r="AC78" s="1317"/>
      <c r="AD78" s="113">
        <v>1948</v>
      </c>
      <c r="AJ78" s="114"/>
      <c r="AK78" s="114"/>
      <c r="BN78" s="124">
        <v>1948</v>
      </c>
      <c r="BO78" s="135"/>
      <c r="BP78" s="111"/>
      <c r="BQ78" s="135"/>
      <c r="BR78" s="111"/>
      <c r="BS78" s="111"/>
      <c r="BT78" s="112"/>
      <c r="BU78" s="111"/>
      <c r="BV78" s="1261"/>
      <c r="BW78" s="111">
        <f>300/1000*29.307*24445</f>
        <v>214922.88449999999</v>
      </c>
      <c r="BX78" s="1400">
        <f>270/1000*29.307*1314</f>
        <v>10397.53746</v>
      </c>
      <c r="BY78" s="1401"/>
      <c r="BZ78" s="111">
        <f>462*460/1000*29.307</f>
        <v>6228.3236399999996</v>
      </c>
      <c r="CA78" s="135" t="s">
        <v>100</v>
      </c>
      <c r="CB78" s="111" t="s">
        <v>100</v>
      </c>
    </row>
    <row r="79" spans="1:80" x14ac:dyDescent="0.45">
      <c r="A79" s="10">
        <v>1949</v>
      </c>
      <c r="B79" s="1280"/>
      <c r="C79" s="1258">
        <f>49*29.307</f>
        <v>1436.0429999999999</v>
      </c>
      <c r="D79" s="1258"/>
      <c r="E79" s="111">
        <f>1352*29.307</f>
        <v>39623.063999999998</v>
      </c>
      <c r="F79" s="111" t="s">
        <v>100</v>
      </c>
      <c r="G79" s="1258">
        <f>517*29.307</f>
        <v>15151.718999999999</v>
      </c>
      <c r="H79" s="111" t="s">
        <v>100</v>
      </c>
      <c r="I79" s="111" t="s">
        <v>100</v>
      </c>
      <c r="J79" s="111" t="s">
        <v>100</v>
      </c>
      <c r="K79" s="111" t="s">
        <v>100</v>
      </c>
      <c r="L79" s="111">
        <f>(276+47)*29.307</f>
        <v>9466.1610000000001</v>
      </c>
      <c r="M79" s="111" t="s">
        <v>100</v>
      </c>
      <c r="N79" s="134"/>
      <c r="O79" s="111">
        <f>2241*29.307</f>
        <v>65676.986999999994</v>
      </c>
      <c r="P79" s="111" t="s">
        <v>100</v>
      </c>
      <c r="Q79" s="1261">
        <f>2241*29.307</f>
        <v>65676.986999999994</v>
      </c>
      <c r="R79" s="1258"/>
      <c r="S79" s="112"/>
      <c r="T79" s="111"/>
      <c r="U79" s="112" t="s">
        <v>100</v>
      </c>
      <c r="V79" s="111" t="s">
        <v>100</v>
      </c>
      <c r="W79" s="111"/>
      <c r="X79" s="111">
        <v>11118</v>
      </c>
      <c r="Y79" s="135">
        <v>114</v>
      </c>
      <c r="Z79" s="111">
        <v>562</v>
      </c>
      <c r="AA79" s="135">
        <v>52</v>
      </c>
      <c r="AB79" s="1317">
        <v>11846</v>
      </c>
      <c r="AC79" s="1317"/>
      <c r="AD79" s="113">
        <v>1949</v>
      </c>
      <c r="AJ79" s="114"/>
      <c r="AK79" s="114"/>
      <c r="BN79" s="124">
        <v>1949</v>
      </c>
      <c r="BO79" s="135"/>
      <c r="BP79" s="111"/>
      <c r="BQ79" s="135"/>
      <c r="BR79" s="111"/>
      <c r="BS79" s="111"/>
      <c r="BT79" s="112"/>
      <c r="BU79" s="111"/>
      <c r="BV79" s="1261"/>
      <c r="BW79" s="111">
        <f>300/1000*29.307*25177</f>
        <v>221358.70169999998</v>
      </c>
      <c r="BX79" s="1400">
        <f>270/1000*29.307*1350</f>
        <v>10682.4015</v>
      </c>
      <c r="BY79" s="1401"/>
      <c r="BZ79" s="111">
        <f>472*460/1000*29.307</f>
        <v>6363.1358399999999</v>
      </c>
      <c r="CA79" s="135" t="s">
        <v>100</v>
      </c>
      <c r="CB79" s="111" t="s">
        <v>100</v>
      </c>
    </row>
    <row r="80" spans="1:80" x14ac:dyDescent="0.45">
      <c r="A80" s="10">
        <v>1950</v>
      </c>
      <c r="B80" s="1280"/>
      <c r="C80" s="1258">
        <f>54*29.307</f>
        <v>1582.578</v>
      </c>
      <c r="D80" s="1258"/>
      <c r="E80" s="111">
        <f>1357*29.307</f>
        <v>39769.598999999995</v>
      </c>
      <c r="F80" s="111" t="s">
        <v>100</v>
      </c>
      <c r="G80" s="1258">
        <f>580*29.307</f>
        <v>16998.059999999998</v>
      </c>
      <c r="H80" s="111" t="s">
        <v>100</v>
      </c>
      <c r="I80" s="111" t="s">
        <v>100</v>
      </c>
      <c r="J80" s="111" t="s">
        <v>100</v>
      </c>
      <c r="K80" s="111" t="s">
        <v>100</v>
      </c>
      <c r="L80" s="111">
        <f>(293+53)*29.307</f>
        <v>10140.222</v>
      </c>
      <c r="M80" s="111" t="s">
        <v>100</v>
      </c>
      <c r="N80" s="134"/>
      <c r="O80" s="111">
        <f>2337*29.307</f>
        <v>68490.459000000003</v>
      </c>
      <c r="P80" s="111" t="s">
        <v>100</v>
      </c>
      <c r="Q80" s="1261">
        <f>2337*29.307</f>
        <v>68490.459000000003</v>
      </c>
      <c r="R80" s="1258"/>
      <c r="S80" s="112"/>
      <c r="T80" s="111"/>
      <c r="U80" s="112" t="s">
        <v>100</v>
      </c>
      <c r="V80" s="111" t="s">
        <v>100</v>
      </c>
      <c r="W80" s="111"/>
      <c r="X80" s="111">
        <v>11215</v>
      </c>
      <c r="Y80" s="135">
        <v>116</v>
      </c>
      <c r="Z80" s="111">
        <v>578</v>
      </c>
      <c r="AA80" s="135">
        <v>52</v>
      </c>
      <c r="AB80" s="1317">
        <v>11961</v>
      </c>
      <c r="AC80" s="1317"/>
      <c r="AD80" s="113">
        <v>1950</v>
      </c>
      <c r="AJ80" s="114"/>
      <c r="AK80" s="114"/>
      <c r="BN80" s="124">
        <v>1950</v>
      </c>
      <c r="BO80" s="135"/>
      <c r="BP80" s="111"/>
      <c r="BQ80" s="135"/>
      <c r="BR80" s="111"/>
      <c r="BS80" s="111"/>
      <c r="BT80" s="112"/>
      <c r="BU80" s="111"/>
      <c r="BV80" s="1261"/>
      <c r="BW80" s="111">
        <f>300/1000*29.307*26095</f>
        <v>229429.84949999998</v>
      </c>
      <c r="BX80" s="1400">
        <f>270/1000*29.307*1457</f>
        <v>11529.08073</v>
      </c>
      <c r="BY80" s="1401"/>
      <c r="BZ80" s="111">
        <f>522*460/1000*29.307</f>
        <v>7037.1968399999996</v>
      </c>
      <c r="CA80" s="135" t="s">
        <v>100</v>
      </c>
      <c r="CB80" s="111" t="s">
        <v>100</v>
      </c>
    </row>
    <row r="81" spans="1:80" x14ac:dyDescent="0.45">
      <c r="A81" s="10">
        <v>1951</v>
      </c>
      <c r="B81" s="1280"/>
      <c r="C81" s="1258">
        <f>52*29.307</f>
        <v>1523.9639999999999</v>
      </c>
      <c r="D81" s="1258"/>
      <c r="E81" s="111">
        <f>1389*29.307</f>
        <v>40707.422999999995</v>
      </c>
      <c r="F81" s="111" t="s">
        <v>100</v>
      </c>
      <c r="G81" s="1258">
        <f>628*29.307</f>
        <v>18404.795999999998</v>
      </c>
      <c r="H81" s="111" t="s">
        <v>100</v>
      </c>
      <c r="I81" s="111" t="s">
        <v>100</v>
      </c>
      <c r="J81" s="111" t="s">
        <v>100</v>
      </c>
      <c r="K81" s="111" t="s">
        <v>100</v>
      </c>
      <c r="L81" s="111">
        <f>(327+53)*29.307</f>
        <v>11136.66</v>
      </c>
      <c r="M81" s="111" t="s">
        <v>100</v>
      </c>
      <c r="N81" s="134"/>
      <c r="O81" s="111">
        <f>2449*29.307</f>
        <v>71772.842999999993</v>
      </c>
      <c r="P81" s="111" t="s">
        <v>100</v>
      </c>
      <c r="Q81" s="1261">
        <f>2449*29.307</f>
        <v>71772.842999999993</v>
      </c>
      <c r="R81" s="1258"/>
      <c r="S81" s="112"/>
      <c r="T81" s="111"/>
      <c r="U81" s="112" t="s">
        <v>100</v>
      </c>
      <c r="V81" s="111" t="s">
        <v>100</v>
      </c>
      <c r="W81" s="111"/>
      <c r="X81" s="111">
        <v>11344</v>
      </c>
      <c r="Y81" s="135">
        <v>111</v>
      </c>
      <c r="Z81" s="111">
        <v>590</v>
      </c>
      <c r="AA81" s="135">
        <v>49</v>
      </c>
      <c r="AB81" s="1317">
        <v>12094</v>
      </c>
      <c r="AC81" s="1317"/>
      <c r="AD81" s="113">
        <v>1951</v>
      </c>
      <c r="AJ81" s="114"/>
      <c r="AK81" s="114"/>
      <c r="BN81" s="124">
        <v>1951</v>
      </c>
      <c r="BO81" s="135"/>
      <c r="BP81" s="111"/>
      <c r="BQ81" s="135"/>
      <c r="BR81" s="111"/>
      <c r="BS81" s="111"/>
      <c r="BT81" s="112"/>
      <c r="BU81" s="111"/>
      <c r="BV81" s="1261"/>
      <c r="BW81" s="111">
        <f>300/1000*29.307*27203</f>
        <v>239171.4963</v>
      </c>
      <c r="BX81" s="1400">
        <f>270/1000*29.307*1440</f>
        <v>11394.561599999999</v>
      </c>
      <c r="BY81" s="1401"/>
      <c r="BZ81" s="111">
        <f>496*460/1000*29.307</f>
        <v>6686.6851199999992</v>
      </c>
      <c r="CA81" s="135" t="s">
        <v>100</v>
      </c>
      <c r="CB81" s="111" t="s">
        <v>100</v>
      </c>
    </row>
    <row r="82" spans="1:80" x14ac:dyDescent="0.45">
      <c r="A82" s="10">
        <v>1952</v>
      </c>
      <c r="B82" s="1280"/>
      <c r="C82" s="1258">
        <f>51*29.307</f>
        <v>1494.6569999999999</v>
      </c>
      <c r="D82" s="1258"/>
      <c r="E82" s="111">
        <f>1363*29.307</f>
        <v>39945.440999999999</v>
      </c>
      <c r="F82" s="111" t="s">
        <v>100</v>
      </c>
      <c r="G82" s="1258">
        <f>646*29.307</f>
        <v>18932.322</v>
      </c>
      <c r="H82" s="111" t="s">
        <v>100</v>
      </c>
      <c r="I82" s="111" t="s">
        <v>100</v>
      </c>
      <c r="J82" s="111" t="s">
        <v>100</v>
      </c>
      <c r="K82" s="111" t="s">
        <v>100</v>
      </c>
      <c r="L82" s="111">
        <f>(341+52)*29.307</f>
        <v>11517.651</v>
      </c>
      <c r="M82" s="111" t="s">
        <v>100</v>
      </c>
      <c r="N82" s="134"/>
      <c r="O82" s="111">
        <f>2453*29.307</f>
        <v>71890.070999999996</v>
      </c>
      <c r="P82" s="111" t="s">
        <v>100</v>
      </c>
      <c r="Q82" s="1261">
        <f>2453*29.307</f>
        <v>71890.070999999996</v>
      </c>
      <c r="R82" s="1258"/>
      <c r="S82" s="112"/>
      <c r="T82" s="111"/>
      <c r="U82" s="112" t="s">
        <v>100</v>
      </c>
      <c r="V82" s="111" t="s">
        <v>100</v>
      </c>
      <c r="W82" s="111"/>
      <c r="X82" s="111">
        <v>11453</v>
      </c>
      <c r="Y82" s="135">
        <v>107</v>
      </c>
      <c r="Z82" s="111">
        <v>594</v>
      </c>
      <c r="AA82" s="135">
        <v>47</v>
      </c>
      <c r="AB82" s="1317">
        <v>12201</v>
      </c>
      <c r="AC82" s="1317"/>
      <c r="AD82" s="113">
        <v>1952</v>
      </c>
      <c r="AJ82" s="114"/>
      <c r="AK82" s="114"/>
      <c r="BN82" s="124">
        <v>1952</v>
      </c>
      <c r="BO82" s="135"/>
      <c r="BP82" s="111"/>
      <c r="BQ82" s="135"/>
      <c r="BR82" s="111"/>
      <c r="BS82" s="111"/>
      <c r="BT82" s="112"/>
      <c r="BU82" s="111"/>
      <c r="BV82" s="1261"/>
      <c r="BW82" s="111">
        <f>300/1000*29.307*27658</f>
        <v>243171.90179999999</v>
      </c>
      <c r="BX82" s="1400">
        <f>270/1000*29.307*1375</f>
        <v>10880.223749999999</v>
      </c>
      <c r="BY82" s="1401"/>
      <c r="BZ82" s="111">
        <f>442*460/1000*29.307</f>
        <v>5958.6992399999999</v>
      </c>
      <c r="CA82" s="135" t="s">
        <v>100</v>
      </c>
      <c r="CB82" s="111" t="s">
        <v>100</v>
      </c>
    </row>
    <row r="83" spans="1:80" x14ac:dyDescent="0.45">
      <c r="A83" s="10">
        <v>1953</v>
      </c>
      <c r="B83" s="1280"/>
      <c r="C83" s="1258">
        <f>49*29.307</f>
        <v>1436.0429999999999</v>
      </c>
      <c r="D83" s="1258"/>
      <c r="E83" s="111">
        <f>1346*29.307</f>
        <v>39447.222000000002</v>
      </c>
      <c r="F83" s="111" t="s">
        <v>100</v>
      </c>
      <c r="G83" s="1258">
        <f>648*29.307</f>
        <v>18990.935999999998</v>
      </c>
      <c r="H83" s="111" t="s">
        <v>100</v>
      </c>
      <c r="I83" s="111" t="s">
        <v>100</v>
      </c>
      <c r="J83" s="111" t="s">
        <v>100</v>
      </c>
      <c r="K83" s="111" t="s">
        <v>100</v>
      </c>
      <c r="L83" s="111">
        <f>(344+49)*29.307</f>
        <v>11517.651</v>
      </c>
      <c r="M83" s="111" t="s">
        <v>100</v>
      </c>
      <c r="N83" s="134"/>
      <c r="O83" s="111">
        <f>2436*29.307</f>
        <v>71391.851999999999</v>
      </c>
      <c r="P83" s="111" t="s">
        <v>100</v>
      </c>
      <c r="Q83" s="1261">
        <f>2436*29.307</f>
        <v>71391.851999999999</v>
      </c>
      <c r="R83" s="1258"/>
      <c r="S83" s="112"/>
      <c r="T83" s="111"/>
      <c r="U83" s="112" t="s">
        <v>100</v>
      </c>
      <c r="V83" s="111" t="s">
        <v>100</v>
      </c>
      <c r="W83" s="111"/>
      <c r="X83" s="111">
        <v>11694</v>
      </c>
      <c r="Y83" s="135">
        <v>107</v>
      </c>
      <c r="Z83" s="111">
        <v>594</v>
      </c>
      <c r="AA83" s="135">
        <v>47</v>
      </c>
      <c r="AB83" s="1317">
        <v>12442</v>
      </c>
      <c r="AC83" s="1317"/>
      <c r="AD83" s="113">
        <v>1953</v>
      </c>
      <c r="AJ83" s="114"/>
      <c r="AK83" s="114"/>
      <c r="BN83" s="124">
        <v>1953</v>
      </c>
      <c r="BO83" s="135"/>
      <c r="BP83" s="111"/>
      <c r="BQ83" s="135"/>
      <c r="BR83" s="111"/>
      <c r="BS83" s="111"/>
      <c r="BT83" s="112"/>
      <c r="BU83" s="111"/>
      <c r="BV83" s="1261"/>
      <c r="BW83" s="111">
        <f>300/1000*29.307*27052</f>
        <v>237843.88919999998</v>
      </c>
      <c r="BX83" s="1400">
        <f>270/1000*29.307*1339</f>
        <v>10595.359710000001</v>
      </c>
      <c r="BY83" s="1401"/>
      <c r="BZ83" s="111">
        <f>422*460/1000*29.307</f>
        <v>5689.0748400000002</v>
      </c>
      <c r="CA83" s="135" t="s">
        <v>100</v>
      </c>
      <c r="CB83" s="111" t="s">
        <v>100</v>
      </c>
    </row>
    <row r="84" spans="1:80" x14ac:dyDescent="0.45">
      <c r="A84" s="10">
        <v>1954</v>
      </c>
      <c r="B84" s="1280"/>
      <c r="C84" s="1258">
        <f>47*29.307</f>
        <v>1377.4289999999999</v>
      </c>
      <c r="D84" s="1258"/>
      <c r="E84" s="111">
        <f>1360*29.307</f>
        <v>39857.519999999997</v>
      </c>
      <c r="F84" s="111" t="s">
        <v>100</v>
      </c>
      <c r="G84" s="1258">
        <f>704*29.307</f>
        <v>20632.128000000001</v>
      </c>
      <c r="H84" s="111" t="s">
        <v>100</v>
      </c>
      <c r="I84" s="111" t="s">
        <v>100</v>
      </c>
      <c r="J84" s="111" t="s">
        <v>100</v>
      </c>
      <c r="K84" s="111" t="s">
        <v>100</v>
      </c>
      <c r="L84" s="111">
        <f>(364+52)*29.307</f>
        <v>12191.712</v>
      </c>
      <c r="M84" s="111" t="s">
        <v>100</v>
      </c>
      <c r="N84" s="134"/>
      <c r="O84" s="111">
        <f>2527*29.307</f>
        <v>74058.78899999999</v>
      </c>
      <c r="P84" s="111" t="s">
        <v>100</v>
      </c>
      <c r="Q84" s="1261">
        <f>2527*29.307</f>
        <v>74058.78899999999</v>
      </c>
      <c r="R84" s="1258"/>
      <c r="S84" s="112"/>
      <c r="T84" s="111"/>
      <c r="U84" s="112" t="s">
        <v>100</v>
      </c>
      <c r="V84" s="111" t="s">
        <v>100</v>
      </c>
      <c r="W84" s="111"/>
      <c r="X84" s="111">
        <v>11895</v>
      </c>
      <c r="Y84" s="135">
        <v>103</v>
      </c>
      <c r="Z84" s="111">
        <v>602</v>
      </c>
      <c r="AA84" s="135">
        <v>46</v>
      </c>
      <c r="AB84" s="1317">
        <v>12646</v>
      </c>
      <c r="AC84" s="1317"/>
      <c r="AD84" s="113">
        <v>1954</v>
      </c>
      <c r="AJ84" s="114"/>
      <c r="AK84" s="114"/>
      <c r="BN84" s="124">
        <v>1954</v>
      </c>
      <c r="BO84" s="135"/>
      <c r="BP84" s="111"/>
      <c r="BQ84" s="135"/>
      <c r="BR84" s="111"/>
      <c r="BS84" s="111"/>
      <c r="BT84" s="112"/>
      <c r="BU84" s="111"/>
      <c r="BV84" s="1261"/>
      <c r="BW84" s="111">
        <f>300/1000*29.307*27256</f>
        <v>239637.47759999998</v>
      </c>
      <c r="BX84" s="1400">
        <f>270/1000*29.307*1521</f>
        <v>12035.50569</v>
      </c>
      <c r="BY84" s="1401"/>
      <c r="BZ84" s="111">
        <f>544*460/1000*29.307</f>
        <v>7333.7836799999995</v>
      </c>
      <c r="CA84" s="135" t="s">
        <v>100</v>
      </c>
      <c r="CB84" s="111" t="s">
        <v>100</v>
      </c>
    </row>
    <row r="85" spans="1:80" x14ac:dyDescent="0.45">
      <c r="A85" s="10">
        <v>1955</v>
      </c>
      <c r="B85" s="1280"/>
      <c r="C85" s="1258">
        <f>44*29.307</f>
        <v>1289.508</v>
      </c>
      <c r="D85" s="1258"/>
      <c r="E85" s="111">
        <f>1364*29.307</f>
        <v>39974.748</v>
      </c>
      <c r="F85" s="111" t="s">
        <v>100</v>
      </c>
      <c r="G85" s="112">
        <f>742*29.307</f>
        <v>21745.793999999998</v>
      </c>
      <c r="H85" s="111" t="s">
        <v>100</v>
      </c>
      <c r="I85" s="111" t="s">
        <v>100</v>
      </c>
      <c r="J85" s="111" t="s">
        <v>100</v>
      </c>
      <c r="K85" s="111" t="s">
        <v>100</v>
      </c>
      <c r="L85" s="111">
        <f>(386+47)*29.307</f>
        <v>12689.930999999999</v>
      </c>
      <c r="M85" s="111" t="s">
        <v>100</v>
      </c>
      <c r="N85" s="134"/>
      <c r="O85" s="111">
        <f>2583*29.307</f>
        <v>75699.981</v>
      </c>
      <c r="P85" s="111" t="s">
        <v>100</v>
      </c>
      <c r="Q85" s="1261">
        <f>2583*29.307</f>
        <v>75699.981</v>
      </c>
      <c r="R85" s="1258"/>
      <c r="S85" s="112"/>
      <c r="T85" s="111"/>
      <c r="U85" s="112" t="s">
        <v>100</v>
      </c>
      <c r="V85" s="111" t="s">
        <v>100</v>
      </c>
      <c r="W85" s="111"/>
      <c r="X85" s="111">
        <v>12023</v>
      </c>
      <c r="Y85" s="135">
        <v>101</v>
      </c>
      <c r="Z85" s="111">
        <v>613</v>
      </c>
      <c r="AA85" s="135">
        <v>42</v>
      </c>
      <c r="AB85" s="1317">
        <v>12779</v>
      </c>
      <c r="AC85" s="1317"/>
      <c r="AD85" s="113">
        <v>1955</v>
      </c>
      <c r="AJ85" s="114"/>
      <c r="AK85" s="114"/>
      <c r="BN85" s="124">
        <v>1955</v>
      </c>
      <c r="BO85" s="135"/>
      <c r="BP85" s="111"/>
      <c r="BQ85" s="135"/>
      <c r="BR85" s="111"/>
      <c r="BS85" s="111"/>
      <c r="BT85" s="112"/>
      <c r="BU85" s="111"/>
      <c r="BV85" s="1261"/>
      <c r="BW85" s="111">
        <f>300/1000*29.307*27876</f>
        <v>245088.5796</v>
      </c>
      <c r="BX85" s="1400">
        <f>270/1000*29.307*1441</f>
        <v>11402.474490000001</v>
      </c>
      <c r="BY85" s="1401"/>
      <c r="BZ85" s="111">
        <f>526*460/1000*29.307</f>
        <v>7091.1217200000001</v>
      </c>
      <c r="CA85" s="135" t="s">
        <v>100</v>
      </c>
      <c r="CB85" s="111" t="s">
        <v>100</v>
      </c>
    </row>
    <row r="86" spans="1:80" x14ac:dyDescent="0.45">
      <c r="A86" s="10">
        <v>1956</v>
      </c>
      <c r="B86" s="1280"/>
      <c r="C86" s="112">
        <f>40*29.307</f>
        <v>1172.28</v>
      </c>
      <c r="D86" s="111"/>
      <c r="E86" s="111">
        <f>1349*29.307</f>
        <v>39535.142999999996</v>
      </c>
      <c r="F86" s="111" t="s">
        <v>100</v>
      </c>
      <c r="G86" s="111">
        <f>760*29.307</f>
        <v>22273.32</v>
      </c>
      <c r="H86" s="111" t="s">
        <v>100</v>
      </c>
      <c r="I86" s="111" t="s">
        <v>100</v>
      </c>
      <c r="J86" s="111" t="s">
        <v>100</v>
      </c>
      <c r="K86" s="111" t="s">
        <v>100</v>
      </c>
      <c r="L86" s="111">
        <f>(398+44)*29.307</f>
        <v>12953.694</v>
      </c>
      <c r="M86" s="111" t="s">
        <v>100</v>
      </c>
      <c r="N86" s="134"/>
      <c r="O86" s="111">
        <f>2591*29.307</f>
        <v>75934.436999999991</v>
      </c>
      <c r="P86" s="111" t="s">
        <v>100</v>
      </c>
      <c r="Q86" s="126">
        <f>2591*29.307</f>
        <v>75934.436999999991</v>
      </c>
      <c r="R86" s="111"/>
      <c r="S86" s="112"/>
      <c r="T86" s="111"/>
      <c r="U86" s="112" t="s">
        <v>100</v>
      </c>
      <c r="V86" s="111" t="s">
        <v>100</v>
      </c>
      <c r="W86" s="111"/>
      <c r="X86" s="111">
        <v>12115</v>
      </c>
      <c r="Y86" s="135">
        <v>99</v>
      </c>
      <c r="Z86" s="111">
        <v>617</v>
      </c>
      <c r="AA86" s="135">
        <v>39</v>
      </c>
      <c r="AB86" s="1317">
        <v>12870</v>
      </c>
      <c r="AC86" s="1317"/>
      <c r="AD86" s="113">
        <v>1956</v>
      </c>
      <c r="AJ86" s="114"/>
      <c r="AK86" s="114"/>
      <c r="BN86" s="124">
        <v>1956</v>
      </c>
      <c r="BO86" s="135"/>
      <c r="BP86" s="111"/>
      <c r="BQ86" s="135"/>
      <c r="BR86" s="111"/>
      <c r="BS86" s="111"/>
      <c r="BT86" s="112"/>
      <c r="BU86" s="111"/>
      <c r="BV86" s="1261"/>
      <c r="BW86" s="111">
        <f>300/1000*29.307*27881</f>
        <v>245132.54009999998</v>
      </c>
      <c r="BX86" s="1400">
        <f>270/1000*29.307*1351</f>
        <v>10690.31439</v>
      </c>
      <c r="BY86" s="1401"/>
      <c r="BZ86" s="111">
        <f>482*460/1000*29.307</f>
        <v>6497.9480399999993</v>
      </c>
      <c r="CA86" s="135" t="s">
        <v>100</v>
      </c>
      <c r="CB86" s="111" t="s">
        <v>100</v>
      </c>
    </row>
    <row r="87" spans="1:80" ht="14.65" thickBot="1" x14ac:dyDescent="0.5">
      <c r="A87" s="10">
        <v>1957</v>
      </c>
      <c r="B87" s="1280"/>
      <c r="C87" s="1258">
        <f>36*29.307</f>
        <v>1055.0519999999999</v>
      </c>
      <c r="D87" s="1258"/>
      <c r="E87" s="111">
        <f>1306*29.307</f>
        <v>38274.941999999995</v>
      </c>
      <c r="F87" s="111" t="s">
        <v>100</v>
      </c>
      <c r="G87" s="112">
        <f>770*29.307</f>
        <v>22566.39</v>
      </c>
      <c r="H87" s="111" t="s">
        <v>100</v>
      </c>
      <c r="I87" s="111" t="s">
        <v>100</v>
      </c>
      <c r="J87" s="111" t="s">
        <v>100</v>
      </c>
      <c r="K87" s="111" t="s">
        <v>100</v>
      </c>
      <c r="L87" s="111">
        <f>(384+41)*29.307</f>
        <v>12455.474999999999</v>
      </c>
      <c r="M87" s="111" t="s">
        <v>100</v>
      </c>
      <c r="N87" s="134"/>
      <c r="O87" s="111">
        <f>2537*29.307</f>
        <v>74351.858999999997</v>
      </c>
      <c r="P87" s="111" t="s">
        <v>100</v>
      </c>
      <c r="Q87" s="1261">
        <f>2537*29.307</f>
        <v>74351.858999999997</v>
      </c>
      <c r="R87" s="111"/>
      <c r="S87" s="112"/>
      <c r="T87" s="111"/>
      <c r="U87" s="112" t="s">
        <v>100</v>
      </c>
      <c r="V87" s="111" t="s">
        <v>100</v>
      </c>
      <c r="W87" s="111"/>
      <c r="X87" s="111">
        <v>12176</v>
      </c>
      <c r="Y87" s="135">
        <v>97</v>
      </c>
      <c r="Z87" s="111">
        <v>616</v>
      </c>
      <c r="AA87" s="135">
        <v>39</v>
      </c>
      <c r="AB87" s="1317">
        <v>12928</v>
      </c>
      <c r="AC87" s="1317"/>
      <c r="AD87" s="113">
        <v>1957</v>
      </c>
      <c r="AJ87" s="114"/>
      <c r="AK87" s="114"/>
      <c r="BN87" s="124">
        <v>1957</v>
      </c>
      <c r="BO87" s="135"/>
      <c r="BP87" s="111"/>
      <c r="BQ87" s="135"/>
      <c r="BR87" s="111"/>
      <c r="BS87" s="111"/>
      <c r="BT87" s="112"/>
      <c r="BU87" s="111"/>
      <c r="BV87" s="1261"/>
      <c r="BW87" s="111">
        <f>300/1000*29.307*26369</f>
        <v>231838.88489999998</v>
      </c>
      <c r="BX87" s="1400">
        <f>270/1000*29.307*1220</f>
        <v>9653.7258000000002</v>
      </c>
      <c r="BY87" s="1401"/>
      <c r="BZ87" s="111">
        <f>436*460/1000*29.307</f>
        <v>5877.8119200000001</v>
      </c>
      <c r="CA87" s="135" t="s">
        <v>100</v>
      </c>
      <c r="CB87" s="111" t="s">
        <v>100</v>
      </c>
    </row>
    <row r="88" spans="1:80" x14ac:dyDescent="0.45">
      <c r="A88" s="10">
        <v>1958</v>
      </c>
      <c r="B88" s="1280"/>
      <c r="C88" s="1258">
        <f>32*29.307</f>
        <v>937.82399999999996</v>
      </c>
      <c r="D88" s="1258"/>
      <c r="E88" s="1258">
        <f>1318*29.307</f>
        <v>38626.625999999997</v>
      </c>
      <c r="F88" s="111" t="s">
        <v>100</v>
      </c>
      <c r="G88" s="1258">
        <f>783*29.307</f>
        <v>22947.380999999998</v>
      </c>
      <c r="H88" s="111" t="s">
        <v>100</v>
      </c>
      <c r="I88" s="111" t="s">
        <v>100</v>
      </c>
      <c r="J88" s="111" t="s">
        <v>100</v>
      </c>
      <c r="K88" s="111" t="s">
        <v>100</v>
      </c>
      <c r="L88" s="111">
        <f>(402+42)*29.307</f>
        <v>13012.307999999999</v>
      </c>
      <c r="M88" s="111" t="s">
        <v>100</v>
      </c>
      <c r="N88" s="134"/>
      <c r="O88" s="111">
        <f>2577*29.307</f>
        <v>75524.138999999996</v>
      </c>
      <c r="P88" s="111" t="s">
        <v>100</v>
      </c>
      <c r="Q88" s="1261">
        <f>2577*29.307</f>
        <v>75524.138999999996</v>
      </c>
      <c r="R88" s="1311"/>
      <c r="S88" s="1313"/>
      <c r="T88" s="1311"/>
      <c r="U88" s="1310" t="s">
        <v>100</v>
      </c>
      <c r="V88" s="1310" t="s">
        <v>100</v>
      </c>
      <c r="W88" s="1258"/>
      <c r="X88" s="1321">
        <v>12178</v>
      </c>
      <c r="Y88" s="1217">
        <v>92</v>
      </c>
      <c r="Z88" s="1322">
        <v>616</v>
      </c>
      <c r="AA88" s="1217">
        <v>38</v>
      </c>
      <c r="AB88" s="1323">
        <v>12924</v>
      </c>
      <c r="AC88" s="1323"/>
      <c r="AD88" s="116" t="s">
        <v>246</v>
      </c>
      <c r="AJ88" s="114"/>
      <c r="AK88" s="114"/>
      <c r="BN88" s="124">
        <v>1958</v>
      </c>
      <c r="BO88" s="135"/>
      <c r="BP88" s="111"/>
      <c r="BQ88" s="135"/>
      <c r="BR88" s="111"/>
      <c r="BS88" s="111"/>
      <c r="BT88" s="112"/>
      <c r="BU88" s="111"/>
      <c r="BV88" s="1261"/>
      <c r="BW88" s="111">
        <f>300/1000*29.307*24880</f>
        <v>218747.448</v>
      </c>
      <c r="BX88" s="111">
        <f>270/1000*29.307*1592</f>
        <v>12597.320879999999</v>
      </c>
      <c r="BY88" s="111">
        <f>220/1000*29.307*937</f>
        <v>6041.3449799999999</v>
      </c>
      <c r="BZ88" s="111">
        <f>(119+541+39)*460/1000*29.307</f>
        <v>9423.3727799999997</v>
      </c>
      <c r="CA88" s="135" t="s">
        <v>100</v>
      </c>
      <c r="CB88" s="111" t="s">
        <v>100</v>
      </c>
    </row>
    <row r="89" spans="1:80" x14ac:dyDescent="0.45">
      <c r="A89" s="10">
        <v>1959</v>
      </c>
      <c r="B89" s="1280"/>
      <c r="C89" s="1258">
        <f>28*29.307</f>
        <v>820.596</v>
      </c>
      <c r="D89" s="1258"/>
      <c r="E89" s="1258">
        <f>1266*29.307</f>
        <v>37102.661999999997</v>
      </c>
      <c r="F89" s="111" t="s">
        <v>100</v>
      </c>
      <c r="G89" s="1258">
        <f>794*29.307</f>
        <v>23269.757999999998</v>
      </c>
      <c r="H89" s="111" t="s">
        <v>100</v>
      </c>
      <c r="I89" s="111" t="s">
        <v>100</v>
      </c>
      <c r="J89" s="111" t="s">
        <v>100</v>
      </c>
      <c r="K89" s="111" t="s">
        <v>100</v>
      </c>
      <c r="L89" s="111">
        <f>(387+40)*29.307</f>
        <v>12514.089</v>
      </c>
      <c r="M89" s="111" t="s">
        <v>100</v>
      </c>
      <c r="N89" s="111"/>
      <c r="O89" s="111">
        <f>2515*29.307</f>
        <v>73707.104999999996</v>
      </c>
      <c r="P89" s="111" t="s">
        <v>100</v>
      </c>
      <c r="Q89" s="1261">
        <f>2515*29.307</f>
        <v>73707.104999999996</v>
      </c>
      <c r="R89" s="1258">
        <f>2259*29.307</f>
        <v>66204.512999999992</v>
      </c>
      <c r="S89" s="112"/>
      <c r="T89" s="111">
        <f>(565-8)*29.3071</f>
        <v>16324.054699999999</v>
      </c>
      <c r="U89" s="1258">
        <f>4*29.307</f>
        <v>117.22799999999999</v>
      </c>
      <c r="V89" s="1258" t="s">
        <v>100</v>
      </c>
      <c r="W89" s="1258"/>
      <c r="X89" s="1258">
        <v>12145</v>
      </c>
      <c r="Y89" s="112">
        <v>90</v>
      </c>
      <c r="Z89" s="111">
        <v>611</v>
      </c>
      <c r="AA89" s="112">
        <v>37</v>
      </c>
      <c r="AB89" s="1317">
        <v>12883</v>
      </c>
      <c r="AC89" s="1317"/>
      <c r="AD89" s="117" t="s">
        <v>247</v>
      </c>
      <c r="AJ89" s="114"/>
      <c r="AK89" s="114"/>
      <c r="BN89" s="124">
        <v>1959</v>
      </c>
      <c r="BO89" s="135"/>
      <c r="BP89" s="111"/>
      <c r="BQ89" s="135"/>
      <c r="BR89" s="111"/>
      <c r="BS89" s="111"/>
      <c r="BT89" s="112"/>
      <c r="BU89" s="111"/>
      <c r="BV89" s="1261"/>
      <c r="BW89" s="111">
        <f>300/1000*29.307*22634</f>
        <v>199000.39139999999</v>
      </c>
      <c r="BX89" s="111">
        <f>270/1000*29.307*1477</f>
        <v>11687.338529999999</v>
      </c>
      <c r="BY89" s="111">
        <f>220/1000*29.307*827</f>
        <v>5332.1155799999997</v>
      </c>
      <c r="BZ89" s="111">
        <f>(178+376+195)*460/1000*29.307</f>
        <v>10097.433779999999</v>
      </c>
      <c r="CA89" s="135" t="s">
        <v>100</v>
      </c>
      <c r="CB89" s="111" t="s">
        <v>100</v>
      </c>
    </row>
    <row r="90" spans="1:80" x14ac:dyDescent="0.45">
      <c r="A90" s="10">
        <v>1960</v>
      </c>
      <c r="B90" s="1280"/>
      <c r="C90" s="1324">
        <f>24*29.307</f>
        <v>703.36799999999994</v>
      </c>
      <c r="D90" s="1324"/>
      <c r="E90" s="1258">
        <v>38041</v>
      </c>
      <c r="F90" s="111" t="s">
        <v>100</v>
      </c>
      <c r="G90" s="1258">
        <v>25263</v>
      </c>
      <c r="H90" s="111" t="s">
        <v>100</v>
      </c>
      <c r="I90" s="111" t="s">
        <v>100</v>
      </c>
      <c r="J90" s="111" t="s">
        <v>100</v>
      </c>
      <c r="K90" s="111" t="s">
        <v>100</v>
      </c>
      <c r="L90" s="111">
        <f>15709-C90</f>
        <v>15005.632</v>
      </c>
      <c r="M90" s="112">
        <v>440</v>
      </c>
      <c r="N90" s="134"/>
      <c r="O90" s="111">
        <v>79012</v>
      </c>
      <c r="P90" s="112">
        <v>440</v>
      </c>
      <c r="Q90" s="1317">
        <v>79452</v>
      </c>
      <c r="R90" s="111">
        <v>66615</v>
      </c>
      <c r="S90" s="134">
        <v>791</v>
      </c>
      <c r="T90" s="111">
        <f>(690-13)*29.3071</f>
        <v>19840.9067</v>
      </c>
      <c r="U90" s="1258">
        <f>1*29.307</f>
        <v>29.306999999999999</v>
      </c>
      <c r="V90" s="112" t="s">
        <v>100</v>
      </c>
      <c r="W90" s="111"/>
      <c r="X90" s="111">
        <v>12100</v>
      </c>
      <c r="Y90" s="112">
        <v>88</v>
      </c>
      <c r="Z90" s="111">
        <v>607</v>
      </c>
      <c r="AA90" s="112">
        <v>37</v>
      </c>
      <c r="AB90" s="1317">
        <v>12832</v>
      </c>
      <c r="AC90" s="1317"/>
      <c r="AD90" s="117" t="s">
        <v>248</v>
      </c>
      <c r="BN90" s="124">
        <v>1960</v>
      </c>
      <c r="BO90" s="135">
        <f>22.6*300*29.307</f>
        <v>198701.46</v>
      </c>
      <c r="BP90" s="111">
        <f>29.307*13</f>
        <v>380.99099999999999</v>
      </c>
      <c r="BQ90" s="135">
        <f>0.8*460*29.307</f>
        <v>10784.975999999999</v>
      </c>
      <c r="BR90" s="111">
        <f>29.307*173</f>
        <v>5070.1109999999999</v>
      </c>
      <c r="BS90" s="111">
        <f>29.307*504</f>
        <v>14770.727999999999</v>
      </c>
      <c r="BT90" s="112">
        <f>29.307*7823</f>
        <v>229268.66099999999</v>
      </c>
      <c r="BU90" s="111" t="s">
        <v>100</v>
      </c>
      <c r="BV90" s="1261">
        <f>29.307*7823</f>
        <v>229268.66099999999</v>
      </c>
      <c r="BW90" s="111">
        <f>22387*300/1000*29.307</f>
        <v>196828.7427</v>
      </c>
      <c r="BX90" s="111">
        <f>1564*270/1000*29.307</f>
        <v>12375.759959999999</v>
      </c>
      <c r="BY90" s="111">
        <f>761*220/1000*29.307</f>
        <v>4906.5779399999992</v>
      </c>
      <c r="BZ90" s="111">
        <f>818*460/1000*29.307</f>
        <v>11027.637959999998</v>
      </c>
      <c r="CA90" s="135" t="s">
        <v>100</v>
      </c>
      <c r="CB90" s="111" t="s">
        <v>100</v>
      </c>
    </row>
    <row r="91" spans="1:80" x14ac:dyDescent="0.45">
      <c r="A91" s="10">
        <v>1961</v>
      </c>
      <c r="B91" s="1280"/>
      <c r="C91" s="1324">
        <f>20*29.307</f>
        <v>586.14</v>
      </c>
      <c r="D91" s="1324"/>
      <c r="E91" s="1258">
        <v>38099</v>
      </c>
      <c r="F91" s="111" t="s">
        <v>100</v>
      </c>
      <c r="G91" s="112">
        <v>24882</v>
      </c>
      <c r="H91" s="111" t="s">
        <v>100</v>
      </c>
      <c r="I91" s="111" t="s">
        <v>100</v>
      </c>
      <c r="J91" s="111" t="s">
        <v>100</v>
      </c>
      <c r="K91" s="111" t="s">
        <v>100</v>
      </c>
      <c r="L91" s="111">
        <f>15533-C91</f>
        <v>14946.86</v>
      </c>
      <c r="M91" s="112">
        <v>440</v>
      </c>
      <c r="N91" s="134"/>
      <c r="O91" s="111">
        <v>78513</v>
      </c>
      <c r="P91" s="112">
        <v>440</v>
      </c>
      <c r="Q91" s="1317">
        <v>78602</v>
      </c>
      <c r="R91" s="111">
        <v>65267</v>
      </c>
      <c r="S91" s="112">
        <v>821</v>
      </c>
      <c r="T91" s="111">
        <f>(701-13)*29.3071</f>
        <v>20163.284799999998</v>
      </c>
      <c r="U91" s="111" t="s">
        <v>100</v>
      </c>
      <c r="V91" s="112" t="s">
        <v>100</v>
      </c>
      <c r="W91" s="111"/>
      <c r="X91" s="111">
        <v>12057</v>
      </c>
      <c r="Y91" s="112">
        <v>87</v>
      </c>
      <c r="Z91" s="111">
        <v>600</v>
      </c>
      <c r="AA91" s="112">
        <v>36</v>
      </c>
      <c r="AB91" s="1317">
        <v>12780</v>
      </c>
      <c r="AC91" s="1317"/>
      <c r="AD91" s="117" t="s">
        <v>249</v>
      </c>
      <c r="AF91" s="11" t="s">
        <v>250</v>
      </c>
      <c r="AK91" s="118"/>
      <c r="BN91" s="124">
        <v>1961</v>
      </c>
      <c r="BO91" s="135"/>
      <c r="BP91" s="111"/>
      <c r="BQ91" s="135"/>
      <c r="BR91" s="111"/>
      <c r="BS91" s="111"/>
      <c r="BT91" s="112"/>
      <c r="BU91" s="111"/>
      <c r="BV91" s="1261"/>
      <c r="BW91" s="111">
        <f>22179*300/1000*29.307</f>
        <v>194999.9859</v>
      </c>
      <c r="BX91" s="111">
        <f>1411*270/1000*29.307</f>
        <v>11165.08779</v>
      </c>
      <c r="BY91" s="111">
        <f>705*220/1000*29.307</f>
        <v>4545.5156999999999</v>
      </c>
      <c r="BZ91" s="111">
        <f>(445+137+190)*460/1000*29.307</f>
        <v>10407.501839999999</v>
      </c>
      <c r="CA91" s="135" t="s">
        <v>100</v>
      </c>
      <c r="CB91" s="111" t="s">
        <v>100</v>
      </c>
    </row>
    <row r="92" spans="1:80" x14ac:dyDescent="0.45">
      <c r="A92" s="10">
        <v>1962</v>
      </c>
      <c r="B92" s="1280"/>
      <c r="C92" s="1324">
        <f>16*29.307</f>
        <v>468.91199999999998</v>
      </c>
      <c r="D92" s="1324"/>
      <c r="E92" s="1258">
        <v>41059</v>
      </c>
      <c r="F92" s="111" t="s">
        <v>100</v>
      </c>
      <c r="G92" s="112">
        <v>24823</v>
      </c>
      <c r="H92" s="111" t="s">
        <v>100</v>
      </c>
      <c r="I92" s="111" t="s">
        <v>100</v>
      </c>
      <c r="J92" s="111" t="s">
        <v>100</v>
      </c>
      <c r="K92" s="111" t="s">
        <v>100</v>
      </c>
      <c r="L92" s="111">
        <f>16559-C92</f>
        <v>16090.088</v>
      </c>
      <c r="M92" s="112">
        <v>733</v>
      </c>
      <c r="N92" s="134"/>
      <c r="O92" s="111">
        <v>82441</v>
      </c>
      <c r="P92" s="112">
        <v>733</v>
      </c>
      <c r="Q92" s="1317">
        <v>83174</v>
      </c>
      <c r="R92" s="111">
        <v>69048</v>
      </c>
      <c r="S92" s="112">
        <v>1231</v>
      </c>
      <c r="T92" s="111">
        <f>(750-17)*29.3071</f>
        <v>21482.104299999999</v>
      </c>
      <c r="U92" s="111" t="s">
        <v>100</v>
      </c>
      <c r="V92" s="112" t="s">
        <v>100</v>
      </c>
      <c r="W92" s="111"/>
      <c r="X92" s="111">
        <v>12036</v>
      </c>
      <c r="Y92" s="112">
        <v>84</v>
      </c>
      <c r="Z92" s="111">
        <v>589</v>
      </c>
      <c r="AA92" s="112">
        <v>36</v>
      </c>
      <c r="AB92" s="1317">
        <v>12745</v>
      </c>
      <c r="AC92" s="1317"/>
      <c r="AD92" s="117" t="s">
        <v>251</v>
      </c>
      <c r="AF92" s="118" t="s">
        <v>252</v>
      </c>
      <c r="AG92" s="118"/>
      <c r="AH92" s="118"/>
      <c r="AI92" s="118"/>
      <c r="AJ92" s="118"/>
      <c r="AK92" s="118"/>
      <c r="BN92" s="124">
        <v>1962</v>
      </c>
      <c r="BO92" s="135"/>
      <c r="BP92" s="111"/>
      <c r="BQ92" s="135"/>
      <c r="BR92" s="111"/>
      <c r="BS92" s="111"/>
      <c r="BT92" s="112"/>
      <c r="BU92" s="111"/>
      <c r="BV92" s="1261"/>
      <c r="BW92" s="111">
        <f>22130*300/1000*29.307</f>
        <v>194569.17299999998</v>
      </c>
      <c r="BX92" s="111">
        <f>1597*270/1000*29.307</f>
        <v>12636.885329999999</v>
      </c>
      <c r="BY92" s="111">
        <f>730*220/1000*29.307</f>
        <v>4706.7041999999992</v>
      </c>
      <c r="BZ92" s="111">
        <f>(646+161+268)*460/1000*29.307</f>
        <v>14492.3115</v>
      </c>
      <c r="CA92" s="135" t="s">
        <v>100</v>
      </c>
      <c r="CB92" s="111" t="s">
        <v>100</v>
      </c>
    </row>
    <row r="93" spans="1:80" x14ac:dyDescent="0.45">
      <c r="A93" s="10">
        <v>1963</v>
      </c>
      <c r="B93" s="1280"/>
      <c r="C93" s="1324">
        <f>13*29.307</f>
        <v>380.99099999999999</v>
      </c>
      <c r="D93" s="1324"/>
      <c r="E93" s="1258">
        <v>45133</v>
      </c>
      <c r="F93" s="111" t="s">
        <v>100</v>
      </c>
      <c r="G93" s="112">
        <v>25233</v>
      </c>
      <c r="H93" s="111" t="s">
        <v>100</v>
      </c>
      <c r="I93" s="111" t="s">
        <v>100</v>
      </c>
      <c r="J93" s="111" t="s">
        <v>100</v>
      </c>
      <c r="K93" s="111" t="s">
        <v>100</v>
      </c>
      <c r="L93" s="111">
        <f>17115-C93</f>
        <v>16734.008999999998</v>
      </c>
      <c r="M93" s="112">
        <v>1026</v>
      </c>
      <c r="N93" s="134"/>
      <c r="O93" s="111">
        <v>87482</v>
      </c>
      <c r="P93" s="112">
        <v>1026</v>
      </c>
      <c r="Q93" s="1317">
        <v>88508</v>
      </c>
      <c r="R93" s="111">
        <v>70982</v>
      </c>
      <c r="S93" s="112">
        <v>1641</v>
      </c>
      <c r="T93" s="111">
        <f>(868-21)*29.3071</f>
        <v>24823.113699999998</v>
      </c>
      <c r="U93" s="111" t="s">
        <v>100</v>
      </c>
      <c r="V93" s="112" t="s">
        <v>100</v>
      </c>
      <c r="W93" s="111"/>
      <c r="X93" s="111">
        <v>12057</v>
      </c>
      <c r="Y93" s="112">
        <v>83</v>
      </c>
      <c r="Z93" s="111">
        <v>583</v>
      </c>
      <c r="AA93" s="112">
        <v>35</v>
      </c>
      <c r="AB93" s="1317">
        <v>12758</v>
      </c>
      <c r="AC93" s="1317"/>
      <c r="AD93" s="117" t="s">
        <v>253</v>
      </c>
      <c r="AF93" s="118" t="s">
        <v>254</v>
      </c>
      <c r="AG93" s="118"/>
      <c r="AH93" s="118"/>
      <c r="AI93" s="118"/>
      <c r="AJ93" s="118"/>
      <c r="BN93" s="124">
        <v>1963</v>
      </c>
      <c r="BO93" s="135"/>
      <c r="BP93" s="111"/>
      <c r="BQ93" s="135"/>
      <c r="BR93" s="111"/>
      <c r="BS93" s="111"/>
      <c r="BT93" s="112"/>
      <c r="BU93" s="111"/>
      <c r="BV93" s="1261"/>
      <c r="BW93" s="111">
        <f>22146*300/1000*29.307</f>
        <v>194709.84659999999</v>
      </c>
      <c r="BX93" s="111">
        <f>1611*270/1000*29.307</f>
        <v>12747.665790000001</v>
      </c>
      <c r="BY93" s="111">
        <f>684*220/1000*29.307</f>
        <v>4410.1173599999993</v>
      </c>
      <c r="BZ93" s="111">
        <f>(850+156+353)*460/1000*29.307</f>
        <v>18320.97798</v>
      </c>
      <c r="CA93" s="135" t="s">
        <v>100</v>
      </c>
      <c r="CB93" s="111" t="s">
        <v>100</v>
      </c>
    </row>
    <row r="94" spans="1:80" x14ac:dyDescent="0.45">
      <c r="A94" s="10">
        <v>1964</v>
      </c>
      <c r="B94" s="1280"/>
      <c r="C94" s="1324">
        <f>10*29.307</f>
        <v>293.07</v>
      </c>
      <c r="D94" s="1324"/>
      <c r="E94" s="1258">
        <v>47302</v>
      </c>
      <c r="F94" s="111" t="s">
        <v>100</v>
      </c>
      <c r="G94" s="112">
        <v>25907</v>
      </c>
      <c r="H94" s="111" t="s">
        <v>100</v>
      </c>
      <c r="I94" s="111" t="s">
        <v>100</v>
      </c>
      <c r="J94" s="111" t="s">
        <v>100</v>
      </c>
      <c r="K94" s="111" t="s">
        <v>100</v>
      </c>
      <c r="L94" s="111">
        <f>16881-C94</f>
        <v>16587.93</v>
      </c>
      <c r="M94" s="112">
        <v>1026</v>
      </c>
      <c r="N94" s="134"/>
      <c r="O94" s="111">
        <v>90090</v>
      </c>
      <c r="P94" s="112">
        <v>1026</v>
      </c>
      <c r="Q94" s="1317">
        <v>91468</v>
      </c>
      <c r="R94" s="111">
        <v>68110</v>
      </c>
      <c r="S94" s="112">
        <v>1846</v>
      </c>
      <c r="T94" s="111">
        <f>(1103-64)*29.3071</f>
        <v>30450.0769</v>
      </c>
      <c r="U94" s="111">
        <v>1172</v>
      </c>
      <c r="V94" s="112" t="s">
        <v>100</v>
      </c>
      <c r="W94" s="111"/>
      <c r="X94" s="111">
        <v>12133</v>
      </c>
      <c r="Y94" s="112">
        <v>81</v>
      </c>
      <c r="Z94" s="111">
        <v>572</v>
      </c>
      <c r="AA94" s="112">
        <v>35</v>
      </c>
      <c r="AB94" s="1317">
        <v>12821</v>
      </c>
      <c r="AC94" s="1317"/>
      <c r="AD94" s="117" t="s">
        <v>255</v>
      </c>
      <c r="AF94" s="118"/>
      <c r="BN94" s="124">
        <v>1964</v>
      </c>
      <c r="BO94" s="135"/>
      <c r="BP94" s="111"/>
      <c r="BQ94" s="135"/>
      <c r="BR94" s="111"/>
      <c r="BS94" s="111"/>
      <c r="BT94" s="112"/>
      <c r="BU94" s="111"/>
      <c r="BV94" s="1261"/>
      <c r="BW94" s="135">
        <f>20220*300/1000*29.307</f>
        <v>177776.26199999999</v>
      </c>
      <c r="BX94" s="111">
        <f>1316*270/1000*29.307</f>
        <v>10413.363239999999</v>
      </c>
      <c r="BY94" s="111">
        <f>614*220/1000*29.307</f>
        <v>3958.7895600000002</v>
      </c>
      <c r="BZ94" s="111">
        <f>1756*460/1000*29.307</f>
        <v>23673.02232</v>
      </c>
      <c r="CA94" s="135" t="s">
        <v>100</v>
      </c>
      <c r="CB94" s="111" t="s">
        <v>100</v>
      </c>
    </row>
    <row r="95" spans="1:80" x14ac:dyDescent="0.45">
      <c r="A95" s="10">
        <v>1965</v>
      </c>
      <c r="B95" s="1280"/>
      <c r="C95" s="1324">
        <f>8*29.307</f>
        <v>234.45599999999999</v>
      </c>
      <c r="D95" s="1324"/>
      <c r="E95" s="1258">
        <v>54775</v>
      </c>
      <c r="F95" s="111" t="s">
        <v>100</v>
      </c>
      <c r="G95" s="112">
        <v>26933</v>
      </c>
      <c r="H95" s="111" t="s">
        <v>100</v>
      </c>
      <c r="I95" s="111" t="s">
        <v>100</v>
      </c>
      <c r="J95" s="111" t="s">
        <v>100</v>
      </c>
      <c r="K95" s="111" t="s">
        <v>100</v>
      </c>
      <c r="L95" s="111">
        <f>16940-C95</f>
        <v>16705.544000000002</v>
      </c>
      <c r="M95" s="112">
        <v>1143</v>
      </c>
      <c r="N95" s="134"/>
      <c r="O95" s="111">
        <v>98648</v>
      </c>
      <c r="P95" s="112">
        <v>1143</v>
      </c>
      <c r="Q95" s="1317">
        <v>99791</v>
      </c>
      <c r="R95" s="111">
        <v>69370</v>
      </c>
      <c r="S95" s="112">
        <v>1934</v>
      </c>
      <c r="T95" s="111">
        <f>(1437-260)*29.3071</f>
        <v>34494.456699999995</v>
      </c>
      <c r="U95" s="111">
        <v>7620</v>
      </c>
      <c r="V95" s="112" t="s">
        <v>100</v>
      </c>
      <c r="W95" s="111"/>
      <c r="X95" s="111">
        <v>12260</v>
      </c>
      <c r="Y95" s="112">
        <v>80</v>
      </c>
      <c r="Z95" s="111">
        <v>566</v>
      </c>
      <c r="AA95" s="112">
        <v>35</v>
      </c>
      <c r="AB95" s="1317">
        <v>12941</v>
      </c>
      <c r="AC95" s="1317"/>
      <c r="AD95" s="117" t="s">
        <v>256</v>
      </c>
      <c r="AF95" s="118"/>
      <c r="BN95" s="124">
        <v>1965</v>
      </c>
      <c r="BO95" s="135">
        <f>18.2*300*29.307</f>
        <v>160016.22</v>
      </c>
      <c r="BP95" s="111">
        <f>29.307*287</f>
        <v>8411.1090000000004</v>
      </c>
      <c r="BQ95" s="135">
        <f>2.5*460*29.307</f>
        <v>33703.049999999996</v>
      </c>
      <c r="BR95" s="111">
        <f>29.307*707</f>
        <v>20720.048999999999</v>
      </c>
      <c r="BS95" s="111">
        <f>29.307*443</f>
        <v>12983.001</v>
      </c>
      <c r="BT95" s="112">
        <f>29.307*8021</f>
        <v>235071.44699999999</v>
      </c>
      <c r="BU95" s="111" t="s">
        <v>100</v>
      </c>
      <c r="BV95" s="1261">
        <f>29.307*8021</f>
        <v>235071.44699999999</v>
      </c>
      <c r="BW95" s="135">
        <f>17961*300/1000*29.307</f>
        <v>157914.9081</v>
      </c>
      <c r="BX95" s="111">
        <f>1218*270/1000*29.307</f>
        <v>9637.9000199999991</v>
      </c>
      <c r="BY95" s="111">
        <f>597*220/1000*29.307</f>
        <v>3849.18138</v>
      </c>
      <c r="BZ95" s="111">
        <f>2480*460/1000*29.307</f>
        <v>33433.425599999995</v>
      </c>
      <c r="CA95" s="135" t="s">
        <v>100</v>
      </c>
      <c r="CB95" s="111" t="s">
        <v>100</v>
      </c>
    </row>
    <row r="96" spans="1:80" x14ac:dyDescent="0.45">
      <c r="A96" s="10">
        <v>1966</v>
      </c>
      <c r="B96" s="1280"/>
      <c r="C96" s="1324">
        <f>7*29.307</f>
        <v>205.149</v>
      </c>
      <c r="D96" s="1324"/>
      <c r="E96" s="1258">
        <v>63802</v>
      </c>
      <c r="F96" s="111" t="s">
        <v>100</v>
      </c>
      <c r="G96" s="112">
        <v>27314</v>
      </c>
      <c r="H96" s="111" t="s">
        <v>100</v>
      </c>
      <c r="I96" s="111" t="s">
        <v>100</v>
      </c>
      <c r="J96" s="111" t="s">
        <v>100</v>
      </c>
      <c r="K96" s="111" t="s">
        <v>100</v>
      </c>
      <c r="L96" s="111">
        <f>17789-C96</f>
        <v>17583.850999999999</v>
      </c>
      <c r="M96" s="112">
        <v>1202</v>
      </c>
      <c r="N96" s="134"/>
      <c r="O96" s="111">
        <v>108905</v>
      </c>
      <c r="P96" s="112">
        <v>1202</v>
      </c>
      <c r="Q96" s="1317">
        <v>110107</v>
      </c>
      <c r="R96" s="111">
        <v>75407</v>
      </c>
      <c r="S96" s="112">
        <v>1876</v>
      </c>
      <c r="T96" s="111">
        <f>(1494-254)*29.3071</f>
        <v>36340.803999999996</v>
      </c>
      <c r="U96" s="111">
        <v>7444</v>
      </c>
      <c r="V96" s="112" t="s">
        <v>100</v>
      </c>
      <c r="W96" s="111"/>
      <c r="X96" s="111">
        <v>12403</v>
      </c>
      <c r="Y96" s="112">
        <v>79</v>
      </c>
      <c r="Z96" s="111">
        <v>544</v>
      </c>
      <c r="AA96" s="112">
        <v>34</v>
      </c>
      <c r="AB96" s="1317">
        <v>13060</v>
      </c>
      <c r="AC96" s="1317"/>
      <c r="AD96" s="117" t="s">
        <v>257</v>
      </c>
      <c r="BN96" s="124">
        <v>1966</v>
      </c>
      <c r="BO96" s="135">
        <f>16.9*300*29.307</f>
        <v>148586.49</v>
      </c>
      <c r="BP96" s="111">
        <f>29.307*277</f>
        <v>8118.0389999999998</v>
      </c>
      <c r="BQ96" s="135">
        <f>3.3*460*29.307</f>
        <v>44488.025999999998</v>
      </c>
      <c r="BR96" s="111">
        <f>29.307*799</f>
        <v>23416.292999999998</v>
      </c>
      <c r="BS96" s="111">
        <f>29.307*418</f>
        <v>12250.325999999999</v>
      </c>
      <c r="BT96" s="112">
        <f>29.307*8043</f>
        <v>235716.201</v>
      </c>
      <c r="BU96" s="111" t="s">
        <v>100</v>
      </c>
      <c r="BV96" s="1261">
        <f>29.307*8043</f>
        <v>235716.201</v>
      </c>
      <c r="BW96" s="135">
        <f>16612*300/1000*29.307</f>
        <v>146054.3652</v>
      </c>
      <c r="BX96" s="111">
        <f>1005*270/1000*29.307</f>
        <v>7952.4544500000002</v>
      </c>
      <c r="BY96" s="111">
        <f>544*220/1000*29.307</f>
        <v>3507.4617600000001</v>
      </c>
      <c r="BZ96" s="111">
        <f>3325*460/1000*29.307</f>
        <v>44825.056499999999</v>
      </c>
      <c r="CA96" s="135" t="s">
        <v>100</v>
      </c>
      <c r="CB96" s="111" t="s">
        <v>100</v>
      </c>
    </row>
    <row r="97" spans="1:80" x14ac:dyDescent="0.45">
      <c r="A97" s="10">
        <v>1967</v>
      </c>
      <c r="B97" s="1280"/>
      <c r="C97" s="1324">
        <f>5*29.307</f>
        <v>146.535</v>
      </c>
      <c r="D97" s="1324"/>
      <c r="E97" s="1258">
        <v>72447</v>
      </c>
      <c r="F97" s="111">
        <v>29</v>
      </c>
      <c r="G97" s="112">
        <v>26435</v>
      </c>
      <c r="H97" s="111" t="s">
        <v>100</v>
      </c>
      <c r="I97" s="111" t="s">
        <v>100</v>
      </c>
      <c r="J97" s="111" t="s">
        <v>100</v>
      </c>
      <c r="K97" s="111" t="s">
        <v>100</v>
      </c>
      <c r="L97" s="111">
        <f>18434-C97</f>
        <v>18287.465</v>
      </c>
      <c r="M97" s="112">
        <v>1290</v>
      </c>
      <c r="N97" s="134"/>
      <c r="O97" s="111">
        <v>117316</v>
      </c>
      <c r="P97" s="112">
        <v>1319</v>
      </c>
      <c r="Q97" s="1317">
        <v>118635</v>
      </c>
      <c r="R97" s="111">
        <v>78865</v>
      </c>
      <c r="S97" s="112">
        <v>6741</v>
      </c>
      <c r="T97" s="111">
        <f>(1687-469)*29.3071</f>
        <v>35696.0478</v>
      </c>
      <c r="U97" s="111">
        <v>8939</v>
      </c>
      <c r="V97" s="112" t="s">
        <v>100</v>
      </c>
      <c r="W97" s="111"/>
      <c r="X97" s="111">
        <v>12560</v>
      </c>
      <c r="Y97" s="112">
        <v>78</v>
      </c>
      <c r="Z97" s="111">
        <v>539</v>
      </c>
      <c r="AA97" s="112">
        <v>33</v>
      </c>
      <c r="AB97" s="1317">
        <v>13210</v>
      </c>
      <c r="AC97" s="1317"/>
      <c r="AD97" s="117" t="s">
        <v>258</v>
      </c>
      <c r="BN97" s="124">
        <v>1967</v>
      </c>
      <c r="BO97" s="135">
        <f>14.6*300*29.307</f>
        <v>128364.65999999999</v>
      </c>
      <c r="BP97" s="111">
        <f>29.307*490</f>
        <v>14360.429999999998</v>
      </c>
      <c r="BQ97" s="135">
        <f>4.3*460*29.307</f>
        <v>57969.245999999999</v>
      </c>
      <c r="BR97" s="111">
        <f>29.307*800</f>
        <v>23445.599999999999</v>
      </c>
      <c r="BS97" s="111">
        <f>29.307*397</f>
        <v>11634.878999999999</v>
      </c>
      <c r="BT97" s="112">
        <f>29.307*8020</f>
        <v>235042.13999999998</v>
      </c>
      <c r="BU97" s="111" t="s">
        <v>100</v>
      </c>
      <c r="BV97" s="1261">
        <f>29.307*8020</f>
        <v>235042.13999999998</v>
      </c>
      <c r="BW97" s="135">
        <f>14292*300/1000*29.307</f>
        <v>125656.69320000001</v>
      </c>
      <c r="BX97" s="111">
        <f>587*270/1000*29.307</f>
        <v>4644.86643</v>
      </c>
      <c r="BY97" s="111">
        <f>458*220/1000*29.307</f>
        <v>2952.9733200000001</v>
      </c>
      <c r="BZ97" s="111">
        <f>4314*460/1000*29.307</f>
        <v>58157.983079999998</v>
      </c>
      <c r="CA97" s="135" t="s">
        <v>100</v>
      </c>
      <c r="CB97" s="111" t="s">
        <v>100</v>
      </c>
    </row>
    <row r="98" spans="1:80" x14ac:dyDescent="0.45">
      <c r="A98" s="10">
        <v>1968</v>
      </c>
      <c r="B98" s="1280"/>
      <c r="C98" s="1324">
        <f>4*29.307</f>
        <v>117.22799999999999</v>
      </c>
      <c r="D98" s="1324"/>
      <c r="E98" s="1258">
        <v>82089</v>
      </c>
      <c r="F98" s="111">
        <v>821</v>
      </c>
      <c r="G98" s="112">
        <v>26376</v>
      </c>
      <c r="H98" s="111">
        <v>1495</v>
      </c>
      <c r="I98" s="111" t="s">
        <v>100</v>
      </c>
      <c r="J98" s="111" t="s">
        <v>100</v>
      </c>
      <c r="K98" s="111" t="s">
        <v>100</v>
      </c>
      <c r="L98" s="111">
        <f>19870-C98</f>
        <v>19752.772000000001</v>
      </c>
      <c r="M98" s="112">
        <v>1671</v>
      </c>
      <c r="N98" s="134"/>
      <c r="O98" s="111">
        <v>128336</v>
      </c>
      <c r="P98" s="112">
        <v>3986</v>
      </c>
      <c r="Q98" s="1317">
        <v>132322</v>
      </c>
      <c r="R98" s="111">
        <v>82499</v>
      </c>
      <c r="S98" s="112">
        <v>23768</v>
      </c>
      <c r="T98" s="111">
        <f>(2096-1052)*29.3071</f>
        <v>30596.612399999998</v>
      </c>
      <c r="U98" s="111">
        <v>11606</v>
      </c>
      <c r="V98" s="112" t="s">
        <v>100</v>
      </c>
      <c r="W98" s="111"/>
      <c r="X98" s="111">
        <v>12639</v>
      </c>
      <c r="Y98" s="112">
        <v>72</v>
      </c>
      <c r="Z98" s="111">
        <v>522</v>
      </c>
      <c r="AA98" s="112">
        <v>32</v>
      </c>
      <c r="AB98" s="1317">
        <v>13265</v>
      </c>
      <c r="AC98" s="1317"/>
      <c r="AD98" s="117" t="s">
        <v>259</v>
      </c>
      <c r="BN98" s="124">
        <v>1968</v>
      </c>
      <c r="BO98" s="135">
        <f>10.9*300*29.307/1.016</f>
        <v>94324.694881889765</v>
      </c>
      <c r="BP98" s="111">
        <f>29.307*1019</f>
        <v>29863.832999999999</v>
      </c>
      <c r="BQ98" s="135">
        <f>5.5*460*29.307/1.016</f>
        <v>72979.045275590543</v>
      </c>
      <c r="BR98" s="111">
        <f>29.307*657</f>
        <v>19254.699000000001</v>
      </c>
      <c r="BS98" s="111">
        <f>29.307*368</f>
        <v>10784.975999999999</v>
      </c>
      <c r="BT98" s="112">
        <f>29.307*7728</f>
        <v>226484.49599999998</v>
      </c>
      <c r="BU98" s="111">
        <f>29.307*91</f>
        <v>2666.9369999999999</v>
      </c>
      <c r="BV98" s="1261">
        <f>29.307*7819</f>
        <v>229151.43299999999</v>
      </c>
      <c r="BW98" s="135">
        <f>10744*300/1000*29.307/1.016</f>
        <v>92974.726771653528</v>
      </c>
      <c r="BX98" s="111">
        <f>330*270/1000*29.307/1.016</f>
        <v>2570.1315944881885</v>
      </c>
      <c r="BY98" s="135">
        <f>382*220/1000*29.307/1.016</f>
        <v>2424.1735039370083</v>
      </c>
      <c r="BZ98" s="111">
        <f>5506*460/1000*29.307/1.016</f>
        <v>73058.658779527555</v>
      </c>
      <c r="CA98" s="135" t="s">
        <v>100</v>
      </c>
      <c r="CB98" s="111" t="s">
        <v>100</v>
      </c>
    </row>
    <row r="99" spans="1:80" x14ac:dyDescent="0.45">
      <c r="A99" s="10">
        <v>1969</v>
      </c>
      <c r="B99" s="1280"/>
      <c r="C99" s="1324">
        <f>3*29.307</f>
        <v>87.920999999999992</v>
      </c>
      <c r="D99" s="1324"/>
      <c r="E99" s="1258">
        <v>88683</v>
      </c>
      <c r="F99" s="111">
        <v>5422</v>
      </c>
      <c r="G99" s="112">
        <v>24911</v>
      </c>
      <c r="H99" s="111">
        <v>5773</v>
      </c>
      <c r="I99" s="112">
        <v>1279</v>
      </c>
      <c r="J99" s="111" t="s">
        <v>100</v>
      </c>
      <c r="K99" s="111" t="s">
        <v>100</v>
      </c>
      <c r="L99" s="111">
        <f>20222-C99</f>
        <v>20134.079000000002</v>
      </c>
      <c r="M99" s="112">
        <v>2619</v>
      </c>
      <c r="N99" s="134"/>
      <c r="O99" s="111">
        <v>133816</v>
      </c>
      <c r="P99" s="112">
        <v>15093</v>
      </c>
      <c r="Q99" s="1317">
        <v>148909</v>
      </c>
      <c r="R99" s="111">
        <v>76462</v>
      </c>
      <c r="S99" s="112">
        <v>56797</v>
      </c>
      <c r="T99" s="111">
        <f>(2768-1816)*29.3071</f>
        <v>27900.359199999999</v>
      </c>
      <c r="U99" s="111">
        <v>12192</v>
      </c>
      <c r="V99" s="112" t="s">
        <v>100</v>
      </c>
      <c r="W99" s="111"/>
      <c r="X99" s="111">
        <v>12734</v>
      </c>
      <c r="Y99" s="112">
        <v>71</v>
      </c>
      <c r="Z99" s="111">
        <v>510</v>
      </c>
      <c r="AA99" s="112">
        <v>32</v>
      </c>
      <c r="AB99" s="1317">
        <v>13347</v>
      </c>
      <c r="AC99" s="1317"/>
      <c r="AD99" s="117" t="s">
        <v>260</v>
      </c>
      <c r="BN99" s="124">
        <v>1969</v>
      </c>
      <c r="BO99" s="135">
        <f>6.951*300*29.307/1.016</f>
        <v>60151.463681102352</v>
      </c>
      <c r="BP99" s="111">
        <f>29.307*1686</f>
        <v>49411.601999999999</v>
      </c>
      <c r="BQ99" s="135">
        <f>5.6*460*29.307/1.016</f>
        <v>74305.937007874003</v>
      </c>
      <c r="BR99" s="111">
        <f>29.307*595</f>
        <v>17437.665000000001</v>
      </c>
      <c r="BS99" s="111">
        <f>29.307*340</f>
        <v>9964.3799999999992</v>
      </c>
      <c r="BT99" s="112">
        <f>29.307*7207</f>
        <v>211215.549</v>
      </c>
      <c r="BU99" s="111">
        <f>29.307*464</f>
        <v>13598.447999999999</v>
      </c>
      <c r="BV99" s="1261">
        <f>29.307*7671</f>
        <v>224813.997</v>
      </c>
      <c r="BW99" s="135">
        <f>6951*300/1000*29.307/1.016</f>
        <v>60151.463681102359</v>
      </c>
      <c r="BX99" s="111">
        <f>138*270/1000*29.307/1.016</f>
        <v>1074.7823031496062</v>
      </c>
      <c r="BY99" s="135">
        <f>237*220/1000*29.307/1.016</f>
        <v>1504.0029330708662</v>
      </c>
      <c r="BZ99" s="111">
        <f>5562*460/1000*29.307/1.016</f>
        <v>73801.718149606299</v>
      </c>
      <c r="CA99" s="135" t="s">
        <v>100</v>
      </c>
      <c r="CB99" s="111" t="s">
        <v>100</v>
      </c>
    </row>
    <row r="100" spans="1:80" x14ac:dyDescent="0.45">
      <c r="A100" s="10">
        <v>1970</v>
      </c>
      <c r="B100" s="1280"/>
      <c r="C100" s="1324">
        <f>3*29.307</f>
        <v>87.920999999999992</v>
      </c>
      <c r="D100" s="1324"/>
      <c r="E100" s="1258">
        <v>85430</v>
      </c>
      <c r="F100" s="111">
        <v>18376</v>
      </c>
      <c r="G100" s="112">
        <v>20691</v>
      </c>
      <c r="H100" s="111">
        <v>20808</v>
      </c>
      <c r="I100" s="112">
        <v>1858</v>
      </c>
      <c r="J100" s="111" t="s">
        <v>100</v>
      </c>
      <c r="K100" s="112">
        <v>1160</v>
      </c>
      <c r="L100" s="111">
        <v>19812</v>
      </c>
      <c r="M100" s="112">
        <v>3428</v>
      </c>
      <c r="N100" s="134"/>
      <c r="O100" s="111">
        <v>125933</v>
      </c>
      <c r="P100" s="112">
        <v>45631</v>
      </c>
      <c r="Q100" s="1317">
        <v>171564</v>
      </c>
      <c r="R100" s="111">
        <v>49617</v>
      </c>
      <c r="S100" s="112">
        <v>121712</v>
      </c>
      <c r="T100" s="111">
        <f>(3645-2902)*29.3071</f>
        <v>21775.175299999999</v>
      </c>
      <c r="U100" s="111">
        <v>9759</v>
      </c>
      <c r="V100" s="112" t="s">
        <v>100</v>
      </c>
      <c r="W100" s="111"/>
      <c r="X100" s="111">
        <v>12762</v>
      </c>
      <c r="Y100" s="112">
        <v>70</v>
      </c>
      <c r="Z100" s="111">
        <v>508</v>
      </c>
      <c r="AA100" s="112">
        <v>32</v>
      </c>
      <c r="AB100" s="1317">
        <v>13372</v>
      </c>
      <c r="AC100" s="1317"/>
      <c r="AD100" s="117" t="s">
        <v>261</v>
      </c>
      <c r="BN100" s="124">
        <v>1970</v>
      </c>
      <c r="BO100" s="135">
        <f>4.256*300*29.307/1.016</f>
        <v>36829.89921259843</v>
      </c>
      <c r="BP100" s="111">
        <f>29.307*2089</f>
        <v>61222.322999999997</v>
      </c>
      <c r="BQ100" s="135">
        <f>3.6*460*29.307/1.016</f>
        <v>47768.102362204721</v>
      </c>
      <c r="BR100" s="111">
        <f>29.307*433</f>
        <v>12689.930999999999</v>
      </c>
      <c r="BS100" s="111">
        <f>29.307*296</f>
        <v>8674.8719999999994</v>
      </c>
      <c r="BT100" s="112">
        <f>29.307*5724</f>
        <v>167753.26799999998</v>
      </c>
      <c r="BU100" s="111">
        <f>29.307*1514</f>
        <v>44370.797999999995</v>
      </c>
      <c r="BV100" s="1261">
        <f>29.307*7238</f>
        <v>212124.06599999999</v>
      </c>
      <c r="BW100" s="135">
        <f>4256*300/1000*29.307/1.016</f>
        <v>36829.899212598422</v>
      </c>
      <c r="BX100" s="111">
        <f>40*270/1000*29.307/1.016</f>
        <v>311.53110236220471</v>
      </c>
      <c r="BY100" s="135">
        <f>111*220/1000*29.307/1.016</f>
        <v>704.40643700787405</v>
      </c>
      <c r="BZ100" s="111">
        <f>3586*460/1000*29.307/1.016</f>
        <v>47582.337519685032</v>
      </c>
      <c r="CA100" s="135" t="s">
        <v>100</v>
      </c>
      <c r="CB100" s="111" t="s">
        <v>100</v>
      </c>
    </row>
    <row r="101" spans="1:80" ht="14.65" thickBot="1" x14ac:dyDescent="0.5">
      <c r="A101" s="10">
        <v>1971</v>
      </c>
      <c r="B101" s="1280"/>
      <c r="C101" s="1325">
        <f>2*29.307</f>
        <v>58.613999999999997</v>
      </c>
      <c r="D101" s="1324"/>
      <c r="E101" s="1258">
        <v>73502</v>
      </c>
      <c r="F101" s="111">
        <v>41675</v>
      </c>
      <c r="G101" s="112">
        <v>12075</v>
      </c>
      <c r="H101" s="111">
        <v>60431</v>
      </c>
      <c r="I101" s="112">
        <v>7808</v>
      </c>
      <c r="J101" s="111" t="s">
        <v>100</v>
      </c>
      <c r="K101" s="112">
        <v>926</v>
      </c>
      <c r="L101" s="111">
        <v>18669</v>
      </c>
      <c r="M101" s="112">
        <v>7531</v>
      </c>
      <c r="N101" s="134"/>
      <c r="O101" s="111">
        <v>104245</v>
      </c>
      <c r="P101" s="112">
        <v>118371</v>
      </c>
      <c r="Q101" s="1317">
        <v>222616</v>
      </c>
      <c r="R101" s="111">
        <v>24882</v>
      </c>
      <c r="S101" s="112">
        <v>201721</v>
      </c>
      <c r="T101" s="111">
        <f>(3721-3160)*29.3071</f>
        <v>16441.283100000001</v>
      </c>
      <c r="U101" s="111">
        <v>9730</v>
      </c>
      <c r="V101" s="112" t="s">
        <v>100</v>
      </c>
      <c r="W101" s="111"/>
      <c r="X101" s="111">
        <v>12800</v>
      </c>
      <c r="Y101" s="112">
        <v>68</v>
      </c>
      <c r="Z101" s="111">
        <v>491</v>
      </c>
      <c r="AA101" s="112">
        <v>31</v>
      </c>
      <c r="AB101" s="1317">
        <v>13390</v>
      </c>
      <c r="AC101" s="1317"/>
      <c r="AD101" s="117" t="s">
        <v>262</v>
      </c>
      <c r="AK101" s="118"/>
      <c r="BN101" s="124">
        <v>1971</v>
      </c>
      <c r="BO101" s="135">
        <f>1.798*300*29.307/1.016</f>
        <v>15559.247834645666</v>
      </c>
      <c r="BP101" s="111">
        <f>29.307*3041</f>
        <v>89122.587</v>
      </c>
      <c r="BQ101" s="135">
        <f>1.9*460*29.307/1.016</f>
        <v>25210.942913385825</v>
      </c>
      <c r="BR101" s="111">
        <f>29.307*326</f>
        <v>9554.0820000000003</v>
      </c>
      <c r="BS101" s="111">
        <f>29.307*222</f>
        <v>6506.1539999999995</v>
      </c>
      <c r="BT101" s="112">
        <f>29.307*5003</f>
        <v>146622.921</v>
      </c>
      <c r="BU101" s="111">
        <f>29.307*3994</f>
        <v>117052.158</v>
      </c>
      <c r="BV101" s="1261">
        <f>29.307*8997</f>
        <v>263675.07899999997</v>
      </c>
      <c r="BW101" s="135">
        <f>1798*300/1000*29.307/1.016</f>
        <v>15559.247834645666</v>
      </c>
      <c r="BX101" s="111">
        <f>9*270/1000*29.307/1.016</f>
        <v>70.094498031496059</v>
      </c>
      <c r="BY101" s="135">
        <f>33*220/1000*29.307/1.016</f>
        <v>209.4181299212598</v>
      </c>
      <c r="BZ101" s="111">
        <f>1846*460/1000*29.307/1.016</f>
        <v>24494.421377952756</v>
      </c>
      <c r="CA101" s="135" t="s">
        <v>100</v>
      </c>
      <c r="CB101" s="111" t="s">
        <v>100</v>
      </c>
    </row>
    <row r="102" spans="1:80" x14ac:dyDescent="0.45">
      <c r="A102" s="10">
        <v>1972</v>
      </c>
      <c r="B102" s="1280"/>
      <c r="C102" s="1258"/>
      <c r="D102" s="111"/>
      <c r="E102" s="111">
        <v>64974</v>
      </c>
      <c r="F102" s="111">
        <v>67172</v>
      </c>
      <c r="G102" s="112">
        <v>13423</v>
      </c>
      <c r="H102" s="111">
        <v>94662</v>
      </c>
      <c r="I102" s="112">
        <v>18563</v>
      </c>
      <c r="J102" s="111" t="s">
        <v>100</v>
      </c>
      <c r="K102" s="112">
        <v>633</v>
      </c>
      <c r="L102" s="111">
        <v>17438</v>
      </c>
      <c r="M102" s="112">
        <v>13423</v>
      </c>
      <c r="N102" s="134"/>
      <c r="O102" s="111">
        <v>95834</v>
      </c>
      <c r="P102" s="112">
        <v>194453</v>
      </c>
      <c r="Q102" s="1317">
        <v>290287</v>
      </c>
      <c r="R102" s="111">
        <v>17848</v>
      </c>
      <c r="S102" s="112">
        <v>291078</v>
      </c>
      <c r="T102" s="111">
        <f>(3353-2955)*29.3071</f>
        <v>11664.2258</v>
      </c>
      <c r="U102" s="111">
        <v>8968</v>
      </c>
      <c r="V102" s="112" t="s">
        <v>100</v>
      </c>
      <c r="W102" s="111"/>
      <c r="X102" s="111">
        <v>12924</v>
      </c>
      <c r="Y102" s="112">
        <v>69</v>
      </c>
      <c r="Z102" s="111">
        <v>483</v>
      </c>
      <c r="AA102" s="112">
        <v>30</v>
      </c>
      <c r="AB102" s="1317">
        <v>13506</v>
      </c>
      <c r="AC102" s="1317"/>
      <c r="AD102" s="117" t="s">
        <v>263</v>
      </c>
      <c r="AG102" s="118"/>
      <c r="AH102" s="118"/>
      <c r="AI102" s="118"/>
      <c r="AJ102" s="118"/>
      <c r="BN102" s="124">
        <v>1972</v>
      </c>
      <c r="BO102" s="135">
        <f>0.568*300*29.307/1.016</f>
        <v>4915.2685039370072</v>
      </c>
      <c r="BP102" s="111">
        <f>29.307*2711</f>
        <v>79451.277000000002</v>
      </c>
      <c r="BQ102" s="135">
        <f>1.6*460*29.307/1.016</f>
        <v>21230.267716535429</v>
      </c>
      <c r="BR102" s="111">
        <f>29.307*304</f>
        <v>8909.3279999999995</v>
      </c>
      <c r="BS102" s="111">
        <f>29.307*83</f>
        <v>2432.4809999999998</v>
      </c>
      <c r="BT102" s="112">
        <f>29.307*3981</f>
        <v>116671.167</v>
      </c>
      <c r="BU102" s="111">
        <f>29.307*7211</f>
        <v>211332.777</v>
      </c>
      <c r="BV102" s="1261">
        <f>29.307*11192</f>
        <v>328003.94399999996</v>
      </c>
      <c r="BW102" s="135">
        <f>568*300/1000*29.307/1.016</f>
        <v>4915.2685039370081</v>
      </c>
      <c r="BX102" s="111">
        <f>7*270/1000*29.307/1.016</f>
        <v>54.517942913385824</v>
      </c>
      <c r="BY102" s="135">
        <f>13*220/1000*29.307/1.016</f>
        <v>82.498051181102355</v>
      </c>
      <c r="BZ102" s="111">
        <f>1506*460/1000*29.307/1.016</f>
        <v>19982.989488188974</v>
      </c>
      <c r="CA102" s="135" t="s">
        <v>100</v>
      </c>
      <c r="CB102" s="111" t="s">
        <v>100</v>
      </c>
    </row>
    <row r="103" spans="1:80" x14ac:dyDescent="0.45">
      <c r="A103" s="10">
        <v>1973</v>
      </c>
      <c r="B103" s="1280"/>
      <c r="C103" s="1258"/>
      <c r="D103" s="111"/>
      <c r="E103" s="111">
        <v>46598</v>
      </c>
      <c r="F103" s="111">
        <v>94515</v>
      </c>
      <c r="G103" s="112">
        <v>9173</v>
      </c>
      <c r="H103" s="111">
        <v>125552</v>
      </c>
      <c r="I103" s="112">
        <v>8453</v>
      </c>
      <c r="J103" s="111" t="s">
        <v>100</v>
      </c>
      <c r="K103" s="112">
        <v>2743</v>
      </c>
      <c r="L103" s="111">
        <v>12514</v>
      </c>
      <c r="M103" s="112">
        <v>20369</v>
      </c>
      <c r="N103" s="134"/>
      <c r="O103" s="111">
        <v>68286</v>
      </c>
      <c r="P103" s="112">
        <v>251631</v>
      </c>
      <c r="Q103" s="1317">
        <v>319917</v>
      </c>
      <c r="R103" s="111">
        <v>21336</v>
      </c>
      <c r="S103" s="112">
        <v>317132</v>
      </c>
      <c r="T103" s="111">
        <f>(1983-1648)*29.3071</f>
        <v>9817.8784999999989</v>
      </c>
      <c r="U103" s="111">
        <v>8587</v>
      </c>
      <c r="V103" s="112" t="s">
        <v>100</v>
      </c>
      <c r="W103" s="111"/>
      <c r="X103" s="111">
        <v>12990</v>
      </c>
      <c r="Y103" s="112">
        <v>70</v>
      </c>
      <c r="Z103" s="111">
        <v>465</v>
      </c>
      <c r="AA103" s="112">
        <v>34</v>
      </c>
      <c r="AB103" s="1317">
        <v>13559</v>
      </c>
      <c r="AC103" s="1317"/>
      <c r="AD103" s="117" t="s">
        <v>264</v>
      </c>
      <c r="BN103" s="124">
        <v>1973</v>
      </c>
      <c r="BO103" s="135">
        <f>0.512*300*29.307/1.016</f>
        <v>4430.6645669291338</v>
      </c>
      <c r="BP103" s="111">
        <f>29.307*1662</f>
        <v>48708.233999999997</v>
      </c>
      <c r="BQ103" s="135">
        <f>1.8*460*29.307/1.016</f>
        <v>23884.051181102361</v>
      </c>
      <c r="BR103" s="111">
        <f>29.307*267</f>
        <v>7824.9690000000001</v>
      </c>
      <c r="BS103" s="111">
        <f>29.307*54</f>
        <v>1582.578</v>
      </c>
      <c r="BT103" s="112">
        <f>29.307*2934</f>
        <v>85986.737999999998</v>
      </c>
      <c r="BU103" s="111">
        <f>29.307*9197</f>
        <v>269536.47899999999</v>
      </c>
      <c r="BV103" s="1261">
        <f>29.307*12131</f>
        <v>355523.217</v>
      </c>
      <c r="BW103" s="135">
        <f>512*300/1000*29.307/1.016</f>
        <v>4430.6645669291338</v>
      </c>
      <c r="BX103" s="111">
        <f>1*270/1000*29.307/1.016</f>
        <v>7.7882775590551176</v>
      </c>
      <c r="BY103" s="135">
        <f>4*220/1000*29.307/1.016</f>
        <v>25.384015748031494</v>
      </c>
      <c r="BZ103" s="111">
        <f>1692*460/1000*29.307/1.016</f>
        <v>22451.00811023622</v>
      </c>
      <c r="CA103" s="135" t="s">
        <v>100</v>
      </c>
      <c r="CB103" s="111" t="s">
        <v>100</v>
      </c>
    </row>
    <row r="104" spans="1:80" x14ac:dyDescent="0.45">
      <c r="A104" s="10">
        <v>1974</v>
      </c>
      <c r="B104" s="1280"/>
      <c r="C104" s="1258"/>
      <c r="D104" s="111"/>
      <c r="E104" s="111">
        <v>30450</v>
      </c>
      <c r="F104" s="111">
        <v>127339</v>
      </c>
      <c r="G104" s="112">
        <v>5744</v>
      </c>
      <c r="H104" s="111">
        <v>143341</v>
      </c>
      <c r="I104" s="112">
        <v>28967</v>
      </c>
      <c r="J104" s="111" t="s">
        <v>100</v>
      </c>
      <c r="K104" s="112">
        <v>3094</v>
      </c>
      <c r="L104" s="111">
        <v>8646</v>
      </c>
      <c r="M104" s="112">
        <v>29806</v>
      </c>
      <c r="N104" s="134"/>
      <c r="O104" s="111">
        <v>44840</v>
      </c>
      <c r="P104" s="112">
        <v>332548</v>
      </c>
      <c r="Q104" s="1317">
        <v>377388</v>
      </c>
      <c r="R104" s="111">
        <v>12221</v>
      </c>
      <c r="S104" s="112">
        <v>382253</v>
      </c>
      <c r="T104" s="111">
        <f>(1365-1208)*29.3071</f>
        <v>4601.2146999999995</v>
      </c>
      <c r="U104" s="111">
        <v>7122</v>
      </c>
      <c r="V104" s="112" t="s">
        <v>100</v>
      </c>
      <c r="W104" s="111"/>
      <c r="X104" s="111">
        <v>13119</v>
      </c>
      <c r="Y104" s="112">
        <v>69</v>
      </c>
      <c r="Z104" s="111">
        <v>464</v>
      </c>
      <c r="AA104" s="112">
        <v>30</v>
      </c>
      <c r="AB104" s="1317">
        <v>13682</v>
      </c>
      <c r="AC104" s="1317"/>
      <c r="AD104" s="117" t="s">
        <v>265</v>
      </c>
      <c r="BN104" s="124">
        <v>1974</v>
      </c>
      <c r="BO104" s="135">
        <f>0.106*300*29.307/1.016</f>
        <v>917.2860236220472</v>
      </c>
      <c r="BP104" s="111">
        <f>29.307*1219</f>
        <v>35725.233</v>
      </c>
      <c r="BQ104" s="135">
        <f>1*460*29.307/1.016</f>
        <v>13268.917322834644</v>
      </c>
      <c r="BR104" s="111">
        <f>29.307*116</f>
        <v>3399.6119999999996</v>
      </c>
      <c r="BS104" s="111">
        <f>29.307*30</f>
        <v>879.20999999999992</v>
      </c>
      <c r="BT104" s="112">
        <f>29.307*1866</f>
        <v>54686.862000000001</v>
      </c>
      <c r="BU104" s="111">
        <f>29.307*11863</f>
        <v>347668.94099999999</v>
      </c>
      <c r="BV104" s="1261">
        <f>29.307*13729</f>
        <v>402355.80299999996</v>
      </c>
      <c r="BW104" s="135">
        <f>106*300/1000*29.307/1.016</f>
        <v>917.2860236220472</v>
      </c>
      <c r="BX104" s="111">
        <f>1*270*29.307/1000/1.016</f>
        <v>7.7882775590551168</v>
      </c>
      <c r="BY104" s="135" t="s">
        <v>100</v>
      </c>
      <c r="BZ104" s="111">
        <f>966*460/1000*29.307/1.016</f>
        <v>12817.774133858267</v>
      </c>
      <c r="CA104" s="135" t="s">
        <v>100</v>
      </c>
      <c r="CB104" s="111" t="s">
        <v>100</v>
      </c>
    </row>
    <row r="105" spans="1:80" x14ac:dyDescent="0.45">
      <c r="A105" s="10">
        <v>1975</v>
      </c>
      <c r="B105" s="1280"/>
      <c r="C105" s="1258"/>
      <c r="D105" s="111"/>
      <c r="E105" s="111">
        <v>14507</v>
      </c>
      <c r="F105" s="111">
        <v>158141</v>
      </c>
      <c r="G105" s="112">
        <v>2579</v>
      </c>
      <c r="H105" s="111">
        <v>146067</v>
      </c>
      <c r="I105" s="112">
        <v>25245</v>
      </c>
      <c r="J105" s="111" t="s">
        <v>100</v>
      </c>
      <c r="K105" s="112">
        <v>3241</v>
      </c>
      <c r="L105" s="111">
        <v>3898</v>
      </c>
      <c r="M105" s="112">
        <v>37542</v>
      </c>
      <c r="N105" s="134"/>
      <c r="O105" s="111">
        <v>20984</v>
      </c>
      <c r="P105" s="112">
        <v>370237</v>
      </c>
      <c r="Q105" s="1317">
        <v>391250</v>
      </c>
      <c r="R105" s="111">
        <v>5393</v>
      </c>
      <c r="S105" s="112">
        <v>397932</v>
      </c>
      <c r="T105" s="111">
        <f>(769-700)*29.3071</f>
        <v>2022.1898999999999</v>
      </c>
      <c r="U105" s="111">
        <v>9818</v>
      </c>
      <c r="V105" s="112" t="s">
        <v>100</v>
      </c>
      <c r="W105" s="111"/>
      <c r="X105" s="111">
        <v>13365</v>
      </c>
      <c r="Y105" s="112">
        <v>69</v>
      </c>
      <c r="Z105" s="111">
        <v>463</v>
      </c>
      <c r="AA105" s="112">
        <v>28</v>
      </c>
      <c r="AB105" s="1317">
        <v>13925</v>
      </c>
      <c r="AC105" s="1317"/>
      <c r="AD105" s="117" t="s">
        <v>266</v>
      </c>
      <c r="BN105" s="124">
        <v>1975</v>
      </c>
      <c r="BO105" s="135">
        <f>0.01*300*29.307/1.016</f>
        <v>86.536417322834637</v>
      </c>
      <c r="BP105" s="111">
        <f>29.307*708</f>
        <v>20749.356</v>
      </c>
      <c r="BQ105" s="135">
        <f>0.5*453*29.307</f>
        <v>6638.0355</v>
      </c>
      <c r="BR105" s="111">
        <f>29.307*51</f>
        <v>1494.6569999999999</v>
      </c>
      <c r="BS105" s="111">
        <f>29.307*10</f>
        <v>293.07</v>
      </c>
      <c r="BT105" s="112">
        <f>29.307*991</f>
        <v>29043.236999999997</v>
      </c>
      <c r="BU105" s="111">
        <f>29.307*13080</f>
        <v>383335.56</v>
      </c>
      <c r="BV105" s="1261">
        <f>29.307*14071</f>
        <v>412378.79699999996</v>
      </c>
      <c r="BW105" s="135">
        <f>10*300/1000*29.307</f>
        <v>87.920999999999992</v>
      </c>
      <c r="BX105" s="111" t="s">
        <v>100</v>
      </c>
      <c r="BY105" s="135" t="s">
        <v>100</v>
      </c>
      <c r="BZ105" s="111">
        <f>415*453/1000*29.307</f>
        <v>5509.5694649999996</v>
      </c>
      <c r="CA105" s="135" t="s">
        <v>100</v>
      </c>
      <c r="CB105" s="111" t="s">
        <v>100</v>
      </c>
    </row>
    <row r="106" spans="1:80" x14ac:dyDescent="0.45">
      <c r="A106" s="10">
        <v>1976</v>
      </c>
      <c r="B106" s="1280"/>
      <c r="C106" s="1258"/>
      <c r="D106" s="111"/>
      <c r="E106" s="111">
        <v>4250</v>
      </c>
      <c r="F106" s="111">
        <v>177279</v>
      </c>
      <c r="G106" s="112">
        <v>791</v>
      </c>
      <c r="H106" s="111">
        <v>165644</v>
      </c>
      <c r="I106" s="112">
        <v>19501</v>
      </c>
      <c r="J106" s="111" t="s">
        <v>100</v>
      </c>
      <c r="K106" s="112">
        <v>3563</v>
      </c>
      <c r="L106" s="111">
        <v>1231</v>
      </c>
      <c r="M106" s="112">
        <v>45132</v>
      </c>
      <c r="N106" s="134"/>
      <c r="O106" s="111">
        <v>6272</v>
      </c>
      <c r="P106" s="112">
        <v>411120</v>
      </c>
      <c r="Q106" s="1317">
        <v>417655</v>
      </c>
      <c r="R106" s="111">
        <v>1700</v>
      </c>
      <c r="S106" s="112">
        <v>421700</v>
      </c>
      <c r="T106" s="111">
        <f>(221-171)*29.3071</f>
        <v>1465.355</v>
      </c>
      <c r="U106" s="111">
        <v>11254</v>
      </c>
      <c r="V106" s="112" t="s">
        <v>100</v>
      </c>
      <c r="W106" s="111"/>
      <c r="X106" s="111">
        <v>13642</v>
      </c>
      <c r="Y106" s="112">
        <v>69</v>
      </c>
      <c r="Z106" s="111">
        <v>461</v>
      </c>
      <c r="AA106" s="112">
        <v>28</v>
      </c>
      <c r="AB106" s="1317">
        <v>14200</v>
      </c>
      <c r="AC106" s="1317"/>
      <c r="AD106" s="117" t="s">
        <v>267</v>
      </c>
      <c r="BN106" s="124">
        <v>1976</v>
      </c>
      <c r="BO106" s="135">
        <f>0.008*300*29.307/1.016</f>
        <v>69.229133858267716</v>
      </c>
      <c r="BP106" s="111">
        <f>29.307*181</f>
        <v>5304.567</v>
      </c>
      <c r="BQ106" s="135">
        <f>0.2*460*29.307/1.016</f>
        <v>2653.7834645669286</v>
      </c>
      <c r="BR106" s="111">
        <f>29.307*31</f>
        <v>908.51699999999994</v>
      </c>
      <c r="BS106" s="111">
        <f>29.307*9</f>
        <v>263.76299999999998</v>
      </c>
      <c r="BT106" s="112">
        <f>29.307*307</f>
        <v>8997.2489999999998</v>
      </c>
      <c r="BU106" s="111">
        <f>29.307*14264</f>
        <v>418035.04799999995</v>
      </c>
      <c r="BV106" s="1261">
        <f>29.307*14571</f>
        <v>427032.29699999996</v>
      </c>
      <c r="BW106" s="135">
        <f>8*300/1000*29.307</f>
        <v>70.336799999999997</v>
      </c>
      <c r="BX106" s="111" t="s">
        <v>100</v>
      </c>
      <c r="BY106" s="135" t="s">
        <v>100</v>
      </c>
      <c r="BZ106" s="111">
        <f>126*460/1000*29.307</f>
        <v>1698.63372</v>
      </c>
      <c r="CA106" s="135" t="s">
        <v>100</v>
      </c>
      <c r="CB106" s="111" t="s">
        <v>100</v>
      </c>
    </row>
    <row r="107" spans="1:80" x14ac:dyDescent="0.45">
      <c r="A107" s="10">
        <v>1977</v>
      </c>
      <c r="B107" s="1280"/>
      <c r="C107" s="1258"/>
      <c r="D107" s="111"/>
      <c r="E107" s="111">
        <v>1290</v>
      </c>
      <c r="F107" s="111">
        <v>191844</v>
      </c>
      <c r="G107" s="112">
        <v>352</v>
      </c>
      <c r="H107" s="111">
        <v>173820</v>
      </c>
      <c r="I107" s="112">
        <v>15310</v>
      </c>
      <c r="J107" s="111" t="s">
        <v>100</v>
      </c>
      <c r="K107" s="112">
        <v>7637</v>
      </c>
      <c r="L107" s="111">
        <v>410</v>
      </c>
      <c r="M107" s="112">
        <v>46131</v>
      </c>
      <c r="N107" s="134"/>
      <c r="O107" s="111">
        <v>2051</v>
      </c>
      <c r="P107" s="112">
        <v>434742</v>
      </c>
      <c r="Q107" s="1317">
        <v>436793</v>
      </c>
      <c r="R107" s="111">
        <v>762</v>
      </c>
      <c r="S107" s="112">
        <v>440544</v>
      </c>
      <c r="T107" s="111">
        <f>(11+10+27-15)*29.3071</f>
        <v>967.13429999999994</v>
      </c>
      <c r="U107" s="111">
        <v>19548</v>
      </c>
      <c r="V107" s="112" t="s">
        <v>100</v>
      </c>
      <c r="W107" s="111"/>
      <c r="X107" s="111">
        <v>13963</v>
      </c>
      <c r="Y107" s="112">
        <v>70</v>
      </c>
      <c r="Z107" s="111">
        <v>453</v>
      </c>
      <c r="AA107" s="112">
        <v>30</v>
      </c>
      <c r="AB107" s="1317">
        <v>14516</v>
      </c>
      <c r="AC107" s="1317"/>
      <c r="AD107" s="117" t="s">
        <v>268</v>
      </c>
      <c r="BN107" s="124">
        <v>1977</v>
      </c>
      <c r="BO107" s="135">
        <f>0.007*300*29.307/1.016</f>
        <v>60.575492125984248</v>
      </c>
      <c r="BP107" s="111">
        <f>29.307*53</f>
        <v>1553.271</v>
      </c>
      <c r="BQ107" s="135">
        <f>0.1*460*29.307/1.016</f>
        <v>1326.8917322834643</v>
      </c>
      <c r="BR107" s="111">
        <f>29.307*37</f>
        <v>1084.3589999999999</v>
      </c>
      <c r="BS107" s="111" t="s">
        <v>100</v>
      </c>
      <c r="BT107" s="112">
        <f>29.307*137</f>
        <v>4015.0589999999997</v>
      </c>
      <c r="BU107" s="111">
        <f>29.307*15287</f>
        <v>448016.109</v>
      </c>
      <c r="BV107" s="1261">
        <f>29.307*15424</f>
        <v>452031.16800000001</v>
      </c>
      <c r="BW107" s="135">
        <f>7*300/1000*29.307</f>
        <v>61.544699999999999</v>
      </c>
      <c r="BX107" s="111" t="s">
        <v>100</v>
      </c>
      <c r="BY107" s="135" t="s">
        <v>100</v>
      </c>
      <c r="BZ107" s="111">
        <f>37*460/1000*29.307</f>
        <v>498.80513999999994</v>
      </c>
      <c r="CA107" s="135">
        <f>29.307*1</f>
        <v>29.306999999999999</v>
      </c>
      <c r="CB107" s="111">
        <f>29.307*14</f>
        <v>410.298</v>
      </c>
    </row>
    <row r="108" spans="1:80" x14ac:dyDescent="0.45">
      <c r="A108" s="10">
        <v>1978</v>
      </c>
      <c r="B108" s="1280"/>
      <c r="C108" s="1258"/>
      <c r="D108" s="111"/>
      <c r="E108" s="111">
        <v>557</v>
      </c>
      <c r="F108" s="111">
        <v>212242</v>
      </c>
      <c r="G108" s="112">
        <v>176</v>
      </c>
      <c r="H108" s="111">
        <v>176253</v>
      </c>
      <c r="I108" s="112">
        <v>10006</v>
      </c>
      <c r="J108" s="111" t="s">
        <v>100</v>
      </c>
      <c r="K108" s="112">
        <v>9952</v>
      </c>
      <c r="L108" s="111">
        <v>205</v>
      </c>
      <c r="M108" s="112">
        <v>50906</v>
      </c>
      <c r="N108" s="134"/>
      <c r="O108" s="111">
        <v>938</v>
      </c>
      <c r="P108" s="112">
        <v>459359</v>
      </c>
      <c r="Q108" s="1317">
        <v>460297</v>
      </c>
      <c r="R108" s="111">
        <v>615</v>
      </c>
      <c r="S108" s="112">
        <v>422257</v>
      </c>
      <c r="T108" s="111">
        <f>(10+11+75-60)*29.3071</f>
        <v>1055.0555999999999</v>
      </c>
      <c r="U108" s="111">
        <v>55361</v>
      </c>
      <c r="V108" s="112" t="s">
        <v>100</v>
      </c>
      <c r="W108" s="111"/>
      <c r="X108" s="111">
        <v>14323</v>
      </c>
      <c r="Y108" s="112">
        <v>75</v>
      </c>
      <c r="Z108" s="111">
        <v>456</v>
      </c>
      <c r="AA108" s="112">
        <v>29</v>
      </c>
      <c r="AB108" s="1317">
        <v>14883</v>
      </c>
      <c r="AC108" s="1317"/>
      <c r="AD108" s="117" t="s">
        <v>269</v>
      </c>
      <c r="BN108" s="124">
        <v>1978</v>
      </c>
      <c r="BO108" s="135">
        <f>29.307*2</f>
        <v>58.613999999999997</v>
      </c>
      <c r="BP108" s="111">
        <f>29.307*8</f>
        <v>234.45599999999999</v>
      </c>
      <c r="BQ108" s="135">
        <f>29.307*49</f>
        <v>1436.0429999999999</v>
      </c>
      <c r="BR108" s="111">
        <f>29.307*86</f>
        <v>2520.402</v>
      </c>
      <c r="BS108" s="111" t="s">
        <v>100</v>
      </c>
      <c r="BT108" s="112">
        <f>29.307*145</f>
        <v>4249.5149999999994</v>
      </c>
      <c r="BU108" s="111">
        <f>29.307*15777</f>
        <v>462376.53899999999</v>
      </c>
      <c r="BV108" s="1261">
        <f>29.307*15922</f>
        <v>466626.054</v>
      </c>
      <c r="BW108" s="135">
        <f>6*295/1000*29.307</f>
        <v>51.873390000000001</v>
      </c>
      <c r="BX108" s="111" t="s">
        <v>100</v>
      </c>
      <c r="BY108" s="135" t="s">
        <v>100</v>
      </c>
      <c r="BZ108" s="111">
        <f>49*453/1000*29.307</f>
        <v>650.52747899999997</v>
      </c>
      <c r="CA108" s="135">
        <f>29.307*3</f>
        <v>87.920999999999992</v>
      </c>
      <c r="CB108" s="111">
        <f>29.307*57</f>
        <v>1670.499</v>
      </c>
    </row>
    <row r="109" spans="1:80" x14ac:dyDescent="0.45">
      <c r="A109" s="10">
        <v>1979</v>
      </c>
      <c r="B109" s="1280"/>
      <c r="C109" s="1258"/>
      <c r="D109" s="111"/>
      <c r="E109" s="111">
        <v>586</v>
      </c>
      <c r="F109" s="111">
        <v>240465</v>
      </c>
      <c r="G109" s="112">
        <v>205</v>
      </c>
      <c r="H109" s="111">
        <v>182232</v>
      </c>
      <c r="I109" s="112">
        <v>7104</v>
      </c>
      <c r="J109" s="111" t="s">
        <v>100</v>
      </c>
      <c r="K109" s="112">
        <v>14143</v>
      </c>
      <c r="L109" s="111">
        <v>264</v>
      </c>
      <c r="M109" s="112">
        <v>57382</v>
      </c>
      <c r="N109" s="134"/>
      <c r="O109" s="111">
        <v>1055</v>
      </c>
      <c r="P109" s="112">
        <v>501327</v>
      </c>
      <c r="Q109" s="1317">
        <v>502382</v>
      </c>
      <c r="R109" s="111">
        <v>674</v>
      </c>
      <c r="S109" s="112">
        <v>425832</v>
      </c>
      <c r="T109" s="111">
        <f>(6+5+75-63)*29.3071</f>
        <v>674.06329999999991</v>
      </c>
      <c r="U109" s="111">
        <v>95424</v>
      </c>
      <c r="V109" s="112" t="s">
        <v>100</v>
      </c>
      <c r="W109" s="111"/>
      <c r="X109" s="111">
        <v>14694</v>
      </c>
      <c r="Y109" s="112">
        <v>78</v>
      </c>
      <c r="Z109" s="111">
        <v>464</v>
      </c>
      <c r="AA109" s="112">
        <v>28</v>
      </c>
      <c r="AB109" s="1317">
        <v>15264</v>
      </c>
      <c r="AC109" s="1317"/>
      <c r="AD109" s="117" t="s">
        <v>270</v>
      </c>
      <c r="AK109" s="118"/>
      <c r="BN109" s="10">
        <v>1979</v>
      </c>
      <c r="BO109" s="111">
        <f>29.307*2</f>
        <v>58.613999999999997</v>
      </c>
      <c r="BP109" s="111" t="s">
        <v>100</v>
      </c>
      <c r="BQ109" s="135">
        <f>29.307*32</f>
        <v>937.82399999999996</v>
      </c>
      <c r="BR109" s="111">
        <f>29.307*80</f>
        <v>2344.56</v>
      </c>
      <c r="BS109" s="111" t="s">
        <v>100</v>
      </c>
      <c r="BT109" s="112">
        <f>29.307*114</f>
        <v>3340.998</v>
      </c>
      <c r="BU109" s="111">
        <f>29.307*17238</f>
        <v>505194.06599999999</v>
      </c>
      <c r="BV109" s="1261">
        <f>29.307*17352</f>
        <v>508535.06399999995</v>
      </c>
      <c r="BW109" s="1315">
        <f>6*295/1000*29.307</f>
        <v>51.873390000000001</v>
      </c>
      <c r="BX109" s="1311" t="s">
        <v>100</v>
      </c>
      <c r="BY109" s="1313" t="s">
        <v>100</v>
      </c>
      <c r="BZ109" s="1311">
        <f>5*453/1000*29.307</f>
        <v>66.380354999999994</v>
      </c>
      <c r="CA109" s="1313" t="s">
        <v>100</v>
      </c>
      <c r="CB109" s="1311">
        <f>29.307*63</f>
        <v>1846.3409999999999</v>
      </c>
    </row>
    <row r="110" spans="1:80" x14ac:dyDescent="0.45">
      <c r="A110" s="10">
        <v>1980</v>
      </c>
      <c r="B110" s="1280"/>
      <c r="C110" s="1258"/>
      <c r="D110" s="111"/>
      <c r="E110" s="111">
        <v>557</v>
      </c>
      <c r="F110" s="111">
        <v>246766</v>
      </c>
      <c r="G110" s="112">
        <v>147</v>
      </c>
      <c r="H110" s="111">
        <v>177513</v>
      </c>
      <c r="I110" s="112">
        <v>4027</v>
      </c>
      <c r="J110" s="111" t="s">
        <v>100</v>
      </c>
      <c r="K110" s="112">
        <v>19096</v>
      </c>
      <c r="L110" s="111">
        <v>205</v>
      </c>
      <c r="M110" s="112">
        <v>60373</v>
      </c>
      <c r="N110" s="134"/>
      <c r="O110" s="111">
        <v>909</v>
      </c>
      <c r="P110" s="112">
        <v>507775</v>
      </c>
      <c r="Q110" s="1317">
        <v>508684</v>
      </c>
      <c r="R110" s="111">
        <v>586</v>
      </c>
      <c r="S110" s="112">
        <v>404760</v>
      </c>
      <c r="T110" s="134" t="s">
        <v>100</v>
      </c>
      <c r="U110" s="111">
        <v>116291</v>
      </c>
      <c r="V110" s="112" t="s">
        <v>100</v>
      </c>
      <c r="W110" s="111"/>
      <c r="X110" s="111">
        <v>14930</v>
      </c>
      <c r="Y110" s="112">
        <v>81</v>
      </c>
      <c r="Z110" s="111">
        <v>466</v>
      </c>
      <c r="AA110" s="112">
        <v>29</v>
      </c>
      <c r="AB110" s="1317">
        <v>15506</v>
      </c>
      <c r="AC110" s="1317"/>
      <c r="AD110" s="117" t="s">
        <v>271</v>
      </c>
      <c r="AG110" s="118"/>
      <c r="AH110" s="118"/>
      <c r="AI110" s="118"/>
      <c r="AJ110" s="118"/>
      <c r="BN110" s="10">
        <v>1980</v>
      </c>
      <c r="BO110" s="111" t="s">
        <v>100</v>
      </c>
      <c r="BP110" s="111" t="s">
        <v>100</v>
      </c>
      <c r="BQ110" s="135">
        <f>29.307*27</f>
        <v>791.28899999999999</v>
      </c>
      <c r="BR110" s="111">
        <f>29.307*79</f>
        <v>2315.2529999999997</v>
      </c>
      <c r="BS110" s="111" t="s">
        <v>100</v>
      </c>
      <c r="BT110" s="112">
        <f>29.307*106</f>
        <v>3106.5419999999999</v>
      </c>
      <c r="BU110" s="111">
        <f>29.307*17012</f>
        <v>498570.68399999995</v>
      </c>
      <c r="BV110" s="1261">
        <f>29.307*17118</f>
        <v>501677.22599999997</v>
      </c>
      <c r="BW110" s="132"/>
      <c r="BX110" s="133"/>
      <c r="BY110" s="133"/>
      <c r="BZ110" s="133"/>
      <c r="CA110" s="133"/>
      <c r="CB110" s="133"/>
    </row>
    <row r="111" spans="1:80" x14ac:dyDescent="0.45">
      <c r="A111" s="10">
        <v>1981</v>
      </c>
      <c r="B111" s="1280"/>
      <c r="C111" s="1258"/>
      <c r="D111" s="111"/>
      <c r="E111" s="111">
        <v>469</v>
      </c>
      <c r="F111" s="111">
        <v>256379</v>
      </c>
      <c r="G111" s="112">
        <v>147</v>
      </c>
      <c r="H111" s="111">
        <v>168574</v>
      </c>
      <c r="I111" s="112">
        <v>4174</v>
      </c>
      <c r="J111" s="111" t="s">
        <v>100</v>
      </c>
      <c r="K111" s="112">
        <v>22320</v>
      </c>
      <c r="L111" s="111">
        <v>176</v>
      </c>
      <c r="M111" s="112">
        <v>59874</v>
      </c>
      <c r="N111" s="134"/>
      <c r="O111" s="111">
        <v>791</v>
      </c>
      <c r="P111" s="112">
        <v>511321</v>
      </c>
      <c r="Q111" s="1317">
        <v>512112</v>
      </c>
      <c r="R111" s="111">
        <v>557</v>
      </c>
      <c r="S111" s="112">
        <v>401742</v>
      </c>
      <c r="T111" s="134" t="s">
        <v>100</v>
      </c>
      <c r="U111" s="111">
        <v>124262</v>
      </c>
      <c r="V111" s="112" t="s">
        <v>100</v>
      </c>
      <c r="W111" s="111"/>
      <c r="X111" s="111">
        <v>15135</v>
      </c>
      <c r="Y111" s="112">
        <v>81</v>
      </c>
      <c r="Z111" s="111">
        <v>468</v>
      </c>
      <c r="AA111" s="112">
        <v>28</v>
      </c>
      <c r="AB111" s="1317">
        <v>15712</v>
      </c>
      <c r="AC111" s="1317"/>
      <c r="AD111" s="117" t="s">
        <v>272</v>
      </c>
      <c r="BN111" s="10">
        <v>1981</v>
      </c>
      <c r="BO111" s="111" t="s">
        <v>100</v>
      </c>
      <c r="BP111" s="111" t="s">
        <v>100</v>
      </c>
      <c r="BQ111" s="135">
        <f>29.307*29</f>
        <v>849.90299999999991</v>
      </c>
      <c r="BR111" s="111">
        <f>29.307*71</f>
        <v>2080.797</v>
      </c>
      <c r="BS111" s="111" t="s">
        <v>100</v>
      </c>
      <c r="BT111" s="112">
        <f>29.307*100</f>
        <v>2930.7</v>
      </c>
      <c r="BU111" s="111">
        <f>29.307*17044</f>
        <v>499508.50799999997</v>
      </c>
      <c r="BV111" s="1261">
        <f>29.307*17144</f>
        <v>502439.20799999998</v>
      </c>
      <c r="BW111" s="134"/>
      <c r="BX111" s="112"/>
      <c r="BY111" s="112"/>
      <c r="BZ111" s="112"/>
      <c r="CA111" s="112"/>
      <c r="CB111" s="112"/>
    </row>
    <row r="112" spans="1:80" x14ac:dyDescent="0.45">
      <c r="A112" s="10">
        <v>1982</v>
      </c>
      <c r="B112" s="1280"/>
      <c r="C112" s="1258"/>
      <c r="D112" s="111"/>
      <c r="E112" s="111">
        <v>410</v>
      </c>
      <c r="F112" s="111">
        <v>255118</v>
      </c>
      <c r="G112" s="112">
        <v>88</v>
      </c>
      <c r="H112" s="111">
        <v>169717</v>
      </c>
      <c r="I112" s="112">
        <v>3793</v>
      </c>
      <c r="J112" s="111" t="s">
        <v>100</v>
      </c>
      <c r="K112" s="112">
        <v>26657</v>
      </c>
      <c r="L112" s="111">
        <v>176</v>
      </c>
      <c r="M112" s="112">
        <v>62190</v>
      </c>
      <c r="N112" s="134"/>
      <c r="O112" s="111">
        <v>674</v>
      </c>
      <c r="P112" s="112">
        <v>517475</v>
      </c>
      <c r="Q112" s="1317">
        <v>518149</v>
      </c>
      <c r="R112" s="111">
        <v>557</v>
      </c>
      <c r="S112" s="112">
        <v>405815</v>
      </c>
      <c r="T112" s="134" t="s">
        <v>100</v>
      </c>
      <c r="U112" s="111">
        <v>115001</v>
      </c>
      <c r="V112" s="112" t="s">
        <v>100</v>
      </c>
      <c r="W112" s="111"/>
      <c r="X112" s="111">
        <v>15347</v>
      </c>
      <c r="Y112" s="112">
        <v>83</v>
      </c>
      <c r="Z112" s="111">
        <v>469</v>
      </c>
      <c r="AA112" s="112">
        <v>30</v>
      </c>
      <c r="AB112" s="1317">
        <v>15929</v>
      </c>
      <c r="AC112" s="1317"/>
      <c r="AD112" s="117" t="s">
        <v>273</v>
      </c>
      <c r="BN112" s="10">
        <v>1982</v>
      </c>
      <c r="BO112" s="111" t="s">
        <v>100</v>
      </c>
      <c r="BP112" s="111" t="s">
        <v>100</v>
      </c>
      <c r="BQ112" s="135">
        <f>29.307*33</f>
        <v>967.13099999999997</v>
      </c>
      <c r="BR112" s="111">
        <f>29.307*52</f>
        <v>1523.9639999999999</v>
      </c>
      <c r="BS112" s="111" t="s">
        <v>100</v>
      </c>
      <c r="BT112" s="112">
        <f>29.307*85</f>
        <v>2491.0949999999998</v>
      </c>
      <c r="BU112" s="111">
        <f>29.307*16667</f>
        <v>488459.76899999997</v>
      </c>
      <c r="BV112" s="1261">
        <f>29.307*16752</f>
        <v>490950.864</v>
      </c>
      <c r="BW112" s="134"/>
      <c r="BX112" s="112"/>
      <c r="BY112" s="112"/>
      <c r="BZ112" s="112"/>
      <c r="CA112" s="112"/>
      <c r="CB112" s="112"/>
    </row>
    <row r="113" spans="1:80" x14ac:dyDescent="0.45">
      <c r="A113" s="10">
        <v>1983</v>
      </c>
      <c r="B113" s="1280"/>
      <c r="C113" s="1258"/>
      <c r="D113" s="111"/>
      <c r="E113" s="111">
        <v>322</v>
      </c>
      <c r="F113" s="111">
        <v>259661</v>
      </c>
      <c r="G113" s="112">
        <v>59</v>
      </c>
      <c r="H113" s="111">
        <v>163123</v>
      </c>
      <c r="I113" s="112">
        <v>2357</v>
      </c>
      <c r="J113" s="111" t="s">
        <v>100</v>
      </c>
      <c r="K113" s="112">
        <v>30819</v>
      </c>
      <c r="L113" s="111">
        <v>147</v>
      </c>
      <c r="M113" s="112">
        <v>72154</v>
      </c>
      <c r="N113" s="134"/>
      <c r="O113" s="111">
        <v>528</v>
      </c>
      <c r="P113" s="112">
        <v>528114</v>
      </c>
      <c r="Q113" s="1317">
        <v>528642</v>
      </c>
      <c r="R113" s="111">
        <v>586</v>
      </c>
      <c r="S113" s="112">
        <v>416454</v>
      </c>
      <c r="T113" s="134" t="s">
        <v>100</v>
      </c>
      <c r="U113" s="111">
        <v>124497</v>
      </c>
      <c r="V113" s="112" t="s">
        <v>100</v>
      </c>
      <c r="W113" s="111"/>
      <c r="X113" s="111">
        <v>15638</v>
      </c>
      <c r="Y113" s="112">
        <v>82</v>
      </c>
      <c r="Z113" s="111">
        <v>467</v>
      </c>
      <c r="AA113" s="112">
        <v>27</v>
      </c>
      <c r="AB113" s="1317">
        <v>16214</v>
      </c>
      <c r="AC113" s="1317"/>
      <c r="AD113" s="117" t="s">
        <v>274</v>
      </c>
      <c r="BN113" s="10">
        <v>1983</v>
      </c>
      <c r="BO113" s="111" t="s">
        <v>100</v>
      </c>
      <c r="BP113" s="111" t="s">
        <v>100</v>
      </c>
      <c r="BQ113" s="135">
        <f>29.307*28</f>
        <v>820.596</v>
      </c>
      <c r="BR113" s="111">
        <f>29.307*33</f>
        <v>967.13099999999997</v>
      </c>
      <c r="BS113" s="111" t="s">
        <v>100</v>
      </c>
      <c r="BT113" s="112">
        <f>29.307*61</f>
        <v>1787.7269999999999</v>
      </c>
      <c r="BU113" s="111">
        <f>29.307*17153</f>
        <v>502702.97099999996</v>
      </c>
      <c r="BV113" s="1261">
        <f>29.307*17214</f>
        <v>504490.69799999997</v>
      </c>
      <c r="BW113" s="134"/>
      <c r="BX113" s="112"/>
      <c r="BY113" s="112"/>
      <c r="BZ113" s="112"/>
      <c r="CA113" s="112"/>
      <c r="CB113" s="112"/>
    </row>
    <row r="114" spans="1:80" x14ac:dyDescent="0.45">
      <c r="A114" s="10">
        <v>1984</v>
      </c>
      <c r="B114" s="1280"/>
      <c r="C114" s="1258"/>
      <c r="D114" s="111"/>
      <c r="E114" s="111">
        <v>293</v>
      </c>
      <c r="F114" s="111">
        <v>261507</v>
      </c>
      <c r="G114" s="112">
        <v>59</v>
      </c>
      <c r="H114" s="111">
        <v>170831</v>
      </c>
      <c r="I114" s="112">
        <v>5317</v>
      </c>
      <c r="J114" s="111" t="s">
        <v>100</v>
      </c>
      <c r="K114" s="112">
        <v>33193</v>
      </c>
      <c r="L114" s="111">
        <v>147</v>
      </c>
      <c r="M114" s="112">
        <v>73238</v>
      </c>
      <c r="N114" s="134"/>
      <c r="O114" s="111">
        <v>498</v>
      </c>
      <c r="P114" s="112">
        <v>544086</v>
      </c>
      <c r="Q114" s="1317">
        <v>544584</v>
      </c>
      <c r="R114" s="111">
        <v>557</v>
      </c>
      <c r="S114" s="112">
        <v>414314</v>
      </c>
      <c r="T114" s="134" t="s">
        <v>100</v>
      </c>
      <c r="U114" s="111">
        <v>147415</v>
      </c>
      <c r="V114" s="112" t="s">
        <v>100</v>
      </c>
      <c r="W114" s="111"/>
      <c r="X114" s="111">
        <v>15925</v>
      </c>
      <c r="Y114" s="112">
        <v>83</v>
      </c>
      <c r="Z114" s="111">
        <v>471</v>
      </c>
      <c r="AA114" s="112">
        <v>28</v>
      </c>
      <c r="AB114" s="1317">
        <v>16507</v>
      </c>
      <c r="AC114" s="1317"/>
      <c r="AD114" s="117" t="s">
        <v>275</v>
      </c>
      <c r="BN114" s="10">
        <v>1984</v>
      </c>
      <c r="BO114" s="111" t="s">
        <v>100</v>
      </c>
      <c r="BP114" s="111" t="s">
        <v>100</v>
      </c>
      <c r="BQ114" s="135">
        <f>29.307*26</f>
        <v>761.98199999999997</v>
      </c>
      <c r="BR114" s="111">
        <f>29.307*30</f>
        <v>879.20999999999992</v>
      </c>
      <c r="BS114" s="111" t="s">
        <v>100</v>
      </c>
      <c r="BT114" s="112">
        <f>29.307*56</f>
        <v>1641.192</v>
      </c>
      <c r="BU114" s="111">
        <f>29.307*17739</f>
        <v>519876.87299999996</v>
      </c>
      <c r="BV114" s="1261">
        <f>29.307*17795</f>
        <v>521518.065</v>
      </c>
      <c r="BW114" s="134"/>
      <c r="BX114" s="112"/>
      <c r="BY114" s="112"/>
      <c r="BZ114" s="112"/>
      <c r="CA114" s="112"/>
      <c r="CB114" s="112"/>
    </row>
    <row r="115" spans="1:80" x14ac:dyDescent="0.45">
      <c r="A115" s="10">
        <v>1985</v>
      </c>
      <c r="B115" s="1309"/>
      <c r="C115" s="1258"/>
      <c r="D115" s="111"/>
      <c r="E115" s="111">
        <v>293</v>
      </c>
      <c r="F115" s="111">
        <v>283517</v>
      </c>
      <c r="G115" s="112">
        <v>29</v>
      </c>
      <c r="H115" s="111">
        <v>172941</v>
      </c>
      <c r="I115" s="112">
        <v>5873</v>
      </c>
      <c r="J115" s="111" t="s">
        <v>100</v>
      </c>
      <c r="K115" s="112">
        <v>41135</v>
      </c>
      <c r="L115" s="111">
        <v>147</v>
      </c>
      <c r="M115" s="112">
        <v>77781</v>
      </c>
      <c r="N115" s="134"/>
      <c r="O115" s="111">
        <v>469</v>
      </c>
      <c r="P115" s="112">
        <v>581248</v>
      </c>
      <c r="Q115" s="1317">
        <v>581717</v>
      </c>
      <c r="R115" s="111">
        <v>498</v>
      </c>
      <c r="S115" s="112">
        <v>461851</v>
      </c>
      <c r="T115" s="134" t="s">
        <v>100</v>
      </c>
      <c r="U115" s="111">
        <v>147122</v>
      </c>
      <c r="V115" s="112" t="s">
        <v>100</v>
      </c>
      <c r="W115" s="111"/>
      <c r="X115" s="111">
        <v>16189</v>
      </c>
      <c r="Y115" s="112">
        <v>87</v>
      </c>
      <c r="Z115" s="111">
        <v>474</v>
      </c>
      <c r="AA115" s="112">
        <v>27</v>
      </c>
      <c r="AB115" s="1317">
        <v>16777</v>
      </c>
      <c r="AC115" s="1317"/>
      <c r="AD115" s="117" t="s">
        <v>276</v>
      </c>
      <c r="BN115" s="10">
        <v>1985</v>
      </c>
      <c r="BO115" s="111" t="s">
        <v>100</v>
      </c>
      <c r="BP115" s="111" t="s">
        <v>100</v>
      </c>
      <c r="BQ115" s="135">
        <f>29.307*29</f>
        <v>849.90299999999991</v>
      </c>
      <c r="BR115" s="111">
        <f>29.307*28</f>
        <v>820.596</v>
      </c>
      <c r="BS115" s="111" t="s">
        <v>100</v>
      </c>
      <c r="BT115" s="112">
        <f>29.307*57</f>
        <v>1670.499</v>
      </c>
      <c r="BU115" s="111">
        <f>29.307*18988</f>
        <v>556481.31599999999</v>
      </c>
      <c r="BV115" s="1261">
        <f>29.307*19045</f>
        <v>558151.81499999994</v>
      </c>
      <c r="BW115" s="134"/>
      <c r="BX115" s="112"/>
      <c r="BY115" s="112"/>
      <c r="BZ115" s="112"/>
      <c r="CA115" s="112"/>
      <c r="CB115" s="112"/>
    </row>
    <row r="116" spans="1:80" x14ac:dyDescent="0.45">
      <c r="A116" s="10">
        <v>1986</v>
      </c>
      <c r="B116" s="1280">
        <v>1</v>
      </c>
      <c r="C116" s="1258"/>
      <c r="D116" s="111"/>
      <c r="E116" s="111">
        <v>234</v>
      </c>
      <c r="F116" s="111">
        <v>299929</v>
      </c>
      <c r="G116" s="112">
        <v>29</v>
      </c>
      <c r="H116" s="111">
        <v>157496</v>
      </c>
      <c r="I116" s="112">
        <v>2269</v>
      </c>
      <c r="J116" s="111" t="s">
        <v>100</v>
      </c>
      <c r="K116" s="112">
        <v>43421</v>
      </c>
      <c r="L116" s="111">
        <v>147</v>
      </c>
      <c r="M116" s="112">
        <v>85166</v>
      </c>
      <c r="N116" s="134"/>
      <c r="O116" s="111">
        <v>410</v>
      </c>
      <c r="P116" s="112">
        <v>588281</v>
      </c>
      <c r="Q116" s="1317">
        <v>588691</v>
      </c>
      <c r="R116" s="111">
        <v>440</v>
      </c>
      <c r="S116" s="112">
        <v>483040</v>
      </c>
      <c r="T116" s="134" t="s">
        <v>100</v>
      </c>
      <c r="U116" s="111">
        <v>137099</v>
      </c>
      <c r="V116" s="112" t="s">
        <v>100</v>
      </c>
      <c r="W116" s="111"/>
      <c r="X116" s="111">
        <v>16235</v>
      </c>
      <c r="Y116" s="112">
        <v>83</v>
      </c>
      <c r="Z116" s="111">
        <v>456</v>
      </c>
      <c r="AA116" s="112">
        <v>27</v>
      </c>
      <c r="AB116" s="1317">
        <v>16801</v>
      </c>
      <c r="AC116" s="1317"/>
      <c r="AD116" s="117" t="s">
        <v>277</v>
      </c>
      <c r="BN116" s="10">
        <v>1986</v>
      </c>
      <c r="BO116" s="111" t="s">
        <v>100</v>
      </c>
      <c r="BP116" s="111" t="s">
        <v>100</v>
      </c>
      <c r="BQ116" s="135">
        <f>29.307*20</f>
        <v>586.14</v>
      </c>
      <c r="BR116" s="111">
        <f>29.307*36</f>
        <v>1055.0519999999999</v>
      </c>
      <c r="BS116" s="111" t="s">
        <v>100</v>
      </c>
      <c r="BT116" s="112">
        <f>29.307*55</f>
        <v>1611.885</v>
      </c>
      <c r="BU116" s="111">
        <f>29.307*19215</f>
        <v>563134.005</v>
      </c>
      <c r="BV116" s="1261">
        <f>29.307*19270</f>
        <v>564745.89</v>
      </c>
      <c r="BW116" s="134"/>
      <c r="BX116" s="112"/>
      <c r="BY116" s="112"/>
      <c r="BZ116" s="112"/>
      <c r="CA116" s="112"/>
      <c r="CB116" s="112"/>
    </row>
    <row r="117" spans="1:80" x14ac:dyDescent="0.45">
      <c r="A117" s="10">
        <v>1987</v>
      </c>
      <c r="B117" s="1280">
        <v>1</v>
      </c>
      <c r="C117" s="1258"/>
      <c r="D117" s="111"/>
      <c r="E117" s="111">
        <v>147</v>
      </c>
      <c r="F117" s="111">
        <v>307578</v>
      </c>
      <c r="G117" s="112">
        <v>29</v>
      </c>
      <c r="H117" s="111">
        <v>164442</v>
      </c>
      <c r="I117" s="112">
        <v>2415</v>
      </c>
      <c r="J117" s="111" t="s">
        <v>100</v>
      </c>
      <c r="K117" s="112">
        <v>43743</v>
      </c>
      <c r="L117" s="111">
        <v>147</v>
      </c>
      <c r="M117" s="112">
        <v>95746</v>
      </c>
      <c r="N117" s="134"/>
      <c r="O117" s="111">
        <v>322</v>
      </c>
      <c r="P117" s="112">
        <v>613925</v>
      </c>
      <c r="Q117" s="1317">
        <v>614247</v>
      </c>
      <c r="R117" s="111">
        <v>322</v>
      </c>
      <c r="S117" s="112">
        <v>508126</v>
      </c>
      <c r="T117" s="134" t="s">
        <v>100</v>
      </c>
      <c r="U117" s="111">
        <v>128893</v>
      </c>
      <c r="V117" s="112" t="s">
        <v>100</v>
      </c>
      <c r="W117" s="111"/>
      <c r="X117" s="111">
        <v>16495</v>
      </c>
      <c r="Y117" s="112">
        <v>85</v>
      </c>
      <c r="Z117" s="111">
        <v>472</v>
      </c>
      <c r="AA117" s="112">
        <v>27</v>
      </c>
      <c r="AB117" s="1317">
        <v>17079</v>
      </c>
      <c r="AC117" s="1317"/>
      <c r="AD117" s="117" t="s">
        <v>278</v>
      </c>
      <c r="BN117" s="10">
        <v>1987</v>
      </c>
      <c r="BO117" s="111" t="s">
        <v>100</v>
      </c>
      <c r="BP117" s="111" t="s">
        <v>100</v>
      </c>
      <c r="BQ117" s="135">
        <f>29.307*14</f>
        <v>410.298</v>
      </c>
      <c r="BR117" s="111">
        <f>29.307*6</f>
        <v>175.84199999999998</v>
      </c>
      <c r="BS117" s="111" t="s">
        <v>100</v>
      </c>
      <c r="BT117" s="112">
        <f>29.307*20</f>
        <v>586.14</v>
      </c>
      <c r="BU117" s="111">
        <f>29.307*20198</f>
        <v>591942.78599999996</v>
      </c>
      <c r="BV117" s="1261">
        <f>29.307*20218</f>
        <v>592528.92599999998</v>
      </c>
      <c r="BW117" s="134"/>
      <c r="BX117" s="112"/>
      <c r="BY117" s="112"/>
      <c r="BZ117" s="112"/>
      <c r="CA117" s="112"/>
      <c r="CB117" s="112"/>
    </row>
    <row r="118" spans="1:80" x14ac:dyDescent="0.45">
      <c r="A118" s="10">
        <v>1988</v>
      </c>
      <c r="B118" s="1280">
        <v>1</v>
      </c>
      <c r="C118" s="1258"/>
      <c r="D118" s="111"/>
      <c r="E118" s="111">
        <v>29</v>
      </c>
      <c r="F118" s="111">
        <v>300515</v>
      </c>
      <c r="G118" s="112" t="s">
        <v>100</v>
      </c>
      <c r="H118" s="111">
        <v>149935</v>
      </c>
      <c r="I118" s="112">
        <v>2407</v>
      </c>
      <c r="J118" s="111" t="s">
        <v>100</v>
      </c>
      <c r="K118" s="112">
        <v>44109</v>
      </c>
      <c r="L118" s="111">
        <v>59</v>
      </c>
      <c r="M118" s="112">
        <v>97712</v>
      </c>
      <c r="N118" s="134"/>
      <c r="O118" s="111">
        <v>88</v>
      </c>
      <c r="P118" s="112">
        <v>594678</v>
      </c>
      <c r="Q118" s="1317">
        <v>594766</v>
      </c>
      <c r="R118" s="111">
        <v>88</v>
      </c>
      <c r="S118" s="112">
        <v>489133</v>
      </c>
      <c r="T118" s="134" t="s">
        <v>100</v>
      </c>
      <c r="U118" s="111">
        <v>115441</v>
      </c>
      <c r="V118" s="112" t="s">
        <v>100</v>
      </c>
      <c r="W118" s="111"/>
      <c r="X118" s="111">
        <v>16842</v>
      </c>
      <c r="Y118" s="112">
        <v>87</v>
      </c>
      <c r="Z118" s="111">
        <v>483</v>
      </c>
      <c r="AA118" s="112">
        <v>27</v>
      </c>
      <c r="AB118" s="1317">
        <v>17439</v>
      </c>
      <c r="AC118" s="1317"/>
      <c r="AD118" s="117" t="s">
        <v>279</v>
      </c>
      <c r="BN118" s="10">
        <v>1988</v>
      </c>
      <c r="BO118" s="111" t="s">
        <v>100</v>
      </c>
      <c r="BP118" s="111" t="s">
        <v>100</v>
      </c>
      <c r="BQ118" s="135">
        <f>29.307*5</f>
        <v>146.535</v>
      </c>
      <c r="BR118" s="111">
        <f>29.307*1</f>
        <v>29.306999999999999</v>
      </c>
      <c r="BS118" s="111" t="s">
        <v>100</v>
      </c>
      <c r="BT118" s="112">
        <f>29.307*6</f>
        <v>175.84199999999998</v>
      </c>
      <c r="BU118" s="111">
        <f>29.307*19083</f>
        <v>559265.48100000003</v>
      </c>
      <c r="BV118" s="1261">
        <f>29.307*19089</f>
        <v>559441.32299999997</v>
      </c>
      <c r="BW118" s="134"/>
      <c r="BX118" s="112"/>
      <c r="BY118" s="112"/>
      <c r="BZ118" s="112"/>
      <c r="CA118" s="112"/>
      <c r="CB118" s="112"/>
    </row>
    <row r="119" spans="1:80" x14ac:dyDescent="0.45">
      <c r="A119" s="10">
        <v>1989</v>
      </c>
      <c r="B119" s="1280">
        <v>2</v>
      </c>
      <c r="C119" s="1258"/>
      <c r="D119" s="111"/>
      <c r="E119" s="111" t="s">
        <v>100</v>
      </c>
      <c r="F119" s="111">
        <v>290557</v>
      </c>
      <c r="G119" s="112" t="s">
        <v>100</v>
      </c>
      <c r="H119" s="111">
        <v>159701</v>
      </c>
      <c r="I119" s="112">
        <v>6210</v>
      </c>
      <c r="J119" s="111" t="s">
        <v>100</v>
      </c>
      <c r="K119" s="112">
        <v>37850</v>
      </c>
      <c r="L119" s="111" t="s">
        <v>100</v>
      </c>
      <c r="M119" s="112">
        <v>86204</v>
      </c>
      <c r="N119" s="134"/>
      <c r="O119" s="111" t="s">
        <v>100</v>
      </c>
      <c r="P119" s="112">
        <v>580522</v>
      </c>
      <c r="Q119" s="1317">
        <v>580522</v>
      </c>
      <c r="R119" s="111" t="s">
        <v>100</v>
      </c>
      <c r="S119" s="112">
        <v>478931</v>
      </c>
      <c r="T119" s="134" t="s">
        <v>100</v>
      </c>
      <c r="U119" s="111">
        <v>113770</v>
      </c>
      <c r="V119" s="112" t="s">
        <v>100</v>
      </c>
      <c r="W119" s="111"/>
      <c r="X119" s="111">
        <v>17054</v>
      </c>
      <c r="Y119" s="112">
        <v>90</v>
      </c>
      <c r="Z119" s="111">
        <v>542</v>
      </c>
      <c r="AA119" s="112">
        <v>31</v>
      </c>
      <c r="AB119" s="1317">
        <v>17717</v>
      </c>
      <c r="AC119" s="1317"/>
      <c r="AD119" s="117" t="s">
        <v>280</v>
      </c>
      <c r="AE119" s="1307"/>
      <c r="BN119" s="10">
        <v>1989</v>
      </c>
      <c r="BO119" s="111" t="s">
        <v>100</v>
      </c>
      <c r="BP119" s="111" t="s">
        <v>100</v>
      </c>
      <c r="BQ119" s="135" t="s">
        <v>100</v>
      </c>
      <c r="BR119" s="111">
        <f>29.307*3</f>
        <v>87.920999999999992</v>
      </c>
      <c r="BS119" s="111" t="s">
        <v>100</v>
      </c>
      <c r="BT119" s="112">
        <f>29.307*3</f>
        <v>87.920999999999992</v>
      </c>
      <c r="BU119" s="111">
        <f>29.307*18826</f>
        <v>551733.58199999994</v>
      </c>
      <c r="BV119" s="1261">
        <f>29.307*18829</f>
        <v>551821.50300000003</v>
      </c>
      <c r="BW119" s="134"/>
      <c r="BX119" s="112"/>
      <c r="BY119" s="112"/>
      <c r="BZ119" s="112"/>
      <c r="CA119" s="112"/>
      <c r="CB119" s="112"/>
    </row>
    <row r="120" spans="1:80" ht="14.65" thickBot="1" x14ac:dyDescent="0.5">
      <c r="A120" s="10">
        <v>1990</v>
      </c>
      <c r="B120" s="1280">
        <v>4</v>
      </c>
      <c r="C120" s="1258"/>
      <c r="D120" s="111"/>
      <c r="E120" s="111" t="s">
        <v>100</v>
      </c>
      <c r="F120" s="112">
        <v>300410</v>
      </c>
      <c r="G120" s="111" t="s">
        <v>100</v>
      </c>
      <c r="H120" s="1258">
        <v>164595</v>
      </c>
      <c r="I120" s="1258">
        <v>6513</v>
      </c>
      <c r="J120" s="111" t="s">
        <v>100</v>
      </c>
      <c r="K120" s="112">
        <v>39159</v>
      </c>
      <c r="L120" s="111" t="s">
        <v>100</v>
      </c>
      <c r="M120" s="112">
        <v>86369</v>
      </c>
      <c r="N120" s="111"/>
      <c r="O120" s="111" t="s">
        <v>100</v>
      </c>
      <c r="P120" s="1258">
        <v>597046</v>
      </c>
      <c r="Q120" s="1260">
        <v>597046</v>
      </c>
      <c r="R120" s="111" t="s">
        <v>100</v>
      </c>
      <c r="S120" s="112">
        <v>528843</v>
      </c>
      <c r="T120" s="134" t="s">
        <v>100</v>
      </c>
      <c r="U120" s="111">
        <v>79833</v>
      </c>
      <c r="V120" s="112" t="s">
        <v>100</v>
      </c>
      <c r="W120" s="111"/>
      <c r="X120" s="1326">
        <v>17311</v>
      </c>
      <c r="Y120" s="1327">
        <v>97</v>
      </c>
      <c r="Z120" s="1328">
        <v>552</v>
      </c>
      <c r="AA120" s="1327">
        <v>29</v>
      </c>
      <c r="AB120" s="1329">
        <v>17989</v>
      </c>
      <c r="AC120" s="1329"/>
      <c r="AD120" s="119" t="s">
        <v>281</v>
      </c>
      <c r="AE120" s="1307"/>
      <c r="BN120" s="10">
        <v>1990</v>
      </c>
      <c r="BO120" s="111" t="s">
        <v>100</v>
      </c>
      <c r="BP120" s="111" t="s">
        <v>100</v>
      </c>
      <c r="BQ120" s="112" t="s">
        <v>100</v>
      </c>
      <c r="BR120" s="111">
        <f>29.307*1</f>
        <v>29.306999999999999</v>
      </c>
      <c r="BS120" s="111" t="s">
        <v>100</v>
      </c>
      <c r="BT120" s="112">
        <f>29.307*1</f>
        <v>29.306999999999999</v>
      </c>
      <c r="BU120" s="111">
        <f>29.307*19231</f>
        <v>563602.91700000002</v>
      </c>
      <c r="BV120" s="1261">
        <f>29.307*19232</f>
        <v>563632.22399999993</v>
      </c>
      <c r="BW120" s="134"/>
      <c r="BX120" s="112"/>
      <c r="BY120" s="112"/>
      <c r="BZ120" s="112"/>
      <c r="CA120" s="112"/>
      <c r="CB120" s="112"/>
    </row>
    <row r="121" spans="1:80" x14ac:dyDescent="0.45">
      <c r="A121" s="10">
        <v>1991</v>
      </c>
      <c r="B121" s="1280">
        <v>10</v>
      </c>
      <c r="C121" s="1258"/>
      <c r="D121" s="111"/>
      <c r="E121" s="111" t="s">
        <v>100</v>
      </c>
      <c r="F121" s="134">
        <v>333963</v>
      </c>
      <c r="G121" s="111" t="s">
        <v>100</v>
      </c>
      <c r="H121" s="1258">
        <v>157932</v>
      </c>
      <c r="I121" s="112">
        <v>6650</v>
      </c>
      <c r="J121" s="111" t="s">
        <v>100</v>
      </c>
      <c r="K121" s="112">
        <v>41472</v>
      </c>
      <c r="L121" s="111" t="s">
        <v>100</v>
      </c>
      <c r="M121" s="112">
        <v>101746</v>
      </c>
      <c r="N121" s="134"/>
      <c r="O121" s="111" t="s">
        <v>100</v>
      </c>
      <c r="P121" s="112">
        <v>641763</v>
      </c>
      <c r="Q121" s="1317">
        <v>641763</v>
      </c>
      <c r="R121" s="111" t="s">
        <v>100</v>
      </c>
      <c r="S121" s="112">
        <v>588822</v>
      </c>
      <c r="T121" s="134" t="s">
        <v>100</v>
      </c>
      <c r="U121" s="111">
        <v>72007</v>
      </c>
      <c r="V121" s="112" t="s">
        <v>100</v>
      </c>
      <c r="W121" s="111"/>
      <c r="X121" s="111">
        <v>17510</v>
      </c>
      <c r="Y121" s="111">
        <v>92</v>
      </c>
      <c r="Z121" s="111">
        <v>551</v>
      </c>
      <c r="AA121" s="111">
        <v>29</v>
      </c>
      <c r="AB121" s="1317">
        <v>18183</v>
      </c>
      <c r="AC121" s="1317"/>
      <c r="AD121" s="120">
        <v>1991</v>
      </c>
      <c r="BN121" s="10">
        <v>1991</v>
      </c>
      <c r="BO121" s="1311" t="s">
        <v>100</v>
      </c>
      <c r="BP121" s="1311" t="s">
        <v>100</v>
      </c>
      <c r="BQ121" s="1313" t="s">
        <v>100</v>
      </c>
      <c r="BR121" s="1311">
        <f>29.307*1</f>
        <v>29.306999999999999</v>
      </c>
      <c r="BS121" s="1311" t="s">
        <v>100</v>
      </c>
      <c r="BT121" s="1313">
        <f>29.307*1</f>
        <v>29.306999999999999</v>
      </c>
      <c r="BU121" s="1311">
        <f>29.307*21087</f>
        <v>617996.70899999992</v>
      </c>
      <c r="BV121" s="1314">
        <f>29.307*21088</f>
        <v>618026.01599999995</v>
      </c>
      <c r="BW121" s="134"/>
      <c r="BX121" s="112"/>
      <c r="BY121" s="112"/>
      <c r="BZ121" s="112"/>
      <c r="CA121" s="112"/>
      <c r="CB121" s="112"/>
    </row>
    <row r="122" spans="1:80" x14ac:dyDescent="0.45">
      <c r="A122" s="10">
        <v>1992</v>
      </c>
      <c r="B122" s="1280">
        <v>21</v>
      </c>
      <c r="C122" s="1258"/>
      <c r="D122" s="111"/>
      <c r="E122" s="111" t="s">
        <v>100</v>
      </c>
      <c r="F122" s="134">
        <v>330101</v>
      </c>
      <c r="G122" s="111" t="s">
        <v>100</v>
      </c>
      <c r="H122" s="1258">
        <v>147218</v>
      </c>
      <c r="I122" s="112">
        <v>17969</v>
      </c>
      <c r="J122" s="111" t="s">
        <v>100</v>
      </c>
      <c r="K122" s="112">
        <v>45660</v>
      </c>
      <c r="L122" s="111" t="s">
        <v>100</v>
      </c>
      <c r="M122" s="112">
        <v>99871</v>
      </c>
      <c r="N122" s="134"/>
      <c r="O122" s="111" t="s">
        <v>100</v>
      </c>
      <c r="P122" s="112">
        <v>640818</v>
      </c>
      <c r="Q122" s="1317">
        <v>640818</v>
      </c>
      <c r="R122" s="111" t="s">
        <v>100</v>
      </c>
      <c r="S122" s="112">
        <v>598761</v>
      </c>
      <c r="T122" s="134" t="s">
        <v>100</v>
      </c>
      <c r="U122" s="111">
        <v>61255</v>
      </c>
      <c r="V122" s="112">
        <v>620</v>
      </c>
      <c r="W122" s="111"/>
      <c r="X122" s="134">
        <v>17802</v>
      </c>
      <c r="Y122" s="134"/>
      <c r="Z122" s="112"/>
      <c r="AA122" s="1258"/>
      <c r="AB122" s="126"/>
      <c r="AC122" s="126"/>
      <c r="AD122" s="121">
        <v>1992</v>
      </c>
      <c r="BN122" s="12"/>
      <c r="BO122" s="12"/>
      <c r="BP122" s="12"/>
      <c r="BQ122" s="135"/>
      <c r="BR122" s="112"/>
      <c r="BS122" s="112"/>
      <c r="BT122" s="112"/>
      <c r="BU122" s="112"/>
      <c r="BV122" s="126"/>
    </row>
    <row r="123" spans="1:80" x14ac:dyDescent="0.45">
      <c r="A123" s="10">
        <v>1993</v>
      </c>
      <c r="B123" s="1280">
        <v>21</v>
      </c>
      <c r="C123" s="1258"/>
      <c r="D123" s="111"/>
      <c r="E123" s="111" t="s">
        <v>100</v>
      </c>
      <c r="F123" s="134">
        <v>340162</v>
      </c>
      <c r="G123" s="111" t="s">
        <v>100</v>
      </c>
      <c r="H123" s="1258">
        <v>148522</v>
      </c>
      <c r="I123" s="112">
        <v>81848</v>
      </c>
      <c r="J123" s="111" t="s">
        <v>100</v>
      </c>
      <c r="K123" s="112">
        <v>47006</v>
      </c>
      <c r="L123" s="111" t="s">
        <v>100</v>
      </c>
      <c r="M123" s="112">
        <v>99819</v>
      </c>
      <c r="N123" s="134"/>
      <c r="O123" s="111" t="s">
        <v>100</v>
      </c>
      <c r="P123" s="112">
        <v>717357</v>
      </c>
      <c r="Q123" s="1317">
        <v>717357</v>
      </c>
      <c r="R123" s="111" t="s">
        <v>100</v>
      </c>
      <c r="S123" s="112">
        <v>703971</v>
      </c>
      <c r="T123" s="134" t="s">
        <v>100</v>
      </c>
      <c r="U123" s="111">
        <v>48528</v>
      </c>
      <c r="V123" s="112">
        <v>6824</v>
      </c>
      <c r="W123" s="111"/>
      <c r="X123" s="134">
        <v>18094</v>
      </c>
      <c r="Y123" s="134"/>
      <c r="Z123" s="112"/>
      <c r="AA123" s="1258"/>
      <c r="AB123" s="126"/>
      <c r="AC123" s="126"/>
      <c r="AD123" s="121">
        <v>1993</v>
      </c>
      <c r="BN123" s="136" t="s">
        <v>509</v>
      </c>
      <c r="BO123" s="12"/>
      <c r="BP123" s="12"/>
      <c r="BQ123" s="135"/>
      <c r="BR123" s="112"/>
      <c r="BS123" s="112"/>
      <c r="BT123" s="112"/>
      <c r="BU123" s="112"/>
      <c r="BV123" s="126"/>
    </row>
    <row r="124" spans="1:80" x14ac:dyDescent="0.45">
      <c r="A124" s="10">
        <v>1994</v>
      </c>
      <c r="B124" s="1280">
        <v>25</v>
      </c>
      <c r="C124" s="1258"/>
      <c r="D124" s="111"/>
      <c r="E124" s="111" t="s">
        <v>100</v>
      </c>
      <c r="F124" s="134">
        <v>329710</v>
      </c>
      <c r="G124" s="111" t="s">
        <v>100</v>
      </c>
      <c r="H124" s="1258">
        <v>161815</v>
      </c>
      <c r="I124" s="112">
        <v>117606</v>
      </c>
      <c r="J124" s="111" t="s">
        <v>100</v>
      </c>
      <c r="K124" s="112">
        <v>54700</v>
      </c>
      <c r="L124" s="111" t="s">
        <v>100</v>
      </c>
      <c r="M124" s="112">
        <v>100836</v>
      </c>
      <c r="N124" s="134"/>
      <c r="O124" s="111" t="s">
        <v>100</v>
      </c>
      <c r="P124" s="112">
        <v>764667</v>
      </c>
      <c r="Q124" s="1317">
        <v>764667</v>
      </c>
      <c r="R124" s="111" t="s">
        <v>100</v>
      </c>
      <c r="S124" s="112">
        <v>751588</v>
      </c>
      <c r="T124" s="134" t="s">
        <v>100</v>
      </c>
      <c r="U124" s="111">
        <v>33053</v>
      </c>
      <c r="V124" s="112">
        <v>9557</v>
      </c>
      <c r="W124" s="111"/>
      <c r="X124" s="134">
        <v>18359</v>
      </c>
      <c r="Y124" s="134"/>
      <c r="Z124" s="112"/>
      <c r="AA124" s="1258"/>
      <c r="AB124" s="126"/>
      <c r="AC124" s="126"/>
      <c r="AD124" s="121">
        <v>1994</v>
      </c>
      <c r="BN124" s="118" t="s">
        <v>510</v>
      </c>
      <c r="BO124" s="12"/>
      <c r="BP124" s="12"/>
      <c r="BQ124" s="135"/>
      <c r="BR124" s="112"/>
      <c r="BS124" s="118" t="s">
        <v>511</v>
      </c>
      <c r="BT124" s="112"/>
      <c r="BU124" s="112"/>
      <c r="BV124" s="126"/>
    </row>
    <row r="125" spans="1:80" x14ac:dyDescent="0.45">
      <c r="A125" s="10">
        <v>1995</v>
      </c>
      <c r="B125" s="1280">
        <v>24</v>
      </c>
      <c r="C125" s="1258"/>
      <c r="D125" s="111"/>
      <c r="E125" s="111" t="s">
        <v>100</v>
      </c>
      <c r="F125" s="134">
        <v>326010</v>
      </c>
      <c r="G125" s="111" t="s">
        <v>100</v>
      </c>
      <c r="H125" s="1258">
        <v>162797</v>
      </c>
      <c r="I125" s="112">
        <v>154393</v>
      </c>
      <c r="J125" s="111" t="s">
        <v>100</v>
      </c>
      <c r="K125" s="112">
        <v>56565</v>
      </c>
      <c r="L125" s="111" t="s">
        <v>100</v>
      </c>
      <c r="M125" s="112">
        <v>109020</v>
      </c>
      <c r="N125" s="134"/>
      <c r="O125" s="111" t="s">
        <v>100</v>
      </c>
      <c r="P125" s="112">
        <v>808786</v>
      </c>
      <c r="Q125" s="1317">
        <v>808786</v>
      </c>
      <c r="R125" s="111" t="s">
        <v>100</v>
      </c>
      <c r="S125" s="112">
        <v>823336</v>
      </c>
      <c r="T125" s="134" t="s">
        <v>100</v>
      </c>
      <c r="U125" s="111">
        <v>19457</v>
      </c>
      <c r="V125" s="112">
        <v>11232</v>
      </c>
      <c r="W125" s="111"/>
      <c r="X125" s="134">
        <v>18541</v>
      </c>
      <c r="Y125" s="134"/>
      <c r="Z125" s="112"/>
      <c r="AA125" s="1258"/>
      <c r="AB125" s="126"/>
      <c r="AC125" s="126"/>
      <c r="AD125" s="121">
        <v>1995</v>
      </c>
      <c r="BN125" s="118" t="s">
        <v>512</v>
      </c>
      <c r="BO125" s="12"/>
      <c r="BP125" s="12"/>
      <c r="BQ125" s="135"/>
      <c r="BR125" s="112"/>
      <c r="BS125" s="137" t="s">
        <v>513</v>
      </c>
      <c r="BT125" s="112"/>
      <c r="BU125" s="112"/>
      <c r="BV125" s="126"/>
    </row>
    <row r="126" spans="1:80" x14ac:dyDescent="0.45">
      <c r="A126" s="10">
        <v>1996</v>
      </c>
      <c r="B126" s="1280">
        <v>25</v>
      </c>
      <c r="C126" s="1258"/>
      <c r="D126" s="111"/>
      <c r="E126" s="111" t="s">
        <v>100</v>
      </c>
      <c r="F126" s="134">
        <v>375841</v>
      </c>
      <c r="G126" s="111" t="s">
        <v>100</v>
      </c>
      <c r="H126" s="1258">
        <v>177794</v>
      </c>
      <c r="I126" s="112">
        <v>201969</v>
      </c>
      <c r="J126" s="111" t="s">
        <v>100</v>
      </c>
      <c r="K126" s="112">
        <v>65336</v>
      </c>
      <c r="L126" s="111" t="s">
        <v>100</v>
      </c>
      <c r="M126" s="112">
        <v>117908</v>
      </c>
      <c r="N126" s="134"/>
      <c r="O126" s="111" t="s">
        <v>100</v>
      </c>
      <c r="P126" s="135">
        <v>938848</v>
      </c>
      <c r="Q126" s="1261">
        <v>938848</v>
      </c>
      <c r="R126" s="111" t="s">
        <v>100</v>
      </c>
      <c r="S126" s="112">
        <v>979019</v>
      </c>
      <c r="T126" s="134" t="s">
        <v>100</v>
      </c>
      <c r="U126" s="111">
        <v>19804</v>
      </c>
      <c r="V126" s="112">
        <v>15203</v>
      </c>
      <c r="W126" s="111"/>
      <c r="X126" s="1311">
        <v>18926</v>
      </c>
      <c r="Y126" s="134"/>
      <c r="Z126" s="112"/>
      <c r="AA126" s="1258"/>
      <c r="AB126" s="126"/>
      <c r="AC126" s="126"/>
      <c r="AD126" s="121">
        <v>1996</v>
      </c>
      <c r="BN126" s="118" t="s">
        <v>514</v>
      </c>
      <c r="BO126" s="12"/>
      <c r="BP126" s="12"/>
      <c r="BQ126" s="135"/>
      <c r="BR126" s="112"/>
      <c r="BS126" s="137" t="s">
        <v>515</v>
      </c>
      <c r="BT126" s="112"/>
      <c r="BU126" s="112"/>
      <c r="BV126" s="126"/>
    </row>
    <row r="127" spans="1:80" x14ac:dyDescent="0.45">
      <c r="A127" s="10">
        <v>1997</v>
      </c>
      <c r="B127" s="1280">
        <v>26</v>
      </c>
      <c r="C127" s="1258"/>
      <c r="D127" s="111"/>
      <c r="E127" s="111" t="s">
        <v>100</v>
      </c>
      <c r="F127" s="134">
        <v>345532</v>
      </c>
      <c r="G127" s="111" t="s">
        <v>100</v>
      </c>
      <c r="H127" s="1258">
        <v>182867</v>
      </c>
      <c r="I127" s="112">
        <v>251822</v>
      </c>
      <c r="J127" s="111" t="s">
        <v>100</v>
      </c>
      <c r="K127" s="112">
        <v>67245</v>
      </c>
      <c r="L127" s="111" t="s">
        <v>100</v>
      </c>
      <c r="M127" s="112">
        <v>112777</v>
      </c>
      <c r="N127" s="134"/>
      <c r="O127" s="111" t="s">
        <v>100</v>
      </c>
      <c r="P127" s="112">
        <v>960243</v>
      </c>
      <c r="Q127" s="1317">
        <v>960243</v>
      </c>
      <c r="R127" s="111" t="s">
        <v>100</v>
      </c>
      <c r="S127" s="112">
        <v>998871</v>
      </c>
      <c r="T127" s="134" t="s">
        <v>100</v>
      </c>
      <c r="U127" s="111">
        <v>14062</v>
      </c>
      <c r="V127" s="112">
        <v>21666</v>
      </c>
      <c r="W127" s="111"/>
      <c r="X127" s="134">
        <v>19705</v>
      </c>
      <c r="Y127" s="134"/>
      <c r="Z127" s="112"/>
      <c r="AA127" s="1258"/>
      <c r="AB127" s="126"/>
      <c r="AC127" s="126"/>
      <c r="AD127" s="121">
        <v>1997</v>
      </c>
      <c r="BN127" s="118" t="s">
        <v>516</v>
      </c>
      <c r="BO127" s="12"/>
      <c r="BP127" s="12"/>
      <c r="BQ127" s="135"/>
      <c r="BR127" s="112"/>
      <c r="BS127" s="137" t="s">
        <v>517</v>
      </c>
      <c r="BT127" s="112"/>
      <c r="BU127" s="112"/>
      <c r="BV127" s="126"/>
    </row>
    <row r="128" spans="1:80" x14ac:dyDescent="0.45">
      <c r="A128" s="10">
        <v>1998</v>
      </c>
      <c r="B128" s="1280">
        <v>29</v>
      </c>
      <c r="C128" s="1258"/>
      <c r="D128" s="111"/>
      <c r="E128" s="111" t="s">
        <v>100</v>
      </c>
      <c r="F128" s="134">
        <v>355895</v>
      </c>
      <c r="G128" s="111" t="s">
        <v>100</v>
      </c>
      <c r="H128" s="1258">
        <v>188595</v>
      </c>
      <c r="I128" s="112">
        <v>267733</v>
      </c>
      <c r="J128" s="111" t="s">
        <v>100</v>
      </c>
      <c r="K128" s="112">
        <v>75459</v>
      </c>
      <c r="L128" s="111" t="s">
        <v>100</v>
      </c>
      <c r="M128" s="112">
        <v>117624</v>
      </c>
      <c r="N128" s="134"/>
      <c r="O128" s="111" t="s">
        <v>100</v>
      </c>
      <c r="P128" s="112">
        <v>1005306</v>
      </c>
      <c r="Q128" s="1317">
        <v>1005306</v>
      </c>
      <c r="R128" s="111" t="s">
        <v>100</v>
      </c>
      <c r="S128" s="112">
        <v>1048859</v>
      </c>
      <c r="T128" s="134" t="s">
        <v>100</v>
      </c>
      <c r="U128" s="111">
        <v>10582</v>
      </c>
      <c r="V128" s="112">
        <v>31604</v>
      </c>
      <c r="W128" s="111"/>
      <c r="X128" s="134">
        <v>20482</v>
      </c>
      <c r="Y128" s="134"/>
      <c r="Z128" s="112"/>
      <c r="AA128" s="1258"/>
      <c r="AB128" s="126"/>
      <c r="AC128" s="126"/>
      <c r="AD128" s="121">
        <v>1998</v>
      </c>
      <c r="BN128" s="118" t="s">
        <v>518</v>
      </c>
      <c r="BO128" s="12"/>
      <c r="BP128" s="12"/>
      <c r="BQ128" s="135"/>
      <c r="BR128" s="112"/>
      <c r="BS128" s="137" t="s">
        <v>519</v>
      </c>
      <c r="BT128" s="112"/>
      <c r="BU128" s="112"/>
      <c r="BV128" s="126"/>
    </row>
    <row r="129" spans="1:80" x14ac:dyDescent="0.45">
      <c r="A129" s="10">
        <v>1999</v>
      </c>
      <c r="B129" s="1280">
        <v>32</v>
      </c>
      <c r="C129" s="1258"/>
      <c r="D129" s="111"/>
      <c r="E129" s="111" t="s">
        <v>100</v>
      </c>
      <c r="F129" s="134">
        <v>358066</v>
      </c>
      <c r="G129" s="111" t="s">
        <v>100</v>
      </c>
      <c r="H129" s="1258">
        <v>190415</v>
      </c>
      <c r="I129" s="112">
        <v>315493</v>
      </c>
      <c r="J129" s="111" t="s">
        <v>100</v>
      </c>
      <c r="K129" s="112">
        <v>102502</v>
      </c>
      <c r="L129" s="111" t="s">
        <v>100</v>
      </c>
      <c r="M129" s="112">
        <v>106487</v>
      </c>
      <c r="N129" s="134"/>
      <c r="O129" s="111" t="s">
        <v>100</v>
      </c>
      <c r="P129" s="111">
        <v>1072963</v>
      </c>
      <c r="Q129" s="1261">
        <v>1072963</v>
      </c>
      <c r="R129" s="111" t="s">
        <v>100</v>
      </c>
      <c r="S129" s="112">
        <v>1152635</v>
      </c>
      <c r="T129" s="134" t="s">
        <v>100</v>
      </c>
      <c r="U129" s="111">
        <v>12862</v>
      </c>
      <c r="V129" s="112">
        <v>84433</v>
      </c>
      <c r="W129" s="111"/>
      <c r="X129" s="134">
        <v>20365</v>
      </c>
      <c r="Y129" s="134"/>
      <c r="Z129" s="112"/>
      <c r="AA129" s="1258"/>
      <c r="AB129" s="126">
        <v>20700</v>
      </c>
      <c r="AC129" s="126"/>
      <c r="AD129" s="121">
        <v>1999</v>
      </c>
      <c r="BN129" s="118" t="s">
        <v>520</v>
      </c>
      <c r="BO129" s="12"/>
      <c r="BP129" s="12"/>
      <c r="BQ129" s="135"/>
      <c r="BR129" s="112"/>
      <c r="BS129" s="112"/>
      <c r="BT129" s="112"/>
      <c r="BU129" s="112"/>
      <c r="BV129" s="126"/>
    </row>
    <row r="130" spans="1:80" x14ac:dyDescent="0.45">
      <c r="A130" s="12">
        <v>2000</v>
      </c>
      <c r="B130" s="1280">
        <v>34</v>
      </c>
      <c r="C130" s="1258"/>
      <c r="D130" s="111"/>
      <c r="E130" s="111" t="s">
        <v>100</v>
      </c>
      <c r="F130" s="134">
        <v>369909</v>
      </c>
      <c r="G130" s="111" t="s">
        <v>100</v>
      </c>
      <c r="H130" s="112">
        <v>198506</v>
      </c>
      <c r="I130" s="111">
        <v>324563</v>
      </c>
      <c r="J130" s="111" t="s">
        <v>100</v>
      </c>
      <c r="K130" s="111">
        <v>102103</v>
      </c>
      <c r="L130" s="111" t="s">
        <v>100</v>
      </c>
      <c r="M130" s="111">
        <v>110456</v>
      </c>
      <c r="N130" s="112"/>
      <c r="O130" s="111" t="s">
        <v>100</v>
      </c>
      <c r="P130" s="111">
        <v>1105537</v>
      </c>
      <c r="Q130" s="1261">
        <v>1105537</v>
      </c>
      <c r="R130" s="111" t="s">
        <v>100</v>
      </c>
      <c r="S130" s="112">
        <v>1260656</v>
      </c>
      <c r="T130" s="134" t="s">
        <v>100</v>
      </c>
      <c r="U130" s="111">
        <v>26032</v>
      </c>
      <c r="V130" s="112">
        <v>146342</v>
      </c>
      <c r="W130" s="111"/>
      <c r="X130" s="134">
        <v>20487</v>
      </c>
      <c r="Y130" s="134"/>
      <c r="Z130" s="112"/>
      <c r="AA130" s="1258"/>
      <c r="AB130" s="126">
        <v>20866</v>
      </c>
      <c r="AC130" s="126"/>
      <c r="AD130" s="121">
        <v>2000</v>
      </c>
      <c r="BN130" s="118" t="s">
        <v>521</v>
      </c>
      <c r="BO130" s="12"/>
      <c r="BP130" s="12"/>
      <c r="BQ130" s="135"/>
      <c r="BR130" s="112"/>
      <c r="BS130" s="112"/>
      <c r="BT130" s="112"/>
      <c r="BU130" s="112"/>
      <c r="BV130" s="126"/>
    </row>
    <row r="131" spans="1:80" s="122" customFormat="1" x14ac:dyDescent="0.45">
      <c r="A131" s="12">
        <v>2001</v>
      </c>
      <c r="B131" s="1309">
        <v>35</v>
      </c>
      <c r="C131" s="1258"/>
      <c r="D131" s="111"/>
      <c r="E131" s="111" t="s">
        <v>100</v>
      </c>
      <c r="F131" s="134">
        <v>379426</v>
      </c>
      <c r="G131" s="111" t="s">
        <v>100</v>
      </c>
      <c r="H131" s="1258">
        <v>191600</v>
      </c>
      <c r="I131" s="111">
        <v>312939</v>
      </c>
      <c r="J131" s="111" t="s">
        <v>100</v>
      </c>
      <c r="K131" s="1258">
        <v>114653</v>
      </c>
      <c r="L131" s="111" t="s">
        <v>100</v>
      </c>
      <c r="M131" s="111">
        <v>113111</v>
      </c>
      <c r="N131" s="1258"/>
      <c r="O131" s="111" t="s">
        <v>100</v>
      </c>
      <c r="P131" s="111">
        <v>1111729</v>
      </c>
      <c r="Q131" s="1261">
        <v>1111729</v>
      </c>
      <c r="R131" s="111" t="s">
        <v>100</v>
      </c>
      <c r="S131" s="111">
        <v>1231263</v>
      </c>
      <c r="T131" s="134" t="s">
        <v>100</v>
      </c>
      <c r="U131" s="111">
        <v>30464</v>
      </c>
      <c r="V131" s="111">
        <v>138330</v>
      </c>
      <c r="W131" s="111"/>
      <c r="X131" s="111">
        <v>20490</v>
      </c>
      <c r="Y131" s="134"/>
      <c r="Z131" s="112"/>
      <c r="AA131" s="1258"/>
      <c r="AB131" s="1317">
        <v>20887</v>
      </c>
      <c r="AC131" s="1258"/>
      <c r="AD131" s="121">
        <v>2001</v>
      </c>
      <c r="BN131" s="118" t="s">
        <v>522</v>
      </c>
      <c r="BO131" s="12"/>
      <c r="BP131" s="12"/>
      <c r="BQ131" s="135"/>
      <c r="BR131" s="112"/>
      <c r="BS131" s="112"/>
      <c r="BT131" s="112"/>
      <c r="BU131" s="112"/>
      <c r="BV131" s="126"/>
      <c r="BW131" s="11"/>
      <c r="BX131" s="11"/>
      <c r="BY131" s="11"/>
      <c r="BZ131" s="11"/>
      <c r="CA131" s="11"/>
      <c r="CB131" s="11"/>
    </row>
    <row r="132" spans="1:80" s="122" customFormat="1" x14ac:dyDescent="0.45">
      <c r="A132" s="12">
        <v>2002</v>
      </c>
      <c r="B132" s="1280">
        <v>28</v>
      </c>
      <c r="C132" s="1258"/>
      <c r="D132" s="112"/>
      <c r="E132" s="111" t="s">
        <v>100</v>
      </c>
      <c r="F132" s="112">
        <v>376372</v>
      </c>
      <c r="G132" s="111" t="s">
        <v>100</v>
      </c>
      <c r="H132" s="112">
        <v>176168</v>
      </c>
      <c r="I132" s="111">
        <v>329847</v>
      </c>
      <c r="J132" s="111" t="s">
        <v>100</v>
      </c>
      <c r="K132" s="111">
        <v>113047</v>
      </c>
      <c r="L132" s="111" t="s">
        <v>100</v>
      </c>
      <c r="M132" s="111">
        <v>100833</v>
      </c>
      <c r="N132" s="112"/>
      <c r="O132" s="111" t="s">
        <v>100</v>
      </c>
      <c r="P132" s="112">
        <v>1096267</v>
      </c>
      <c r="Q132" s="1261">
        <v>1096267</v>
      </c>
      <c r="R132" s="112" t="s">
        <v>100</v>
      </c>
      <c r="S132" s="134">
        <v>1205405</v>
      </c>
      <c r="T132" s="134" t="s">
        <v>100</v>
      </c>
      <c r="U132" s="111">
        <v>60493</v>
      </c>
      <c r="V132" s="112">
        <v>150731</v>
      </c>
      <c r="W132" s="111"/>
      <c r="X132" s="112">
        <v>20587</v>
      </c>
      <c r="Y132" s="134"/>
      <c r="Z132" s="112"/>
      <c r="AA132" s="112"/>
      <c r="AB132" s="1317">
        <v>20990</v>
      </c>
      <c r="AC132" s="112"/>
      <c r="AD132" s="121">
        <v>2002</v>
      </c>
      <c r="BN132" s="118" t="s">
        <v>523</v>
      </c>
      <c r="BO132" s="12"/>
      <c r="BP132" s="12"/>
      <c r="BQ132" s="135"/>
      <c r="BR132" s="112"/>
      <c r="BS132" s="112"/>
      <c r="BT132" s="112"/>
      <c r="BU132" s="112"/>
      <c r="BV132" s="126"/>
      <c r="BW132" s="11"/>
      <c r="BX132" s="11"/>
      <c r="BY132" s="11"/>
      <c r="BZ132" s="11"/>
      <c r="CA132" s="11"/>
      <c r="CB132" s="11"/>
    </row>
    <row r="133" spans="1:80" s="122" customFormat="1" x14ac:dyDescent="0.45">
      <c r="A133" s="12">
        <v>2003</v>
      </c>
      <c r="B133" s="1280">
        <v>24</v>
      </c>
      <c r="C133" s="1258"/>
      <c r="D133" s="112"/>
      <c r="E133" s="111" t="s">
        <v>100</v>
      </c>
      <c r="F133" s="112">
        <v>386486</v>
      </c>
      <c r="G133" s="111" t="s">
        <v>100</v>
      </c>
      <c r="H133" s="1258">
        <v>176778</v>
      </c>
      <c r="I133" s="111">
        <v>324580</v>
      </c>
      <c r="J133" s="111" t="s">
        <v>100</v>
      </c>
      <c r="K133" s="111">
        <v>108197</v>
      </c>
      <c r="L133" s="111" t="s">
        <v>100</v>
      </c>
      <c r="M133" s="111">
        <v>106733</v>
      </c>
      <c r="N133" s="112"/>
      <c r="O133" s="111" t="s">
        <v>100</v>
      </c>
      <c r="P133" s="112">
        <v>1102774</v>
      </c>
      <c r="Q133" s="1261">
        <v>1102774</v>
      </c>
      <c r="R133" s="111" t="s">
        <v>100</v>
      </c>
      <c r="S133" s="111">
        <v>1197030</v>
      </c>
      <c r="T133" s="111" t="s">
        <v>100</v>
      </c>
      <c r="U133" s="111">
        <v>86298</v>
      </c>
      <c r="V133" s="112">
        <v>177039</v>
      </c>
      <c r="W133" s="111"/>
      <c r="X133" s="112">
        <v>20683</v>
      </c>
      <c r="Y133" s="134"/>
      <c r="Z133" s="112"/>
      <c r="AA133" s="112"/>
      <c r="AB133" s="1317">
        <v>21105</v>
      </c>
      <c r="AC133" s="112"/>
      <c r="AD133" s="121">
        <v>2003</v>
      </c>
      <c r="BN133" s="118" t="s">
        <v>524</v>
      </c>
      <c r="BO133" s="12"/>
      <c r="BP133" s="12"/>
      <c r="BQ133" s="135"/>
      <c r="BR133" s="112"/>
      <c r="BS133" s="112"/>
      <c r="BT133" s="112"/>
      <c r="BU133" s="112"/>
      <c r="BV133" s="126"/>
      <c r="BW133" s="11"/>
      <c r="BX133" s="11"/>
      <c r="BY133" s="11"/>
      <c r="BZ133" s="11"/>
      <c r="CA133" s="11"/>
      <c r="CB133" s="11"/>
    </row>
    <row r="134" spans="1:80" s="122" customFormat="1" x14ac:dyDescent="0.45">
      <c r="A134" s="1330">
        <v>2004</v>
      </c>
      <c r="B134" s="1280">
        <v>17</v>
      </c>
      <c r="C134" s="1331"/>
      <c r="D134" s="111"/>
      <c r="E134" s="111" t="s">
        <v>100</v>
      </c>
      <c r="F134" s="134">
        <v>396410.70629916881</v>
      </c>
      <c r="G134" s="111" t="s">
        <v>100</v>
      </c>
      <c r="H134" s="1258">
        <v>164702.20024840863</v>
      </c>
      <c r="I134" s="111">
        <v>340824.3539961066</v>
      </c>
      <c r="J134" s="111" t="s">
        <v>100</v>
      </c>
      <c r="K134" s="111">
        <v>109583.51510168279</v>
      </c>
      <c r="L134" s="111" t="s">
        <v>100</v>
      </c>
      <c r="M134" s="111">
        <v>113474.92004223476</v>
      </c>
      <c r="N134" s="111"/>
      <c r="O134" s="111" t="s">
        <v>100</v>
      </c>
      <c r="P134" s="111">
        <v>1124995.6956876016</v>
      </c>
      <c r="Q134" s="1261">
        <v>1124995.6956876016</v>
      </c>
      <c r="R134" s="111" t="s">
        <v>100</v>
      </c>
      <c r="S134" s="111">
        <v>1121257.1230515079</v>
      </c>
      <c r="T134" s="111" t="s">
        <v>100</v>
      </c>
      <c r="U134" s="111">
        <v>133032.7928234929</v>
      </c>
      <c r="V134" s="111">
        <v>114111.777591759</v>
      </c>
      <c r="W134" s="111"/>
      <c r="X134" s="111">
        <v>20791</v>
      </c>
      <c r="Y134" s="112"/>
      <c r="Z134" s="112"/>
      <c r="AA134" s="1258"/>
      <c r="AB134" s="126">
        <v>21219</v>
      </c>
      <c r="AC134" s="1258"/>
      <c r="AD134" s="121">
        <v>2004</v>
      </c>
      <c r="BN134" s="118" t="s">
        <v>525</v>
      </c>
      <c r="BO134" s="12"/>
      <c r="BP134" s="12"/>
      <c r="BQ134" s="135"/>
      <c r="BR134" s="112"/>
      <c r="BS134" s="112"/>
      <c r="BT134" s="112"/>
      <c r="BU134" s="112"/>
      <c r="BV134" s="126"/>
      <c r="BW134" s="11"/>
      <c r="BX134" s="11"/>
      <c r="BY134" s="11"/>
      <c r="BZ134" s="11"/>
      <c r="CA134" s="11"/>
      <c r="CB134" s="11"/>
    </row>
    <row r="135" spans="1:80" s="122" customFormat="1" x14ac:dyDescent="0.45">
      <c r="A135" s="12">
        <v>2005</v>
      </c>
      <c r="B135" s="1280">
        <v>19</v>
      </c>
      <c r="C135" s="1258"/>
      <c r="D135" s="1258"/>
      <c r="E135" s="111" t="s">
        <v>100</v>
      </c>
      <c r="F135" s="112">
        <v>381878.97176002502</v>
      </c>
      <c r="G135" s="111" t="s">
        <v>100</v>
      </c>
      <c r="H135" s="1258">
        <v>160294.64573901996</v>
      </c>
      <c r="I135" s="1258">
        <v>331657.71804868121</v>
      </c>
      <c r="J135" s="111" t="s">
        <v>100</v>
      </c>
      <c r="K135" s="1258">
        <v>108708.74801056461</v>
      </c>
      <c r="L135" s="111" t="s">
        <v>100</v>
      </c>
      <c r="M135" s="1258">
        <v>110791.18174369824</v>
      </c>
      <c r="N135" s="111"/>
      <c r="O135" s="111" t="s">
        <v>100</v>
      </c>
      <c r="P135" s="1258">
        <v>1093331.2653019889</v>
      </c>
      <c r="Q135" s="1261">
        <v>1093331.2653019889</v>
      </c>
      <c r="R135" s="111" t="s">
        <v>100</v>
      </c>
      <c r="S135" s="111">
        <v>1025989.1553264596</v>
      </c>
      <c r="T135" s="1258" t="s">
        <v>100</v>
      </c>
      <c r="U135" s="111">
        <v>173328.19160227064</v>
      </c>
      <c r="V135" s="1258">
        <v>96181.284972780093</v>
      </c>
      <c r="W135" s="111"/>
      <c r="X135" s="111">
        <v>21595</v>
      </c>
      <c r="Y135" s="112"/>
      <c r="Z135" s="112"/>
      <c r="AA135" s="1258"/>
      <c r="AB135" s="126">
        <v>21993</v>
      </c>
      <c r="AC135" s="1258"/>
      <c r="AD135" s="121">
        <v>2005</v>
      </c>
      <c r="BN135" s="118" t="s">
        <v>526</v>
      </c>
      <c r="BO135" s="12"/>
      <c r="BP135" s="12"/>
      <c r="BQ135" s="135"/>
      <c r="BR135" s="112"/>
      <c r="BS135" s="112"/>
      <c r="BT135" s="112"/>
      <c r="BU135" s="112"/>
      <c r="BV135" s="126"/>
      <c r="BW135" s="11"/>
      <c r="BX135" s="11"/>
      <c r="BY135" s="11"/>
      <c r="BZ135" s="11"/>
      <c r="CA135" s="11"/>
      <c r="CB135" s="11"/>
    </row>
    <row r="136" spans="1:80" s="122" customFormat="1" x14ac:dyDescent="0.45">
      <c r="A136" s="12">
        <v>2006</v>
      </c>
      <c r="B136" s="1280">
        <v>17</v>
      </c>
      <c r="C136" s="1258"/>
      <c r="D136" s="1258"/>
      <c r="E136" s="111" t="s">
        <v>100</v>
      </c>
      <c r="F136" s="111">
        <v>366928.01925765234</v>
      </c>
      <c r="G136" s="112" t="s">
        <v>100</v>
      </c>
      <c r="H136" s="111">
        <v>153064.99607350782</v>
      </c>
      <c r="I136" s="111">
        <v>311407.73365403904</v>
      </c>
      <c r="J136" s="111" t="s">
        <v>100</v>
      </c>
      <c r="K136" s="111">
        <v>103270.24797461004</v>
      </c>
      <c r="L136" s="111" t="s">
        <v>100</v>
      </c>
      <c r="M136" s="111">
        <v>100653.54720868576</v>
      </c>
      <c r="N136" s="111"/>
      <c r="O136" s="111" t="s">
        <v>100</v>
      </c>
      <c r="P136" s="111">
        <v>1035324.5441684951</v>
      </c>
      <c r="Q136" s="1261">
        <v>1035324.5441684951</v>
      </c>
      <c r="R136" s="111" t="s">
        <v>100</v>
      </c>
      <c r="S136" s="111">
        <v>930538</v>
      </c>
      <c r="T136" s="1258" t="s">
        <v>100</v>
      </c>
      <c r="U136" s="111">
        <v>244029.31263723978</v>
      </c>
      <c r="V136" s="111">
        <v>120590.70070867373</v>
      </c>
      <c r="W136" s="111"/>
      <c r="X136" s="111">
        <v>21884</v>
      </c>
      <c r="Y136" s="112"/>
      <c r="Z136" s="112"/>
      <c r="AA136" s="1258"/>
      <c r="AB136" s="126">
        <v>22263</v>
      </c>
      <c r="AC136" s="1258"/>
      <c r="AD136" s="121">
        <v>2006</v>
      </c>
      <c r="BN136" s="118" t="s">
        <v>527</v>
      </c>
      <c r="BO136" s="12"/>
      <c r="BP136" s="12"/>
      <c r="BQ136" s="135"/>
      <c r="BR136" s="112"/>
      <c r="BS136" s="112"/>
      <c r="BT136" s="112"/>
      <c r="BU136" s="112"/>
      <c r="BV136" s="126"/>
      <c r="BW136" s="11"/>
      <c r="BX136" s="11"/>
      <c r="BY136" s="11"/>
      <c r="BZ136" s="11"/>
      <c r="CA136" s="11"/>
      <c r="CB136" s="11"/>
    </row>
    <row r="137" spans="1:80" s="122" customFormat="1" x14ac:dyDescent="0.45">
      <c r="A137" s="1332">
        <v>2007</v>
      </c>
      <c r="B137" s="1309">
        <v>15</v>
      </c>
      <c r="C137" s="1310"/>
      <c r="D137" s="1310"/>
      <c r="E137" s="1311" t="s">
        <v>100</v>
      </c>
      <c r="F137" s="1310">
        <v>352867.91019224894</v>
      </c>
      <c r="G137" s="1313" t="s">
        <v>100</v>
      </c>
      <c r="H137" s="1311">
        <v>144297.60855132563</v>
      </c>
      <c r="I137" s="1311">
        <v>355878.03307060146</v>
      </c>
      <c r="J137" s="1311" t="s">
        <v>100</v>
      </c>
      <c r="K137" s="1311">
        <v>98945.795589415939</v>
      </c>
      <c r="L137" s="1311" t="s">
        <v>100</v>
      </c>
      <c r="M137" s="1311">
        <v>94827.296299549882</v>
      </c>
      <c r="N137" s="1311"/>
      <c r="O137" s="1311" t="s">
        <v>100</v>
      </c>
      <c r="P137" s="1311">
        <v>1046816.6437031418</v>
      </c>
      <c r="Q137" s="1333">
        <v>1046816.6437031418</v>
      </c>
      <c r="R137" s="1311" t="s">
        <v>100</v>
      </c>
      <c r="S137" s="1311">
        <v>838809.29321419192</v>
      </c>
      <c r="T137" s="1311" t="s">
        <v>100</v>
      </c>
      <c r="U137" s="1313">
        <v>338026.44736573868</v>
      </c>
      <c r="V137" s="1311">
        <v>123157.7942829821</v>
      </c>
      <c r="W137" s="1311"/>
      <c r="X137" s="1311">
        <v>22224</v>
      </c>
      <c r="Y137" s="1313"/>
      <c r="Z137" s="1313"/>
      <c r="AA137" s="1313"/>
      <c r="AB137" s="1334">
        <v>22575</v>
      </c>
      <c r="AC137" s="1313"/>
      <c r="AD137" s="123">
        <v>2007</v>
      </c>
      <c r="BN137" s="118" t="s">
        <v>528</v>
      </c>
      <c r="BO137" s="12"/>
      <c r="BP137" s="12"/>
      <c r="BQ137" s="135"/>
      <c r="BR137" s="112"/>
      <c r="BS137" s="112"/>
      <c r="BT137" s="112"/>
      <c r="BU137" s="112"/>
      <c r="BV137" s="126"/>
      <c r="BW137" s="11"/>
      <c r="BX137" s="11"/>
      <c r="BY137" s="11"/>
      <c r="BZ137" s="11"/>
      <c r="CA137" s="11"/>
      <c r="CB137" s="11"/>
    </row>
    <row r="138" spans="1:80" s="122" customFormat="1" x14ac:dyDescent="0.45">
      <c r="A138" s="12">
        <v>2008</v>
      </c>
      <c r="B138" s="1280"/>
      <c r="C138" s="1331"/>
      <c r="D138" s="111"/>
      <c r="E138" s="111" t="s">
        <v>100</v>
      </c>
      <c r="F138" s="111">
        <v>359553.81775016722</v>
      </c>
      <c r="G138" s="112" t="s">
        <v>100</v>
      </c>
      <c r="H138" s="1335">
        <v>136481.45750150408</v>
      </c>
      <c r="I138" s="111">
        <v>376810.49618231243</v>
      </c>
      <c r="J138" s="111" t="s">
        <v>100</v>
      </c>
      <c r="K138" s="1335">
        <v>103039.39269947234</v>
      </c>
      <c r="L138" s="111" t="s">
        <v>100</v>
      </c>
      <c r="M138" s="111">
        <v>111142.90650973239</v>
      </c>
      <c r="N138" s="111"/>
      <c r="O138" s="111" t="s">
        <v>100</v>
      </c>
      <c r="P138" s="1335">
        <v>1087028.0706431884</v>
      </c>
      <c r="Q138" s="1261">
        <v>1087028.0706431884</v>
      </c>
      <c r="R138" s="111" t="s">
        <v>100</v>
      </c>
      <c r="S138" s="111">
        <v>808561.83375231235</v>
      </c>
      <c r="T138" s="1335" t="s">
        <v>100</v>
      </c>
      <c r="U138" s="111">
        <v>409048.65167245839</v>
      </c>
      <c r="V138" s="111">
        <v>122670.038779546</v>
      </c>
      <c r="W138" s="111"/>
      <c r="X138" s="111">
        <v>22327</v>
      </c>
      <c r="Y138" s="112"/>
      <c r="Z138" s="112"/>
      <c r="AA138" s="1258"/>
      <c r="AB138" s="1261">
        <v>22651</v>
      </c>
      <c r="AC138" s="111"/>
      <c r="AD138" s="124">
        <v>2008</v>
      </c>
      <c r="BN138" s="118" t="s">
        <v>529</v>
      </c>
      <c r="BO138" s="12"/>
      <c r="BP138" s="12"/>
      <c r="BQ138" s="135"/>
      <c r="BR138" s="112"/>
      <c r="BS138" s="112"/>
      <c r="BT138" s="112"/>
      <c r="BU138" s="112"/>
      <c r="BV138" s="126"/>
      <c r="BW138" s="11"/>
      <c r="BX138" s="11"/>
      <c r="BY138" s="11"/>
      <c r="BZ138" s="11"/>
      <c r="CA138" s="11"/>
      <c r="CB138" s="11"/>
    </row>
    <row r="139" spans="1:80" s="122" customFormat="1" x14ac:dyDescent="0.45">
      <c r="A139" s="12">
        <v>2009</v>
      </c>
      <c r="B139" s="1280"/>
      <c r="C139" s="1331"/>
      <c r="D139" s="111"/>
      <c r="E139" s="111" t="s">
        <v>100</v>
      </c>
      <c r="F139" s="111">
        <v>345199.28797677602</v>
      </c>
      <c r="G139" s="112" t="s">
        <v>100</v>
      </c>
      <c r="H139" s="1335">
        <v>113250.75277875981</v>
      </c>
      <c r="I139" s="111">
        <v>359302.92960215866</v>
      </c>
      <c r="J139" s="111" t="s">
        <v>100</v>
      </c>
      <c r="K139" s="1335">
        <v>102801.61546586484</v>
      </c>
      <c r="L139" s="111" t="s">
        <v>100</v>
      </c>
      <c r="M139" s="111">
        <v>93042.109352420579</v>
      </c>
      <c r="N139" s="111"/>
      <c r="O139" s="111" t="s">
        <v>100</v>
      </c>
      <c r="P139" s="1335">
        <v>1013596.6951759799</v>
      </c>
      <c r="Q139" s="1261">
        <v>1013596.6951759799</v>
      </c>
      <c r="R139" s="1335" t="s">
        <v>100</v>
      </c>
      <c r="S139" s="111">
        <v>680063.86981221591</v>
      </c>
      <c r="T139" s="1335" t="s">
        <v>100</v>
      </c>
      <c r="U139" s="111">
        <v>471842.68850978051</v>
      </c>
      <c r="V139" s="111">
        <v>137099.79828623458</v>
      </c>
      <c r="W139" s="111"/>
      <c r="X139" s="111">
        <v>22621</v>
      </c>
      <c r="Y139" s="112"/>
      <c r="Z139" s="112"/>
      <c r="AA139" s="1258"/>
      <c r="AB139" s="1261">
        <v>22910</v>
      </c>
      <c r="AC139" s="111"/>
      <c r="AD139" s="124">
        <v>2009</v>
      </c>
      <c r="BN139" s="118" t="s">
        <v>530</v>
      </c>
      <c r="BO139" s="12"/>
      <c r="BP139" s="12"/>
      <c r="BQ139" s="135"/>
      <c r="BR139" s="112"/>
      <c r="BS139" s="112"/>
      <c r="BT139" s="112"/>
      <c r="BU139" s="112"/>
      <c r="BV139" s="126"/>
      <c r="BW139" s="11"/>
      <c r="BX139" s="11"/>
      <c r="BY139" s="11"/>
      <c r="BZ139" s="11"/>
      <c r="CA139" s="11"/>
      <c r="CB139" s="11"/>
    </row>
    <row r="140" spans="1:80" s="122" customFormat="1" x14ac:dyDescent="0.45">
      <c r="A140" s="12">
        <v>2010</v>
      </c>
      <c r="B140" s="1280"/>
      <c r="C140" s="1331"/>
      <c r="D140" s="111"/>
      <c r="E140" s="111" t="s">
        <v>100</v>
      </c>
      <c r="F140" s="111">
        <v>389595.49873115029</v>
      </c>
      <c r="G140" s="112" t="s">
        <v>100</v>
      </c>
      <c r="H140" s="1335">
        <v>117357.52718165731</v>
      </c>
      <c r="I140" s="111">
        <v>377116.22983954672</v>
      </c>
      <c r="J140" s="111" t="s">
        <v>100</v>
      </c>
      <c r="K140" s="1335">
        <v>108698.56592368957</v>
      </c>
      <c r="L140" s="111" t="s">
        <v>100</v>
      </c>
      <c r="M140" s="111">
        <v>101597.77334984906</v>
      </c>
      <c r="N140" s="111"/>
      <c r="O140" s="111" t="s">
        <v>100</v>
      </c>
      <c r="P140" s="1335">
        <v>1094365.5950258931</v>
      </c>
      <c r="Q140" s="1261">
        <v>1094365.5950258931</v>
      </c>
      <c r="R140" s="1335" t="s">
        <v>100</v>
      </c>
      <c r="S140" s="111">
        <v>643343.69563274714</v>
      </c>
      <c r="T140" s="1335" t="s">
        <v>100</v>
      </c>
      <c r="U140" s="111">
        <v>614478.6590355048</v>
      </c>
      <c r="V140" s="111">
        <v>176399.14184131566</v>
      </c>
      <c r="W140" s="111"/>
      <c r="X140" s="111">
        <v>22719</v>
      </c>
      <c r="Y140" s="112"/>
      <c r="Z140" s="112"/>
      <c r="AA140" s="1258"/>
      <c r="AB140" s="1261">
        <v>23003</v>
      </c>
      <c r="AC140" s="111"/>
      <c r="AD140" s="124">
        <f t="shared" ref="AD140:AD148" si="7">A140</f>
        <v>2010</v>
      </c>
      <c r="BN140" s="118" t="s">
        <v>531</v>
      </c>
      <c r="BO140" s="12"/>
      <c r="BP140" s="12"/>
      <c r="BQ140" s="135"/>
      <c r="BR140" s="112"/>
      <c r="BS140" s="112"/>
      <c r="BT140" s="112"/>
      <c r="BU140" s="112"/>
      <c r="BV140" s="126"/>
      <c r="BW140" s="11"/>
      <c r="BX140" s="11"/>
      <c r="BY140" s="11"/>
      <c r="BZ140" s="11"/>
      <c r="CA140" s="11"/>
      <c r="CB140" s="11"/>
    </row>
    <row r="141" spans="1:80" s="122" customFormat="1" x14ac:dyDescent="0.45">
      <c r="A141" s="12">
        <v>2011</v>
      </c>
      <c r="B141" s="1280"/>
      <c r="C141" s="1331"/>
      <c r="D141" s="111"/>
      <c r="E141" s="111" t="s">
        <v>100</v>
      </c>
      <c r="F141" s="111">
        <v>308840.75123267877</v>
      </c>
      <c r="G141" s="112" t="s">
        <v>100</v>
      </c>
      <c r="H141" s="1335">
        <v>110704.27992321718</v>
      </c>
      <c r="I141" s="111">
        <v>309076.42444384791</v>
      </c>
      <c r="J141" s="111" t="s">
        <v>100</v>
      </c>
      <c r="K141" s="1335">
        <v>96168.410830410576</v>
      </c>
      <c r="L141" s="111" t="s">
        <v>100</v>
      </c>
      <c r="M141" s="111">
        <v>85415.874778267142</v>
      </c>
      <c r="N141" s="111"/>
      <c r="O141" s="111" t="s">
        <v>100</v>
      </c>
      <c r="P141" s="1335">
        <v>910205.74120842153</v>
      </c>
      <c r="Q141" s="1261">
        <v>910205.74120842153</v>
      </c>
      <c r="R141" s="1335" t="s">
        <v>100</v>
      </c>
      <c r="S141" s="111">
        <v>512028.09570909047</v>
      </c>
      <c r="T141" s="1335" t="s">
        <v>100</v>
      </c>
      <c r="U141" s="111">
        <v>603923.51226005203</v>
      </c>
      <c r="V141" s="111">
        <v>183684.49895716933</v>
      </c>
      <c r="W141" s="111"/>
      <c r="X141" s="111">
        <v>22806</v>
      </c>
      <c r="Y141" s="112"/>
      <c r="Z141" s="112"/>
      <c r="AA141" s="1258"/>
      <c r="AB141" s="1261">
        <v>23080</v>
      </c>
      <c r="AC141" s="111"/>
      <c r="AD141" s="124">
        <f t="shared" si="7"/>
        <v>2011</v>
      </c>
      <c r="BN141" s="118" t="s">
        <v>532</v>
      </c>
      <c r="BO141" s="12"/>
      <c r="BP141" s="12"/>
      <c r="BQ141" s="135"/>
      <c r="BR141" s="112"/>
      <c r="BS141" s="112"/>
      <c r="BT141" s="112"/>
      <c r="BU141" s="112"/>
      <c r="BV141" s="126"/>
      <c r="BW141" s="11"/>
      <c r="BX141" s="11"/>
      <c r="BY141" s="11"/>
      <c r="BZ141" s="11"/>
      <c r="CA141" s="11"/>
      <c r="CB141" s="11"/>
    </row>
    <row r="142" spans="1:80" s="122" customFormat="1" x14ac:dyDescent="0.45">
      <c r="A142" s="12">
        <v>2012</v>
      </c>
      <c r="B142" s="1280"/>
      <c r="C142" s="1331"/>
      <c r="D142" s="111"/>
      <c r="E142" s="111" t="s">
        <v>100</v>
      </c>
      <c r="F142" s="111">
        <v>343180.11441366782</v>
      </c>
      <c r="G142" s="112" t="s">
        <v>100</v>
      </c>
      <c r="H142" s="1335">
        <v>108364.6836138369</v>
      </c>
      <c r="I142" s="111">
        <v>216542.54275597868</v>
      </c>
      <c r="J142" s="111" t="s">
        <v>100</v>
      </c>
      <c r="K142" s="1335">
        <v>87215.269510481841</v>
      </c>
      <c r="L142" s="111" t="s">
        <v>100</v>
      </c>
      <c r="M142" s="111">
        <v>99127.601306634329</v>
      </c>
      <c r="N142" s="111"/>
      <c r="O142" s="111" t="s">
        <v>100</v>
      </c>
      <c r="P142" s="1335">
        <v>854430.21160059958</v>
      </c>
      <c r="Q142" s="1261">
        <v>854430.21160059958</v>
      </c>
      <c r="R142" s="1335" t="s">
        <v>100</v>
      </c>
      <c r="S142" s="111">
        <v>435470.94219529914</v>
      </c>
      <c r="T142" s="1335" t="s">
        <v>100</v>
      </c>
      <c r="U142" s="111">
        <v>566668.87772093853</v>
      </c>
      <c r="V142" s="111">
        <v>144022.96204436175</v>
      </c>
      <c r="W142" s="111"/>
      <c r="X142" s="111">
        <v>22898</v>
      </c>
      <c r="Y142" s="112"/>
      <c r="Z142" s="112"/>
      <c r="AA142" s="1258"/>
      <c r="AB142" s="1261">
        <v>23169</v>
      </c>
      <c r="AC142" s="111"/>
      <c r="AD142" s="124">
        <f t="shared" si="7"/>
        <v>2012</v>
      </c>
      <c r="BN142" s="118" t="s">
        <v>533</v>
      </c>
      <c r="BO142" s="12"/>
      <c r="BP142" s="12"/>
      <c r="BQ142" s="135"/>
      <c r="BR142" s="112"/>
      <c r="BS142" s="112"/>
      <c r="BT142" s="112"/>
      <c r="BU142" s="112"/>
      <c r="BV142" s="126"/>
      <c r="BW142" s="11"/>
      <c r="BX142" s="11"/>
      <c r="BY142" s="11"/>
      <c r="BZ142" s="11"/>
      <c r="CA142" s="11"/>
      <c r="CB142" s="11"/>
    </row>
    <row r="143" spans="1:80" s="122" customFormat="1" x14ac:dyDescent="0.45">
      <c r="A143" s="12">
        <v>2013</v>
      </c>
      <c r="B143" s="1336"/>
      <c r="C143" s="1337"/>
      <c r="D143" s="1335"/>
      <c r="E143" s="1335" t="s">
        <v>100</v>
      </c>
      <c r="F143" s="1335">
        <v>344500.96168994042</v>
      </c>
      <c r="G143" s="125" t="s">
        <v>100</v>
      </c>
      <c r="H143" s="1335">
        <v>110612.58012829509</v>
      </c>
      <c r="I143" s="1335">
        <v>205868.85313140677</v>
      </c>
      <c r="J143" s="1335" t="s">
        <v>100</v>
      </c>
      <c r="K143" s="1335">
        <v>84993.93425250439</v>
      </c>
      <c r="L143" s="1335" t="s">
        <v>100</v>
      </c>
      <c r="M143" s="1335">
        <v>102087.60979821291</v>
      </c>
      <c r="N143" s="1335"/>
      <c r="O143" s="1335" t="s">
        <v>100</v>
      </c>
      <c r="P143" s="1335">
        <v>848063.9390003595</v>
      </c>
      <c r="Q143" s="1261">
        <v>848063.9390003595</v>
      </c>
      <c r="R143" s="1335" t="s">
        <v>100</v>
      </c>
      <c r="S143" s="1335">
        <v>410893.10835415428</v>
      </c>
      <c r="T143" s="1335" t="s">
        <v>100</v>
      </c>
      <c r="U143" s="1335">
        <v>548223.04818082356</v>
      </c>
      <c r="V143" s="1335">
        <v>109663.92199776664</v>
      </c>
      <c r="W143" s="1335"/>
      <c r="X143" s="1335"/>
      <c r="Y143" s="125"/>
      <c r="Z143" s="125"/>
      <c r="AA143" s="1324"/>
      <c r="AB143" s="1261"/>
      <c r="AC143" s="1335"/>
      <c r="AD143" s="124">
        <f t="shared" si="7"/>
        <v>2013</v>
      </c>
      <c r="BN143" s="118" t="s">
        <v>534</v>
      </c>
      <c r="BO143" s="118"/>
      <c r="BP143" s="118"/>
      <c r="BQ143" s="135"/>
      <c r="BR143" s="112"/>
      <c r="BS143" s="112"/>
      <c r="BT143" s="112"/>
      <c r="BU143" s="112"/>
      <c r="BV143" s="126"/>
      <c r="BW143" s="11"/>
      <c r="BX143" s="11"/>
      <c r="BY143" s="11"/>
      <c r="BZ143" s="11"/>
      <c r="CA143" s="11"/>
      <c r="CB143" s="11"/>
    </row>
    <row r="144" spans="1:80" x14ac:dyDescent="0.45">
      <c r="A144" s="12">
        <v>2014</v>
      </c>
      <c r="B144" s="1336"/>
      <c r="C144" s="1337"/>
      <c r="D144" s="1335"/>
      <c r="E144" s="1335" t="s">
        <v>100</v>
      </c>
      <c r="F144" s="1335">
        <v>283690.9906583624</v>
      </c>
      <c r="G144" s="125" t="s">
        <v>100</v>
      </c>
      <c r="H144" s="1335">
        <v>106065.88075913517</v>
      </c>
      <c r="I144" s="1335">
        <v>217836.95006090362</v>
      </c>
      <c r="J144" s="1335" t="s">
        <v>100</v>
      </c>
      <c r="K144" s="1335">
        <v>84956.929756357422</v>
      </c>
      <c r="L144" s="1335" t="s">
        <v>100</v>
      </c>
      <c r="M144" s="1335">
        <v>85843.77621388885</v>
      </c>
      <c r="N144" s="1335"/>
      <c r="O144" s="1335" t="s">
        <v>100</v>
      </c>
      <c r="P144" s="1335">
        <v>778394.52744864754</v>
      </c>
      <c r="Q144" s="1261">
        <v>778394.52744864754</v>
      </c>
      <c r="R144" s="1335" t="s">
        <v>100</v>
      </c>
      <c r="S144" s="1335">
        <v>415905.70528372121</v>
      </c>
      <c r="T144" s="1335" t="s">
        <v>100</v>
      </c>
      <c r="U144" s="1335">
        <v>488936.88327674242</v>
      </c>
      <c r="V144" s="1335">
        <v>127907.31385030822</v>
      </c>
      <c r="W144" s="1335"/>
      <c r="X144" s="1335"/>
      <c r="Y144" s="125"/>
      <c r="Z144" s="125"/>
      <c r="AA144" s="1324"/>
      <c r="AB144" s="1324"/>
      <c r="AC144" s="1335"/>
      <c r="AD144" s="124">
        <f t="shared" si="7"/>
        <v>2014</v>
      </c>
      <c r="BN144" s="118" t="s">
        <v>535</v>
      </c>
      <c r="BO144" s="118"/>
      <c r="BP144" s="118"/>
      <c r="BQ144" s="135"/>
      <c r="BR144" s="112"/>
      <c r="BS144" s="112"/>
      <c r="BT144" s="112"/>
      <c r="BU144" s="112"/>
      <c r="BV144" s="126"/>
    </row>
    <row r="145" spans="1:80" x14ac:dyDescent="0.45">
      <c r="A145" s="12">
        <v>2015</v>
      </c>
      <c r="B145" s="1336"/>
      <c r="C145" s="1337"/>
      <c r="D145" s="1335"/>
      <c r="E145" s="1335" t="s">
        <v>100</v>
      </c>
      <c r="F145" s="1335">
        <v>297581.64172281866</v>
      </c>
      <c r="G145" s="125" t="s">
        <v>100</v>
      </c>
      <c r="H145" s="1335">
        <v>103157.81422884835</v>
      </c>
      <c r="I145" s="1335">
        <v>212289.04032194518</v>
      </c>
      <c r="J145" s="1335" t="s">
        <v>100</v>
      </c>
      <c r="K145" s="1335">
        <v>95359.242920466029</v>
      </c>
      <c r="L145" s="1335" t="s">
        <v>100</v>
      </c>
      <c r="M145" s="1335">
        <v>91763.504624804176</v>
      </c>
      <c r="N145" s="1335"/>
      <c r="O145" s="1335" t="s">
        <v>100</v>
      </c>
      <c r="P145" s="1335">
        <v>800151.24381888239</v>
      </c>
      <c r="Q145" s="1261">
        <v>800151.24381888239</v>
      </c>
      <c r="R145" s="1335" t="s">
        <v>100</v>
      </c>
      <c r="S145" s="1335">
        <v>451437.08350120275</v>
      </c>
      <c r="T145" s="1335" t="s">
        <v>100</v>
      </c>
      <c r="U145" s="1335">
        <v>501563.16635121137</v>
      </c>
      <c r="V145" s="1335">
        <v>159516.67155126721</v>
      </c>
      <c r="W145" s="1335"/>
      <c r="X145" s="1335"/>
      <c r="Y145" s="125"/>
      <c r="Z145" s="125"/>
      <c r="AA145" s="1324"/>
      <c r="AB145" s="1261"/>
      <c r="AC145" s="1335"/>
      <c r="AD145" s="124">
        <f t="shared" si="7"/>
        <v>2015</v>
      </c>
      <c r="BN145" s="118" t="s">
        <v>536</v>
      </c>
      <c r="BO145" s="118"/>
      <c r="BP145" s="118"/>
      <c r="BQ145" s="135"/>
      <c r="BR145" s="112"/>
      <c r="BS145" s="112"/>
      <c r="BT145" s="112"/>
      <c r="BU145" s="112"/>
      <c r="BV145" s="126"/>
    </row>
    <row r="146" spans="1:80" x14ac:dyDescent="0.45">
      <c r="A146" s="12">
        <v>2016</v>
      </c>
      <c r="B146" s="1336"/>
      <c r="C146" s="1337"/>
      <c r="D146" s="1335"/>
      <c r="E146" s="1335" t="s">
        <v>100</v>
      </c>
      <c r="F146" s="1335">
        <v>305874.95458435902</v>
      </c>
      <c r="G146" s="125" t="s">
        <v>100</v>
      </c>
      <c r="H146" s="1335">
        <v>105960.85326614317</v>
      </c>
      <c r="I146" s="1335">
        <v>298075.47510639147</v>
      </c>
      <c r="J146" s="1335" t="s">
        <v>100</v>
      </c>
      <c r="K146" s="1335">
        <v>86721.204474543454</v>
      </c>
      <c r="L146" s="1335" t="s">
        <v>100</v>
      </c>
      <c r="M146" s="1335">
        <v>94332.936311611862</v>
      </c>
      <c r="N146" s="1335"/>
      <c r="O146" s="1335" t="s">
        <v>100</v>
      </c>
      <c r="P146" s="1335">
        <v>890965.42374304903</v>
      </c>
      <c r="Q146" s="1261">
        <v>890965.42374304903</v>
      </c>
      <c r="R146" s="1335" t="s">
        <v>100</v>
      </c>
      <c r="S146" s="1335">
        <v>463757.65658277023</v>
      </c>
      <c r="T146" s="1335" t="s">
        <v>100</v>
      </c>
      <c r="U146" s="1335">
        <v>529434.91127444699</v>
      </c>
      <c r="V146" s="1335">
        <v>117043.28907044099</v>
      </c>
      <c r="W146" s="1335"/>
      <c r="X146" s="1335"/>
      <c r="Y146" s="125"/>
      <c r="Z146" s="125"/>
      <c r="AA146" s="1324"/>
      <c r="AB146" s="1324"/>
      <c r="AC146" s="1335"/>
      <c r="AD146" s="124">
        <f t="shared" si="7"/>
        <v>2016</v>
      </c>
      <c r="BN146" s="118" t="s">
        <v>537</v>
      </c>
      <c r="BO146" s="118"/>
      <c r="BP146" s="118"/>
      <c r="BQ146" s="135"/>
      <c r="BR146" s="112"/>
      <c r="BS146" s="112"/>
      <c r="BT146" s="112"/>
      <c r="BU146" s="112"/>
      <c r="BV146" s="126"/>
    </row>
    <row r="147" spans="1:80" x14ac:dyDescent="0.45">
      <c r="A147" s="12">
        <v>2017</v>
      </c>
      <c r="B147" s="1336"/>
      <c r="C147" s="1337"/>
      <c r="D147" s="1335"/>
      <c r="E147" s="1335" t="s">
        <v>100</v>
      </c>
      <c r="F147" s="1335">
        <v>295076.52304104436</v>
      </c>
      <c r="G147" s="125" t="s">
        <v>100</v>
      </c>
      <c r="H147" s="1335">
        <v>108537.92306170525</v>
      </c>
      <c r="I147" s="1335">
        <v>286031.45323530148</v>
      </c>
      <c r="J147" s="1335" t="s">
        <v>100</v>
      </c>
      <c r="K147" s="1335">
        <v>86477.251089882076</v>
      </c>
      <c r="L147" s="1335" t="s">
        <v>100</v>
      </c>
      <c r="M147" s="1335">
        <v>91714.339392320719</v>
      </c>
      <c r="N147" s="1335"/>
      <c r="O147" s="1335" t="s">
        <v>100</v>
      </c>
      <c r="P147" s="1335">
        <v>867837.48982025392</v>
      </c>
      <c r="Q147" s="1261">
        <v>867837.48982025392</v>
      </c>
      <c r="R147" s="1335" t="s">
        <v>100</v>
      </c>
      <c r="S147" s="1335">
        <v>465384.99098382489</v>
      </c>
      <c r="T147" s="1335" t="s">
        <v>100</v>
      </c>
      <c r="U147" s="1335">
        <v>518154.12168320466</v>
      </c>
      <c r="V147" s="1335">
        <v>125564.948379847</v>
      </c>
      <c r="W147" s="1335"/>
      <c r="X147" s="1335"/>
      <c r="Y147" s="125"/>
      <c r="Z147" s="125"/>
      <c r="AA147" s="1324"/>
      <c r="AB147" s="1324"/>
      <c r="AC147" s="1335"/>
      <c r="AD147" s="124">
        <f t="shared" si="7"/>
        <v>2017</v>
      </c>
      <c r="BN147" s="118" t="s">
        <v>538</v>
      </c>
      <c r="BO147" s="118"/>
      <c r="BP147" s="118"/>
      <c r="BS147" s="112"/>
      <c r="BV147" s="1347"/>
    </row>
    <row r="148" spans="1:80" x14ac:dyDescent="0.45">
      <c r="A148" s="12">
        <v>2018</v>
      </c>
      <c r="B148" s="1336"/>
      <c r="C148" s="1337"/>
      <c r="D148" s="1335"/>
      <c r="E148" s="1335" t="s">
        <v>100</v>
      </c>
      <c r="F148" s="1335">
        <v>309170.32795238006</v>
      </c>
      <c r="G148" s="125" t="s">
        <v>100</v>
      </c>
      <c r="H148" s="1335">
        <v>110535.20131163689</v>
      </c>
      <c r="I148" s="1335">
        <v>273397.56142487167</v>
      </c>
      <c r="J148" s="1335" t="s">
        <v>100</v>
      </c>
      <c r="K148" s="1335">
        <v>86282.030775375737</v>
      </c>
      <c r="L148" s="1335" t="s">
        <v>100</v>
      </c>
      <c r="M148" s="1335">
        <v>94661.612778126306</v>
      </c>
      <c r="N148" s="1335"/>
      <c r="O148" s="1335" t="s">
        <v>100</v>
      </c>
      <c r="P148" s="1335">
        <v>874046.73424239072</v>
      </c>
      <c r="Q148" s="1261">
        <v>874046.73424239072</v>
      </c>
      <c r="R148" s="1335" t="s">
        <v>100</v>
      </c>
      <c r="S148" s="1335">
        <v>450212.16742074181</v>
      </c>
      <c r="T148" s="1335" t="s">
        <v>100</v>
      </c>
      <c r="U148" s="1335">
        <v>517877.11084195465</v>
      </c>
      <c r="V148" s="1335">
        <v>83685.899114092404</v>
      </c>
      <c r="W148" s="1335"/>
      <c r="X148" s="1335"/>
      <c r="Y148" s="125"/>
      <c r="Z148" s="125"/>
      <c r="AA148" s="1324"/>
      <c r="AB148" s="1324"/>
      <c r="AC148" s="1335"/>
      <c r="AD148" s="124">
        <f t="shared" si="7"/>
        <v>2018</v>
      </c>
      <c r="BN148" s="118" t="s">
        <v>539</v>
      </c>
      <c r="BO148" s="118"/>
      <c r="BP148" s="118"/>
      <c r="BV148" s="1347"/>
    </row>
    <row r="149" spans="1:80" x14ac:dyDescent="0.45">
      <c r="A149" s="12"/>
      <c r="B149" s="112"/>
      <c r="C149" s="125"/>
      <c r="D149" s="125"/>
      <c r="E149" s="125"/>
      <c r="F149" s="125"/>
      <c r="G149" s="125"/>
      <c r="H149" s="125"/>
      <c r="I149" s="125"/>
      <c r="J149" s="125"/>
      <c r="K149" s="125"/>
      <c r="L149" s="125"/>
      <c r="M149" s="125"/>
      <c r="N149" s="125"/>
      <c r="O149" s="125"/>
      <c r="P149" s="125"/>
      <c r="Q149" s="126"/>
      <c r="R149" s="125"/>
      <c r="S149" s="125"/>
      <c r="T149" s="125"/>
      <c r="U149" s="125"/>
      <c r="V149" s="125"/>
      <c r="W149" s="125"/>
      <c r="X149" s="125"/>
      <c r="Y149" s="125"/>
      <c r="Z149" s="125"/>
      <c r="AA149" s="125"/>
      <c r="AB149" s="126"/>
      <c r="AC149" s="125"/>
      <c r="AD149" s="12"/>
      <c r="BN149" s="118" t="s">
        <v>540</v>
      </c>
      <c r="BO149" s="118"/>
      <c r="BP149" s="118"/>
      <c r="BQ149" s="118"/>
      <c r="BR149" s="118"/>
      <c r="BT149" s="118"/>
      <c r="BU149" s="118"/>
      <c r="BV149" s="1347"/>
    </row>
    <row r="150" spans="1:80" s="127" customFormat="1" x14ac:dyDescent="0.45">
      <c r="A150" s="1338" t="s">
        <v>250</v>
      </c>
      <c r="B150" s="129"/>
      <c r="C150" s="129"/>
      <c r="D150" s="129"/>
      <c r="E150" s="129"/>
      <c r="F150" s="129"/>
      <c r="G150" s="129"/>
      <c r="H150" s="129"/>
      <c r="I150" s="129"/>
      <c r="J150" s="129"/>
      <c r="K150" s="129"/>
      <c r="L150" s="129"/>
      <c r="M150" s="129"/>
      <c r="N150" s="129"/>
      <c r="O150" s="129"/>
      <c r="P150" s="129"/>
      <c r="Q150" s="129"/>
      <c r="R150" s="129"/>
      <c r="S150" s="129"/>
      <c r="T150" s="125"/>
      <c r="U150" s="129"/>
      <c r="V150" s="129"/>
      <c r="W150" s="125"/>
      <c r="X150" s="129"/>
      <c r="Y150" s="129"/>
      <c r="BN150" s="118" t="s">
        <v>541</v>
      </c>
      <c r="BO150" s="118"/>
      <c r="BP150" s="118"/>
      <c r="BQ150" s="118"/>
      <c r="BR150" s="118"/>
      <c r="BS150" s="118"/>
      <c r="BT150" s="118"/>
      <c r="BU150" s="118"/>
      <c r="BV150" s="1347"/>
      <c r="BW150" s="11"/>
      <c r="BX150" s="11"/>
      <c r="BY150" s="11"/>
      <c r="BZ150" s="11"/>
      <c r="CA150" s="11"/>
      <c r="CB150" s="11"/>
    </row>
    <row r="151" spans="1:80" s="127" customFormat="1" x14ac:dyDescent="0.45">
      <c r="A151" s="128" t="s">
        <v>282</v>
      </c>
      <c r="B151" s="129"/>
      <c r="C151" s="129"/>
      <c r="D151" s="129"/>
      <c r="E151" s="129"/>
      <c r="F151" s="129"/>
      <c r="G151" s="129"/>
      <c r="H151" s="1339" t="s">
        <v>283</v>
      </c>
      <c r="I151" s="129"/>
      <c r="J151" s="129"/>
      <c r="K151" s="129"/>
      <c r="L151" s="129"/>
      <c r="M151" s="129"/>
      <c r="N151" s="129"/>
      <c r="O151" s="129"/>
      <c r="P151" s="129"/>
      <c r="Q151" s="129"/>
      <c r="R151" s="129"/>
      <c r="S151" s="129"/>
      <c r="T151" s="129"/>
      <c r="U151" s="129"/>
      <c r="V151" s="129"/>
      <c r="W151" s="129"/>
      <c r="X151" s="129"/>
      <c r="Y151" s="129"/>
      <c r="BN151" s="118" t="s">
        <v>542</v>
      </c>
      <c r="BO151" s="118"/>
      <c r="BP151" s="118"/>
      <c r="BQ151" s="118"/>
      <c r="BR151" s="118"/>
      <c r="BS151" s="118"/>
      <c r="BT151" s="118"/>
      <c r="BU151" s="118"/>
      <c r="BV151" s="1347"/>
      <c r="BW151" s="11"/>
      <c r="BX151" s="11"/>
      <c r="BY151" s="11"/>
      <c r="BZ151" s="11"/>
      <c r="CA151" s="11"/>
      <c r="CB151" s="11"/>
    </row>
    <row r="152" spans="1:80" s="127" customFormat="1" x14ac:dyDescent="0.45">
      <c r="A152" s="128" t="s">
        <v>284</v>
      </c>
      <c r="B152" s="129"/>
      <c r="C152" s="129"/>
      <c r="D152" s="129"/>
      <c r="E152" s="129"/>
      <c r="F152" s="129"/>
      <c r="G152" s="129"/>
      <c r="H152" s="1339" t="s">
        <v>285</v>
      </c>
      <c r="I152" s="129"/>
      <c r="J152" s="129"/>
      <c r="K152" s="129"/>
      <c r="L152" s="129"/>
      <c r="M152" s="129"/>
      <c r="N152" s="129"/>
      <c r="O152" s="129"/>
      <c r="P152" s="129"/>
      <c r="Q152" s="129"/>
      <c r="R152" s="129"/>
      <c r="S152" s="129"/>
      <c r="T152" s="129"/>
      <c r="U152" s="129"/>
      <c r="V152" s="129"/>
      <c r="W152" s="129"/>
      <c r="X152" s="129"/>
      <c r="Y152" s="129"/>
      <c r="BN152" s="118" t="s">
        <v>543</v>
      </c>
      <c r="BO152" s="118"/>
      <c r="BP152" s="118"/>
      <c r="BQ152" s="118"/>
      <c r="BR152" s="118"/>
      <c r="BS152" s="118"/>
      <c r="BT152" s="118"/>
      <c r="BU152" s="118"/>
      <c r="BV152" s="1347"/>
      <c r="BW152" s="11"/>
      <c r="BX152" s="11"/>
      <c r="BY152" s="11"/>
      <c r="BZ152" s="11"/>
      <c r="CA152" s="11"/>
      <c r="CB152" s="11"/>
    </row>
    <row r="153" spans="1:80" s="127" customFormat="1" x14ac:dyDescent="0.45">
      <c r="A153" s="128" t="s">
        <v>286</v>
      </c>
      <c r="B153" s="129"/>
      <c r="C153" s="129"/>
      <c r="D153" s="129"/>
      <c r="E153" s="129"/>
      <c r="F153" s="129"/>
      <c r="G153" s="1340"/>
      <c r="H153" s="1339" t="s">
        <v>287</v>
      </c>
      <c r="I153" s="129"/>
      <c r="J153" s="129"/>
      <c r="K153" s="129"/>
      <c r="L153" s="129"/>
      <c r="M153" s="129"/>
      <c r="N153" s="129"/>
      <c r="O153" s="129"/>
      <c r="P153" s="129"/>
      <c r="Q153" s="129"/>
      <c r="R153" s="129"/>
      <c r="S153" s="129"/>
      <c r="T153" s="129"/>
      <c r="U153" s="129"/>
      <c r="V153" s="129"/>
      <c r="W153" s="129"/>
      <c r="X153" s="129"/>
      <c r="Y153" s="129"/>
      <c r="BN153" s="118" t="s">
        <v>544</v>
      </c>
      <c r="BO153" s="118"/>
      <c r="BP153" s="118"/>
      <c r="BQ153" s="118"/>
      <c r="BR153" s="118"/>
      <c r="BS153" s="118"/>
      <c r="BT153" s="118"/>
      <c r="BU153" s="118"/>
      <c r="BV153" s="1347"/>
      <c r="BW153" s="11"/>
      <c r="BX153" s="11"/>
      <c r="BY153" s="11"/>
      <c r="BZ153" s="11"/>
      <c r="CA153" s="11"/>
      <c r="CB153" s="11"/>
    </row>
    <row r="154" spans="1:80" s="127" customFormat="1" x14ac:dyDescent="0.45">
      <c r="A154" s="128" t="s">
        <v>288</v>
      </c>
      <c r="B154" s="129"/>
      <c r="C154" s="129"/>
      <c r="D154" s="129"/>
      <c r="E154" s="129"/>
      <c r="F154" s="129"/>
      <c r="G154" s="1340"/>
      <c r="H154" s="129"/>
      <c r="I154" s="129"/>
      <c r="J154" s="129"/>
      <c r="K154" s="129"/>
      <c r="L154" s="129"/>
      <c r="M154" s="129"/>
      <c r="N154" s="129"/>
      <c r="O154" s="129"/>
      <c r="P154" s="129"/>
      <c r="Q154" s="129"/>
      <c r="R154" s="129"/>
      <c r="S154" s="129"/>
      <c r="T154" s="129"/>
      <c r="U154" s="129"/>
      <c r="V154" s="129"/>
      <c r="W154" s="129"/>
      <c r="X154" s="129"/>
      <c r="Y154" s="129"/>
      <c r="BN154" s="118" t="s">
        <v>545</v>
      </c>
      <c r="BO154" s="118"/>
      <c r="BP154" s="118"/>
      <c r="BQ154" s="118"/>
      <c r="BR154" s="118"/>
      <c r="BS154" s="118"/>
      <c r="BT154" s="118"/>
      <c r="BU154" s="118"/>
      <c r="BV154" s="1347"/>
      <c r="BW154" s="11"/>
      <c r="BX154" s="11"/>
      <c r="BY154" s="11"/>
      <c r="BZ154" s="11"/>
      <c r="CA154" s="11"/>
      <c r="CB154" s="11"/>
    </row>
    <row r="155" spans="1:80" s="127" customFormat="1" x14ac:dyDescent="0.45">
      <c r="A155" s="128" t="s">
        <v>289</v>
      </c>
      <c r="B155" s="129"/>
      <c r="C155" s="129"/>
      <c r="D155" s="129"/>
      <c r="E155" s="129"/>
      <c r="F155" s="129"/>
      <c r="G155" s="1340"/>
      <c r="H155" s="1339" t="s">
        <v>290</v>
      </c>
      <c r="I155" s="129"/>
      <c r="J155" s="129"/>
      <c r="K155" s="129"/>
      <c r="L155" s="129"/>
      <c r="M155" s="129"/>
      <c r="N155" s="129"/>
      <c r="O155" s="129"/>
      <c r="P155" s="129"/>
      <c r="Q155" s="129"/>
      <c r="R155" s="129"/>
      <c r="S155" s="129"/>
      <c r="T155" s="129"/>
      <c r="U155" s="129"/>
      <c r="V155" s="129"/>
      <c r="W155" s="129"/>
      <c r="X155" s="129"/>
      <c r="Y155" s="129"/>
      <c r="BN155" s="118" t="s">
        <v>546</v>
      </c>
      <c r="BO155" s="118"/>
      <c r="BP155" s="118"/>
      <c r="BQ155" s="118"/>
      <c r="BR155" s="118"/>
      <c r="BS155" s="118"/>
      <c r="BT155" s="118"/>
      <c r="BU155" s="118"/>
      <c r="BV155" s="1347"/>
      <c r="BW155" s="11"/>
      <c r="BX155" s="11"/>
      <c r="BY155" s="11"/>
      <c r="BZ155" s="11"/>
      <c r="CA155" s="11"/>
      <c r="CB155" s="11"/>
    </row>
    <row r="156" spans="1:80" s="127" customFormat="1" x14ac:dyDescent="0.45">
      <c r="A156" s="128" t="s">
        <v>291</v>
      </c>
      <c r="B156" s="129"/>
      <c r="C156" s="129"/>
      <c r="D156" s="129"/>
      <c r="E156" s="129"/>
      <c r="F156" s="129"/>
      <c r="G156" s="1341"/>
      <c r="H156" s="129"/>
      <c r="I156" s="129"/>
      <c r="J156" s="129"/>
      <c r="K156" s="129"/>
      <c r="L156" s="129"/>
      <c r="M156" s="129"/>
      <c r="N156" s="129"/>
      <c r="O156" s="129"/>
      <c r="P156" s="129"/>
      <c r="Q156" s="129"/>
      <c r="R156" s="129"/>
      <c r="S156" s="129"/>
      <c r="T156" s="129"/>
      <c r="U156" s="129"/>
      <c r="V156" s="129"/>
      <c r="W156" s="129"/>
      <c r="X156" s="129"/>
      <c r="Y156" s="129"/>
      <c r="BN156" s="118" t="s">
        <v>547</v>
      </c>
      <c r="BO156" s="118"/>
      <c r="BP156" s="118"/>
      <c r="BQ156" s="118"/>
      <c r="BR156" s="118"/>
      <c r="BS156" s="118"/>
      <c r="BT156" s="118"/>
      <c r="BU156" s="118"/>
      <c r="BV156" s="1347"/>
      <c r="BW156" s="11"/>
      <c r="BX156" s="11"/>
      <c r="BY156" s="11"/>
      <c r="BZ156" s="11"/>
      <c r="CA156" s="11"/>
      <c r="CB156" s="11"/>
    </row>
    <row r="157" spans="1:80" s="127" customFormat="1" x14ac:dyDescent="0.45">
      <c r="A157" s="128" t="s">
        <v>292</v>
      </c>
      <c r="B157" s="129"/>
      <c r="C157" s="129"/>
      <c r="D157" s="129"/>
      <c r="E157" s="129"/>
      <c r="F157" s="129"/>
      <c r="G157" s="129"/>
      <c r="H157" s="1339" t="s">
        <v>293</v>
      </c>
      <c r="I157" s="129"/>
      <c r="J157" s="129"/>
      <c r="K157" s="129"/>
      <c r="L157" s="129"/>
      <c r="M157" s="125"/>
      <c r="N157" s="129"/>
      <c r="O157" s="129"/>
      <c r="P157" s="129"/>
      <c r="Q157" s="129"/>
      <c r="R157" s="129"/>
      <c r="S157" s="129"/>
      <c r="T157" s="129"/>
      <c r="U157" s="129"/>
      <c r="V157" s="129"/>
      <c r="W157" s="129"/>
      <c r="X157" s="129"/>
      <c r="Y157" s="129"/>
      <c r="Z157" s="1342"/>
      <c r="BN157" s="118" t="s">
        <v>548</v>
      </c>
      <c r="BO157" s="118"/>
      <c r="BP157" s="118"/>
      <c r="BQ157" s="118"/>
      <c r="BR157" s="118"/>
      <c r="BS157" s="118"/>
      <c r="BT157" s="118"/>
      <c r="BU157" s="118"/>
      <c r="BV157" s="1347"/>
      <c r="BW157" s="11"/>
      <c r="BX157" s="11"/>
      <c r="BY157" s="11"/>
      <c r="BZ157" s="11"/>
      <c r="CA157" s="11"/>
      <c r="CB157" s="11"/>
    </row>
    <row r="158" spans="1:80" s="127" customFormat="1" x14ac:dyDescent="0.45">
      <c r="A158" s="128" t="s">
        <v>294</v>
      </c>
      <c r="B158" s="129"/>
      <c r="C158" s="129"/>
      <c r="D158" s="129"/>
      <c r="E158" s="129"/>
      <c r="F158" s="129"/>
      <c r="G158" s="129"/>
      <c r="H158" s="129"/>
      <c r="I158" s="129"/>
      <c r="J158" s="129"/>
      <c r="K158" s="1343"/>
      <c r="L158" s="129"/>
      <c r="M158" s="125"/>
      <c r="N158" s="129"/>
      <c r="O158" s="129"/>
      <c r="P158" s="129"/>
      <c r="Q158" s="129"/>
      <c r="R158" s="129"/>
      <c r="S158" s="1344"/>
      <c r="T158" s="1344"/>
      <c r="U158" s="129"/>
      <c r="V158" s="129"/>
      <c r="W158" s="129"/>
      <c r="X158" s="129"/>
      <c r="Y158" s="129"/>
      <c r="Z158" s="1342"/>
      <c r="BN158" s="118" t="s">
        <v>549</v>
      </c>
      <c r="BO158" s="118"/>
      <c r="BP158" s="118"/>
      <c r="BQ158" s="118"/>
      <c r="BR158" s="118"/>
      <c r="BS158" s="118"/>
      <c r="BT158" s="118"/>
      <c r="BU158" s="118"/>
      <c r="BV158" s="1347"/>
      <c r="BW158" s="11"/>
      <c r="BX158" s="11"/>
      <c r="BY158" s="11"/>
      <c r="BZ158" s="11"/>
      <c r="CA158" s="11"/>
      <c r="CB158" s="11"/>
    </row>
    <row r="159" spans="1:80" s="127" customFormat="1" x14ac:dyDescent="0.45">
      <c r="A159" s="128" t="s">
        <v>295</v>
      </c>
      <c r="B159" s="129"/>
      <c r="C159" s="129"/>
      <c r="D159" s="129"/>
      <c r="E159" s="129"/>
      <c r="F159" s="129"/>
      <c r="G159" s="129"/>
      <c r="H159" s="1345" t="s">
        <v>296</v>
      </c>
      <c r="I159" s="129"/>
      <c r="J159" s="129"/>
      <c r="K159" s="1343"/>
      <c r="L159" s="129"/>
      <c r="M159" s="125"/>
      <c r="N159" s="129"/>
      <c r="O159" s="129"/>
      <c r="P159" s="129"/>
      <c r="Q159" s="129"/>
      <c r="R159" s="129"/>
      <c r="S159" s="1344"/>
      <c r="T159" s="1344"/>
      <c r="U159" s="129"/>
      <c r="V159" s="129"/>
      <c r="W159" s="129"/>
      <c r="X159" s="129"/>
      <c r="Y159" s="129"/>
      <c r="BN159" s="118" t="s">
        <v>550</v>
      </c>
      <c r="BO159" s="118"/>
      <c r="BP159" s="118"/>
      <c r="BQ159" s="118"/>
      <c r="BR159" s="118"/>
      <c r="BS159" s="118"/>
      <c r="BT159" s="118"/>
      <c r="BU159" s="118"/>
      <c r="BV159" s="1347"/>
      <c r="BW159" s="11"/>
      <c r="BX159" s="11"/>
      <c r="BY159" s="11"/>
      <c r="BZ159" s="11"/>
      <c r="CA159" s="11"/>
      <c r="CB159" s="11"/>
    </row>
    <row r="160" spans="1:80" s="127" customFormat="1" x14ac:dyDescent="0.45">
      <c r="A160" s="128" t="s">
        <v>297</v>
      </c>
      <c r="B160" s="129"/>
      <c r="C160" s="129"/>
      <c r="D160" s="129"/>
      <c r="E160" s="129"/>
      <c r="F160" s="129"/>
      <c r="G160" s="129"/>
      <c r="H160" s="1345" t="s">
        <v>298</v>
      </c>
      <c r="I160" s="129"/>
      <c r="J160" s="129"/>
      <c r="K160" s="1343"/>
      <c r="L160" s="129"/>
      <c r="M160" s="125"/>
      <c r="N160" s="129"/>
      <c r="O160" s="129"/>
      <c r="P160" s="129"/>
      <c r="Q160" s="129"/>
      <c r="R160" s="129"/>
      <c r="S160" s="1344"/>
      <c r="T160" s="1344"/>
      <c r="U160" s="129"/>
      <c r="V160" s="129"/>
      <c r="W160" s="129"/>
      <c r="X160" s="129"/>
      <c r="Y160" s="129"/>
      <c r="BN160" s="118" t="s">
        <v>551</v>
      </c>
      <c r="BO160" s="118"/>
      <c r="BP160" s="118"/>
      <c r="BQ160" s="118"/>
      <c r="BR160" s="118"/>
      <c r="BS160" s="118"/>
      <c r="BT160" s="118"/>
      <c r="BU160" s="118"/>
      <c r="BV160" s="1347"/>
      <c r="BW160" s="11"/>
      <c r="BX160" s="11"/>
      <c r="BY160" s="11"/>
      <c r="BZ160" s="11"/>
      <c r="CA160" s="11"/>
      <c r="CB160" s="11"/>
    </row>
    <row r="161" spans="1:80" s="127" customFormat="1" x14ac:dyDescent="0.45">
      <c r="A161" s="128" t="s">
        <v>299</v>
      </c>
      <c r="B161" s="128"/>
      <c r="C161" s="128"/>
      <c r="D161" s="128"/>
      <c r="E161" s="128"/>
      <c r="F161" s="128"/>
      <c r="G161" s="129"/>
      <c r="H161" s="1345" t="s">
        <v>300</v>
      </c>
      <c r="I161" s="129"/>
      <c r="J161" s="129"/>
      <c r="K161" s="1343"/>
      <c r="L161" s="129"/>
      <c r="M161" s="125"/>
      <c r="N161" s="129"/>
      <c r="O161" s="129"/>
      <c r="P161" s="129"/>
      <c r="Q161" s="129"/>
      <c r="R161" s="129"/>
      <c r="S161" s="1344"/>
      <c r="T161" s="1344"/>
      <c r="U161" s="129"/>
      <c r="V161" s="129"/>
      <c r="W161" s="129"/>
      <c r="X161" s="129"/>
      <c r="Y161" s="129"/>
      <c r="BN161" s="118" t="s">
        <v>552</v>
      </c>
      <c r="BO161" s="118"/>
      <c r="BP161" s="118"/>
      <c r="BQ161" s="118"/>
      <c r="BR161" s="118"/>
      <c r="BS161" s="118"/>
      <c r="BT161" s="118"/>
      <c r="BU161" s="118"/>
      <c r="BV161" s="1347"/>
      <c r="BW161" s="11"/>
      <c r="BX161" s="11"/>
      <c r="BY161" s="11"/>
      <c r="BZ161" s="11"/>
      <c r="CA161" s="11"/>
      <c r="CB161" s="11"/>
    </row>
    <row r="162" spans="1:80" s="127" customFormat="1" x14ac:dyDescent="0.45">
      <c r="A162" s="128" t="s">
        <v>301</v>
      </c>
      <c r="B162" s="128"/>
      <c r="C162" s="128"/>
      <c r="D162" s="128"/>
      <c r="E162" s="128"/>
      <c r="F162" s="128"/>
      <c r="G162" s="129"/>
      <c r="H162" s="1345" t="s">
        <v>302</v>
      </c>
      <c r="I162" s="129"/>
      <c r="J162" s="129"/>
      <c r="K162" s="1343"/>
      <c r="L162" s="129"/>
      <c r="M162" s="125"/>
      <c r="N162" s="129"/>
      <c r="O162" s="129"/>
      <c r="P162" s="129"/>
      <c r="Q162" s="129"/>
      <c r="R162" s="129"/>
      <c r="S162" s="1344"/>
      <c r="T162" s="1344"/>
      <c r="U162" s="129"/>
      <c r="V162" s="129"/>
      <c r="W162" s="129"/>
      <c r="X162" s="129"/>
      <c r="Y162" s="129"/>
      <c r="BN162" s="118" t="s">
        <v>553</v>
      </c>
      <c r="BO162" s="118"/>
      <c r="BP162" s="118"/>
      <c r="BQ162" s="118"/>
      <c r="BR162" s="118"/>
      <c r="BS162" s="118"/>
      <c r="BT162" s="118"/>
      <c r="BU162" s="118"/>
      <c r="BV162" s="1347"/>
      <c r="BW162" s="11"/>
      <c r="BX162" s="11"/>
      <c r="BY162" s="11"/>
      <c r="BZ162" s="11"/>
      <c r="CA162" s="11"/>
      <c r="CB162" s="11"/>
    </row>
    <row r="163" spans="1:80" s="127" customFormat="1" x14ac:dyDescent="0.45">
      <c r="A163" s="128" t="s">
        <v>303</v>
      </c>
      <c r="B163" s="128"/>
      <c r="C163" s="128"/>
      <c r="D163" s="128"/>
      <c r="E163" s="128"/>
      <c r="F163" s="128"/>
      <c r="G163" s="129"/>
      <c r="H163" s="129"/>
      <c r="I163" s="129"/>
      <c r="J163" s="129"/>
      <c r="K163" s="1343"/>
      <c r="L163" s="129"/>
      <c r="M163" s="125"/>
      <c r="N163" s="129"/>
      <c r="O163" s="129"/>
      <c r="P163" s="129"/>
      <c r="Q163" s="129"/>
      <c r="R163" s="129"/>
      <c r="S163" s="1344"/>
      <c r="T163" s="1344"/>
      <c r="U163" s="129"/>
      <c r="V163" s="129"/>
      <c r="W163" s="129"/>
      <c r="X163" s="129"/>
      <c r="Y163" s="129"/>
      <c r="BN163" s="118" t="s">
        <v>554</v>
      </c>
      <c r="BO163" s="118"/>
      <c r="BP163" s="118"/>
      <c r="BQ163" s="118"/>
      <c r="BR163" s="118"/>
      <c r="BS163" s="118"/>
      <c r="BT163" s="118"/>
      <c r="BU163" s="118"/>
      <c r="BV163" s="1347"/>
      <c r="BW163" s="11"/>
      <c r="BX163" s="11"/>
      <c r="BY163" s="11"/>
      <c r="BZ163" s="11"/>
      <c r="CA163" s="11"/>
      <c r="CB163" s="11"/>
    </row>
    <row r="164" spans="1:80" s="127" customFormat="1" x14ac:dyDescent="0.45">
      <c r="A164" s="128" t="s">
        <v>304</v>
      </c>
      <c r="B164" s="128"/>
      <c r="C164" s="128"/>
      <c r="D164" s="128"/>
      <c r="E164" s="128"/>
      <c r="F164" s="128"/>
      <c r="G164" s="129"/>
      <c r="H164" s="1345" t="s">
        <v>305</v>
      </c>
      <c r="I164" s="129"/>
      <c r="J164" s="129"/>
      <c r="K164" s="1343"/>
      <c r="L164" s="129"/>
      <c r="M164" s="125"/>
      <c r="N164" s="129"/>
      <c r="O164" s="129"/>
      <c r="P164" s="129"/>
      <c r="Q164" s="129"/>
      <c r="R164" s="129"/>
      <c r="S164" s="1344"/>
      <c r="T164" s="1344"/>
      <c r="U164" s="129"/>
      <c r="V164" s="129"/>
      <c r="W164" s="129"/>
      <c r="X164" s="129"/>
      <c r="Y164" s="129"/>
      <c r="BN164" s="118" t="s">
        <v>555</v>
      </c>
      <c r="BO164" s="118"/>
      <c r="BP164" s="118"/>
      <c r="BQ164" s="118"/>
      <c r="BR164" s="118"/>
      <c r="BS164" s="118"/>
      <c r="BT164" s="118"/>
      <c r="BU164" s="118"/>
      <c r="BV164" s="1347"/>
      <c r="BW164" s="11"/>
      <c r="BX164" s="11"/>
      <c r="BY164" s="11"/>
      <c r="BZ164" s="11"/>
      <c r="CA164" s="11"/>
      <c r="CB164" s="11"/>
    </row>
    <row r="165" spans="1:80" s="127" customFormat="1" x14ac:dyDescent="0.45">
      <c r="A165" s="128" t="s">
        <v>306</v>
      </c>
      <c r="B165" s="128"/>
      <c r="C165" s="128"/>
      <c r="D165" s="128"/>
      <c r="E165" s="128"/>
      <c r="F165" s="128"/>
      <c r="G165" s="129"/>
      <c r="H165" s="1343"/>
      <c r="I165" s="129"/>
      <c r="J165" s="129"/>
      <c r="K165" s="1343"/>
      <c r="L165" s="129"/>
      <c r="M165" s="125"/>
      <c r="N165" s="129"/>
      <c r="O165" s="129"/>
      <c r="P165" s="129"/>
      <c r="Q165" s="129"/>
      <c r="R165" s="129"/>
      <c r="S165" s="1344"/>
      <c r="T165" s="1344"/>
      <c r="U165" s="129"/>
      <c r="V165" s="129"/>
      <c r="W165" s="129"/>
      <c r="X165" s="129"/>
      <c r="Y165" s="129"/>
      <c r="BN165" s="118" t="s">
        <v>556</v>
      </c>
      <c r="BO165" s="118"/>
      <c r="BP165" s="118"/>
      <c r="BQ165" s="118"/>
      <c r="BR165" s="118"/>
      <c r="BS165" s="118"/>
      <c r="BT165" s="118"/>
      <c r="BU165" s="118"/>
      <c r="BV165" s="1347"/>
      <c r="BW165" s="11"/>
      <c r="BX165" s="11"/>
      <c r="BY165" s="11"/>
      <c r="BZ165" s="11"/>
      <c r="CA165" s="11"/>
      <c r="CB165" s="11"/>
    </row>
    <row r="166" spans="1:80" s="127" customFormat="1" x14ac:dyDescent="0.45">
      <c r="A166" s="128" t="s">
        <v>307</v>
      </c>
      <c r="B166" s="128"/>
      <c r="C166" s="128"/>
      <c r="D166" s="128"/>
      <c r="E166" s="128"/>
      <c r="F166" s="128"/>
      <c r="G166" s="129"/>
      <c r="H166" s="1343"/>
      <c r="I166" s="129"/>
      <c r="J166" s="129"/>
      <c r="K166" s="1343"/>
      <c r="L166" s="129"/>
      <c r="M166" s="125"/>
      <c r="N166" s="129"/>
      <c r="O166" s="129"/>
      <c r="P166" s="129"/>
      <c r="Q166" s="129"/>
      <c r="R166" s="129"/>
      <c r="S166" s="1344"/>
      <c r="T166" s="1344"/>
      <c r="U166" s="129"/>
      <c r="V166" s="129"/>
      <c r="W166" s="129"/>
      <c r="X166" s="129"/>
      <c r="Y166" s="129"/>
      <c r="BN166" s="118" t="s">
        <v>557</v>
      </c>
      <c r="BO166" s="118"/>
      <c r="BP166" s="118"/>
      <c r="BQ166" s="118"/>
      <c r="BR166" s="118"/>
      <c r="BS166" s="118"/>
      <c r="BT166" s="118"/>
      <c r="BU166" s="118"/>
      <c r="BV166" s="1347"/>
      <c r="BW166" s="11"/>
      <c r="BX166" s="11"/>
      <c r="BY166" s="11"/>
      <c r="BZ166" s="11"/>
      <c r="CA166" s="11"/>
      <c r="CB166" s="11"/>
    </row>
    <row r="167" spans="1:80" s="127" customFormat="1" x14ac:dyDescent="0.45">
      <c r="A167" s="128" t="s">
        <v>308</v>
      </c>
      <c r="B167" s="128"/>
      <c r="C167" s="128"/>
      <c r="D167" s="128"/>
      <c r="E167" s="128"/>
      <c r="F167" s="128"/>
      <c r="G167" s="129"/>
      <c r="H167" s="130"/>
      <c r="I167" s="129"/>
      <c r="J167" s="129"/>
      <c r="K167" s="1343"/>
      <c r="L167" s="129"/>
      <c r="M167" s="129"/>
      <c r="N167" s="129"/>
      <c r="O167" s="129"/>
      <c r="P167" s="129"/>
      <c r="Q167" s="129"/>
      <c r="R167" s="129"/>
      <c r="S167" s="1344"/>
      <c r="T167" s="1344"/>
      <c r="U167" s="129"/>
      <c r="V167" s="129"/>
      <c r="W167" s="129"/>
      <c r="X167" s="129"/>
      <c r="Y167" s="129"/>
      <c r="BN167" s="118" t="s">
        <v>558</v>
      </c>
      <c r="BO167" s="118"/>
      <c r="BP167" s="118"/>
      <c r="BQ167" s="118"/>
      <c r="BR167" s="118"/>
      <c r="BS167" s="118"/>
      <c r="BT167" s="118"/>
      <c r="BU167" s="118"/>
      <c r="BV167" s="1347"/>
      <c r="BW167" s="11"/>
      <c r="BX167" s="11"/>
      <c r="BY167" s="11"/>
      <c r="BZ167" s="11"/>
      <c r="CA167" s="11"/>
      <c r="CB167" s="11"/>
    </row>
    <row r="168" spans="1:80" s="127" customFormat="1" x14ac:dyDescent="0.45">
      <c r="A168" s="128" t="s">
        <v>309</v>
      </c>
      <c r="B168" s="128"/>
      <c r="C168" s="128"/>
      <c r="D168" s="128"/>
      <c r="E168" s="128"/>
      <c r="F168" s="128"/>
      <c r="G168" s="129"/>
      <c r="H168" s="1343"/>
      <c r="I168" s="129"/>
      <c r="J168" s="129"/>
      <c r="K168" s="1343"/>
      <c r="L168" s="129"/>
      <c r="M168" s="129"/>
      <c r="N168" s="129"/>
      <c r="O168" s="129"/>
      <c r="P168" s="129"/>
      <c r="Q168" s="129"/>
      <c r="R168" s="129"/>
      <c r="S168" s="1344"/>
      <c r="T168" s="1344"/>
      <c r="U168" s="129"/>
      <c r="V168" s="129"/>
      <c r="W168" s="129"/>
      <c r="X168" s="129"/>
      <c r="Y168" s="129"/>
      <c r="BN168" s="118" t="s">
        <v>559</v>
      </c>
      <c r="BO168" s="118"/>
      <c r="BP168" s="118"/>
      <c r="BQ168" s="118"/>
      <c r="BR168" s="118"/>
      <c r="BS168" s="118"/>
      <c r="BT168" s="118"/>
      <c r="BU168" s="118"/>
      <c r="BV168" s="1347"/>
      <c r="BW168" s="11"/>
      <c r="BX168" s="11"/>
      <c r="BY168" s="11"/>
      <c r="BZ168" s="11"/>
      <c r="CA168" s="11"/>
      <c r="CB168" s="11"/>
    </row>
    <row r="169" spans="1:80" s="127" customFormat="1" x14ac:dyDescent="0.45">
      <c r="A169" s="128" t="s">
        <v>310</v>
      </c>
      <c r="B169" s="128"/>
      <c r="C169" s="128"/>
      <c r="D169" s="128"/>
      <c r="E169" s="128"/>
      <c r="F169" s="128"/>
      <c r="G169" s="129"/>
      <c r="H169" s="1343"/>
      <c r="I169" s="129"/>
      <c r="J169" s="129"/>
      <c r="K169" s="1343"/>
      <c r="L169" s="129"/>
      <c r="M169" s="129"/>
      <c r="N169" s="129"/>
      <c r="O169" s="129"/>
      <c r="P169" s="129"/>
      <c r="Q169" s="129"/>
      <c r="R169" s="129"/>
      <c r="S169" s="1344"/>
      <c r="T169" s="1344"/>
      <c r="U169" s="129"/>
      <c r="V169" s="129"/>
      <c r="W169" s="129"/>
      <c r="X169" s="129"/>
      <c r="Y169" s="129"/>
      <c r="BN169" s="118" t="s">
        <v>560</v>
      </c>
      <c r="BO169" s="118"/>
      <c r="BP169" s="118"/>
      <c r="BQ169" s="118"/>
      <c r="BR169" s="118"/>
      <c r="BS169" s="118"/>
      <c r="BT169" s="118"/>
      <c r="BU169" s="118"/>
      <c r="BV169" s="1347"/>
      <c r="BW169" s="11"/>
      <c r="BX169" s="11"/>
      <c r="BY169" s="11"/>
      <c r="BZ169" s="11"/>
      <c r="CA169" s="11"/>
      <c r="CB169" s="11"/>
    </row>
    <row r="170" spans="1:80" s="127" customFormat="1" x14ac:dyDescent="0.45">
      <c r="A170" s="128" t="s">
        <v>311</v>
      </c>
      <c r="B170" s="128"/>
      <c r="C170" s="128"/>
      <c r="D170" s="128"/>
      <c r="E170" s="128"/>
      <c r="F170" s="128"/>
      <c r="G170" s="129"/>
      <c r="H170" s="1343"/>
      <c r="I170" s="129"/>
      <c r="J170" s="129"/>
      <c r="K170" s="1343"/>
      <c r="L170" s="129"/>
      <c r="M170" s="129"/>
      <c r="N170" s="129"/>
      <c r="O170" s="129"/>
      <c r="P170" s="129"/>
      <c r="Q170" s="129"/>
      <c r="R170" s="129"/>
      <c r="S170" s="1344"/>
      <c r="T170" s="1344"/>
      <c r="U170" s="129"/>
      <c r="V170" s="129"/>
      <c r="W170" s="129"/>
      <c r="X170" s="129"/>
      <c r="Y170" s="129"/>
      <c r="BN170" s="118" t="s">
        <v>561</v>
      </c>
      <c r="BO170" s="118"/>
      <c r="BP170" s="118"/>
      <c r="BQ170" s="118"/>
      <c r="BR170" s="118"/>
      <c r="BS170" s="118"/>
      <c r="BT170" s="118"/>
      <c r="BU170" s="118"/>
      <c r="BV170" s="1347"/>
      <c r="BW170" s="11"/>
      <c r="BX170" s="11"/>
      <c r="BY170" s="11"/>
      <c r="BZ170" s="11"/>
      <c r="CA170" s="11"/>
      <c r="CB170" s="11"/>
    </row>
    <row r="171" spans="1:80" s="127" customFormat="1" x14ac:dyDescent="0.45">
      <c r="A171" s="128" t="s">
        <v>312</v>
      </c>
      <c r="B171" s="128"/>
      <c r="C171" s="128"/>
      <c r="D171" s="128"/>
      <c r="E171" s="128"/>
      <c r="F171" s="128"/>
      <c r="G171" s="129"/>
      <c r="H171" s="1343"/>
      <c r="I171" s="129"/>
      <c r="J171" s="129"/>
      <c r="K171" s="1343"/>
      <c r="L171" s="129"/>
      <c r="M171" s="129"/>
      <c r="N171" s="129"/>
      <c r="O171" s="129"/>
      <c r="P171" s="129"/>
      <c r="Q171" s="129"/>
      <c r="R171" s="129"/>
      <c r="S171" s="1344"/>
      <c r="T171" s="1344"/>
      <c r="U171" s="129"/>
      <c r="V171" s="129"/>
      <c r="W171" s="129"/>
      <c r="X171" s="129"/>
      <c r="Y171" s="129"/>
      <c r="BN171" s="118" t="s">
        <v>562</v>
      </c>
      <c r="BO171" s="118"/>
      <c r="BP171" s="118"/>
      <c r="BQ171" s="118"/>
      <c r="BR171" s="118"/>
      <c r="BS171" s="118"/>
      <c r="BT171" s="118"/>
      <c r="BU171" s="118"/>
      <c r="BV171" s="1347"/>
      <c r="BW171" s="11"/>
      <c r="BX171" s="11"/>
      <c r="BY171" s="11"/>
      <c r="BZ171" s="11"/>
      <c r="CA171" s="11"/>
      <c r="CB171" s="11"/>
    </row>
    <row r="172" spans="1:80" s="127" customFormat="1" x14ac:dyDescent="0.45">
      <c r="A172" s="128" t="s">
        <v>313</v>
      </c>
      <c r="B172" s="128"/>
      <c r="C172" s="128"/>
      <c r="D172" s="128"/>
      <c r="E172" s="128"/>
      <c r="F172" s="128"/>
      <c r="G172" s="129"/>
      <c r="H172" s="1343"/>
      <c r="I172" s="129"/>
      <c r="J172" s="129"/>
      <c r="K172" s="1343"/>
      <c r="L172" s="129"/>
      <c r="M172" s="129"/>
      <c r="N172" s="129"/>
      <c r="O172" s="129"/>
      <c r="P172" s="129"/>
      <c r="Q172" s="129"/>
      <c r="R172" s="129"/>
      <c r="S172" s="1344"/>
      <c r="T172" s="1344"/>
      <c r="U172" s="129"/>
      <c r="V172" s="129"/>
      <c r="W172" s="129"/>
      <c r="X172" s="129"/>
      <c r="Y172" s="129"/>
      <c r="BN172" s="118" t="s">
        <v>563</v>
      </c>
      <c r="BO172" s="118"/>
      <c r="BP172" s="118"/>
      <c r="BQ172" s="118"/>
      <c r="BR172" s="118"/>
      <c r="BS172" s="118"/>
      <c r="BT172" s="118"/>
      <c r="BU172" s="118"/>
      <c r="BV172" s="1347"/>
      <c r="BW172" s="11"/>
      <c r="BX172" s="11"/>
      <c r="BY172" s="11"/>
      <c r="BZ172" s="11"/>
      <c r="CA172" s="11"/>
      <c r="CB172" s="11"/>
    </row>
    <row r="173" spans="1:80" s="127" customFormat="1" x14ac:dyDescent="0.45">
      <c r="A173" s="128" t="s">
        <v>314</v>
      </c>
      <c r="B173" s="128"/>
      <c r="C173" s="128"/>
      <c r="D173" s="128"/>
      <c r="E173" s="128"/>
      <c r="F173" s="128"/>
      <c r="G173" s="129"/>
      <c r="H173" s="1343"/>
      <c r="I173" s="129"/>
      <c r="J173" s="129"/>
      <c r="K173" s="1343"/>
      <c r="L173" s="129"/>
      <c r="M173" s="129"/>
      <c r="N173" s="129"/>
      <c r="O173" s="129"/>
      <c r="P173" s="129"/>
      <c r="Q173" s="129"/>
      <c r="R173" s="129"/>
      <c r="S173" s="1344"/>
      <c r="T173" s="1344"/>
      <c r="U173" s="129"/>
      <c r="V173" s="129"/>
      <c r="W173" s="129"/>
      <c r="X173" s="129"/>
      <c r="Y173" s="129"/>
      <c r="BN173" s="118" t="s">
        <v>564</v>
      </c>
      <c r="BO173" s="118"/>
      <c r="BP173" s="118"/>
      <c r="BQ173" s="118"/>
      <c r="BR173" s="118"/>
      <c r="BS173" s="118"/>
      <c r="BT173" s="118"/>
      <c r="BU173" s="118"/>
      <c r="BV173" s="1347"/>
      <c r="BW173" s="11"/>
      <c r="BX173" s="11"/>
      <c r="BY173" s="11"/>
      <c r="BZ173" s="11"/>
      <c r="CA173" s="11"/>
      <c r="CB173" s="11"/>
    </row>
    <row r="174" spans="1:80" s="127" customFormat="1" x14ac:dyDescent="0.45">
      <c r="A174" s="128" t="s">
        <v>315</v>
      </c>
      <c r="B174" s="128"/>
      <c r="C174" s="128"/>
      <c r="D174" s="128"/>
      <c r="E174" s="128"/>
      <c r="F174" s="128"/>
      <c r="G174" s="129"/>
      <c r="H174" s="1343"/>
      <c r="I174" s="129"/>
      <c r="J174" s="129"/>
      <c r="K174" s="1343"/>
      <c r="L174" s="129"/>
      <c r="M174" s="129"/>
      <c r="N174" s="129"/>
      <c r="O174" s="129"/>
      <c r="P174" s="129"/>
      <c r="Q174" s="129"/>
      <c r="R174" s="129"/>
      <c r="S174" s="1344"/>
      <c r="T174" s="1344"/>
      <c r="U174" s="129"/>
      <c r="V174" s="129"/>
      <c r="W174" s="129"/>
      <c r="X174" s="129"/>
      <c r="Y174" s="129"/>
      <c r="BN174" s="118" t="s">
        <v>565</v>
      </c>
      <c r="BO174" s="118"/>
      <c r="BP174" s="118"/>
      <c r="BQ174" s="118"/>
      <c r="BR174" s="118"/>
      <c r="BS174" s="118"/>
      <c r="BT174" s="118"/>
      <c r="BU174" s="118"/>
      <c r="BV174" s="1347"/>
      <c r="BW174" s="11"/>
      <c r="BX174" s="11"/>
      <c r="BY174" s="11"/>
      <c r="BZ174" s="11"/>
      <c r="CA174" s="11"/>
      <c r="CB174" s="11"/>
    </row>
    <row r="175" spans="1:80" s="127" customFormat="1" x14ac:dyDescent="0.45">
      <c r="A175" s="128" t="s">
        <v>316</v>
      </c>
      <c r="B175" s="128"/>
      <c r="C175" s="128"/>
      <c r="D175" s="128"/>
      <c r="E175" s="128"/>
      <c r="F175" s="128"/>
      <c r="G175" s="129"/>
      <c r="H175" s="1343"/>
      <c r="I175" s="129"/>
      <c r="J175" s="129"/>
      <c r="K175" s="1343"/>
      <c r="L175" s="129"/>
      <c r="M175" s="129"/>
      <c r="N175" s="129"/>
      <c r="O175" s="129"/>
      <c r="P175" s="129"/>
      <c r="Q175" s="129"/>
      <c r="R175" s="129"/>
      <c r="S175" s="1344"/>
      <c r="T175" s="1344"/>
      <c r="U175" s="129"/>
      <c r="V175" s="129"/>
      <c r="W175" s="129"/>
      <c r="X175" s="129"/>
      <c r="Y175" s="129"/>
      <c r="BN175" s="118" t="s">
        <v>566</v>
      </c>
      <c r="BO175" s="118"/>
      <c r="BP175" s="118"/>
      <c r="BQ175" s="118"/>
      <c r="BR175" s="118"/>
      <c r="BS175" s="118"/>
      <c r="BT175" s="118"/>
      <c r="BU175" s="118"/>
      <c r="BV175" s="1347"/>
      <c r="BW175" s="11"/>
      <c r="BX175" s="11"/>
      <c r="BY175" s="11"/>
      <c r="BZ175" s="11"/>
      <c r="CA175" s="11"/>
      <c r="CB175" s="11"/>
    </row>
    <row r="176" spans="1:80" s="127" customFormat="1" x14ac:dyDescent="0.45">
      <c r="A176" s="128" t="s">
        <v>317</v>
      </c>
      <c r="B176" s="128"/>
      <c r="C176" s="128"/>
      <c r="D176" s="128"/>
      <c r="E176" s="128"/>
      <c r="F176" s="128"/>
      <c r="G176" s="129"/>
      <c r="H176" s="129"/>
      <c r="I176" s="129"/>
      <c r="J176" s="129"/>
      <c r="K176" s="1343"/>
      <c r="L176" s="1343"/>
      <c r="M176" s="129"/>
      <c r="N176" s="129"/>
      <c r="O176" s="129"/>
      <c r="P176" s="129"/>
      <c r="Q176" s="129"/>
      <c r="R176" s="129"/>
      <c r="S176" s="1344"/>
      <c r="T176" s="1344"/>
      <c r="U176" s="129"/>
      <c r="V176" s="129"/>
      <c r="W176" s="129"/>
      <c r="X176" s="129"/>
      <c r="Y176" s="129"/>
      <c r="BN176" s="118" t="s">
        <v>567</v>
      </c>
      <c r="BO176" s="118"/>
      <c r="BP176" s="118"/>
      <c r="BQ176" s="118"/>
      <c r="BR176" s="118"/>
      <c r="BS176" s="118"/>
      <c r="BT176" s="118"/>
      <c r="BU176" s="118"/>
      <c r="BV176" s="1347"/>
      <c r="BW176" s="11"/>
      <c r="BX176" s="11"/>
      <c r="BY176" s="11"/>
      <c r="BZ176" s="11"/>
      <c r="CA176" s="11"/>
      <c r="CB176" s="11"/>
    </row>
    <row r="177" spans="1:80" s="127" customFormat="1" x14ac:dyDescent="0.45">
      <c r="A177" s="128" t="s">
        <v>318</v>
      </c>
      <c r="B177" s="128"/>
      <c r="C177" s="128"/>
      <c r="D177" s="128"/>
      <c r="E177" s="128"/>
      <c r="F177" s="128"/>
      <c r="G177" s="129"/>
      <c r="H177" s="129"/>
      <c r="I177" s="129"/>
      <c r="J177" s="129"/>
      <c r="K177" s="1343"/>
      <c r="L177" s="129"/>
      <c r="M177" s="129"/>
      <c r="N177" s="129"/>
      <c r="O177" s="129"/>
      <c r="P177" s="129"/>
      <c r="Q177" s="129"/>
      <c r="R177" s="129"/>
      <c r="S177" s="1344"/>
      <c r="T177" s="1344"/>
      <c r="U177" s="129"/>
      <c r="V177" s="129"/>
      <c r="W177" s="129"/>
      <c r="X177" s="129"/>
      <c r="Y177" s="129"/>
      <c r="BN177" s="118" t="s">
        <v>568</v>
      </c>
      <c r="BO177" s="118"/>
      <c r="BP177" s="118"/>
      <c r="BQ177" s="118"/>
      <c r="BR177" s="118"/>
      <c r="BS177" s="118"/>
      <c r="BT177" s="118"/>
      <c r="BU177" s="118"/>
      <c r="BV177" s="1347"/>
      <c r="BW177" s="11"/>
      <c r="BX177" s="11"/>
      <c r="BY177" s="11"/>
      <c r="BZ177" s="11"/>
      <c r="CA177" s="11"/>
      <c r="CB177" s="11"/>
    </row>
    <row r="178" spans="1:80" s="127" customFormat="1" x14ac:dyDescent="0.45">
      <c r="A178" s="128" t="s">
        <v>319</v>
      </c>
      <c r="B178" s="129"/>
      <c r="C178" s="129"/>
      <c r="D178" s="129"/>
      <c r="E178" s="129"/>
      <c r="F178" s="129"/>
      <c r="G178" s="129"/>
      <c r="H178" s="129"/>
      <c r="I178" s="129"/>
      <c r="J178" s="129"/>
      <c r="K178" s="1343"/>
      <c r="L178" s="129"/>
      <c r="M178" s="129"/>
      <c r="N178" s="129"/>
      <c r="O178" s="129"/>
      <c r="P178" s="129"/>
      <c r="Q178" s="129"/>
      <c r="R178" s="129"/>
      <c r="S178" s="1344"/>
      <c r="T178" s="1344"/>
      <c r="U178" s="129"/>
      <c r="V178" s="129"/>
      <c r="W178" s="129"/>
      <c r="X178" s="129"/>
      <c r="Y178" s="129"/>
      <c r="BN178" s="118" t="s">
        <v>569</v>
      </c>
      <c r="BO178" s="118"/>
      <c r="BP178" s="118"/>
      <c r="BQ178" s="118"/>
      <c r="BR178" s="118"/>
      <c r="BS178" s="118"/>
      <c r="BT178" s="118"/>
      <c r="BU178" s="118"/>
      <c r="BV178" s="1347"/>
      <c r="BW178" s="11"/>
      <c r="BX178" s="11"/>
      <c r="BY178" s="11"/>
      <c r="BZ178" s="11"/>
      <c r="CA178" s="11"/>
      <c r="CB178" s="11"/>
    </row>
    <row r="179" spans="1:80" s="127" customFormat="1" x14ac:dyDescent="0.45">
      <c r="A179" s="128" t="s">
        <v>320</v>
      </c>
      <c r="B179" s="128"/>
      <c r="C179" s="128"/>
      <c r="D179" s="128"/>
      <c r="E179" s="128"/>
      <c r="F179" s="128"/>
      <c r="G179" s="1343"/>
      <c r="H179" s="129"/>
      <c r="I179" s="1343"/>
      <c r="J179" s="129"/>
      <c r="K179" s="129"/>
      <c r="L179" s="129"/>
      <c r="M179" s="129"/>
      <c r="N179" s="129"/>
      <c r="O179" s="129"/>
      <c r="P179" s="129"/>
      <c r="Q179" s="129"/>
      <c r="R179" s="129"/>
      <c r="S179" s="1344"/>
      <c r="T179" s="1344"/>
      <c r="U179" s="129"/>
      <c r="V179" s="129"/>
      <c r="W179" s="129"/>
      <c r="X179" s="129"/>
      <c r="Y179" s="129"/>
      <c r="BN179" s="118" t="s">
        <v>570</v>
      </c>
      <c r="BO179" s="118"/>
      <c r="BP179" s="118"/>
      <c r="BQ179" s="118"/>
      <c r="BR179" s="118"/>
      <c r="BS179" s="118"/>
      <c r="BT179" s="118"/>
      <c r="BU179" s="118"/>
      <c r="BV179" s="1347"/>
      <c r="BW179" s="11"/>
      <c r="BX179" s="11"/>
      <c r="BY179" s="11"/>
      <c r="BZ179" s="11"/>
      <c r="CA179" s="11"/>
      <c r="CB179" s="11"/>
    </row>
    <row r="180" spans="1:80" s="127" customFormat="1" x14ac:dyDescent="0.45">
      <c r="A180" s="128" t="s">
        <v>321</v>
      </c>
      <c r="B180" s="128"/>
      <c r="C180" s="128"/>
      <c r="D180" s="128"/>
      <c r="E180" s="128"/>
      <c r="F180" s="128"/>
      <c r="G180" s="129"/>
      <c r="H180" s="129"/>
      <c r="I180" s="1343"/>
      <c r="J180" s="129"/>
      <c r="K180" s="129"/>
      <c r="L180" s="129"/>
      <c r="M180" s="129"/>
      <c r="N180" s="129"/>
      <c r="O180" s="129"/>
      <c r="P180" s="129"/>
      <c r="Q180" s="129"/>
      <c r="R180" s="129"/>
      <c r="S180" s="1344"/>
      <c r="T180" s="1344"/>
      <c r="U180" s="129"/>
      <c r="V180" s="129"/>
      <c r="W180" s="129"/>
      <c r="X180" s="129"/>
      <c r="Y180" s="129"/>
      <c r="BN180" s="118" t="s">
        <v>571</v>
      </c>
      <c r="BO180" s="118"/>
      <c r="BP180" s="118"/>
      <c r="BQ180" s="118"/>
      <c r="BR180" s="118"/>
      <c r="BS180" s="118"/>
      <c r="BT180" s="118"/>
      <c r="BU180" s="118"/>
      <c r="BV180" s="1347"/>
      <c r="BW180" s="11"/>
      <c r="BX180" s="11"/>
      <c r="BY180" s="11"/>
      <c r="BZ180" s="11"/>
      <c r="CA180" s="11"/>
      <c r="CB180" s="11"/>
    </row>
    <row r="181" spans="1:80" s="127" customFormat="1" x14ac:dyDescent="0.45">
      <c r="A181" s="128" t="s">
        <v>322</v>
      </c>
      <c r="B181" s="128"/>
      <c r="C181" s="128"/>
      <c r="D181" s="128"/>
      <c r="E181" s="128"/>
      <c r="F181" s="128"/>
      <c r="G181" s="129"/>
      <c r="H181" s="129"/>
      <c r="I181" s="1343"/>
      <c r="J181" s="129"/>
      <c r="K181" s="129"/>
      <c r="L181" s="129"/>
      <c r="M181" s="129"/>
      <c r="N181" s="129"/>
      <c r="O181" s="129"/>
      <c r="P181" s="129"/>
      <c r="Q181" s="129"/>
      <c r="R181" s="129"/>
      <c r="S181" s="1344"/>
      <c r="T181" s="1344"/>
      <c r="U181" s="129"/>
      <c r="V181" s="129"/>
      <c r="W181" s="129"/>
      <c r="X181" s="129"/>
      <c r="Y181" s="129"/>
      <c r="BN181" s="118" t="s">
        <v>572</v>
      </c>
      <c r="BO181" s="118"/>
      <c r="BP181" s="118"/>
      <c r="BQ181" s="118"/>
      <c r="BR181" s="118"/>
      <c r="BS181" s="118"/>
      <c r="BT181" s="118"/>
      <c r="BU181" s="118"/>
      <c r="BV181" s="1347"/>
      <c r="BW181" s="11"/>
      <c r="BX181" s="11"/>
      <c r="BY181" s="11"/>
      <c r="BZ181" s="11"/>
      <c r="CA181" s="11"/>
      <c r="CB181" s="11"/>
    </row>
    <row r="182" spans="1:80" s="127" customFormat="1" x14ac:dyDescent="0.45">
      <c r="A182" s="128" t="s">
        <v>323</v>
      </c>
      <c r="B182" s="128"/>
      <c r="C182" s="128"/>
      <c r="D182" s="128"/>
      <c r="E182" s="128"/>
      <c r="F182" s="128"/>
      <c r="G182" s="129"/>
      <c r="H182" s="129"/>
      <c r="I182" s="129"/>
      <c r="J182" s="129"/>
      <c r="K182" s="129"/>
      <c r="L182" s="129"/>
      <c r="M182" s="129"/>
      <c r="N182" s="129"/>
      <c r="O182" s="129"/>
      <c r="P182" s="129"/>
      <c r="Q182" s="129"/>
      <c r="R182" s="129"/>
      <c r="S182" s="1344"/>
      <c r="T182" s="1344"/>
      <c r="U182" s="129"/>
      <c r="V182" s="129"/>
      <c r="W182" s="129"/>
      <c r="X182" s="129"/>
      <c r="Y182" s="129"/>
      <c r="BN182" s="118" t="s">
        <v>573</v>
      </c>
      <c r="BO182" s="118"/>
      <c r="BP182" s="118"/>
      <c r="BQ182" s="118"/>
      <c r="BR182" s="118"/>
      <c r="BS182" s="118"/>
      <c r="BT182" s="118"/>
      <c r="BU182" s="118"/>
      <c r="BV182" s="1347"/>
      <c r="BW182" s="11"/>
      <c r="BX182" s="11"/>
      <c r="BY182" s="11"/>
      <c r="BZ182" s="11"/>
      <c r="CA182" s="11"/>
      <c r="CB182" s="11"/>
    </row>
    <row r="183" spans="1:80" s="127" customFormat="1" x14ac:dyDescent="0.45">
      <c r="A183" s="128" t="s">
        <v>324</v>
      </c>
      <c r="B183" s="128"/>
      <c r="C183" s="128"/>
      <c r="D183" s="128"/>
      <c r="E183" s="128"/>
      <c r="F183" s="128"/>
      <c r="G183" s="129"/>
      <c r="H183" s="129"/>
      <c r="I183" s="129"/>
      <c r="J183" s="129"/>
      <c r="K183" s="129"/>
      <c r="L183" s="129"/>
      <c r="M183" s="129"/>
      <c r="N183" s="129"/>
      <c r="O183" s="129"/>
      <c r="P183" s="129"/>
      <c r="Q183" s="129"/>
      <c r="R183" s="129"/>
      <c r="S183" s="1344"/>
      <c r="T183" s="1344"/>
      <c r="U183" s="129"/>
      <c r="V183" s="129"/>
      <c r="W183" s="129"/>
      <c r="X183" s="129"/>
      <c r="Y183" s="129"/>
      <c r="BN183" s="118" t="s">
        <v>574</v>
      </c>
      <c r="BO183" s="118"/>
      <c r="BP183" s="118"/>
      <c r="BQ183" s="118"/>
      <c r="BR183" s="118"/>
      <c r="BS183" s="118"/>
      <c r="BT183" s="118"/>
      <c r="BU183" s="118"/>
      <c r="BV183" s="1347"/>
      <c r="BW183" s="11"/>
      <c r="BX183" s="11"/>
      <c r="BY183" s="11"/>
      <c r="BZ183" s="11"/>
      <c r="CA183" s="11"/>
      <c r="CB183" s="11"/>
    </row>
    <row r="184" spans="1:80" s="127" customFormat="1" x14ac:dyDescent="0.45">
      <c r="A184" s="128" t="s">
        <v>325</v>
      </c>
      <c r="B184" s="128"/>
      <c r="C184" s="128"/>
      <c r="D184" s="128"/>
      <c r="E184" s="128"/>
      <c r="F184" s="128"/>
      <c r="G184" s="129"/>
      <c r="H184" s="129"/>
      <c r="I184" s="129"/>
      <c r="J184" s="129"/>
      <c r="K184" s="129"/>
      <c r="L184" s="129"/>
      <c r="M184" s="129"/>
      <c r="N184" s="129"/>
      <c r="O184" s="129"/>
      <c r="P184" s="129"/>
      <c r="Q184" s="129"/>
      <c r="R184" s="129"/>
      <c r="S184" s="1344"/>
      <c r="T184" s="1344"/>
      <c r="U184" s="129"/>
      <c r="V184" s="129"/>
      <c r="W184" s="129"/>
      <c r="X184" s="129"/>
      <c r="Y184" s="129"/>
      <c r="BN184" s="118" t="s">
        <v>575</v>
      </c>
      <c r="BO184" s="118"/>
      <c r="BP184" s="118"/>
      <c r="BQ184" s="118"/>
      <c r="BR184" s="118"/>
      <c r="BS184" s="118"/>
      <c r="BT184" s="118"/>
      <c r="BU184" s="118"/>
      <c r="BV184" s="1347"/>
      <c r="BW184" s="11"/>
      <c r="BX184" s="11"/>
      <c r="BY184" s="11"/>
      <c r="BZ184" s="11"/>
      <c r="CA184" s="11"/>
      <c r="CB184" s="11"/>
    </row>
    <row r="185" spans="1:80" s="127" customFormat="1" x14ac:dyDescent="0.45">
      <c r="A185" s="128" t="s">
        <v>326</v>
      </c>
      <c r="B185" s="128"/>
      <c r="C185" s="128"/>
      <c r="D185" s="128"/>
      <c r="E185" s="128"/>
      <c r="F185" s="128"/>
      <c r="G185" s="129"/>
      <c r="H185" s="129"/>
      <c r="I185" s="129"/>
      <c r="J185" s="129"/>
      <c r="K185" s="129"/>
      <c r="L185" s="129"/>
      <c r="M185" s="129"/>
      <c r="N185" s="129"/>
      <c r="O185" s="129"/>
      <c r="P185" s="129"/>
      <c r="Q185" s="129"/>
      <c r="R185" s="129"/>
      <c r="S185" s="129"/>
      <c r="T185" s="129"/>
      <c r="U185" s="129"/>
      <c r="V185" s="129"/>
      <c r="W185" s="129"/>
      <c r="X185" s="129"/>
      <c r="Y185" s="129"/>
      <c r="BN185" s="118" t="s">
        <v>576</v>
      </c>
      <c r="BO185" s="118"/>
      <c r="BP185" s="118"/>
      <c r="BQ185" s="118"/>
      <c r="BR185" s="118"/>
      <c r="BS185" s="118"/>
      <c r="BT185" s="118"/>
      <c r="BU185" s="118"/>
      <c r="BV185" s="1347"/>
      <c r="BW185" s="11"/>
      <c r="BX185" s="11"/>
      <c r="BY185" s="11"/>
      <c r="BZ185" s="11"/>
      <c r="CA185" s="11"/>
      <c r="CB185" s="11"/>
    </row>
    <row r="186" spans="1:80" s="127" customFormat="1" x14ac:dyDescent="0.45">
      <c r="A186" s="128" t="s">
        <v>327</v>
      </c>
      <c r="B186" s="128"/>
      <c r="C186" s="128"/>
      <c r="D186" s="128"/>
      <c r="E186" s="128"/>
      <c r="F186" s="128"/>
      <c r="G186" s="129"/>
      <c r="H186" s="129"/>
      <c r="I186" s="129"/>
      <c r="J186" s="129"/>
      <c r="K186" s="129"/>
      <c r="L186" s="129"/>
      <c r="M186" s="129"/>
      <c r="N186" s="129"/>
      <c r="O186" s="129"/>
      <c r="P186" s="129"/>
      <c r="Q186" s="129"/>
      <c r="R186" s="129"/>
      <c r="S186" s="1344"/>
      <c r="T186" s="1344"/>
      <c r="U186" s="129"/>
      <c r="V186" s="129"/>
      <c r="W186" s="129"/>
      <c r="X186" s="129"/>
      <c r="Y186" s="129"/>
      <c r="BN186" s="118" t="s">
        <v>577</v>
      </c>
      <c r="BO186" s="118"/>
      <c r="BP186" s="118"/>
      <c r="BQ186" s="118"/>
      <c r="BR186" s="118"/>
      <c r="BS186" s="118"/>
      <c r="BT186" s="118"/>
      <c r="BU186" s="118"/>
      <c r="BV186" s="1347"/>
      <c r="BW186" s="11"/>
      <c r="BX186" s="11"/>
      <c r="BY186" s="11"/>
      <c r="BZ186" s="11"/>
      <c r="CA186" s="11"/>
      <c r="CB186" s="11"/>
    </row>
    <row r="187" spans="1:80" s="127" customFormat="1" x14ac:dyDescent="0.45">
      <c r="A187" s="128" t="s">
        <v>328</v>
      </c>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BN187" s="118" t="s">
        <v>578</v>
      </c>
      <c r="BO187" s="118"/>
      <c r="BP187" s="118"/>
      <c r="BQ187" s="118"/>
      <c r="BR187" s="118"/>
      <c r="BS187" s="118"/>
      <c r="BT187" s="118"/>
      <c r="BU187" s="118"/>
      <c r="BV187" s="1347"/>
      <c r="BW187" s="11"/>
      <c r="BX187" s="11"/>
      <c r="BY187" s="11"/>
      <c r="BZ187" s="11"/>
      <c r="CA187" s="11"/>
      <c r="CB187" s="11"/>
    </row>
    <row r="188" spans="1:80" s="127" customFormat="1" x14ac:dyDescent="0.45">
      <c r="A188" s="128" t="s">
        <v>329</v>
      </c>
      <c r="B188" s="128"/>
      <c r="C188" s="128"/>
      <c r="D188" s="128"/>
      <c r="E188" s="128"/>
      <c r="F188" s="128"/>
      <c r="G188" s="129"/>
      <c r="H188" s="129"/>
      <c r="I188" s="129"/>
      <c r="J188" s="129"/>
      <c r="K188" s="129"/>
      <c r="L188" s="129"/>
      <c r="M188" s="129"/>
      <c r="N188" s="129"/>
      <c r="O188" s="129"/>
      <c r="P188" s="129"/>
      <c r="Q188" s="129"/>
      <c r="R188" s="129"/>
      <c r="S188" s="1344"/>
      <c r="T188" s="1344"/>
      <c r="U188" s="129"/>
      <c r="V188" s="129"/>
      <c r="W188" s="129"/>
      <c r="X188" s="129"/>
      <c r="Y188" s="129"/>
      <c r="BN188" s="118" t="s">
        <v>579</v>
      </c>
      <c r="BO188" s="118"/>
      <c r="BP188" s="118"/>
      <c r="BQ188" s="118"/>
      <c r="BR188" s="118"/>
      <c r="BS188" s="118"/>
      <c r="BT188" s="118"/>
      <c r="BU188" s="118"/>
      <c r="BV188" s="1347"/>
      <c r="BW188" s="11"/>
      <c r="BX188" s="11"/>
      <c r="BY188" s="11"/>
      <c r="BZ188" s="11"/>
      <c r="CA188" s="11"/>
      <c r="CB188" s="11"/>
    </row>
    <row r="189" spans="1:80" s="127" customFormat="1" x14ac:dyDescent="0.45">
      <c r="A189" s="128" t="s">
        <v>330</v>
      </c>
      <c r="B189" s="128"/>
      <c r="C189" s="128"/>
      <c r="D189" s="128"/>
      <c r="E189" s="128"/>
      <c r="F189" s="128"/>
      <c r="G189" s="129"/>
      <c r="H189" s="129"/>
      <c r="I189" s="129"/>
      <c r="J189" s="129"/>
      <c r="K189" s="129"/>
      <c r="L189" s="129"/>
      <c r="M189" s="129"/>
      <c r="N189" s="129"/>
      <c r="O189" s="129"/>
      <c r="P189" s="129"/>
      <c r="Q189" s="129"/>
      <c r="R189" s="129"/>
      <c r="S189" s="129"/>
      <c r="T189" s="129"/>
      <c r="U189" s="129"/>
      <c r="V189" s="129"/>
      <c r="W189" s="129"/>
      <c r="X189" s="129"/>
      <c r="Y189" s="129"/>
      <c r="BN189" s="118" t="s">
        <v>580</v>
      </c>
      <c r="BO189" s="11"/>
      <c r="BP189" s="11"/>
      <c r="BQ189" s="11"/>
      <c r="BR189" s="11"/>
      <c r="BS189" s="118"/>
      <c r="BT189" s="11"/>
      <c r="BU189" s="11"/>
      <c r="BV189" s="1347"/>
      <c r="BW189" s="11"/>
      <c r="BX189" s="11"/>
      <c r="BY189" s="11"/>
      <c r="BZ189" s="11"/>
      <c r="CA189" s="11"/>
      <c r="CB189" s="11"/>
    </row>
    <row r="190" spans="1:80" s="127" customFormat="1" x14ac:dyDescent="0.45">
      <c r="A190" s="128" t="s">
        <v>331</v>
      </c>
      <c r="B190" s="128"/>
      <c r="C190" s="128"/>
      <c r="D190" s="128"/>
      <c r="E190" s="128"/>
      <c r="F190" s="128"/>
      <c r="G190" s="129"/>
      <c r="H190" s="129"/>
      <c r="I190" s="129"/>
      <c r="J190" s="129"/>
      <c r="K190" s="129"/>
      <c r="L190" s="129"/>
      <c r="M190" s="129"/>
      <c r="N190" s="129"/>
      <c r="O190" s="129"/>
      <c r="P190" s="129"/>
      <c r="Q190" s="129"/>
      <c r="R190" s="129"/>
      <c r="S190" s="1344"/>
      <c r="T190" s="1344"/>
      <c r="U190" s="129"/>
      <c r="V190" s="129"/>
      <c r="W190" s="129"/>
      <c r="X190" s="129"/>
      <c r="Y190" s="129"/>
      <c r="BN190" s="118" t="s">
        <v>581</v>
      </c>
      <c r="BO190" s="118"/>
      <c r="BP190" s="118"/>
      <c r="BQ190" s="11"/>
      <c r="BR190" s="11"/>
      <c r="BS190" s="11"/>
      <c r="BT190" s="11"/>
      <c r="BU190" s="11"/>
      <c r="BV190" s="1347"/>
      <c r="BW190" s="11"/>
      <c r="BX190" s="11"/>
      <c r="BY190" s="11"/>
      <c r="BZ190" s="11"/>
      <c r="CA190" s="11"/>
      <c r="CB190" s="11"/>
    </row>
    <row r="191" spans="1:80" s="127" customFormat="1" x14ac:dyDescent="0.45">
      <c r="A191" s="128" t="s">
        <v>332</v>
      </c>
      <c r="B191" s="128"/>
      <c r="C191" s="128"/>
      <c r="D191" s="128"/>
      <c r="E191" s="128"/>
      <c r="F191" s="128"/>
      <c r="G191" s="129"/>
      <c r="H191" s="129"/>
      <c r="I191" s="129"/>
      <c r="J191" s="129"/>
      <c r="K191" s="129"/>
      <c r="L191" s="129"/>
      <c r="M191" s="129"/>
      <c r="N191" s="129"/>
      <c r="O191" s="129"/>
      <c r="P191" s="129"/>
      <c r="Q191" s="129"/>
      <c r="R191" s="129"/>
      <c r="S191" s="129"/>
      <c r="T191" s="129"/>
      <c r="U191" s="129"/>
      <c r="V191" s="129"/>
      <c r="W191" s="129"/>
      <c r="X191" s="129"/>
      <c r="Y191" s="129"/>
      <c r="BN191" s="118" t="s">
        <v>582</v>
      </c>
      <c r="BO191" s="118"/>
      <c r="BP191" s="118"/>
      <c r="BQ191" s="11"/>
      <c r="BR191" s="11"/>
      <c r="BS191" s="11"/>
      <c r="BT191" s="11"/>
      <c r="BU191" s="11"/>
      <c r="BV191" s="1347"/>
      <c r="BW191" s="11"/>
      <c r="BX191" s="11"/>
      <c r="BY191" s="11"/>
      <c r="BZ191" s="11"/>
      <c r="CA191" s="11"/>
      <c r="CB191" s="11"/>
    </row>
    <row r="192" spans="1:80" s="127" customFormat="1" x14ac:dyDescent="0.45">
      <c r="A192" s="128" t="s">
        <v>333</v>
      </c>
      <c r="B192" s="128"/>
      <c r="C192" s="128"/>
      <c r="D192" s="128"/>
      <c r="E192" s="128"/>
      <c r="F192" s="128"/>
      <c r="G192" s="129"/>
      <c r="H192" s="129"/>
      <c r="I192" s="129"/>
      <c r="J192" s="129"/>
      <c r="K192" s="129"/>
      <c r="L192" s="129"/>
      <c r="M192" s="129"/>
      <c r="N192" s="129"/>
      <c r="O192" s="129"/>
      <c r="P192" s="129"/>
      <c r="Q192" s="129"/>
      <c r="R192" s="129"/>
      <c r="S192" s="1344"/>
      <c r="T192" s="1344"/>
      <c r="U192" s="129"/>
      <c r="V192" s="129"/>
      <c r="W192" s="129"/>
      <c r="X192" s="129"/>
      <c r="Y192" s="129"/>
      <c r="BN192" s="118" t="s">
        <v>583</v>
      </c>
      <c r="BO192" s="118"/>
      <c r="BP192" s="118"/>
      <c r="BQ192" s="11"/>
      <c r="BR192" s="11"/>
      <c r="BS192" s="11"/>
      <c r="BT192" s="11"/>
      <c r="BU192" s="11"/>
      <c r="BV192" s="1347"/>
      <c r="BW192" s="11"/>
      <c r="BX192" s="11"/>
      <c r="BY192" s="11"/>
      <c r="BZ192" s="11"/>
      <c r="CA192" s="11"/>
      <c r="CB192" s="11"/>
    </row>
    <row r="193" spans="1:80" s="127" customFormat="1" x14ac:dyDescent="0.45">
      <c r="A193" s="128" t="s">
        <v>334</v>
      </c>
      <c r="B193" s="128"/>
      <c r="C193" s="128"/>
      <c r="D193" s="128"/>
      <c r="E193" s="128"/>
      <c r="F193" s="128"/>
      <c r="G193" s="129"/>
      <c r="H193" s="129"/>
      <c r="I193" s="129"/>
      <c r="J193" s="129"/>
      <c r="K193" s="129"/>
      <c r="L193" s="129"/>
      <c r="M193" s="129"/>
      <c r="N193" s="129"/>
      <c r="O193" s="129"/>
      <c r="P193" s="129"/>
      <c r="Q193" s="129"/>
      <c r="R193" s="129"/>
      <c r="S193" s="129"/>
      <c r="T193" s="129"/>
      <c r="U193" s="129"/>
      <c r="V193" s="129"/>
      <c r="W193" s="129"/>
      <c r="X193" s="129"/>
      <c r="Y193" s="129"/>
      <c r="BN193" s="118" t="s">
        <v>584</v>
      </c>
      <c r="BO193" s="11"/>
      <c r="BP193" s="11"/>
      <c r="BQ193" s="11"/>
      <c r="BR193" s="11"/>
      <c r="BS193" s="11"/>
      <c r="BT193" s="11"/>
      <c r="BU193" s="11"/>
      <c r="BV193" s="1347"/>
      <c r="BW193" s="11"/>
      <c r="BX193" s="11"/>
      <c r="BY193" s="11"/>
      <c r="BZ193" s="11"/>
      <c r="CA193" s="11"/>
      <c r="CB193" s="11"/>
    </row>
    <row r="194" spans="1:80" s="127" customFormat="1" x14ac:dyDescent="0.45">
      <c r="A194" s="128" t="s">
        <v>335</v>
      </c>
      <c r="B194" s="128"/>
      <c r="C194" s="128"/>
      <c r="D194" s="128"/>
      <c r="E194" s="128"/>
      <c r="F194" s="128"/>
      <c r="G194" s="129"/>
      <c r="H194" s="129"/>
      <c r="I194" s="129"/>
      <c r="J194" s="129"/>
      <c r="K194" s="129"/>
      <c r="L194" s="129"/>
      <c r="M194" s="129"/>
      <c r="N194" s="129"/>
      <c r="O194" s="129"/>
      <c r="P194" s="129"/>
      <c r="Q194" s="129"/>
      <c r="R194" s="129"/>
      <c r="S194" s="129"/>
      <c r="T194" s="129"/>
      <c r="U194" s="129"/>
      <c r="V194" s="129"/>
      <c r="W194" s="129"/>
      <c r="X194" s="129"/>
      <c r="Y194" s="129"/>
      <c r="BN194" s="118" t="s">
        <v>585</v>
      </c>
      <c r="BO194" s="11"/>
      <c r="BP194" s="11"/>
      <c r="BQ194" s="11"/>
      <c r="BR194" s="11"/>
      <c r="BS194" s="11"/>
      <c r="BT194" s="11"/>
      <c r="BU194" s="11"/>
      <c r="BV194" s="1347"/>
      <c r="BW194" s="11"/>
      <c r="BX194" s="11"/>
      <c r="BY194" s="11"/>
      <c r="BZ194" s="11"/>
      <c r="CA194" s="11"/>
      <c r="CB194" s="11"/>
    </row>
    <row r="195" spans="1:80" s="127" customFormat="1" x14ac:dyDescent="0.45">
      <c r="A195" s="128" t="s">
        <v>336</v>
      </c>
      <c r="B195" s="128"/>
      <c r="C195" s="128"/>
      <c r="D195" s="128"/>
      <c r="E195" s="128"/>
      <c r="F195" s="128"/>
      <c r="G195" s="129"/>
      <c r="H195" s="129"/>
      <c r="I195" s="129"/>
      <c r="J195" s="129"/>
      <c r="K195" s="129"/>
      <c r="L195" s="129"/>
      <c r="M195" s="129"/>
      <c r="N195" s="129"/>
      <c r="O195" s="129"/>
      <c r="P195" s="129"/>
      <c r="Q195" s="129"/>
      <c r="R195" s="129"/>
      <c r="S195" s="129"/>
      <c r="T195" s="129"/>
      <c r="U195" s="129"/>
      <c r="V195" s="129"/>
      <c r="W195" s="129"/>
      <c r="X195" s="129"/>
      <c r="Y195" s="129"/>
      <c r="BN195" s="118" t="s">
        <v>586</v>
      </c>
      <c r="BO195" s="118"/>
      <c r="BP195" s="118"/>
      <c r="BQ195" s="11"/>
      <c r="BR195" s="11"/>
      <c r="BS195" s="11"/>
      <c r="BT195" s="11"/>
      <c r="BU195" s="11"/>
      <c r="BV195" s="1347"/>
      <c r="BW195" s="11"/>
      <c r="BX195" s="11"/>
      <c r="BY195" s="11"/>
      <c r="BZ195" s="11"/>
      <c r="CA195" s="11"/>
      <c r="CB195" s="11"/>
    </row>
    <row r="196" spans="1:80" s="127" customFormat="1" x14ac:dyDescent="0.45">
      <c r="A196" s="128" t="s">
        <v>337</v>
      </c>
      <c r="B196" s="128"/>
      <c r="C196" s="128"/>
      <c r="D196" s="128"/>
      <c r="E196" s="128"/>
      <c r="F196" s="128"/>
      <c r="G196" s="129"/>
      <c r="H196" s="129"/>
      <c r="I196" s="129"/>
      <c r="J196" s="129"/>
      <c r="K196" s="129"/>
      <c r="L196" s="129"/>
      <c r="M196" s="129"/>
      <c r="N196" s="129"/>
      <c r="O196" s="129"/>
      <c r="P196" s="129"/>
      <c r="Q196" s="129"/>
      <c r="R196" s="129"/>
      <c r="S196" s="129"/>
      <c r="T196" s="129"/>
      <c r="U196" s="129"/>
      <c r="V196" s="129"/>
      <c r="W196" s="129"/>
      <c r="X196" s="129"/>
      <c r="Y196" s="129"/>
      <c r="BN196" s="118" t="s">
        <v>587</v>
      </c>
      <c r="BO196" s="118"/>
      <c r="BP196" s="118"/>
      <c r="BQ196" s="11"/>
      <c r="BR196" s="11"/>
      <c r="BS196" s="11"/>
      <c r="BT196" s="11"/>
      <c r="BU196" s="11"/>
      <c r="BV196" s="1347"/>
      <c r="BW196" s="11"/>
      <c r="BX196" s="11"/>
      <c r="BY196" s="11"/>
      <c r="BZ196" s="11"/>
      <c r="CA196" s="11"/>
      <c r="CB196" s="11"/>
    </row>
    <row r="197" spans="1:80" s="127" customFormat="1" x14ac:dyDescent="0.45">
      <c r="A197" s="128" t="s">
        <v>338</v>
      </c>
      <c r="B197" s="128"/>
      <c r="C197" s="128"/>
      <c r="D197" s="128"/>
      <c r="E197" s="128"/>
      <c r="F197" s="128"/>
      <c r="G197" s="129"/>
      <c r="H197" s="129"/>
      <c r="I197" s="129"/>
      <c r="J197" s="129"/>
      <c r="K197" s="129"/>
      <c r="L197" s="129"/>
      <c r="M197" s="129"/>
      <c r="N197" s="129"/>
      <c r="O197" s="129"/>
      <c r="P197" s="129"/>
      <c r="Q197" s="129"/>
      <c r="R197" s="129"/>
      <c r="S197" s="129"/>
      <c r="T197" s="129"/>
      <c r="U197" s="129"/>
      <c r="V197" s="129"/>
      <c r="W197" s="129"/>
      <c r="X197" s="129"/>
      <c r="Y197" s="129"/>
      <c r="BN197" s="118" t="s">
        <v>588</v>
      </c>
      <c r="BO197" s="118"/>
      <c r="BP197" s="118"/>
      <c r="BQ197" s="11"/>
      <c r="BR197" s="11"/>
      <c r="BS197" s="11"/>
      <c r="BT197" s="11"/>
      <c r="BU197" s="11"/>
      <c r="BV197" s="1347"/>
      <c r="BW197" s="11"/>
      <c r="BX197" s="11"/>
      <c r="BY197" s="11"/>
      <c r="BZ197" s="11"/>
      <c r="CA197" s="11"/>
      <c r="CB197" s="11"/>
    </row>
    <row r="198" spans="1:80" s="127" customFormat="1" x14ac:dyDescent="0.45">
      <c r="A198" s="128" t="s">
        <v>339</v>
      </c>
      <c r="B198" s="128"/>
      <c r="C198" s="128"/>
      <c r="D198" s="128"/>
      <c r="E198" s="128"/>
      <c r="F198" s="128"/>
      <c r="G198" s="129"/>
      <c r="H198" s="129"/>
      <c r="I198" s="129"/>
      <c r="J198" s="129"/>
      <c r="K198" s="129"/>
      <c r="L198" s="129"/>
      <c r="M198" s="129"/>
      <c r="N198" s="129"/>
      <c r="O198" s="129"/>
      <c r="P198" s="129"/>
      <c r="Q198" s="129"/>
      <c r="R198" s="129"/>
      <c r="S198" s="1344"/>
      <c r="T198" s="1344"/>
      <c r="U198" s="129"/>
      <c r="V198" s="129"/>
      <c r="W198" s="129"/>
      <c r="X198" s="129"/>
      <c r="Y198" s="129"/>
      <c r="BN198" s="118" t="s">
        <v>589</v>
      </c>
      <c r="BO198" s="118"/>
      <c r="BP198" s="118"/>
      <c r="BQ198" s="11"/>
      <c r="BR198" s="11"/>
      <c r="BS198" s="11"/>
      <c r="BT198" s="11"/>
      <c r="BU198" s="11"/>
      <c r="BV198" s="1347"/>
      <c r="BW198" s="11"/>
      <c r="BX198" s="11"/>
      <c r="BY198" s="11"/>
      <c r="BZ198" s="11"/>
      <c r="CA198" s="11"/>
      <c r="CB198" s="11"/>
    </row>
    <row r="199" spans="1:80" s="127" customFormat="1" x14ac:dyDescent="0.45">
      <c r="A199" s="128" t="s">
        <v>340</v>
      </c>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BN199" s="118" t="s">
        <v>590</v>
      </c>
      <c r="BO199" s="118"/>
      <c r="BP199" s="118"/>
      <c r="BQ199" s="11"/>
      <c r="BR199" s="11"/>
      <c r="BS199" s="11"/>
      <c r="BT199" s="11"/>
      <c r="BU199" s="11"/>
      <c r="BV199" s="1347"/>
      <c r="BW199" s="11"/>
      <c r="BX199" s="11"/>
      <c r="BY199" s="11"/>
      <c r="BZ199" s="11"/>
      <c r="CA199" s="11"/>
      <c r="CB199" s="11"/>
    </row>
    <row r="200" spans="1:80" s="127" customFormat="1" x14ac:dyDescent="0.45">
      <c r="A200" s="128" t="s">
        <v>341</v>
      </c>
      <c r="B200" s="128"/>
      <c r="C200" s="128"/>
      <c r="D200" s="128"/>
      <c r="E200" s="128"/>
      <c r="F200" s="128"/>
      <c r="G200" s="129"/>
      <c r="H200" s="129"/>
      <c r="I200" s="129"/>
      <c r="J200" s="129"/>
      <c r="K200" s="129"/>
      <c r="L200" s="129"/>
      <c r="M200" s="129"/>
      <c r="N200" s="129"/>
      <c r="O200" s="129"/>
      <c r="P200" s="129"/>
      <c r="Q200" s="129"/>
      <c r="R200" s="129"/>
      <c r="S200" s="1344"/>
      <c r="T200" s="1344"/>
      <c r="U200" s="129"/>
      <c r="V200" s="129"/>
      <c r="W200" s="129"/>
      <c r="X200" s="129"/>
      <c r="Y200" s="129"/>
      <c r="BN200" s="118" t="s">
        <v>591</v>
      </c>
      <c r="BO200" s="118"/>
      <c r="BP200" s="118"/>
      <c r="BQ200" s="11"/>
      <c r="BR200" s="11"/>
      <c r="BS200" s="11"/>
      <c r="BT200" s="11"/>
      <c r="BU200" s="11"/>
      <c r="BV200" s="1347"/>
      <c r="BW200" s="11"/>
      <c r="BX200" s="11"/>
      <c r="BY200" s="11"/>
      <c r="BZ200" s="11"/>
      <c r="CA200" s="11"/>
      <c r="CB200" s="11"/>
    </row>
    <row r="201" spans="1:80" s="127" customFormat="1" x14ac:dyDescent="0.45">
      <c r="A201" s="128" t="s">
        <v>342</v>
      </c>
      <c r="B201" s="128"/>
      <c r="C201" s="128"/>
      <c r="D201" s="128"/>
      <c r="E201" s="128"/>
      <c r="F201" s="128"/>
      <c r="G201" s="129"/>
      <c r="H201" s="129"/>
      <c r="I201" s="129"/>
      <c r="J201" s="129"/>
      <c r="K201" s="129"/>
      <c r="L201" s="129"/>
      <c r="M201" s="129"/>
      <c r="N201" s="129"/>
      <c r="O201" s="129"/>
      <c r="P201" s="129"/>
      <c r="Q201" s="129"/>
      <c r="R201" s="129"/>
      <c r="S201" s="129"/>
      <c r="T201" s="129"/>
      <c r="U201" s="129"/>
      <c r="V201" s="129"/>
      <c r="W201" s="129"/>
      <c r="X201" s="129"/>
      <c r="Y201" s="129"/>
      <c r="BN201" s="118" t="s">
        <v>592</v>
      </c>
      <c r="BO201" s="118"/>
      <c r="BP201" s="118"/>
      <c r="BQ201" s="11"/>
      <c r="BR201" s="11"/>
      <c r="BS201" s="11"/>
      <c r="BT201" s="11"/>
      <c r="BU201" s="11"/>
      <c r="BV201" s="1347"/>
      <c r="BW201" s="11"/>
      <c r="BX201" s="11"/>
      <c r="BY201" s="11"/>
      <c r="BZ201" s="11"/>
      <c r="CA201" s="11"/>
      <c r="CB201" s="11"/>
    </row>
    <row r="202" spans="1:80" s="127" customFormat="1" x14ac:dyDescent="0.45">
      <c r="A202" s="128" t="s">
        <v>343</v>
      </c>
      <c r="B202" s="128"/>
      <c r="C202" s="128"/>
      <c r="D202" s="128"/>
      <c r="E202" s="128"/>
      <c r="F202" s="128"/>
      <c r="G202" s="129"/>
      <c r="H202" s="129"/>
      <c r="I202" s="129"/>
      <c r="J202" s="129"/>
      <c r="K202" s="129"/>
      <c r="L202" s="129"/>
      <c r="M202" s="129"/>
      <c r="N202" s="129"/>
      <c r="O202" s="129"/>
      <c r="P202" s="129"/>
      <c r="Q202" s="129"/>
      <c r="R202" s="129"/>
      <c r="S202" s="129"/>
      <c r="T202" s="129"/>
      <c r="U202" s="129"/>
      <c r="V202" s="129"/>
      <c r="W202" s="129"/>
      <c r="X202" s="129"/>
      <c r="Y202" s="129"/>
      <c r="BN202" s="1402" t="s">
        <v>593</v>
      </c>
      <c r="BO202" s="1402"/>
      <c r="BP202" s="1402"/>
      <c r="BQ202" s="1402"/>
      <c r="BR202" s="1402"/>
      <c r="BS202" s="11"/>
      <c r="BT202" s="11"/>
      <c r="BU202" s="11"/>
      <c r="BV202" s="1347"/>
      <c r="BW202" s="11"/>
      <c r="BX202" s="11"/>
      <c r="BY202" s="11"/>
      <c r="BZ202" s="11"/>
      <c r="CA202" s="11"/>
      <c r="CB202" s="11"/>
    </row>
    <row r="203" spans="1:80" s="127" customFormat="1" x14ac:dyDescent="0.45">
      <c r="A203" s="128" t="s">
        <v>344</v>
      </c>
      <c r="B203" s="128"/>
      <c r="C203" s="128"/>
      <c r="D203" s="128"/>
      <c r="E203" s="128"/>
      <c r="F203" s="128"/>
      <c r="G203" s="129"/>
      <c r="H203" s="129"/>
      <c r="I203" s="129"/>
      <c r="J203" s="129"/>
      <c r="K203" s="129"/>
      <c r="L203" s="129"/>
      <c r="M203" s="129"/>
      <c r="N203" s="129"/>
      <c r="O203" s="129"/>
      <c r="P203" s="129"/>
      <c r="Q203" s="129"/>
      <c r="R203" s="129"/>
      <c r="S203" s="129"/>
      <c r="T203" s="129"/>
      <c r="U203" s="129"/>
      <c r="V203" s="129"/>
      <c r="W203" s="129"/>
      <c r="X203" s="129"/>
      <c r="Y203" s="129"/>
      <c r="BN203" s="11" t="s">
        <v>594</v>
      </c>
      <c r="BO203" s="11"/>
      <c r="BP203" s="11"/>
      <c r="BQ203" s="11"/>
      <c r="BR203" s="11"/>
      <c r="BS203" s="11"/>
      <c r="BT203" s="11"/>
      <c r="BU203" s="11"/>
      <c r="BV203" s="1347"/>
      <c r="BW203" s="11"/>
      <c r="BX203" s="11"/>
      <c r="BY203" s="11"/>
      <c r="BZ203" s="11"/>
      <c r="CA203" s="11"/>
      <c r="CB203" s="11"/>
    </row>
    <row r="204" spans="1:80" s="127" customFormat="1" x14ac:dyDescent="0.45">
      <c r="A204" s="128" t="s">
        <v>345</v>
      </c>
      <c r="B204" s="128"/>
      <c r="C204" s="128"/>
      <c r="D204" s="128"/>
      <c r="E204" s="128"/>
      <c r="F204" s="128"/>
      <c r="G204" s="129"/>
      <c r="H204" s="129"/>
      <c r="I204" s="129"/>
      <c r="J204" s="129"/>
      <c r="K204" s="129"/>
      <c r="L204" s="129"/>
      <c r="M204" s="129"/>
      <c r="N204" s="129"/>
      <c r="O204" s="129"/>
      <c r="P204" s="129"/>
      <c r="Q204" s="129"/>
      <c r="R204" s="129"/>
      <c r="S204" s="129"/>
      <c r="T204" s="129"/>
      <c r="U204" s="129"/>
      <c r="V204" s="129"/>
      <c r="W204" s="129"/>
      <c r="X204" s="129"/>
      <c r="Y204" s="129"/>
      <c r="BN204" s="11" t="s">
        <v>595</v>
      </c>
      <c r="BO204" s="11"/>
      <c r="BP204" s="11"/>
      <c r="BQ204" s="11"/>
      <c r="BR204" s="11"/>
      <c r="BS204" s="11"/>
      <c r="BT204" s="11"/>
      <c r="BU204" s="11"/>
      <c r="BV204" s="1347"/>
      <c r="BW204" s="11"/>
      <c r="BX204" s="11"/>
      <c r="BY204" s="11"/>
      <c r="BZ204" s="11"/>
      <c r="CA204" s="11"/>
      <c r="CB204" s="11"/>
    </row>
    <row r="205" spans="1:80" s="127" customFormat="1" x14ac:dyDescent="0.45">
      <c r="A205" s="128" t="s">
        <v>346</v>
      </c>
      <c r="B205" s="128"/>
      <c r="C205" s="128"/>
      <c r="D205" s="128"/>
      <c r="E205" s="128"/>
      <c r="F205" s="128"/>
      <c r="G205" s="129"/>
      <c r="H205" s="129"/>
      <c r="I205" s="129"/>
      <c r="J205" s="129"/>
      <c r="K205" s="129"/>
      <c r="L205" s="129"/>
      <c r="M205" s="129"/>
      <c r="N205" s="129"/>
      <c r="O205" s="129"/>
      <c r="P205" s="129"/>
      <c r="Q205" s="129"/>
      <c r="R205" s="129"/>
      <c r="S205" s="129"/>
      <c r="T205" s="129"/>
      <c r="U205" s="129"/>
      <c r="V205" s="129"/>
      <c r="W205" s="129"/>
      <c r="X205" s="129"/>
      <c r="Y205" s="129"/>
      <c r="BN205" s="118" t="s">
        <v>596</v>
      </c>
      <c r="BO205" s="11"/>
      <c r="BP205" s="11"/>
      <c r="BQ205" s="11"/>
      <c r="BR205" s="11"/>
      <c r="BS205" s="11"/>
      <c r="BT205" s="11"/>
      <c r="BU205" s="11"/>
      <c r="BV205" s="1347"/>
      <c r="BW205" s="11"/>
      <c r="BX205" s="11"/>
      <c r="BY205" s="11"/>
      <c r="BZ205" s="11"/>
      <c r="CA205" s="11"/>
      <c r="CB205" s="11"/>
    </row>
    <row r="206" spans="1:80" s="127" customFormat="1" x14ac:dyDescent="0.45">
      <c r="A206" s="128" t="s">
        <v>347</v>
      </c>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BN206" s="11" t="s">
        <v>597</v>
      </c>
      <c r="BO206" s="11"/>
      <c r="BP206" s="11"/>
      <c r="BQ206" s="11"/>
      <c r="BR206" s="11"/>
      <c r="BS206" s="11"/>
      <c r="BT206" s="11"/>
      <c r="BU206" s="11"/>
      <c r="BV206" s="1347"/>
      <c r="BW206" s="11"/>
      <c r="BX206" s="11"/>
      <c r="BY206" s="11"/>
      <c r="BZ206" s="11"/>
      <c r="CA206" s="11"/>
      <c r="CB206" s="11"/>
    </row>
    <row r="207" spans="1:80" s="127" customFormat="1" x14ac:dyDescent="0.45">
      <c r="A207" s="128" t="s">
        <v>348</v>
      </c>
      <c r="B207" s="128"/>
      <c r="C207" s="128"/>
      <c r="D207" s="128"/>
      <c r="E207" s="128"/>
      <c r="F207" s="128"/>
      <c r="G207" s="129"/>
      <c r="H207" s="129"/>
      <c r="I207" s="129"/>
      <c r="J207" s="129"/>
      <c r="K207" s="129"/>
      <c r="L207" s="129"/>
      <c r="M207" s="129"/>
      <c r="N207" s="129"/>
      <c r="O207" s="129"/>
      <c r="P207" s="129"/>
      <c r="Q207" s="129"/>
      <c r="R207" s="129"/>
      <c r="S207" s="129"/>
      <c r="T207" s="129"/>
      <c r="U207" s="129"/>
      <c r="V207" s="129"/>
      <c r="W207" s="129"/>
      <c r="X207" s="129"/>
      <c r="Y207" s="129"/>
      <c r="BN207" s="118" t="s">
        <v>598</v>
      </c>
      <c r="BO207" s="11"/>
      <c r="BP207" s="11"/>
      <c r="BQ207" s="11"/>
      <c r="BR207" s="11"/>
      <c r="BS207" s="11"/>
      <c r="BT207" s="11"/>
      <c r="BU207" s="11"/>
      <c r="BV207" s="1347"/>
      <c r="BW207" s="11"/>
      <c r="BX207" s="11"/>
      <c r="BY207" s="11"/>
      <c r="BZ207" s="11"/>
      <c r="CA207" s="11"/>
      <c r="CB207" s="11"/>
    </row>
    <row r="208" spans="1:80" s="127" customFormat="1" x14ac:dyDescent="0.45">
      <c r="A208" s="128" t="s">
        <v>349</v>
      </c>
      <c r="B208" s="128"/>
      <c r="C208" s="128"/>
      <c r="D208" s="128"/>
      <c r="E208" s="128"/>
      <c r="F208" s="128"/>
      <c r="G208" s="129"/>
      <c r="H208" s="129"/>
      <c r="I208" s="129"/>
      <c r="J208" s="129"/>
      <c r="K208" s="129"/>
      <c r="L208" s="129"/>
      <c r="M208" s="129"/>
      <c r="N208" s="129"/>
      <c r="O208" s="129"/>
      <c r="P208" s="129"/>
      <c r="Q208" s="129"/>
      <c r="R208" s="129"/>
      <c r="S208" s="129"/>
      <c r="T208" s="129"/>
      <c r="U208" s="129"/>
      <c r="V208" s="129"/>
      <c r="W208" s="129"/>
      <c r="X208" s="129"/>
      <c r="Y208" s="129"/>
      <c r="BN208" s="11" t="s">
        <v>599</v>
      </c>
      <c r="BO208" s="11"/>
      <c r="BP208" s="11"/>
      <c r="BQ208" s="11"/>
      <c r="BR208" s="11"/>
      <c r="BS208" s="11"/>
      <c r="BT208" s="11"/>
      <c r="BU208" s="11"/>
      <c r="BV208" s="1347"/>
      <c r="BW208" s="11"/>
      <c r="BX208" s="11"/>
      <c r="BY208" s="11"/>
      <c r="BZ208" s="11"/>
      <c r="CA208" s="11"/>
      <c r="CB208" s="11"/>
    </row>
    <row r="209" spans="1:80" s="127" customFormat="1" x14ac:dyDescent="0.45">
      <c r="A209" s="128" t="s">
        <v>350</v>
      </c>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BN209" s="118" t="s">
        <v>600</v>
      </c>
      <c r="BO209" s="11"/>
      <c r="BP209" s="11"/>
      <c r="BQ209" s="11"/>
      <c r="BR209" s="11"/>
      <c r="BS209" s="11"/>
      <c r="BT209" s="11"/>
      <c r="BU209" s="11"/>
      <c r="BV209" s="1347"/>
      <c r="BW209" s="11"/>
      <c r="BX209" s="11"/>
      <c r="BY209" s="11"/>
      <c r="BZ209" s="11"/>
      <c r="CA209" s="11"/>
      <c r="CB209" s="11"/>
    </row>
    <row r="210" spans="1:80" s="127" customFormat="1" x14ac:dyDescent="0.45">
      <c r="A210" s="128" t="s">
        <v>351</v>
      </c>
      <c r="B210" s="128"/>
      <c r="C210" s="128"/>
      <c r="D210" s="128"/>
      <c r="E210" s="128"/>
      <c r="F210" s="128"/>
      <c r="G210" s="129"/>
      <c r="H210" s="129"/>
      <c r="I210" s="129"/>
      <c r="J210" s="129"/>
      <c r="K210" s="129"/>
      <c r="L210" s="129"/>
      <c r="M210" s="129"/>
      <c r="N210" s="129"/>
      <c r="O210" s="129"/>
      <c r="P210" s="129"/>
      <c r="Q210" s="129"/>
      <c r="R210" s="129"/>
      <c r="S210" s="129"/>
      <c r="T210" s="129"/>
      <c r="U210" s="129"/>
      <c r="V210" s="129"/>
      <c r="W210" s="129"/>
      <c r="X210" s="129"/>
      <c r="Y210" s="129"/>
      <c r="BN210" s="118" t="s">
        <v>601</v>
      </c>
      <c r="BO210" s="11"/>
      <c r="BP210" s="11"/>
      <c r="BQ210" s="11"/>
      <c r="BR210" s="11"/>
      <c r="BS210" s="11"/>
      <c r="BT210" s="11"/>
      <c r="BU210" s="11"/>
      <c r="BV210" s="1347"/>
      <c r="BW210" s="11"/>
      <c r="BX210" s="11"/>
      <c r="BY210" s="11"/>
      <c r="BZ210" s="11"/>
      <c r="CA210" s="11"/>
      <c r="CB210" s="11"/>
    </row>
    <row r="211" spans="1:80" s="127" customFormat="1" x14ac:dyDescent="0.45">
      <c r="A211" s="128" t="s">
        <v>352</v>
      </c>
      <c r="B211" s="128"/>
      <c r="C211" s="128"/>
      <c r="D211" s="128"/>
      <c r="E211" s="128"/>
      <c r="F211" s="128"/>
      <c r="G211" s="129"/>
      <c r="H211" s="129"/>
      <c r="I211" s="129"/>
      <c r="J211" s="129"/>
      <c r="K211" s="129"/>
      <c r="L211" s="129"/>
      <c r="M211" s="129"/>
      <c r="N211" s="129"/>
      <c r="O211" s="129"/>
      <c r="P211" s="129"/>
      <c r="Q211" s="129"/>
      <c r="R211" s="129"/>
      <c r="S211" s="129"/>
      <c r="T211" s="129"/>
      <c r="U211" s="129"/>
      <c r="V211" s="129"/>
      <c r="W211" s="129"/>
      <c r="X211" s="129"/>
      <c r="Y211" s="129"/>
      <c r="BN211" s="11" t="s">
        <v>602</v>
      </c>
      <c r="BO211" s="11"/>
      <c r="BP211" s="11"/>
      <c r="BQ211" s="11"/>
      <c r="BR211" s="11"/>
      <c r="BS211" s="11"/>
      <c r="BT211" s="11"/>
      <c r="BU211" s="11"/>
      <c r="BV211" s="1347"/>
      <c r="BW211" s="11"/>
      <c r="BX211" s="11"/>
      <c r="BY211" s="11"/>
      <c r="BZ211" s="11"/>
      <c r="CA211" s="11"/>
      <c r="CB211" s="11"/>
    </row>
    <row r="212" spans="1:80" s="127" customFormat="1" x14ac:dyDescent="0.45">
      <c r="A212" s="128" t="s">
        <v>353</v>
      </c>
      <c r="B212" s="128"/>
      <c r="C212" s="128"/>
      <c r="D212" s="128"/>
      <c r="E212" s="128"/>
      <c r="F212" s="128"/>
      <c r="G212" s="129"/>
      <c r="H212" s="129"/>
      <c r="I212" s="129"/>
      <c r="J212" s="129"/>
      <c r="K212" s="129"/>
      <c r="L212" s="129"/>
      <c r="M212" s="129"/>
      <c r="N212" s="129"/>
      <c r="O212" s="129"/>
      <c r="P212" s="129"/>
      <c r="Q212" s="129"/>
      <c r="R212" s="129"/>
      <c r="S212" s="129"/>
      <c r="T212" s="129"/>
      <c r="U212" s="129"/>
      <c r="V212" s="129"/>
      <c r="W212" s="129"/>
      <c r="X212" s="129"/>
      <c r="Y212" s="129"/>
      <c r="BN212" s="118" t="s">
        <v>603</v>
      </c>
      <c r="BO212" s="11"/>
      <c r="BP212" s="11"/>
      <c r="BQ212" s="11"/>
      <c r="BR212" s="11"/>
      <c r="BS212" s="11"/>
      <c r="BT212" s="11"/>
      <c r="BU212" s="11"/>
      <c r="BV212" s="1347"/>
      <c r="BW212" s="11"/>
      <c r="BX212" s="11"/>
      <c r="BY212" s="11"/>
      <c r="BZ212" s="11"/>
      <c r="CA212" s="11"/>
      <c r="CB212" s="11"/>
    </row>
    <row r="213" spans="1:80" s="127" customFormat="1" x14ac:dyDescent="0.45">
      <c r="A213" s="128" t="s">
        <v>354</v>
      </c>
      <c r="B213" s="128"/>
      <c r="C213" s="128"/>
      <c r="D213" s="128"/>
      <c r="E213" s="128"/>
      <c r="F213" s="128"/>
      <c r="G213" s="129"/>
      <c r="H213" s="129"/>
      <c r="I213" s="129"/>
      <c r="J213" s="129"/>
      <c r="K213" s="129"/>
      <c r="L213" s="129"/>
      <c r="M213" s="129"/>
      <c r="N213" s="129"/>
      <c r="O213" s="129"/>
      <c r="P213" s="129"/>
      <c r="Q213" s="129"/>
      <c r="R213" s="129"/>
      <c r="S213" s="1344"/>
      <c r="T213" s="1344"/>
      <c r="U213" s="129"/>
      <c r="V213" s="129"/>
      <c r="W213" s="129"/>
      <c r="X213" s="129"/>
      <c r="Y213" s="129"/>
      <c r="BN213" s="11" t="s">
        <v>604</v>
      </c>
      <c r="BO213" s="11"/>
      <c r="BP213" s="11"/>
      <c r="BQ213" s="11"/>
      <c r="BR213" s="11"/>
      <c r="BS213" s="11"/>
      <c r="BT213" s="11"/>
      <c r="BU213" s="11"/>
      <c r="BV213" s="1347"/>
      <c r="BW213" s="11"/>
      <c r="BX213" s="11"/>
      <c r="BY213" s="11"/>
      <c r="BZ213" s="11"/>
      <c r="CA213" s="11"/>
      <c r="CB213" s="11"/>
    </row>
    <row r="214" spans="1:80" s="127" customFormat="1" x14ac:dyDescent="0.45">
      <c r="A214" s="128" t="s">
        <v>355</v>
      </c>
      <c r="B214" s="128"/>
      <c r="C214" s="128"/>
      <c r="D214" s="128"/>
      <c r="E214" s="128"/>
      <c r="F214" s="128"/>
      <c r="G214" s="129"/>
      <c r="H214" s="129"/>
      <c r="I214" s="129"/>
      <c r="J214" s="129"/>
      <c r="K214" s="129"/>
      <c r="L214" s="129"/>
      <c r="M214" s="129"/>
      <c r="N214" s="129"/>
      <c r="O214" s="129"/>
      <c r="P214" s="129"/>
      <c r="Q214" s="129"/>
      <c r="R214" s="129"/>
      <c r="S214" s="129"/>
      <c r="T214" s="129"/>
      <c r="U214" s="129"/>
      <c r="V214" s="129"/>
      <c r="W214" s="129"/>
      <c r="X214" s="129"/>
      <c r="Y214" s="129"/>
      <c r="BN214" s="118" t="s">
        <v>605</v>
      </c>
      <c r="BO214" s="11"/>
      <c r="BP214" s="11"/>
      <c r="BQ214" s="11"/>
      <c r="BR214" s="11"/>
      <c r="BS214" s="11"/>
      <c r="BT214" s="11"/>
      <c r="BU214" s="11"/>
      <c r="BV214" s="1347"/>
      <c r="BW214" s="11"/>
      <c r="BX214" s="11"/>
      <c r="BY214" s="11"/>
      <c r="BZ214" s="11"/>
      <c r="CA214" s="11"/>
      <c r="CB214" s="11"/>
    </row>
    <row r="215" spans="1:80" s="127" customFormat="1" x14ac:dyDescent="0.45">
      <c r="A215" s="128" t="s">
        <v>356</v>
      </c>
      <c r="B215" s="128"/>
      <c r="C215" s="128"/>
      <c r="D215" s="128"/>
      <c r="E215" s="128"/>
      <c r="F215" s="129"/>
      <c r="G215" s="129"/>
      <c r="H215" s="129"/>
      <c r="I215" s="129"/>
      <c r="J215" s="129"/>
      <c r="K215" s="129"/>
      <c r="L215" s="129"/>
      <c r="M215" s="129"/>
      <c r="N215" s="129"/>
      <c r="O215" s="129"/>
      <c r="P215" s="129"/>
      <c r="Q215" s="129"/>
      <c r="R215" s="129"/>
      <c r="S215" s="129"/>
      <c r="T215" s="129"/>
      <c r="U215" s="129"/>
      <c r="V215" s="129"/>
      <c r="W215" s="129"/>
      <c r="X215" s="129"/>
      <c r="Y215" s="129"/>
      <c r="BN215" s="11" t="s">
        <v>606</v>
      </c>
      <c r="BO215" s="11"/>
      <c r="BP215" s="11"/>
      <c r="BQ215" s="11"/>
      <c r="BR215" s="11"/>
      <c r="BS215" s="11"/>
      <c r="BT215" s="11"/>
      <c r="BU215" s="11"/>
      <c r="BV215" s="1347"/>
      <c r="BW215" s="11"/>
      <c r="BX215" s="11"/>
      <c r="BY215" s="11"/>
      <c r="BZ215" s="11"/>
      <c r="CA215" s="11"/>
      <c r="CB215" s="11"/>
    </row>
    <row r="216" spans="1:80" s="127" customFormat="1" x14ac:dyDescent="0.45">
      <c r="A216" s="128" t="s">
        <v>357</v>
      </c>
      <c r="B216" s="128"/>
      <c r="C216" s="128"/>
      <c r="D216" s="128"/>
      <c r="E216" s="128"/>
      <c r="F216" s="128"/>
      <c r="G216" s="129"/>
      <c r="H216" s="129"/>
      <c r="I216" s="129"/>
      <c r="J216" s="129"/>
      <c r="K216" s="129"/>
      <c r="L216" s="129"/>
      <c r="M216" s="129"/>
      <c r="N216" s="129"/>
      <c r="O216" s="129"/>
      <c r="P216" s="129"/>
      <c r="Q216" s="129"/>
      <c r="R216" s="129"/>
      <c r="S216" s="129"/>
      <c r="T216" s="129"/>
      <c r="U216" s="129"/>
      <c r="V216" s="129"/>
      <c r="W216" s="129"/>
      <c r="X216" s="129"/>
      <c r="Y216" s="129"/>
      <c r="BN216" s="118" t="s">
        <v>607</v>
      </c>
      <c r="BO216" s="11"/>
      <c r="BP216" s="11"/>
      <c r="BQ216" s="11"/>
      <c r="BR216" s="11"/>
      <c r="BS216" s="11"/>
      <c r="BT216" s="11"/>
      <c r="BU216" s="11"/>
      <c r="BV216" s="1347"/>
      <c r="BW216" s="11"/>
      <c r="BX216" s="11"/>
      <c r="BY216" s="11"/>
      <c r="BZ216" s="11"/>
      <c r="CA216" s="11"/>
      <c r="CB216" s="11"/>
    </row>
    <row r="217" spans="1:80" s="127" customFormat="1" x14ac:dyDescent="0.45">
      <c r="A217" s="128" t="s">
        <v>358</v>
      </c>
      <c r="B217" s="128"/>
      <c r="C217" s="128"/>
      <c r="D217" s="128"/>
      <c r="E217" s="128"/>
      <c r="F217" s="128"/>
      <c r="G217" s="129"/>
      <c r="H217" s="129"/>
      <c r="I217" s="129"/>
      <c r="J217" s="129"/>
      <c r="K217" s="129"/>
      <c r="L217" s="129"/>
      <c r="M217" s="129"/>
      <c r="N217" s="129"/>
      <c r="O217" s="129"/>
      <c r="P217" s="129"/>
      <c r="Q217" s="129"/>
      <c r="R217" s="129"/>
      <c r="S217" s="129"/>
      <c r="T217" s="129"/>
      <c r="U217" s="129"/>
      <c r="V217" s="129"/>
      <c r="W217" s="129"/>
      <c r="X217" s="129"/>
      <c r="Y217" s="129"/>
      <c r="BN217" s="118" t="s">
        <v>608</v>
      </c>
      <c r="BO217" s="11"/>
      <c r="BP217" s="11"/>
      <c r="BQ217" s="11"/>
      <c r="BR217" s="11"/>
      <c r="BS217" s="11"/>
      <c r="BT217" s="11"/>
      <c r="BU217" s="11"/>
      <c r="BV217" s="1347"/>
      <c r="BW217" s="11"/>
      <c r="BX217" s="11"/>
      <c r="BY217" s="11"/>
      <c r="BZ217" s="11"/>
      <c r="CA217" s="11"/>
      <c r="CB217" s="11"/>
    </row>
    <row r="218" spans="1:80" s="127" customFormat="1" x14ac:dyDescent="0.45">
      <c r="A218" s="128" t="s">
        <v>359</v>
      </c>
      <c r="B218" s="128"/>
      <c r="C218" s="128"/>
      <c r="D218" s="128"/>
      <c r="E218" s="128"/>
      <c r="F218" s="128"/>
      <c r="G218" s="129"/>
      <c r="H218" s="129"/>
      <c r="I218" s="129"/>
      <c r="J218" s="129"/>
      <c r="K218" s="129"/>
      <c r="L218" s="129"/>
      <c r="M218" s="129"/>
      <c r="N218" s="129"/>
      <c r="O218" s="129"/>
      <c r="P218" s="129"/>
      <c r="Q218" s="129"/>
      <c r="R218" s="129"/>
      <c r="S218" s="129"/>
      <c r="T218" s="129"/>
      <c r="U218" s="129"/>
      <c r="V218" s="129"/>
      <c r="W218" s="129"/>
      <c r="X218" s="129"/>
      <c r="Y218" s="129"/>
      <c r="BN218" s="118" t="s">
        <v>609</v>
      </c>
      <c r="BO218" s="11"/>
      <c r="BP218" s="11"/>
      <c r="BQ218" s="11"/>
      <c r="BR218" s="11"/>
      <c r="BS218" s="11"/>
      <c r="BT218" s="11"/>
      <c r="BU218" s="11"/>
      <c r="BV218" s="1347"/>
      <c r="BW218" s="11"/>
      <c r="BX218" s="11"/>
      <c r="BY218" s="11"/>
      <c r="BZ218" s="11"/>
      <c r="CA218" s="11"/>
      <c r="CB218" s="11"/>
    </row>
    <row r="219" spans="1:80" s="127" customFormat="1" x14ac:dyDescent="0.45">
      <c r="A219" s="128" t="s">
        <v>360</v>
      </c>
      <c r="B219" s="128"/>
      <c r="C219" s="128"/>
      <c r="D219" s="128"/>
      <c r="E219" s="128"/>
      <c r="F219" s="128"/>
      <c r="G219" s="129"/>
      <c r="H219" s="129"/>
      <c r="I219" s="129"/>
      <c r="J219" s="129"/>
      <c r="K219" s="129"/>
      <c r="L219" s="129"/>
      <c r="M219" s="129"/>
      <c r="N219" s="129"/>
      <c r="O219" s="129"/>
      <c r="P219" s="129"/>
      <c r="Q219" s="129"/>
      <c r="R219" s="129"/>
      <c r="S219" s="129"/>
      <c r="T219" s="129"/>
      <c r="U219" s="129"/>
      <c r="V219" s="129"/>
      <c r="W219" s="129"/>
      <c r="X219" s="129"/>
      <c r="Y219" s="129"/>
      <c r="BN219" s="11" t="s">
        <v>610</v>
      </c>
      <c r="BO219" s="11"/>
      <c r="BP219" s="11"/>
      <c r="BQ219" s="11"/>
      <c r="BR219" s="11"/>
      <c r="BS219" s="11"/>
      <c r="BT219" s="11"/>
      <c r="BU219" s="11"/>
      <c r="BV219" s="1347"/>
      <c r="BW219" s="11"/>
      <c r="BX219" s="11"/>
      <c r="BY219" s="11"/>
      <c r="BZ219" s="11"/>
      <c r="CA219" s="11"/>
      <c r="CB219" s="11"/>
    </row>
    <row r="220" spans="1:80" s="127" customFormat="1" x14ac:dyDescent="0.45">
      <c r="A220" s="128" t="s">
        <v>361</v>
      </c>
      <c r="B220" s="128"/>
      <c r="C220" s="128"/>
      <c r="D220" s="128"/>
      <c r="E220" s="128"/>
      <c r="F220" s="128"/>
      <c r="G220" s="129"/>
      <c r="H220" s="129"/>
      <c r="I220" s="129"/>
      <c r="J220" s="129"/>
      <c r="K220" s="129"/>
      <c r="L220" s="129"/>
      <c r="M220" s="129"/>
      <c r="N220" s="129"/>
      <c r="O220" s="129"/>
      <c r="P220" s="129"/>
      <c r="Q220" s="129"/>
      <c r="R220" s="129"/>
      <c r="S220" s="129"/>
      <c r="T220" s="129"/>
      <c r="U220" s="129"/>
      <c r="V220" s="129"/>
      <c r="W220" s="129"/>
      <c r="X220" s="129"/>
      <c r="Y220" s="129"/>
      <c r="BN220" s="118" t="s">
        <v>611</v>
      </c>
      <c r="BO220" s="11"/>
      <c r="BP220" s="11"/>
      <c r="BQ220" s="11"/>
      <c r="BR220" s="11"/>
      <c r="BS220" s="11"/>
      <c r="BT220" s="11"/>
      <c r="BU220" s="11"/>
      <c r="BV220" s="1347"/>
      <c r="BW220" s="11"/>
      <c r="BX220" s="11"/>
      <c r="BY220" s="11"/>
      <c r="BZ220" s="11"/>
      <c r="CA220" s="11"/>
      <c r="CB220" s="11"/>
    </row>
    <row r="221" spans="1:80" s="127" customFormat="1" x14ac:dyDescent="0.45">
      <c r="A221" s="128" t="s">
        <v>362</v>
      </c>
      <c r="B221" s="128"/>
      <c r="C221" s="128"/>
      <c r="D221" s="128"/>
      <c r="E221" s="128"/>
      <c r="F221" s="128"/>
      <c r="G221" s="129"/>
      <c r="H221" s="129"/>
      <c r="I221" s="129"/>
      <c r="J221" s="129"/>
      <c r="K221" s="129"/>
      <c r="L221" s="129"/>
      <c r="M221" s="129"/>
      <c r="N221" s="129"/>
      <c r="O221" s="129"/>
      <c r="P221" s="129"/>
      <c r="Q221" s="129"/>
      <c r="R221" s="129"/>
      <c r="S221" s="129"/>
      <c r="T221" s="129"/>
      <c r="U221" s="129"/>
      <c r="V221" s="129"/>
      <c r="W221" s="129"/>
      <c r="X221" s="129"/>
      <c r="Y221" s="129"/>
      <c r="BN221" s="11" t="s">
        <v>612</v>
      </c>
      <c r="BO221" s="11"/>
      <c r="BP221" s="11"/>
      <c r="BQ221" s="11"/>
      <c r="BR221" s="11"/>
      <c r="BS221" s="11"/>
      <c r="BT221" s="11"/>
      <c r="BU221" s="11"/>
      <c r="BV221" s="1347"/>
      <c r="BW221" s="11"/>
      <c r="BX221" s="11"/>
      <c r="BY221" s="11"/>
      <c r="BZ221" s="11"/>
      <c r="CA221" s="11"/>
      <c r="CB221" s="11"/>
    </row>
    <row r="222" spans="1:80" s="127" customFormat="1" x14ac:dyDescent="0.45">
      <c r="A222" s="128" t="s">
        <v>363</v>
      </c>
      <c r="B222" s="128"/>
      <c r="C222" s="128"/>
      <c r="D222" s="128"/>
      <c r="E222" s="128"/>
      <c r="F222" s="128"/>
      <c r="G222" s="129"/>
      <c r="H222" s="129"/>
      <c r="I222" s="129"/>
      <c r="J222" s="129"/>
      <c r="K222" s="129"/>
      <c r="L222" s="129"/>
      <c r="M222" s="129"/>
      <c r="N222" s="129"/>
      <c r="O222" s="129"/>
      <c r="P222" s="129"/>
      <c r="Q222" s="129"/>
      <c r="R222" s="129"/>
      <c r="S222" s="129"/>
      <c r="T222" s="129"/>
      <c r="U222" s="129"/>
      <c r="V222" s="129"/>
      <c r="W222" s="129"/>
      <c r="X222" s="129"/>
      <c r="Y222" s="129"/>
      <c r="BN222" s="118" t="s">
        <v>613</v>
      </c>
      <c r="BO222" s="11"/>
      <c r="BP222" s="11"/>
      <c r="BQ222" s="11"/>
      <c r="BR222" s="11"/>
      <c r="BS222" s="11"/>
      <c r="BT222" s="11"/>
      <c r="BU222" s="11"/>
      <c r="BV222" s="1347"/>
      <c r="BW222" s="11"/>
      <c r="BX222" s="11"/>
      <c r="BY222" s="11"/>
      <c r="BZ222" s="11"/>
      <c r="CA222" s="11"/>
      <c r="CB222" s="11"/>
    </row>
    <row r="223" spans="1:80" s="127" customFormat="1" x14ac:dyDescent="0.45">
      <c r="A223" s="128" t="s">
        <v>364</v>
      </c>
      <c r="B223" s="128"/>
      <c r="C223" s="128"/>
      <c r="D223" s="128"/>
      <c r="E223" s="128"/>
      <c r="F223" s="128"/>
      <c r="G223" s="129"/>
      <c r="H223" s="129"/>
      <c r="I223" s="129"/>
      <c r="J223" s="129"/>
      <c r="K223" s="129"/>
      <c r="L223" s="129"/>
      <c r="M223" s="129"/>
      <c r="N223" s="129"/>
      <c r="O223" s="129"/>
      <c r="P223" s="129"/>
      <c r="Q223" s="129"/>
      <c r="R223" s="129"/>
      <c r="S223" s="129"/>
      <c r="T223" s="129"/>
      <c r="U223" s="129"/>
      <c r="V223" s="129"/>
      <c r="W223" s="129"/>
      <c r="X223" s="129"/>
      <c r="Y223" s="129"/>
      <c r="BN223" s="118" t="s">
        <v>614</v>
      </c>
      <c r="BO223" s="11"/>
      <c r="BP223" s="11"/>
      <c r="BQ223" s="11"/>
      <c r="BR223" s="11"/>
      <c r="BS223" s="11"/>
      <c r="BT223" s="11"/>
      <c r="BU223" s="11"/>
      <c r="BV223" s="1347"/>
      <c r="BW223" s="11"/>
      <c r="BX223" s="11"/>
      <c r="BY223" s="11"/>
      <c r="BZ223" s="11"/>
      <c r="CA223" s="11"/>
      <c r="CB223" s="11"/>
    </row>
    <row r="224" spans="1:80" s="127" customFormat="1" x14ac:dyDescent="0.45">
      <c r="A224" s="128" t="s">
        <v>365</v>
      </c>
      <c r="B224" s="128"/>
      <c r="C224" s="128"/>
      <c r="D224" s="128"/>
      <c r="E224" s="128"/>
      <c r="F224" s="129"/>
      <c r="G224" s="129"/>
      <c r="H224" s="129"/>
      <c r="I224" s="129"/>
      <c r="J224" s="129"/>
      <c r="K224" s="129"/>
      <c r="L224" s="129"/>
      <c r="M224" s="129"/>
      <c r="N224" s="129"/>
      <c r="O224" s="129"/>
      <c r="P224" s="129"/>
      <c r="Q224" s="129"/>
      <c r="R224" s="129"/>
      <c r="S224" s="129"/>
      <c r="T224" s="129"/>
      <c r="U224" s="129"/>
      <c r="V224" s="129"/>
      <c r="W224" s="129"/>
      <c r="X224" s="129"/>
      <c r="Y224" s="129"/>
      <c r="BN224" s="11" t="s">
        <v>615</v>
      </c>
      <c r="BO224" s="11"/>
      <c r="BP224" s="11"/>
      <c r="BQ224" s="11"/>
      <c r="BR224" s="11"/>
      <c r="BS224" s="11"/>
      <c r="BT224" s="11"/>
      <c r="BU224" s="11"/>
      <c r="BV224" s="1347"/>
      <c r="BW224" s="11"/>
      <c r="BX224" s="11"/>
      <c r="BY224" s="11"/>
      <c r="BZ224" s="11"/>
      <c r="CA224" s="11"/>
      <c r="CB224" s="11"/>
    </row>
    <row r="225" spans="1:80" s="127" customFormat="1" x14ac:dyDescent="0.45">
      <c r="A225" s="128" t="s">
        <v>366</v>
      </c>
      <c r="B225" s="128"/>
      <c r="C225" s="128"/>
      <c r="D225" s="128"/>
      <c r="E225" s="128"/>
      <c r="F225" s="128"/>
      <c r="G225" s="129"/>
      <c r="H225" s="129"/>
      <c r="I225" s="129"/>
      <c r="J225" s="129"/>
      <c r="K225" s="129"/>
      <c r="L225" s="129"/>
      <c r="M225" s="129"/>
      <c r="N225" s="129"/>
      <c r="O225" s="129"/>
      <c r="P225" s="129"/>
      <c r="Q225" s="129"/>
      <c r="R225" s="129"/>
      <c r="S225" s="129"/>
      <c r="T225" s="129"/>
      <c r="U225" s="129"/>
      <c r="V225" s="129"/>
      <c r="W225" s="129"/>
      <c r="X225" s="129"/>
      <c r="Y225" s="129"/>
      <c r="BN225" s="118" t="s">
        <v>616</v>
      </c>
      <c r="BO225" s="11"/>
      <c r="BP225" s="11"/>
      <c r="BQ225" s="11"/>
      <c r="BR225" s="11"/>
      <c r="BS225" s="11"/>
      <c r="BT225" s="11"/>
      <c r="BU225" s="11"/>
      <c r="BV225" s="1347"/>
      <c r="BW225" s="11"/>
      <c r="BX225" s="11"/>
      <c r="BY225" s="11"/>
      <c r="BZ225" s="11"/>
      <c r="CA225" s="11"/>
      <c r="CB225" s="11"/>
    </row>
    <row r="226" spans="1:80" s="127" customFormat="1" x14ac:dyDescent="0.45">
      <c r="A226" s="128" t="s">
        <v>367</v>
      </c>
      <c r="B226" s="128"/>
      <c r="C226" s="128"/>
      <c r="D226" s="128"/>
      <c r="E226" s="128"/>
      <c r="F226" s="128"/>
      <c r="G226" s="129"/>
      <c r="H226" s="129"/>
      <c r="I226" s="129"/>
      <c r="J226" s="129"/>
      <c r="K226" s="129"/>
      <c r="L226" s="129"/>
      <c r="M226" s="129"/>
      <c r="N226" s="129"/>
      <c r="O226" s="129"/>
      <c r="P226" s="129"/>
      <c r="Q226" s="129"/>
      <c r="R226" s="129"/>
      <c r="S226" s="129"/>
      <c r="T226" s="129"/>
      <c r="U226" s="129"/>
      <c r="V226" s="129"/>
      <c r="W226" s="129"/>
      <c r="X226" s="129"/>
      <c r="Y226" s="129"/>
      <c r="BN226" s="11" t="s">
        <v>617</v>
      </c>
      <c r="BO226" s="11"/>
      <c r="BP226" s="11"/>
      <c r="BQ226" s="11"/>
      <c r="BR226" s="11"/>
      <c r="BS226" s="11"/>
      <c r="BT226" s="11"/>
      <c r="BU226" s="11"/>
      <c r="BV226" s="1347"/>
      <c r="BW226" s="11"/>
      <c r="BX226" s="11"/>
      <c r="BY226" s="11"/>
      <c r="BZ226" s="11"/>
      <c r="CA226" s="11"/>
      <c r="CB226" s="11"/>
    </row>
    <row r="227" spans="1:80" s="127" customFormat="1" x14ac:dyDescent="0.45">
      <c r="A227" s="128" t="s">
        <v>368</v>
      </c>
      <c r="B227" s="128"/>
      <c r="C227" s="128"/>
      <c r="D227" s="128"/>
      <c r="E227" s="128"/>
      <c r="F227" s="129"/>
      <c r="G227" s="129"/>
      <c r="H227" s="129"/>
      <c r="I227" s="129"/>
      <c r="J227" s="129"/>
      <c r="K227" s="129"/>
      <c r="L227" s="129"/>
      <c r="M227" s="129"/>
      <c r="N227" s="129"/>
      <c r="O227" s="129"/>
      <c r="P227" s="129"/>
      <c r="Q227" s="129"/>
      <c r="R227" s="129"/>
      <c r="S227" s="129"/>
      <c r="T227" s="129"/>
      <c r="U227" s="129"/>
      <c r="V227" s="129"/>
      <c r="W227" s="129"/>
      <c r="X227" s="129"/>
      <c r="Y227" s="129"/>
      <c r="BN227" s="118" t="s">
        <v>618</v>
      </c>
      <c r="BO227" s="11"/>
      <c r="BP227" s="11"/>
      <c r="BQ227" s="11"/>
      <c r="BR227" s="11"/>
      <c r="BS227" s="11"/>
      <c r="BT227" s="11"/>
      <c r="BU227" s="11"/>
      <c r="BV227" s="1347"/>
      <c r="BW227" s="11"/>
      <c r="BX227" s="11"/>
      <c r="BY227" s="11"/>
      <c r="BZ227" s="11"/>
      <c r="CA227" s="11"/>
      <c r="CB227" s="11"/>
    </row>
    <row r="228" spans="1:80" s="127" customFormat="1" x14ac:dyDescent="0.45">
      <c r="A228" s="128" t="s">
        <v>369</v>
      </c>
      <c r="B228" s="128"/>
      <c r="C228" s="128"/>
      <c r="D228" s="128"/>
      <c r="E228" s="128"/>
      <c r="F228" s="128"/>
      <c r="G228" s="129"/>
      <c r="H228" s="129"/>
      <c r="I228" s="129"/>
      <c r="J228" s="129"/>
      <c r="K228" s="129"/>
      <c r="L228" s="129"/>
      <c r="M228" s="129"/>
      <c r="N228" s="129"/>
      <c r="O228" s="129"/>
      <c r="P228" s="129"/>
      <c r="Q228" s="129"/>
      <c r="R228" s="129"/>
      <c r="S228" s="129"/>
      <c r="T228" s="129"/>
      <c r="U228" s="129"/>
      <c r="V228" s="129"/>
      <c r="W228" s="129"/>
      <c r="X228" s="129"/>
      <c r="Y228" s="129"/>
      <c r="BN228" s="11" t="s">
        <v>619</v>
      </c>
      <c r="BO228" s="11"/>
      <c r="BP228" s="11"/>
      <c r="BQ228" s="11"/>
      <c r="BR228" s="11"/>
      <c r="BS228" s="11"/>
      <c r="BT228" s="11"/>
      <c r="BU228" s="11"/>
      <c r="BV228" s="1347"/>
      <c r="BW228" s="11"/>
      <c r="BX228" s="11"/>
      <c r="BY228" s="11"/>
      <c r="BZ228" s="11"/>
      <c r="CA228" s="11"/>
      <c r="CB228" s="11"/>
    </row>
    <row r="229" spans="1:80" s="127" customFormat="1" x14ac:dyDescent="0.45">
      <c r="A229" s="128" t="s">
        <v>370</v>
      </c>
      <c r="B229" s="128"/>
      <c r="C229" s="128"/>
      <c r="D229" s="128"/>
      <c r="E229" s="128"/>
      <c r="F229" s="129"/>
      <c r="G229" s="129"/>
      <c r="H229" s="129"/>
      <c r="I229" s="129"/>
      <c r="J229" s="129"/>
      <c r="K229" s="129"/>
      <c r="L229" s="129"/>
      <c r="M229" s="129"/>
      <c r="N229" s="129"/>
      <c r="O229" s="129"/>
      <c r="P229" s="129"/>
      <c r="Q229" s="129"/>
      <c r="R229" s="129"/>
      <c r="S229" s="129"/>
      <c r="T229" s="129"/>
      <c r="U229" s="129"/>
      <c r="V229" s="129"/>
      <c r="W229" s="129"/>
      <c r="X229" s="129"/>
      <c r="Y229" s="129"/>
      <c r="BN229" s="118" t="s">
        <v>620</v>
      </c>
      <c r="BO229" s="11"/>
      <c r="BP229" s="11"/>
      <c r="BQ229" s="11"/>
      <c r="BR229" s="11"/>
      <c r="BS229" s="11"/>
      <c r="BT229" s="11"/>
      <c r="BU229" s="11"/>
      <c r="BV229" s="1347"/>
      <c r="BW229" s="11"/>
      <c r="BX229" s="11"/>
      <c r="BY229" s="11"/>
      <c r="BZ229" s="11"/>
      <c r="CA229" s="11"/>
      <c r="CB229" s="11"/>
    </row>
    <row r="230" spans="1:80" s="127" customFormat="1" x14ac:dyDescent="0.45">
      <c r="A230" s="128" t="s">
        <v>371</v>
      </c>
      <c r="B230" s="128"/>
      <c r="C230" s="128"/>
      <c r="D230" s="128"/>
      <c r="E230" s="128"/>
      <c r="F230" s="128"/>
      <c r="G230" s="129"/>
      <c r="H230" s="129"/>
      <c r="I230" s="129"/>
      <c r="J230" s="129"/>
      <c r="K230" s="129"/>
      <c r="L230" s="129"/>
      <c r="M230" s="129"/>
      <c r="N230" s="129"/>
      <c r="O230" s="129"/>
      <c r="P230" s="129"/>
      <c r="Q230" s="129"/>
      <c r="R230" s="129"/>
      <c r="S230" s="129"/>
      <c r="T230" s="129"/>
      <c r="U230" s="129"/>
      <c r="V230" s="129"/>
      <c r="W230" s="129"/>
      <c r="X230" s="129"/>
      <c r="Y230" s="129"/>
      <c r="BN230" s="118" t="s">
        <v>621</v>
      </c>
      <c r="BO230" s="11"/>
      <c r="BP230" s="11"/>
      <c r="BQ230" s="11"/>
      <c r="BR230" s="11"/>
      <c r="BS230" s="11"/>
      <c r="BT230" s="11"/>
      <c r="BU230" s="11"/>
      <c r="BV230" s="1347"/>
      <c r="BW230" s="11"/>
      <c r="BX230" s="11"/>
      <c r="BY230" s="11"/>
      <c r="BZ230" s="11"/>
      <c r="CA230" s="11"/>
      <c r="CB230" s="11"/>
    </row>
    <row r="231" spans="1:80" s="127" customFormat="1" x14ac:dyDescent="0.45">
      <c r="A231" s="128" t="s">
        <v>372</v>
      </c>
      <c r="B231" s="128"/>
      <c r="C231" s="128"/>
      <c r="D231" s="128"/>
      <c r="E231" s="128"/>
      <c r="F231" s="128"/>
      <c r="G231" s="129"/>
      <c r="H231" s="129"/>
      <c r="I231" s="129"/>
      <c r="J231" s="129"/>
      <c r="K231" s="129"/>
      <c r="L231" s="129"/>
      <c r="M231" s="129"/>
      <c r="N231" s="129"/>
      <c r="O231" s="129"/>
      <c r="P231" s="129"/>
      <c r="Q231" s="129"/>
      <c r="R231" s="129"/>
      <c r="S231" s="129"/>
      <c r="T231" s="129"/>
      <c r="U231" s="129"/>
      <c r="V231" s="129"/>
      <c r="W231" s="129"/>
      <c r="X231" s="129"/>
      <c r="Y231" s="129"/>
      <c r="BN231" s="118" t="s">
        <v>622</v>
      </c>
      <c r="BO231" s="11"/>
      <c r="BP231" s="11"/>
      <c r="BQ231" s="11"/>
      <c r="BR231" s="11"/>
      <c r="BS231" s="11"/>
      <c r="BT231" s="11"/>
      <c r="BU231" s="11"/>
      <c r="BV231" s="1347"/>
      <c r="BW231" s="11"/>
      <c r="BX231" s="11"/>
      <c r="BY231" s="11"/>
      <c r="BZ231" s="11"/>
      <c r="CA231" s="11"/>
      <c r="CB231" s="11"/>
    </row>
    <row r="232" spans="1:80" s="127" customFormat="1" x14ac:dyDescent="0.45">
      <c r="A232" s="128" t="s">
        <v>373</v>
      </c>
      <c r="B232" s="128"/>
      <c r="C232" s="128"/>
      <c r="D232" s="128"/>
      <c r="E232" s="128"/>
      <c r="F232" s="129"/>
      <c r="G232" s="129"/>
      <c r="H232" s="129"/>
      <c r="I232" s="129"/>
      <c r="J232" s="129"/>
      <c r="K232" s="129"/>
      <c r="L232" s="129"/>
      <c r="M232" s="129"/>
      <c r="N232" s="129"/>
      <c r="O232" s="129"/>
      <c r="P232" s="129"/>
      <c r="Q232" s="129"/>
      <c r="R232" s="129"/>
      <c r="S232" s="129"/>
      <c r="T232" s="129"/>
      <c r="U232" s="129"/>
      <c r="V232" s="129"/>
      <c r="W232" s="129"/>
      <c r="X232" s="129"/>
      <c r="Y232" s="129"/>
      <c r="BN232" s="118" t="s">
        <v>623</v>
      </c>
      <c r="BO232" s="11"/>
      <c r="BP232" s="11"/>
      <c r="BQ232" s="11"/>
      <c r="BR232" s="11"/>
      <c r="BS232" s="11"/>
      <c r="BT232" s="11"/>
      <c r="BU232" s="11"/>
      <c r="BV232" s="1347"/>
      <c r="BW232" s="11"/>
      <c r="BX232" s="11"/>
      <c r="BY232" s="11"/>
      <c r="BZ232" s="11"/>
      <c r="CA232" s="11"/>
      <c r="CB232" s="11"/>
    </row>
    <row r="233" spans="1:80" s="127" customFormat="1" x14ac:dyDescent="0.45">
      <c r="A233" s="128" t="s">
        <v>374</v>
      </c>
      <c r="B233" s="128"/>
      <c r="C233" s="128"/>
      <c r="D233" s="128"/>
      <c r="E233" s="128"/>
      <c r="F233" s="128"/>
      <c r="G233" s="129"/>
      <c r="H233" s="129"/>
      <c r="I233" s="129"/>
      <c r="J233" s="129"/>
      <c r="K233" s="129"/>
      <c r="L233" s="129"/>
      <c r="M233" s="129"/>
      <c r="N233" s="129"/>
      <c r="O233" s="129"/>
      <c r="P233" s="129"/>
      <c r="Q233" s="129"/>
      <c r="R233" s="129"/>
      <c r="S233" s="129"/>
      <c r="T233" s="129"/>
      <c r="U233" s="129"/>
      <c r="V233" s="129"/>
      <c r="W233" s="129"/>
      <c r="X233" s="129"/>
      <c r="Y233" s="129"/>
      <c r="BN233" s="118" t="s">
        <v>624</v>
      </c>
      <c r="BO233" s="11"/>
      <c r="BP233" s="11"/>
      <c r="BQ233" s="11"/>
      <c r="BR233" s="11"/>
      <c r="BS233" s="11"/>
      <c r="BT233" s="11"/>
      <c r="BU233" s="11"/>
      <c r="BV233" s="1347"/>
      <c r="BW233" s="11"/>
      <c r="BX233" s="11"/>
      <c r="BY233" s="11"/>
      <c r="BZ233" s="11"/>
      <c r="CA233" s="11"/>
      <c r="CB233" s="11"/>
    </row>
    <row r="234" spans="1:80" s="127" customFormat="1" x14ac:dyDescent="0.45">
      <c r="A234" s="128" t="s">
        <v>375</v>
      </c>
      <c r="B234" s="128"/>
      <c r="C234" s="128"/>
      <c r="D234" s="128"/>
      <c r="E234" s="128"/>
      <c r="F234" s="128"/>
      <c r="G234" s="129"/>
      <c r="H234" s="129"/>
      <c r="I234" s="129"/>
      <c r="J234" s="129"/>
      <c r="K234" s="129"/>
      <c r="L234" s="129"/>
      <c r="M234" s="129"/>
      <c r="N234" s="129"/>
      <c r="O234" s="129"/>
      <c r="P234" s="129"/>
      <c r="Q234" s="129"/>
      <c r="R234" s="129"/>
      <c r="S234" s="129"/>
      <c r="T234" s="129"/>
      <c r="U234" s="129"/>
      <c r="V234" s="129"/>
      <c r="W234" s="129"/>
      <c r="X234" s="129"/>
      <c r="Y234" s="129"/>
      <c r="BN234" s="118" t="s">
        <v>625</v>
      </c>
      <c r="BO234" s="11"/>
      <c r="BP234" s="11"/>
      <c r="BQ234" s="11"/>
      <c r="BR234" s="11"/>
      <c r="BS234" s="11"/>
      <c r="BT234" s="11"/>
      <c r="BU234" s="11"/>
      <c r="BV234" s="1347"/>
      <c r="BW234" s="11"/>
      <c r="BX234" s="11"/>
      <c r="BY234" s="11"/>
      <c r="BZ234" s="11"/>
      <c r="CA234" s="11"/>
      <c r="CB234" s="11"/>
    </row>
    <row r="235" spans="1:80" s="127" customFormat="1" x14ac:dyDescent="0.45">
      <c r="A235" s="128" t="s">
        <v>376</v>
      </c>
      <c r="B235" s="128"/>
      <c r="C235" s="128"/>
      <c r="D235" s="128"/>
      <c r="E235" s="128"/>
      <c r="F235" s="128"/>
      <c r="G235" s="129"/>
      <c r="H235" s="129"/>
      <c r="I235" s="129"/>
      <c r="J235" s="129"/>
      <c r="K235" s="129"/>
      <c r="L235" s="129"/>
      <c r="M235" s="129"/>
      <c r="N235" s="129"/>
      <c r="O235" s="129"/>
      <c r="P235" s="129"/>
      <c r="Q235" s="129"/>
      <c r="R235" s="129"/>
      <c r="S235" s="129"/>
      <c r="T235" s="129"/>
      <c r="U235" s="129"/>
      <c r="V235" s="129"/>
      <c r="W235" s="129"/>
      <c r="X235" s="129"/>
      <c r="Y235" s="129"/>
      <c r="BN235" s="11"/>
      <c r="BO235" s="118"/>
      <c r="BP235" s="118"/>
      <c r="BQ235" s="118"/>
      <c r="BR235" s="118"/>
      <c r="BS235" s="11"/>
      <c r="BT235" s="118"/>
      <c r="BU235" s="118"/>
      <c r="BV235" s="1359"/>
      <c r="BW235" s="118"/>
      <c r="BX235" s="118"/>
      <c r="BY235" s="11"/>
      <c r="BZ235" s="11"/>
      <c r="CA235" s="11"/>
      <c r="CB235" s="11"/>
    </row>
    <row r="236" spans="1:80" s="127" customFormat="1" x14ac:dyDescent="0.45">
      <c r="A236" s="128" t="s">
        <v>377</v>
      </c>
      <c r="B236" s="128"/>
      <c r="C236" s="128"/>
      <c r="D236" s="128"/>
      <c r="E236" s="128"/>
      <c r="F236" s="128"/>
      <c r="G236" s="129"/>
      <c r="H236" s="129"/>
      <c r="I236" s="129"/>
      <c r="J236" s="129"/>
      <c r="K236" s="129"/>
      <c r="L236" s="129"/>
      <c r="M236" s="129"/>
      <c r="N236" s="129"/>
      <c r="O236" s="129"/>
      <c r="P236" s="129"/>
      <c r="Q236" s="129"/>
      <c r="R236" s="129"/>
      <c r="S236" s="129"/>
      <c r="T236" s="129"/>
      <c r="U236" s="129"/>
      <c r="V236" s="129"/>
      <c r="W236" s="129"/>
      <c r="X236" s="129"/>
      <c r="Y236" s="129"/>
      <c r="BN236" s="11"/>
      <c r="BO236" s="11"/>
      <c r="BP236" s="11"/>
      <c r="BQ236" s="11"/>
      <c r="BR236" s="11"/>
      <c r="BS236" s="118"/>
      <c r="BT236" s="11"/>
      <c r="BU236" s="11"/>
      <c r="BV236" s="1347"/>
      <c r="BW236" s="11"/>
      <c r="BX236" s="11"/>
      <c r="BY236" s="11"/>
      <c r="BZ236" s="11"/>
      <c r="CA236" s="11"/>
      <c r="CB236" s="11"/>
    </row>
    <row r="237" spans="1:80" s="127" customFormat="1" x14ac:dyDescent="0.45">
      <c r="A237" s="128" t="s">
        <v>378</v>
      </c>
      <c r="B237" s="128"/>
      <c r="C237" s="128"/>
      <c r="D237" s="128"/>
      <c r="E237" s="128"/>
      <c r="F237" s="128"/>
      <c r="G237" s="129"/>
      <c r="H237" s="129"/>
      <c r="I237" s="129"/>
      <c r="J237" s="129"/>
      <c r="K237" s="129"/>
      <c r="L237" s="129"/>
      <c r="M237" s="129"/>
      <c r="N237" s="129"/>
      <c r="O237" s="129"/>
      <c r="P237" s="129"/>
      <c r="Q237" s="129"/>
      <c r="R237" s="129"/>
      <c r="S237" s="129"/>
      <c r="T237" s="129"/>
      <c r="U237" s="129"/>
      <c r="V237" s="129"/>
      <c r="W237" s="129"/>
      <c r="X237" s="129"/>
      <c r="Y237" s="129"/>
      <c r="BN237" s="11"/>
      <c r="BO237" s="11"/>
      <c r="BP237" s="11"/>
      <c r="BQ237" s="11"/>
      <c r="BR237" s="11"/>
      <c r="BS237" s="11"/>
      <c r="BT237" s="11"/>
      <c r="BU237" s="11"/>
      <c r="BV237" s="1347"/>
      <c r="BW237" s="11"/>
      <c r="BX237" s="11"/>
      <c r="BY237" s="11"/>
      <c r="BZ237" s="11"/>
      <c r="CA237" s="11"/>
      <c r="CB237" s="11"/>
    </row>
    <row r="238" spans="1:80" s="127" customFormat="1" x14ac:dyDescent="0.45">
      <c r="A238" s="128" t="s">
        <v>379</v>
      </c>
      <c r="B238" s="128"/>
      <c r="C238" s="128"/>
      <c r="D238" s="128"/>
      <c r="E238" s="128"/>
      <c r="F238" s="128"/>
      <c r="G238" s="129"/>
      <c r="H238" s="129"/>
      <c r="I238" s="129"/>
      <c r="J238" s="129"/>
      <c r="K238" s="129"/>
      <c r="L238" s="129"/>
      <c r="M238" s="129"/>
      <c r="N238" s="129"/>
      <c r="O238" s="129"/>
      <c r="P238" s="129"/>
      <c r="Q238" s="129"/>
      <c r="R238" s="129"/>
      <c r="S238" s="129"/>
      <c r="T238" s="129"/>
      <c r="U238" s="129"/>
      <c r="V238" s="129"/>
      <c r="W238" s="129"/>
      <c r="X238" s="129"/>
      <c r="Y238" s="129"/>
      <c r="BN238" s="11"/>
      <c r="BO238" s="11"/>
      <c r="BP238" s="11"/>
      <c r="BQ238" s="11"/>
      <c r="BR238" s="11"/>
      <c r="BS238" s="11"/>
      <c r="BT238" s="11"/>
      <c r="BU238" s="11"/>
      <c r="BV238" s="1347"/>
      <c r="BW238" s="11"/>
      <c r="BX238" s="11"/>
      <c r="BY238" s="11"/>
      <c r="BZ238" s="11"/>
      <c r="CA238" s="11"/>
      <c r="CB238" s="11"/>
    </row>
    <row r="239" spans="1:80" s="127" customFormat="1" x14ac:dyDescent="0.45">
      <c r="A239" s="128" t="s">
        <v>380</v>
      </c>
      <c r="B239" s="128"/>
      <c r="C239" s="128"/>
      <c r="D239" s="128"/>
      <c r="E239" s="128"/>
      <c r="F239" s="128"/>
      <c r="G239" s="129"/>
      <c r="H239" s="129"/>
      <c r="I239" s="129"/>
      <c r="J239" s="129"/>
      <c r="K239" s="129"/>
      <c r="L239" s="129"/>
      <c r="M239" s="129"/>
      <c r="N239" s="129"/>
      <c r="O239" s="129"/>
      <c r="P239" s="129"/>
      <c r="Q239" s="129"/>
      <c r="R239" s="129"/>
      <c r="S239" s="129"/>
      <c r="T239" s="129"/>
      <c r="U239" s="129"/>
      <c r="V239" s="129"/>
      <c r="W239" s="129"/>
      <c r="X239" s="129"/>
      <c r="Y239" s="129"/>
      <c r="BN239" s="11"/>
      <c r="BO239" s="11"/>
      <c r="BP239" s="11"/>
      <c r="BQ239" s="11"/>
      <c r="BR239" s="11"/>
      <c r="BS239" s="11"/>
      <c r="BT239" s="11"/>
      <c r="BU239" s="11"/>
      <c r="BV239" s="1347"/>
      <c r="BW239" s="11"/>
      <c r="BX239" s="11"/>
      <c r="BY239" s="11"/>
      <c r="BZ239" s="11"/>
      <c r="CA239" s="11"/>
      <c r="CB239" s="11"/>
    </row>
    <row r="240" spans="1:80" s="127" customFormat="1" x14ac:dyDescent="0.45">
      <c r="A240" s="128" t="s">
        <v>381</v>
      </c>
      <c r="B240" s="128"/>
      <c r="C240" s="128"/>
      <c r="D240" s="128"/>
      <c r="E240" s="128"/>
      <c r="F240" s="128"/>
      <c r="G240" s="129"/>
      <c r="H240" s="129"/>
      <c r="I240" s="129"/>
      <c r="J240" s="129"/>
      <c r="K240" s="129"/>
      <c r="L240" s="129"/>
      <c r="M240" s="129"/>
      <c r="N240" s="129"/>
      <c r="O240" s="129"/>
      <c r="P240" s="129"/>
      <c r="Q240" s="129"/>
      <c r="R240" s="129"/>
      <c r="S240" s="129"/>
      <c r="T240" s="129"/>
      <c r="U240" s="129"/>
      <c r="V240" s="129"/>
      <c r="W240" s="129"/>
      <c r="X240" s="129"/>
      <c r="Y240" s="129"/>
      <c r="BN240" s="11"/>
      <c r="BO240" s="11"/>
      <c r="BP240" s="11"/>
      <c r="BQ240" s="11"/>
      <c r="BR240" s="11"/>
      <c r="BS240" s="11"/>
      <c r="BT240" s="11"/>
      <c r="BU240" s="11"/>
      <c r="BV240" s="1347"/>
      <c r="BW240" s="11"/>
      <c r="BX240" s="11"/>
      <c r="BY240" s="11"/>
      <c r="BZ240" s="11"/>
      <c r="CA240" s="11"/>
      <c r="CB240" s="11"/>
    </row>
    <row r="241" spans="1:80" s="127" customFormat="1" x14ac:dyDescent="0.45">
      <c r="A241" s="128" t="s">
        <v>382</v>
      </c>
      <c r="B241" s="128"/>
      <c r="C241" s="128"/>
      <c r="D241" s="128"/>
      <c r="E241" s="128"/>
      <c r="F241" s="128"/>
      <c r="G241" s="129"/>
      <c r="H241" s="129"/>
      <c r="I241" s="129"/>
      <c r="J241" s="129"/>
      <c r="K241" s="129"/>
      <c r="L241" s="129"/>
      <c r="M241" s="129"/>
      <c r="N241" s="129"/>
      <c r="O241" s="129"/>
      <c r="P241" s="129"/>
      <c r="Q241" s="129"/>
      <c r="R241" s="129"/>
      <c r="S241" s="129"/>
      <c r="T241" s="129"/>
      <c r="U241" s="129"/>
      <c r="V241" s="129"/>
      <c r="W241" s="129"/>
      <c r="X241" s="129"/>
      <c r="Y241" s="129"/>
      <c r="BN241" s="11"/>
      <c r="BO241" s="11"/>
      <c r="BP241" s="11"/>
      <c r="BQ241" s="11"/>
      <c r="BR241" s="11"/>
      <c r="BS241" s="11"/>
      <c r="BT241" s="11"/>
      <c r="BU241" s="11"/>
      <c r="BV241" s="1347"/>
      <c r="BW241" s="11"/>
      <c r="BX241" s="11"/>
      <c r="BY241" s="11"/>
      <c r="BZ241" s="11"/>
      <c r="CA241" s="11"/>
      <c r="CB241" s="11"/>
    </row>
    <row r="242" spans="1:80" s="127" customFormat="1" x14ac:dyDescent="0.45">
      <c r="A242" s="128" t="s">
        <v>383</v>
      </c>
      <c r="B242" s="128"/>
      <c r="C242" s="128"/>
      <c r="D242" s="128"/>
      <c r="E242" s="128"/>
      <c r="F242" s="128"/>
      <c r="G242" s="129"/>
      <c r="H242" s="129"/>
      <c r="I242" s="129"/>
      <c r="J242" s="129"/>
      <c r="K242" s="129"/>
      <c r="L242" s="129"/>
      <c r="M242" s="129"/>
      <c r="N242" s="129"/>
      <c r="O242" s="129"/>
      <c r="P242" s="129"/>
      <c r="Q242" s="129"/>
      <c r="R242" s="129"/>
      <c r="S242" s="129"/>
      <c r="T242" s="129"/>
      <c r="U242" s="129"/>
      <c r="V242" s="129"/>
      <c r="W242" s="129"/>
      <c r="X242" s="129"/>
      <c r="Y242" s="129"/>
      <c r="BN242" s="11"/>
      <c r="BO242" s="11"/>
      <c r="BP242" s="11"/>
      <c r="BQ242" s="11"/>
      <c r="BR242" s="11"/>
      <c r="BS242" s="11"/>
      <c r="BT242" s="11"/>
      <c r="BU242" s="11"/>
      <c r="BV242" s="1347"/>
      <c r="BW242" s="11"/>
      <c r="BX242" s="11"/>
      <c r="BY242" s="11"/>
      <c r="BZ242" s="11"/>
      <c r="CA242" s="11"/>
      <c r="CB242" s="11"/>
    </row>
    <row r="243" spans="1:80" s="127" customFormat="1" x14ac:dyDescent="0.45">
      <c r="A243" s="128" t="s">
        <v>384</v>
      </c>
      <c r="B243" s="128"/>
      <c r="C243" s="128"/>
      <c r="D243" s="128"/>
      <c r="E243" s="128"/>
      <c r="F243" s="128"/>
      <c r="G243" s="129"/>
      <c r="H243" s="129"/>
      <c r="I243" s="129"/>
      <c r="J243" s="129"/>
      <c r="K243" s="129"/>
      <c r="L243" s="129"/>
      <c r="M243" s="129"/>
      <c r="N243" s="129"/>
      <c r="O243" s="129"/>
      <c r="P243" s="129"/>
      <c r="Q243" s="129"/>
      <c r="R243" s="129"/>
      <c r="S243" s="129"/>
      <c r="T243" s="129"/>
      <c r="U243" s="129"/>
      <c r="V243" s="129"/>
      <c r="W243" s="129"/>
      <c r="X243" s="129"/>
      <c r="Y243" s="129"/>
      <c r="BN243" s="11"/>
      <c r="BO243" s="11"/>
      <c r="BP243" s="11"/>
      <c r="BQ243" s="11"/>
      <c r="BR243" s="11"/>
      <c r="BS243" s="11"/>
      <c r="BT243" s="11"/>
      <c r="BU243" s="11"/>
      <c r="BV243" s="1347"/>
      <c r="BW243" s="11"/>
      <c r="BX243" s="11"/>
      <c r="BY243" s="11"/>
      <c r="BZ243" s="11"/>
      <c r="CA243" s="11"/>
      <c r="CB243" s="11"/>
    </row>
    <row r="244" spans="1:80" s="127" customFormat="1" x14ac:dyDescent="0.45">
      <c r="A244" s="128" t="s">
        <v>385</v>
      </c>
      <c r="B244" s="128"/>
      <c r="C244" s="128"/>
      <c r="D244" s="128"/>
      <c r="E244" s="128"/>
      <c r="F244" s="128"/>
      <c r="G244" s="129"/>
      <c r="H244" s="129"/>
      <c r="I244" s="129"/>
      <c r="J244" s="129"/>
      <c r="K244" s="129"/>
      <c r="L244" s="129"/>
      <c r="M244" s="129"/>
      <c r="N244" s="129"/>
      <c r="O244" s="129"/>
      <c r="P244" s="129"/>
      <c r="Q244" s="129"/>
      <c r="R244" s="129"/>
      <c r="S244" s="129"/>
      <c r="T244" s="129"/>
      <c r="U244" s="129"/>
      <c r="V244" s="129"/>
      <c r="W244" s="129"/>
      <c r="X244" s="129"/>
      <c r="Y244" s="129"/>
      <c r="BN244" s="11"/>
      <c r="BO244" s="11"/>
      <c r="BP244" s="11"/>
      <c r="BQ244" s="11"/>
      <c r="BR244" s="11"/>
      <c r="BS244" s="11"/>
      <c r="BT244" s="11"/>
      <c r="BU244" s="11"/>
      <c r="BV244" s="1347"/>
      <c r="BW244" s="11"/>
      <c r="BX244" s="11"/>
      <c r="BY244" s="11"/>
      <c r="BZ244" s="11"/>
      <c r="CA244" s="11"/>
      <c r="CB244" s="11"/>
    </row>
    <row r="245" spans="1:80" s="127" customFormat="1" x14ac:dyDescent="0.45">
      <c r="A245" s="128" t="s">
        <v>386</v>
      </c>
      <c r="B245" s="128"/>
      <c r="C245" s="128"/>
      <c r="D245" s="128"/>
      <c r="E245" s="128"/>
      <c r="F245" s="128"/>
      <c r="G245" s="129"/>
      <c r="H245" s="129"/>
      <c r="I245" s="129"/>
      <c r="J245" s="129"/>
      <c r="K245" s="129"/>
      <c r="L245" s="129"/>
      <c r="M245" s="129"/>
      <c r="N245" s="129"/>
      <c r="O245" s="129"/>
      <c r="P245" s="129"/>
      <c r="Q245" s="129"/>
      <c r="R245" s="129"/>
      <c r="S245" s="129"/>
      <c r="T245" s="129"/>
      <c r="U245" s="129"/>
      <c r="V245" s="129"/>
      <c r="W245" s="129"/>
      <c r="X245" s="129"/>
      <c r="Y245" s="129"/>
      <c r="BN245" s="11"/>
      <c r="BO245" s="11"/>
      <c r="BP245" s="11"/>
      <c r="BQ245" s="11"/>
      <c r="BR245" s="11"/>
      <c r="BS245" s="11"/>
      <c r="BT245" s="11"/>
      <c r="BU245" s="11"/>
      <c r="BV245" s="1347"/>
      <c r="BW245" s="11"/>
      <c r="BX245" s="11"/>
      <c r="BY245" s="11"/>
      <c r="BZ245" s="11"/>
      <c r="CA245" s="11"/>
      <c r="CB245" s="11"/>
    </row>
    <row r="246" spans="1:80" s="127" customFormat="1" x14ac:dyDescent="0.45">
      <c r="A246" s="128" t="s">
        <v>387</v>
      </c>
      <c r="B246" s="128"/>
      <c r="C246" s="128"/>
      <c r="D246" s="128"/>
      <c r="E246" s="128"/>
      <c r="F246" s="128"/>
      <c r="G246" s="129"/>
      <c r="H246" s="129"/>
      <c r="I246" s="129"/>
      <c r="J246" s="129"/>
      <c r="K246" s="129"/>
      <c r="L246" s="129"/>
      <c r="M246" s="129"/>
      <c r="N246" s="129"/>
      <c r="O246" s="129"/>
      <c r="P246" s="129"/>
      <c r="Q246" s="129"/>
      <c r="R246" s="129"/>
      <c r="S246" s="129"/>
      <c r="T246" s="129"/>
      <c r="U246" s="129"/>
      <c r="V246" s="129"/>
      <c r="W246" s="129"/>
      <c r="X246" s="129"/>
      <c r="Y246" s="129"/>
      <c r="BN246" s="11"/>
      <c r="BO246" s="11"/>
      <c r="BP246" s="11"/>
      <c r="BQ246" s="11"/>
      <c r="BR246" s="11"/>
      <c r="BS246" s="11"/>
      <c r="BT246" s="11"/>
      <c r="BU246" s="11"/>
      <c r="BV246" s="1347"/>
      <c r="BW246" s="11"/>
      <c r="BX246" s="11"/>
      <c r="BY246" s="11"/>
      <c r="BZ246" s="11"/>
      <c r="CA246" s="11"/>
      <c r="CB246" s="11"/>
    </row>
    <row r="247" spans="1:80" s="127" customFormat="1" x14ac:dyDescent="0.45">
      <c r="A247" s="128" t="s">
        <v>388</v>
      </c>
      <c r="B247" s="128"/>
      <c r="C247" s="128"/>
      <c r="D247" s="128"/>
      <c r="E247" s="128"/>
      <c r="F247" s="128"/>
      <c r="G247" s="129"/>
      <c r="H247" s="129"/>
      <c r="I247" s="129"/>
      <c r="J247" s="129"/>
      <c r="K247" s="129"/>
      <c r="L247" s="129"/>
      <c r="M247" s="129"/>
      <c r="N247" s="129"/>
      <c r="O247" s="129"/>
      <c r="P247" s="129"/>
      <c r="Q247" s="129"/>
      <c r="R247" s="129"/>
      <c r="S247" s="129"/>
      <c r="T247" s="129"/>
      <c r="U247" s="129"/>
      <c r="V247" s="129"/>
      <c r="W247" s="129"/>
      <c r="X247" s="129"/>
      <c r="Y247" s="129"/>
      <c r="BN247" s="11"/>
      <c r="BO247" s="11"/>
      <c r="BP247" s="11"/>
      <c r="BQ247" s="11"/>
      <c r="BR247" s="11"/>
      <c r="BS247" s="11"/>
      <c r="BT247" s="11"/>
      <c r="BU247" s="11"/>
      <c r="BV247" s="1347"/>
      <c r="BW247" s="11"/>
      <c r="BX247" s="11"/>
      <c r="BY247" s="11"/>
      <c r="BZ247" s="11"/>
      <c r="CA247" s="11"/>
      <c r="CB247" s="11"/>
    </row>
    <row r="248" spans="1:80" s="127" customFormat="1" x14ac:dyDescent="0.45">
      <c r="A248" s="128" t="s">
        <v>389</v>
      </c>
      <c r="B248" s="128"/>
      <c r="C248" s="128"/>
      <c r="D248" s="128"/>
      <c r="E248" s="128"/>
      <c r="F248" s="128"/>
      <c r="G248" s="129"/>
      <c r="H248" s="129"/>
      <c r="I248" s="129"/>
      <c r="J248" s="129"/>
      <c r="K248" s="129"/>
      <c r="L248" s="129"/>
      <c r="M248" s="129"/>
      <c r="N248" s="129"/>
      <c r="O248" s="129"/>
      <c r="P248" s="129"/>
      <c r="Q248" s="129"/>
      <c r="R248" s="129"/>
      <c r="S248" s="129"/>
      <c r="T248" s="129"/>
      <c r="U248" s="129"/>
      <c r="V248" s="129"/>
      <c r="W248" s="129"/>
      <c r="X248" s="129"/>
      <c r="Y248" s="129"/>
      <c r="BN248" s="11"/>
      <c r="BO248" s="11"/>
      <c r="BP248" s="11"/>
      <c r="BQ248" s="11"/>
      <c r="BR248" s="11"/>
      <c r="BS248" s="11"/>
      <c r="BT248" s="11"/>
      <c r="BU248" s="11"/>
      <c r="BV248" s="1347"/>
      <c r="BW248" s="11"/>
      <c r="BX248" s="11"/>
      <c r="BY248" s="11"/>
      <c r="BZ248" s="11"/>
      <c r="CA248" s="11"/>
      <c r="CB248" s="11"/>
    </row>
    <row r="249" spans="1:80" s="127" customFormat="1" ht="12.75" x14ac:dyDescent="0.35">
      <c r="A249" s="128" t="s">
        <v>390</v>
      </c>
      <c r="B249" s="128"/>
      <c r="C249" s="128"/>
      <c r="D249" s="128"/>
      <c r="E249" s="128"/>
      <c r="F249" s="128"/>
      <c r="G249" s="129"/>
      <c r="H249" s="129"/>
      <c r="I249" s="129"/>
      <c r="J249" s="129"/>
      <c r="K249" s="129"/>
      <c r="L249" s="129"/>
      <c r="M249" s="129"/>
      <c r="N249" s="129"/>
      <c r="O249" s="129"/>
      <c r="P249" s="129"/>
      <c r="Q249" s="129"/>
      <c r="R249" s="129"/>
      <c r="S249" s="129"/>
      <c r="T249" s="129"/>
      <c r="U249" s="129"/>
      <c r="V249" s="129"/>
      <c r="W249" s="129"/>
      <c r="X249" s="129"/>
      <c r="Y249" s="129"/>
    </row>
    <row r="250" spans="1:80" s="127" customFormat="1" ht="12.75" x14ac:dyDescent="0.35">
      <c r="A250" s="128" t="s">
        <v>391</v>
      </c>
      <c r="B250" s="128"/>
      <c r="C250" s="128"/>
      <c r="D250" s="128"/>
      <c r="E250" s="128"/>
      <c r="F250" s="128"/>
      <c r="G250" s="129"/>
      <c r="H250" s="129"/>
      <c r="I250" s="129"/>
      <c r="J250" s="129"/>
      <c r="K250" s="129"/>
      <c r="L250" s="129"/>
      <c r="M250" s="129"/>
      <c r="N250" s="129"/>
      <c r="O250" s="129"/>
      <c r="P250" s="129"/>
      <c r="Q250" s="129"/>
      <c r="R250" s="129"/>
      <c r="S250" s="129"/>
      <c r="T250" s="129"/>
      <c r="U250" s="129"/>
      <c r="V250" s="129"/>
      <c r="W250" s="129"/>
      <c r="X250" s="129"/>
      <c r="Y250" s="129"/>
    </row>
    <row r="251" spans="1:80" s="127" customFormat="1" ht="12.75" x14ac:dyDescent="0.35">
      <c r="A251" s="128" t="s">
        <v>392</v>
      </c>
      <c r="B251" s="128"/>
      <c r="C251" s="128"/>
      <c r="D251" s="128"/>
      <c r="E251" s="128"/>
      <c r="F251" s="128"/>
      <c r="G251" s="129"/>
      <c r="H251" s="129"/>
      <c r="I251" s="129"/>
      <c r="J251" s="129"/>
      <c r="K251" s="129"/>
      <c r="L251" s="129"/>
      <c r="M251" s="129"/>
      <c r="N251" s="129"/>
      <c r="O251" s="129"/>
      <c r="P251" s="129"/>
      <c r="Q251" s="129"/>
      <c r="R251" s="129"/>
      <c r="S251" s="129"/>
      <c r="T251" s="129"/>
      <c r="U251" s="129"/>
      <c r="V251" s="129"/>
      <c r="W251" s="129"/>
      <c r="X251" s="129"/>
      <c r="Y251" s="129"/>
    </row>
    <row r="252" spans="1:80" s="127" customFormat="1" ht="12.75" x14ac:dyDescent="0.35">
      <c r="A252" s="128" t="s">
        <v>393</v>
      </c>
      <c r="B252" s="128"/>
      <c r="C252" s="128"/>
      <c r="D252" s="128"/>
      <c r="E252" s="128"/>
      <c r="F252" s="128"/>
      <c r="G252" s="129"/>
      <c r="H252" s="129"/>
      <c r="I252" s="129"/>
      <c r="J252" s="129"/>
      <c r="K252" s="129"/>
      <c r="L252" s="129"/>
      <c r="M252" s="129"/>
      <c r="N252" s="129"/>
      <c r="O252" s="129"/>
      <c r="P252" s="129"/>
      <c r="Q252" s="129"/>
      <c r="R252" s="129"/>
      <c r="S252" s="129"/>
      <c r="T252" s="129"/>
      <c r="U252" s="129"/>
      <c r="V252" s="129"/>
      <c r="W252" s="129"/>
      <c r="X252" s="129"/>
      <c r="Y252" s="129"/>
    </row>
    <row r="253" spans="1:80" s="127" customFormat="1" ht="12.75" x14ac:dyDescent="0.35">
      <c r="A253" s="128" t="s">
        <v>394</v>
      </c>
      <c r="B253" s="128"/>
      <c r="C253" s="128"/>
      <c r="D253" s="128"/>
      <c r="E253" s="128"/>
      <c r="F253" s="128"/>
      <c r="G253" s="129"/>
      <c r="H253" s="129"/>
      <c r="I253" s="129"/>
      <c r="J253" s="129"/>
      <c r="K253" s="129"/>
      <c r="L253" s="129"/>
      <c r="M253" s="129"/>
      <c r="N253" s="129"/>
      <c r="O253" s="129"/>
      <c r="P253" s="129"/>
      <c r="Q253" s="129"/>
      <c r="R253" s="129"/>
      <c r="S253" s="129"/>
      <c r="T253" s="129"/>
      <c r="U253" s="129"/>
      <c r="V253" s="129"/>
      <c r="W253" s="129"/>
      <c r="X253" s="129"/>
      <c r="Y253" s="129"/>
    </row>
    <row r="254" spans="1:80" s="127" customFormat="1" ht="12.75" x14ac:dyDescent="0.35">
      <c r="A254" s="128" t="s">
        <v>395</v>
      </c>
      <c r="B254" s="128"/>
      <c r="C254" s="128"/>
      <c r="D254" s="128"/>
      <c r="E254" s="128"/>
      <c r="F254" s="128"/>
      <c r="G254" s="129"/>
      <c r="H254" s="129"/>
      <c r="I254" s="129"/>
      <c r="J254" s="129"/>
      <c r="K254" s="129"/>
      <c r="L254" s="129"/>
      <c r="M254" s="129"/>
      <c r="N254" s="129"/>
      <c r="O254" s="129"/>
      <c r="P254" s="129"/>
      <c r="Q254" s="129"/>
      <c r="R254" s="129"/>
      <c r="S254" s="129"/>
      <c r="T254" s="129"/>
      <c r="U254" s="129"/>
      <c r="V254" s="129"/>
      <c r="W254" s="129"/>
      <c r="X254" s="129"/>
      <c r="Y254" s="129"/>
    </row>
    <row r="255" spans="1:80" s="127" customFormat="1" ht="12.75" x14ac:dyDescent="0.35">
      <c r="A255" s="128" t="s">
        <v>396</v>
      </c>
      <c r="B255" s="128"/>
      <c r="C255" s="128"/>
      <c r="D255" s="128"/>
      <c r="E255" s="128"/>
      <c r="F255" s="128"/>
      <c r="G255" s="129"/>
      <c r="H255" s="129"/>
      <c r="I255" s="129"/>
      <c r="J255" s="129"/>
      <c r="K255" s="129"/>
      <c r="L255" s="129"/>
      <c r="M255" s="129"/>
      <c r="N255" s="129"/>
      <c r="O255" s="129"/>
      <c r="P255" s="129"/>
      <c r="Q255" s="129"/>
      <c r="R255" s="129"/>
      <c r="S255" s="129"/>
      <c r="T255" s="129"/>
      <c r="U255" s="129"/>
      <c r="V255" s="129"/>
      <c r="W255" s="129"/>
      <c r="X255" s="129"/>
      <c r="Y255" s="129"/>
    </row>
    <row r="256" spans="1:80" s="127" customFormat="1" ht="12.75" x14ac:dyDescent="0.35">
      <c r="A256" s="128" t="s">
        <v>397</v>
      </c>
      <c r="B256" s="128"/>
      <c r="C256" s="128"/>
      <c r="D256" s="128"/>
      <c r="E256" s="128"/>
      <c r="F256" s="128"/>
      <c r="G256" s="129"/>
      <c r="H256" s="129"/>
      <c r="I256" s="129"/>
      <c r="J256" s="129"/>
      <c r="K256" s="129"/>
      <c r="L256" s="129"/>
      <c r="M256" s="129"/>
      <c r="N256" s="129"/>
      <c r="O256" s="129"/>
      <c r="P256" s="129"/>
      <c r="Q256" s="129"/>
      <c r="R256" s="129"/>
      <c r="S256" s="129"/>
      <c r="T256" s="129"/>
      <c r="U256" s="129"/>
      <c r="V256" s="129"/>
      <c r="W256" s="129"/>
      <c r="X256" s="129"/>
      <c r="Y256" s="129"/>
    </row>
    <row r="257" spans="1:25" s="127" customFormat="1" ht="12.75" x14ac:dyDescent="0.35">
      <c r="A257" s="128" t="s">
        <v>398</v>
      </c>
      <c r="B257" s="128"/>
      <c r="C257" s="128"/>
      <c r="D257" s="128"/>
      <c r="E257" s="128"/>
      <c r="F257" s="128"/>
      <c r="G257" s="129"/>
      <c r="H257" s="129"/>
      <c r="I257" s="129"/>
      <c r="J257" s="129"/>
      <c r="K257" s="129"/>
      <c r="L257" s="129"/>
      <c r="M257" s="129"/>
      <c r="N257" s="129"/>
      <c r="O257" s="129"/>
      <c r="P257" s="129"/>
      <c r="Q257" s="129"/>
      <c r="R257" s="129"/>
      <c r="S257" s="129"/>
      <c r="T257" s="129"/>
      <c r="U257" s="129"/>
      <c r="V257" s="129"/>
      <c r="W257" s="129"/>
      <c r="X257" s="129"/>
      <c r="Y257" s="129"/>
    </row>
    <row r="258" spans="1:25" s="127" customFormat="1" ht="12.75" x14ac:dyDescent="0.35">
      <c r="A258" s="128" t="s">
        <v>399</v>
      </c>
      <c r="B258" s="128"/>
      <c r="C258" s="128"/>
      <c r="D258" s="128"/>
      <c r="E258" s="128"/>
      <c r="F258" s="128"/>
      <c r="G258" s="129"/>
      <c r="H258" s="129"/>
      <c r="I258" s="129"/>
      <c r="J258" s="129"/>
      <c r="K258" s="129"/>
      <c r="L258" s="129"/>
      <c r="M258" s="129"/>
      <c r="N258" s="129"/>
      <c r="O258" s="129"/>
      <c r="P258" s="129"/>
      <c r="Q258" s="129"/>
      <c r="R258" s="129"/>
      <c r="S258" s="129"/>
      <c r="T258" s="129"/>
      <c r="U258" s="129"/>
      <c r="V258" s="129"/>
      <c r="W258" s="129"/>
      <c r="X258" s="129"/>
      <c r="Y258" s="129"/>
    </row>
    <row r="259" spans="1:25" s="127" customFormat="1" ht="12.75" x14ac:dyDescent="0.35">
      <c r="A259" s="128" t="s">
        <v>400</v>
      </c>
      <c r="B259" s="128"/>
      <c r="C259" s="128"/>
      <c r="D259" s="128"/>
      <c r="E259" s="128"/>
      <c r="F259" s="128"/>
      <c r="G259" s="129"/>
      <c r="H259" s="129"/>
      <c r="I259" s="129"/>
      <c r="J259" s="129"/>
      <c r="K259" s="129"/>
      <c r="L259" s="129"/>
      <c r="M259" s="129"/>
      <c r="N259" s="129"/>
      <c r="O259" s="129"/>
      <c r="P259" s="129"/>
      <c r="Q259" s="129"/>
      <c r="R259" s="129"/>
      <c r="S259" s="129"/>
      <c r="T259" s="129"/>
      <c r="U259" s="129"/>
      <c r="V259" s="129"/>
      <c r="W259" s="129"/>
      <c r="X259" s="129"/>
      <c r="Y259" s="129"/>
    </row>
    <row r="260" spans="1:25" s="127" customFormat="1" ht="12.75" x14ac:dyDescent="0.35">
      <c r="A260" s="128" t="s">
        <v>401</v>
      </c>
      <c r="B260" s="128"/>
      <c r="C260" s="128"/>
      <c r="D260" s="128"/>
      <c r="E260" s="128"/>
      <c r="F260" s="128"/>
      <c r="G260" s="129"/>
      <c r="H260" s="129"/>
      <c r="I260" s="129"/>
      <c r="J260" s="129"/>
      <c r="K260" s="129"/>
      <c r="L260" s="129"/>
      <c r="M260" s="129"/>
      <c r="N260" s="129"/>
      <c r="O260" s="129"/>
      <c r="P260" s="129"/>
      <c r="Q260" s="129"/>
      <c r="R260" s="129"/>
      <c r="S260" s="129"/>
      <c r="T260" s="129"/>
      <c r="U260" s="129"/>
      <c r="V260" s="129"/>
      <c r="W260" s="129"/>
      <c r="X260" s="129"/>
      <c r="Y260" s="129"/>
    </row>
    <row r="261" spans="1:25" s="127" customFormat="1" ht="12.75" x14ac:dyDescent="0.35">
      <c r="A261" s="128" t="s">
        <v>402</v>
      </c>
      <c r="B261" s="128"/>
      <c r="C261" s="128"/>
      <c r="D261" s="128"/>
      <c r="E261" s="128"/>
      <c r="F261" s="128"/>
      <c r="G261" s="129"/>
      <c r="H261" s="129"/>
      <c r="I261" s="129"/>
      <c r="J261" s="129"/>
      <c r="K261" s="129"/>
      <c r="L261" s="129"/>
      <c r="M261" s="129"/>
      <c r="N261" s="129"/>
      <c r="O261" s="129"/>
      <c r="P261" s="129"/>
      <c r="Q261" s="129"/>
      <c r="R261" s="129"/>
      <c r="S261" s="129"/>
      <c r="T261" s="129"/>
      <c r="U261" s="129"/>
      <c r="V261" s="129"/>
      <c r="W261" s="129"/>
      <c r="X261" s="129"/>
      <c r="Y261" s="129"/>
    </row>
    <row r="262" spans="1:25" s="127" customFormat="1" ht="12.75" x14ac:dyDescent="0.35">
      <c r="A262" s="128" t="s">
        <v>403</v>
      </c>
      <c r="B262" s="128"/>
      <c r="C262" s="128"/>
      <c r="D262" s="128"/>
      <c r="E262" s="128"/>
      <c r="F262" s="128"/>
      <c r="G262" s="129"/>
      <c r="H262" s="129"/>
      <c r="I262" s="129"/>
      <c r="J262" s="129"/>
      <c r="K262" s="129"/>
      <c r="L262" s="129"/>
      <c r="M262" s="129"/>
      <c r="N262" s="129"/>
      <c r="O262" s="129"/>
      <c r="P262" s="129"/>
      <c r="Q262" s="129"/>
      <c r="R262" s="129"/>
      <c r="S262" s="129"/>
      <c r="T262" s="129"/>
      <c r="U262" s="129"/>
      <c r="V262" s="129"/>
      <c r="W262" s="129"/>
      <c r="X262" s="129"/>
      <c r="Y262" s="129"/>
    </row>
    <row r="263" spans="1:25" s="127" customFormat="1" ht="12.75" x14ac:dyDescent="0.35">
      <c r="A263" s="128" t="s">
        <v>404</v>
      </c>
      <c r="B263" s="128"/>
      <c r="C263" s="128"/>
      <c r="D263" s="128"/>
      <c r="E263" s="128"/>
      <c r="F263" s="128"/>
      <c r="G263" s="129"/>
      <c r="H263" s="129"/>
      <c r="I263" s="129"/>
      <c r="J263" s="129"/>
      <c r="K263" s="129"/>
      <c r="L263" s="129"/>
      <c r="M263" s="129"/>
      <c r="N263" s="129"/>
      <c r="O263" s="129"/>
      <c r="P263" s="129"/>
      <c r="Q263" s="129"/>
      <c r="R263" s="129"/>
      <c r="S263" s="129"/>
      <c r="T263" s="129"/>
      <c r="U263" s="129"/>
      <c r="V263" s="129"/>
      <c r="W263" s="129"/>
      <c r="X263" s="129"/>
      <c r="Y263" s="129"/>
    </row>
    <row r="264" spans="1:25" s="127" customFormat="1" ht="12.75" x14ac:dyDescent="0.35">
      <c r="A264" s="128" t="s">
        <v>405</v>
      </c>
      <c r="B264" s="128"/>
      <c r="C264" s="128"/>
      <c r="D264" s="128"/>
      <c r="E264" s="128"/>
      <c r="F264" s="128"/>
      <c r="G264" s="129"/>
      <c r="H264" s="129"/>
      <c r="I264" s="129"/>
      <c r="J264" s="129"/>
      <c r="K264" s="129"/>
      <c r="L264" s="129"/>
      <c r="M264" s="129"/>
      <c r="N264" s="129"/>
      <c r="O264" s="129"/>
      <c r="P264" s="129"/>
      <c r="Q264" s="129"/>
      <c r="R264" s="129"/>
      <c r="S264" s="129"/>
      <c r="T264" s="129"/>
      <c r="U264" s="129"/>
      <c r="V264" s="129"/>
      <c r="W264" s="129"/>
      <c r="X264" s="129"/>
      <c r="Y264" s="129"/>
    </row>
    <row r="265" spans="1:25" s="127" customFormat="1" ht="12.75" x14ac:dyDescent="0.35">
      <c r="A265" s="128" t="s">
        <v>406</v>
      </c>
      <c r="B265" s="128"/>
      <c r="C265" s="128"/>
      <c r="D265" s="128"/>
      <c r="E265" s="128"/>
      <c r="F265" s="128"/>
      <c r="G265" s="129"/>
      <c r="H265" s="129"/>
      <c r="I265" s="129"/>
      <c r="J265" s="129"/>
      <c r="K265" s="129"/>
      <c r="L265" s="129"/>
      <c r="M265" s="129"/>
      <c r="N265" s="129"/>
      <c r="O265" s="129"/>
      <c r="P265" s="129"/>
      <c r="Q265" s="129"/>
      <c r="R265" s="129"/>
      <c r="S265" s="129"/>
      <c r="T265" s="129"/>
      <c r="U265" s="129"/>
      <c r="V265" s="129"/>
      <c r="W265" s="129"/>
      <c r="X265" s="129"/>
      <c r="Y265" s="129"/>
    </row>
    <row r="266" spans="1:25" s="127" customFormat="1" ht="12.75" x14ac:dyDescent="0.35">
      <c r="A266" s="128" t="s">
        <v>407</v>
      </c>
      <c r="B266" s="128"/>
      <c r="C266" s="128"/>
      <c r="D266" s="128"/>
      <c r="E266" s="128"/>
      <c r="F266" s="128"/>
      <c r="G266" s="129"/>
      <c r="H266" s="129"/>
      <c r="I266" s="129"/>
      <c r="J266" s="129"/>
      <c r="K266" s="129"/>
      <c r="L266" s="129"/>
      <c r="M266" s="129"/>
      <c r="N266" s="129"/>
      <c r="O266" s="129"/>
      <c r="P266" s="129"/>
      <c r="Q266" s="129"/>
      <c r="R266" s="129"/>
      <c r="S266" s="129"/>
      <c r="T266" s="129"/>
      <c r="U266" s="129"/>
      <c r="V266" s="129"/>
      <c r="W266" s="129"/>
      <c r="X266" s="129"/>
      <c r="Y266" s="129"/>
    </row>
    <row r="267" spans="1:25" s="127" customFormat="1" ht="12.75" x14ac:dyDescent="0.35">
      <c r="A267" s="128" t="s">
        <v>408</v>
      </c>
      <c r="B267" s="128"/>
      <c r="C267" s="128"/>
      <c r="D267" s="128"/>
      <c r="E267" s="128"/>
      <c r="F267" s="128"/>
      <c r="G267" s="129"/>
      <c r="H267" s="129"/>
      <c r="I267" s="129"/>
      <c r="J267" s="129"/>
      <c r="K267" s="129"/>
      <c r="L267" s="129"/>
      <c r="M267" s="129"/>
      <c r="N267" s="129"/>
      <c r="O267" s="129"/>
      <c r="P267" s="129"/>
      <c r="Q267" s="129"/>
      <c r="R267" s="129"/>
      <c r="S267" s="129"/>
      <c r="T267" s="129"/>
      <c r="U267" s="129"/>
      <c r="V267" s="129"/>
      <c r="W267" s="129"/>
      <c r="X267" s="129"/>
      <c r="Y267" s="129"/>
    </row>
    <row r="268" spans="1:25" s="127" customFormat="1" ht="12.75" x14ac:dyDescent="0.35">
      <c r="A268" s="128" t="s">
        <v>409</v>
      </c>
      <c r="B268" s="128"/>
      <c r="C268" s="128"/>
      <c r="D268" s="128"/>
      <c r="E268" s="128"/>
      <c r="F268" s="128"/>
      <c r="G268" s="129"/>
      <c r="H268" s="129"/>
      <c r="I268" s="129"/>
      <c r="J268" s="129"/>
      <c r="K268" s="129"/>
      <c r="L268" s="129"/>
      <c r="M268" s="129"/>
      <c r="N268" s="129"/>
      <c r="O268" s="129"/>
      <c r="P268" s="129"/>
      <c r="Q268" s="129"/>
      <c r="R268" s="129"/>
      <c r="S268" s="129"/>
      <c r="T268" s="129"/>
      <c r="U268" s="129"/>
      <c r="V268" s="129"/>
      <c r="W268" s="129"/>
      <c r="X268" s="129"/>
      <c r="Y268" s="129"/>
    </row>
    <row r="269" spans="1:25" s="127" customFormat="1" ht="12.75" x14ac:dyDescent="0.35">
      <c r="A269" s="128" t="s">
        <v>410</v>
      </c>
      <c r="B269" s="128"/>
      <c r="C269" s="128"/>
      <c r="D269" s="128"/>
      <c r="E269" s="128"/>
      <c r="F269" s="128"/>
      <c r="G269" s="129"/>
      <c r="H269" s="129"/>
      <c r="I269" s="129"/>
      <c r="J269" s="129"/>
      <c r="K269" s="129"/>
      <c r="L269" s="129"/>
      <c r="M269" s="129"/>
      <c r="N269" s="129"/>
      <c r="O269" s="129"/>
      <c r="P269" s="129"/>
      <c r="Q269" s="129"/>
      <c r="R269" s="129"/>
      <c r="S269" s="129"/>
      <c r="T269" s="129"/>
      <c r="U269" s="129"/>
      <c r="V269" s="129"/>
      <c r="W269" s="129"/>
      <c r="X269" s="129"/>
      <c r="Y269" s="129"/>
    </row>
    <row r="270" spans="1:25" s="127" customFormat="1" ht="12.75" x14ac:dyDescent="0.35">
      <c r="A270" s="128" t="s">
        <v>411</v>
      </c>
      <c r="B270" s="128"/>
      <c r="C270" s="128"/>
      <c r="D270" s="128"/>
      <c r="E270" s="128"/>
      <c r="F270" s="128"/>
      <c r="G270" s="129"/>
      <c r="H270" s="129"/>
      <c r="I270" s="129"/>
      <c r="J270" s="129"/>
      <c r="K270" s="129"/>
      <c r="L270" s="129"/>
      <c r="M270" s="129"/>
      <c r="N270" s="129"/>
      <c r="O270" s="129"/>
      <c r="P270" s="129"/>
      <c r="Q270" s="129"/>
      <c r="R270" s="129"/>
      <c r="S270" s="129"/>
      <c r="T270" s="129"/>
      <c r="U270" s="129"/>
      <c r="V270" s="129"/>
      <c r="W270" s="129"/>
      <c r="X270" s="129"/>
      <c r="Y270" s="129"/>
    </row>
    <row r="271" spans="1:25" s="127" customFormat="1" ht="12.75" x14ac:dyDescent="0.35">
      <c r="A271" s="128" t="s">
        <v>412</v>
      </c>
      <c r="B271" s="128"/>
      <c r="C271" s="128"/>
      <c r="D271" s="128"/>
      <c r="E271" s="128"/>
      <c r="F271" s="128"/>
      <c r="G271" s="129"/>
      <c r="H271" s="129"/>
      <c r="I271" s="129"/>
      <c r="J271" s="129"/>
      <c r="K271" s="129"/>
      <c r="L271" s="129"/>
      <c r="M271" s="129"/>
      <c r="N271" s="129"/>
      <c r="O271" s="129"/>
      <c r="P271" s="129"/>
      <c r="Q271" s="129"/>
      <c r="R271" s="129"/>
      <c r="S271" s="129"/>
      <c r="T271" s="129"/>
      <c r="U271" s="129"/>
      <c r="V271" s="129"/>
      <c r="W271" s="129"/>
      <c r="X271" s="129"/>
      <c r="Y271" s="129"/>
    </row>
    <row r="272" spans="1:25" s="127" customFormat="1" ht="12.75" x14ac:dyDescent="0.35">
      <c r="A272" s="128" t="s">
        <v>413</v>
      </c>
      <c r="B272" s="128"/>
      <c r="C272" s="128"/>
      <c r="D272" s="128"/>
      <c r="E272" s="128"/>
      <c r="F272" s="128"/>
      <c r="G272" s="129"/>
      <c r="H272" s="129"/>
      <c r="I272" s="129"/>
      <c r="J272" s="129"/>
      <c r="K272" s="129"/>
      <c r="L272" s="129"/>
      <c r="M272" s="129"/>
      <c r="N272" s="129"/>
      <c r="O272" s="129"/>
      <c r="P272" s="129"/>
      <c r="Q272" s="129"/>
      <c r="R272" s="129"/>
      <c r="S272" s="129"/>
      <c r="T272" s="129"/>
      <c r="U272" s="129"/>
      <c r="V272" s="129"/>
      <c r="W272" s="129"/>
      <c r="X272" s="129"/>
      <c r="Y272" s="129"/>
    </row>
    <row r="273" spans="1:25" s="127" customFormat="1" ht="12.75" x14ac:dyDescent="0.35">
      <c r="A273" s="128" t="s">
        <v>414</v>
      </c>
      <c r="B273" s="128"/>
      <c r="C273" s="128"/>
      <c r="D273" s="128"/>
      <c r="E273" s="128"/>
      <c r="F273" s="128"/>
      <c r="G273" s="129"/>
      <c r="H273" s="129"/>
      <c r="I273" s="129"/>
      <c r="J273" s="129"/>
      <c r="K273" s="129"/>
      <c r="L273" s="129"/>
      <c r="M273" s="129"/>
      <c r="N273" s="129"/>
      <c r="O273" s="129"/>
      <c r="P273" s="129"/>
      <c r="Q273" s="129"/>
      <c r="R273" s="129"/>
      <c r="S273" s="129"/>
      <c r="T273" s="129"/>
      <c r="U273" s="129"/>
      <c r="V273" s="129"/>
      <c r="W273" s="129"/>
      <c r="X273" s="129"/>
      <c r="Y273" s="129"/>
    </row>
    <row r="274" spans="1:25" s="127" customFormat="1" ht="12.75" x14ac:dyDescent="0.35">
      <c r="A274" s="128" t="s">
        <v>415</v>
      </c>
      <c r="B274" s="128"/>
      <c r="C274" s="128"/>
      <c r="D274" s="128"/>
      <c r="E274" s="128"/>
      <c r="F274" s="128"/>
      <c r="G274" s="129"/>
      <c r="H274" s="129"/>
      <c r="I274" s="129"/>
      <c r="J274" s="129"/>
      <c r="K274" s="129"/>
      <c r="L274" s="129"/>
      <c r="M274" s="129"/>
      <c r="N274" s="129"/>
      <c r="O274" s="129"/>
      <c r="P274" s="129"/>
      <c r="Q274" s="129"/>
      <c r="R274" s="129"/>
      <c r="S274" s="129"/>
      <c r="T274" s="129"/>
      <c r="U274" s="129"/>
      <c r="V274" s="129"/>
      <c r="W274" s="129"/>
      <c r="X274" s="129"/>
      <c r="Y274" s="129"/>
    </row>
    <row r="275" spans="1:25" s="127" customFormat="1" ht="12.75" x14ac:dyDescent="0.35">
      <c r="A275" s="128" t="s">
        <v>416</v>
      </c>
      <c r="B275" s="128"/>
      <c r="C275" s="128"/>
      <c r="D275" s="128"/>
      <c r="E275" s="128"/>
      <c r="F275" s="128"/>
      <c r="G275" s="129"/>
      <c r="H275" s="129"/>
      <c r="I275" s="129"/>
      <c r="J275" s="129"/>
      <c r="K275" s="129"/>
      <c r="L275" s="129"/>
      <c r="M275" s="129"/>
      <c r="N275" s="129"/>
      <c r="O275" s="129"/>
      <c r="P275" s="129"/>
      <c r="Q275" s="129"/>
      <c r="R275" s="129"/>
      <c r="S275" s="129"/>
      <c r="T275" s="129"/>
      <c r="U275" s="129"/>
      <c r="V275" s="129"/>
      <c r="W275" s="129"/>
      <c r="X275" s="129"/>
      <c r="Y275" s="129"/>
    </row>
    <row r="276" spans="1:25" s="127" customFormat="1" ht="12.75" x14ac:dyDescent="0.35">
      <c r="A276" s="128" t="s">
        <v>417</v>
      </c>
      <c r="B276" s="128"/>
      <c r="C276" s="128"/>
      <c r="D276" s="128"/>
      <c r="E276" s="128"/>
      <c r="F276" s="128"/>
      <c r="G276" s="129"/>
      <c r="H276" s="129"/>
      <c r="I276" s="129"/>
      <c r="J276" s="129"/>
      <c r="K276" s="129"/>
      <c r="L276" s="129"/>
      <c r="M276" s="129"/>
      <c r="N276" s="129"/>
      <c r="O276" s="129"/>
      <c r="P276" s="129"/>
      <c r="Q276" s="129"/>
      <c r="R276" s="129"/>
      <c r="S276" s="129"/>
      <c r="T276" s="129"/>
      <c r="U276" s="129"/>
      <c r="V276" s="129"/>
      <c r="W276" s="129"/>
      <c r="X276" s="129"/>
      <c r="Y276" s="129"/>
    </row>
    <row r="277" spans="1:25" s="127" customFormat="1" ht="12.75" x14ac:dyDescent="0.35">
      <c r="A277" s="128" t="s">
        <v>418</v>
      </c>
      <c r="B277" s="128"/>
      <c r="C277" s="128"/>
      <c r="D277" s="128"/>
      <c r="E277" s="128"/>
      <c r="F277" s="128"/>
      <c r="G277" s="129"/>
      <c r="H277" s="129"/>
      <c r="I277" s="129"/>
      <c r="J277" s="129"/>
      <c r="K277" s="129"/>
      <c r="L277" s="129"/>
      <c r="M277" s="129"/>
      <c r="N277" s="129"/>
      <c r="O277" s="129"/>
      <c r="P277" s="129"/>
      <c r="Q277" s="129"/>
      <c r="R277" s="129"/>
      <c r="S277" s="129"/>
      <c r="T277" s="129"/>
      <c r="U277" s="129"/>
      <c r="V277" s="129"/>
      <c r="W277" s="129"/>
      <c r="X277" s="129"/>
      <c r="Y277" s="129"/>
    </row>
    <row r="278" spans="1:25" s="127" customFormat="1" ht="12.75" x14ac:dyDescent="0.35">
      <c r="A278" s="128" t="s">
        <v>419</v>
      </c>
      <c r="B278" s="128"/>
      <c r="C278" s="128"/>
      <c r="D278" s="128"/>
      <c r="E278" s="128"/>
      <c r="F278" s="128"/>
      <c r="G278" s="129"/>
      <c r="H278" s="129"/>
      <c r="I278" s="129"/>
      <c r="J278" s="129"/>
      <c r="K278" s="129"/>
      <c r="L278" s="129"/>
      <c r="M278" s="129"/>
      <c r="N278" s="129"/>
      <c r="O278" s="129"/>
      <c r="P278" s="129"/>
      <c r="Q278" s="129"/>
      <c r="R278" s="129"/>
      <c r="S278" s="129"/>
      <c r="T278" s="129"/>
      <c r="U278" s="129"/>
      <c r="V278" s="129"/>
      <c r="W278" s="129"/>
      <c r="X278" s="129"/>
      <c r="Y278" s="129"/>
    </row>
    <row r="279" spans="1:25" s="127" customFormat="1" ht="12.75" x14ac:dyDescent="0.35">
      <c r="A279" s="128" t="s">
        <v>420</v>
      </c>
      <c r="B279" s="128"/>
      <c r="C279" s="128"/>
      <c r="D279" s="128"/>
      <c r="E279" s="128"/>
      <c r="F279" s="128"/>
      <c r="G279" s="129"/>
      <c r="H279" s="129"/>
      <c r="I279" s="129"/>
      <c r="J279" s="129"/>
      <c r="K279" s="129"/>
      <c r="L279" s="129"/>
      <c r="M279" s="129"/>
      <c r="N279" s="129"/>
      <c r="O279" s="129"/>
      <c r="P279" s="129"/>
      <c r="Q279" s="129"/>
      <c r="R279" s="129"/>
      <c r="S279" s="129"/>
      <c r="T279" s="129"/>
      <c r="U279" s="129"/>
      <c r="V279" s="129"/>
      <c r="W279" s="129"/>
      <c r="X279" s="129"/>
      <c r="Y279" s="129"/>
    </row>
    <row r="280" spans="1:25" s="127" customFormat="1" ht="12.75" x14ac:dyDescent="0.35">
      <c r="A280" s="128" t="s">
        <v>421</v>
      </c>
      <c r="B280" s="128"/>
      <c r="C280" s="128"/>
      <c r="D280" s="128"/>
      <c r="E280" s="128"/>
      <c r="F280" s="128"/>
      <c r="G280" s="129"/>
      <c r="H280" s="129"/>
      <c r="I280" s="129"/>
      <c r="J280" s="129"/>
      <c r="K280" s="129"/>
      <c r="L280" s="129"/>
      <c r="M280" s="129"/>
      <c r="N280" s="129"/>
      <c r="O280" s="129"/>
      <c r="P280" s="129"/>
      <c r="Q280" s="129"/>
      <c r="R280" s="129"/>
      <c r="S280" s="129"/>
      <c r="T280" s="129"/>
      <c r="U280" s="129"/>
      <c r="V280" s="129"/>
      <c r="W280" s="129"/>
      <c r="X280" s="129"/>
      <c r="Y280" s="129"/>
    </row>
    <row r="281" spans="1:25" s="127" customFormat="1" ht="12.75" x14ac:dyDescent="0.35">
      <c r="A281" s="128" t="s">
        <v>422</v>
      </c>
      <c r="B281" s="128"/>
      <c r="C281" s="128"/>
      <c r="D281" s="128"/>
      <c r="E281" s="128"/>
      <c r="F281" s="128"/>
      <c r="G281" s="129"/>
      <c r="H281" s="129"/>
      <c r="I281" s="129"/>
      <c r="J281" s="129"/>
      <c r="K281" s="129"/>
      <c r="L281" s="129"/>
      <c r="M281" s="129"/>
      <c r="N281" s="129"/>
      <c r="O281" s="129"/>
      <c r="P281" s="129"/>
      <c r="Q281" s="129"/>
      <c r="R281" s="129"/>
      <c r="S281" s="129"/>
      <c r="T281" s="129"/>
      <c r="U281" s="129"/>
      <c r="V281" s="129"/>
      <c r="W281" s="129"/>
      <c r="X281" s="129"/>
      <c r="Y281" s="129"/>
    </row>
    <row r="282" spans="1:25" s="127" customFormat="1" ht="12.75" x14ac:dyDescent="0.35">
      <c r="A282" s="128" t="s">
        <v>423</v>
      </c>
      <c r="B282" s="128"/>
      <c r="C282" s="128"/>
      <c r="D282" s="128"/>
      <c r="E282" s="128"/>
      <c r="F282" s="128"/>
      <c r="G282" s="129"/>
      <c r="H282" s="129"/>
      <c r="I282" s="129"/>
      <c r="J282" s="129"/>
      <c r="K282" s="129"/>
      <c r="L282" s="129"/>
      <c r="M282" s="129"/>
      <c r="N282" s="129"/>
      <c r="O282" s="129"/>
      <c r="P282" s="129"/>
      <c r="Q282" s="129"/>
      <c r="R282" s="129"/>
      <c r="S282" s="129"/>
      <c r="T282" s="129"/>
      <c r="U282" s="129"/>
      <c r="V282" s="129"/>
      <c r="W282" s="129"/>
      <c r="X282" s="129"/>
      <c r="Y282" s="129"/>
    </row>
    <row r="283" spans="1:25" s="127" customFormat="1" ht="12.75" x14ac:dyDescent="0.35">
      <c r="A283" s="128" t="s">
        <v>424</v>
      </c>
      <c r="B283" s="128"/>
      <c r="C283" s="128"/>
      <c r="D283" s="128"/>
      <c r="E283" s="128"/>
      <c r="F283" s="128"/>
      <c r="G283" s="129"/>
      <c r="H283" s="129"/>
      <c r="I283" s="129"/>
      <c r="J283" s="129"/>
      <c r="K283" s="129"/>
      <c r="L283" s="129"/>
      <c r="M283" s="129"/>
      <c r="N283" s="129"/>
      <c r="O283" s="129"/>
      <c r="P283" s="129"/>
      <c r="Q283" s="129"/>
      <c r="R283" s="129"/>
      <c r="S283" s="129"/>
      <c r="T283" s="129"/>
      <c r="U283" s="129"/>
      <c r="V283" s="129"/>
      <c r="W283" s="129"/>
      <c r="X283" s="129"/>
      <c r="Y283" s="129"/>
    </row>
    <row r="284" spans="1:25" s="127" customFormat="1" ht="12.75" x14ac:dyDescent="0.35">
      <c r="A284" s="128" t="s">
        <v>425</v>
      </c>
      <c r="B284" s="128"/>
      <c r="C284" s="128"/>
      <c r="D284" s="128"/>
      <c r="E284" s="128"/>
      <c r="F284" s="128"/>
      <c r="G284" s="129"/>
      <c r="H284" s="129"/>
      <c r="I284" s="129"/>
      <c r="J284" s="129"/>
      <c r="K284" s="129"/>
      <c r="L284" s="129"/>
      <c r="M284" s="129"/>
      <c r="N284" s="129"/>
      <c r="O284" s="129"/>
      <c r="P284" s="129"/>
      <c r="Q284" s="129"/>
      <c r="R284" s="129"/>
      <c r="S284" s="129"/>
      <c r="T284" s="129"/>
      <c r="U284" s="129"/>
      <c r="V284" s="129"/>
      <c r="W284" s="129"/>
      <c r="X284" s="129"/>
      <c r="Y284" s="129"/>
    </row>
    <row r="285" spans="1:25" s="127" customFormat="1" ht="12.75" x14ac:dyDescent="0.35">
      <c r="A285" s="128" t="s">
        <v>426</v>
      </c>
      <c r="B285" s="128"/>
      <c r="C285" s="128"/>
      <c r="D285" s="128"/>
      <c r="E285" s="128"/>
      <c r="F285" s="128"/>
      <c r="G285" s="129"/>
      <c r="H285" s="129"/>
      <c r="I285" s="129"/>
      <c r="J285" s="129"/>
      <c r="K285" s="129"/>
      <c r="L285" s="129"/>
      <c r="M285" s="129"/>
      <c r="N285" s="129"/>
      <c r="O285" s="129"/>
      <c r="P285" s="129"/>
      <c r="Q285" s="129"/>
      <c r="R285" s="129"/>
      <c r="S285" s="129"/>
      <c r="T285" s="129"/>
      <c r="U285" s="129"/>
      <c r="V285" s="129"/>
      <c r="W285" s="129"/>
      <c r="X285" s="129"/>
      <c r="Y285" s="129"/>
    </row>
    <row r="286" spans="1:25" s="127" customFormat="1" ht="12.75" x14ac:dyDescent="0.35">
      <c r="A286" s="128" t="s">
        <v>427</v>
      </c>
      <c r="B286" s="128"/>
      <c r="C286" s="128"/>
      <c r="D286" s="128"/>
      <c r="E286" s="128"/>
      <c r="F286" s="128"/>
      <c r="G286" s="129"/>
      <c r="H286" s="129"/>
      <c r="I286" s="129"/>
      <c r="J286" s="129"/>
      <c r="K286" s="129"/>
      <c r="L286" s="129"/>
      <c r="M286" s="129"/>
      <c r="N286" s="129"/>
      <c r="O286" s="129"/>
      <c r="P286" s="129"/>
      <c r="Q286" s="129"/>
      <c r="R286" s="129"/>
      <c r="S286" s="129"/>
      <c r="T286" s="129"/>
      <c r="U286" s="129"/>
      <c r="V286" s="129"/>
      <c r="W286" s="129"/>
      <c r="X286" s="129"/>
      <c r="Y286" s="129"/>
    </row>
    <row r="287" spans="1:25" s="127" customFormat="1" ht="12.75" x14ac:dyDescent="0.35">
      <c r="A287" s="128" t="s">
        <v>428</v>
      </c>
      <c r="B287" s="128"/>
      <c r="C287" s="128"/>
      <c r="D287" s="128"/>
      <c r="E287" s="128"/>
      <c r="F287" s="128"/>
      <c r="G287" s="129"/>
      <c r="H287" s="129"/>
      <c r="I287" s="129"/>
      <c r="J287" s="129"/>
      <c r="K287" s="129"/>
      <c r="L287" s="129"/>
      <c r="M287" s="129"/>
      <c r="N287" s="129"/>
      <c r="O287" s="129"/>
      <c r="P287" s="129"/>
      <c r="Q287" s="129"/>
      <c r="R287" s="129"/>
      <c r="S287" s="129"/>
      <c r="T287" s="129"/>
      <c r="U287" s="129"/>
      <c r="V287" s="129"/>
      <c r="W287" s="129"/>
      <c r="X287" s="129"/>
      <c r="Y287" s="129"/>
    </row>
    <row r="288" spans="1:25" s="127" customFormat="1" ht="12.75" x14ac:dyDescent="0.35">
      <c r="A288" s="128" t="s">
        <v>429</v>
      </c>
      <c r="B288" s="128"/>
      <c r="C288" s="128"/>
      <c r="D288" s="128"/>
      <c r="E288" s="128"/>
      <c r="F288" s="128"/>
      <c r="G288" s="129"/>
      <c r="H288" s="129"/>
      <c r="I288" s="129"/>
      <c r="J288" s="129"/>
      <c r="K288" s="129"/>
      <c r="L288" s="129"/>
      <c r="M288" s="129"/>
      <c r="N288" s="129"/>
      <c r="O288" s="129"/>
      <c r="P288" s="129"/>
      <c r="Q288" s="129"/>
      <c r="R288" s="129"/>
      <c r="S288" s="129"/>
      <c r="T288" s="129"/>
      <c r="U288" s="129"/>
      <c r="V288" s="129"/>
      <c r="W288" s="129"/>
      <c r="X288" s="129"/>
      <c r="Y288" s="129"/>
    </row>
    <row r="289" spans="1:25" s="127" customFormat="1" ht="12.75" x14ac:dyDescent="0.35">
      <c r="A289" s="128" t="s">
        <v>430</v>
      </c>
      <c r="B289" s="128"/>
      <c r="C289" s="128"/>
      <c r="D289" s="128"/>
      <c r="E289" s="128"/>
      <c r="F289" s="128"/>
      <c r="G289" s="129"/>
      <c r="H289" s="129"/>
      <c r="I289" s="129"/>
      <c r="J289" s="129"/>
      <c r="K289" s="129"/>
      <c r="L289" s="129"/>
      <c r="M289" s="129"/>
      <c r="N289" s="129"/>
      <c r="O289" s="129"/>
      <c r="P289" s="129"/>
      <c r="Q289" s="129"/>
      <c r="R289" s="129"/>
      <c r="S289" s="129"/>
      <c r="T289" s="129"/>
      <c r="U289" s="129"/>
      <c r="V289" s="129"/>
      <c r="W289" s="129"/>
      <c r="X289" s="129"/>
      <c r="Y289" s="129"/>
    </row>
    <row r="290" spans="1:25" s="127" customFormat="1" ht="12.75" x14ac:dyDescent="0.35">
      <c r="A290" s="128" t="s">
        <v>431</v>
      </c>
      <c r="B290" s="128"/>
      <c r="C290" s="128"/>
      <c r="D290" s="128"/>
      <c r="E290" s="128"/>
      <c r="F290" s="128"/>
      <c r="G290" s="129"/>
      <c r="H290" s="129"/>
      <c r="I290" s="129"/>
      <c r="J290" s="129"/>
      <c r="K290" s="129"/>
      <c r="L290" s="129"/>
      <c r="M290" s="129"/>
      <c r="N290" s="129"/>
      <c r="O290" s="129"/>
      <c r="P290" s="129"/>
      <c r="Q290" s="129"/>
      <c r="R290" s="129"/>
      <c r="S290" s="129"/>
      <c r="T290" s="129"/>
      <c r="U290" s="129"/>
      <c r="V290" s="129"/>
      <c r="W290" s="129"/>
      <c r="X290" s="129"/>
      <c r="Y290" s="129"/>
    </row>
    <row r="291" spans="1:25" s="127" customFormat="1" ht="12.75" x14ac:dyDescent="0.35">
      <c r="A291" s="128" t="s">
        <v>432</v>
      </c>
      <c r="B291" s="128"/>
      <c r="C291" s="128"/>
      <c r="D291" s="128"/>
      <c r="E291" s="128"/>
      <c r="F291" s="128"/>
      <c r="G291" s="129"/>
      <c r="H291" s="129"/>
      <c r="I291" s="129"/>
      <c r="J291" s="129"/>
      <c r="K291" s="129"/>
      <c r="L291" s="129"/>
      <c r="M291" s="129"/>
      <c r="N291" s="129"/>
      <c r="O291" s="129"/>
      <c r="P291" s="129"/>
      <c r="Q291" s="129"/>
      <c r="R291" s="129"/>
      <c r="S291" s="129"/>
      <c r="T291" s="129"/>
      <c r="U291" s="129"/>
      <c r="V291" s="129"/>
      <c r="W291" s="129"/>
      <c r="X291" s="129"/>
      <c r="Y291" s="129"/>
    </row>
    <row r="292" spans="1:25" s="127" customFormat="1" ht="12.75" x14ac:dyDescent="0.35">
      <c r="A292" s="128" t="s">
        <v>433</v>
      </c>
      <c r="B292" s="128"/>
      <c r="C292" s="128"/>
      <c r="D292" s="128"/>
      <c r="E292" s="128"/>
      <c r="F292" s="128"/>
      <c r="G292" s="129"/>
      <c r="H292" s="129"/>
      <c r="I292" s="129"/>
      <c r="J292" s="129"/>
      <c r="K292" s="129"/>
      <c r="L292" s="129"/>
      <c r="M292" s="129"/>
      <c r="N292" s="129"/>
      <c r="O292" s="129"/>
      <c r="P292" s="129"/>
      <c r="Q292" s="129"/>
      <c r="R292" s="129"/>
      <c r="S292" s="129"/>
      <c r="T292" s="129"/>
      <c r="U292" s="129"/>
      <c r="V292" s="129"/>
      <c r="W292" s="129"/>
      <c r="X292" s="129"/>
      <c r="Y292" s="129"/>
    </row>
    <row r="293" spans="1:25" s="127" customFormat="1" ht="12.75" x14ac:dyDescent="0.35">
      <c r="A293" s="128" t="s">
        <v>434</v>
      </c>
      <c r="B293" s="128"/>
      <c r="C293" s="128"/>
      <c r="D293" s="128"/>
      <c r="E293" s="128"/>
      <c r="F293" s="128"/>
      <c r="G293" s="129"/>
      <c r="H293" s="129"/>
      <c r="I293" s="129"/>
      <c r="J293" s="129"/>
      <c r="K293" s="129"/>
      <c r="L293" s="129"/>
      <c r="M293" s="129"/>
      <c r="N293" s="129"/>
      <c r="O293" s="129"/>
      <c r="P293" s="129"/>
      <c r="Q293" s="129"/>
      <c r="R293" s="129"/>
      <c r="S293" s="129"/>
      <c r="T293" s="129"/>
      <c r="U293" s="129"/>
      <c r="V293" s="129"/>
      <c r="W293" s="129"/>
      <c r="X293" s="129"/>
      <c r="Y293" s="129"/>
    </row>
    <row r="294" spans="1:25" s="127" customFormat="1" ht="12.75" x14ac:dyDescent="0.35">
      <c r="A294" s="128" t="s">
        <v>435</v>
      </c>
      <c r="B294" s="128"/>
      <c r="C294" s="128"/>
      <c r="D294" s="128"/>
      <c r="E294" s="128"/>
      <c r="F294" s="128"/>
      <c r="G294" s="129"/>
      <c r="H294" s="129"/>
      <c r="I294" s="129"/>
      <c r="J294" s="129"/>
      <c r="K294" s="129"/>
      <c r="L294" s="129"/>
      <c r="M294" s="129"/>
      <c r="N294" s="129"/>
      <c r="O294" s="129"/>
      <c r="P294" s="129"/>
      <c r="Q294" s="129"/>
      <c r="R294" s="129"/>
      <c r="S294" s="129"/>
      <c r="T294" s="129"/>
      <c r="U294" s="129"/>
      <c r="V294" s="129"/>
      <c r="W294" s="129"/>
      <c r="X294" s="129"/>
      <c r="Y294" s="129"/>
    </row>
    <row r="295" spans="1:25" s="127" customFormat="1" ht="12.75" x14ac:dyDescent="0.35">
      <c r="A295" s="128" t="s">
        <v>436</v>
      </c>
      <c r="B295" s="128"/>
      <c r="C295" s="128"/>
      <c r="D295" s="128"/>
      <c r="E295" s="128"/>
      <c r="F295" s="128"/>
      <c r="G295" s="129"/>
      <c r="H295" s="129"/>
      <c r="I295" s="129"/>
      <c r="J295" s="129"/>
      <c r="K295" s="129"/>
      <c r="L295" s="129"/>
      <c r="M295" s="129"/>
      <c r="N295" s="129"/>
      <c r="O295" s="129"/>
      <c r="P295" s="129"/>
      <c r="Q295" s="129"/>
      <c r="R295" s="129"/>
      <c r="S295" s="129"/>
      <c r="T295" s="129"/>
      <c r="U295" s="129"/>
      <c r="V295" s="129"/>
      <c r="W295" s="129"/>
      <c r="X295" s="129"/>
      <c r="Y295" s="129"/>
    </row>
    <row r="296" spans="1:25" s="127" customFormat="1" ht="12.75" x14ac:dyDescent="0.35">
      <c r="A296" s="128" t="s">
        <v>437</v>
      </c>
      <c r="B296" s="128"/>
      <c r="C296" s="128"/>
      <c r="D296" s="128"/>
      <c r="E296" s="128"/>
      <c r="F296" s="128"/>
      <c r="G296" s="129"/>
      <c r="H296" s="129"/>
      <c r="I296" s="129"/>
      <c r="J296" s="129"/>
      <c r="K296" s="129"/>
      <c r="L296" s="129"/>
      <c r="M296" s="129"/>
      <c r="N296" s="129"/>
      <c r="O296" s="129"/>
      <c r="P296" s="129"/>
      <c r="Q296" s="129"/>
      <c r="R296" s="129"/>
      <c r="S296" s="129"/>
      <c r="T296" s="129"/>
      <c r="U296" s="129"/>
      <c r="V296" s="129"/>
      <c r="W296" s="129"/>
      <c r="X296" s="129"/>
      <c r="Y296" s="129"/>
    </row>
    <row r="297" spans="1:25" s="127" customFormat="1" ht="12.75" x14ac:dyDescent="0.35">
      <c r="A297" s="128" t="s">
        <v>438</v>
      </c>
      <c r="B297" s="128"/>
      <c r="C297" s="128"/>
      <c r="D297" s="128"/>
      <c r="E297" s="128"/>
      <c r="F297" s="128"/>
      <c r="G297" s="129"/>
      <c r="H297" s="129"/>
      <c r="I297" s="129"/>
      <c r="J297" s="129"/>
      <c r="K297" s="129"/>
      <c r="L297" s="129"/>
      <c r="M297" s="129"/>
      <c r="N297" s="129"/>
      <c r="O297" s="129"/>
      <c r="P297" s="129"/>
      <c r="Q297" s="129"/>
      <c r="R297" s="129"/>
      <c r="S297" s="129"/>
      <c r="T297" s="129"/>
      <c r="U297" s="129"/>
      <c r="V297" s="129"/>
      <c r="W297" s="129"/>
      <c r="X297" s="129"/>
      <c r="Y297" s="129"/>
    </row>
    <row r="298" spans="1:25" s="127" customFormat="1" ht="12.75" x14ac:dyDescent="0.35">
      <c r="A298" s="128" t="s">
        <v>439</v>
      </c>
      <c r="B298" s="128"/>
      <c r="C298" s="128"/>
      <c r="D298" s="128"/>
      <c r="E298" s="128"/>
      <c r="F298" s="128"/>
      <c r="G298" s="129"/>
      <c r="H298" s="129"/>
      <c r="I298" s="129"/>
      <c r="J298" s="129"/>
      <c r="K298" s="129"/>
      <c r="L298" s="129"/>
      <c r="M298" s="129"/>
      <c r="N298" s="129"/>
      <c r="O298" s="129"/>
      <c r="P298" s="129"/>
      <c r="Q298" s="129"/>
      <c r="R298" s="129"/>
      <c r="S298" s="129"/>
      <c r="T298" s="129"/>
      <c r="U298" s="129"/>
      <c r="V298" s="129"/>
      <c r="W298" s="129"/>
      <c r="X298" s="129"/>
      <c r="Y298" s="129"/>
    </row>
    <row r="299" spans="1:25" s="127" customFormat="1" ht="12.75" x14ac:dyDescent="0.35">
      <c r="A299" s="128" t="s">
        <v>440</v>
      </c>
      <c r="B299" s="128"/>
      <c r="C299" s="128"/>
      <c r="D299" s="128"/>
      <c r="E299" s="128"/>
      <c r="F299" s="128"/>
      <c r="G299" s="129"/>
      <c r="H299" s="129"/>
      <c r="I299" s="129"/>
      <c r="J299" s="129"/>
      <c r="K299" s="129"/>
      <c r="L299" s="129"/>
      <c r="M299" s="129"/>
      <c r="N299" s="129"/>
      <c r="O299" s="129"/>
      <c r="P299" s="129"/>
      <c r="Q299" s="129"/>
      <c r="R299" s="129"/>
      <c r="S299" s="129"/>
      <c r="T299" s="129"/>
      <c r="U299" s="129"/>
      <c r="V299" s="129"/>
      <c r="W299" s="129"/>
      <c r="X299" s="129"/>
      <c r="Y299" s="129"/>
    </row>
    <row r="300" spans="1:25" s="127" customFormat="1" ht="12.75" x14ac:dyDescent="0.35">
      <c r="A300" s="128" t="s">
        <v>441</v>
      </c>
      <c r="B300" s="128"/>
      <c r="C300" s="128"/>
      <c r="D300" s="128"/>
      <c r="E300" s="128"/>
      <c r="F300" s="128"/>
      <c r="G300" s="129"/>
      <c r="H300" s="129"/>
      <c r="I300" s="129"/>
      <c r="J300" s="129"/>
      <c r="K300" s="129"/>
      <c r="L300" s="129"/>
      <c r="M300" s="129"/>
      <c r="N300" s="129"/>
      <c r="O300" s="129"/>
      <c r="P300" s="129"/>
      <c r="Q300" s="129"/>
      <c r="R300" s="129"/>
      <c r="S300" s="129"/>
      <c r="T300" s="129"/>
      <c r="U300" s="129"/>
      <c r="V300" s="129"/>
      <c r="W300" s="129"/>
      <c r="X300" s="129"/>
      <c r="Y300" s="129"/>
    </row>
    <row r="301" spans="1:25" s="127" customFormat="1" ht="12.75" x14ac:dyDescent="0.35">
      <c r="A301" s="128" t="s">
        <v>442</v>
      </c>
      <c r="B301" s="128"/>
      <c r="C301" s="128"/>
      <c r="D301" s="128"/>
      <c r="E301" s="128"/>
      <c r="F301" s="128"/>
      <c r="G301" s="129"/>
      <c r="H301" s="129"/>
      <c r="I301" s="129"/>
      <c r="J301" s="129"/>
      <c r="K301" s="129"/>
      <c r="L301" s="129"/>
      <c r="M301" s="129"/>
      <c r="N301" s="129"/>
      <c r="O301" s="129"/>
      <c r="P301" s="129"/>
      <c r="Q301" s="129"/>
      <c r="R301" s="129"/>
      <c r="S301" s="129"/>
      <c r="T301" s="129"/>
      <c r="U301" s="129"/>
      <c r="V301" s="129"/>
      <c r="W301" s="129"/>
      <c r="X301" s="129"/>
      <c r="Y301" s="129"/>
    </row>
    <row r="302" spans="1:25" s="127" customFormat="1" ht="12.75" x14ac:dyDescent="0.35">
      <c r="A302" s="128" t="s">
        <v>443</v>
      </c>
      <c r="B302" s="128"/>
      <c r="C302" s="128"/>
      <c r="D302" s="128"/>
      <c r="E302" s="128"/>
      <c r="F302" s="128"/>
      <c r="G302" s="129"/>
      <c r="H302" s="129"/>
      <c r="I302" s="129"/>
      <c r="J302" s="129"/>
      <c r="K302" s="129"/>
      <c r="L302" s="129"/>
      <c r="M302" s="129"/>
      <c r="N302" s="129"/>
      <c r="O302" s="129"/>
      <c r="P302" s="129"/>
      <c r="Q302" s="129"/>
      <c r="R302" s="129"/>
      <c r="S302" s="129"/>
      <c r="T302" s="129"/>
      <c r="U302" s="129"/>
      <c r="V302" s="129"/>
      <c r="W302" s="129"/>
      <c r="X302" s="129"/>
      <c r="Y302" s="129"/>
    </row>
    <row r="303" spans="1:25" s="127" customFormat="1" ht="12.75" x14ac:dyDescent="0.35">
      <c r="A303" s="128" t="s">
        <v>444</v>
      </c>
      <c r="B303" s="128"/>
      <c r="C303" s="128"/>
      <c r="D303" s="128"/>
      <c r="E303" s="128"/>
      <c r="F303" s="128"/>
      <c r="G303" s="129"/>
      <c r="H303" s="129"/>
      <c r="I303" s="129"/>
      <c r="J303" s="129"/>
      <c r="K303" s="129"/>
      <c r="L303" s="129"/>
      <c r="M303" s="129"/>
      <c r="N303" s="129"/>
      <c r="O303" s="129"/>
      <c r="P303" s="129"/>
      <c r="Q303" s="129"/>
      <c r="R303" s="129"/>
      <c r="S303" s="129"/>
      <c r="T303" s="129"/>
      <c r="U303" s="129"/>
      <c r="V303" s="129"/>
      <c r="W303" s="129"/>
      <c r="X303" s="129"/>
      <c r="Y303" s="129"/>
    </row>
    <row r="304" spans="1:25" s="127" customFormat="1" ht="12.75" x14ac:dyDescent="0.35">
      <c r="A304" s="128" t="s">
        <v>445</v>
      </c>
      <c r="B304" s="128"/>
      <c r="C304" s="128"/>
      <c r="D304" s="128"/>
      <c r="E304" s="128"/>
      <c r="F304" s="128"/>
      <c r="G304" s="129"/>
      <c r="H304" s="129"/>
      <c r="I304" s="129"/>
      <c r="J304" s="129"/>
      <c r="K304" s="129"/>
      <c r="L304" s="129"/>
      <c r="M304" s="129"/>
      <c r="N304" s="129"/>
      <c r="O304" s="129"/>
      <c r="P304" s="129"/>
      <c r="Q304" s="129"/>
      <c r="R304" s="129"/>
      <c r="S304" s="129"/>
      <c r="T304" s="129"/>
      <c r="U304" s="129"/>
      <c r="V304" s="129"/>
      <c r="W304" s="129"/>
      <c r="X304" s="129"/>
      <c r="Y304" s="129"/>
    </row>
    <row r="305" spans="1:25" s="127" customFormat="1" ht="12.75" x14ac:dyDescent="0.35">
      <c r="A305" s="128" t="s">
        <v>446</v>
      </c>
      <c r="B305" s="128"/>
      <c r="C305" s="128"/>
      <c r="D305" s="128"/>
      <c r="E305" s="128"/>
      <c r="F305" s="128"/>
      <c r="G305" s="129"/>
      <c r="H305" s="129"/>
      <c r="I305" s="129"/>
      <c r="J305" s="129"/>
      <c r="K305" s="129"/>
      <c r="L305" s="129"/>
      <c r="M305" s="129"/>
      <c r="N305" s="129"/>
      <c r="O305" s="129"/>
      <c r="P305" s="129"/>
      <c r="Q305" s="129"/>
      <c r="R305" s="129"/>
      <c r="S305" s="129"/>
      <c r="T305" s="129"/>
      <c r="U305" s="129"/>
      <c r="V305" s="129"/>
      <c r="W305" s="129"/>
      <c r="X305" s="129"/>
      <c r="Y305" s="129"/>
    </row>
    <row r="306" spans="1:25" s="127" customFormat="1" ht="12.75" x14ac:dyDescent="0.35">
      <c r="A306" s="128" t="s">
        <v>447</v>
      </c>
      <c r="B306" s="128"/>
      <c r="C306" s="128"/>
      <c r="D306" s="128"/>
      <c r="E306" s="128"/>
      <c r="F306" s="128"/>
      <c r="G306" s="129"/>
      <c r="H306" s="129"/>
      <c r="I306" s="129"/>
      <c r="J306" s="129"/>
      <c r="K306" s="129"/>
      <c r="L306" s="129"/>
      <c r="M306" s="129"/>
      <c r="N306" s="129"/>
      <c r="O306" s="129"/>
      <c r="P306" s="129"/>
      <c r="Q306" s="129"/>
      <c r="R306" s="129"/>
      <c r="S306" s="129"/>
      <c r="T306" s="129"/>
      <c r="U306" s="129"/>
      <c r="V306" s="129"/>
      <c r="W306" s="129"/>
      <c r="X306" s="129"/>
      <c r="Y306" s="129"/>
    </row>
    <row r="307" spans="1:25" s="127" customFormat="1" ht="12.75" x14ac:dyDescent="0.35">
      <c r="A307" s="128" t="s">
        <v>448</v>
      </c>
      <c r="B307" s="128"/>
      <c r="C307" s="128"/>
      <c r="D307" s="128"/>
      <c r="E307" s="128"/>
      <c r="F307" s="128"/>
      <c r="G307" s="129"/>
      <c r="H307" s="129"/>
      <c r="I307" s="129"/>
      <c r="J307" s="129"/>
      <c r="K307" s="129"/>
      <c r="L307" s="129"/>
      <c r="M307" s="129"/>
      <c r="N307" s="129"/>
      <c r="O307" s="129"/>
      <c r="P307" s="129"/>
      <c r="Q307" s="129"/>
      <c r="R307" s="129"/>
      <c r="S307" s="129"/>
      <c r="T307" s="129"/>
      <c r="U307" s="129"/>
      <c r="V307" s="129"/>
      <c r="W307" s="129"/>
      <c r="X307" s="129"/>
      <c r="Y307" s="129"/>
    </row>
    <row r="308" spans="1:25" s="127" customFormat="1" ht="12.75" x14ac:dyDescent="0.35">
      <c r="A308" s="128" t="s">
        <v>449</v>
      </c>
      <c r="B308" s="128"/>
      <c r="C308" s="128"/>
      <c r="D308" s="128"/>
      <c r="E308" s="128"/>
      <c r="F308" s="128"/>
      <c r="G308" s="129"/>
      <c r="H308" s="129"/>
      <c r="I308" s="129"/>
      <c r="J308" s="129"/>
      <c r="K308" s="129"/>
      <c r="L308" s="129"/>
      <c r="M308" s="129"/>
      <c r="N308" s="129"/>
      <c r="O308" s="129"/>
      <c r="P308" s="129"/>
      <c r="Q308" s="129"/>
      <c r="R308" s="129"/>
      <c r="S308" s="129"/>
      <c r="T308" s="129"/>
      <c r="U308" s="129"/>
      <c r="V308" s="129"/>
      <c r="W308" s="129"/>
      <c r="X308" s="129"/>
      <c r="Y308" s="129"/>
    </row>
    <row r="309" spans="1:25" s="127" customFormat="1" ht="12.75" x14ac:dyDescent="0.35">
      <c r="A309" s="128" t="s">
        <v>450</v>
      </c>
      <c r="B309" s="128"/>
      <c r="C309" s="128"/>
      <c r="D309" s="128"/>
      <c r="E309" s="128"/>
      <c r="F309" s="128"/>
      <c r="G309" s="129"/>
      <c r="H309" s="129"/>
      <c r="I309" s="129"/>
      <c r="J309" s="129"/>
      <c r="K309" s="129"/>
      <c r="L309" s="129"/>
      <c r="M309" s="129"/>
      <c r="N309" s="129"/>
      <c r="O309" s="129"/>
      <c r="P309" s="129"/>
      <c r="Q309" s="129"/>
      <c r="R309" s="129"/>
      <c r="S309" s="129"/>
      <c r="T309" s="129"/>
      <c r="U309" s="129"/>
      <c r="V309" s="129"/>
      <c r="W309" s="129"/>
      <c r="X309" s="129"/>
      <c r="Y309" s="129"/>
    </row>
    <row r="310" spans="1:25" s="127" customFormat="1" ht="12.75" x14ac:dyDescent="0.35">
      <c r="A310" s="128" t="s">
        <v>451</v>
      </c>
      <c r="B310" s="128"/>
      <c r="C310" s="128"/>
      <c r="D310" s="128"/>
      <c r="E310" s="128"/>
      <c r="F310" s="128"/>
      <c r="G310" s="129"/>
      <c r="H310" s="129"/>
      <c r="I310" s="129"/>
      <c r="J310" s="129"/>
      <c r="K310" s="129"/>
      <c r="L310" s="129"/>
      <c r="M310" s="129"/>
      <c r="N310" s="129"/>
      <c r="O310" s="129"/>
      <c r="P310" s="129"/>
      <c r="Q310" s="129"/>
      <c r="R310" s="129"/>
      <c r="S310" s="129"/>
      <c r="T310" s="129"/>
      <c r="U310" s="129"/>
      <c r="V310" s="129"/>
      <c r="W310" s="129"/>
      <c r="X310" s="129"/>
      <c r="Y310" s="129"/>
    </row>
    <row r="311" spans="1:25" s="127" customFormat="1" ht="12.75" x14ac:dyDescent="0.35">
      <c r="A311" s="128" t="s">
        <v>452</v>
      </c>
      <c r="B311" s="128"/>
      <c r="C311" s="128"/>
      <c r="D311" s="128"/>
      <c r="E311" s="128"/>
      <c r="F311" s="128"/>
      <c r="G311" s="129"/>
      <c r="H311" s="129"/>
      <c r="I311" s="129"/>
      <c r="J311" s="129"/>
      <c r="K311" s="129"/>
      <c r="L311" s="129"/>
      <c r="M311" s="129"/>
      <c r="N311" s="129"/>
      <c r="O311" s="129"/>
      <c r="P311" s="129"/>
      <c r="Q311" s="129"/>
      <c r="R311" s="129"/>
      <c r="S311" s="129"/>
      <c r="T311" s="129"/>
      <c r="U311" s="129"/>
      <c r="V311" s="129"/>
      <c r="W311" s="129"/>
      <c r="X311" s="129"/>
      <c r="Y311" s="129"/>
    </row>
    <row r="312" spans="1:25" s="127" customFormat="1" ht="12.75" x14ac:dyDescent="0.35">
      <c r="A312" s="128" t="s">
        <v>453</v>
      </c>
      <c r="B312" s="128"/>
      <c r="C312" s="128"/>
      <c r="D312" s="128"/>
      <c r="E312" s="128"/>
      <c r="F312" s="128"/>
      <c r="G312" s="129"/>
      <c r="H312" s="129"/>
      <c r="I312" s="129"/>
      <c r="J312" s="129"/>
      <c r="K312" s="129"/>
      <c r="L312" s="129"/>
      <c r="M312" s="129"/>
      <c r="N312" s="129"/>
      <c r="O312" s="129"/>
      <c r="P312" s="129"/>
      <c r="Q312" s="129"/>
      <c r="R312" s="129"/>
      <c r="S312" s="129"/>
      <c r="T312" s="129"/>
      <c r="U312" s="129"/>
      <c r="V312" s="129"/>
      <c r="W312" s="129"/>
      <c r="X312" s="129"/>
      <c r="Y312" s="129"/>
    </row>
    <row r="313" spans="1:25" s="127" customFormat="1" ht="12.75" x14ac:dyDescent="0.35">
      <c r="A313" s="128" t="s">
        <v>454</v>
      </c>
      <c r="B313" s="128"/>
      <c r="C313" s="128"/>
      <c r="D313" s="128"/>
      <c r="E313" s="128"/>
      <c r="F313" s="128"/>
      <c r="G313" s="129"/>
      <c r="H313" s="129"/>
      <c r="I313" s="129"/>
      <c r="J313" s="129"/>
      <c r="K313" s="129"/>
      <c r="L313" s="129"/>
      <c r="M313" s="129"/>
      <c r="N313" s="129"/>
      <c r="O313" s="129"/>
      <c r="P313" s="129"/>
      <c r="Q313" s="129"/>
      <c r="R313" s="129"/>
      <c r="S313" s="129"/>
      <c r="T313" s="129"/>
      <c r="U313" s="129"/>
      <c r="V313" s="129"/>
      <c r="W313" s="129"/>
      <c r="X313" s="129"/>
      <c r="Y313" s="129"/>
    </row>
    <row r="314" spans="1:25" s="127" customFormat="1" ht="12.75" x14ac:dyDescent="0.35">
      <c r="A314" s="128" t="s">
        <v>455</v>
      </c>
      <c r="B314" s="128"/>
      <c r="C314" s="128"/>
      <c r="D314" s="128"/>
      <c r="E314" s="128"/>
      <c r="F314" s="128"/>
      <c r="G314" s="129"/>
      <c r="H314" s="129"/>
      <c r="I314" s="129"/>
      <c r="J314" s="129"/>
      <c r="K314" s="129"/>
      <c r="L314" s="129"/>
      <c r="M314" s="129"/>
      <c r="N314" s="129"/>
      <c r="O314" s="129"/>
      <c r="P314" s="129"/>
      <c r="Q314" s="129"/>
      <c r="R314" s="129"/>
      <c r="S314" s="129"/>
      <c r="T314" s="129"/>
      <c r="U314" s="129"/>
      <c r="V314" s="129"/>
      <c r="W314" s="129"/>
      <c r="X314" s="129"/>
      <c r="Y314" s="129"/>
    </row>
    <row r="315" spans="1:25" s="127" customFormat="1" ht="12.75" x14ac:dyDescent="0.35">
      <c r="A315" s="128" t="s">
        <v>456</v>
      </c>
      <c r="B315" s="128"/>
      <c r="C315" s="128"/>
      <c r="D315" s="128"/>
      <c r="E315" s="128"/>
      <c r="F315" s="128"/>
      <c r="G315" s="129"/>
      <c r="H315" s="129"/>
      <c r="I315" s="129"/>
      <c r="J315" s="129"/>
      <c r="K315" s="129"/>
      <c r="L315" s="129"/>
      <c r="M315" s="129"/>
      <c r="N315" s="129"/>
      <c r="O315" s="129"/>
      <c r="P315" s="129"/>
      <c r="Q315" s="129"/>
      <c r="R315" s="129"/>
      <c r="S315" s="129"/>
      <c r="T315" s="129"/>
      <c r="U315" s="129"/>
      <c r="V315" s="129"/>
      <c r="W315" s="129"/>
      <c r="X315" s="129"/>
      <c r="Y315" s="129"/>
    </row>
    <row r="316" spans="1:25" s="127" customFormat="1" ht="12.75" x14ac:dyDescent="0.35">
      <c r="A316" s="128" t="s">
        <v>457</v>
      </c>
      <c r="B316" s="128"/>
      <c r="C316" s="128"/>
      <c r="D316" s="128"/>
      <c r="E316" s="128"/>
      <c r="F316" s="128"/>
      <c r="G316" s="129"/>
      <c r="H316" s="129"/>
      <c r="I316" s="129"/>
      <c r="J316" s="129"/>
      <c r="K316" s="129"/>
      <c r="L316" s="129"/>
      <c r="M316" s="129"/>
      <c r="N316" s="129"/>
      <c r="O316" s="129"/>
      <c r="P316" s="129"/>
      <c r="Q316" s="129"/>
      <c r="R316" s="129"/>
      <c r="S316" s="129"/>
      <c r="T316" s="129"/>
      <c r="U316" s="129"/>
      <c r="V316" s="129"/>
      <c r="W316" s="129"/>
      <c r="X316" s="129"/>
      <c r="Y316" s="129"/>
    </row>
    <row r="317" spans="1:25" s="127" customFormat="1" ht="12.75" x14ac:dyDescent="0.35">
      <c r="A317" s="128" t="s">
        <v>458</v>
      </c>
      <c r="B317" s="128"/>
      <c r="C317" s="128"/>
      <c r="D317" s="128"/>
      <c r="E317" s="128"/>
      <c r="F317" s="128"/>
      <c r="G317" s="129"/>
      <c r="H317" s="129"/>
      <c r="I317" s="129"/>
      <c r="J317" s="129"/>
      <c r="K317" s="129"/>
      <c r="L317" s="129"/>
      <c r="M317" s="129"/>
      <c r="N317" s="129"/>
      <c r="O317" s="129"/>
      <c r="P317" s="129"/>
      <c r="Q317" s="129"/>
      <c r="R317" s="129"/>
      <c r="S317" s="129"/>
      <c r="T317" s="129"/>
      <c r="U317" s="129"/>
      <c r="V317" s="129"/>
      <c r="W317" s="129"/>
      <c r="X317" s="129"/>
      <c r="Y317" s="129"/>
    </row>
    <row r="318" spans="1:25" s="127" customFormat="1" ht="12.75" x14ac:dyDescent="0.35">
      <c r="A318" s="128" t="s">
        <v>459</v>
      </c>
      <c r="B318" s="128"/>
      <c r="C318" s="128"/>
      <c r="D318" s="128"/>
      <c r="E318" s="128"/>
      <c r="F318" s="128"/>
      <c r="G318" s="129"/>
      <c r="H318" s="129"/>
      <c r="I318" s="129"/>
      <c r="J318" s="129"/>
      <c r="K318" s="129"/>
      <c r="L318" s="129"/>
      <c r="M318" s="129"/>
      <c r="N318" s="129"/>
      <c r="O318" s="129"/>
      <c r="P318" s="129"/>
      <c r="Q318" s="129"/>
      <c r="R318" s="129"/>
      <c r="S318" s="129"/>
      <c r="T318" s="129"/>
      <c r="U318" s="129"/>
      <c r="V318" s="129"/>
      <c r="W318" s="129"/>
      <c r="X318" s="129"/>
      <c r="Y318" s="129"/>
    </row>
    <row r="319" spans="1:25" s="127" customFormat="1" ht="12.75" x14ac:dyDescent="0.35">
      <c r="A319" s="128" t="s">
        <v>460</v>
      </c>
      <c r="B319" s="128"/>
      <c r="C319" s="128"/>
      <c r="D319" s="128"/>
      <c r="E319" s="128"/>
      <c r="F319" s="128"/>
      <c r="G319" s="129"/>
      <c r="H319" s="129"/>
      <c r="I319" s="129"/>
      <c r="J319" s="129"/>
      <c r="K319" s="129"/>
      <c r="L319" s="129"/>
      <c r="M319" s="129"/>
      <c r="N319" s="129"/>
      <c r="O319" s="129"/>
      <c r="P319" s="129"/>
      <c r="Q319" s="129"/>
      <c r="R319" s="129"/>
      <c r="S319" s="129"/>
      <c r="T319" s="129"/>
      <c r="U319" s="129"/>
      <c r="V319" s="129"/>
      <c r="W319" s="129"/>
      <c r="X319" s="129"/>
      <c r="Y319" s="129"/>
    </row>
    <row r="320" spans="1:25" s="127" customFormat="1" ht="12.75" x14ac:dyDescent="0.35">
      <c r="A320" s="128" t="s">
        <v>461</v>
      </c>
      <c r="B320" s="128"/>
      <c r="C320" s="128"/>
      <c r="D320" s="128"/>
      <c r="E320" s="128"/>
      <c r="F320" s="128"/>
      <c r="G320" s="129"/>
      <c r="H320" s="129"/>
      <c r="I320" s="129"/>
      <c r="J320" s="129"/>
      <c r="K320" s="129"/>
      <c r="L320" s="129"/>
      <c r="M320" s="129"/>
      <c r="N320" s="129"/>
      <c r="O320" s="129"/>
      <c r="P320" s="129"/>
      <c r="Q320" s="129"/>
      <c r="R320" s="129"/>
      <c r="S320" s="129"/>
      <c r="T320" s="129"/>
      <c r="U320" s="129"/>
      <c r="V320" s="129"/>
      <c r="W320" s="129"/>
      <c r="X320" s="129"/>
      <c r="Y320" s="129"/>
    </row>
    <row r="321" spans="1:25" s="127" customFormat="1" ht="12.75" x14ac:dyDescent="0.35">
      <c r="A321" s="128" t="s">
        <v>462</v>
      </c>
      <c r="B321" s="128"/>
      <c r="C321" s="128"/>
      <c r="D321" s="128"/>
      <c r="E321" s="128"/>
      <c r="F321" s="128"/>
      <c r="G321" s="129"/>
      <c r="H321" s="129"/>
      <c r="I321" s="129"/>
      <c r="J321" s="129"/>
      <c r="K321" s="129"/>
      <c r="L321" s="129"/>
      <c r="M321" s="129"/>
      <c r="N321" s="129"/>
      <c r="O321" s="129"/>
      <c r="P321" s="129"/>
      <c r="Q321" s="129"/>
      <c r="R321" s="129"/>
      <c r="S321" s="129"/>
      <c r="T321" s="129"/>
      <c r="U321" s="129"/>
      <c r="V321" s="129"/>
      <c r="W321" s="129"/>
      <c r="X321" s="129"/>
      <c r="Y321" s="129"/>
    </row>
    <row r="322" spans="1:25" s="127" customFormat="1" ht="12.75" x14ac:dyDescent="0.35">
      <c r="A322" s="128" t="s">
        <v>463</v>
      </c>
      <c r="B322" s="128"/>
      <c r="C322" s="128"/>
      <c r="D322" s="128"/>
      <c r="E322" s="128"/>
      <c r="F322" s="128"/>
      <c r="G322" s="129"/>
      <c r="H322" s="129"/>
      <c r="I322" s="129"/>
      <c r="J322" s="129"/>
      <c r="K322" s="129"/>
      <c r="L322" s="129"/>
      <c r="M322" s="129"/>
      <c r="N322" s="129"/>
      <c r="O322" s="129"/>
      <c r="P322" s="129"/>
      <c r="Q322" s="129"/>
      <c r="R322" s="129"/>
      <c r="S322" s="129"/>
      <c r="T322" s="129"/>
      <c r="U322" s="129"/>
      <c r="V322" s="129"/>
      <c r="W322" s="129"/>
      <c r="X322" s="129"/>
      <c r="Y322" s="129"/>
    </row>
    <row r="323" spans="1:25" s="127" customFormat="1" ht="12.75" x14ac:dyDescent="0.35">
      <c r="A323" s="128" t="s">
        <v>464</v>
      </c>
      <c r="B323" s="128"/>
      <c r="C323" s="128"/>
      <c r="D323" s="128"/>
      <c r="E323" s="128"/>
      <c r="F323" s="128"/>
      <c r="G323" s="129"/>
      <c r="H323" s="129"/>
      <c r="I323" s="129"/>
      <c r="J323" s="129"/>
      <c r="K323" s="129"/>
      <c r="L323" s="129"/>
      <c r="M323" s="129"/>
      <c r="N323" s="129"/>
      <c r="O323" s="129"/>
      <c r="P323" s="129"/>
      <c r="Q323" s="129"/>
      <c r="R323" s="129"/>
      <c r="S323" s="129"/>
      <c r="T323" s="129"/>
      <c r="U323" s="129"/>
      <c r="V323" s="129"/>
      <c r="W323" s="129"/>
      <c r="X323" s="129"/>
      <c r="Y323" s="129"/>
    </row>
    <row r="324" spans="1:25" s="127" customFormat="1" ht="12.75" x14ac:dyDescent="0.35">
      <c r="A324" s="128" t="s">
        <v>465</v>
      </c>
      <c r="B324" s="128"/>
      <c r="C324" s="128"/>
      <c r="D324" s="128"/>
      <c r="E324" s="128"/>
      <c r="F324" s="128"/>
      <c r="G324" s="129"/>
      <c r="H324" s="129"/>
      <c r="I324" s="129"/>
      <c r="J324" s="129"/>
      <c r="K324" s="129"/>
      <c r="L324" s="129"/>
      <c r="M324" s="129"/>
      <c r="N324" s="129"/>
      <c r="O324" s="129"/>
      <c r="P324" s="129"/>
      <c r="Q324" s="129"/>
      <c r="R324" s="129"/>
      <c r="S324" s="129"/>
      <c r="T324" s="129"/>
      <c r="U324" s="129"/>
      <c r="V324" s="129"/>
      <c r="W324" s="129"/>
      <c r="X324" s="129"/>
      <c r="Y324" s="129"/>
    </row>
    <row r="325" spans="1:25" s="127" customFormat="1" ht="12.75" x14ac:dyDescent="0.35">
      <c r="A325" s="128" t="s">
        <v>466</v>
      </c>
      <c r="B325" s="128"/>
      <c r="C325" s="128"/>
      <c r="D325" s="128"/>
      <c r="E325" s="128"/>
      <c r="F325" s="128"/>
      <c r="G325" s="129"/>
      <c r="H325" s="129"/>
      <c r="I325" s="129"/>
      <c r="J325" s="129"/>
      <c r="K325" s="129"/>
      <c r="L325" s="129"/>
      <c r="M325" s="129"/>
      <c r="N325" s="129"/>
      <c r="O325" s="129"/>
      <c r="P325" s="129"/>
      <c r="Q325" s="129"/>
      <c r="R325" s="129"/>
      <c r="S325" s="129"/>
      <c r="T325" s="129"/>
      <c r="U325" s="129"/>
      <c r="V325" s="129"/>
      <c r="W325" s="129"/>
      <c r="X325" s="129"/>
      <c r="Y325" s="129"/>
    </row>
    <row r="326" spans="1:25" s="127" customFormat="1" ht="12.75" x14ac:dyDescent="0.35">
      <c r="A326" s="128" t="s">
        <v>467</v>
      </c>
      <c r="B326" s="128"/>
      <c r="C326" s="128"/>
      <c r="D326" s="128"/>
      <c r="E326" s="128"/>
      <c r="F326" s="128"/>
      <c r="G326" s="129"/>
      <c r="H326" s="129"/>
      <c r="I326" s="129"/>
      <c r="J326" s="129"/>
      <c r="K326" s="129"/>
      <c r="L326" s="129"/>
      <c r="M326" s="129"/>
      <c r="N326" s="129"/>
      <c r="O326" s="129"/>
      <c r="P326" s="129"/>
      <c r="Q326" s="129"/>
      <c r="R326" s="129"/>
      <c r="S326" s="129"/>
      <c r="T326" s="129"/>
      <c r="U326" s="129"/>
      <c r="V326" s="129"/>
      <c r="W326" s="129"/>
      <c r="X326" s="129"/>
      <c r="Y326" s="129"/>
    </row>
    <row r="327" spans="1:25" s="127" customFormat="1" ht="12.75" x14ac:dyDescent="0.35">
      <c r="A327" s="128" t="s">
        <v>468</v>
      </c>
      <c r="B327" s="128"/>
      <c r="C327" s="128"/>
      <c r="D327" s="128"/>
      <c r="E327" s="128"/>
      <c r="F327" s="128"/>
      <c r="G327" s="129"/>
      <c r="H327" s="129"/>
      <c r="I327" s="129"/>
      <c r="J327" s="129"/>
      <c r="K327" s="129"/>
      <c r="L327" s="129"/>
      <c r="M327" s="129"/>
      <c r="N327" s="129"/>
      <c r="O327" s="129"/>
      <c r="P327" s="129"/>
      <c r="Q327" s="129"/>
      <c r="R327" s="129"/>
      <c r="S327" s="129"/>
      <c r="T327" s="129"/>
      <c r="U327" s="129"/>
      <c r="V327" s="129"/>
      <c r="W327" s="129"/>
      <c r="X327" s="129"/>
      <c r="Y327" s="129"/>
    </row>
    <row r="328" spans="1:25" s="127" customFormat="1" ht="12.75" x14ac:dyDescent="0.35">
      <c r="A328" s="128" t="s">
        <v>469</v>
      </c>
      <c r="B328" s="128"/>
      <c r="C328" s="128"/>
      <c r="D328" s="128"/>
      <c r="E328" s="128"/>
      <c r="F328" s="128"/>
      <c r="G328" s="129"/>
      <c r="H328" s="129"/>
      <c r="I328" s="129"/>
      <c r="J328" s="129"/>
      <c r="K328" s="129"/>
      <c r="L328" s="129"/>
      <c r="M328" s="129"/>
      <c r="N328" s="129"/>
      <c r="O328" s="129"/>
      <c r="P328" s="129"/>
      <c r="Q328" s="129"/>
      <c r="R328" s="129"/>
      <c r="S328" s="129"/>
      <c r="T328" s="129"/>
      <c r="U328" s="129"/>
      <c r="V328" s="129"/>
      <c r="W328" s="129"/>
      <c r="X328" s="129"/>
      <c r="Y328" s="129"/>
    </row>
    <row r="329" spans="1:25" s="127" customFormat="1" ht="12.75" x14ac:dyDescent="0.35">
      <c r="A329" s="128" t="s">
        <v>470</v>
      </c>
      <c r="B329" s="128"/>
      <c r="C329" s="128"/>
      <c r="D329" s="128"/>
      <c r="E329" s="128"/>
      <c r="F329" s="128"/>
      <c r="G329" s="129"/>
      <c r="H329" s="129"/>
      <c r="I329" s="129"/>
      <c r="J329" s="129"/>
      <c r="K329" s="129"/>
      <c r="L329" s="129"/>
      <c r="M329" s="129"/>
      <c r="N329" s="129"/>
      <c r="O329" s="129"/>
      <c r="P329" s="129"/>
      <c r="Q329" s="129"/>
      <c r="R329" s="129"/>
      <c r="S329" s="129"/>
      <c r="T329" s="129"/>
      <c r="U329" s="129"/>
      <c r="V329" s="129"/>
      <c r="W329" s="129"/>
      <c r="X329" s="129"/>
      <c r="Y329" s="129"/>
    </row>
    <row r="330" spans="1:25" s="127" customFormat="1" ht="12.75" x14ac:dyDescent="0.35">
      <c r="A330" s="128" t="s">
        <v>471</v>
      </c>
      <c r="B330" s="128"/>
      <c r="C330" s="128"/>
      <c r="D330" s="128"/>
      <c r="E330" s="128"/>
      <c r="F330" s="128"/>
      <c r="G330" s="129"/>
      <c r="H330" s="129"/>
      <c r="I330" s="129"/>
      <c r="J330" s="129"/>
      <c r="K330" s="129"/>
      <c r="L330" s="129"/>
      <c r="M330" s="129"/>
      <c r="N330" s="129"/>
      <c r="O330" s="129"/>
      <c r="P330" s="129"/>
      <c r="Q330" s="129"/>
      <c r="R330" s="129"/>
      <c r="S330" s="129"/>
      <c r="T330" s="129"/>
      <c r="U330" s="129"/>
      <c r="V330" s="129"/>
      <c r="W330" s="129"/>
      <c r="X330" s="129"/>
      <c r="Y330" s="129"/>
    </row>
    <row r="331" spans="1:25" s="127" customFormat="1" ht="12.75" x14ac:dyDescent="0.35">
      <c r="A331" s="128" t="s">
        <v>472</v>
      </c>
      <c r="B331" s="128"/>
      <c r="C331" s="128"/>
      <c r="D331" s="128"/>
      <c r="E331" s="128"/>
      <c r="F331" s="128"/>
      <c r="G331" s="129"/>
      <c r="H331" s="129"/>
      <c r="I331" s="129"/>
      <c r="J331" s="129"/>
      <c r="K331" s="129"/>
      <c r="L331" s="129"/>
      <c r="M331" s="129"/>
      <c r="N331" s="129"/>
      <c r="O331" s="129"/>
      <c r="P331" s="129"/>
      <c r="Q331" s="129"/>
      <c r="R331" s="129"/>
      <c r="S331" s="129"/>
      <c r="T331" s="129"/>
      <c r="U331" s="129"/>
      <c r="V331" s="129"/>
      <c r="W331" s="129"/>
      <c r="X331" s="129"/>
      <c r="Y331" s="129"/>
    </row>
    <row r="332" spans="1:25" s="127" customFormat="1" ht="12.75" x14ac:dyDescent="0.35">
      <c r="A332" s="128" t="s">
        <v>473</v>
      </c>
      <c r="B332" s="128"/>
      <c r="C332" s="128"/>
      <c r="D332" s="128"/>
      <c r="E332" s="128"/>
      <c r="F332" s="128"/>
      <c r="G332" s="129"/>
      <c r="H332" s="129"/>
      <c r="I332" s="129"/>
      <c r="J332" s="129"/>
      <c r="K332" s="129"/>
      <c r="L332" s="129"/>
      <c r="M332" s="129"/>
      <c r="N332" s="129"/>
      <c r="O332" s="129"/>
      <c r="P332" s="129"/>
      <c r="Q332" s="129"/>
      <c r="R332" s="129"/>
      <c r="S332" s="129"/>
      <c r="T332" s="129"/>
      <c r="U332" s="129"/>
      <c r="V332" s="129"/>
      <c r="W332" s="129"/>
      <c r="X332" s="129"/>
      <c r="Y332" s="129"/>
    </row>
    <row r="333" spans="1:25" s="127" customFormat="1" ht="12.75" x14ac:dyDescent="0.35">
      <c r="A333" s="128" t="s">
        <v>474</v>
      </c>
      <c r="B333" s="128"/>
      <c r="C333" s="128"/>
      <c r="D333" s="128"/>
      <c r="E333" s="128"/>
      <c r="F333" s="128"/>
      <c r="G333" s="129"/>
      <c r="H333" s="129"/>
      <c r="I333" s="129"/>
      <c r="J333" s="129"/>
      <c r="K333" s="129"/>
      <c r="L333" s="129"/>
      <c r="M333" s="129"/>
      <c r="N333" s="129"/>
      <c r="O333" s="129"/>
      <c r="P333" s="129"/>
      <c r="Q333" s="129"/>
      <c r="R333" s="129"/>
      <c r="S333" s="129"/>
      <c r="T333" s="129"/>
      <c r="U333" s="129"/>
      <c r="V333" s="129"/>
      <c r="W333" s="129"/>
      <c r="X333" s="129"/>
      <c r="Y333" s="129"/>
    </row>
    <row r="334" spans="1:25" s="127" customFormat="1" ht="12.75" x14ac:dyDescent="0.35">
      <c r="A334" s="128" t="s">
        <v>475</v>
      </c>
      <c r="B334" s="128"/>
      <c r="C334" s="128"/>
      <c r="D334" s="128"/>
      <c r="E334" s="128"/>
      <c r="F334" s="128"/>
      <c r="G334" s="129"/>
      <c r="H334" s="129"/>
      <c r="I334" s="129"/>
      <c r="J334" s="129"/>
      <c r="K334" s="129"/>
      <c r="L334" s="129"/>
      <c r="M334" s="129"/>
      <c r="N334" s="129"/>
      <c r="O334" s="129"/>
      <c r="P334" s="129"/>
      <c r="Q334" s="129"/>
      <c r="R334" s="129"/>
      <c r="S334" s="129"/>
      <c r="T334" s="129"/>
      <c r="U334" s="129"/>
      <c r="V334" s="129"/>
      <c r="W334" s="129"/>
      <c r="X334" s="129"/>
      <c r="Y334" s="129"/>
    </row>
    <row r="335" spans="1:25" s="127" customFormat="1" ht="12.75" x14ac:dyDescent="0.35">
      <c r="A335" s="128" t="s">
        <v>476</v>
      </c>
      <c r="B335" s="128"/>
      <c r="C335" s="128"/>
      <c r="D335" s="128"/>
      <c r="E335" s="128"/>
      <c r="F335" s="128"/>
      <c r="G335" s="129"/>
      <c r="H335" s="129"/>
      <c r="I335" s="129"/>
      <c r="J335" s="129"/>
      <c r="K335" s="129"/>
      <c r="L335" s="129"/>
      <c r="M335" s="129"/>
      <c r="N335" s="129"/>
      <c r="O335" s="129"/>
      <c r="P335" s="129"/>
      <c r="Q335" s="129"/>
      <c r="R335" s="129"/>
      <c r="S335" s="129"/>
      <c r="T335" s="129"/>
      <c r="U335" s="129"/>
      <c r="V335" s="129"/>
      <c r="W335" s="129"/>
      <c r="X335" s="129"/>
      <c r="Y335" s="129"/>
    </row>
    <row r="336" spans="1:25" s="127" customFormat="1" ht="12.75" x14ac:dyDescent="0.35">
      <c r="A336" s="128" t="s">
        <v>477</v>
      </c>
      <c r="B336" s="128"/>
      <c r="C336" s="128"/>
      <c r="D336" s="128"/>
      <c r="E336" s="128"/>
      <c r="F336" s="128"/>
      <c r="G336" s="129"/>
      <c r="H336" s="129"/>
      <c r="I336" s="129"/>
      <c r="J336" s="129"/>
      <c r="K336" s="129"/>
      <c r="L336" s="129"/>
      <c r="M336" s="129"/>
      <c r="N336" s="129"/>
      <c r="O336" s="129"/>
      <c r="P336" s="129"/>
      <c r="Q336" s="129"/>
      <c r="R336" s="129"/>
      <c r="S336" s="129"/>
      <c r="T336" s="129"/>
      <c r="U336" s="129"/>
      <c r="V336" s="129"/>
      <c r="W336" s="129"/>
      <c r="X336" s="129"/>
      <c r="Y336" s="129"/>
    </row>
    <row r="337" spans="1:25" s="127" customFormat="1" ht="12.75" x14ac:dyDescent="0.35">
      <c r="A337" s="128" t="s">
        <v>478</v>
      </c>
      <c r="B337" s="128"/>
      <c r="C337" s="128"/>
      <c r="D337" s="128"/>
      <c r="E337" s="128"/>
      <c r="F337" s="128"/>
      <c r="G337" s="129"/>
      <c r="H337" s="129"/>
      <c r="I337" s="129"/>
      <c r="J337" s="129"/>
      <c r="K337" s="129"/>
      <c r="L337" s="129"/>
      <c r="M337" s="129"/>
      <c r="N337" s="129"/>
      <c r="O337" s="129"/>
      <c r="P337" s="129"/>
      <c r="Q337" s="129"/>
      <c r="R337" s="129"/>
      <c r="S337" s="129"/>
      <c r="T337" s="129"/>
      <c r="U337" s="129"/>
      <c r="V337" s="129"/>
      <c r="W337" s="129"/>
      <c r="X337" s="129"/>
      <c r="Y337" s="129"/>
    </row>
    <row r="338" spans="1:25" s="127" customFormat="1" ht="12.75" x14ac:dyDescent="0.35">
      <c r="A338" s="128" t="s">
        <v>479</v>
      </c>
      <c r="B338" s="128"/>
      <c r="C338" s="128"/>
      <c r="D338" s="128"/>
      <c r="E338" s="128"/>
      <c r="F338" s="128"/>
      <c r="G338" s="129"/>
      <c r="H338" s="129"/>
      <c r="I338" s="129"/>
      <c r="J338" s="129"/>
      <c r="K338" s="129"/>
      <c r="L338" s="129"/>
      <c r="M338" s="129"/>
      <c r="N338" s="129"/>
      <c r="O338" s="129"/>
      <c r="P338" s="129"/>
      <c r="Q338" s="129"/>
      <c r="R338" s="129"/>
      <c r="S338" s="129"/>
      <c r="T338" s="129"/>
      <c r="U338" s="129"/>
      <c r="V338" s="129"/>
      <c r="W338" s="129"/>
      <c r="X338" s="129"/>
      <c r="Y338" s="129"/>
    </row>
    <row r="339" spans="1:25" s="127" customFormat="1" ht="12.75" x14ac:dyDescent="0.35">
      <c r="A339" s="128" t="s">
        <v>480</v>
      </c>
      <c r="B339" s="128"/>
      <c r="C339" s="128"/>
      <c r="D339" s="128"/>
      <c r="E339" s="128"/>
      <c r="F339" s="128"/>
      <c r="G339" s="129"/>
      <c r="H339" s="129"/>
      <c r="I339" s="129"/>
      <c r="J339" s="129"/>
      <c r="K339" s="129"/>
      <c r="L339" s="129"/>
      <c r="M339" s="129"/>
      <c r="N339" s="129"/>
      <c r="O339" s="129"/>
      <c r="P339" s="129"/>
      <c r="Q339" s="129"/>
      <c r="R339" s="129"/>
      <c r="S339" s="129"/>
      <c r="T339" s="129"/>
      <c r="U339" s="129"/>
      <c r="V339" s="129"/>
      <c r="W339" s="129"/>
      <c r="X339" s="129"/>
      <c r="Y339" s="129"/>
    </row>
    <row r="340" spans="1:25" s="127" customFormat="1" ht="12.75" x14ac:dyDescent="0.35">
      <c r="A340" s="128" t="s">
        <v>481</v>
      </c>
      <c r="B340" s="128"/>
      <c r="C340" s="128"/>
      <c r="D340" s="128"/>
      <c r="E340" s="128"/>
      <c r="F340" s="128"/>
      <c r="G340" s="125"/>
      <c r="H340" s="129"/>
      <c r="I340" s="129"/>
      <c r="J340" s="129"/>
      <c r="K340" s="129"/>
      <c r="L340" s="129"/>
      <c r="M340" s="129"/>
      <c r="N340" s="129"/>
      <c r="O340" s="129"/>
      <c r="P340" s="129"/>
      <c r="Q340" s="129"/>
      <c r="R340" s="129"/>
      <c r="S340" s="129"/>
      <c r="T340" s="129"/>
      <c r="U340" s="129"/>
      <c r="V340" s="129"/>
      <c r="W340" s="129"/>
      <c r="X340" s="129"/>
      <c r="Y340" s="129"/>
    </row>
    <row r="341" spans="1:25" s="127" customFormat="1" ht="12.75" x14ac:dyDescent="0.35">
      <c r="A341" s="128" t="s">
        <v>482</v>
      </c>
      <c r="B341" s="128"/>
      <c r="C341" s="128"/>
      <c r="D341" s="128"/>
      <c r="E341" s="128"/>
      <c r="F341" s="128"/>
      <c r="G341" s="129"/>
      <c r="H341" s="129"/>
      <c r="I341" s="129"/>
      <c r="J341" s="129"/>
      <c r="K341" s="129"/>
      <c r="L341" s="129"/>
      <c r="M341" s="129"/>
      <c r="N341" s="129"/>
      <c r="O341" s="129"/>
      <c r="P341" s="129"/>
      <c r="Q341" s="129"/>
      <c r="R341" s="129"/>
      <c r="S341" s="129"/>
      <c r="T341" s="129"/>
      <c r="U341" s="129"/>
      <c r="V341" s="129"/>
      <c r="W341" s="129"/>
      <c r="X341" s="129"/>
      <c r="Y341" s="129"/>
    </row>
    <row r="342" spans="1:25" s="127" customFormat="1" ht="12.75" x14ac:dyDescent="0.35">
      <c r="A342" s="128" t="s">
        <v>483</v>
      </c>
      <c r="B342" s="128"/>
      <c r="C342" s="128"/>
      <c r="D342" s="128"/>
      <c r="E342" s="128"/>
      <c r="F342" s="128"/>
      <c r="G342" s="129"/>
      <c r="H342" s="129"/>
      <c r="I342" s="129"/>
      <c r="J342" s="129"/>
      <c r="K342" s="129"/>
      <c r="L342" s="129"/>
      <c r="M342" s="129"/>
      <c r="N342" s="129"/>
      <c r="O342" s="129"/>
      <c r="P342" s="129"/>
      <c r="Q342" s="129"/>
      <c r="R342" s="129"/>
      <c r="S342" s="129"/>
      <c r="T342" s="129"/>
      <c r="U342" s="129"/>
      <c r="V342" s="129"/>
      <c r="W342" s="129"/>
      <c r="X342" s="129"/>
      <c r="Y342" s="129"/>
    </row>
    <row r="343" spans="1:25" s="127" customFormat="1" ht="12.75" x14ac:dyDescent="0.35">
      <c r="A343" s="128" t="s">
        <v>484</v>
      </c>
      <c r="B343" s="128"/>
      <c r="C343" s="128"/>
      <c r="D343" s="128"/>
      <c r="E343" s="128"/>
      <c r="F343" s="128"/>
      <c r="G343" s="129"/>
      <c r="H343" s="129"/>
      <c r="I343" s="129"/>
      <c r="J343" s="129"/>
      <c r="K343" s="129"/>
      <c r="L343" s="129"/>
      <c r="M343" s="129"/>
      <c r="N343" s="129"/>
      <c r="O343" s="129"/>
      <c r="P343" s="129"/>
      <c r="Q343" s="129"/>
      <c r="R343" s="129"/>
      <c r="S343" s="129"/>
      <c r="T343" s="129"/>
      <c r="U343" s="129"/>
      <c r="V343" s="129"/>
      <c r="W343" s="129"/>
      <c r="X343" s="129"/>
      <c r="Y343" s="129"/>
    </row>
    <row r="344" spans="1:25" s="127" customFormat="1" ht="12.75" x14ac:dyDescent="0.35">
      <c r="A344" s="128" t="s">
        <v>485</v>
      </c>
      <c r="B344" s="128"/>
      <c r="C344" s="128"/>
      <c r="D344" s="128"/>
      <c r="E344" s="128"/>
      <c r="F344" s="128"/>
      <c r="G344" s="129"/>
      <c r="H344" s="129"/>
      <c r="I344" s="129"/>
      <c r="J344" s="129"/>
      <c r="K344" s="129"/>
      <c r="L344" s="129"/>
      <c r="M344" s="129"/>
      <c r="N344" s="129"/>
      <c r="O344" s="129"/>
      <c r="P344" s="129"/>
      <c r="Q344" s="129"/>
      <c r="R344" s="129"/>
      <c r="S344" s="129"/>
      <c r="T344" s="129"/>
      <c r="U344" s="129"/>
      <c r="V344" s="129"/>
      <c r="W344" s="129"/>
      <c r="X344" s="129"/>
      <c r="Y344" s="129"/>
    </row>
    <row r="345" spans="1:25" s="127" customFormat="1" ht="12.75" x14ac:dyDescent="0.35">
      <c r="A345" s="128" t="s">
        <v>486</v>
      </c>
      <c r="B345" s="128"/>
      <c r="C345" s="128"/>
      <c r="D345" s="128"/>
      <c r="E345" s="128"/>
      <c r="F345" s="128"/>
      <c r="G345" s="129"/>
      <c r="H345" s="129"/>
      <c r="I345" s="129"/>
      <c r="J345" s="129"/>
      <c r="K345" s="129"/>
      <c r="L345" s="129"/>
      <c r="M345" s="129"/>
      <c r="N345" s="129"/>
      <c r="O345" s="129"/>
      <c r="P345" s="129"/>
      <c r="Q345" s="129"/>
      <c r="R345" s="129"/>
      <c r="S345" s="129"/>
      <c r="T345" s="129"/>
      <c r="U345" s="129"/>
      <c r="V345" s="129"/>
      <c r="W345" s="129"/>
      <c r="X345" s="129"/>
      <c r="Y345" s="129"/>
    </row>
    <row r="346" spans="1:25" s="127" customFormat="1" ht="12.75" x14ac:dyDescent="0.35">
      <c r="A346" s="128" t="s">
        <v>487</v>
      </c>
      <c r="B346" s="128"/>
      <c r="C346" s="128"/>
      <c r="D346" s="128"/>
      <c r="E346" s="128"/>
      <c r="F346" s="128"/>
      <c r="G346" s="129"/>
      <c r="H346" s="129"/>
      <c r="I346" s="129"/>
      <c r="J346" s="129"/>
      <c r="K346" s="129"/>
      <c r="L346" s="129"/>
      <c r="M346" s="129"/>
      <c r="N346" s="129"/>
      <c r="O346" s="129"/>
      <c r="P346" s="129"/>
      <c r="Q346" s="129"/>
      <c r="R346" s="129"/>
      <c r="S346" s="129"/>
      <c r="T346" s="129"/>
      <c r="U346" s="129"/>
      <c r="V346" s="129"/>
      <c r="W346" s="129"/>
      <c r="X346" s="129"/>
      <c r="Y346" s="129"/>
    </row>
    <row r="347" spans="1:25" s="127" customFormat="1" ht="12.75" x14ac:dyDescent="0.35">
      <c r="A347" s="128" t="s">
        <v>488</v>
      </c>
      <c r="B347" s="128"/>
      <c r="C347" s="128"/>
      <c r="D347" s="128"/>
      <c r="E347" s="128"/>
      <c r="F347" s="128"/>
      <c r="G347" s="129"/>
      <c r="H347" s="129"/>
      <c r="I347" s="129"/>
      <c r="J347" s="129"/>
      <c r="K347" s="129"/>
      <c r="L347" s="129"/>
      <c r="M347" s="129"/>
      <c r="N347" s="129"/>
      <c r="O347" s="129"/>
      <c r="P347" s="129"/>
      <c r="Q347" s="129"/>
      <c r="R347" s="129"/>
      <c r="S347" s="129"/>
      <c r="T347" s="129"/>
      <c r="U347" s="129"/>
      <c r="V347" s="129"/>
      <c r="W347" s="129"/>
      <c r="X347" s="129"/>
      <c r="Y347" s="129"/>
    </row>
    <row r="348" spans="1:25" s="127" customFormat="1" ht="12.75" x14ac:dyDescent="0.35">
      <c r="A348" s="131" t="s">
        <v>489</v>
      </c>
      <c r="B348" s="128"/>
      <c r="C348" s="128"/>
      <c r="D348" s="128"/>
      <c r="E348" s="128"/>
      <c r="F348" s="128"/>
      <c r="G348" s="129"/>
      <c r="H348" s="129"/>
      <c r="I348" s="129"/>
      <c r="J348" s="129"/>
      <c r="K348" s="129"/>
      <c r="L348" s="129"/>
      <c r="M348" s="129"/>
      <c r="N348" s="129"/>
      <c r="O348" s="129"/>
      <c r="P348" s="129"/>
      <c r="Q348" s="129"/>
      <c r="R348" s="129"/>
      <c r="S348" s="129"/>
      <c r="T348" s="129"/>
      <c r="U348" s="129"/>
      <c r="V348" s="129"/>
      <c r="W348" s="129"/>
      <c r="X348" s="129"/>
      <c r="Y348" s="129"/>
    </row>
    <row r="349" spans="1:25" s="127" customFormat="1" ht="12.75" x14ac:dyDescent="0.35">
      <c r="A349" s="131" t="s">
        <v>490</v>
      </c>
      <c r="B349" s="128"/>
      <c r="C349" s="128"/>
      <c r="D349" s="128"/>
      <c r="E349" s="128"/>
      <c r="F349" s="128"/>
      <c r="G349" s="129"/>
      <c r="H349" s="129"/>
      <c r="I349" s="129"/>
      <c r="J349" s="129"/>
      <c r="K349" s="129"/>
      <c r="L349" s="129"/>
      <c r="M349" s="129"/>
      <c r="N349" s="129"/>
      <c r="O349" s="129"/>
      <c r="P349" s="129"/>
      <c r="Q349" s="129"/>
      <c r="R349" s="129"/>
      <c r="S349" s="129"/>
      <c r="T349" s="129"/>
      <c r="U349" s="129"/>
      <c r="V349" s="129"/>
      <c r="W349" s="129"/>
      <c r="X349" s="129"/>
      <c r="Y349" s="129"/>
    </row>
    <row r="350" spans="1:25" s="127" customFormat="1" ht="12.75" x14ac:dyDescent="0.35">
      <c r="A350" s="128" t="s">
        <v>491</v>
      </c>
      <c r="B350" s="128"/>
      <c r="C350" s="128"/>
      <c r="D350" s="128"/>
      <c r="E350" s="128"/>
      <c r="F350" s="128"/>
      <c r="G350" s="129"/>
      <c r="H350" s="129"/>
      <c r="I350" s="129"/>
      <c r="J350" s="129"/>
      <c r="K350" s="129"/>
      <c r="L350" s="129"/>
      <c r="M350" s="129"/>
      <c r="N350" s="129"/>
      <c r="O350" s="129"/>
      <c r="P350" s="129"/>
      <c r="Q350" s="129"/>
      <c r="R350" s="129"/>
      <c r="S350" s="129"/>
      <c r="T350" s="129"/>
      <c r="U350" s="129"/>
      <c r="V350" s="129"/>
      <c r="W350" s="129"/>
      <c r="X350" s="129"/>
      <c r="Y350" s="129"/>
    </row>
    <row r="351" spans="1:25" s="127" customFormat="1" ht="12.75" x14ac:dyDescent="0.35">
      <c r="A351" s="128" t="s">
        <v>492</v>
      </c>
      <c r="B351" s="128"/>
      <c r="C351" s="128"/>
      <c r="D351" s="128"/>
      <c r="E351" s="128"/>
      <c r="F351" s="128"/>
      <c r="G351" s="129"/>
      <c r="H351" s="129"/>
      <c r="I351" s="129"/>
      <c r="J351" s="129"/>
      <c r="K351" s="129"/>
      <c r="L351" s="129"/>
      <c r="M351" s="129"/>
      <c r="N351" s="129"/>
      <c r="O351" s="129"/>
      <c r="P351" s="129"/>
      <c r="Q351" s="129"/>
      <c r="R351" s="129"/>
      <c r="S351" s="129"/>
      <c r="T351" s="129"/>
      <c r="U351" s="129"/>
      <c r="V351" s="129"/>
      <c r="W351" s="129"/>
      <c r="X351" s="129"/>
      <c r="Y351" s="129"/>
    </row>
    <row r="352" spans="1:25" x14ac:dyDescent="0.45">
      <c r="B352" s="118"/>
      <c r="C352" s="118"/>
      <c r="D352" s="118"/>
      <c r="E352" s="118"/>
      <c r="F352" s="118"/>
    </row>
    <row r="353" spans="1:6" s="11" customFormat="1" x14ac:dyDescent="0.45">
      <c r="A353" s="10"/>
      <c r="B353" s="118"/>
      <c r="C353" s="118"/>
      <c r="D353" s="118"/>
      <c r="E353" s="118"/>
      <c r="F353" s="118"/>
    </row>
    <row r="354" spans="1:6" s="11" customFormat="1" x14ac:dyDescent="0.45">
      <c r="A354" s="10"/>
      <c r="B354" s="118"/>
      <c r="C354" s="118"/>
      <c r="D354" s="118"/>
      <c r="E354" s="118"/>
      <c r="F354" s="118"/>
    </row>
    <row r="355" spans="1:6" s="11" customFormat="1" x14ac:dyDescent="0.45">
      <c r="A355" s="1360"/>
      <c r="B355" s="118"/>
      <c r="C355" s="118"/>
      <c r="D355" s="118"/>
      <c r="E355" s="118"/>
      <c r="F355" s="118"/>
    </row>
    <row r="356" spans="1:6" s="11" customFormat="1" x14ac:dyDescent="0.45">
      <c r="A356" s="118"/>
      <c r="B356" s="118"/>
      <c r="C356" s="118"/>
      <c r="D356" s="118"/>
      <c r="E356" s="118"/>
      <c r="F356" s="118"/>
    </row>
    <row r="357" spans="1:6" s="11" customFormat="1" x14ac:dyDescent="0.45">
      <c r="A357" s="10"/>
      <c r="B357" s="118"/>
      <c r="C357" s="118"/>
      <c r="D357" s="118"/>
      <c r="E357" s="118"/>
      <c r="F357" s="118"/>
    </row>
    <row r="358" spans="1:6" s="11" customFormat="1" x14ac:dyDescent="0.45">
      <c r="A358" s="10"/>
      <c r="B358" s="118"/>
      <c r="C358" s="118"/>
      <c r="D358" s="118"/>
      <c r="E358" s="118"/>
      <c r="F358" s="118"/>
    </row>
    <row r="359" spans="1:6" s="11" customFormat="1" x14ac:dyDescent="0.45">
      <c r="A359" s="10"/>
      <c r="B359" s="118"/>
      <c r="C359" s="118"/>
      <c r="D359" s="118"/>
      <c r="E359" s="118"/>
      <c r="F359" s="118"/>
    </row>
    <row r="360" spans="1:6" s="11" customFormat="1" x14ac:dyDescent="0.45">
      <c r="A360" s="10"/>
      <c r="B360" s="118"/>
      <c r="C360" s="118"/>
      <c r="D360" s="118"/>
      <c r="E360" s="118"/>
      <c r="F360" s="118"/>
    </row>
    <row r="361" spans="1:6" s="11" customFormat="1" x14ac:dyDescent="0.45">
      <c r="A361" s="10"/>
      <c r="B361" s="118"/>
      <c r="C361" s="118"/>
      <c r="D361" s="118"/>
      <c r="E361" s="118"/>
      <c r="F361" s="118"/>
    </row>
    <row r="362" spans="1:6" s="11" customFormat="1" x14ac:dyDescent="0.45">
      <c r="A362" s="10"/>
      <c r="B362" s="118"/>
      <c r="C362" s="118"/>
      <c r="D362" s="118"/>
      <c r="E362" s="118"/>
      <c r="F362" s="118"/>
    </row>
    <row r="363" spans="1:6" s="11" customFormat="1" x14ac:dyDescent="0.45">
      <c r="A363" s="10"/>
      <c r="B363" s="118"/>
      <c r="C363" s="118"/>
      <c r="D363" s="118"/>
      <c r="E363" s="118"/>
      <c r="F363" s="118"/>
    </row>
    <row r="364" spans="1:6" s="11" customFormat="1" x14ac:dyDescent="0.45">
      <c r="A364" s="10"/>
      <c r="B364" s="118"/>
      <c r="C364" s="118"/>
      <c r="D364" s="118"/>
      <c r="E364" s="118"/>
      <c r="F364" s="118"/>
    </row>
    <row r="365" spans="1:6" s="11" customFormat="1" x14ac:dyDescent="0.45">
      <c r="A365" s="10"/>
      <c r="B365" s="118"/>
      <c r="C365" s="118"/>
      <c r="D365" s="118"/>
      <c r="E365" s="118"/>
      <c r="F365" s="118"/>
    </row>
    <row r="366" spans="1:6" s="11" customFormat="1" x14ac:dyDescent="0.45">
      <c r="A366" s="10"/>
      <c r="B366" s="118"/>
      <c r="C366" s="118"/>
      <c r="D366" s="118"/>
      <c r="E366" s="118"/>
      <c r="F366" s="118"/>
    </row>
    <row r="367" spans="1:6" s="11" customFormat="1" x14ac:dyDescent="0.45">
      <c r="A367" s="10"/>
      <c r="B367" s="118"/>
      <c r="C367" s="118"/>
      <c r="D367" s="118"/>
      <c r="E367" s="118"/>
      <c r="F367" s="118"/>
    </row>
    <row r="368" spans="1:6" s="11" customFormat="1" x14ac:dyDescent="0.45">
      <c r="A368" s="10"/>
      <c r="B368" s="118"/>
      <c r="C368" s="118"/>
      <c r="D368" s="118"/>
      <c r="E368" s="118"/>
      <c r="F368" s="118"/>
    </row>
    <row r="369" spans="2:6" s="11" customFormat="1" x14ac:dyDescent="0.45">
      <c r="B369" s="118"/>
      <c r="C369" s="118"/>
      <c r="D369" s="118"/>
      <c r="E369" s="118"/>
      <c r="F369" s="118"/>
    </row>
    <row r="370" spans="2:6" s="11" customFormat="1" x14ac:dyDescent="0.45">
      <c r="B370" s="118"/>
      <c r="C370" s="118"/>
      <c r="D370" s="118"/>
      <c r="E370" s="118"/>
      <c r="F370" s="118"/>
    </row>
    <row r="371" spans="2:6" s="11" customFormat="1" x14ac:dyDescent="0.45">
      <c r="B371" s="118"/>
      <c r="C371" s="118"/>
      <c r="D371" s="118"/>
      <c r="E371" s="118"/>
      <c r="F371" s="118"/>
    </row>
    <row r="372" spans="2:6" s="11" customFormat="1" x14ac:dyDescent="0.45">
      <c r="B372" s="118"/>
      <c r="C372" s="118"/>
      <c r="D372" s="118"/>
      <c r="E372" s="118"/>
      <c r="F372" s="118"/>
    </row>
    <row r="373" spans="2:6" s="11" customFormat="1" x14ac:dyDescent="0.45">
      <c r="B373" s="118"/>
      <c r="C373" s="118"/>
      <c r="D373" s="118"/>
      <c r="E373" s="118"/>
      <c r="F373" s="118"/>
    </row>
    <row r="374" spans="2:6" s="11" customFormat="1" x14ac:dyDescent="0.45">
      <c r="B374" s="118"/>
      <c r="C374" s="118"/>
      <c r="D374" s="118"/>
      <c r="E374" s="118"/>
      <c r="F374" s="118"/>
    </row>
    <row r="375" spans="2:6" s="11" customFormat="1" x14ac:dyDescent="0.45">
      <c r="B375" s="118"/>
      <c r="C375" s="118"/>
      <c r="D375" s="118"/>
      <c r="E375" s="118"/>
      <c r="F375" s="118"/>
    </row>
    <row r="376" spans="2:6" s="11" customFormat="1" x14ac:dyDescent="0.45">
      <c r="B376" s="118"/>
      <c r="C376" s="118"/>
      <c r="D376" s="118"/>
      <c r="E376" s="118"/>
      <c r="F376" s="118"/>
    </row>
    <row r="377" spans="2:6" s="11" customFormat="1" x14ac:dyDescent="0.45">
      <c r="B377" s="118"/>
      <c r="C377" s="118"/>
      <c r="D377" s="118"/>
      <c r="E377" s="118"/>
      <c r="F377" s="118"/>
    </row>
    <row r="378" spans="2:6" s="11" customFormat="1" x14ac:dyDescent="0.45">
      <c r="B378" s="118"/>
      <c r="C378" s="118"/>
      <c r="D378" s="118"/>
      <c r="E378" s="118"/>
      <c r="F378" s="118"/>
    </row>
    <row r="379" spans="2:6" s="11" customFormat="1" x14ac:dyDescent="0.45">
      <c r="B379" s="118"/>
      <c r="C379" s="118"/>
      <c r="D379" s="118"/>
      <c r="E379" s="118"/>
      <c r="F379" s="118"/>
    </row>
    <row r="380" spans="2:6" s="11" customFormat="1" x14ac:dyDescent="0.45">
      <c r="B380" s="118"/>
      <c r="C380" s="118"/>
      <c r="D380" s="118"/>
      <c r="E380" s="118"/>
      <c r="F380" s="118"/>
    </row>
    <row r="381" spans="2:6" s="11" customFormat="1" x14ac:dyDescent="0.45">
      <c r="B381" s="118"/>
      <c r="C381" s="118"/>
      <c r="D381" s="118"/>
      <c r="E381" s="118"/>
      <c r="F381" s="118"/>
    </row>
    <row r="382" spans="2:6" s="11" customFormat="1" x14ac:dyDescent="0.45">
      <c r="B382" s="118"/>
      <c r="C382" s="118"/>
      <c r="D382" s="118"/>
      <c r="E382" s="118"/>
      <c r="F382" s="118"/>
    </row>
    <row r="383" spans="2:6" s="11" customFormat="1" x14ac:dyDescent="0.45">
      <c r="B383" s="118"/>
      <c r="C383" s="118"/>
      <c r="D383" s="118"/>
      <c r="E383" s="118"/>
      <c r="F383" s="118"/>
    </row>
    <row r="384" spans="2:6" s="11" customFormat="1" x14ac:dyDescent="0.45">
      <c r="B384" s="118"/>
      <c r="C384" s="118"/>
      <c r="D384" s="118"/>
      <c r="E384" s="118"/>
      <c r="F384" s="118"/>
    </row>
    <row r="385" spans="1:25" x14ac:dyDescent="0.45">
      <c r="A385" s="11"/>
      <c r="B385" s="118"/>
      <c r="C385" s="118"/>
      <c r="D385" s="118"/>
      <c r="E385" s="118"/>
      <c r="F385" s="118"/>
      <c r="G385" s="11"/>
      <c r="H385" s="11"/>
      <c r="I385" s="11"/>
      <c r="J385" s="11"/>
      <c r="K385" s="11"/>
      <c r="L385" s="11"/>
      <c r="M385" s="11"/>
      <c r="N385" s="11"/>
      <c r="O385" s="11"/>
      <c r="P385" s="11"/>
      <c r="Q385" s="11"/>
      <c r="R385" s="11"/>
      <c r="S385" s="11"/>
      <c r="T385" s="11"/>
      <c r="U385" s="11"/>
      <c r="V385" s="11"/>
      <c r="W385" s="11"/>
      <c r="X385" s="11"/>
      <c r="Y385" s="11"/>
    </row>
    <row r="386" spans="1:25" x14ac:dyDescent="0.45">
      <c r="A386" s="11"/>
      <c r="B386" s="118"/>
      <c r="C386" s="118"/>
      <c r="D386" s="118"/>
      <c r="E386" s="118"/>
      <c r="F386" s="118"/>
      <c r="G386" s="11"/>
      <c r="H386" s="11"/>
      <c r="I386" s="11"/>
      <c r="J386" s="11"/>
      <c r="K386" s="11"/>
      <c r="L386" s="11"/>
      <c r="M386" s="11"/>
      <c r="N386" s="11"/>
      <c r="O386" s="11"/>
      <c r="P386" s="11"/>
      <c r="Q386" s="11"/>
      <c r="R386" s="11"/>
      <c r="S386" s="11"/>
      <c r="T386" s="11"/>
      <c r="U386" s="11"/>
      <c r="V386" s="11"/>
      <c r="W386" s="11"/>
      <c r="X386" s="11"/>
      <c r="Y386" s="11"/>
    </row>
    <row r="387" spans="1:25" x14ac:dyDescent="0.45">
      <c r="A387" s="11"/>
      <c r="B387" s="118"/>
      <c r="C387" s="118"/>
      <c r="D387" s="118"/>
      <c r="E387" s="118"/>
      <c r="F387" s="118"/>
      <c r="G387" s="11"/>
      <c r="H387" s="11"/>
      <c r="I387" s="11"/>
      <c r="J387" s="11"/>
      <c r="K387" s="11"/>
      <c r="L387" s="11"/>
      <c r="M387" s="11"/>
      <c r="N387" s="11"/>
      <c r="O387" s="11"/>
      <c r="P387" s="11"/>
      <c r="Q387" s="11"/>
      <c r="R387" s="11"/>
      <c r="S387" s="11"/>
      <c r="T387" s="11"/>
      <c r="U387" s="11"/>
      <c r="V387" s="11"/>
      <c r="W387" s="11"/>
      <c r="X387" s="11"/>
      <c r="Y387" s="11"/>
    </row>
    <row r="388" spans="1:25" x14ac:dyDescent="0.45">
      <c r="A388" s="11"/>
      <c r="B388" s="118"/>
      <c r="C388" s="118"/>
      <c r="D388" s="118"/>
      <c r="E388" s="118"/>
      <c r="F388" s="118"/>
      <c r="G388" s="11"/>
      <c r="H388" s="11"/>
      <c r="I388" s="11"/>
      <c r="J388" s="11"/>
      <c r="K388" s="11"/>
      <c r="L388" s="11"/>
      <c r="M388" s="11"/>
      <c r="N388" s="11"/>
      <c r="O388" s="11"/>
      <c r="P388" s="11"/>
      <c r="Q388" s="11"/>
      <c r="R388" s="11"/>
      <c r="S388" s="11"/>
      <c r="T388" s="11"/>
      <c r="U388" s="11"/>
      <c r="V388" s="11"/>
      <c r="W388" s="11"/>
      <c r="X388" s="11"/>
      <c r="Y388" s="11"/>
    </row>
    <row r="389" spans="1:25" x14ac:dyDescent="0.45">
      <c r="A389" s="11"/>
      <c r="B389" s="118"/>
      <c r="C389" s="118"/>
      <c r="D389" s="118"/>
      <c r="E389" s="118"/>
      <c r="F389" s="118"/>
      <c r="G389" s="11"/>
      <c r="H389" s="11"/>
      <c r="I389" s="11"/>
      <c r="J389" s="11"/>
      <c r="K389" s="11"/>
      <c r="L389" s="11"/>
      <c r="M389" s="11"/>
      <c r="N389" s="11"/>
      <c r="O389" s="11"/>
      <c r="P389" s="11"/>
      <c r="Q389" s="11"/>
      <c r="R389" s="11"/>
      <c r="S389" s="11"/>
      <c r="T389" s="11"/>
      <c r="U389" s="11"/>
      <c r="V389" s="11"/>
      <c r="W389" s="11"/>
      <c r="X389" s="11"/>
      <c r="Y389" s="11"/>
    </row>
    <row r="390" spans="1:25" x14ac:dyDescent="0.45">
      <c r="A390" s="11"/>
      <c r="B390" s="118"/>
      <c r="C390" s="118"/>
      <c r="D390" s="118"/>
      <c r="E390" s="118"/>
      <c r="F390" s="118"/>
      <c r="G390" s="11"/>
      <c r="H390" s="11"/>
      <c r="I390" s="11"/>
      <c r="J390" s="11"/>
      <c r="K390" s="11"/>
      <c r="L390" s="11"/>
      <c r="M390" s="11"/>
      <c r="N390" s="11"/>
      <c r="O390" s="11"/>
      <c r="P390" s="11"/>
      <c r="Q390" s="11"/>
      <c r="R390" s="11"/>
      <c r="S390" s="11"/>
      <c r="T390" s="11"/>
      <c r="U390" s="11"/>
      <c r="V390" s="11"/>
      <c r="W390" s="11"/>
      <c r="X390" s="11"/>
      <c r="Y390" s="11"/>
    </row>
    <row r="391" spans="1:25" x14ac:dyDescent="0.45">
      <c r="A391" s="11"/>
      <c r="B391" s="118"/>
      <c r="C391" s="118"/>
      <c r="D391" s="118"/>
      <c r="E391" s="118"/>
      <c r="F391" s="118"/>
      <c r="G391" s="11"/>
      <c r="H391" s="11"/>
      <c r="I391" s="11"/>
      <c r="J391" s="11"/>
      <c r="K391" s="11"/>
      <c r="L391" s="11"/>
      <c r="M391" s="11"/>
      <c r="N391" s="11"/>
      <c r="O391" s="11"/>
      <c r="P391" s="11"/>
      <c r="Q391" s="11"/>
      <c r="R391" s="11"/>
      <c r="S391" s="11"/>
      <c r="T391" s="11"/>
      <c r="U391" s="11"/>
      <c r="V391" s="11"/>
      <c r="W391" s="11"/>
      <c r="X391" s="11"/>
      <c r="Y391" s="11"/>
    </row>
    <row r="392" spans="1:25" x14ac:dyDescent="0.45">
      <c r="A392" s="11"/>
      <c r="B392" s="118"/>
      <c r="C392" s="118"/>
      <c r="D392" s="118"/>
      <c r="E392" s="118"/>
      <c r="F392" s="118"/>
      <c r="G392" s="11"/>
      <c r="H392" s="11"/>
      <c r="I392" s="11"/>
      <c r="J392" s="11"/>
      <c r="K392" s="11"/>
      <c r="L392" s="11"/>
      <c r="M392" s="11"/>
      <c r="N392" s="11"/>
      <c r="O392" s="11"/>
      <c r="P392" s="11"/>
      <c r="Q392" s="11"/>
      <c r="R392" s="11"/>
      <c r="S392" s="11"/>
      <c r="T392" s="11"/>
      <c r="U392" s="11"/>
      <c r="V392" s="11"/>
      <c r="W392" s="11"/>
      <c r="X392" s="11"/>
      <c r="Y392" s="11"/>
    </row>
    <row r="393" spans="1:25" x14ac:dyDescent="0.45">
      <c r="A393" s="11"/>
      <c r="B393" s="118"/>
      <c r="C393" s="118"/>
      <c r="D393" s="118"/>
      <c r="E393" s="118"/>
      <c r="F393" s="118"/>
      <c r="G393" s="11"/>
      <c r="H393" s="11"/>
      <c r="I393" s="11"/>
      <c r="J393" s="11"/>
      <c r="K393" s="11"/>
      <c r="L393" s="11"/>
      <c r="M393" s="11"/>
      <c r="N393" s="11"/>
      <c r="O393" s="11"/>
      <c r="P393" s="11"/>
      <c r="Q393" s="11"/>
      <c r="R393" s="11"/>
      <c r="S393" s="11"/>
      <c r="T393" s="11"/>
      <c r="U393" s="11"/>
      <c r="V393" s="11"/>
      <c r="W393" s="11"/>
      <c r="X393" s="11"/>
      <c r="Y393" s="11"/>
    </row>
    <row r="394" spans="1:25" x14ac:dyDescent="0.45">
      <c r="A394" s="11"/>
      <c r="B394" s="118"/>
      <c r="C394" s="118"/>
      <c r="D394" s="118"/>
      <c r="E394" s="118"/>
      <c r="F394" s="118"/>
      <c r="G394" s="11"/>
      <c r="H394" s="11"/>
      <c r="I394" s="11"/>
      <c r="J394" s="11"/>
      <c r="K394" s="11"/>
      <c r="L394" s="11"/>
      <c r="M394" s="11"/>
      <c r="N394" s="11"/>
      <c r="O394" s="11"/>
      <c r="P394" s="11"/>
      <c r="Q394" s="11"/>
      <c r="R394" s="11"/>
      <c r="S394" s="11"/>
      <c r="T394" s="11"/>
      <c r="U394" s="11"/>
      <c r="V394" s="11"/>
      <c r="W394" s="11"/>
      <c r="X394" s="11"/>
      <c r="Y394" s="11"/>
    </row>
    <row r="395" spans="1:25" x14ac:dyDescent="0.45">
      <c r="A395" s="11"/>
      <c r="B395" s="118"/>
      <c r="C395" s="118"/>
      <c r="D395" s="118"/>
      <c r="E395" s="118"/>
      <c r="F395" s="118"/>
      <c r="G395" s="11"/>
      <c r="H395" s="11"/>
      <c r="I395" s="11"/>
      <c r="J395" s="11"/>
      <c r="K395" s="11"/>
      <c r="L395" s="11"/>
      <c r="M395" s="11"/>
      <c r="N395" s="11"/>
      <c r="O395" s="11"/>
      <c r="P395" s="11"/>
      <c r="Q395" s="11"/>
      <c r="R395" s="11"/>
      <c r="S395" s="11"/>
      <c r="T395" s="11"/>
      <c r="U395" s="11"/>
      <c r="V395" s="11"/>
      <c r="W395" s="11"/>
      <c r="X395" s="11"/>
      <c r="Y395" s="11"/>
    </row>
    <row r="396" spans="1:25" x14ac:dyDescent="0.45">
      <c r="A396" s="11"/>
      <c r="B396" s="118"/>
      <c r="C396" s="118"/>
      <c r="D396" s="118"/>
      <c r="E396" s="118"/>
      <c r="F396" s="118"/>
      <c r="G396" s="11"/>
      <c r="H396" s="11"/>
      <c r="I396" s="11"/>
      <c r="J396" s="11"/>
      <c r="K396" s="11"/>
      <c r="L396" s="11"/>
      <c r="M396" s="11"/>
      <c r="N396" s="11"/>
      <c r="O396" s="11"/>
      <c r="P396" s="11"/>
      <c r="Q396" s="11"/>
      <c r="R396" s="11"/>
      <c r="S396" s="11"/>
      <c r="T396" s="11"/>
      <c r="U396" s="11"/>
      <c r="V396" s="11"/>
      <c r="W396" s="11"/>
      <c r="X396" s="11"/>
      <c r="Y396" s="11"/>
    </row>
    <row r="416" spans="1:25" x14ac:dyDescent="0.45">
      <c r="A416" s="11"/>
      <c r="B416" s="118"/>
      <c r="C416" s="118"/>
      <c r="D416" s="118"/>
      <c r="E416" s="118"/>
      <c r="F416" s="118"/>
      <c r="G416" s="11"/>
      <c r="H416" s="11"/>
      <c r="I416" s="11"/>
      <c r="J416" s="11"/>
      <c r="K416" s="11"/>
      <c r="L416" s="11"/>
      <c r="M416" s="11"/>
      <c r="N416" s="11"/>
      <c r="O416" s="11"/>
      <c r="P416" s="11"/>
      <c r="Q416" s="11"/>
      <c r="R416" s="11"/>
      <c r="S416" s="11"/>
      <c r="T416" s="11"/>
      <c r="U416" s="11"/>
      <c r="V416" s="11"/>
      <c r="W416" s="11"/>
      <c r="X416" s="11"/>
      <c r="Y416" s="11"/>
    </row>
    <row r="417" spans="2:31" s="11" customFormat="1" x14ac:dyDescent="0.45">
      <c r="B417" s="118"/>
      <c r="C417" s="118"/>
      <c r="D417" s="118"/>
      <c r="E417" s="118"/>
      <c r="F417" s="118"/>
      <c r="G417" s="135"/>
      <c r="H417" s="135"/>
      <c r="I417" s="135"/>
      <c r="J417" s="135"/>
      <c r="K417" s="135"/>
      <c r="L417" s="135"/>
      <c r="M417" s="135"/>
      <c r="N417" s="135"/>
      <c r="O417" s="135"/>
      <c r="P417" s="135"/>
      <c r="Q417" s="135"/>
      <c r="R417" s="135"/>
      <c r="S417" s="135"/>
      <c r="T417" s="135"/>
      <c r="U417" s="135"/>
      <c r="V417" s="135"/>
      <c r="W417" s="135"/>
      <c r="X417" s="135"/>
      <c r="Y417" s="135"/>
    </row>
    <row r="418" spans="2:31" s="11" customFormat="1" x14ac:dyDescent="0.45">
      <c r="B418" s="118"/>
      <c r="C418" s="118"/>
      <c r="D418" s="118"/>
      <c r="E418" s="118"/>
      <c r="F418" s="118"/>
      <c r="G418" s="135"/>
      <c r="H418" s="135"/>
      <c r="I418" s="135"/>
      <c r="J418" s="135"/>
      <c r="K418" s="135"/>
      <c r="L418" s="135"/>
      <c r="M418" s="135"/>
      <c r="N418" s="135"/>
      <c r="O418" s="135"/>
      <c r="P418" s="135"/>
      <c r="Q418" s="135"/>
      <c r="R418" s="135"/>
      <c r="S418" s="135"/>
      <c r="T418" s="135"/>
      <c r="U418" s="135"/>
      <c r="V418" s="135"/>
      <c r="W418" s="135"/>
      <c r="X418" s="135"/>
      <c r="Y418" s="135"/>
    </row>
    <row r="419" spans="2:31" s="11" customFormat="1" x14ac:dyDescent="0.45">
      <c r="B419" s="118"/>
      <c r="C419" s="118"/>
      <c r="D419" s="118"/>
      <c r="E419" s="118"/>
      <c r="F419" s="118"/>
      <c r="G419" s="135"/>
      <c r="H419" s="135"/>
      <c r="I419" s="118"/>
      <c r="J419" s="135"/>
      <c r="K419" s="118"/>
      <c r="L419" s="135"/>
      <c r="M419" s="43"/>
      <c r="N419" s="135"/>
      <c r="O419" s="135"/>
      <c r="P419" s="135"/>
      <c r="Q419" s="135"/>
      <c r="R419" s="135"/>
      <c r="S419" s="135"/>
      <c r="T419" s="135"/>
      <c r="U419" s="135"/>
      <c r="V419" s="135"/>
      <c r="W419" s="135"/>
      <c r="X419" s="135"/>
      <c r="Y419" s="135"/>
    </row>
    <row r="420" spans="2:31" s="11" customFormat="1" x14ac:dyDescent="0.45">
      <c r="B420" s="118"/>
      <c r="C420" s="118"/>
      <c r="D420" s="118"/>
      <c r="E420" s="118"/>
      <c r="F420" s="118"/>
      <c r="G420" s="135"/>
      <c r="H420" s="118"/>
      <c r="I420" s="118"/>
      <c r="J420" s="118"/>
      <c r="K420" s="118"/>
      <c r="L420" s="118"/>
      <c r="M420" s="1361"/>
      <c r="N420" s="43"/>
      <c r="O420" s="135"/>
      <c r="P420" s="43"/>
      <c r="Q420" s="135"/>
      <c r="R420" s="135"/>
      <c r="S420" s="135"/>
      <c r="T420" s="135"/>
      <c r="U420" s="135"/>
      <c r="V420" s="135"/>
      <c r="W420" s="135"/>
      <c r="X420" s="135"/>
      <c r="Y420" s="135"/>
    </row>
    <row r="421" spans="2:31" s="11" customFormat="1" ht="12.75" customHeight="1" x14ac:dyDescent="0.45">
      <c r="B421" s="135"/>
      <c r="C421" s="135"/>
      <c r="D421" s="135"/>
      <c r="E421" s="135"/>
      <c r="F421" s="135"/>
      <c r="G421" s="135"/>
      <c r="H421" s="118"/>
      <c r="I421" s="135"/>
      <c r="J421" s="118"/>
      <c r="K421" s="1361"/>
      <c r="L421" s="118"/>
      <c r="M421" s="1361"/>
      <c r="N421" s="1361"/>
      <c r="O421" s="135"/>
      <c r="P421" s="1361"/>
      <c r="Q421" s="135"/>
      <c r="R421" s="135"/>
      <c r="S421" s="135"/>
      <c r="T421" s="135"/>
      <c r="U421" s="135"/>
      <c r="V421" s="135"/>
      <c r="W421" s="135"/>
      <c r="X421" s="135"/>
      <c r="Y421" s="135"/>
      <c r="AE421" s="43"/>
    </row>
    <row r="422" spans="2:31" s="11" customFormat="1" x14ac:dyDescent="0.45">
      <c r="B422" s="118"/>
      <c r="C422" s="118"/>
      <c r="D422" s="118"/>
      <c r="E422" s="118"/>
      <c r="F422" s="118"/>
      <c r="G422" s="118"/>
      <c r="H422" s="135"/>
      <c r="I422" s="135"/>
      <c r="J422" s="1361"/>
      <c r="K422" s="135"/>
      <c r="L422" s="1361"/>
      <c r="M422" s="135"/>
      <c r="N422" s="1361"/>
      <c r="O422" s="43"/>
      <c r="P422" s="1361"/>
      <c r="Q422" s="43"/>
      <c r="R422" s="43"/>
      <c r="S422" s="43"/>
      <c r="T422" s="43"/>
      <c r="U422" s="43"/>
      <c r="V422" s="43"/>
      <c r="W422" s="43"/>
      <c r="X422" s="43"/>
      <c r="Y422" s="43"/>
      <c r="Z422" s="43"/>
      <c r="AA422" s="43"/>
      <c r="AB422" s="43"/>
      <c r="AC422" s="43"/>
      <c r="AD422" s="43"/>
    </row>
    <row r="423" spans="2:31" s="11" customFormat="1" x14ac:dyDescent="0.45">
      <c r="B423" s="118"/>
      <c r="C423" s="118"/>
      <c r="D423" s="118"/>
      <c r="E423" s="118"/>
      <c r="F423" s="118"/>
      <c r="G423" s="118"/>
      <c r="H423" s="135"/>
      <c r="I423" s="135"/>
      <c r="J423" s="135"/>
      <c r="K423" s="135"/>
      <c r="L423" s="135"/>
      <c r="M423" s="135"/>
      <c r="N423" s="135"/>
      <c r="O423" s="1361"/>
      <c r="P423" s="135"/>
      <c r="Q423" s="135"/>
      <c r="R423" s="135"/>
      <c r="S423" s="135"/>
      <c r="T423" s="135"/>
      <c r="U423" s="135"/>
      <c r="V423" s="135"/>
      <c r="W423" s="135"/>
      <c r="X423" s="135"/>
      <c r="Y423" s="135"/>
    </row>
    <row r="424" spans="2:31" s="11" customFormat="1" x14ac:dyDescent="0.45">
      <c r="B424" s="135"/>
      <c r="C424" s="135"/>
      <c r="D424" s="135"/>
      <c r="E424" s="135"/>
      <c r="F424" s="135"/>
      <c r="G424" s="135"/>
      <c r="H424" s="135"/>
      <c r="I424" s="135"/>
      <c r="J424" s="135"/>
      <c r="K424" s="135"/>
      <c r="L424" s="135"/>
      <c r="M424" s="135"/>
      <c r="N424" s="135"/>
      <c r="O424" s="1361"/>
      <c r="P424" s="135"/>
      <c r="Q424" s="135"/>
      <c r="R424" s="135"/>
      <c r="S424" s="135"/>
      <c r="T424" s="135"/>
      <c r="U424" s="135"/>
      <c r="V424" s="135"/>
      <c r="W424" s="135"/>
      <c r="X424" s="135"/>
      <c r="Y424" s="135"/>
    </row>
  </sheetData>
  <mergeCells count="105">
    <mergeCell ref="BX77:BY77"/>
    <mergeCell ref="BX68:BY68"/>
    <mergeCell ref="BX69:BY69"/>
    <mergeCell ref="BX70:BY70"/>
    <mergeCell ref="BX71:BY71"/>
    <mergeCell ref="BX72:BY72"/>
    <mergeCell ref="BN202:BR202"/>
    <mergeCell ref="BO6:BV6"/>
    <mergeCell ref="BW6:CB6"/>
    <mergeCell ref="BO8:BV9"/>
    <mergeCell ref="BW8:CB9"/>
    <mergeCell ref="BX83:BY83"/>
    <mergeCell ref="BX84:BY84"/>
    <mergeCell ref="BX85:BY85"/>
    <mergeCell ref="BX86:BY86"/>
    <mergeCell ref="BX87:BY87"/>
    <mergeCell ref="BX78:BY78"/>
    <mergeCell ref="BX79:BY79"/>
    <mergeCell ref="BX80:BY80"/>
    <mergeCell ref="BX81:BY81"/>
    <mergeCell ref="BX82:BY82"/>
    <mergeCell ref="BX73:BY73"/>
    <mergeCell ref="BX62:BY62"/>
    <mergeCell ref="BX63:BY63"/>
    <mergeCell ref="BX64:BY64"/>
    <mergeCell ref="BX65:BY65"/>
    <mergeCell ref="BX66:BY66"/>
    <mergeCell ref="BX67:BY67"/>
    <mergeCell ref="BX74:BY74"/>
    <mergeCell ref="BX75:BY75"/>
    <mergeCell ref="BX76:BY76"/>
    <mergeCell ref="BX53:BY53"/>
    <mergeCell ref="BX54:BY54"/>
    <mergeCell ref="BX55:BY55"/>
    <mergeCell ref="BX56:BY56"/>
    <mergeCell ref="BX57:BY57"/>
    <mergeCell ref="BX58:BY58"/>
    <mergeCell ref="BX59:BY59"/>
    <mergeCell ref="BX60:BY60"/>
    <mergeCell ref="BX61:BY61"/>
    <mergeCell ref="AZ6:BD6"/>
    <mergeCell ref="BE6:BI6"/>
    <mergeCell ref="BX50:BY50"/>
    <mergeCell ref="BX51:BY51"/>
    <mergeCell ref="BX52:BY52"/>
    <mergeCell ref="AZ7:BA7"/>
    <mergeCell ref="BX10:BY10"/>
    <mergeCell ref="BX11:BY11"/>
    <mergeCell ref="BX12:BY12"/>
    <mergeCell ref="BX13:BY13"/>
    <mergeCell ref="BX14:BY14"/>
    <mergeCell ref="BX15:BY15"/>
    <mergeCell ref="BX16:BY16"/>
    <mergeCell ref="BX17:BY17"/>
    <mergeCell ref="BX18:BY18"/>
    <mergeCell ref="BX19:BY19"/>
    <mergeCell ref="BX25:BY25"/>
    <mergeCell ref="BX26:BY26"/>
    <mergeCell ref="BX27:BY27"/>
    <mergeCell ref="BX28:BY28"/>
    <mergeCell ref="BX29:BY29"/>
    <mergeCell ref="BX20:BY20"/>
    <mergeCell ref="BX21:BY21"/>
    <mergeCell ref="BX22:BY22"/>
    <mergeCell ref="C6:Q6"/>
    <mergeCell ref="R6:V6"/>
    <mergeCell ref="W6:AC6"/>
    <mergeCell ref="AN6:AY6"/>
    <mergeCell ref="D7:F7"/>
    <mergeCell ref="G7:H7"/>
    <mergeCell ref="J7:K7"/>
    <mergeCell ref="L7:M7"/>
    <mergeCell ref="O7:Q7"/>
    <mergeCell ref="AW7:AY7"/>
    <mergeCell ref="W9:AC9"/>
    <mergeCell ref="BE9:BI9"/>
    <mergeCell ref="W7:X7"/>
    <mergeCell ref="AG7:AG9"/>
    <mergeCell ref="AM7:AM9"/>
    <mergeCell ref="AO7:AP7"/>
    <mergeCell ref="AQ7:AR7"/>
    <mergeCell ref="AU7:AV7"/>
    <mergeCell ref="R7:S7"/>
    <mergeCell ref="BX23:BY23"/>
    <mergeCell ref="BX24:BY24"/>
    <mergeCell ref="BX35:BY35"/>
    <mergeCell ref="BX36:BY36"/>
    <mergeCell ref="BX37:BY37"/>
    <mergeCell ref="BX38:BY38"/>
    <mergeCell ref="BX39:BY39"/>
    <mergeCell ref="BX30:BY30"/>
    <mergeCell ref="BX31:BY31"/>
    <mergeCell ref="BX32:BY32"/>
    <mergeCell ref="BX33:BY33"/>
    <mergeCell ref="BX34:BY34"/>
    <mergeCell ref="BX45:BY45"/>
    <mergeCell ref="BX46:BY46"/>
    <mergeCell ref="BX47:BY47"/>
    <mergeCell ref="BX48:BY48"/>
    <mergeCell ref="BX49:BY49"/>
    <mergeCell ref="BX40:BY40"/>
    <mergeCell ref="BX41:BY41"/>
    <mergeCell ref="BX42:BY42"/>
    <mergeCell ref="BX43:BY43"/>
    <mergeCell ref="BX44:BY44"/>
  </mergeCells>
  <hyperlinks>
    <hyperlink ref="C4" r:id="rId1" xr:uid="{00000000-0004-0000-0E00-000000000000}"/>
  </hyperlinks>
  <pageMargins left="0.7" right="0.7" top="0.75" bottom="0.75" header="0.3" footer="0.3"/>
  <pageSetup paperSize="9" orientation="portrait"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80"/>
  <sheetViews>
    <sheetView zoomScaleNormal="100" workbookViewId="0">
      <pane xSplit="1" ySplit="9" topLeftCell="B10" activePane="bottomRight" state="frozen"/>
      <selection pane="topRight" activeCell="B1" sqref="B1"/>
      <selection pane="bottomLeft" activeCell="A10" sqref="A10"/>
      <selection pane="bottomRight" activeCell="A2" sqref="A2"/>
    </sheetView>
  </sheetViews>
  <sheetFormatPr defaultRowHeight="14.25" x14ac:dyDescent="0.45"/>
  <cols>
    <col min="1" max="1" width="20.796875" style="10" customWidth="1"/>
    <col min="2" max="2" width="13.73046875" style="135" customWidth="1"/>
    <col min="3" max="3" width="17.46484375" style="135" customWidth="1"/>
    <col min="4" max="4" width="10.53125" style="135" customWidth="1"/>
    <col min="5" max="6" width="9.265625" style="135" bestFit="1" customWidth="1"/>
    <col min="7" max="7" width="15.265625" style="135" bestFit="1" customWidth="1"/>
    <col min="8" max="8" width="9.265625" style="135" bestFit="1" customWidth="1"/>
    <col min="9" max="9" width="13.46484375" style="135" bestFit="1" customWidth="1"/>
    <col min="10" max="10" width="9.19921875" style="135" customWidth="1"/>
    <col min="11" max="11" width="12" style="135" customWidth="1"/>
    <col min="12" max="13" width="9.46484375" style="135" bestFit="1" customWidth="1"/>
    <col min="14" max="14" width="13.265625" style="135" customWidth="1"/>
    <col min="15" max="15" width="9.46484375" style="135" bestFit="1" customWidth="1"/>
    <col min="16" max="16" width="9.796875" style="135" bestFit="1" customWidth="1"/>
    <col min="17" max="17" width="12.46484375" style="135" bestFit="1" customWidth="1"/>
    <col min="18" max="18" width="10.19921875" style="135" customWidth="1"/>
    <col min="19" max="19" width="10" style="135" bestFit="1" customWidth="1"/>
    <col min="20" max="20" width="10.53125" style="135" customWidth="1"/>
    <col min="21" max="21" width="9.46484375" style="135" bestFit="1" customWidth="1"/>
    <col min="22" max="22" width="9.265625" style="135" bestFit="1" customWidth="1"/>
    <col min="23" max="23" width="9.265625" style="135" customWidth="1"/>
    <col min="24" max="24" width="9.46484375" style="135" bestFit="1" customWidth="1"/>
    <col min="25" max="25" width="10.19921875" style="135" customWidth="1"/>
    <col min="26" max="26" width="12.19921875" style="11" customWidth="1"/>
    <col min="27" max="27" width="9.53125" style="11" customWidth="1"/>
    <col min="28" max="28" width="11.53125" style="11" customWidth="1"/>
    <col min="29" max="29" width="12.73046875" style="11" customWidth="1"/>
    <col min="30" max="30" width="14.796875" style="11" customWidth="1"/>
    <col min="31" max="31" width="9.53125" style="11" customWidth="1"/>
    <col min="32" max="32" width="10.53125" style="11" customWidth="1"/>
    <col min="33" max="33" width="9.19921875" style="11"/>
    <col min="34" max="34" width="18.19921875" style="11" customWidth="1"/>
    <col min="35" max="35" width="11.19921875" style="11" customWidth="1"/>
    <col min="36" max="36" width="9.19921875" style="11"/>
    <col min="37" max="37" width="9.19921875" style="11" customWidth="1"/>
    <col min="38" max="206" width="9.19921875" style="11"/>
    <col min="207" max="207" width="34.265625" style="11" customWidth="1"/>
    <col min="208" max="208" width="13.73046875" style="11" customWidth="1"/>
    <col min="209" max="209" width="9.265625" style="11" bestFit="1" customWidth="1"/>
    <col min="210" max="210" width="10.53125" style="11" customWidth="1"/>
    <col min="211" max="212" width="9.265625" style="11" bestFit="1" customWidth="1"/>
    <col min="213" max="213" width="15.265625" style="11" bestFit="1" customWidth="1"/>
    <col min="214" max="214" width="9.265625" style="11" bestFit="1" customWidth="1"/>
    <col min="215" max="215" width="13.46484375" style="11" bestFit="1" customWidth="1"/>
    <col min="216" max="216" width="9.19921875" style="11" customWidth="1"/>
    <col min="217" max="217" width="12" style="11" customWidth="1"/>
    <col min="218" max="219" width="9.46484375" style="11" bestFit="1" customWidth="1"/>
    <col min="220" max="220" width="13.265625" style="11" customWidth="1"/>
    <col min="221" max="221" width="9.46484375" style="11" bestFit="1" customWidth="1"/>
    <col min="222" max="222" width="9.796875" style="11" bestFit="1" customWidth="1"/>
    <col min="223" max="223" width="12.46484375" style="11" bestFit="1" customWidth="1"/>
    <col min="224" max="224" width="10.19921875" style="11" customWidth="1"/>
    <col min="225" max="225" width="10" style="11" bestFit="1" customWidth="1"/>
    <col min="226" max="226" width="10.53125" style="11" customWidth="1"/>
    <col min="227" max="227" width="9.46484375" style="11" bestFit="1" customWidth="1"/>
    <col min="228" max="228" width="9.265625" style="11" bestFit="1" customWidth="1"/>
    <col min="229" max="229" width="9.265625" style="11" customWidth="1"/>
    <col min="230" max="230" width="9.46484375" style="11" bestFit="1" customWidth="1"/>
    <col min="231" max="231" width="10.19921875" style="11" customWidth="1"/>
    <col min="232" max="232" width="12.19921875" style="11" customWidth="1"/>
    <col min="233" max="233" width="9.53125" style="11" customWidth="1"/>
    <col min="234" max="234" width="11.53125" style="11" customWidth="1"/>
    <col min="235" max="235" width="12.73046875" style="11" customWidth="1"/>
    <col min="236" max="236" width="14.796875" style="11" customWidth="1"/>
    <col min="237" max="237" width="9.53125" style="11" customWidth="1"/>
    <col min="238" max="238" width="10.53125" style="11" customWidth="1"/>
    <col min="239" max="239" width="9.19921875" style="11"/>
    <col min="240" max="240" width="13.265625" style="11" customWidth="1"/>
    <col min="241" max="241" width="11.19921875" style="11" customWidth="1"/>
    <col min="242" max="242" width="9.19921875" style="11"/>
    <col min="243" max="243" width="9.19921875" style="11" customWidth="1"/>
    <col min="244" max="244" width="11.265625" style="11" customWidth="1"/>
    <col min="245" max="250" width="9.19921875" style="11"/>
    <col min="251" max="251" width="11.46484375" style="11" customWidth="1"/>
    <col min="252" max="252" width="11.73046875" style="11" customWidth="1"/>
    <col min="253" max="259" width="9.19921875" style="11"/>
    <col min="260" max="260" width="11" style="11" customWidth="1"/>
    <col min="261" max="262" width="9.19921875" style="11"/>
    <col min="263" max="263" width="10.265625" style="11" customWidth="1"/>
    <col min="264" max="264" width="10.19921875" style="11" customWidth="1"/>
    <col min="265" max="265" width="12.19921875" style="11" customWidth="1"/>
    <col min="266" max="462" width="9.19921875" style="11"/>
    <col min="463" max="463" width="34.265625" style="11" customWidth="1"/>
    <col min="464" max="464" width="13.73046875" style="11" customWidth="1"/>
    <col min="465" max="465" width="9.265625" style="11" bestFit="1" customWidth="1"/>
    <col min="466" max="466" width="10.53125" style="11" customWidth="1"/>
    <col min="467" max="468" width="9.265625" style="11" bestFit="1" customWidth="1"/>
    <col min="469" max="469" width="15.265625" style="11" bestFit="1" customWidth="1"/>
    <col min="470" max="470" width="9.265625" style="11" bestFit="1" customWidth="1"/>
    <col min="471" max="471" width="13.46484375" style="11" bestFit="1" customWidth="1"/>
    <col min="472" max="472" width="9.19921875" style="11" customWidth="1"/>
    <col min="473" max="473" width="12" style="11" customWidth="1"/>
    <col min="474" max="475" width="9.46484375" style="11" bestFit="1" customWidth="1"/>
    <col min="476" max="476" width="13.265625" style="11" customWidth="1"/>
    <col min="477" max="477" width="9.46484375" style="11" bestFit="1" customWidth="1"/>
    <col min="478" max="478" width="9.796875" style="11" bestFit="1" customWidth="1"/>
    <col min="479" max="479" width="12.46484375" style="11" bestFit="1" customWidth="1"/>
    <col min="480" max="480" width="10.19921875" style="11" customWidth="1"/>
    <col min="481" max="481" width="10" style="11" bestFit="1" customWidth="1"/>
    <col min="482" max="482" width="10.53125" style="11" customWidth="1"/>
    <col min="483" max="483" width="9.46484375" style="11" bestFit="1" customWidth="1"/>
    <col min="484" max="484" width="9.265625" style="11" bestFit="1" customWidth="1"/>
    <col min="485" max="485" width="9.265625" style="11" customWidth="1"/>
    <col min="486" max="486" width="9.46484375" style="11" bestFit="1" customWidth="1"/>
    <col min="487" max="487" width="10.19921875" style="11" customWidth="1"/>
    <col min="488" max="488" width="12.19921875" style="11" customWidth="1"/>
    <col min="489" max="489" width="9.53125" style="11" customWidth="1"/>
    <col min="490" max="490" width="11.53125" style="11" customWidth="1"/>
    <col min="491" max="491" width="12.73046875" style="11" customWidth="1"/>
    <col min="492" max="492" width="14.796875" style="11" customWidth="1"/>
    <col min="493" max="493" width="9.53125" style="11" customWidth="1"/>
    <col min="494" max="494" width="10.53125" style="11" customWidth="1"/>
    <col min="495" max="495" width="9.19921875" style="11"/>
    <col min="496" max="496" width="13.265625" style="11" customWidth="1"/>
    <col min="497" max="497" width="11.19921875" style="11" customWidth="1"/>
    <col min="498" max="498" width="9.19921875" style="11"/>
    <col min="499" max="499" width="9.19921875" style="11" customWidth="1"/>
    <col min="500" max="500" width="11.265625" style="11" customWidth="1"/>
    <col min="501" max="506" width="9.19921875" style="11"/>
    <col min="507" max="507" width="11.46484375" style="11" customWidth="1"/>
    <col min="508" max="508" width="11.73046875" style="11" customWidth="1"/>
    <col min="509" max="515" width="9.19921875" style="11"/>
    <col min="516" max="516" width="11" style="11" customWidth="1"/>
    <col min="517" max="518" width="9.19921875" style="11"/>
    <col min="519" max="519" width="10.265625" style="11" customWidth="1"/>
    <col min="520" max="520" width="10.19921875" style="11" customWidth="1"/>
    <col min="521" max="521" width="12.19921875" style="11" customWidth="1"/>
    <col min="522" max="718" width="9.19921875" style="11"/>
    <col min="719" max="719" width="34.265625" style="11" customWidth="1"/>
    <col min="720" max="720" width="13.73046875" style="11" customWidth="1"/>
    <col min="721" max="721" width="9.265625" style="11" bestFit="1" customWidth="1"/>
    <col min="722" max="722" width="10.53125" style="11" customWidth="1"/>
    <col min="723" max="724" width="9.265625" style="11" bestFit="1" customWidth="1"/>
    <col min="725" max="725" width="15.265625" style="11" bestFit="1" customWidth="1"/>
    <col min="726" max="726" width="9.265625" style="11" bestFit="1" customWidth="1"/>
    <col min="727" max="727" width="13.46484375" style="11" bestFit="1" customWidth="1"/>
    <col min="728" max="728" width="9.19921875" style="11" customWidth="1"/>
    <col min="729" max="729" width="12" style="11" customWidth="1"/>
    <col min="730" max="731" width="9.46484375" style="11" bestFit="1" customWidth="1"/>
    <col min="732" max="732" width="13.265625" style="11" customWidth="1"/>
    <col min="733" max="733" width="9.46484375" style="11" bestFit="1" customWidth="1"/>
    <col min="734" max="734" width="9.796875" style="11" bestFit="1" customWidth="1"/>
    <col min="735" max="735" width="12.46484375" style="11" bestFit="1" customWidth="1"/>
    <col min="736" max="736" width="10.19921875" style="11" customWidth="1"/>
    <col min="737" max="737" width="10" style="11" bestFit="1" customWidth="1"/>
    <col min="738" max="738" width="10.53125" style="11" customWidth="1"/>
    <col min="739" max="739" width="9.46484375" style="11" bestFit="1" customWidth="1"/>
    <col min="740" max="740" width="9.265625" style="11" bestFit="1" customWidth="1"/>
    <col min="741" max="741" width="9.265625" style="11" customWidth="1"/>
    <col min="742" max="742" width="9.46484375" style="11" bestFit="1" customWidth="1"/>
    <col min="743" max="743" width="10.19921875" style="11" customWidth="1"/>
    <col min="744" max="744" width="12.19921875" style="11" customWidth="1"/>
    <col min="745" max="745" width="9.53125" style="11" customWidth="1"/>
    <col min="746" max="746" width="11.53125" style="11" customWidth="1"/>
    <col min="747" max="747" width="12.73046875" style="11" customWidth="1"/>
    <col min="748" max="748" width="14.796875" style="11" customWidth="1"/>
    <col min="749" max="749" width="9.53125" style="11" customWidth="1"/>
    <col min="750" max="750" width="10.53125" style="11" customWidth="1"/>
    <col min="751" max="751" width="9.19921875" style="11"/>
    <col min="752" max="752" width="13.265625" style="11" customWidth="1"/>
    <col min="753" max="753" width="11.19921875" style="11" customWidth="1"/>
    <col min="754" max="754" width="9.19921875" style="11"/>
    <col min="755" max="755" width="9.19921875" style="11" customWidth="1"/>
    <col min="756" max="756" width="11.265625" style="11" customWidth="1"/>
    <col min="757" max="762" width="9.19921875" style="11"/>
    <col min="763" max="763" width="11.46484375" style="11" customWidth="1"/>
    <col min="764" max="764" width="11.73046875" style="11" customWidth="1"/>
    <col min="765" max="771" width="9.19921875" style="11"/>
    <col min="772" max="772" width="11" style="11" customWidth="1"/>
    <col min="773" max="774" width="9.19921875" style="11"/>
    <col min="775" max="775" width="10.265625" style="11" customWidth="1"/>
    <col min="776" max="776" width="10.19921875" style="11" customWidth="1"/>
    <col min="777" max="777" width="12.19921875" style="11" customWidth="1"/>
    <col min="778" max="974" width="9.19921875" style="11"/>
    <col min="975" max="975" width="34.265625" style="11" customWidth="1"/>
    <col min="976" max="976" width="13.73046875" style="11" customWidth="1"/>
    <col min="977" max="977" width="9.265625" style="11" bestFit="1" customWidth="1"/>
    <col min="978" max="978" width="10.53125" style="11" customWidth="1"/>
    <col min="979" max="980" width="9.265625" style="11" bestFit="1" customWidth="1"/>
    <col min="981" max="981" width="15.265625" style="11" bestFit="1" customWidth="1"/>
    <col min="982" max="982" width="9.265625" style="11" bestFit="1" customWidth="1"/>
    <col min="983" max="983" width="13.46484375" style="11" bestFit="1" customWidth="1"/>
    <col min="984" max="984" width="9.19921875" style="11" customWidth="1"/>
    <col min="985" max="985" width="12" style="11" customWidth="1"/>
    <col min="986" max="987" width="9.46484375" style="11" bestFit="1" customWidth="1"/>
    <col min="988" max="988" width="13.265625" style="11" customWidth="1"/>
    <col min="989" max="989" width="9.46484375" style="11" bestFit="1" customWidth="1"/>
    <col min="990" max="990" width="9.796875" style="11" bestFit="1" customWidth="1"/>
    <col min="991" max="991" width="12.46484375" style="11" bestFit="1" customWidth="1"/>
    <col min="992" max="992" width="10.19921875" style="11" customWidth="1"/>
    <col min="993" max="993" width="10" style="11" bestFit="1" customWidth="1"/>
    <col min="994" max="994" width="10.53125" style="11" customWidth="1"/>
    <col min="995" max="995" width="9.46484375" style="11" bestFit="1" customWidth="1"/>
    <col min="996" max="996" width="9.265625" style="11" bestFit="1" customWidth="1"/>
    <col min="997" max="997" width="9.265625" style="11" customWidth="1"/>
    <col min="998" max="998" width="9.46484375" style="11" bestFit="1" customWidth="1"/>
    <col min="999" max="999" width="10.19921875" style="11" customWidth="1"/>
    <col min="1000" max="1000" width="12.19921875" style="11" customWidth="1"/>
    <col min="1001" max="1001" width="9.53125" style="11" customWidth="1"/>
    <col min="1002" max="1002" width="11.53125" style="11" customWidth="1"/>
    <col min="1003" max="1003" width="12.73046875" style="11" customWidth="1"/>
    <col min="1004" max="1004" width="14.796875" style="11" customWidth="1"/>
    <col min="1005" max="1005" width="9.53125" style="11" customWidth="1"/>
    <col min="1006" max="1006" width="10.53125" style="11" customWidth="1"/>
    <col min="1007" max="1007" width="9.19921875" style="11"/>
    <col min="1008" max="1008" width="13.265625" style="11" customWidth="1"/>
    <col min="1009" max="1009" width="11.19921875" style="11" customWidth="1"/>
    <col min="1010" max="1010" width="9.19921875" style="11"/>
    <col min="1011" max="1011" width="9.19921875" style="11" customWidth="1"/>
    <col min="1012" max="1012" width="11.265625" style="11" customWidth="1"/>
    <col min="1013" max="1018" width="9.19921875" style="11"/>
    <col min="1019" max="1019" width="11.46484375" style="11" customWidth="1"/>
    <col min="1020" max="1020" width="11.73046875" style="11" customWidth="1"/>
    <col min="1021" max="1027" width="9.19921875" style="11"/>
    <col min="1028" max="1028" width="11" style="11" customWidth="1"/>
    <col min="1029" max="1030" width="9.19921875" style="11"/>
    <col min="1031" max="1031" width="10.265625" style="11" customWidth="1"/>
    <col min="1032" max="1032" width="10.19921875" style="11" customWidth="1"/>
    <col min="1033" max="1033" width="12.19921875" style="11" customWidth="1"/>
    <col min="1034" max="1230" width="9.19921875" style="11"/>
    <col min="1231" max="1231" width="34.265625" style="11" customWidth="1"/>
    <col min="1232" max="1232" width="13.73046875" style="11" customWidth="1"/>
    <col min="1233" max="1233" width="9.265625" style="11" bestFit="1" customWidth="1"/>
    <col min="1234" max="1234" width="10.53125" style="11" customWidth="1"/>
    <col min="1235" max="1236" width="9.265625" style="11" bestFit="1" customWidth="1"/>
    <col min="1237" max="1237" width="15.265625" style="11" bestFit="1" customWidth="1"/>
    <col min="1238" max="1238" width="9.265625" style="11" bestFit="1" customWidth="1"/>
    <col min="1239" max="1239" width="13.46484375" style="11" bestFit="1" customWidth="1"/>
    <col min="1240" max="1240" width="9.19921875" style="11" customWidth="1"/>
    <col min="1241" max="1241" width="12" style="11" customWidth="1"/>
    <col min="1242" max="1243" width="9.46484375" style="11" bestFit="1" customWidth="1"/>
    <col min="1244" max="1244" width="13.265625" style="11" customWidth="1"/>
    <col min="1245" max="1245" width="9.46484375" style="11" bestFit="1" customWidth="1"/>
    <col min="1246" max="1246" width="9.796875" style="11" bestFit="1" customWidth="1"/>
    <col min="1247" max="1247" width="12.46484375" style="11" bestFit="1" customWidth="1"/>
    <col min="1248" max="1248" width="10.19921875" style="11" customWidth="1"/>
    <col min="1249" max="1249" width="10" style="11" bestFit="1" customWidth="1"/>
    <col min="1250" max="1250" width="10.53125" style="11" customWidth="1"/>
    <col min="1251" max="1251" width="9.46484375" style="11" bestFit="1" customWidth="1"/>
    <col min="1252" max="1252" width="9.265625" style="11" bestFit="1" customWidth="1"/>
    <col min="1253" max="1253" width="9.265625" style="11" customWidth="1"/>
    <col min="1254" max="1254" width="9.46484375" style="11" bestFit="1" customWidth="1"/>
    <col min="1255" max="1255" width="10.19921875" style="11" customWidth="1"/>
    <col min="1256" max="1256" width="12.19921875" style="11" customWidth="1"/>
    <col min="1257" max="1257" width="9.53125" style="11" customWidth="1"/>
    <col min="1258" max="1258" width="11.53125" style="11" customWidth="1"/>
    <col min="1259" max="1259" width="12.73046875" style="11" customWidth="1"/>
    <col min="1260" max="1260" width="14.796875" style="11" customWidth="1"/>
    <col min="1261" max="1261" width="9.53125" style="11" customWidth="1"/>
    <col min="1262" max="1262" width="10.53125" style="11" customWidth="1"/>
    <col min="1263" max="1263" width="9.19921875" style="11"/>
    <col min="1264" max="1264" width="13.265625" style="11" customWidth="1"/>
    <col min="1265" max="1265" width="11.19921875" style="11" customWidth="1"/>
    <col min="1266" max="1266" width="9.19921875" style="11"/>
    <col min="1267" max="1267" width="9.19921875" style="11" customWidth="1"/>
    <col min="1268" max="1268" width="11.265625" style="11" customWidth="1"/>
    <col min="1269" max="1274" width="9.19921875" style="11"/>
    <col min="1275" max="1275" width="11.46484375" style="11" customWidth="1"/>
    <col min="1276" max="1276" width="11.73046875" style="11" customWidth="1"/>
    <col min="1277" max="1283" width="9.19921875" style="11"/>
    <col min="1284" max="1284" width="11" style="11" customWidth="1"/>
    <col min="1285" max="1286" width="9.19921875" style="11"/>
    <col min="1287" max="1287" width="10.265625" style="11" customWidth="1"/>
    <col min="1288" max="1288" width="10.19921875" style="11" customWidth="1"/>
    <col min="1289" max="1289" width="12.19921875" style="11" customWidth="1"/>
    <col min="1290" max="1486" width="9.19921875" style="11"/>
    <col min="1487" max="1487" width="34.265625" style="11" customWidth="1"/>
    <col min="1488" max="1488" width="13.73046875" style="11" customWidth="1"/>
    <col min="1489" max="1489" width="9.265625" style="11" bestFit="1" customWidth="1"/>
    <col min="1490" max="1490" width="10.53125" style="11" customWidth="1"/>
    <col min="1491" max="1492" width="9.265625" style="11" bestFit="1" customWidth="1"/>
    <col min="1493" max="1493" width="15.265625" style="11" bestFit="1" customWidth="1"/>
    <col min="1494" max="1494" width="9.265625" style="11" bestFit="1" customWidth="1"/>
    <col min="1495" max="1495" width="13.46484375" style="11" bestFit="1" customWidth="1"/>
    <col min="1496" max="1496" width="9.19921875" style="11" customWidth="1"/>
    <col min="1497" max="1497" width="12" style="11" customWidth="1"/>
    <col min="1498" max="1499" width="9.46484375" style="11" bestFit="1" customWidth="1"/>
    <col min="1500" max="1500" width="13.265625" style="11" customWidth="1"/>
    <col min="1501" max="1501" width="9.46484375" style="11" bestFit="1" customWidth="1"/>
    <col min="1502" max="1502" width="9.796875" style="11" bestFit="1" customWidth="1"/>
    <col min="1503" max="1503" width="12.46484375" style="11" bestFit="1" customWidth="1"/>
    <col min="1504" max="1504" width="10.19921875" style="11" customWidth="1"/>
    <col min="1505" max="1505" width="10" style="11" bestFit="1" customWidth="1"/>
    <col min="1506" max="1506" width="10.53125" style="11" customWidth="1"/>
    <col min="1507" max="1507" width="9.46484375" style="11" bestFit="1" customWidth="1"/>
    <col min="1508" max="1508" width="9.265625" style="11" bestFit="1" customWidth="1"/>
    <col min="1509" max="1509" width="9.265625" style="11" customWidth="1"/>
    <col min="1510" max="1510" width="9.46484375" style="11" bestFit="1" customWidth="1"/>
    <col min="1511" max="1511" width="10.19921875" style="11" customWidth="1"/>
    <col min="1512" max="1512" width="12.19921875" style="11" customWidth="1"/>
    <col min="1513" max="1513" width="9.53125" style="11" customWidth="1"/>
    <col min="1514" max="1514" width="11.53125" style="11" customWidth="1"/>
    <col min="1515" max="1515" width="12.73046875" style="11" customWidth="1"/>
    <col min="1516" max="1516" width="14.796875" style="11" customWidth="1"/>
    <col min="1517" max="1517" width="9.53125" style="11" customWidth="1"/>
    <col min="1518" max="1518" width="10.53125" style="11" customWidth="1"/>
    <col min="1519" max="1519" width="9.19921875" style="11"/>
    <col min="1520" max="1520" width="13.265625" style="11" customWidth="1"/>
    <col min="1521" max="1521" width="11.19921875" style="11" customWidth="1"/>
    <col min="1522" max="1522" width="9.19921875" style="11"/>
    <col min="1523" max="1523" width="9.19921875" style="11" customWidth="1"/>
    <col min="1524" max="1524" width="11.265625" style="11" customWidth="1"/>
    <col min="1525" max="1530" width="9.19921875" style="11"/>
    <col min="1531" max="1531" width="11.46484375" style="11" customWidth="1"/>
    <col min="1532" max="1532" width="11.73046875" style="11" customWidth="1"/>
    <col min="1533" max="1539" width="9.19921875" style="11"/>
    <col min="1540" max="1540" width="11" style="11" customWidth="1"/>
    <col min="1541" max="1542" width="9.19921875" style="11"/>
    <col min="1543" max="1543" width="10.265625" style="11" customWidth="1"/>
    <col min="1544" max="1544" width="10.19921875" style="11" customWidth="1"/>
    <col min="1545" max="1545" width="12.19921875" style="11" customWidth="1"/>
    <col min="1546" max="1742" width="9.19921875" style="11"/>
    <col min="1743" max="1743" width="34.265625" style="11" customWidth="1"/>
    <col min="1744" max="1744" width="13.73046875" style="11" customWidth="1"/>
    <col min="1745" max="1745" width="9.265625" style="11" bestFit="1" customWidth="1"/>
    <col min="1746" max="1746" width="10.53125" style="11" customWidth="1"/>
    <col min="1747" max="1748" width="9.265625" style="11" bestFit="1" customWidth="1"/>
    <col min="1749" max="1749" width="15.265625" style="11" bestFit="1" customWidth="1"/>
    <col min="1750" max="1750" width="9.265625" style="11" bestFit="1" customWidth="1"/>
    <col min="1751" max="1751" width="13.46484375" style="11" bestFit="1" customWidth="1"/>
    <col min="1752" max="1752" width="9.19921875" style="11" customWidth="1"/>
    <col min="1753" max="1753" width="12" style="11" customWidth="1"/>
    <col min="1754" max="1755" width="9.46484375" style="11" bestFit="1" customWidth="1"/>
    <col min="1756" max="1756" width="13.265625" style="11" customWidth="1"/>
    <col min="1757" max="1757" width="9.46484375" style="11" bestFit="1" customWidth="1"/>
    <col min="1758" max="1758" width="9.796875" style="11" bestFit="1" customWidth="1"/>
    <col min="1759" max="1759" width="12.46484375" style="11" bestFit="1" customWidth="1"/>
    <col min="1760" max="1760" width="10.19921875" style="11" customWidth="1"/>
    <col min="1761" max="1761" width="10" style="11" bestFit="1" customWidth="1"/>
    <col min="1762" max="1762" width="10.53125" style="11" customWidth="1"/>
    <col min="1763" max="1763" width="9.46484375" style="11" bestFit="1" customWidth="1"/>
    <col min="1764" max="1764" width="9.265625" style="11" bestFit="1" customWidth="1"/>
    <col min="1765" max="1765" width="9.265625" style="11" customWidth="1"/>
    <col min="1766" max="1766" width="9.46484375" style="11" bestFit="1" customWidth="1"/>
    <col min="1767" max="1767" width="10.19921875" style="11" customWidth="1"/>
    <col min="1768" max="1768" width="12.19921875" style="11" customWidth="1"/>
    <col min="1769" max="1769" width="9.53125" style="11" customWidth="1"/>
    <col min="1770" max="1770" width="11.53125" style="11" customWidth="1"/>
    <col min="1771" max="1771" width="12.73046875" style="11" customWidth="1"/>
    <col min="1772" max="1772" width="14.796875" style="11" customWidth="1"/>
    <col min="1773" max="1773" width="9.53125" style="11" customWidth="1"/>
    <col min="1774" max="1774" width="10.53125" style="11" customWidth="1"/>
    <col min="1775" max="1775" width="9.19921875" style="11"/>
    <col min="1776" max="1776" width="13.265625" style="11" customWidth="1"/>
    <col min="1777" max="1777" width="11.19921875" style="11" customWidth="1"/>
    <col min="1778" max="1778" width="9.19921875" style="11"/>
    <col min="1779" max="1779" width="9.19921875" style="11" customWidth="1"/>
    <col min="1780" max="1780" width="11.265625" style="11" customWidth="1"/>
    <col min="1781" max="1786" width="9.19921875" style="11"/>
    <col min="1787" max="1787" width="11.46484375" style="11" customWidth="1"/>
    <col min="1788" max="1788" width="11.73046875" style="11" customWidth="1"/>
    <col min="1789" max="1795" width="9.19921875" style="11"/>
    <col min="1796" max="1796" width="11" style="11" customWidth="1"/>
    <col min="1797" max="1798" width="9.19921875" style="11"/>
    <col min="1799" max="1799" width="10.265625" style="11" customWidth="1"/>
    <col min="1800" max="1800" width="10.19921875" style="11" customWidth="1"/>
    <col min="1801" max="1801" width="12.19921875" style="11" customWidth="1"/>
    <col min="1802" max="1998" width="9.19921875" style="11"/>
    <col min="1999" max="1999" width="34.265625" style="11" customWidth="1"/>
    <col min="2000" max="2000" width="13.73046875" style="11" customWidth="1"/>
    <col min="2001" max="2001" width="9.265625" style="11" bestFit="1" customWidth="1"/>
    <col min="2002" max="2002" width="10.53125" style="11" customWidth="1"/>
    <col min="2003" max="2004" width="9.265625" style="11" bestFit="1" customWidth="1"/>
    <col min="2005" max="2005" width="15.265625" style="11" bestFit="1" customWidth="1"/>
    <col min="2006" max="2006" width="9.265625" style="11" bestFit="1" customWidth="1"/>
    <col min="2007" max="2007" width="13.46484375" style="11" bestFit="1" customWidth="1"/>
    <col min="2008" max="2008" width="9.19921875" style="11" customWidth="1"/>
    <col min="2009" max="2009" width="12" style="11" customWidth="1"/>
    <col min="2010" max="2011" width="9.46484375" style="11" bestFit="1" customWidth="1"/>
    <col min="2012" max="2012" width="13.265625" style="11" customWidth="1"/>
    <col min="2013" max="2013" width="9.46484375" style="11" bestFit="1" customWidth="1"/>
    <col min="2014" max="2014" width="9.796875" style="11" bestFit="1" customWidth="1"/>
    <col min="2015" max="2015" width="12.46484375" style="11" bestFit="1" customWidth="1"/>
    <col min="2016" max="2016" width="10.19921875" style="11" customWidth="1"/>
    <col min="2017" max="2017" width="10" style="11" bestFit="1" customWidth="1"/>
    <col min="2018" max="2018" width="10.53125" style="11" customWidth="1"/>
    <col min="2019" max="2019" width="9.46484375" style="11" bestFit="1" customWidth="1"/>
    <col min="2020" max="2020" width="9.265625" style="11" bestFit="1" customWidth="1"/>
    <col min="2021" max="2021" width="9.265625" style="11" customWidth="1"/>
    <col min="2022" max="2022" width="9.46484375" style="11" bestFit="1" customWidth="1"/>
    <col min="2023" max="2023" width="10.19921875" style="11" customWidth="1"/>
    <col min="2024" max="2024" width="12.19921875" style="11" customWidth="1"/>
    <col min="2025" max="2025" width="9.53125" style="11" customWidth="1"/>
    <col min="2026" max="2026" width="11.53125" style="11" customWidth="1"/>
    <col min="2027" max="2027" width="12.73046875" style="11" customWidth="1"/>
    <col min="2028" max="2028" width="14.796875" style="11" customWidth="1"/>
    <col min="2029" max="2029" width="9.53125" style="11" customWidth="1"/>
    <col min="2030" max="2030" width="10.53125" style="11" customWidth="1"/>
    <col min="2031" max="2031" width="9.19921875" style="11"/>
    <col min="2032" max="2032" width="13.265625" style="11" customWidth="1"/>
    <col min="2033" max="2033" width="11.19921875" style="11" customWidth="1"/>
    <col min="2034" max="2034" width="9.19921875" style="11"/>
    <col min="2035" max="2035" width="9.19921875" style="11" customWidth="1"/>
    <col min="2036" max="2036" width="11.265625" style="11" customWidth="1"/>
    <col min="2037" max="2042" width="9.19921875" style="11"/>
    <col min="2043" max="2043" width="11.46484375" style="11" customWidth="1"/>
    <col min="2044" max="2044" width="11.73046875" style="11" customWidth="1"/>
    <col min="2045" max="2051" width="9.19921875" style="11"/>
    <col min="2052" max="2052" width="11" style="11" customWidth="1"/>
    <col min="2053" max="2054" width="9.19921875" style="11"/>
    <col min="2055" max="2055" width="10.265625" style="11" customWidth="1"/>
    <col min="2056" max="2056" width="10.19921875" style="11" customWidth="1"/>
    <col min="2057" max="2057" width="12.19921875" style="11" customWidth="1"/>
    <col min="2058" max="2254" width="9.19921875" style="11"/>
    <col min="2255" max="2255" width="34.265625" style="11" customWidth="1"/>
    <col min="2256" max="2256" width="13.73046875" style="11" customWidth="1"/>
    <col min="2257" max="2257" width="9.265625" style="11" bestFit="1" customWidth="1"/>
    <col min="2258" max="2258" width="10.53125" style="11" customWidth="1"/>
    <col min="2259" max="2260" width="9.265625" style="11" bestFit="1" customWidth="1"/>
    <col min="2261" max="2261" width="15.265625" style="11" bestFit="1" customWidth="1"/>
    <col min="2262" max="2262" width="9.265625" style="11" bestFit="1" customWidth="1"/>
    <col min="2263" max="2263" width="13.46484375" style="11" bestFit="1" customWidth="1"/>
    <col min="2264" max="2264" width="9.19921875" style="11" customWidth="1"/>
    <col min="2265" max="2265" width="12" style="11" customWidth="1"/>
    <col min="2266" max="2267" width="9.46484375" style="11" bestFit="1" customWidth="1"/>
    <col min="2268" max="2268" width="13.265625" style="11" customWidth="1"/>
    <col min="2269" max="2269" width="9.46484375" style="11" bestFit="1" customWidth="1"/>
    <col min="2270" max="2270" width="9.796875" style="11" bestFit="1" customWidth="1"/>
    <col min="2271" max="2271" width="12.46484375" style="11" bestFit="1" customWidth="1"/>
    <col min="2272" max="2272" width="10.19921875" style="11" customWidth="1"/>
    <col min="2273" max="2273" width="10" style="11" bestFit="1" customWidth="1"/>
    <col min="2274" max="2274" width="10.53125" style="11" customWidth="1"/>
    <col min="2275" max="2275" width="9.46484375" style="11" bestFit="1" customWidth="1"/>
    <col min="2276" max="2276" width="9.265625" style="11" bestFit="1" customWidth="1"/>
    <col min="2277" max="2277" width="9.265625" style="11" customWidth="1"/>
    <col min="2278" max="2278" width="9.46484375" style="11" bestFit="1" customWidth="1"/>
    <col min="2279" max="2279" width="10.19921875" style="11" customWidth="1"/>
    <col min="2280" max="2280" width="12.19921875" style="11" customWidth="1"/>
    <col min="2281" max="2281" width="9.53125" style="11" customWidth="1"/>
    <col min="2282" max="2282" width="11.53125" style="11" customWidth="1"/>
    <col min="2283" max="2283" width="12.73046875" style="11" customWidth="1"/>
    <col min="2284" max="2284" width="14.796875" style="11" customWidth="1"/>
    <col min="2285" max="2285" width="9.53125" style="11" customWidth="1"/>
    <col min="2286" max="2286" width="10.53125" style="11" customWidth="1"/>
    <col min="2287" max="2287" width="9.19921875" style="11"/>
    <col min="2288" max="2288" width="13.265625" style="11" customWidth="1"/>
    <col min="2289" max="2289" width="11.19921875" style="11" customWidth="1"/>
    <col min="2290" max="2290" width="9.19921875" style="11"/>
    <col min="2291" max="2291" width="9.19921875" style="11" customWidth="1"/>
    <col min="2292" max="2292" width="11.265625" style="11" customWidth="1"/>
    <col min="2293" max="2298" width="9.19921875" style="11"/>
    <col min="2299" max="2299" width="11.46484375" style="11" customWidth="1"/>
    <col min="2300" max="2300" width="11.73046875" style="11" customWidth="1"/>
    <col min="2301" max="2307" width="9.19921875" style="11"/>
    <col min="2308" max="2308" width="11" style="11" customWidth="1"/>
    <col min="2309" max="2310" width="9.19921875" style="11"/>
    <col min="2311" max="2311" width="10.265625" style="11" customWidth="1"/>
    <col min="2312" max="2312" width="10.19921875" style="11" customWidth="1"/>
    <col min="2313" max="2313" width="12.19921875" style="11" customWidth="1"/>
    <col min="2314" max="2510" width="9.19921875" style="11"/>
    <col min="2511" max="2511" width="34.265625" style="11" customWidth="1"/>
    <col min="2512" max="2512" width="13.73046875" style="11" customWidth="1"/>
    <col min="2513" max="2513" width="9.265625" style="11" bestFit="1" customWidth="1"/>
    <col min="2514" max="2514" width="10.53125" style="11" customWidth="1"/>
    <col min="2515" max="2516" width="9.265625" style="11" bestFit="1" customWidth="1"/>
    <col min="2517" max="2517" width="15.265625" style="11" bestFit="1" customWidth="1"/>
    <col min="2518" max="2518" width="9.265625" style="11" bestFit="1" customWidth="1"/>
    <col min="2519" max="2519" width="13.46484375" style="11" bestFit="1" customWidth="1"/>
    <col min="2520" max="2520" width="9.19921875" style="11" customWidth="1"/>
    <col min="2521" max="2521" width="12" style="11" customWidth="1"/>
    <col min="2522" max="2523" width="9.46484375" style="11" bestFit="1" customWidth="1"/>
    <col min="2524" max="2524" width="13.265625" style="11" customWidth="1"/>
    <col min="2525" max="2525" width="9.46484375" style="11" bestFit="1" customWidth="1"/>
    <col min="2526" max="2526" width="9.796875" style="11" bestFit="1" customWidth="1"/>
    <col min="2527" max="2527" width="12.46484375" style="11" bestFit="1" customWidth="1"/>
    <col min="2528" max="2528" width="10.19921875" style="11" customWidth="1"/>
    <col min="2529" max="2529" width="10" style="11" bestFit="1" customWidth="1"/>
    <col min="2530" max="2530" width="10.53125" style="11" customWidth="1"/>
    <col min="2531" max="2531" width="9.46484375" style="11" bestFit="1" customWidth="1"/>
    <col min="2532" max="2532" width="9.265625" style="11" bestFit="1" customWidth="1"/>
    <col min="2533" max="2533" width="9.265625" style="11" customWidth="1"/>
    <col min="2534" max="2534" width="9.46484375" style="11" bestFit="1" customWidth="1"/>
    <col min="2535" max="2535" width="10.19921875" style="11" customWidth="1"/>
    <col min="2536" max="2536" width="12.19921875" style="11" customWidth="1"/>
    <col min="2537" max="2537" width="9.53125" style="11" customWidth="1"/>
    <col min="2538" max="2538" width="11.53125" style="11" customWidth="1"/>
    <col min="2539" max="2539" width="12.73046875" style="11" customWidth="1"/>
    <col min="2540" max="2540" width="14.796875" style="11" customWidth="1"/>
    <col min="2541" max="2541" width="9.53125" style="11" customWidth="1"/>
    <col min="2542" max="2542" width="10.53125" style="11" customWidth="1"/>
    <col min="2543" max="2543" width="9.19921875" style="11"/>
    <col min="2544" max="2544" width="13.265625" style="11" customWidth="1"/>
    <col min="2545" max="2545" width="11.19921875" style="11" customWidth="1"/>
    <col min="2546" max="2546" width="9.19921875" style="11"/>
    <col min="2547" max="2547" width="9.19921875" style="11" customWidth="1"/>
    <col min="2548" max="2548" width="11.265625" style="11" customWidth="1"/>
    <col min="2549" max="2554" width="9.19921875" style="11"/>
    <col min="2555" max="2555" width="11.46484375" style="11" customWidth="1"/>
    <col min="2556" max="2556" width="11.73046875" style="11" customWidth="1"/>
    <col min="2557" max="2563" width="9.19921875" style="11"/>
    <col min="2564" max="2564" width="11" style="11" customWidth="1"/>
    <col min="2565" max="2566" width="9.19921875" style="11"/>
    <col min="2567" max="2567" width="10.265625" style="11" customWidth="1"/>
    <col min="2568" max="2568" width="10.19921875" style="11" customWidth="1"/>
    <col min="2569" max="2569" width="12.19921875" style="11" customWidth="1"/>
    <col min="2570" max="2766" width="9.19921875" style="11"/>
    <col min="2767" max="2767" width="34.265625" style="11" customWidth="1"/>
    <col min="2768" max="2768" width="13.73046875" style="11" customWidth="1"/>
    <col min="2769" max="2769" width="9.265625" style="11" bestFit="1" customWidth="1"/>
    <col min="2770" max="2770" width="10.53125" style="11" customWidth="1"/>
    <col min="2771" max="2772" width="9.265625" style="11" bestFit="1" customWidth="1"/>
    <col min="2773" max="2773" width="15.265625" style="11" bestFit="1" customWidth="1"/>
    <col min="2774" max="2774" width="9.265625" style="11" bestFit="1" customWidth="1"/>
    <col min="2775" max="2775" width="13.46484375" style="11" bestFit="1" customWidth="1"/>
    <col min="2776" max="2776" width="9.19921875" style="11" customWidth="1"/>
    <col min="2777" max="2777" width="12" style="11" customWidth="1"/>
    <col min="2778" max="2779" width="9.46484375" style="11" bestFit="1" customWidth="1"/>
    <col min="2780" max="2780" width="13.265625" style="11" customWidth="1"/>
    <col min="2781" max="2781" width="9.46484375" style="11" bestFit="1" customWidth="1"/>
    <col min="2782" max="2782" width="9.796875" style="11" bestFit="1" customWidth="1"/>
    <col min="2783" max="2783" width="12.46484375" style="11" bestFit="1" customWidth="1"/>
    <col min="2784" max="2784" width="10.19921875" style="11" customWidth="1"/>
    <col min="2785" max="2785" width="10" style="11" bestFit="1" customWidth="1"/>
    <col min="2786" max="2786" width="10.53125" style="11" customWidth="1"/>
    <col min="2787" max="2787" width="9.46484375" style="11" bestFit="1" customWidth="1"/>
    <col min="2788" max="2788" width="9.265625" style="11" bestFit="1" customWidth="1"/>
    <col min="2789" max="2789" width="9.265625" style="11" customWidth="1"/>
    <col min="2790" max="2790" width="9.46484375" style="11" bestFit="1" customWidth="1"/>
    <col min="2791" max="2791" width="10.19921875" style="11" customWidth="1"/>
    <col min="2792" max="2792" width="12.19921875" style="11" customWidth="1"/>
    <col min="2793" max="2793" width="9.53125" style="11" customWidth="1"/>
    <col min="2794" max="2794" width="11.53125" style="11" customWidth="1"/>
    <col min="2795" max="2795" width="12.73046875" style="11" customWidth="1"/>
    <col min="2796" max="2796" width="14.796875" style="11" customWidth="1"/>
    <col min="2797" max="2797" width="9.53125" style="11" customWidth="1"/>
    <col min="2798" max="2798" width="10.53125" style="11" customWidth="1"/>
    <col min="2799" max="2799" width="9.19921875" style="11"/>
    <col min="2800" max="2800" width="13.265625" style="11" customWidth="1"/>
    <col min="2801" max="2801" width="11.19921875" style="11" customWidth="1"/>
    <col min="2802" max="2802" width="9.19921875" style="11"/>
    <col min="2803" max="2803" width="9.19921875" style="11" customWidth="1"/>
    <col min="2804" max="2804" width="11.265625" style="11" customWidth="1"/>
    <col min="2805" max="2810" width="9.19921875" style="11"/>
    <col min="2811" max="2811" width="11.46484375" style="11" customWidth="1"/>
    <col min="2812" max="2812" width="11.73046875" style="11" customWidth="1"/>
    <col min="2813" max="2819" width="9.19921875" style="11"/>
    <col min="2820" max="2820" width="11" style="11" customWidth="1"/>
    <col min="2821" max="2822" width="9.19921875" style="11"/>
    <col min="2823" max="2823" width="10.265625" style="11" customWidth="1"/>
    <col min="2824" max="2824" width="10.19921875" style="11" customWidth="1"/>
    <col min="2825" max="2825" width="12.19921875" style="11" customWidth="1"/>
    <col min="2826" max="3022" width="9.19921875" style="11"/>
    <col min="3023" max="3023" width="34.265625" style="11" customWidth="1"/>
    <col min="3024" max="3024" width="13.73046875" style="11" customWidth="1"/>
    <col min="3025" max="3025" width="9.265625" style="11" bestFit="1" customWidth="1"/>
    <col min="3026" max="3026" width="10.53125" style="11" customWidth="1"/>
    <col min="3027" max="3028" width="9.265625" style="11" bestFit="1" customWidth="1"/>
    <col min="3029" max="3029" width="15.265625" style="11" bestFit="1" customWidth="1"/>
    <col min="3030" max="3030" width="9.265625" style="11" bestFit="1" customWidth="1"/>
    <col min="3031" max="3031" width="13.46484375" style="11" bestFit="1" customWidth="1"/>
    <col min="3032" max="3032" width="9.19921875" style="11" customWidth="1"/>
    <col min="3033" max="3033" width="12" style="11" customWidth="1"/>
    <col min="3034" max="3035" width="9.46484375" style="11" bestFit="1" customWidth="1"/>
    <col min="3036" max="3036" width="13.265625" style="11" customWidth="1"/>
    <col min="3037" max="3037" width="9.46484375" style="11" bestFit="1" customWidth="1"/>
    <col min="3038" max="3038" width="9.796875" style="11" bestFit="1" customWidth="1"/>
    <col min="3039" max="3039" width="12.46484375" style="11" bestFit="1" customWidth="1"/>
    <col min="3040" max="3040" width="10.19921875" style="11" customWidth="1"/>
    <col min="3041" max="3041" width="10" style="11" bestFit="1" customWidth="1"/>
    <col min="3042" max="3042" width="10.53125" style="11" customWidth="1"/>
    <col min="3043" max="3043" width="9.46484375" style="11" bestFit="1" customWidth="1"/>
    <col min="3044" max="3044" width="9.265625" style="11" bestFit="1" customWidth="1"/>
    <col min="3045" max="3045" width="9.265625" style="11" customWidth="1"/>
    <col min="3046" max="3046" width="9.46484375" style="11" bestFit="1" customWidth="1"/>
    <col min="3047" max="3047" width="10.19921875" style="11" customWidth="1"/>
    <col min="3048" max="3048" width="12.19921875" style="11" customWidth="1"/>
    <col min="3049" max="3049" width="9.53125" style="11" customWidth="1"/>
    <col min="3050" max="3050" width="11.53125" style="11" customWidth="1"/>
    <col min="3051" max="3051" width="12.73046875" style="11" customWidth="1"/>
    <col min="3052" max="3052" width="14.796875" style="11" customWidth="1"/>
    <col min="3053" max="3053" width="9.53125" style="11" customWidth="1"/>
    <col min="3054" max="3054" width="10.53125" style="11" customWidth="1"/>
    <col min="3055" max="3055" width="9.19921875" style="11"/>
    <col min="3056" max="3056" width="13.265625" style="11" customWidth="1"/>
    <col min="3057" max="3057" width="11.19921875" style="11" customWidth="1"/>
    <col min="3058" max="3058" width="9.19921875" style="11"/>
    <col min="3059" max="3059" width="9.19921875" style="11" customWidth="1"/>
    <col min="3060" max="3060" width="11.265625" style="11" customWidth="1"/>
    <col min="3061" max="3066" width="9.19921875" style="11"/>
    <col min="3067" max="3067" width="11.46484375" style="11" customWidth="1"/>
    <col min="3068" max="3068" width="11.73046875" style="11" customWidth="1"/>
    <col min="3069" max="3075" width="9.19921875" style="11"/>
    <col min="3076" max="3076" width="11" style="11" customWidth="1"/>
    <col min="3077" max="3078" width="9.19921875" style="11"/>
    <col min="3079" max="3079" width="10.265625" style="11" customWidth="1"/>
    <col min="3080" max="3080" width="10.19921875" style="11" customWidth="1"/>
    <col min="3081" max="3081" width="12.19921875" style="11" customWidth="1"/>
    <col min="3082" max="3278" width="9.19921875" style="11"/>
    <col min="3279" max="3279" width="34.265625" style="11" customWidth="1"/>
    <col min="3280" max="3280" width="13.73046875" style="11" customWidth="1"/>
    <col min="3281" max="3281" width="9.265625" style="11" bestFit="1" customWidth="1"/>
    <col min="3282" max="3282" width="10.53125" style="11" customWidth="1"/>
    <col min="3283" max="3284" width="9.265625" style="11" bestFit="1" customWidth="1"/>
    <col min="3285" max="3285" width="15.265625" style="11" bestFit="1" customWidth="1"/>
    <col min="3286" max="3286" width="9.265625" style="11" bestFit="1" customWidth="1"/>
    <col min="3287" max="3287" width="13.46484375" style="11" bestFit="1" customWidth="1"/>
    <col min="3288" max="3288" width="9.19921875" style="11" customWidth="1"/>
    <col min="3289" max="3289" width="12" style="11" customWidth="1"/>
    <col min="3290" max="3291" width="9.46484375" style="11" bestFit="1" customWidth="1"/>
    <col min="3292" max="3292" width="13.265625" style="11" customWidth="1"/>
    <col min="3293" max="3293" width="9.46484375" style="11" bestFit="1" customWidth="1"/>
    <col min="3294" max="3294" width="9.796875" style="11" bestFit="1" customWidth="1"/>
    <col min="3295" max="3295" width="12.46484375" style="11" bestFit="1" customWidth="1"/>
    <col min="3296" max="3296" width="10.19921875" style="11" customWidth="1"/>
    <col min="3297" max="3297" width="10" style="11" bestFit="1" customWidth="1"/>
    <col min="3298" max="3298" width="10.53125" style="11" customWidth="1"/>
    <col min="3299" max="3299" width="9.46484375" style="11" bestFit="1" customWidth="1"/>
    <col min="3300" max="3300" width="9.265625" style="11" bestFit="1" customWidth="1"/>
    <col min="3301" max="3301" width="9.265625" style="11" customWidth="1"/>
    <col min="3302" max="3302" width="9.46484375" style="11" bestFit="1" customWidth="1"/>
    <col min="3303" max="3303" width="10.19921875" style="11" customWidth="1"/>
    <col min="3304" max="3304" width="12.19921875" style="11" customWidth="1"/>
    <col min="3305" max="3305" width="9.53125" style="11" customWidth="1"/>
    <col min="3306" max="3306" width="11.53125" style="11" customWidth="1"/>
    <col min="3307" max="3307" width="12.73046875" style="11" customWidth="1"/>
    <col min="3308" max="3308" width="14.796875" style="11" customWidth="1"/>
    <col min="3309" max="3309" width="9.53125" style="11" customWidth="1"/>
    <col min="3310" max="3310" width="10.53125" style="11" customWidth="1"/>
    <col min="3311" max="3311" width="9.19921875" style="11"/>
    <col min="3312" max="3312" width="13.265625" style="11" customWidth="1"/>
    <col min="3313" max="3313" width="11.19921875" style="11" customWidth="1"/>
    <col min="3314" max="3314" width="9.19921875" style="11"/>
    <col min="3315" max="3315" width="9.19921875" style="11" customWidth="1"/>
    <col min="3316" max="3316" width="11.265625" style="11" customWidth="1"/>
    <col min="3317" max="3322" width="9.19921875" style="11"/>
    <col min="3323" max="3323" width="11.46484375" style="11" customWidth="1"/>
    <col min="3324" max="3324" width="11.73046875" style="11" customWidth="1"/>
    <col min="3325" max="3331" width="9.19921875" style="11"/>
    <col min="3332" max="3332" width="11" style="11" customWidth="1"/>
    <col min="3333" max="3334" width="9.19921875" style="11"/>
    <col min="3335" max="3335" width="10.265625" style="11" customWidth="1"/>
    <col min="3336" max="3336" width="10.19921875" style="11" customWidth="1"/>
    <col min="3337" max="3337" width="12.19921875" style="11" customWidth="1"/>
    <col min="3338" max="3534" width="9.19921875" style="11"/>
    <col min="3535" max="3535" width="34.265625" style="11" customWidth="1"/>
    <col min="3536" max="3536" width="13.73046875" style="11" customWidth="1"/>
    <col min="3537" max="3537" width="9.265625" style="11" bestFit="1" customWidth="1"/>
    <col min="3538" max="3538" width="10.53125" style="11" customWidth="1"/>
    <col min="3539" max="3540" width="9.265625" style="11" bestFit="1" customWidth="1"/>
    <col min="3541" max="3541" width="15.265625" style="11" bestFit="1" customWidth="1"/>
    <col min="3542" max="3542" width="9.265625" style="11" bestFit="1" customWidth="1"/>
    <col min="3543" max="3543" width="13.46484375" style="11" bestFit="1" customWidth="1"/>
    <col min="3544" max="3544" width="9.19921875" style="11" customWidth="1"/>
    <col min="3545" max="3545" width="12" style="11" customWidth="1"/>
    <col min="3546" max="3547" width="9.46484375" style="11" bestFit="1" customWidth="1"/>
    <col min="3548" max="3548" width="13.265625" style="11" customWidth="1"/>
    <col min="3549" max="3549" width="9.46484375" style="11" bestFit="1" customWidth="1"/>
    <col min="3550" max="3550" width="9.796875" style="11" bestFit="1" customWidth="1"/>
    <col min="3551" max="3551" width="12.46484375" style="11" bestFit="1" customWidth="1"/>
    <col min="3552" max="3552" width="10.19921875" style="11" customWidth="1"/>
    <col min="3553" max="3553" width="10" style="11" bestFit="1" customWidth="1"/>
    <col min="3554" max="3554" width="10.53125" style="11" customWidth="1"/>
    <col min="3555" max="3555" width="9.46484375" style="11" bestFit="1" customWidth="1"/>
    <col min="3556" max="3556" width="9.265625" style="11" bestFit="1" customWidth="1"/>
    <col min="3557" max="3557" width="9.265625" style="11" customWidth="1"/>
    <col min="3558" max="3558" width="9.46484375" style="11" bestFit="1" customWidth="1"/>
    <col min="3559" max="3559" width="10.19921875" style="11" customWidth="1"/>
    <col min="3560" max="3560" width="12.19921875" style="11" customWidth="1"/>
    <col min="3561" max="3561" width="9.53125" style="11" customWidth="1"/>
    <col min="3562" max="3562" width="11.53125" style="11" customWidth="1"/>
    <col min="3563" max="3563" width="12.73046875" style="11" customWidth="1"/>
    <col min="3564" max="3564" width="14.796875" style="11" customWidth="1"/>
    <col min="3565" max="3565" width="9.53125" style="11" customWidth="1"/>
    <col min="3566" max="3566" width="10.53125" style="11" customWidth="1"/>
    <col min="3567" max="3567" width="9.19921875" style="11"/>
    <col min="3568" max="3568" width="13.265625" style="11" customWidth="1"/>
    <col min="3569" max="3569" width="11.19921875" style="11" customWidth="1"/>
    <col min="3570" max="3570" width="9.19921875" style="11"/>
    <col min="3571" max="3571" width="9.19921875" style="11" customWidth="1"/>
    <col min="3572" max="3572" width="11.265625" style="11" customWidth="1"/>
    <col min="3573" max="3578" width="9.19921875" style="11"/>
    <col min="3579" max="3579" width="11.46484375" style="11" customWidth="1"/>
    <col min="3580" max="3580" width="11.73046875" style="11" customWidth="1"/>
    <col min="3581" max="3587" width="9.19921875" style="11"/>
    <col min="3588" max="3588" width="11" style="11" customWidth="1"/>
    <col min="3589" max="3590" width="9.19921875" style="11"/>
    <col min="3591" max="3591" width="10.265625" style="11" customWidth="1"/>
    <col min="3592" max="3592" width="10.19921875" style="11" customWidth="1"/>
    <col min="3593" max="3593" width="12.19921875" style="11" customWidth="1"/>
    <col min="3594" max="3790" width="9.19921875" style="11"/>
    <col min="3791" max="3791" width="34.265625" style="11" customWidth="1"/>
    <col min="3792" max="3792" width="13.73046875" style="11" customWidth="1"/>
    <col min="3793" max="3793" width="9.265625" style="11" bestFit="1" customWidth="1"/>
    <col min="3794" max="3794" width="10.53125" style="11" customWidth="1"/>
    <col min="3795" max="3796" width="9.265625" style="11" bestFit="1" customWidth="1"/>
    <col min="3797" max="3797" width="15.265625" style="11" bestFit="1" customWidth="1"/>
    <col min="3798" max="3798" width="9.265625" style="11" bestFit="1" customWidth="1"/>
    <col min="3799" max="3799" width="13.46484375" style="11" bestFit="1" customWidth="1"/>
    <col min="3800" max="3800" width="9.19921875" style="11" customWidth="1"/>
    <col min="3801" max="3801" width="12" style="11" customWidth="1"/>
    <col min="3802" max="3803" width="9.46484375" style="11" bestFit="1" customWidth="1"/>
    <col min="3804" max="3804" width="13.265625" style="11" customWidth="1"/>
    <col min="3805" max="3805" width="9.46484375" style="11" bestFit="1" customWidth="1"/>
    <col min="3806" max="3806" width="9.796875" style="11" bestFit="1" customWidth="1"/>
    <col min="3807" max="3807" width="12.46484375" style="11" bestFit="1" customWidth="1"/>
    <col min="3808" max="3808" width="10.19921875" style="11" customWidth="1"/>
    <col min="3809" max="3809" width="10" style="11" bestFit="1" customWidth="1"/>
    <col min="3810" max="3810" width="10.53125" style="11" customWidth="1"/>
    <col min="3811" max="3811" width="9.46484375" style="11" bestFit="1" customWidth="1"/>
    <col min="3812" max="3812" width="9.265625" style="11" bestFit="1" customWidth="1"/>
    <col min="3813" max="3813" width="9.265625" style="11" customWidth="1"/>
    <col min="3814" max="3814" width="9.46484375" style="11" bestFit="1" customWidth="1"/>
    <col min="3815" max="3815" width="10.19921875" style="11" customWidth="1"/>
    <col min="3816" max="3816" width="12.19921875" style="11" customWidth="1"/>
    <col min="3817" max="3817" width="9.53125" style="11" customWidth="1"/>
    <col min="3818" max="3818" width="11.53125" style="11" customWidth="1"/>
    <col min="3819" max="3819" width="12.73046875" style="11" customWidth="1"/>
    <col min="3820" max="3820" width="14.796875" style="11" customWidth="1"/>
    <col min="3821" max="3821" width="9.53125" style="11" customWidth="1"/>
    <col min="3822" max="3822" width="10.53125" style="11" customWidth="1"/>
    <col min="3823" max="3823" width="9.19921875" style="11"/>
    <col min="3824" max="3824" width="13.265625" style="11" customWidth="1"/>
    <col min="3825" max="3825" width="11.19921875" style="11" customWidth="1"/>
    <col min="3826" max="3826" width="9.19921875" style="11"/>
    <col min="3827" max="3827" width="9.19921875" style="11" customWidth="1"/>
    <col min="3828" max="3828" width="11.265625" style="11" customWidth="1"/>
    <col min="3829" max="3834" width="9.19921875" style="11"/>
    <col min="3835" max="3835" width="11.46484375" style="11" customWidth="1"/>
    <col min="3836" max="3836" width="11.73046875" style="11" customWidth="1"/>
    <col min="3837" max="3843" width="9.19921875" style="11"/>
    <col min="3844" max="3844" width="11" style="11" customWidth="1"/>
    <col min="3845" max="3846" width="9.19921875" style="11"/>
    <col min="3847" max="3847" width="10.265625" style="11" customWidth="1"/>
    <col min="3848" max="3848" width="10.19921875" style="11" customWidth="1"/>
    <col min="3849" max="3849" width="12.19921875" style="11" customWidth="1"/>
    <col min="3850" max="4046" width="9.19921875" style="11"/>
    <col min="4047" max="4047" width="34.265625" style="11" customWidth="1"/>
    <col min="4048" max="4048" width="13.73046875" style="11" customWidth="1"/>
    <col min="4049" max="4049" width="9.265625" style="11" bestFit="1" customWidth="1"/>
    <col min="4050" max="4050" width="10.53125" style="11" customWidth="1"/>
    <col min="4051" max="4052" width="9.265625" style="11" bestFit="1" customWidth="1"/>
    <col min="4053" max="4053" width="15.265625" style="11" bestFit="1" customWidth="1"/>
    <col min="4054" max="4054" width="9.265625" style="11" bestFit="1" customWidth="1"/>
    <col min="4055" max="4055" width="13.46484375" style="11" bestFit="1" customWidth="1"/>
    <col min="4056" max="4056" width="9.19921875" style="11" customWidth="1"/>
    <col min="4057" max="4057" width="12" style="11" customWidth="1"/>
    <col min="4058" max="4059" width="9.46484375" style="11" bestFit="1" customWidth="1"/>
    <col min="4060" max="4060" width="13.265625" style="11" customWidth="1"/>
    <col min="4061" max="4061" width="9.46484375" style="11" bestFit="1" customWidth="1"/>
    <col min="4062" max="4062" width="9.796875" style="11" bestFit="1" customWidth="1"/>
    <col min="4063" max="4063" width="12.46484375" style="11" bestFit="1" customWidth="1"/>
    <col min="4064" max="4064" width="10.19921875" style="11" customWidth="1"/>
    <col min="4065" max="4065" width="10" style="11" bestFit="1" customWidth="1"/>
    <col min="4066" max="4066" width="10.53125" style="11" customWidth="1"/>
    <col min="4067" max="4067" width="9.46484375" style="11" bestFit="1" customWidth="1"/>
    <col min="4068" max="4068" width="9.265625" style="11" bestFit="1" customWidth="1"/>
    <col min="4069" max="4069" width="9.265625" style="11" customWidth="1"/>
    <col min="4070" max="4070" width="9.46484375" style="11" bestFit="1" customWidth="1"/>
    <col min="4071" max="4071" width="10.19921875" style="11" customWidth="1"/>
    <col min="4072" max="4072" width="12.19921875" style="11" customWidth="1"/>
    <col min="4073" max="4073" width="9.53125" style="11" customWidth="1"/>
    <col min="4074" max="4074" width="11.53125" style="11" customWidth="1"/>
    <col min="4075" max="4075" width="12.73046875" style="11" customWidth="1"/>
    <col min="4076" max="4076" width="14.796875" style="11" customWidth="1"/>
    <col min="4077" max="4077" width="9.53125" style="11" customWidth="1"/>
    <col min="4078" max="4078" width="10.53125" style="11" customWidth="1"/>
    <col min="4079" max="4079" width="9.19921875" style="11"/>
    <col min="4080" max="4080" width="13.265625" style="11" customWidth="1"/>
    <col min="4081" max="4081" width="11.19921875" style="11" customWidth="1"/>
    <col min="4082" max="4082" width="9.19921875" style="11"/>
    <col min="4083" max="4083" width="9.19921875" style="11" customWidth="1"/>
    <col min="4084" max="4084" width="11.265625" style="11" customWidth="1"/>
    <col min="4085" max="4090" width="9.19921875" style="11"/>
    <col min="4091" max="4091" width="11.46484375" style="11" customWidth="1"/>
    <col min="4092" max="4092" width="11.73046875" style="11" customWidth="1"/>
    <col min="4093" max="4099" width="9.19921875" style="11"/>
    <col min="4100" max="4100" width="11" style="11" customWidth="1"/>
    <col min="4101" max="4102" width="9.19921875" style="11"/>
    <col min="4103" max="4103" width="10.265625" style="11" customWidth="1"/>
    <col min="4104" max="4104" width="10.19921875" style="11" customWidth="1"/>
    <col min="4105" max="4105" width="12.19921875" style="11" customWidth="1"/>
    <col min="4106" max="4302" width="9.19921875" style="11"/>
    <col min="4303" max="4303" width="34.265625" style="11" customWidth="1"/>
    <col min="4304" max="4304" width="13.73046875" style="11" customWidth="1"/>
    <col min="4305" max="4305" width="9.265625" style="11" bestFit="1" customWidth="1"/>
    <col min="4306" max="4306" width="10.53125" style="11" customWidth="1"/>
    <col min="4307" max="4308" width="9.265625" style="11" bestFit="1" customWidth="1"/>
    <col min="4309" max="4309" width="15.265625" style="11" bestFit="1" customWidth="1"/>
    <col min="4310" max="4310" width="9.265625" style="11" bestFit="1" customWidth="1"/>
    <col min="4311" max="4311" width="13.46484375" style="11" bestFit="1" customWidth="1"/>
    <col min="4312" max="4312" width="9.19921875" style="11" customWidth="1"/>
    <col min="4313" max="4313" width="12" style="11" customWidth="1"/>
    <col min="4314" max="4315" width="9.46484375" style="11" bestFit="1" customWidth="1"/>
    <col min="4316" max="4316" width="13.265625" style="11" customWidth="1"/>
    <col min="4317" max="4317" width="9.46484375" style="11" bestFit="1" customWidth="1"/>
    <col min="4318" max="4318" width="9.796875" style="11" bestFit="1" customWidth="1"/>
    <col min="4319" max="4319" width="12.46484375" style="11" bestFit="1" customWidth="1"/>
    <col min="4320" max="4320" width="10.19921875" style="11" customWidth="1"/>
    <col min="4321" max="4321" width="10" style="11" bestFit="1" customWidth="1"/>
    <col min="4322" max="4322" width="10.53125" style="11" customWidth="1"/>
    <col min="4323" max="4323" width="9.46484375" style="11" bestFit="1" customWidth="1"/>
    <col min="4324" max="4324" width="9.265625" style="11" bestFit="1" customWidth="1"/>
    <col min="4325" max="4325" width="9.265625" style="11" customWidth="1"/>
    <col min="4326" max="4326" width="9.46484375" style="11" bestFit="1" customWidth="1"/>
    <col min="4327" max="4327" width="10.19921875" style="11" customWidth="1"/>
    <col min="4328" max="4328" width="12.19921875" style="11" customWidth="1"/>
    <col min="4329" max="4329" width="9.53125" style="11" customWidth="1"/>
    <col min="4330" max="4330" width="11.53125" style="11" customWidth="1"/>
    <col min="4331" max="4331" width="12.73046875" style="11" customWidth="1"/>
    <col min="4332" max="4332" width="14.796875" style="11" customWidth="1"/>
    <col min="4333" max="4333" width="9.53125" style="11" customWidth="1"/>
    <col min="4334" max="4334" width="10.53125" style="11" customWidth="1"/>
    <col min="4335" max="4335" width="9.19921875" style="11"/>
    <col min="4336" max="4336" width="13.265625" style="11" customWidth="1"/>
    <col min="4337" max="4337" width="11.19921875" style="11" customWidth="1"/>
    <col min="4338" max="4338" width="9.19921875" style="11"/>
    <col min="4339" max="4339" width="9.19921875" style="11" customWidth="1"/>
    <col min="4340" max="4340" width="11.265625" style="11" customWidth="1"/>
    <col min="4341" max="4346" width="9.19921875" style="11"/>
    <col min="4347" max="4347" width="11.46484375" style="11" customWidth="1"/>
    <col min="4348" max="4348" width="11.73046875" style="11" customWidth="1"/>
    <col min="4349" max="4355" width="9.19921875" style="11"/>
    <col min="4356" max="4356" width="11" style="11" customWidth="1"/>
    <col min="4357" max="4358" width="9.19921875" style="11"/>
    <col min="4359" max="4359" width="10.265625" style="11" customWidth="1"/>
    <col min="4360" max="4360" width="10.19921875" style="11" customWidth="1"/>
    <col min="4361" max="4361" width="12.19921875" style="11" customWidth="1"/>
    <col min="4362" max="4558" width="9.19921875" style="11"/>
    <col min="4559" max="4559" width="34.265625" style="11" customWidth="1"/>
    <col min="4560" max="4560" width="13.73046875" style="11" customWidth="1"/>
    <col min="4561" max="4561" width="9.265625" style="11" bestFit="1" customWidth="1"/>
    <col min="4562" max="4562" width="10.53125" style="11" customWidth="1"/>
    <col min="4563" max="4564" width="9.265625" style="11" bestFit="1" customWidth="1"/>
    <col min="4565" max="4565" width="15.265625" style="11" bestFit="1" customWidth="1"/>
    <col min="4566" max="4566" width="9.265625" style="11" bestFit="1" customWidth="1"/>
    <col min="4567" max="4567" width="13.46484375" style="11" bestFit="1" customWidth="1"/>
    <col min="4568" max="4568" width="9.19921875" style="11" customWidth="1"/>
    <col min="4569" max="4569" width="12" style="11" customWidth="1"/>
    <col min="4570" max="4571" width="9.46484375" style="11" bestFit="1" customWidth="1"/>
    <col min="4572" max="4572" width="13.265625" style="11" customWidth="1"/>
    <col min="4573" max="4573" width="9.46484375" style="11" bestFit="1" customWidth="1"/>
    <col min="4574" max="4574" width="9.796875" style="11" bestFit="1" customWidth="1"/>
    <col min="4575" max="4575" width="12.46484375" style="11" bestFit="1" customWidth="1"/>
    <col min="4576" max="4576" width="10.19921875" style="11" customWidth="1"/>
    <col min="4577" max="4577" width="10" style="11" bestFit="1" customWidth="1"/>
    <col min="4578" max="4578" width="10.53125" style="11" customWidth="1"/>
    <col min="4579" max="4579" width="9.46484375" style="11" bestFit="1" customWidth="1"/>
    <col min="4580" max="4580" width="9.265625" style="11" bestFit="1" customWidth="1"/>
    <col min="4581" max="4581" width="9.265625" style="11" customWidth="1"/>
    <col min="4582" max="4582" width="9.46484375" style="11" bestFit="1" customWidth="1"/>
    <col min="4583" max="4583" width="10.19921875" style="11" customWidth="1"/>
    <col min="4584" max="4584" width="12.19921875" style="11" customWidth="1"/>
    <col min="4585" max="4585" width="9.53125" style="11" customWidth="1"/>
    <col min="4586" max="4586" width="11.53125" style="11" customWidth="1"/>
    <col min="4587" max="4587" width="12.73046875" style="11" customWidth="1"/>
    <col min="4588" max="4588" width="14.796875" style="11" customWidth="1"/>
    <col min="4589" max="4589" width="9.53125" style="11" customWidth="1"/>
    <col min="4590" max="4590" width="10.53125" style="11" customWidth="1"/>
    <col min="4591" max="4591" width="9.19921875" style="11"/>
    <col min="4592" max="4592" width="13.265625" style="11" customWidth="1"/>
    <col min="4593" max="4593" width="11.19921875" style="11" customWidth="1"/>
    <col min="4594" max="4594" width="9.19921875" style="11"/>
    <col min="4595" max="4595" width="9.19921875" style="11" customWidth="1"/>
    <col min="4596" max="4596" width="11.265625" style="11" customWidth="1"/>
    <col min="4597" max="4602" width="9.19921875" style="11"/>
    <col min="4603" max="4603" width="11.46484375" style="11" customWidth="1"/>
    <col min="4604" max="4604" width="11.73046875" style="11" customWidth="1"/>
    <col min="4605" max="4611" width="9.19921875" style="11"/>
    <col min="4612" max="4612" width="11" style="11" customWidth="1"/>
    <col min="4613" max="4614" width="9.19921875" style="11"/>
    <col min="4615" max="4615" width="10.265625" style="11" customWidth="1"/>
    <col min="4616" max="4616" width="10.19921875" style="11" customWidth="1"/>
    <col min="4617" max="4617" width="12.19921875" style="11" customWidth="1"/>
    <col min="4618" max="4814" width="9.19921875" style="11"/>
    <col min="4815" max="4815" width="34.265625" style="11" customWidth="1"/>
    <col min="4816" max="4816" width="13.73046875" style="11" customWidth="1"/>
    <col min="4817" max="4817" width="9.265625" style="11" bestFit="1" customWidth="1"/>
    <col min="4818" max="4818" width="10.53125" style="11" customWidth="1"/>
    <col min="4819" max="4820" width="9.265625" style="11" bestFit="1" customWidth="1"/>
    <col min="4821" max="4821" width="15.265625" style="11" bestFit="1" customWidth="1"/>
    <col min="4822" max="4822" width="9.265625" style="11" bestFit="1" customWidth="1"/>
    <col min="4823" max="4823" width="13.46484375" style="11" bestFit="1" customWidth="1"/>
    <col min="4824" max="4824" width="9.19921875" style="11" customWidth="1"/>
    <col min="4825" max="4825" width="12" style="11" customWidth="1"/>
    <col min="4826" max="4827" width="9.46484375" style="11" bestFit="1" customWidth="1"/>
    <col min="4828" max="4828" width="13.265625" style="11" customWidth="1"/>
    <col min="4829" max="4829" width="9.46484375" style="11" bestFit="1" customWidth="1"/>
    <col min="4830" max="4830" width="9.796875" style="11" bestFit="1" customWidth="1"/>
    <col min="4831" max="4831" width="12.46484375" style="11" bestFit="1" customWidth="1"/>
    <col min="4832" max="4832" width="10.19921875" style="11" customWidth="1"/>
    <col min="4833" max="4833" width="10" style="11" bestFit="1" customWidth="1"/>
    <col min="4834" max="4834" width="10.53125" style="11" customWidth="1"/>
    <col min="4835" max="4835" width="9.46484375" style="11" bestFit="1" customWidth="1"/>
    <col min="4836" max="4836" width="9.265625" style="11" bestFit="1" customWidth="1"/>
    <col min="4837" max="4837" width="9.265625" style="11" customWidth="1"/>
    <col min="4838" max="4838" width="9.46484375" style="11" bestFit="1" customWidth="1"/>
    <col min="4839" max="4839" width="10.19921875" style="11" customWidth="1"/>
    <col min="4840" max="4840" width="12.19921875" style="11" customWidth="1"/>
    <col min="4841" max="4841" width="9.53125" style="11" customWidth="1"/>
    <col min="4842" max="4842" width="11.53125" style="11" customWidth="1"/>
    <col min="4843" max="4843" width="12.73046875" style="11" customWidth="1"/>
    <col min="4844" max="4844" width="14.796875" style="11" customWidth="1"/>
    <col min="4845" max="4845" width="9.53125" style="11" customWidth="1"/>
    <col min="4846" max="4846" width="10.53125" style="11" customWidth="1"/>
    <col min="4847" max="4847" width="9.19921875" style="11"/>
    <col min="4848" max="4848" width="13.265625" style="11" customWidth="1"/>
    <col min="4849" max="4849" width="11.19921875" style="11" customWidth="1"/>
    <col min="4850" max="4850" width="9.19921875" style="11"/>
    <col min="4851" max="4851" width="9.19921875" style="11" customWidth="1"/>
    <col min="4852" max="4852" width="11.265625" style="11" customWidth="1"/>
    <col min="4853" max="4858" width="9.19921875" style="11"/>
    <col min="4859" max="4859" width="11.46484375" style="11" customWidth="1"/>
    <col min="4860" max="4860" width="11.73046875" style="11" customWidth="1"/>
    <col min="4861" max="4867" width="9.19921875" style="11"/>
    <col min="4868" max="4868" width="11" style="11" customWidth="1"/>
    <col min="4869" max="4870" width="9.19921875" style="11"/>
    <col min="4871" max="4871" width="10.265625" style="11" customWidth="1"/>
    <col min="4872" max="4872" width="10.19921875" style="11" customWidth="1"/>
    <col min="4873" max="4873" width="12.19921875" style="11" customWidth="1"/>
    <col min="4874" max="5070" width="9.19921875" style="11"/>
    <col min="5071" max="5071" width="34.265625" style="11" customWidth="1"/>
    <col min="5072" max="5072" width="13.73046875" style="11" customWidth="1"/>
    <col min="5073" max="5073" width="9.265625" style="11" bestFit="1" customWidth="1"/>
    <col min="5074" max="5074" width="10.53125" style="11" customWidth="1"/>
    <col min="5075" max="5076" width="9.265625" style="11" bestFit="1" customWidth="1"/>
    <col min="5077" max="5077" width="15.265625" style="11" bestFit="1" customWidth="1"/>
    <col min="5078" max="5078" width="9.265625" style="11" bestFit="1" customWidth="1"/>
    <col min="5079" max="5079" width="13.46484375" style="11" bestFit="1" customWidth="1"/>
    <col min="5080" max="5080" width="9.19921875" style="11" customWidth="1"/>
    <col min="5081" max="5081" width="12" style="11" customWidth="1"/>
    <col min="5082" max="5083" width="9.46484375" style="11" bestFit="1" customWidth="1"/>
    <col min="5084" max="5084" width="13.265625" style="11" customWidth="1"/>
    <col min="5085" max="5085" width="9.46484375" style="11" bestFit="1" customWidth="1"/>
    <col min="5086" max="5086" width="9.796875" style="11" bestFit="1" customWidth="1"/>
    <col min="5087" max="5087" width="12.46484375" style="11" bestFit="1" customWidth="1"/>
    <col min="5088" max="5088" width="10.19921875" style="11" customWidth="1"/>
    <col min="5089" max="5089" width="10" style="11" bestFit="1" customWidth="1"/>
    <col min="5090" max="5090" width="10.53125" style="11" customWidth="1"/>
    <col min="5091" max="5091" width="9.46484375" style="11" bestFit="1" customWidth="1"/>
    <col min="5092" max="5092" width="9.265625" style="11" bestFit="1" customWidth="1"/>
    <col min="5093" max="5093" width="9.265625" style="11" customWidth="1"/>
    <col min="5094" max="5094" width="9.46484375" style="11" bestFit="1" customWidth="1"/>
    <col min="5095" max="5095" width="10.19921875" style="11" customWidth="1"/>
    <col min="5096" max="5096" width="12.19921875" style="11" customWidth="1"/>
    <col min="5097" max="5097" width="9.53125" style="11" customWidth="1"/>
    <col min="5098" max="5098" width="11.53125" style="11" customWidth="1"/>
    <col min="5099" max="5099" width="12.73046875" style="11" customWidth="1"/>
    <col min="5100" max="5100" width="14.796875" style="11" customWidth="1"/>
    <col min="5101" max="5101" width="9.53125" style="11" customWidth="1"/>
    <col min="5102" max="5102" width="10.53125" style="11" customWidth="1"/>
    <col min="5103" max="5103" width="9.19921875" style="11"/>
    <col min="5104" max="5104" width="13.265625" style="11" customWidth="1"/>
    <col min="5105" max="5105" width="11.19921875" style="11" customWidth="1"/>
    <col min="5106" max="5106" width="9.19921875" style="11"/>
    <col min="5107" max="5107" width="9.19921875" style="11" customWidth="1"/>
    <col min="5108" max="5108" width="11.265625" style="11" customWidth="1"/>
    <col min="5109" max="5114" width="9.19921875" style="11"/>
    <col min="5115" max="5115" width="11.46484375" style="11" customWidth="1"/>
    <col min="5116" max="5116" width="11.73046875" style="11" customWidth="1"/>
    <col min="5117" max="5123" width="9.19921875" style="11"/>
    <col min="5124" max="5124" width="11" style="11" customWidth="1"/>
    <col min="5125" max="5126" width="9.19921875" style="11"/>
    <col min="5127" max="5127" width="10.265625" style="11" customWidth="1"/>
    <col min="5128" max="5128" width="10.19921875" style="11" customWidth="1"/>
    <col min="5129" max="5129" width="12.19921875" style="11" customWidth="1"/>
    <col min="5130" max="5326" width="9.19921875" style="11"/>
    <col min="5327" max="5327" width="34.265625" style="11" customWidth="1"/>
    <col min="5328" max="5328" width="13.73046875" style="11" customWidth="1"/>
    <col min="5329" max="5329" width="9.265625" style="11" bestFit="1" customWidth="1"/>
    <col min="5330" max="5330" width="10.53125" style="11" customWidth="1"/>
    <col min="5331" max="5332" width="9.265625" style="11" bestFit="1" customWidth="1"/>
    <col min="5333" max="5333" width="15.265625" style="11" bestFit="1" customWidth="1"/>
    <col min="5334" max="5334" width="9.265625" style="11" bestFit="1" customWidth="1"/>
    <col min="5335" max="5335" width="13.46484375" style="11" bestFit="1" customWidth="1"/>
    <col min="5336" max="5336" width="9.19921875" style="11" customWidth="1"/>
    <col min="5337" max="5337" width="12" style="11" customWidth="1"/>
    <col min="5338" max="5339" width="9.46484375" style="11" bestFit="1" customWidth="1"/>
    <col min="5340" max="5340" width="13.265625" style="11" customWidth="1"/>
    <col min="5341" max="5341" width="9.46484375" style="11" bestFit="1" customWidth="1"/>
    <col min="5342" max="5342" width="9.796875" style="11" bestFit="1" customWidth="1"/>
    <col min="5343" max="5343" width="12.46484375" style="11" bestFit="1" customWidth="1"/>
    <col min="5344" max="5344" width="10.19921875" style="11" customWidth="1"/>
    <col min="5345" max="5345" width="10" style="11" bestFit="1" customWidth="1"/>
    <col min="5346" max="5346" width="10.53125" style="11" customWidth="1"/>
    <col min="5347" max="5347" width="9.46484375" style="11" bestFit="1" customWidth="1"/>
    <col min="5348" max="5348" width="9.265625" style="11" bestFit="1" customWidth="1"/>
    <col min="5349" max="5349" width="9.265625" style="11" customWidth="1"/>
    <col min="5350" max="5350" width="9.46484375" style="11" bestFit="1" customWidth="1"/>
    <col min="5351" max="5351" width="10.19921875" style="11" customWidth="1"/>
    <col min="5352" max="5352" width="12.19921875" style="11" customWidth="1"/>
    <col min="5353" max="5353" width="9.53125" style="11" customWidth="1"/>
    <col min="5354" max="5354" width="11.53125" style="11" customWidth="1"/>
    <col min="5355" max="5355" width="12.73046875" style="11" customWidth="1"/>
    <col min="5356" max="5356" width="14.796875" style="11" customWidth="1"/>
    <col min="5357" max="5357" width="9.53125" style="11" customWidth="1"/>
    <col min="5358" max="5358" width="10.53125" style="11" customWidth="1"/>
    <col min="5359" max="5359" width="9.19921875" style="11"/>
    <col min="5360" max="5360" width="13.265625" style="11" customWidth="1"/>
    <col min="5361" max="5361" width="11.19921875" style="11" customWidth="1"/>
    <col min="5362" max="5362" width="9.19921875" style="11"/>
    <col min="5363" max="5363" width="9.19921875" style="11" customWidth="1"/>
    <col min="5364" max="5364" width="11.265625" style="11" customWidth="1"/>
    <col min="5365" max="5370" width="9.19921875" style="11"/>
    <col min="5371" max="5371" width="11.46484375" style="11" customWidth="1"/>
    <col min="5372" max="5372" width="11.73046875" style="11" customWidth="1"/>
    <col min="5373" max="5379" width="9.19921875" style="11"/>
    <col min="5380" max="5380" width="11" style="11" customWidth="1"/>
    <col min="5381" max="5382" width="9.19921875" style="11"/>
    <col min="5383" max="5383" width="10.265625" style="11" customWidth="1"/>
    <col min="5384" max="5384" width="10.19921875" style="11" customWidth="1"/>
    <col min="5385" max="5385" width="12.19921875" style="11" customWidth="1"/>
    <col min="5386" max="5582" width="9.19921875" style="11"/>
    <col min="5583" max="5583" width="34.265625" style="11" customWidth="1"/>
    <col min="5584" max="5584" width="13.73046875" style="11" customWidth="1"/>
    <col min="5585" max="5585" width="9.265625" style="11" bestFit="1" customWidth="1"/>
    <col min="5586" max="5586" width="10.53125" style="11" customWidth="1"/>
    <col min="5587" max="5588" width="9.265625" style="11" bestFit="1" customWidth="1"/>
    <col min="5589" max="5589" width="15.265625" style="11" bestFit="1" customWidth="1"/>
    <col min="5590" max="5590" width="9.265625" style="11" bestFit="1" customWidth="1"/>
    <col min="5591" max="5591" width="13.46484375" style="11" bestFit="1" customWidth="1"/>
    <col min="5592" max="5592" width="9.19921875" style="11" customWidth="1"/>
    <col min="5593" max="5593" width="12" style="11" customWidth="1"/>
    <col min="5594" max="5595" width="9.46484375" style="11" bestFit="1" customWidth="1"/>
    <col min="5596" max="5596" width="13.265625" style="11" customWidth="1"/>
    <col min="5597" max="5597" width="9.46484375" style="11" bestFit="1" customWidth="1"/>
    <col min="5598" max="5598" width="9.796875" style="11" bestFit="1" customWidth="1"/>
    <col min="5599" max="5599" width="12.46484375" style="11" bestFit="1" customWidth="1"/>
    <col min="5600" max="5600" width="10.19921875" style="11" customWidth="1"/>
    <col min="5601" max="5601" width="10" style="11" bestFit="1" customWidth="1"/>
    <col min="5602" max="5602" width="10.53125" style="11" customWidth="1"/>
    <col min="5603" max="5603" width="9.46484375" style="11" bestFit="1" customWidth="1"/>
    <col min="5604" max="5604" width="9.265625" style="11" bestFit="1" customWidth="1"/>
    <col min="5605" max="5605" width="9.265625" style="11" customWidth="1"/>
    <col min="5606" max="5606" width="9.46484375" style="11" bestFit="1" customWidth="1"/>
    <col min="5607" max="5607" width="10.19921875" style="11" customWidth="1"/>
    <col min="5608" max="5608" width="12.19921875" style="11" customWidth="1"/>
    <col min="5609" max="5609" width="9.53125" style="11" customWidth="1"/>
    <col min="5610" max="5610" width="11.53125" style="11" customWidth="1"/>
    <col min="5611" max="5611" width="12.73046875" style="11" customWidth="1"/>
    <col min="5612" max="5612" width="14.796875" style="11" customWidth="1"/>
    <col min="5613" max="5613" width="9.53125" style="11" customWidth="1"/>
    <col min="5614" max="5614" width="10.53125" style="11" customWidth="1"/>
    <col min="5615" max="5615" width="9.19921875" style="11"/>
    <col min="5616" max="5616" width="13.265625" style="11" customWidth="1"/>
    <col min="5617" max="5617" width="11.19921875" style="11" customWidth="1"/>
    <col min="5618" max="5618" width="9.19921875" style="11"/>
    <col min="5619" max="5619" width="9.19921875" style="11" customWidth="1"/>
    <col min="5620" max="5620" width="11.265625" style="11" customWidth="1"/>
    <col min="5621" max="5626" width="9.19921875" style="11"/>
    <col min="5627" max="5627" width="11.46484375" style="11" customWidth="1"/>
    <col min="5628" max="5628" width="11.73046875" style="11" customWidth="1"/>
    <col min="5629" max="5635" width="9.19921875" style="11"/>
    <col min="5636" max="5636" width="11" style="11" customWidth="1"/>
    <col min="5637" max="5638" width="9.19921875" style="11"/>
    <col min="5639" max="5639" width="10.265625" style="11" customWidth="1"/>
    <col min="5640" max="5640" width="10.19921875" style="11" customWidth="1"/>
    <col min="5641" max="5641" width="12.19921875" style="11" customWidth="1"/>
    <col min="5642" max="5838" width="9.19921875" style="11"/>
    <col min="5839" max="5839" width="34.265625" style="11" customWidth="1"/>
    <col min="5840" max="5840" width="13.73046875" style="11" customWidth="1"/>
    <col min="5841" max="5841" width="9.265625" style="11" bestFit="1" customWidth="1"/>
    <col min="5842" max="5842" width="10.53125" style="11" customWidth="1"/>
    <col min="5843" max="5844" width="9.265625" style="11" bestFit="1" customWidth="1"/>
    <col min="5845" max="5845" width="15.265625" style="11" bestFit="1" customWidth="1"/>
    <col min="5846" max="5846" width="9.265625" style="11" bestFit="1" customWidth="1"/>
    <col min="5847" max="5847" width="13.46484375" style="11" bestFit="1" customWidth="1"/>
    <col min="5848" max="5848" width="9.19921875" style="11" customWidth="1"/>
    <col min="5849" max="5849" width="12" style="11" customWidth="1"/>
    <col min="5850" max="5851" width="9.46484375" style="11" bestFit="1" customWidth="1"/>
    <col min="5852" max="5852" width="13.265625" style="11" customWidth="1"/>
    <col min="5853" max="5853" width="9.46484375" style="11" bestFit="1" customWidth="1"/>
    <col min="5854" max="5854" width="9.796875" style="11" bestFit="1" customWidth="1"/>
    <col min="5855" max="5855" width="12.46484375" style="11" bestFit="1" customWidth="1"/>
    <col min="5856" max="5856" width="10.19921875" style="11" customWidth="1"/>
    <col min="5857" max="5857" width="10" style="11" bestFit="1" customWidth="1"/>
    <col min="5858" max="5858" width="10.53125" style="11" customWidth="1"/>
    <col min="5859" max="5859" width="9.46484375" style="11" bestFit="1" customWidth="1"/>
    <col min="5860" max="5860" width="9.265625" style="11" bestFit="1" customWidth="1"/>
    <col min="5861" max="5861" width="9.265625" style="11" customWidth="1"/>
    <col min="5862" max="5862" width="9.46484375" style="11" bestFit="1" customWidth="1"/>
    <col min="5863" max="5863" width="10.19921875" style="11" customWidth="1"/>
    <col min="5864" max="5864" width="12.19921875" style="11" customWidth="1"/>
    <col min="5865" max="5865" width="9.53125" style="11" customWidth="1"/>
    <col min="5866" max="5866" width="11.53125" style="11" customWidth="1"/>
    <col min="5867" max="5867" width="12.73046875" style="11" customWidth="1"/>
    <col min="5868" max="5868" width="14.796875" style="11" customWidth="1"/>
    <col min="5869" max="5869" width="9.53125" style="11" customWidth="1"/>
    <col min="5870" max="5870" width="10.53125" style="11" customWidth="1"/>
    <col min="5871" max="5871" width="9.19921875" style="11"/>
    <col min="5872" max="5872" width="13.265625" style="11" customWidth="1"/>
    <col min="5873" max="5873" width="11.19921875" style="11" customWidth="1"/>
    <col min="5874" max="5874" width="9.19921875" style="11"/>
    <col min="5875" max="5875" width="9.19921875" style="11" customWidth="1"/>
    <col min="5876" max="5876" width="11.265625" style="11" customWidth="1"/>
    <col min="5877" max="5882" width="9.19921875" style="11"/>
    <col min="5883" max="5883" width="11.46484375" style="11" customWidth="1"/>
    <col min="5884" max="5884" width="11.73046875" style="11" customWidth="1"/>
    <col min="5885" max="5891" width="9.19921875" style="11"/>
    <col min="5892" max="5892" width="11" style="11" customWidth="1"/>
    <col min="5893" max="5894" width="9.19921875" style="11"/>
    <col min="5895" max="5895" width="10.265625" style="11" customWidth="1"/>
    <col min="5896" max="5896" width="10.19921875" style="11" customWidth="1"/>
    <col min="5897" max="5897" width="12.19921875" style="11" customWidth="1"/>
    <col min="5898" max="6094" width="9.19921875" style="11"/>
    <col min="6095" max="6095" width="34.265625" style="11" customWidth="1"/>
    <col min="6096" max="6096" width="13.73046875" style="11" customWidth="1"/>
    <col min="6097" max="6097" width="9.265625" style="11" bestFit="1" customWidth="1"/>
    <col min="6098" max="6098" width="10.53125" style="11" customWidth="1"/>
    <col min="6099" max="6100" width="9.265625" style="11" bestFit="1" customWidth="1"/>
    <col min="6101" max="6101" width="15.265625" style="11" bestFit="1" customWidth="1"/>
    <col min="6102" max="6102" width="9.265625" style="11" bestFit="1" customWidth="1"/>
    <col min="6103" max="6103" width="13.46484375" style="11" bestFit="1" customWidth="1"/>
    <col min="6104" max="6104" width="9.19921875" style="11" customWidth="1"/>
    <col min="6105" max="6105" width="12" style="11" customWidth="1"/>
    <col min="6106" max="6107" width="9.46484375" style="11" bestFit="1" customWidth="1"/>
    <col min="6108" max="6108" width="13.265625" style="11" customWidth="1"/>
    <col min="6109" max="6109" width="9.46484375" style="11" bestFit="1" customWidth="1"/>
    <col min="6110" max="6110" width="9.796875" style="11" bestFit="1" customWidth="1"/>
    <col min="6111" max="6111" width="12.46484375" style="11" bestFit="1" customWidth="1"/>
    <col min="6112" max="6112" width="10.19921875" style="11" customWidth="1"/>
    <col min="6113" max="6113" width="10" style="11" bestFit="1" customWidth="1"/>
    <col min="6114" max="6114" width="10.53125" style="11" customWidth="1"/>
    <col min="6115" max="6115" width="9.46484375" style="11" bestFit="1" customWidth="1"/>
    <col min="6116" max="6116" width="9.265625" style="11" bestFit="1" customWidth="1"/>
    <col min="6117" max="6117" width="9.265625" style="11" customWidth="1"/>
    <col min="6118" max="6118" width="9.46484375" style="11" bestFit="1" customWidth="1"/>
    <col min="6119" max="6119" width="10.19921875" style="11" customWidth="1"/>
    <col min="6120" max="6120" width="12.19921875" style="11" customWidth="1"/>
    <col min="6121" max="6121" width="9.53125" style="11" customWidth="1"/>
    <col min="6122" max="6122" width="11.53125" style="11" customWidth="1"/>
    <col min="6123" max="6123" width="12.73046875" style="11" customWidth="1"/>
    <col min="6124" max="6124" width="14.796875" style="11" customWidth="1"/>
    <col min="6125" max="6125" width="9.53125" style="11" customWidth="1"/>
    <col min="6126" max="6126" width="10.53125" style="11" customWidth="1"/>
    <col min="6127" max="6127" width="9.19921875" style="11"/>
    <col min="6128" max="6128" width="13.265625" style="11" customWidth="1"/>
    <col min="6129" max="6129" width="11.19921875" style="11" customWidth="1"/>
    <col min="6130" max="6130" width="9.19921875" style="11"/>
    <col min="6131" max="6131" width="9.19921875" style="11" customWidth="1"/>
    <col min="6132" max="6132" width="11.265625" style="11" customWidth="1"/>
    <col min="6133" max="6138" width="9.19921875" style="11"/>
    <col min="6139" max="6139" width="11.46484375" style="11" customWidth="1"/>
    <col min="6140" max="6140" width="11.73046875" style="11" customWidth="1"/>
    <col min="6141" max="6147" width="9.19921875" style="11"/>
    <col min="6148" max="6148" width="11" style="11" customWidth="1"/>
    <col min="6149" max="6150" width="9.19921875" style="11"/>
    <col min="6151" max="6151" width="10.265625" style="11" customWidth="1"/>
    <col min="6152" max="6152" width="10.19921875" style="11" customWidth="1"/>
    <col min="6153" max="6153" width="12.19921875" style="11" customWidth="1"/>
    <col min="6154" max="6350" width="9.19921875" style="11"/>
    <col min="6351" max="6351" width="34.265625" style="11" customWidth="1"/>
    <col min="6352" max="6352" width="13.73046875" style="11" customWidth="1"/>
    <col min="6353" max="6353" width="9.265625" style="11" bestFit="1" customWidth="1"/>
    <col min="6354" max="6354" width="10.53125" style="11" customWidth="1"/>
    <col min="6355" max="6356" width="9.265625" style="11" bestFit="1" customWidth="1"/>
    <col min="6357" max="6357" width="15.265625" style="11" bestFit="1" customWidth="1"/>
    <col min="6358" max="6358" width="9.265625" style="11" bestFit="1" customWidth="1"/>
    <col min="6359" max="6359" width="13.46484375" style="11" bestFit="1" customWidth="1"/>
    <col min="6360" max="6360" width="9.19921875" style="11" customWidth="1"/>
    <col min="6361" max="6361" width="12" style="11" customWidth="1"/>
    <col min="6362" max="6363" width="9.46484375" style="11" bestFit="1" customWidth="1"/>
    <col min="6364" max="6364" width="13.265625" style="11" customWidth="1"/>
    <col min="6365" max="6365" width="9.46484375" style="11" bestFit="1" customWidth="1"/>
    <col min="6366" max="6366" width="9.796875" style="11" bestFit="1" customWidth="1"/>
    <col min="6367" max="6367" width="12.46484375" style="11" bestFit="1" customWidth="1"/>
    <col min="6368" max="6368" width="10.19921875" style="11" customWidth="1"/>
    <col min="6369" max="6369" width="10" style="11" bestFit="1" customWidth="1"/>
    <col min="6370" max="6370" width="10.53125" style="11" customWidth="1"/>
    <col min="6371" max="6371" width="9.46484375" style="11" bestFit="1" customWidth="1"/>
    <col min="6372" max="6372" width="9.265625" style="11" bestFit="1" customWidth="1"/>
    <col min="6373" max="6373" width="9.265625" style="11" customWidth="1"/>
    <col min="6374" max="6374" width="9.46484375" style="11" bestFit="1" customWidth="1"/>
    <col min="6375" max="6375" width="10.19921875" style="11" customWidth="1"/>
    <col min="6376" max="6376" width="12.19921875" style="11" customWidth="1"/>
    <col min="6377" max="6377" width="9.53125" style="11" customWidth="1"/>
    <col min="6378" max="6378" width="11.53125" style="11" customWidth="1"/>
    <col min="6379" max="6379" width="12.73046875" style="11" customWidth="1"/>
    <col min="6380" max="6380" width="14.796875" style="11" customWidth="1"/>
    <col min="6381" max="6381" width="9.53125" style="11" customWidth="1"/>
    <col min="6382" max="6382" width="10.53125" style="11" customWidth="1"/>
    <col min="6383" max="6383" width="9.19921875" style="11"/>
    <col min="6384" max="6384" width="13.265625" style="11" customWidth="1"/>
    <col min="6385" max="6385" width="11.19921875" style="11" customWidth="1"/>
    <col min="6386" max="6386" width="9.19921875" style="11"/>
    <col min="6387" max="6387" width="9.19921875" style="11" customWidth="1"/>
    <col min="6388" max="6388" width="11.265625" style="11" customWidth="1"/>
    <col min="6389" max="6394" width="9.19921875" style="11"/>
    <col min="6395" max="6395" width="11.46484375" style="11" customWidth="1"/>
    <col min="6396" max="6396" width="11.73046875" style="11" customWidth="1"/>
    <col min="6397" max="6403" width="9.19921875" style="11"/>
    <col min="6404" max="6404" width="11" style="11" customWidth="1"/>
    <col min="6405" max="6406" width="9.19921875" style="11"/>
    <col min="6407" max="6407" width="10.265625" style="11" customWidth="1"/>
    <col min="6408" max="6408" width="10.19921875" style="11" customWidth="1"/>
    <col min="6409" max="6409" width="12.19921875" style="11" customWidth="1"/>
    <col min="6410" max="6606" width="9.19921875" style="11"/>
    <col min="6607" max="6607" width="34.265625" style="11" customWidth="1"/>
    <col min="6608" max="6608" width="13.73046875" style="11" customWidth="1"/>
    <col min="6609" max="6609" width="9.265625" style="11" bestFit="1" customWidth="1"/>
    <col min="6610" max="6610" width="10.53125" style="11" customWidth="1"/>
    <col min="6611" max="6612" width="9.265625" style="11" bestFit="1" customWidth="1"/>
    <col min="6613" max="6613" width="15.265625" style="11" bestFit="1" customWidth="1"/>
    <col min="6614" max="6614" width="9.265625" style="11" bestFit="1" customWidth="1"/>
    <col min="6615" max="6615" width="13.46484375" style="11" bestFit="1" customWidth="1"/>
    <col min="6616" max="6616" width="9.19921875" style="11" customWidth="1"/>
    <col min="6617" max="6617" width="12" style="11" customWidth="1"/>
    <col min="6618" max="6619" width="9.46484375" style="11" bestFit="1" customWidth="1"/>
    <col min="6620" max="6620" width="13.265625" style="11" customWidth="1"/>
    <col min="6621" max="6621" width="9.46484375" style="11" bestFit="1" customWidth="1"/>
    <col min="6622" max="6622" width="9.796875" style="11" bestFit="1" customWidth="1"/>
    <col min="6623" max="6623" width="12.46484375" style="11" bestFit="1" customWidth="1"/>
    <col min="6624" max="6624" width="10.19921875" style="11" customWidth="1"/>
    <col min="6625" max="6625" width="10" style="11" bestFit="1" customWidth="1"/>
    <col min="6626" max="6626" width="10.53125" style="11" customWidth="1"/>
    <col min="6627" max="6627" width="9.46484375" style="11" bestFit="1" customWidth="1"/>
    <col min="6628" max="6628" width="9.265625" style="11" bestFit="1" customWidth="1"/>
    <col min="6629" max="6629" width="9.265625" style="11" customWidth="1"/>
    <col min="6630" max="6630" width="9.46484375" style="11" bestFit="1" customWidth="1"/>
    <col min="6631" max="6631" width="10.19921875" style="11" customWidth="1"/>
    <col min="6632" max="6632" width="12.19921875" style="11" customWidth="1"/>
    <col min="6633" max="6633" width="9.53125" style="11" customWidth="1"/>
    <col min="6634" max="6634" width="11.53125" style="11" customWidth="1"/>
    <col min="6635" max="6635" width="12.73046875" style="11" customWidth="1"/>
    <col min="6636" max="6636" width="14.796875" style="11" customWidth="1"/>
    <col min="6637" max="6637" width="9.53125" style="11" customWidth="1"/>
    <col min="6638" max="6638" width="10.53125" style="11" customWidth="1"/>
    <col min="6639" max="6639" width="9.19921875" style="11"/>
    <col min="6640" max="6640" width="13.265625" style="11" customWidth="1"/>
    <col min="6641" max="6641" width="11.19921875" style="11" customWidth="1"/>
    <col min="6642" max="6642" width="9.19921875" style="11"/>
    <col min="6643" max="6643" width="9.19921875" style="11" customWidth="1"/>
    <col min="6644" max="6644" width="11.265625" style="11" customWidth="1"/>
    <col min="6645" max="6650" width="9.19921875" style="11"/>
    <col min="6651" max="6651" width="11.46484375" style="11" customWidth="1"/>
    <col min="6652" max="6652" width="11.73046875" style="11" customWidth="1"/>
    <col min="6653" max="6659" width="9.19921875" style="11"/>
    <col min="6660" max="6660" width="11" style="11" customWidth="1"/>
    <col min="6661" max="6662" width="9.19921875" style="11"/>
    <col min="6663" max="6663" width="10.265625" style="11" customWidth="1"/>
    <col min="6664" max="6664" width="10.19921875" style="11" customWidth="1"/>
    <col min="6665" max="6665" width="12.19921875" style="11" customWidth="1"/>
    <col min="6666" max="6862" width="9.19921875" style="11"/>
    <col min="6863" max="6863" width="34.265625" style="11" customWidth="1"/>
    <col min="6864" max="6864" width="13.73046875" style="11" customWidth="1"/>
    <col min="6865" max="6865" width="9.265625" style="11" bestFit="1" customWidth="1"/>
    <col min="6866" max="6866" width="10.53125" style="11" customWidth="1"/>
    <col min="6867" max="6868" width="9.265625" style="11" bestFit="1" customWidth="1"/>
    <col min="6869" max="6869" width="15.265625" style="11" bestFit="1" customWidth="1"/>
    <col min="6870" max="6870" width="9.265625" style="11" bestFit="1" customWidth="1"/>
    <col min="6871" max="6871" width="13.46484375" style="11" bestFit="1" customWidth="1"/>
    <col min="6872" max="6872" width="9.19921875" style="11" customWidth="1"/>
    <col min="6873" max="6873" width="12" style="11" customWidth="1"/>
    <col min="6874" max="6875" width="9.46484375" style="11" bestFit="1" customWidth="1"/>
    <col min="6876" max="6876" width="13.265625" style="11" customWidth="1"/>
    <col min="6877" max="6877" width="9.46484375" style="11" bestFit="1" customWidth="1"/>
    <col min="6878" max="6878" width="9.796875" style="11" bestFit="1" customWidth="1"/>
    <col min="6879" max="6879" width="12.46484375" style="11" bestFit="1" customWidth="1"/>
    <col min="6880" max="6880" width="10.19921875" style="11" customWidth="1"/>
    <col min="6881" max="6881" width="10" style="11" bestFit="1" customWidth="1"/>
    <col min="6882" max="6882" width="10.53125" style="11" customWidth="1"/>
    <col min="6883" max="6883" width="9.46484375" style="11" bestFit="1" customWidth="1"/>
    <col min="6884" max="6884" width="9.265625" style="11" bestFit="1" customWidth="1"/>
    <col min="6885" max="6885" width="9.265625" style="11" customWidth="1"/>
    <col min="6886" max="6886" width="9.46484375" style="11" bestFit="1" customWidth="1"/>
    <col min="6887" max="6887" width="10.19921875" style="11" customWidth="1"/>
    <col min="6888" max="6888" width="12.19921875" style="11" customWidth="1"/>
    <col min="6889" max="6889" width="9.53125" style="11" customWidth="1"/>
    <col min="6890" max="6890" width="11.53125" style="11" customWidth="1"/>
    <col min="6891" max="6891" width="12.73046875" style="11" customWidth="1"/>
    <col min="6892" max="6892" width="14.796875" style="11" customWidth="1"/>
    <col min="6893" max="6893" width="9.53125" style="11" customWidth="1"/>
    <col min="6894" max="6894" width="10.53125" style="11" customWidth="1"/>
    <col min="6895" max="6895" width="9.19921875" style="11"/>
    <col min="6896" max="6896" width="13.265625" style="11" customWidth="1"/>
    <col min="6897" max="6897" width="11.19921875" style="11" customWidth="1"/>
    <col min="6898" max="6898" width="9.19921875" style="11"/>
    <col min="6899" max="6899" width="9.19921875" style="11" customWidth="1"/>
    <col min="6900" max="6900" width="11.265625" style="11" customWidth="1"/>
    <col min="6901" max="6906" width="9.19921875" style="11"/>
    <col min="6907" max="6907" width="11.46484375" style="11" customWidth="1"/>
    <col min="6908" max="6908" width="11.73046875" style="11" customWidth="1"/>
    <col min="6909" max="6915" width="9.19921875" style="11"/>
    <col min="6916" max="6916" width="11" style="11" customWidth="1"/>
    <col min="6917" max="6918" width="9.19921875" style="11"/>
    <col min="6919" max="6919" width="10.265625" style="11" customWidth="1"/>
    <col min="6920" max="6920" width="10.19921875" style="11" customWidth="1"/>
    <col min="6921" max="6921" width="12.19921875" style="11" customWidth="1"/>
    <col min="6922" max="7118" width="9.19921875" style="11"/>
    <col min="7119" max="7119" width="34.265625" style="11" customWidth="1"/>
    <col min="7120" max="7120" width="13.73046875" style="11" customWidth="1"/>
    <col min="7121" max="7121" width="9.265625" style="11" bestFit="1" customWidth="1"/>
    <col min="7122" max="7122" width="10.53125" style="11" customWidth="1"/>
    <col min="7123" max="7124" width="9.265625" style="11" bestFit="1" customWidth="1"/>
    <col min="7125" max="7125" width="15.265625" style="11" bestFit="1" customWidth="1"/>
    <col min="7126" max="7126" width="9.265625" style="11" bestFit="1" customWidth="1"/>
    <col min="7127" max="7127" width="13.46484375" style="11" bestFit="1" customWidth="1"/>
    <col min="7128" max="7128" width="9.19921875" style="11" customWidth="1"/>
    <col min="7129" max="7129" width="12" style="11" customWidth="1"/>
    <col min="7130" max="7131" width="9.46484375" style="11" bestFit="1" customWidth="1"/>
    <col min="7132" max="7132" width="13.265625" style="11" customWidth="1"/>
    <col min="7133" max="7133" width="9.46484375" style="11" bestFit="1" customWidth="1"/>
    <col min="7134" max="7134" width="9.796875" style="11" bestFit="1" customWidth="1"/>
    <col min="7135" max="7135" width="12.46484375" style="11" bestFit="1" customWidth="1"/>
    <col min="7136" max="7136" width="10.19921875" style="11" customWidth="1"/>
    <col min="7137" max="7137" width="10" style="11" bestFit="1" customWidth="1"/>
    <col min="7138" max="7138" width="10.53125" style="11" customWidth="1"/>
    <col min="7139" max="7139" width="9.46484375" style="11" bestFit="1" customWidth="1"/>
    <col min="7140" max="7140" width="9.265625" style="11" bestFit="1" customWidth="1"/>
    <col min="7141" max="7141" width="9.265625" style="11" customWidth="1"/>
    <col min="7142" max="7142" width="9.46484375" style="11" bestFit="1" customWidth="1"/>
    <col min="7143" max="7143" width="10.19921875" style="11" customWidth="1"/>
    <col min="7144" max="7144" width="12.19921875" style="11" customWidth="1"/>
    <col min="7145" max="7145" width="9.53125" style="11" customWidth="1"/>
    <col min="7146" max="7146" width="11.53125" style="11" customWidth="1"/>
    <col min="7147" max="7147" width="12.73046875" style="11" customWidth="1"/>
    <col min="7148" max="7148" width="14.796875" style="11" customWidth="1"/>
    <col min="7149" max="7149" width="9.53125" style="11" customWidth="1"/>
    <col min="7150" max="7150" width="10.53125" style="11" customWidth="1"/>
    <col min="7151" max="7151" width="9.19921875" style="11"/>
    <col min="7152" max="7152" width="13.265625" style="11" customWidth="1"/>
    <col min="7153" max="7153" width="11.19921875" style="11" customWidth="1"/>
    <col min="7154" max="7154" width="9.19921875" style="11"/>
    <col min="7155" max="7155" width="9.19921875" style="11" customWidth="1"/>
    <col min="7156" max="7156" width="11.265625" style="11" customWidth="1"/>
    <col min="7157" max="7162" width="9.19921875" style="11"/>
    <col min="7163" max="7163" width="11.46484375" style="11" customWidth="1"/>
    <col min="7164" max="7164" width="11.73046875" style="11" customWidth="1"/>
    <col min="7165" max="7171" width="9.19921875" style="11"/>
    <col min="7172" max="7172" width="11" style="11" customWidth="1"/>
    <col min="7173" max="7174" width="9.19921875" style="11"/>
    <col min="7175" max="7175" width="10.265625" style="11" customWidth="1"/>
    <col min="7176" max="7176" width="10.19921875" style="11" customWidth="1"/>
    <col min="7177" max="7177" width="12.19921875" style="11" customWidth="1"/>
    <col min="7178" max="7374" width="9.19921875" style="11"/>
    <col min="7375" max="7375" width="34.265625" style="11" customWidth="1"/>
    <col min="7376" max="7376" width="13.73046875" style="11" customWidth="1"/>
    <col min="7377" max="7377" width="9.265625" style="11" bestFit="1" customWidth="1"/>
    <col min="7378" max="7378" width="10.53125" style="11" customWidth="1"/>
    <col min="7379" max="7380" width="9.265625" style="11" bestFit="1" customWidth="1"/>
    <col min="7381" max="7381" width="15.265625" style="11" bestFit="1" customWidth="1"/>
    <col min="7382" max="7382" width="9.265625" style="11" bestFit="1" customWidth="1"/>
    <col min="7383" max="7383" width="13.46484375" style="11" bestFit="1" customWidth="1"/>
    <col min="7384" max="7384" width="9.19921875" style="11" customWidth="1"/>
    <col min="7385" max="7385" width="12" style="11" customWidth="1"/>
    <col min="7386" max="7387" width="9.46484375" style="11" bestFit="1" customWidth="1"/>
    <col min="7388" max="7388" width="13.265625" style="11" customWidth="1"/>
    <col min="7389" max="7389" width="9.46484375" style="11" bestFit="1" customWidth="1"/>
    <col min="7390" max="7390" width="9.796875" style="11" bestFit="1" customWidth="1"/>
    <col min="7391" max="7391" width="12.46484375" style="11" bestFit="1" customWidth="1"/>
    <col min="7392" max="7392" width="10.19921875" style="11" customWidth="1"/>
    <col min="7393" max="7393" width="10" style="11" bestFit="1" customWidth="1"/>
    <col min="7394" max="7394" width="10.53125" style="11" customWidth="1"/>
    <col min="7395" max="7395" width="9.46484375" style="11" bestFit="1" customWidth="1"/>
    <col min="7396" max="7396" width="9.265625" style="11" bestFit="1" customWidth="1"/>
    <col min="7397" max="7397" width="9.265625" style="11" customWidth="1"/>
    <col min="7398" max="7398" width="9.46484375" style="11" bestFit="1" customWidth="1"/>
    <col min="7399" max="7399" width="10.19921875" style="11" customWidth="1"/>
    <col min="7400" max="7400" width="12.19921875" style="11" customWidth="1"/>
    <col min="7401" max="7401" width="9.53125" style="11" customWidth="1"/>
    <col min="7402" max="7402" width="11.53125" style="11" customWidth="1"/>
    <col min="7403" max="7403" width="12.73046875" style="11" customWidth="1"/>
    <col min="7404" max="7404" width="14.796875" style="11" customWidth="1"/>
    <col min="7405" max="7405" width="9.53125" style="11" customWidth="1"/>
    <col min="7406" max="7406" width="10.53125" style="11" customWidth="1"/>
    <col min="7407" max="7407" width="9.19921875" style="11"/>
    <col min="7408" max="7408" width="13.265625" style="11" customWidth="1"/>
    <col min="7409" max="7409" width="11.19921875" style="11" customWidth="1"/>
    <col min="7410" max="7410" width="9.19921875" style="11"/>
    <col min="7411" max="7411" width="9.19921875" style="11" customWidth="1"/>
    <col min="7412" max="7412" width="11.265625" style="11" customWidth="1"/>
    <col min="7413" max="7418" width="9.19921875" style="11"/>
    <col min="7419" max="7419" width="11.46484375" style="11" customWidth="1"/>
    <col min="7420" max="7420" width="11.73046875" style="11" customWidth="1"/>
    <col min="7421" max="7427" width="9.19921875" style="11"/>
    <col min="7428" max="7428" width="11" style="11" customWidth="1"/>
    <col min="7429" max="7430" width="9.19921875" style="11"/>
    <col min="7431" max="7431" width="10.265625" style="11" customWidth="1"/>
    <col min="7432" max="7432" width="10.19921875" style="11" customWidth="1"/>
    <col min="7433" max="7433" width="12.19921875" style="11" customWidth="1"/>
    <col min="7434" max="7630" width="9.19921875" style="11"/>
    <col min="7631" max="7631" width="34.265625" style="11" customWidth="1"/>
    <col min="7632" max="7632" width="13.73046875" style="11" customWidth="1"/>
    <col min="7633" max="7633" width="9.265625" style="11" bestFit="1" customWidth="1"/>
    <col min="7634" max="7634" width="10.53125" style="11" customWidth="1"/>
    <col min="7635" max="7636" width="9.265625" style="11" bestFit="1" customWidth="1"/>
    <col min="7637" max="7637" width="15.265625" style="11" bestFit="1" customWidth="1"/>
    <col min="7638" max="7638" width="9.265625" style="11" bestFit="1" customWidth="1"/>
    <col min="7639" max="7639" width="13.46484375" style="11" bestFit="1" customWidth="1"/>
    <col min="7640" max="7640" width="9.19921875" style="11" customWidth="1"/>
    <col min="7641" max="7641" width="12" style="11" customWidth="1"/>
    <col min="7642" max="7643" width="9.46484375" style="11" bestFit="1" customWidth="1"/>
    <col min="7644" max="7644" width="13.265625" style="11" customWidth="1"/>
    <col min="7645" max="7645" width="9.46484375" style="11" bestFit="1" customWidth="1"/>
    <col min="7646" max="7646" width="9.796875" style="11" bestFit="1" customWidth="1"/>
    <col min="7647" max="7647" width="12.46484375" style="11" bestFit="1" customWidth="1"/>
    <col min="7648" max="7648" width="10.19921875" style="11" customWidth="1"/>
    <col min="7649" max="7649" width="10" style="11" bestFit="1" customWidth="1"/>
    <col min="7650" max="7650" width="10.53125" style="11" customWidth="1"/>
    <col min="7651" max="7651" width="9.46484375" style="11" bestFit="1" customWidth="1"/>
    <col min="7652" max="7652" width="9.265625" style="11" bestFit="1" customWidth="1"/>
    <col min="7653" max="7653" width="9.265625" style="11" customWidth="1"/>
    <col min="7654" max="7654" width="9.46484375" style="11" bestFit="1" customWidth="1"/>
    <col min="7655" max="7655" width="10.19921875" style="11" customWidth="1"/>
    <col min="7656" max="7656" width="12.19921875" style="11" customWidth="1"/>
    <col min="7657" max="7657" width="9.53125" style="11" customWidth="1"/>
    <col min="7658" max="7658" width="11.53125" style="11" customWidth="1"/>
    <col min="7659" max="7659" width="12.73046875" style="11" customWidth="1"/>
    <col min="7660" max="7660" width="14.796875" style="11" customWidth="1"/>
    <col min="7661" max="7661" width="9.53125" style="11" customWidth="1"/>
    <col min="7662" max="7662" width="10.53125" style="11" customWidth="1"/>
    <col min="7663" max="7663" width="9.19921875" style="11"/>
    <col min="7664" max="7664" width="13.265625" style="11" customWidth="1"/>
    <col min="7665" max="7665" width="11.19921875" style="11" customWidth="1"/>
    <col min="7666" max="7666" width="9.19921875" style="11"/>
    <col min="7667" max="7667" width="9.19921875" style="11" customWidth="1"/>
    <col min="7668" max="7668" width="11.265625" style="11" customWidth="1"/>
    <col min="7669" max="7674" width="9.19921875" style="11"/>
    <col min="7675" max="7675" width="11.46484375" style="11" customWidth="1"/>
    <col min="7676" max="7676" width="11.73046875" style="11" customWidth="1"/>
    <col min="7677" max="7683" width="9.19921875" style="11"/>
    <col min="7684" max="7684" width="11" style="11" customWidth="1"/>
    <col min="7685" max="7686" width="9.19921875" style="11"/>
    <col min="7687" max="7687" width="10.265625" style="11" customWidth="1"/>
    <col min="7688" max="7688" width="10.19921875" style="11" customWidth="1"/>
    <col min="7689" max="7689" width="12.19921875" style="11" customWidth="1"/>
    <col min="7690" max="7886" width="9.19921875" style="11"/>
    <col min="7887" max="7887" width="34.265625" style="11" customWidth="1"/>
    <col min="7888" max="7888" width="13.73046875" style="11" customWidth="1"/>
    <col min="7889" max="7889" width="9.265625" style="11" bestFit="1" customWidth="1"/>
    <col min="7890" max="7890" width="10.53125" style="11" customWidth="1"/>
    <col min="7891" max="7892" width="9.265625" style="11" bestFit="1" customWidth="1"/>
    <col min="7893" max="7893" width="15.265625" style="11" bestFit="1" customWidth="1"/>
    <col min="7894" max="7894" width="9.265625" style="11" bestFit="1" customWidth="1"/>
    <col min="7895" max="7895" width="13.46484375" style="11" bestFit="1" customWidth="1"/>
    <col min="7896" max="7896" width="9.19921875" style="11" customWidth="1"/>
    <col min="7897" max="7897" width="12" style="11" customWidth="1"/>
    <col min="7898" max="7899" width="9.46484375" style="11" bestFit="1" customWidth="1"/>
    <col min="7900" max="7900" width="13.265625" style="11" customWidth="1"/>
    <col min="7901" max="7901" width="9.46484375" style="11" bestFit="1" customWidth="1"/>
    <col min="7902" max="7902" width="9.796875" style="11" bestFit="1" customWidth="1"/>
    <col min="7903" max="7903" width="12.46484375" style="11" bestFit="1" customWidth="1"/>
    <col min="7904" max="7904" width="10.19921875" style="11" customWidth="1"/>
    <col min="7905" max="7905" width="10" style="11" bestFit="1" customWidth="1"/>
    <col min="7906" max="7906" width="10.53125" style="11" customWidth="1"/>
    <col min="7907" max="7907" width="9.46484375" style="11" bestFit="1" customWidth="1"/>
    <col min="7908" max="7908" width="9.265625" style="11" bestFit="1" customWidth="1"/>
    <col min="7909" max="7909" width="9.265625" style="11" customWidth="1"/>
    <col min="7910" max="7910" width="9.46484375" style="11" bestFit="1" customWidth="1"/>
    <col min="7911" max="7911" width="10.19921875" style="11" customWidth="1"/>
    <col min="7912" max="7912" width="12.19921875" style="11" customWidth="1"/>
    <col min="7913" max="7913" width="9.53125" style="11" customWidth="1"/>
    <col min="7914" max="7914" width="11.53125" style="11" customWidth="1"/>
    <col min="7915" max="7915" width="12.73046875" style="11" customWidth="1"/>
    <col min="7916" max="7916" width="14.796875" style="11" customWidth="1"/>
    <col min="7917" max="7917" width="9.53125" style="11" customWidth="1"/>
    <col min="7918" max="7918" width="10.53125" style="11" customWidth="1"/>
    <col min="7919" max="7919" width="9.19921875" style="11"/>
    <col min="7920" max="7920" width="13.265625" style="11" customWidth="1"/>
    <col min="7921" max="7921" width="11.19921875" style="11" customWidth="1"/>
    <col min="7922" max="7922" width="9.19921875" style="11"/>
    <col min="7923" max="7923" width="9.19921875" style="11" customWidth="1"/>
    <col min="7924" max="7924" width="11.265625" style="11" customWidth="1"/>
    <col min="7925" max="7930" width="9.19921875" style="11"/>
    <col min="7931" max="7931" width="11.46484375" style="11" customWidth="1"/>
    <col min="7932" max="7932" width="11.73046875" style="11" customWidth="1"/>
    <col min="7933" max="7939" width="9.19921875" style="11"/>
    <col min="7940" max="7940" width="11" style="11" customWidth="1"/>
    <col min="7941" max="7942" width="9.19921875" style="11"/>
    <col min="7943" max="7943" width="10.265625" style="11" customWidth="1"/>
    <col min="7944" max="7944" width="10.19921875" style="11" customWidth="1"/>
    <col min="7945" max="7945" width="12.19921875" style="11" customWidth="1"/>
    <col min="7946" max="8142" width="9.19921875" style="11"/>
    <col min="8143" max="8143" width="34.265625" style="11" customWidth="1"/>
    <col min="8144" max="8144" width="13.73046875" style="11" customWidth="1"/>
    <col min="8145" max="8145" width="9.265625" style="11" bestFit="1" customWidth="1"/>
    <col min="8146" max="8146" width="10.53125" style="11" customWidth="1"/>
    <col min="8147" max="8148" width="9.265625" style="11" bestFit="1" customWidth="1"/>
    <col min="8149" max="8149" width="15.265625" style="11" bestFit="1" customWidth="1"/>
    <col min="8150" max="8150" width="9.265625" style="11" bestFit="1" customWidth="1"/>
    <col min="8151" max="8151" width="13.46484375" style="11" bestFit="1" customWidth="1"/>
    <col min="8152" max="8152" width="9.19921875" style="11" customWidth="1"/>
    <col min="8153" max="8153" width="12" style="11" customWidth="1"/>
    <col min="8154" max="8155" width="9.46484375" style="11" bestFit="1" customWidth="1"/>
    <col min="8156" max="8156" width="13.265625" style="11" customWidth="1"/>
    <col min="8157" max="8157" width="9.46484375" style="11" bestFit="1" customWidth="1"/>
    <col min="8158" max="8158" width="9.796875" style="11" bestFit="1" customWidth="1"/>
    <col min="8159" max="8159" width="12.46484375" style="11" bestFit="1" customWidth="1"/>
    <col min="8160" max="8160" width="10.19921875" style="11" customWidth="1"/>
    <col min="8161" max="8161" width="10" style="11" bestFit="1" customWidth="1"/>
    <col min="8162" max="8162" width="10.53125" style="11" customWidth="1"/>
    <col min="8163" max="8163" width="9.46484375" style="11" bestFit="1" customWidth="1"/>
    <col min="8164" max="8164" width="9.265625" style="11" bestFit="1" customWidth="1"/>
    <col min="8165" max="8165" width="9.265625" style="11" customWidth="1"/>
    <col min="8166" max="8166" width="9.46484375" style="11" bestFit="1" customWidth="1"/>
    <col min="8167" max="8167" width="10.19921875" style="11" customWidth="1"/>
    <col min="8168" max="8168" width="12.19921875" style="11" customWidth="1"/>
    <col min="8169" max="8169" width="9.53125" style="11" customWidth="1"/>
    <col min="8170" max="8170" width="11.53125" style="11" customWidth="1"/>
    <col min="8171" max="8171" width="12.73046875" style="11" customWidth="1"/>
    <col min="8172" max="8172" width="14.796875" style="11" customWidth="1"/>
    <col min="8173" max="8173" width="9.53125" style="11" customWidth="1"/>
    <col min="8174" max="8174" width="10.53125" style="11" customWidth="1"/>
    <col min="8175" max="8175" width="9.19921875" style="11"/>
    <col min="8176" max="8176" width="13.265625" style="11" customWidth="1"/>
    <col min="8177" max="8177" width="11.19921875" style="11" customWidth="1"/>
    <col min="8178" max="8178" width="9.19921875" style="11"/>
    <col min="8179" max="8179" width="9.19921875" style="11" customWidth="1"/>
    <col min="8180" max="8180" width="11.265625" style="11" customWidth="1"/>
    <col min="8181" max="8186" width="9.19921875" style="11"/>
    <col min="8187" max="8187" width="11.46484375" style="11" customWidth="1"/>
    <col min="8188" max="8188" width="11.73046875" style="11" customWidth="1"/>
    <col min="8189" max="8195" width="9.19921875" style="11"/>
    <col min="8196" max="8196" width="11" style="11" customWidth="1"/>
    <col min="8197" max="8198" width="9.19921875" style="11"/>
    <col min="8199" max="8199" width="10.265625" style="11" customWidth="1"/>
    <col min="8200" max="8200" width="10.19921875" style="11" customWidth="1"/>
    <col min="8201" max="8201" width="12.19921875" style="11" customWidth="1"/>
    <col min="8202" max="8398" width="9.19921875" style="11"/>
    <col min="8399" max="8399" width="34.265625" style="11" customWidth="1"/>
    <col min="8400" max="8400" width="13.73046875" style="11" customWidth="1"/>
    <col min="8401" max="8401" width="9.265625" style="11" bestFit="1" customWidth="1"/>
    <col min="8402" max="8402" width="10.53125" style="11" customWidth="1"/>
    <col min="8403" max="8404" width="9.265625" style="11" bestFit="1" customWidth="1"/>
    <col min="8405" max="8405" width="15.265625" style="11" bestFit="1" customWidth="1"/>
    <col min="8406" max="8406" width="9.265625" style="11" bestFit="1" customWidth="1"/>
    <col min="8407" max="8407" width="13.46484375" style="11" bestFit="1" customWidth="1"/>
    <col min="8408" max="8408" width="9.19921875" style="11" customWidth="1"/>
    <col min="8409" max="8409" width="12" style="11" customWidth="1"/>
    <col min="8410" max="8411" width="9.46484375" style="11" bestFit="1" customWidth="1"/>
    <col min="8412" max="8412" width="13.265625" style="11" customWidth="1"/>
    <col min="8413" max="8413" width="9.46484375" style="11" bestFit="1" customWidth="1"/>
    <col min="8414" max="8414" width="9.796875" style="11" bestFit="1" customWidth="1"/>
    <col min="8415" max="8415" width="12.46484375" style="11" bestFit="1" customWidth="1"/>
    <col min="8416" max="8416" width="10.19921875" style="11" customWidth="1"/>
    <col min="8417" max="8417" width="10" style="11" bestFit="1" customWidth="1"/>
    <col min="8418" max="8418" width="10.53125" style="11" customWidth="1"/>
    <col min="8419" max="8419" width="9.46484375" style="11" bestFit="1" customWidth="1"/>
    <col min="8420" max="8420" width="9.265625" style="11" bestFit="1" customWidth="1"/>
    <col min="8421" max="8421" width="9.265625" style="11" customWidth="1"/>
    <col min="8422" max="8422" width="9.46484375" style="11" bestFit="1" customWidth="1"/>
    <col min="8423" max="8423" width="10.19921875" style="11" customWidth="1"/>
    <col min="8424" max="8424" width="12.19921875" style="11" customWidth="1"/>
    <col min="8425" max="8425" width="9.53125" style="11" customWidth="1"/>
    <col min="8426" max="8426" width="11.53125" style="11" customWidth="1"/>
    <col min="8427" max="8427" width="12.73046875" style="11" customWidth="1"/>
    <col min="8428" max="8428" width="14.796875" style="11" customWidth="1"/>
    <col min="8429" max="8429" width="9.53125" style="11" customWidth="1"/>
    <col min="8430" max="8430" width="10.53125" style="11" customWidth="1"/>
    <col min="8431" max="8431" width="9.19921875" style="11"/>
    <col min="8432" max="8432" width="13.265625" style="11" customWidth="1"/>
    <col min="8433" max="8433" width="11.19921875" style="11" customWidth="1"/>
    <col min="8434" max="8434" width="9.19921875" style="11"/>
    <col min="8435" max="8435" width="9.19921875" style="11" customWidth="1"/>
    <col min="8436" max="8436" width="11.265625" style="11" customWidth="1"/>
    <col min="8437" max="8442" width="9.19921875" style="11"/>
    <col min="8443" max="8443" width="11.46484375" style="11" customWidth="1"/>
    <col min="8444" max="8444" width="11.73046875" style="11" customWidth="1"/>
    <col min="8445" max="8451" width="9.19921875" style="11"/>
    <col min="8452" max="8452" width="11" style="11" customWidth="1"/>
    <col min="8453" max="8454" width="9.19921875" style="11"/>
    <col min="8455" max="8455" width="10.265625" style="11" customWidth="1"/>
    <col min="8456" max="8456" width="10.19921875" style="11" customWidth="1"/>
    <col min="8457" max="8457" width="12.19921875" style="11" customWidth="1"/>
    <col min="8458" max="8654" width="9.19921875" style="11"/>
    <col min="8655" max="8655" width="34.265625" style="11" customWidth="1"/>
    <col min="8656" max="8656" width="13.73046875" style="11" customWidth="1"/>
    <col min="8657" max="8657" width="9.265625" style="11" bestFit="1" customWidth="1"/>
    <col min="8658" max="8658" width="10.53125" style="11" customWidth="1"/>
    <col min="8659" max="8660" width="9.265625" style="11" bestFit="1" customWidth="1"/>
    <col min="8661" max="8661" width="15.265625" style="11" bestFit="1" customWidth="1"/>
    <col min="8662" max="8662" width="9.265625" style="11" bestFit="1" customWidth="1"/>
    <col min="8663" max="8663" width="13.46484375" style="11" bestFit="1" customWidth="1"/>
    <col min="8664" max="8664" width="9.19921875" style="11" customWidth="1"/>
    <col min="8665" max="8665" width="12" style="11" customWidth="1"/>
    <col min="8666" max="8667" width="9.46484375" style="11" bestFit="1" customWidth="1"/>
    <col min="8668" max="8668" width="13.265625" style="11" customWidth="1"/>
    <col min="8669" max="8669" width="9.46484375" style="11" bestFit="1" customWidth="1"/>
    <col min="8670" max="8670" width="9.796875" style="11" bestFit="1" customWidth="1"/>
    <col min="8671" max="8671" width="12.46484375" style="11" bestFit="1" customWidth="1"/>
    <col min="8672" max="8672" width="10.19921875" style="11" customWidth="1"/>
    <col min="8673" max="8673" width="10" style="11" bestFit="1" customWidth="1"/>
    <col min="8674" max="8674" width="10.53125" style="11" customWidth="1"/>
    <col min="8675" max="8675" width="9.46484375" style="11" bestFit="1" customWidth="1"/>
    <col min="8676" max="8676" width="9.265625" style="11" bestFit="1" customWidth="1"/>
    <col min="8677" max="8677" width="9.265625" style="11" customWidth="1"/>
    <col min="8678" max="8678" width="9.46484375" style="11" bestFit="1" customWidth="1"/>
    <col min="8679" max="8679" width="10.19921875" style="11" customWidth="1"/>
    <col min="8680" max="8680" width="12.19921875" style="11" customWidth="1"/>
    <col min="8681" max="8681" width="9.53125" style="11" customWidth="1"/>
    <col min="8682" max="8682" width="11.53125" style="11" customWidth="1"/>
    <col min="8683" max="8683" width="12.73046875" style="11" customWidth="1"/>
    <col min="8684" max="8684" width="14.796875" style="11" customWidth="1"/>
    <col min="8685" max="8685" width="9.53125" style="11" customWidth="1"/>
    <col min="8686" max="8686" width="10.53125" style="11" customWidth="1"/>
    <col min="8687" max="8687" width="9.19921875" style="11"/>
    <col min="8688" max="8688" width="13.265625" style="11" customWidth="1"/>
    <col min="8689" max="8689" width="11.19921875" style="11" customWidth="1"/>
    <col min="8690" max="8690" width="9.19921875" style="11"/>
    <col min="8691" max="8691" width="9.19921875" style="11" customWidth="1"/>
    <col min="8692" max="8692" width="11.265625" style="11" customWidth="1"/>
    <col min="8693" max="8698" width="9.19921875" style="11"/>
    <col min="8699" max="8699" width="11.46484375" style="11" customWidth="1"/>
    <col min="8700" max="8700" width="11.73046875" style="11" customWidth="1"/>
    <col min="8701" max="8707" width="9.19921875" style="11"/>
    <col min="8708" max="8708" width="11" style="11" customWidth="1"/>
    <col min="8709" max="8710" width="9.19921875" style="11"/>
    <col min="8711" max="8711" width="10.265625" style="11" customWidth="1"/>
    <col min="8712" max="8712" width="10.19921875" style="11" customWidth="1"/>
    <col min="8713" max="8713" width="12.19921875" style="11" customWidth="1"/>
    <col min="8714" max="8910" width="9.19921875" style="11"/>
    <col min="8911" max="8911" width="34.265625" style="11" customWidth="1"/>
    <col min="8912" max="8912" width="13.73046875" style="11" customWidth="1"/>
    <col min="8913" max="8913" width="9.265625" style="11" bestFit="1" customWidth="1"/>
    <col min="8914" max="8914" width="10.53125" style="11" customWidth="1"/>
    <col min="8915" max="8916" width="9.265625" style="11" bestFit="1" customWidth="1"/>
    <col min="8917" max="8917" width="15.265625" style="11" bestFit="1" customWidth="1"/>
    <col min="8918" max="8918" width="9.265625" style="11" bestFit="1" customWidth="1"/>
    <col min="8919" max="8919" width="13.46484375" style="11" bestFit="1" customWidth="1"/>
    <col min="8920" max="8920" width="9.19921875" style="11" customWidth="1"/>
    <col min="8921" max="8921" width="12" style="11" customWidth="1"/>
    <col min="8922" max="8923" width="9.46484375" style="11" bestFit="1" customWidth="1"/>
    <col min="8924" max="8924" width="13.265625" style="11" customWidth="1"/>
    <col min="8925" max="8925" width="9.46484375" style="11" bestFit="1" customWidth="1"/>
    <col min="8926" max="8926" width="9.796875" style="11" bestFit="1" customWidth="1"/>
    <col min="8927" max="8927" width="12.46484375" style="11" bestFit="1" customWidth="1"/>
    <col min="8928" max="8928" width="10.19921875" style="11" customWidth="1"/>
    <col min="8929" max="8929" width="10" style="11" bestFit="1" customWidth="1"/>
    <col min="8930" max="8930" width="10.53125" style="11" customWidth="1"/>
    <col min="8931" max="8931" width="9.46484375" style="11" bestFit="1" customWidth="1"/>
    <col min="8932" max="8932" width="9.265625" style="11" bestFit="1" customWidth="1"/>
    <col min="8933" max="8933" width="9.265625" style="11" customWidth="1"/>
    <col min="8934" max="8934" width="9.46484375" style="11" bestFit="1" customWidth="1"/>
    <col min="8935" max="8935" width="10.19921875" style="11" customWidth="1"/>
    <col min="8936" max="8936" width="12.19921875" style="11" customWidth="1"/>
    <col min="8937" max="8937" width="9.53125" style="11" customWidth="1"/>
    <col min="8938" max="8938" width="11.53125" style="11" customWidth="1"/>
    <col min="8939" max="8939" width="12.73046875" style="11" customWidth="1"/>
    <col min="8940" max="8940" width="14.796875" style="11" customWidth="1"/>
    <col min="8941" max="8941" width="9.53125" style="11" customWidth="1"/>
    <col min="8942" max="8942" width="10.53125" style="11" customWidth="1"/>
    <col min="8943" max="8943" width="9.19921875" style="11"/>
    <col min="8944" max="8944" width="13.265625" style="11" customWidth="1"/>
    <col min="8945" max="8945" width="11.19921875" style="11" customWidth="1"/>
    <col min="8946" max="8946" width="9.19921875" style="11"/>
    <col min="8947" max="8947" width="9.19921875" style="11" customWidth="1"/>
    <col min="8948" max="8948" width="11.265625" style="11" customWidth="1"/>
    <col min="8949" max="8954" width="9.19921875" style="11"/>
    <col min="8955" max="8955" width="11.46484375" style="11" customWidth="1"/>
    <col min="8956" max="8956" width="11.73046875" style="11" customWidth="1"/>
    <col min="8957" max="8963" width="9.19921875" style="11"/>
    <col min="8964" max="8964" width="11" style="11" customWidth="1"/>
    <col min="8965" max="8966" width="9.19921875" style="11"/>
    <col min="8967" max="8967" width="10.265625" style="11" customWidth="1"/>
    <col min="8968" max="8968" width="10.19921875" style="11" customWidth="1"/>
    <col min="8969" max="8969" width="12.19921875" style="11" customWidth="1"/>
    <col min="8970" max="9166" width="9.19921875" style="11"/>
    <col min="9167" max="9167" width="34.265625" style="11" customWidth="1"/>
    <col min="9168" max="9168" width="13.73046875" style="11" customWidth="1"/>
    <col min="9169" max="9169" width="9.265625" style="11" bestFit="1" customWidth="1"/>
    <col min="9170" max="9170" width="10.53125" style="11" customWidth="1"/>
    <col min="9171" max="9172" width="9.265625" style="11" bestFit="1" customWidth="1"/>
    <col min="9173" max="9173" width="15.265625" style="11" bestFit="1" customWidth="1"/>
    <col min="9174" max="9174" width="9.265625" style="11" bestFit="1" customWidth="1"/>
    <col min="9175" max="9175" width="13.46484375" style="11" bestFit="1" customWidth="1"/>
    <col min="9176" max="9176" width="9.19921875" style="11" customWidth="1"/>
    <col min="9177" max="9177" width="12" style="11" customWidth="1"/>
    <col min="9178" max="9179" width="9.46484375" style="11" bestFit="1" customWidth="1"/>
    <col min="9180" max="9180" width="13.265625" style="11" customWidth="1"/>
    <col min="9181" max="9181" width="9.46484375" style="11" bestFit="1" customWidth="1"/>
    <col min="9182" max="9182" width="9.796875" style="11" bestFit="1" customWidth="1"/>
    <col min="9183" max="9183" width="12.46484375" style="11" bestFit="1" customWidth="1"/>
    <col min="9184" max="9184" width="10.19921875" style="11" customWidth="1"/>
    <col min="9185" max="9185" width="10" style="11" bestFit="1" customWidth="1"/>
    <col min="9186" max="9186" width="10.53125" style="11" customWidth="1"/>
    <col min="9187" max="9187" width="9.46484375" style="11" bestFit="1" customWidth="1"/>
    <col min="9188" max="9188" width="9.265625" style="11" bestFit="1" customWidth="1"/>
    <col min="9189" max="9189" width="9.265625" style="11" customWidth="1"/>
    <col min="9190" max="9190" width="9.46484375" style="11" bestFit="1" customWidth="1"/>
    <col min="9191" max="9191" width="10.19921875" style="11" customWidth="1"/>
    <col min="9192" max="9192" width="12.19921875" style="11" customWidth="1"/>
    <col min="9193" max="9193" width="9.53125" style="11" customWidth="1"/>
    <col min="9194" max="9194" width="11.53125" style="11" customWidth="1"/>
    <col min="9195" max="9195" width="12.73046875" style="11" customWidth="1"/>
    <col min="9196" max="9196" width="14.796875" style="11" customWidth="1"/>
    <col min="9197" max="9197" width="9.53125" style="11" customWidth="1"/>
    <col min="9198" max="9198" width="10.53125" style="11" customWidth="1"/>
    <col min="9199" max="9199" width="9.19921875" style="11"/>
    <col min="9200" max="9200" width="13.265625" style="11" customWidth="1"/>
    <col min="9201" max="9201" width="11.19921875" style="11" customWidth="1"/>
    <col min="9202" max="9202" width="9.19921875" style="11"/>
    <col min="9203" max="9203" width="9.19921875" style="11" customWidth="1"/>
    <col min="9204" max="9204" width="11.265625" style="11" customWidth="1"/>
    <col min="9205" max="9210" width="9.19921875" style="11"/>
    <col min="9211" max="9211" width="11.46484375" style="11" customWidth="1"/>
    <col min="9212" max="9212" width="11.73046875" style="11" customWidth="1"/>
    <col min="9213" max="9219" width="9.19921875" style="11"/>
    <col min="9220" max="9220" width="11" style="11" customWidth="1"/>
    <col min="9221" max="9222" width="9.19921875" style="11"/>
    <col min="9223" max="9223" width="10.265625" style="11" customWidth="1"/>
    <col min="9224" max="9224" width="10.19921875" style="11" customWidth="1"/>
    <col min="9225" max="9225" width="12.19921875" style="11" customWidth="1"/>
    <col min="9226" max="9422" width="9.19921875" style="11"/>
    <col min="9423" max="9423" width="34.265625" style="11" customWidth="1"/>
    <col min="9424" max="9424" width="13.73046875" style="11" customWidth="1"/>
    <col min="9425" max="9425" width="9.265625" style="11" bestFit="1" customWidth="1"/>
    <col min="9426" max="9426" width="10.53125" style="11" customWidth="1"/>
    <col min="9427" max="9428" width="9.265625" style="11" bestFit="1" customWidth="1"/>
    <col min="9429" max="9429" width="15.265625" style="11" bestFit="1" customWidth="1"/>
    <col min="9430" max="9430" width="9.265625" style="11" bestFit="1" customWidth="1"/>
    <col min="9431" max="9431" width="13.46484375" style="11" bestFit="1" customWidth="1"/>
    <col min="9432" max="9432" width="9.19921875" style="11" customWidth="1"/>
    <col min="9433" max="9433" width="12" style="11" customWidth="1"/>
    <col min="9434" max="9435" width="9.46484375" style="11" bestFit="1" customWidth="1"/>
    <col min="9436" max="9436" width="13.265625" style="11" customWidth="1"/>
    <col min="9437" max="9437" width="9.46484375" style="11" bestFit="1" customWidth="1"/>
    <col min="9438" max="9438" width="9.796875" style="11" bestFit="1" customWidth="1"/>
    <col min="9439" max="9439" width="12.46484375" style="11" bestFit="1" customWidth="1"/>
    <col min="9440" max="9440" width="10.19921875" style="11" customWidth="1"/>
    <col min="9441" max="9441" width="10" style="11" bestFit="1" customWidth="1"/>
    <col min="9442" max="9442" width="10.53125" style="11" customWidth="1"/>
    <col min="9443" max="9443" width="9.46484375" style="11" bestFit="1" customWidth="1"/>
    <col min="9444" max="9444" width="9.265625" style="11" bestFit="1" customWidth="1"/>
    <col min="9445" max="9445" width="9.265625" style="11" customWidth="1"/>
    <col min="9446" max="9446" width="9.46484375" style="11" bestFit="1" customWidth="1"/>
    <col min="9447" max="9447" width="10.19921875" style="11" customWidth="1"/>
    <col min="9448" max="9448" width="12.19921875" style="11" customWidth="1"/>
    <col min="9449" max="9449" width="9.53125" style="11" customWidth="1"/>
    <col min="9450" max="9450" width="11.53125" style="11" customWidth="1"/>
    <col min="9451" max="9451" width="12.73046875" style="11" customWidth="1"/>
    <col min="9452" max="9452" width="14.796875" style="11" customWidth="1"/>
    <col min="9453" max="9453" width="9.53125" style="11" customWidth="1"/>
    <col min="9454" max="9454" width="10.53125" style="11" customWidth="1"/>
    <col min="9455" max="9455" width="9.19921875" style="11"/>
    <col min="9456" max="9456" width="13.265625" style="11" customWidth="1"/>
    <col min="9457" max="9457" width="11.19921875" style="11" customWidth="1"/>
    <col min="9458" max="9458" width="9.19921875" style="11"/>
    <col min="9459" max="9459" width="9.19921875" style="11" customWidth="1"/>
    <col min="9460" max="9460" width="11.265625" style="11" customWidth="1"/>
    <col min="9461" max="9466" width="9.19921875" style="11"/>
    <col min="9467" max="9467" width="11.46484375" style="11" customWidth="1"/>
    <col min="9468" max="9468" width="11.73046875" style="11" customWidth="1"/>
    <col min="9469" max="9475" width="9.19921875" style="11"/>
    <col min="9476" max="9476" width="11" style="11" customWidth="1"/>
    <col min="9477" max="9478" width="9.19921875" style="11"/>
    <col min="9479" max="9479" width="10.265625" style="11" customWidth="1"/>
    <col min="9480" max="9480" width="10.19921875" style="11" customWidth="1"/>
    <col min="9481" max="9481" width="12.19921875" style="11" customWidth="1"/>
    <col min="9482" max="9678" width="9.19921875" style="11"/>
    <col min="9679" max="9679" width="34.265625" style="11" customWidth="1"/>
    <col min="9680" max="9680" width="13.73046875" style="11" customWidth="1"/>
    <col min="9681" max="9681" width="9.265625" style="11" bestFit="1" customWidth="1"/>
    <col min="9682" max="9682" width="10.53125" style="11" customWidth="1"/>
    <col min="9683" max="9684" width="9.265625" style="11" bestFit="1" customWidth="1"/>
    <col min="9685" max="9685" width="15.265625" style="11" bestFit="1" customWidth="1"/>
    <col min="9686" max="9686" width="9.265625" style="11" bestFit="1" customWidth="1"/>
    <col min="9687" max="9687" width="13.46484375" style="11" bestFit="1" customWidth="1"/>
    <col min="9688" max="9688" width="9.19921875" style="11" customWidth="1"/>
    <col min="9689" max="9689" width="12" style="11" customWidth="1"/>
    <col min="9690" max="9691" width="9.46484375" style="11" bestFit="1" customWidth="1"/>
    <col min="9692" max="9692" width="13.265625" style="11" customWidth="1"/>
    <col min="9693" max="9693" width="9.46484375" style="11" bestFit="1" customWidth="1"/>
    <col min="9694" max="9694" width="9.796875" style="11" bestFit="1" customWidth="1"/>
    <col min="9695" max="9695" width="12.46484375" style="11" bestFit="1" customWidth="1"/>
    <col min="9696" max="9696" width="10.19921875" style="11" customWidth="1"/>
    <col min="9697" max="9697" width="10" style="11" bestFit="1" customWidth="1"/>
    <col min="9698" max="9698" width="10.53125" style="11" customWidth="1"/>
    <col min="9699" max="9699" width="9.46484375" style="11" bestFit="1" customWidth="1"/>
    <col min="9700" max="9700" width="9.265625" style="11" bestFit="1" customWidth="1"/>
    <col min="9701" max="9701" width="9.265625" style="11" customWidth="1"/>
    <col min="9702" max="9702" width="9.46484375" style="11" bestFit="1" customWidth="1"/>
    <col min="9703" max="9703" width="10.19921875" style="11" customWidth="1"/>
    <col min="9704" max="9704" width="12.19921875" style="11" customWidth="1"/>
    <col min="9705" max="9705" width="9.53125" style="11" customWidth="1"/>
    <col min="9706" max="9706" width="11.53125" style="11" customWidth="1"/>
    <col min="9707" max="9707" width="12.73046875" style="11" customWidth="1"/>
    <col min="9708" max="9708" width="14.796875" style="11" customWidth="1"/>
    <col min="9709" max="9709" width="9.53125" style="11" customWidth="1"/>
    <col min="9710" max="9710" width="10.53125" style="11" customWidth="1"/>
    <col min="9711" max="9711" width="9.19921875" style="11"/>
    <col min="9712" max="9712" width="13.265625" style="11" customWidth="1"/>
    <col min="9713" max="9713" width="11.19921875" style="11" customWidth="1"/>
    <col min="9714" max="9714" width="9.19921875" style="11"/>
    <col min="9715" max="9715" width="9.19921875" style="11" customWidth="1"/>
    <col min="9716" max="9716" width="11.265625" style="11" customWidth="1"/>
    <col min="9717" max="9722" width="9.19921875" style="11"/>
    <col min="9723" max="9723" width="11.46484375" style="11" customWidth="1"/>
    <col min="9724" max="9724" width="11.73046875" style="11" customWidth="1"/>
    <col min="9725" max="9731" width="9.19921875" style="11"/>
    <col min="9732" max="9732" width="11" style="11" customWidth="1"/>
    <col min="9733" max="9734" width="9.19921875" style="11"/>
    <col min="9735" max="9735" width="10.265625" style="11" customWidth="1"/>
    <col min="9736" max="9736" width="10.19921875" style="11" customWidth="1"/>
    <col min="9737" max="9737" width="12.19921875" style="11" customWidth="1"/>
    <col min="9738" max="9934" width="9.19921875" style="11"/>
    <col min="9935" max="9935" width="34.265625" style="11" customWidth="1"/>
    <col min="9936" max="9936" width="13.73046875" style="11" customWidth="1"/>
    <col min="9937" max="9937" width="9.265625" style="11" bestFit="1" customWidth="1"/>
    <col min="9938" max="9938" width="10.53125" style="11" customWidth="1"/>
    <col min="9939" max="9940" width="9.265625" style="11" bestFit="1" customWidth="1"/>
    <col min="9941" max="9941" width="15.265625" style="11" bestFit="1" customWidth="1"/>
    <col min="9942" max="9942" width="9.265625" style="11" bestFit="1" customWidth="1"/>
    <col min="9943" max="9943" width="13.46484375" style="11" bestFit="1" customWidth="1"/>
    <col min="9944" max="9944" width="9.19921875" style="11" customWidth="1"/>
    <col min="9945" max="9945" width="12" style="11" customWidth="1"/>
    <col min="9946" max="9947" width="9.46484375" style="11" bestFit="1" customWidth="1"/>
    <col min="9948" max="9948" width="13.265625" style="11" customWidth="1"/>
    <col min="9949" max="9949" width="9.46484375" style="11" bestFit="1" customWidth="1"/>
    <col min="9950" max="9950" width="9.796875" style="11" bestFit="1" customWidth="1"/>
    <col min="9951" max="9951" width="12.46484375" style="11" bestFit="1" customWidth="1"/>
    <col min="9952" max="9952" width="10.19921875" style="11" customWidth="1"/>
    <col min="9953" max="9953" width="10" style="11" bestFit="1" customWidth="1"/>
    <col min="9954" max="9954" width="10.53125" style="11" customWidth="1"/>
    <col min="9955" max="9955" width="9.46484375" style="11" bestFit="1" customWidth="1"/>
    <col min="9956" max="9956" width="9.265625" style="11" bestFit="1" customWidth="1"/>
    <col min="9957" max="9957" width="9.265625" style="11" customWidth="1"/>
    <col min="9958" max="9958" width="9.46484375" style="11" bestFit="1" customWidth="1"/>
    <col min="9959" max="9959" width="10.19921875" style="11" customWidth="1"/>
    <col min="9960" max="9960" width="12.19921875" style="11" customWidth="1"/>
    <col min="9961" max="9961" width="9.53125" style="11" customWidth="1"/>
    <col min="9962" max="9962" width="11.53125" style="11" customWidth="1"/>
    <col min="9963" max="9963" width="12.73046875" style="11" customWidth="1"/>
    <col min="9964" max="9964" width="14.796875" style="11" customWidth="1"/>
    <col min="9965" max="9965" width="9.53125" style="11" customWidth="1"/>
    <col min="9966" max="9966" width="10.53125" style="11" customWidth="1"/>
    <col min="9967" max="9967" width="9.19921875" style="11"/>
    <col min="9968" max="9968" width="13.265625" style="11" customWidth="1"/>
    <col min="9969" max="9969" width="11.19921875" style="11" customWidth="1"/>
    <col min="9970" max="9970" width="9.19921875" style="11"/>
    <col min="9971" max="9971" width="9.19921875" style="11" customWidth="1"/>
    <col min="9972" max="9972" width="11.265625" style="11" customWidth="1"/>
    <col min="9973" max="9978" width="9.19921875" style="11"/>
    <col min="9979" max="9979" width="11.46484375" style="11" customWidth="1"/>
    <col min="9980" max="9980" width="11.73046875" style="11" customWidth="1"/>
    <col min="9981" max="9987" width="9.19921875" style="11"/>
    <col min="9988" max="9988" width="11" style="11" customWidth="1"/>
    <col min="9989" max="9990" width="9.19921875" style="11"/>
    <col min="9991" max="9991" width="10.265625" style="11" customWidth="1"/>
    <col min="9992" max="9992" width="10.19921875" style="11" customWidth="1"/>
    <col min="9993" max="9993" width="12.19921875" style="11" customWidth="1"/>
    <col min="9994" max="10190" width="9.19921875" style="11"/>
    <col min="10191" max="10191" width="34.265625" style="11" customWidth="1"/>
    <col min="10192" max="10192" width="13.73046875" style="11" customWidth="1"/>
    <col min="10193" max="10193" width="9.265625" style="11" bestFit="1" customWidth="1"/>
    <col min="10194" max="10194" width="10.53125" style="11" customWidth="1"/>
    <col min="10195" max="10196" width="9.265625" style="11" bestFit="1" customWidth="1"/>
    <col min="10197" max="10197" width="15.265625" style="11" bestFit="1" customWidth="1"/>
    <col min="10198" max="10198" width="9.265625" style="11" bestFit="1" customWidth="1"/>
    <col min="10199" max="10199" width="13.46484375" style="11" bestFit="1" customWidth="1"/>
    <col min="10200" max="10200" width="9.19921875" style="11" customWidth="1"/>
    <col min="10201" max="10201" width="12" style="11" customWidth="1"/>
    <col min="10202" max="10203" width="9.46484375" style="11" bestFit="1" customWidth="1"/>
    <col min="10204" max="10204" width="13.265625" style="11" customWidth="1"/>
    <col min="10205" max="10205" width="9.46484375" style="11" bestFit="1" customWidth="1"/>
    <col min="10206" max="10206" width="9.796875" style="11" bestFit="1" customWidth="1"/>
    <col min="10207" max="10207" width="12.46484375" style="11" bestFit="1" customWidth="1"/>
    <col min="10208" max="10208" width="10.19921875" style="11" customWidth="1"/>
    <col min="10209" max="10209" width="10" style="11" bestFit="1" customWidth="1"/>
    <col min="10210" max="10210" width="10.53125" style="11" customWidth="1"/>
    <col min="10211" max="10211" width="9.46484375" style="11" bestFit="1" customWidth="1"/>
    <col min="10212" max="10212" width="9.265625" style="11" bestFit="1" customWidth="1"/>
    <col min="10213" max="10213" width="9.265625" style="11" customWidth="1"/>
    <col min="10214" max="10214" width="9.46484375" style="11" bestFit="1" customWidth="1"/>
    <col min="10215" max="10215" width="10.19921875" style="11" customWidth="1"/>
    <col min="10216" max="10216" width="12.19921875" style="11" customWidth="1"/>
    <col min="10217" max="10217" width="9.53125" style="11" customWidth="1"/>
    <col min="10218" max="10218" width="11.53125" style="11" customWidth="1"/>
    <col min="10219" max="10219" width="12.73046875" style="11" customWidth="1"/>
    <col min="10220" max="10220" width="14.796875" style="11" customWidth="1"/>
    <col min="10221" max="10221" width="9.53125" style="11" customWidth="1"/>
    <col min="10222" max="10222" width="10.53125" style="11" customWidth="1"/>
    <col min="10223" max="10223" width="9.19921875" style="11"/>
    <col min="10224" max="10224" width="13.265625" style="11" customWidth="1"/>
    <col min="10225" max="10225" width="11.19921875" style="11" customWidth="1"/>
    <col min="10226" max="10226" width="9.19921875" style="11"/>
    <col min="10227" max="10227" width="9.19921875" style="11" customWidth="1"/>
    <col min="10228" max="10228" width="11.265625" style="11" customWidth="1"/>
    <col min="10229" max="10234" width="9.19921875" style="11"/>
    <col min="10235" max="10235" width="11.46484375" style="11" customWidth="1"/>
    <col min="10236" max="10236" width="11.73046875" style="11" customWidth="1"/>
    <col min="10237" max="10243" width="9.19921875" style="11"/>
    <col min="10244" max="10244" width="11" style="11" customWidth="1"/>
    <col min="10245" max="10246" width="9.19921875" style="11"/>
    <col min="10247" max="10247" width="10.265625" style="11" customWidth="1"/>
    <col min="10248" max="10248" width="10.19921875" style="11" customWidth="1"/>
    <col min="10249" max="10249" width="12.19921875" style="11" customWidth="1"/>
    <col min="10250" max="10446" width="9.19921875" style="11"/>
    <col min="10447" max="10447" width="34.265625" style="11" customWidth="1"/>
    <col min="10448" max="10448" width="13.73046875" style="11" customWidth="1"/>
    <col min="10449" max="10449" width="9.265625" style="11" bestFit="1" customWidth="1"/>
    <col min="10450" max="10450" width="10.53125" style="11" customWidth="1"/>
    <col min="10451" max="10452" width="9.265625" style="11" bestFit="1" customWidth="1"/>
    <col min="10453" max="10453" width="15.265625" style="11" bestFit="1" customWidth="1"/>
    <col min="10454" max="10454" width="9.265625" style="11" bestFit="1" customWidth="1"/>
    <col min="10455" max="10455" width="13.46484375" style="11" bestFit="1" customWidth="1"/>
    <col min="10456" max="10456" width="9.19921875" style="11" customWidth="1"/>
    <col min="10457" max="10457" width="12" style="11" customWidth="1"/>
    <col min="10458" max="10459" width="9.46484375" style="11" bestFit="1" customWidth="1"/>
    <col min="10460" max="10460" width="13.265625" style="11" customWidth="1"/>
    <col min="10461" max="10461" width="9.46484375" style="11" bestFit="1" customWidth="1"/>
    <col min="10462" max="10462" width="9.796875" style="11" bestFit="1" customWidth="1"/>
    <col min="10463" max="10463" width="12.46484375" style="11" bestFit="1" customWidth="1"/>
    <col min="10464" max="10464" width="10.19921875" style="11" customWidth="1"/>
    <col min="10465" max="10465" width="10" style="11" bestFit="1" customWidth="1"/>
    <col min="10466" max="10466" width="10.53125" style="11" customWidth="1"/>
    <col min="10467" max="10467" width="9.46484375" style="11" bestFit="1" customWidth="1"/>
    <col min="10468" max="10468" width="9.265625" style="11" bestFit="1" customWidth="1"/>
    <col min="10469" max="10469" width="9.265625" style="11" customWidth="1"/>
    <col min="10470" max="10470" width="9.46484375" style="11" bestFit="1" customWidth="1"/>
    <col min="10471" max="10471" width="10.19921875" style="11" customWidth="1"/>
    <col min="10472" max="10472" width="12.19921875" style="11" customWidth="1"/>
    <col min="10473" max="10473" width="9.53125" style="11" customWidth="1"/>
    <col min="10474" max="10474" width="11.53125" style="11" customWidth="1"/>
    <col min="10475" max="10475" width="12.73046875" style="11" customWidth="1"/>
    <col min="10476" max="10476" width="14.796875" style="11" customWidth="1"/>
    <col min="10477" max="10477" width="9.53125" style="11" customWidth="1"/>
    <col min="10478" max="10478" width="10.53125" style="11" customWidth="1"/>
    <col min="10479" max="10479" width="9.19921875" style="11"/>
    <col min="10480" max="10480" width="13.265625" style="11" customWidth="1"/>
    <col min="10481" max="10481" width="11.19921875" style="11" customWidth="1"/>
    <col min="10482" max="10482" width="9.19921875" style="11"/>
    <col min="10483" max="10483" width="9.19921875" style="11" customWidth="1"/>
    <col min="10484" max="10484" width="11.265625" style="11" customWidth="1"/>
    <col min="10485" max="10490" width="9.19921875" style="11"/>
    <col min="10491" max="10491" width="11.46484375" style="11" customWidth="1"/>
    <col min="10492" max="10492" width="11.73046875" style="11" customWidth="1"/>
    <col min="10493" max="10499" width="9.19921875" style="11"/>
    <col min="10500" max="10500" width="11" style="11" customWidth="1"/>
    <col min="10501" max="10502" width="9.19921875" style="11"/>
    <col min="10503" max="10503" width="10.265625" style="11" customWidth="1"/>
    <col min="10504" max="10504" width="10.19921875" style="11" customWidth="1"/>
    <col min="10505" max="10505" width="12.19921875" style="11" customWidth="1"/>
    <col min="10506" max="10702" width="9.19921875" style="11"/>
    <col min="10703" max="10703" width="34.265625" style="11" customWidth="1"/>
    <col min="10704" max="10704" width="13.73046875" style="11" customWidth="1"/>
    <col min="10705" max="10705" width="9.265625" style="11" bestFit="1" customWidth="1"/>
    <col min="10706" max="10706" width="10.53125" style="11" customWidth="1"/>
    <col min="10707" max="10708" width="9.265625" style="11" bestFit="1" customWidth="1"/>
    <col min="10709" max="10709" width="15.265625" style="11" bestFit="1" customWidth="1"/>
    <col min="10710" max="10710" width="9.265625" style="11" bestFit="1" customWidth="1"/>
    <col min="10711" max="10711" width="13.46484375" style="11" bestFit="1" customWidth="1"/>
    <col min="10712" max="10712" width="9.19921875" style="11" customWidth="1"/>
    <col min="10713" max="10713" width="12" style="11" customWidth="1"/>
    <col min="10714" max="10715" width="9.46484375" style="11" bestFit="1" customWidth="1"/>
    <col min="10716" max="10716" width="13.265625" style="11" customWidth="1"/>
    <col min="10717" max="10717" width="9.46484375" style="11" bestFit="1" customWidth="1"/>
    <col min="10718" max="10718" width="9.796875" style="11" bestFit="1" customWidth="1"/>
    <col min="10719" max="10719" width="12.46484375" style="11" bestFit="1" customWidth="1"/>
    <col min="10720" max="10720" width="10.19921875" style="11" customWidth="1"/>
    <col min="10721" max="10721" width="10" style="11" bestFit="1" customWidth="1"/>
    <col min="10722" max="10722" width="10.53125" style="11" customWidth="1"/>
    <col min="10723" max="10723" width="9.46484375" style="11" bestFit="1" customWidth="1"/>
    <col min="10724" max="10724" width="9.265625" style="11" bestFit="1" customWidth="1"/>
    <col min="10725" max="10725" width="9.265625" style="11" customWidth="1"/>
    <col min="10726" max="10726" width="9.46484375" style="11" bestFit="1" customWidth="1"/>
    <col min="10727" max="10727" width="10.19921875" style="11" customWidth="1"/>
    <col min="10728" max="10728" width="12.19921875" style="11" customWidth="1"/>
    <col min="10729" max="10729" width="9.53125" style="11" customWidth="1"/>
    <col min="10730" max="10730" width="11.53125" style="11" customWidth="1"/>
    <col min="10731" max="10731" width="12.73046875" style="11" customWidth="1"/>
    <col min="10732" max="10732" width="14.796875" style="11" customWidth="1"/>
    <col min="10733" max="10733" width="9.53125" style="11" customWidth="1"/>
    <col min="10734" max="10734" width="10.53125" style="11" customWidth="1"/>
    <col min="10735" max="10735" width="9.19921875" style="11"/>
    <col min="10736" max="10736" width="13.265625" style="11" customWidth="1"/>
    <col min="10737" max="10737" width="11.19921875" style="11" customWidth="1"/>
    <col min="10738" max="10738" width="9.19921875" style="11"/>
    <col min="10739" max="10739" width="9.19921875" style="11" customWidth="1"/>
    <col min="10740" max="10740" width="11.265625" style="11" customWidth="1"/>
    <col min="10741" max="10746" width="9.19921875" style="11"/>
    <col min="10747" max="10747" width="11.46484375" style="11" customWidth="1"/>
    <col min="10748" max="10748" width="11.73046875" style="11" customWidth="1"/>
    <col min="10749" max="10755" width="9.19921875" style="11"/>
    <col min="10756" max="10756" width="11" style="11" customWidth="1"/>
    <col min="10757" max="10758" width="9.19921875" style="11"/>
    <col min="10759" max="10759" width="10.265625" style="11" customWidth="1"/>
    <col min="10760" max="10760" width="10.19921875" style="11" customWidth="1"/>
    <col min="10761" max="10761" width="12.19921875" style="11" customWidth="1"/>
    <col min="10762" max="10958" width="9.19921875" style="11"/>
    <col min="10959" max="10959" width="34.265625" style="11" customWidth="1"/>
    <col min="10960" max="10960" width="13.73046875" style="11" customWidth="1"/>
    <col min="10961" max="10961" width="9.265625" style="11" bestFit="1" customWidth="1"/>
    <col min="10962" max="10962" width="10.53125" style="11" customWidth="1"/>
    <col min="10963" max="10964" width="9.265625" style="11" bestFit="1" customWidth="1"/>
    <col min="10965" max="10965" width="15.265625" style="11" bestFit="1" customWidth="1"/>
    <col min="10966" max="10966" width="9.265625" style="11" bestFit="1" customWidth="1"/>
    <col min="10967" max="10967" width="13.46484375" style="11" bestFit="1" customWidth="1"/>
    <col min="10968" max="10968" width="9.19921875" style="11" customWidth="1"/>
    <col min="10969" max="10969" width="12" style="11" customWidth="1"/>
    <col min="10970" max="10971" width="9.46484375" style="11" bestFit="1" customWidth="1"/>
    <col min="10972" max="10972" width="13.265625" style="11" customWidth="1"/>
    <col min="10973" max="10973" width="9.46484375" style="11" bestFit="1" customWidth="1"/>
    <col min="10974" max="10974" width="9.796875" style="11" bestFit="1" customWidth="1"/>
    <col min="10975" max="10975" width="12.46484375" style="11" bestFit="1" customWidth="1"/>
    <col min="10976" max="10976" width="10.19921875" style="11" customWidth="1"/>
    <col min="10977" max="10977" width="10" style="11" bestFit="1" customWidth="1"/>
    <col min="10978" max="10978" width="10.53125" style="11" customWidth="1"/>
    <col min="10979" max="10979" width="9.46484375" style="11" bestFit="1" customWidth="1"/>
    <col min="10980" max="10980" width="9.265625" style="11" bestFit="1" customWidth="1"/>
    <col min="10981" max="10981" width="9.265625" style="11" customWidth="1"/>
    <col min="10982" max="10982" width="9.46484375" style="11" bestFit="1" customWidth="1"/>
    <col min="10983" max="10983" width="10.19921875" style="11" customWidth="1"/>
    <col min="10984" max="10984" width="12.19921875" style="11" customWidth="1"/>
    <col min="10985" max="10985" width="9.53125" style="11" customWidth="1"/>
    <col min="10986" max="10986" width="11.53125" style="11" customWidth="1"/>
    <col min="10987" max="10987" width="12.73046875" style="11" customWidth="1"/>
    <col min="10988" max="10988" width="14.796875" style="11" customWidth="1"/>
    <col min="10989" max="10989" width="9.53125" style="11" customWidth="1"/>
    <col min="10990" max="10990" width="10.53125" style="11" customWidth="1"/>
    <col min="10991" max="10991" width="9.19921875" style="11"/>
    <col min="10992" max="10992" width="13.265625" style="11" customWidth="1"/>
    <col min="10993" max="10993" width="11.19921875" style="11" customWidth="1"/>
    <col min="10994" max="10994" width="9.19921875" style="11"/>
    <col min="10995" max="10995" width="9.19921875" style="11" customWidth="1"/>
    <col min="10996" max="10996" width="11.265625" style="11" customWidth="1"/>
    <col min="10997" max="11002" width="9.19921875" style="11"/>
    <col min="11003" max="11003" width="11.46484375" style="11" customWidth="1"/>
    <col min="11004" max="11004" width="11.73046875" style="11" customWidth="1"/>
    <col min="11005" max="11011" width="9.19921875" style="11"/>
    <col min="11012" max="11012" width="11" style="11" customWidth="1"/>
    <col min="11013" max="11014" width="9.19921875" style="11"/>
    <col min="11015" max="11015" width="10.265625" style="11" customWidth="1"/>
    <col min="11016" max="11016" width="10.19921875" style="11" customWidth="1"/>
    <col min="11017" max="11017" width="12.19921875" style="11" customWidth="1"/>
    <col min="11018" max="11214" width="9.19921875" style="11"/>
    <col min="11215" max="11215" width="34.265625" style="11" customWidth="1"/>
    <col min="11216" max="11216" width="13.73046875" style="11" customWidth="1"/>
    <col min="11217" max="11217" width="9.265625" style="11" bestFit="1" customWidth="1"/>
    <col min="11218" max="11218" width="10.53125" style="11" customWidth="1"/>
    <col min="11219" max="11220" width="9.265625" style="11" bestFit="1" customWidth="1"/>
    <col min="11221" max="11221" width="15.265625" style="11" bestFit="1" customWidth="1"/>
    <col min="11222" max="11222" width="9.265625" style="11" bestFit="1" customWidth="1"/>
    <col min="11223" max="11223" width="13.46484375" style="11" bestFit="1" customWidth="1"/>
    <col min="11224" max="11224" width="9.19921875" style="11" customWidth="1"/>
    <col min="11225" max="11225" width="12" style="11" customWidth="1"/>
    <col min="11226" max="11227" width="9.46484375" style="11" bestFit="1" customWidth="1"/>
    <col min="11228" max="11228" width="13.265625" style="11" customWidth="1"/>
    <col min="11229" max="11229" width="9.46484375" style="11" bestFit="1" customWidth="1"/>
    <col min="11230" max="11230" width="9.796875" style="11" bestFit="1" customWidth="1"/>
    <col min="11231" max="11231" width="12.46484375" style="11" bestFit="1" customWidth="1"/>
    <col min="11232" max="11232" width="10.19921875" style="11" customWidth="1"/>
    <col min="11233" max="11233" width="10" style="11" bestFit="1" customWidth="1"/>
    <col min="11234" max="11234" width="10.53125" style="11" customWidth="1"/>
    <col min="11235" max="11235" width="9.46484375" style="11" bestFit="1" customWidth="1"/>
    <col min="11236" max="11236" width="9.265625" style="11" bestFit="1" customWidth="1"/>
    <col min="11237" max="11237" width="9.265625" style="11" customWidth="1"/>
    <col min="11238" max="11238" width="9.46484375" style="11" bestFit="1" customWidth="1"/>
    <col min="11239" max="11239" width="10.19921875" style="11" customWidth="1"/>
    <col min="11240" max="11240" width="12.19921875" style="11" customWidth="1"/>
    <col min="11241" max="11241" width="9.53125" style="11" customWidth="1"/>
    <col min="11242" max="11242" width="11.53125" style="11" customWidth="1"/>
    <col min="11243" max="11243" width="12.73046875" style="11" customWidth="1"/>
    <col min="11244" max="11244" width="14.796875" style="11" customWidth="1"/>
    <col min="11245" max="11245" width="9.53125" style="11" customWidth="1"/>
    <col min="11246" max="11246" width="10.53125" style="11" customWidth="1"/>
    <col min="11247" max="11247" width="9.19921875" style="11"/>
    <col min="11248" max="11248" width="13.265625" style="11" customWidth="1"/>
    <col min="11249" max="11249" width="11.19921875" style="11" customWidth="1"/>
    <col min="11250" max="11250" width="9.19921875" style="11"/>
    <col min="11251" max="11251" width="9.19921875" style="11" customWidth="1"/>
    <col min="11252" max="11252" width="11.265625" style="11" customWidth="1"/>
    <col min="11253" max="11258" width="9.19921875" style="11"/>
    <col min="11259" max="11259" width="11.46484375" style="11" customWidth="1"/>
    <col min="11260" max="11260" width="11.73046875" style="11" customWidth="1"/>
    <col min="11261" max="11267" width="9.19921875" style="11"/>
    <col min="11268" max="11268" width="11" style="11" customWidth="1"/>
    <col min="11269" max="11270" width="9.19921875" style="11"/>
    <col min="11271" max="11271" width="10.265625" style="11" customWidth="1"/>
    <col min="11272" max="11272" width="10.19921875" style="11" customWidth="1"/>
    <col min="11273" max="11273" width="12.19921875" style="11" customWidth="1"/>
    <col min="11274" max="11470" width="9.19921875" style="11"/>
    <col min="11471" max="11471" width="34.265625" style="11" customWidth="1"/>
    <col min="11472" max="11472" width="13.73046875" style="11" customWidth="1"/>
    <col min="11473" max="11473" width="9.265625" style="11" bestFit="1" customWidth="1"/>
    <col min="11474" max="11474" width="10.53125" style="11" customWidth="1"/>
    <col min="11475" max="11476" width="9.265625" style="11" bestFit="1" customWidth="1"/>
    <col min="11477" max="11477" width="15.265625" style="11" bestFit="1" customWidth="1"/>
    <col min="11478" max="11478" width="9.265625" style="11" bestFit="1" customWidth="1"/>
    <col min="11479" max="11479" width="13.46484375" style="11" bestFit="1" customWidth="1"/>
    <col min="11480" max="11480" width="9.19921875" style="11" customWidth="1"/>
    <col min="11481" max="11481" width="12" style="11" customWidth="1"/>
    <col min="11482" max="11483" width="9.46484375" style="11" bestFit="1" customWidth="1"/>
    <col min="11484" max="11484" width="13.265625" style="11" customWidth="1"/>
    <col min="11485" max="11485" width="9.46484375" style="11" bestFit="1" customWidth="1"/>
    <col min="11486" max="11486" width="9.796875" style="11" bestFit="1" customWidth="1"/>
    <col min="11487" max="11487" width="12.46484375" style="11" bestFit="1" customWidth="1"/>
    <col min="11488" max="11488" width="10.19921875" style="11" customWidth="1"/>
    <col min="11489" max="11489" width="10" style="11" bestFit="1" customWidth="1"/>
    <col min="11490" max="11490" width="10.53125" style="11" customWidth="1"/>
    <col min="11491" max="11491" width="9.46484375" style="11" bestFit="1" customWidth="1"/>
    <col min="11492" max="11492" width="9.265625" style="11" bestFit="1" customWidth="1"/>
    <col min="11493" max="11493" width="9.265625" style="11" customWidth="1"/>
    <col min="11494" max="11494" width="9.46484375" style="11" bestFit="1" customWidth="1"/>
    <col min="11495" max="11495" width="10.19921875" style="11" customWidth="1"/>
    <col min="11496" max="11496" width="12.19921875" style="11" customWidth="1"/>
    <col min="11497" max="11497" width="9.53125" style="11" customWidth="1"/>
    <col min="11498" max="11498" width="11.53125" style="11" customWidth="1"/>
    <col min="11499" max="11499" width="12.73046875" style="11" customWidth="1"/>
    <col min="11500" max="11500" width="14.796875" style="11" customWidth="1"/>
    <col min="11501" max="11501" width="9.53125" style="11" customWidth="1"/>
    <col min="11502" max="11502" width="10.53125" style="11" customWidth="1"/>
    <col min="11503" max="11503" width="9.19921875" style="11"/>
    <col min="11504" max="11504" width="13.265625" style="11" customWidth="1"/>
    <col min="11505" max="11505" width="11.19921875" style="11" customWidth="1"/>
    <col min="11506" max="11506" width="9.19921875" style="11"/>
    <col min="11507" max="11507" width="9.19921875" style="11" customWidth="1"/>
    <col min="11508" max="11508" width="11.265625" style="11" customWidth="1"/>
    <col min="11509" max="11514" width="9.19921875" style="11"/>
    <col min="11515" max="11515" width="11.46484375" style="11" customWidth="1"/>
    <col min="11516" max="11516" width="11.73046875" style="11" customWidth="1"/>
    <col min="11517" max="11523" width="9.19921875" style="11"/>
    <col min="11524" max="11524" width="11" style="11" customWidth="1"/>
    <col min="11525" max="11526" width="9.19921875" style="11"/>
    <col min="11527" max="11527" width="10.265625" style="11" customWidth="1"/>
    <col min="11528" max="11528" width="10.19921875" style="11" customWidth="1"/>
    <col min="11529" max="11529" width="12.19921875" style="11" customWidth="1"/>
    <col min="11530" max="11726" width="9.19921875" style="11"/>
    <col min="11727" max="11727" width="34.265625" style="11" customWidth="1"/>
    <col min="11728" max="11728" width="13.73046875" style="11" customWidth="1"/>
    <col min="11729" max="11729" width="9.265625" style="11" bestFit="1" customWidth="1"/>
    <col min="11730" max="11730" width="10.53125" style="11" customWidth="1"/>
    <col min="11731" max="11732" width="9.265625" style="11" bestFit="1" customWidth="1"/>
    <col min="11733" max="11733" width="15.265625" style="11" bestFit="1" customWidth="1"/>
    <col min="11734" max="11734" width="9.265625" style="11" bestFit="1" customWidth="1"/>
    <col min="11735" max="11735" width="13.46484375" style="11" bestFit="1" customWidth="1"/>
    <col min="11736" max="11736" width="9.19921875" style="11" customWidth="1"/>
    <col min="11737" max="11737" width="12" style="11" customWidth="1"/>
    <col min="11738" max="11739" width="9.46484375" style="11" bestFit="1" customWidth="1"/>
    <col min="11740" max="11740" width="13.265625" style="11" customWidth="1"/>
    <col min="11741" max="11741" width="9.46484375" style="11" bestFit="1" customWidth="1"/>
    <col min="11742" max="11742" width="9.796875" style="11" bestFit="1" customWidth="1"/>
    <col min="11743" max="11743" width="12.46484375" style="11" bestFit="1" customWidth="1"/>
    <col min="11744" max="11744" width="10.19921875" style="11" customWidth="1"/>
    <col min="11745" max="11745" width="10" style="11" bestFit="1" customWidth="1"/>
    <col min="11746" max="11746" width="10.53125" style="11" customWidth="1"/>
    <col min="11747" max="11747" width="9.46484375" style="11" bestFit="1" customWidth="1"/>
    <col min="11748" max="11748" width="9.265625" style="11" bestFit="1" customWidth="1"/>
    <col min="11749" max="11749" width="9.265625" style="11" customWidth="1"/>
    <col min="11750" max="11750" width="9.46484375" style="11" bestFit="1" customWidth="1"/>
    <col min="11751" max="11751" width="10.19921875" style="11" customWidth="1"/>
    <col min="11752" max="11752" width="12.19921875" style="11" customWidth="1"/>
    <col min="11753" max="11753" width="9.53125" style="11" customWidth="1"/>
    <col min="11754" max="11754" width="11.53125" style="11" customWidth="1"/>
    <col min="11755" max="11755" width="12.73046875" style="11" customWidth="1"/>
    <col min="11756" max="11756" width="14.796875" style="11" customWidth="1"/>
    <col min="11757" max="11757" width="9.53125" style="11" customWidth="1"/>
    <col min="11758" max="11758" width="10.53125" style="11" customWidth="1"/>
    <col min="11759" max="11759" width="9.19921875" style="11"/>
    <col min="11760" max="11760" width="13.265625" style="11" customWidth="1"/>
    <col min="11761" max="11761" width="11.19921875" style="11" customWidth="1"/>
    <col min="11762" max="11762" width="9.19921875" style="11"/>
    <col min="11763" max="11763" width="9.19921875" style="11" customWidth="1"/>
    <col min="11764" max="11764" width="11.265625" style="11" customWidth="1"/>
    <col min="11765" max="11770" width="9.19921875" style="11"/>
    <col min="11771" max="11771" width="11.46484375" style="11" customWidth="1"/>
    <col min="11772" max="11772" width="11.73046875" style="11" customWidth="1"/>
    <col min="11773" max="11779" width="9.19921875" style="11"/>
    <col min="11780" max="11780" width="11" style="11" customWidth="1"/>
    <col min="11781" max="11782" width="9.19921875" style="11"/>
    <col min="11783" max="11783" width="10.265625" style="11" customWidth="1"/>
    <col min="11784" max="11784" width="10.19921875" style="11" customWidth="1"/>
    <col min="11785" max="11785" width="12.19921875" style="11" customWidth="1"/>
    <col min="11786" max="11982" width="9.19921875" style="11"/>
    <col min="11983" max="11983" width="34.265625" style="11" customWidth="1"/>
    <col min="11984" max="11984" width="13.73046875" style="11" customWidth="1"/>
    <col min="11985" max="11985" width="9.265625" style="11" bestFit="1" customWidth="1"/>
    <col min="11986" max="11986" width="10.53125" style="11" customWidth="1"/>
    <col min="11987" max="11988" width="9.265625" style="11" bestFit="1" customWidth="1"/>
    <col min="11989" max="11989" width="15.265625" style="11" bestFit="1" customWidth="1"/>
    <col min="11990" max="11990" width="9.265625" style="11" bestFit="1" customWidth="1"/>
    <col min="11991" max="11991" width="13.46484375" style="11" bestFit="1" customWidth="1"/>
    <col min="11992" max="11992" width="9.19921875" style="11" customWidth="1"/>
    <col min="11993" max="11993" width="12" style="11" customWidth="1"/>
    <col min="11994" max="11995" width="9.46484375" style="11" bestFit="1" customWidth="1"/>
    <col min="11996" max="11996" width="13.265625" style="11" customWidth="1"/>
    <col min="11997" max="11997" width="9.46484375" style="11" bestFit="1" customWidth="1"/>
    <col min="11998" max="11998" width="9.796875" style="11" bestFit="1" customWidth="1"/>
    <col min="11999" max="11999" width="12.46484375" style="11" bestFit="1" customWidth="1"/>
    <col min="12000" max="12000" width="10.19921875" style="11" customWidth="1"/>
    <col min="12001" max="12001" width="10" style="11" bestFit="1" customWidth="1"/>
    <col min="12002" max="12002" width="10.53125" style="11" customWidth="1"/>
    <col min="12003" max="12003" width="9.46484375" style="11" bestFit="1" customWidth="1"/>
    <col min="12004" max="12004" width="9.265625" style="11" bestFit="1" customWidth="1"/>
    <col min="12005" max="12005" width="9.265625" style="11" customWidth="1"/>
    <col min="12006" max="12006" width="9.46484375" style="11" bestFit="1" customWidth="1"/>
    <col min="12007" max="12007" width="10.19921875" style="11" customWidth="1"/>
    <col min="12008" max="12008" width="12.19921875" style="11" customWidth="1"/>
    <col min="12009" max="12009" width="9.53125" style="11" customWidth="1"/>
    <col min="12010" max="12010" width="11.53125" style="11" customWidth="1"/>
    <col min="12011" max="12011" width="12.73046875" style="11" customWidth="1"/>
    <col min="12012" max="12012" width="14.796875" style="11" customWidth="1"/>
    <col min="12013" max="12013" width="9.53125" style="11" customWidth="1"/>
    <col min="12014" max="12014" width="10.53125" style="11" customWidth="1"/>
    <col min="12015" max="12015" width="9.19921875" style="11"/>
    <col min="12016" max="12016" width="13.265625" style="11" customWidth="1"/>
    <col min="12017" max="12017" width="11.19921875" style="11" customWidth="1"/>
    <col min="12018" max="12018" width="9.19921875" style="11"/>
    <col min="12019" max="12019" width="9.19921875" style="11" customWidth="1"/>
    <col min="12020" max="12020" width="11.265625" style="11" customWidth="1"/>
    <col min="12021" max="12026" width="9.19921875" style="11"/>
    <col min="12027" max="12027" width="11.46484375" style="11" customWidth="1"/>
    <col min="12028" max="12028" width="11.73046875" style="11" customWidth="1"/>
    <col min="12029" max="12035" width="9.19921875" style="11"/>
    <col min="12036" max="12036" width="11" style="11" customWidth="1"/>
    <col min="12037" max="12038" width="9.19921875" style="11"/>
    <col min="12039" max="12039" width="10.265625" style="11" customWidth="1"/>
    <col min="12040" max="12040" width="10.19921875" style="11" customWidth="1"/>
    <col min="12041" max="12041" width="12.19921875" style="11" customWidth="1"/>
    <col min="12042" max="12238" width="9.19921875" style="11"/>
    <col min="12239" max="12239" width="34.265625" style="11" customWidth="1"/>
    <col min="12240" max="12240" width="13.73046875" style="11" customWidth="1"/>
    <col min="12241" max="12241" width="9.265625" style="11" bestFit="1" customWidth="1"/>
    <col min="12242" max="12242" width="10.53125" style="11" customWidth="1"/>
    <col min="12243" max="12244" width="9.265625" style="11" bestFit="1" customWidth="1"/>
    <col min="12245" max="12245" width="15.265625" style="11" bestFit="1" customWidth="1"/>
    <col min="12246" max="12246" width="9.265625" style="11" bestFit="1" customWidth="1"/>
    <col min="12247" max="12247" width="13.46484375" style="11" bestFit="1" customWidth="1"/>
    <col min="12248" max="12248" width="9.19921875" style="11" customWidth="1"/>
    <col min="12249" max="12249" width="12" style="11" customWidth="1"/>
    <col min="12250" max="12251" width="9.46484375" style="11" bestFit="1" customWidth="1"/>
    <col min="12252" max="12252" width="13.265625" style="11" customWidth="1"/>
    <col min="12253" max="12253" width="9.46484375" style="11" bestFit="1" customWidth="1"/>
    <col min="12254" max="12254" width="9.796875" style="11" bestFit="1" customWidth="1"/>
    <col min="12255" max="12255" width="12.46484375" style="11" bestFit="1" customWidth="1"/>
    <col min="12256" max="12256" width="10.19921875" style="11" customWidth="1"/>
    <col min="12257" max="12257" width="10" style="11" bestFit="1" customWidth="1"/>
    <col min="12258" max="12258" width="10.53125" style="11" customWidth="1"/>
    <col min="12259" max="12259" width="9.46484375" style="11" bestFit="1" customWidth="1"/>
    <col min="12260" max="12260" width="9.265625" style="11" bestFit="1" customWidth="1"/>
    <col min="12261" max="12261" width="9.265625" style="11" customWidth="1"/>
    <col min="12262" max="12262" width="9.46484375" style="11" bestFit="1" customWidth="1"/>
    <col min="12263" max="12263" width="10.19921875" style="11" customWidth="1"/>
    <col min="12264" max="12264" width="12.19921875" style="11" customWidth="1"/>
    <col min="12265" max="12265" width="9.53125" style="11" customWidth="1"/>
    <col min="12266" max="12266" width="11.53125" style="11" customWidth="1"/>
    <col min="12267" max="12267" width="12.73046875" style="11" customWidth="1"/>
    <col min="12268" max="12268" width="14.796875" style="11" customWidth="1"/>
    <col min="12269" max="12269" width="9.53125" style="11" customWidth="1"/>
    <col min="12270" max="12270" width="10.53125" style="11" customWidth="1"/>
    <col min="12271" max="12271" width="9.19921875" style="11"/>
    <col min="12272" max="12272" width="13.265625" style="11" customWidth="1"/>
    <col min="12273" max="12273" width="11.19921875" style="11" customWidth="1"/>
    <col min="12274" max="12274" width="9.19921875" style="11"/>
    <col min="12275" max="12275" width="9.19921875" style="11" customWidth="1"/>
    <col min="12276" max="12276" width="11.265625" style="11" customWidth="1"/>
    <col min="12277" max="12282" width="9.19921875" style="11"/>
    <col min="12283" max="12283" width="11.46484375" style="11" customWidth="1"/>
    <col min="12284" max="12284" width="11.73046875" style="11" customWidth="1"/>
    <col min="12285" max="12291" width="9.19921875" style="11"/>
    <col min="12292" max="12292" width="11" style="11" customWidth="1"/>
    <col min="12293" max="12294" width="9.19921875" style="11"/>
    <col min="12295" max="12295" width="10.265625" style="11" customWidth="1"/>
    <col min="12296" max="12296" width="10.19921875" style="11" customWidth="1"/>
    <col min="12297" max="12297" width="12.19921875" style="11" customWidth="1"/>
    <col min="12298" max="12494" width="9.19921875" style="11"/>
    <col min="12495" max="12495" width="34.265625" style="11" customWidth="1"/>
    <col min="12496" max="12496" width="13.73046875" style="11" customWidth="1"/>
    <col min="12497" max="12497" width="9.265625" style="11" bestFit="1" customWidth="1"/>
    <col min="12498" max="12498" width="10.53125" style="11" customWidth="1"/>
    <col min="12499" max="12500" width="9.265625" style="11" bestFit="1" customWidth="1"/>
    <col min="12501" max="12501" width="15.265625" style="11" bestFit="1" customWidth="1"/>
    <col min="12502" max="12502" width="9.265625" style="11" bestFit="1" customWidth="1"/>
    <col min="12503" max="12503" width="13.46484375" style="11" bestFit="1" customWidth="1"/>
    <col min="12504" max="12504" width="9.19921875" style="11" customWidth="1"/>
    <col min="12505" max="12505" width="12" style="11" customWidth="1"/>
    <col min="12506" max="12507" width="9.46484375" style="11" bestFit="1" customWidth="1"/>
    <col min="12508" max="12508" width="13.265625" style="11" customWidth="1"/>
    <col min="12509" max="12509" width="9.46484375" style="11" bestFit="1" customWidth="1"/>
    <col min="12510" max="12510" width="9.796875" style="11" bestFit="1" customWidth="1"/>
    <col min="12511" max="12511" width="12.46484375" style="11" bestFit="1" customWidth="1"/>
    <col min="12512" max="12512" width="10.19921875" style="11" customWidth="1"/>
    <col min="12513" max="12513" width="10" style="11" bestFit="1" customWidth="1"/>
    <col min="12514" max="12514" width="10.53125" style="11" customWidth="1"/>
    <col min="12515" max="12515" width="9.46484375" style="11" bestFit="1" customWidth="1"/>
    <col min="12516" max="12516" width="9.265625" style="11" bestFit="1" customWidth="1"/>
    <col min="12517" max="12517" width="9.265625" style="11" customWidth="1"/>
    <col min="12518" max="12518" width="9.46484375" style="11" bestFit="1" customWidth="1"/>
    <col min="12519" max="12519" width="10.19921875" style="11" customWidth="1"/>
    <col min="12520" max="12520" width="12.19921875" style="11" customWidth="1"/>
    <col min="12521" max="12521" width="9.53125" style="11" customWidth="1"/>
    <col min="12522" max="12522" width="11.53125" style="11" customWidth="1"/>
    <col min="12523" max="12523" width="12.73046875" style="11" customWidth="1"/>
    <col min="12524" max="12524" width="14.796875" style="11" customWidth="1"/>
    <col min="12525" max="12525" width="9.53125" style="11" customWidth="1"/>
    <col min="12526" max="12526" width="10.53125" style="11" customWidth="1"/>
    <col min="12527" max="12527" width="9.19921875" style="11"/>
    <col min="12528" max="12528" width="13.265625" style="11" customWidth="1"/>
    <col min="12529" max="12529" width="11.19921875" style="11" customWidth="1"/>
    <col min="12530" max="12530" width="9.19921875" style="11"/>
    <col min="12531" max="12531" width="9.19921875" style="11" customWidth="1"/>
    <col min="12532" max="12532" width="11.265625" style="11" customWidth="1"/>
    <col min="12533" max="12538" width="9.19921875" style="11"/>
    <col min="12539" max="12539" width="11.46484375" style="11" customWidth="1"/>
    <col min="12540" max="12540" width="11.73046875" style="11" customWidth="1"/>
    <col min="12541" max="12547" width="9.19921875" style="11"/>
    <col min="12548" max="12548" width="11" style="11" customWidth="1"/>
    <col min="12549" max="12550" width="9.19921875" style="11"/>
    <col min="12551" max="12551" width="10.265625" style="11" customWidth="1"/>
    <col min="12552" max="12552" width="10.19921875" style="11" customWidth="1"/>
    <col min="12553" max="12553" width="12.19921875" style="11" customWidth="1"/>
    <col min="12554" max="12750" width="9.19921875" style="11"/>
    <col min="12751" max="12751" width="34.265625" style="11" customWidth="1"/>
    <col min="12752" max="12752" width="13.73046875" style="11" customWidth="1"/>
    <col min="12753" max="12753" width="9.265625" style="11" bestFit="1" customWidth="1"/>
    <col min="12754" max="12754" width="10.53125" style="11" customWidth="1"/>
    <col min="12755" max="12756" width="9.265625" style="11" bestFit="1" customWidth="1"/>
    <col min="12757" max="12757" width="15.265625" style="11" bestFit="1" customWidth="1"/>
    <col min="12758" max="12758" width="9.265625" style="11" bestFit="1" customWidth="1"/>
    <col min="12759" max="12759" width="13.46484375" style="11" bestFit="1" customWidth="1"/>
    <col min="12760" max="12760" width="9.19921875" style="11" customWidth="1"/>
    <col min="12761" max="12761" width="12" style="11" customWidth="1"/>
    <col min="12762" max="12763" width="9.46484375" style="11" bestFit="1" customWidth="1"/>
    <col min="12764" max="12764" width="13.265625" style="11" customWidth="1"/>
    <col min="12765" max="12765" width="9.46484375" style="11" bestFit="1" customWidth="1"/>
    <col min="12766" max="12766" width="9.796875" style="11" bestFit="1" customWidth="1"/>
    <col min="12767" max="12767" width="12.46484375" style="11" bestFit="1" customWidth="1"/>
    <col min="12768" max="12768" width="10.19921875" style="11" customWidth="1"/>
    <col min="12769" max="12769" width="10" style="11" bestFit="1" customWidth="1"/>
    <col min="12770" max="12770" width="10.53125" style="11" customWidth="1"/>
    <col min="12771" max="12771" width="9.46484375" style="11" bestFit="1" customWidth="1"/>
    <col min="12772" max="12772" width="9.265625" style="11" bestFit="1" customWidth="1"/>
    <col min="12773" max="12773" width="9.265625" style="11" customWidth="1"/>
    <col min="12774" max="12774" width="9.46484375" style="11" bestFit="1" customWidth="1"/>
    <col min="12775" max="12775" width="10.19921875" style="11" customWidth="1"/>
    <col min="12776" max="12776" width="12.19921875" style="11" customWidth="1"/>
    <col min="12777" max="12777" width="9.53125" style="11" customWidth="1"/>
    <col min="12778" max="12778" width="11.53125" style="11" customWidth="1"/>
    <col min="12779" max="12779" width="12.73046875" style="11" customWidth="1"/>
    <col min="12780" max="12780" width="14.796875" style="11" customWidth="1"/>
    <col min="12781" max="12781" width="9.53125" style="11" customWidth="1"/>
    <col min="12782" max="12782" width="10.53125" style="11" customWidth="1"/>
    <col min="12783" max="12783" width="9.19921875" style="11"/>
    <col min="12784" max="12784" width="13.265625" style="11" customWidth="1"/>
    <col min="12785" max="12785" width="11.19921875" style="11" customWidth="1"/>
    <col min="12786" max="12786" width="9.19921875" style="11"/>
    <col min="12787" max="12787" width="9.19921875" style="11" customWidth="1"/>
    <col min="12788" max="12788" width="11.265625" style="11" customWidth="1"/>
    <col min="12789" max="12794" width="9.19921875" style="11"/>
    <col min="12795" max="12795" width="11.46484375" style="11" customWidth="1"/>
    <col min="12796" max="12796" width="11.73046875" style="11" customWidth="1"/>
    <col min="12797" max="12803" width="9.19921875" style="11"/>
    <col min="12804" max="12804" width="11" style="11" customWidth="1"/>
    <col min="12805" max="12806" width="9.19921875" style="11"/>
    <col min="12807" max="12807" width="10.265625" style="11" customWidth="1"/>
    <col min="12808" max="12808" width="10.19921875" style="11" customWidth="1"/>
    <col min="12809" max="12809" width="12.19921875" style="11" customWidth="1"/>
    <col min="12810" max="13006" width="9.19921875" style="11"/>
    <col min="13007" max="13007" width="34.265625" style="11" customWidth="1"/>
    <col min="13008" max="13008" width="13.73046875" style="11" customWidth="1"/>
    <col min="13009" max="13009" width="9.265625" style="11" bestFit="1" customWidth="1"/>
    <col min="13010" max="13010" width="10.53125" style="11" customWidth="1"/>
    <col min="13011" max="13012" width="9.265625" style="11" bestFit="1" customWidth="1"/>
    <col min="13013" max="13013" width="15.265625" style="11" bestFit="1" customWidth="1"/>
    <col min="13014" max="13014" width="9.265625" style="11" bestFit="1" customWidth="1"/>
    <col min="13015" max="13015" width="13.46484375" style="11" bestFit="1" customWidth="1"/>
    <col min="13016" max="13016" width="9.19921875" style="11" customWidth="1"/>
    <col min="13017" max="13017" width="12" style="11" customWidth="1"/>
    <col min="13018" max="13019" width="9.46484375" style="11" bestFit="1" customWidth="1"/>
    <col min="13020" max="13020" width="13.265625" style="11" customWidth="1"/>
    <col min="13021" max="13021" width="9.46484375" style="11" bestFit="1" customWidth="1"/>
    <col min="13022" max="13022" width="9.796875" style="11" bestFit="1" customWidth="1"/>
    <col min="13023" max="13023" width="12.46484375" style="11" bestFit="1" customWidth="1"/>
    <col min="13024" max="13024" width="10.19921875" style="11" customWidth="1"/>
    <col min="13025" max="13025" width="10" style="11" bestFit="1" customWidth="1"/>
    <col min="13026" max="13026" width="10.53125" style="11" customWidth="1"/>
    <col min="13027" max="13027" width="9.46484375" style="11" bestFit="1" customWidth="1"/>
    <col min="13028" max="13028" width="9.265625" style="11" bestFit="1" customWidth="1"/>
    <col min="13029" max="13029" width="9.265625" style="11" customWidth="1"/>
    <col min="13030" max="13030" width="9.46484375" style="11" bestFit="1" customWidth="1"/>
    <col min="13031" max="13031" width="10.19921875" style="11" customWidth="1"/>
    <col min="13032" max="13032" width="12.19921875" style="11" customWidth="1"/>
    <col min="13033" max="13033" width="9.53125" style="11" customWidth="1"/>
    <col min="13034" max="13034" width="11.53125" style="11" customWidth="1"/>
    <col min="13035" max="13035" width="12.73046875" style="11" customWidth="1"/>
    <col min="13036" max="13036" width="14.796875" style="11" customWidth="1"/>
    <col min="13037" max="13037" width="9.53125" style="11" customWidth="1"/>
    <col min="13038" max="13038" width="10.53125" style="11" customWidth="1"/>
    <col min="13039" max="13039" width="9.19921875" style="11"/>
    <col min="13040" max="13040" width="13.265625" style="11" customWidth="1"/>
    <col min="13041" max="13041" width="11.19921875" style="11" customWidth="1"/>
    <col min="13042" max="13042" width="9.19921875" style="11"/>
    <col min="13043" max="13043" width="9.19921875" style="11" customWidth="1"/>
    <col min="13044" max="13044" width="11.265625" style="11" customWidth="1"/>
    <col min="13045" max="13050" width="9.19921875" style="11"/>
    <col min="13051" max="13051" width="11.46484375" style="11" customWidth="1"/>
    <col min="13052" max="13052" width="11.73046875" style="11" customWidth="1"/>
    <col min="13053" max="13059" width="9.19921875" style="11"/>
    <col min="13060" max="13060" width="11" style="11" customWidth="1"/>
    <col min="13061" max="13062" width="9.19921875" style="11"/>
    <col min="13063" max="13063" width="10.265625" style="11" customWidth="1"/>
    <col min="13064" max="13064" width="10.19921875" style="11" customWidth="1"/>
    <col min="13065" max="13065" width="12.19921875" style="11" customWidth="1"/>
    <col min="13066" max="13262" width="9.19921875" style="11"/>
    <col min="13263" max="13263" width="34.265625" style="11" customWidth="1"/>
    <col min="13264" max="13264" width="13.73046875" style="11" customWidth="1"/>
    <col min="13265" max="13265" width="9.265625" style="11" bestFit="1" customWidth="1"/>
    <col min="13266" max="13266" width="10.53125" style="11" customWidth="1"/>
    <col min="13267" max="13268" width="9.265625" style="11" bestFit="1" customWidth="1"/>
    <col min="13269" max="13269" width="15.265625" style="11" bestFit="1" customWidth="1"/>
    <col min="13270" max="13270" width="9.265625" style="11" bestFit="1" customWidth="1"/>
    <col min="13271" max="13271" width="13.46484375" style="11" bestFit="1" customWidth="1"/>
    <col min="13272" max="13272" width="9.19921875" style="11" customWidth="1"/>
    <col min="13273" max="13273" width="12" style="11" customWidth="1"/>
    <col min="13274" max="13275" width="9.46484375" style="11" bestFit="1" customWidth="1"/>
    <col min="13276" max="13276" width="13.265625" style="11" customWidth="1"/>
    <col min="13277" max="13277" width="9.46484375" style="11" bestFit="1" customWidth="1"/>
    <col min="13278" max="13278" width="9.796875" style="11" bestFit="1" customWidth="1"/>
    <col min="13279" max="13279" width="12.46484375" style="11" bestFit="1" customWidth="1"/>
    <col min="13280" max="13280" width="10.19921875" style="11" customWidth="1"/>
    <col min="13281" max="13281" width="10" style="11" bestFit="1" customWidth="1"/>
    <col min="13282" max="13282" width="10.53125" style="11" customWidth="1"/>
    <col min="13283" max="13283" width="9.46484375" style="11" bestFit="1" customWidth="1"/>
    <col min="13284" max="13284" width="9.265625" style="11" bestFit="1" customWidth="1"/>
    <col min="13285" max="13285" width="9.265625" style="11" customWidth="1"/>
    <col min="13286" max="13286" width="9.46484375" style="11" bestFit="1" customWidth="1"/>
    <col min="13287" max="13287" width="10.19921875" style="11" customWidth="1"/>
    <col min="13288" max="13288" width="12.19921875" style="11" customWidth="1"/>
    <col min="13289" max="13289" width="9.53125" style="11" customWidth="1"/>
    <col min="13290" max="13290" width="11.53125" style="11" customWidth="1"/>
    <col min="13291" max="13291" width="12.73046875" style="11" customWidth="1"/>
    <col min="13292" max="13292" width="14.796875" style="11" customWidth="1"/>
    <col min="13293" max="13293" width="9.53125" style="11" customWidth="1"/>
    <col min="13294" max="13294" width="10.53125" style="11" customWidth="1"/>
    <col min="13295" max="13295" width="9.19921875" style="11"/>
    <col min="13296" max="13296" width="13.265625" style="11" customWidth="1"/>
    <col min="13297" max="13297" width="11.19921875" style="11" customWidth="1"/>
    <col min="13298" max="13298" width="9.19921875" style="11"/>
    <col min="13299" max="13299" width="9.19921875" style="11" customWidth="1"/>
    <col min="13300" max="13300" width="11.265625" style="11" customWidth="1"/>
    <col min="13301" max="13306" width="9.19921875" style="11"/>
    <col min="13307" max="13307" width="11.46484375" style="11" customWidth="1"/>
    <col min="13308" max="13308" width="11.73046875" style="11" customWidth="1"/>
    <col min="13309" max="13315" width="9.19921875" style="11"/>
    <col min="13316" max="13316" width="11" style="11" customWidth="1"/>
    <col min="13317" max="13318" width="9.19921875" style="11"/>
    <col min="13319" max="13319" width="10.265625" style="11" customWidth="1"/>
    <col min="13320" max="13320" width="10.19921875" style="11" customWidth="1"/>
    <col min="13321" max="13321" width="12.19921875" style="11" customWidth="1"/>
    <col min="13322" max="13518" width="9.19921875" style="11"/>
    <col min="13519" max="13519" width="34.265625" style="11" customWidth="1"/>
    <col min="13520" max="13520" width="13.73046875" style="11" customWidth="1"/>
    <col min="13521" max="13521" width="9.265625" style="11" bestFit="1" customWidth="1"/>
    <col min="13522" max="13522" width="10.53125" style="11" customWidth="1"/>
    <col min="13523" max="13524" width="9.265625" style="11" bestFit="1" customWidth="1"/>
    <col min="13525" max="13525" width="15.265625" style="11" bestFit="1" customWidth="1"/>
    <col min="13526" max="13526" width="9.265625" style="11" bestFit="1" customWidth="1"/>
    <col min="13527" max="13527" width="13.46484375" style="11" bestFit="1" customWidth="1"/>
    <col min="13528" max="13528" width="9.19921875" style="11" customWidth="1"/>
    <col min="13529" max="13529" width="12" style="11" customWidth="1"/>
    <col min="13530" max="13531" width="9.46484375" style="11" bestFit="1" customWidth="1"/>
    <col min="13532" max="13532" width="13.265625" style="11" customWidth="1"/>
    <col min="13533" max="13533" width="9.46484375" style="11" bestFit="1" customWidth="1"/>
    <col min="13534" max="13534" width="9.796875" style="11" bestFit="1" customWidth="1"/>
    <col min="13535" max="13535" width="12.46484375" style="11" bestFit="1" customWidth="1"/>
    <col min="13536" max="13536" width="10.19921875" style="11" customWidth="1"/>
    <col min="13537" max="13537" width="10" style="11" bestFit="1" customWidth="1"/>
    <col min="13538" max="13538" width="10.53125" style="11" customWidth="1"/>
    <col min="13539" max="13539" width="9.46484375" style="11" bestFit="1" customWidth="1"/>
    <col min="13540" max="13540" width="9.265625" style="11" bestFit="1" customWidth="1"/>
    <col min="13541" max="13541" width="9.265625" style="11" customWidth="1"/>
    <col min="13542" max="13542" width="9.46484375" style="11" bestFit="1" customWidth="1"/>
    <col min="13543" max="13543" width="10.19921875" style="11" customWidth="1"/>
    <col min="13544" max="13544" width="12.19921875" style="11" customWidth="1"/>
    <col min="13545" max="13545" width="9.53125" style="11" customWidth="1"/>
    <col min="13546" max="13546" width="11.53125" style="11" customWidth="1"/>
    <col min="13547" max="13547" width="12.73046875" style="11" customWidth="1"/>
    <col min="13548" max="13548" width="14.796875" style="11" customWidth="1"/>
    <col min="13549" max="13549" width="9.53125" style="11" customWidth="1"/>
    <col min="13550" max="13550" width="10.53125" style="11" customWidth="1"/>
    <col min="13551" max="13551" width="9.19921875" style="11"/>
    <col min="13552" max="13552" width="13.265625" style="11" customWidth="1"/>
    <col min="13553" max="13553" width="11.19921875" style="11" customWidth="1"/>
    <col min="13554" max="13554" width="9.19921875" style="11"/>
    <col min="13555" max="13555" width="9.19921875" style="11" customWidth="1"/>
    <col min="13556" max="13556" width="11.265625" style="11" customWidth="1"/>
    <col min="13557" max="13562" width="9.19921875" style="11"/>
    <col min="13563" max="13563" width="11.46484375" style="11" customWidth="1"/>
    <col min="13564" max="13564" width="11.73046875" style="11" customWidth="1"/>
    <col min="13565" max="13571" width="9.19921875" style="11"/>
    <col min="13572" max="13572" width="11" style="11" customWidth="1"/>
    <col min="13573" max="13574" width="9.19921875" style="11"/>
    <col min="13575" max="13575" width="10.265625" style="11" customWidth="1"/>
    <col min="13576" max="13576" width="10.19921875" style="11" customWidth="1"/>
    <col min="13577" max="13577" width="12.19921875" style="11" customWidth="1"/>
    <col min="13578" max="13774" width="9.19921875" style="11"/>
    <col min="13775" max="13775" width="34.265625" style="11" customWidth="1"/>
    <col min="13776" max="13776" width="13.73046875" style="11" customWidth="1"/>
    <col min="13777" max="13777" width="9.265625" style="11" bestFit="1" customWidth="1"/>
    <col min="13778" max="13778" width="10.53125" style="11" customWidth="1"/>
    <col min="13779" max="13780" width="9.265625" style="11" bestFit="1" customWidth="1"/>
    <col min="13781" max="13781" width="15.265625" style="11" bestFit="1" customWidth="1"/>
    <col min="13782" max="13782" width="9.265625" style="11" bestFit="1" customWidth="1"/>
    <col min="13783" max="13783" width="13.46484375" style="11" bestFit="1" customWidth="1"/>
    <col min="13784" max="13784" width="9.19921875" style="11" customWidth="1"/>
    <col min="13785" max="13785" width="12" style="11" customWidth="1"/>
    <col min="13786" max="13787" width="9.46484375" style="11" bestFit="1" customWidth="1"/>
    <col min="13788" max="13788" width="13.265625" style="11" customWidth="1"/>
    <col min="13789" max="13789" width="9.46484375" style="11" bestFit="1" customWidth="1"/>
    <col min="13790" max="13790" width="9.796875" style="11" bestFit="1" customWidth="1"/>
    <col min="13791" max="13791" width="12.46484375" style="11" bestFit="1" customWidth="1"/>
    <col min="13792" max="13792" width="10.19921875" style="11" customWidth="1"/>
    <col min="13793" max="13793" width="10" style="11" bestFit="1" customWidth="1"/>
    <col min="13794" max="13794" width="10.53125" style="11" customWidth="1"/>
    <col min="13795" max="13795" width="9.46484375" style="11" bestFit="1" customWidth="1"/>
    <col min="13796" max="13796" width="9.265625" style="11" bestFit="1" customWidth="1"/>
    <col min="13797" max="13797" width="9.265625" style="11" customWidth="1"/>
    <col min="13798" max="13798" width="9.46484375" style="11" bestFit="1" customWidth="1"/>
    <col min="13799" max="13799" width="10.19921875" style="11" customWidth="1"/>
    <col min="13800" max="13800" width="12.19921875" style="11" customWidth="1"/>
    <col min="13801" max="13801" width="9.53125" style="11" customWidth="1"/>
    <col min="13802" max="13802" width="11.53125" style="11" customWidth="1"/>
    <col min="13803" max="13803" width="12.73046875" style="11" customWidth="1"/>
    <col min="13804" max="13804" width="14.796875" style="11" customWidth="1"/>
    <col min="13805" max="13805" width="9.53125" style="11" customWidth="1"/>
    <col min="13806" max="13806" width="10.53125" style="11" customWidth="1"/>
    <col min="13807" max="13807" width="9.19921875" style="11"/>
    <col min="13808" max="13808" width="13.265625" style="11" customWidth="1"/>
    <col min="13809" max="13809" width="11.19921875" style="11" customWidth="1"/>
    <col min="13810" max="13810" width="9.19921875" style="11"/>
    <col min="13811" max="13811" width="9.19921875" style="11" customWidth="1"/>
    <col min="13812" max="13812" width="11.265625" style="11" customWidth="1"/>
    <col min="13813" max="13818" width="9.19921875" style="11"/>
    <col min="13819" max="13819" width="11.46484375" style="11" customWidth="1"/>
    <col min="13820" max="13820" width="11.73046875" style="11" customWidth="1"/>
    <col min="13821" max="13827" width="9.19921875" style="11"/>
    <col min="13828" max="13828" width="11" style="11" customWidth="1"/>
    <col min="13829" max="13830" width="9.19921875" style="11"/>
    <col min="13831" max="13831" width="10.265625" style="11" customWidth="1"/>
    <col min="13832" max="13832" width="10.19921875" style="11" customWidth="1"/>
    <col min="13833" max="13833" width="12.19921875" style="11" customWidth="1"/>
    <col min="13834" max="14030" width="9.19921875" style="11"/>
    <col min="14031" max="14031" width="34.265625" style="11" customWidth="1"/>
    <col min="14032" max="14032" width="13.73046875" style="11" customWidth="1"/>
    <col min="14033" max="14033" width="9.265625" style="11" bestFit="1" customWidth="1"/>
    <col min="14034" max="14034" width="10.53125" style="11" customWidth="1"/>
    <col min="14035" max="14036" width="9.265625" style="11" bestFit="1" customWidth="1"/>
    <col min="14037" max="14037" width="15.265625" style="11" bestFit="1" customWidth="1"/>
    <col min="14038" max="14038" width="9.265625" style="11" bestFit="1" customWidth="1"/>
    <col min="14039" max="14039" width="13.46484375" style="11" bestFit="1" customWidth="1"/>
    <col min="14040" max="14040" width="9.19921875" style="11" customWidth="1"/>
    <col min="14041" max="14041" width="12" style="11" customWidth="1"/>
    <col min="14042" max="14043" width="9.46484375" style="11" bestFit="1" customWidth="1"/>
    <col min="14044" max="14044" width="13.265625" style="11" customWidth="1"/>
    <col min="14045" max="14045" width="9.46484375" style="11" bestFit="1" customWidth="1"/>
    <col min="14046" max="14046" width="9.796875" style="11" bestFit="1" customWidth="1"/>
    <col min="14047" max="14047" width="12.46484375" style="11" bestFit="1" customWidth="1"/>
    <col min="14048" max="14048" width="10.19921875" style="11" customWidth="1"/>
    <col min="14049" max="14049" width="10" style="11" bestFit="1" customWidth="1"/>
    <col min="14050" max="14050" width="10.53125" style="11" customWidth="1"/>
    <col min="14051" max="14051" width="9.46484375" style="11" bestFit="1" customWidth="1"/>
    <col min="14052" max="14052" width="9.265625" style="11" bestFit="1" customWidth="1"/>
    <col min="14053" max="14053" width="9.265625" style="11" customWidth="1"/>
    <col min="14054" max="14054" width="9.46484375" style="11" bestFit="1" customWidth="1"/>
    <col min="14055" max="14055" width="10.19921875" style="11" customWidth="1"/>
    <col min="14056" max="14056" width="12.19921875" style="11" customWidth="1"/>
    <col min="14057" max="14057" width="9.53125" style="11" customWidth="1"/>
    <col min="14058" max="14058" width="11.53125" style="11" customWidth="1"/>
    <col min="14059" max="14059" width="12.73046875" style="11" customWidth="1"/>
    <col min="14060" max="14060" width="14.796875" style="11" customWidth="1"/>
    <col min="14061" max="14061" width="9.53125" style="11" customWidth="1"/>
    <col min="14062" max="14062" width="10.53125" style="11" customWidth="1"/>
    <col min="14063" max="14063" width="9.19921875" style="11"/>
    <col min="14064" max="14064" width="13.265625" style="11" customWidth="1"/>
    <col min="14065" max="14065" width="11.19921875" style="11" customWidth="1"/>
    <col min="14066" max="14066" width="9.19921875" style="11"/>
    <col min="14067" max="14067" width="9.19921875" style="11" customWidth="1"/>
    <col min="14068" max="14068" width="11.265625" style="11" customWidth="1"/>
    <col min="14069" max="14074" width="9.19921875" style="11"/>
    <col min="14075" max="14075" width="11.46484375" style="11" customWidth="1"/>
    <col min="14076" max="14076" width="11.73046875" style="11" customWidth="1"/>
    <col min="14077" max="14083" width="9.19921875" style="11"/>
    <col min="14084" max="14084" width="11" style="11" customWidth="1"/>
    <col min="14085" max="14086" width="9.19921875" style="11"/>
    <col min="14087" max="14087" width="10.265625" style="11" customWidth="1"/>
    <col min="14088" max="14088" width="10.19921875" style="11" customWidth="1"/>
    <col min="14089" max="14089" width="12.19921875" style="11" customWidth="1"/>
    <col min="14090" max="14286" width="9.19921875" style="11"/>
    <col min="14287" max="14287" width="34.265625" style="11" customWidth="1"/>
    <col min="14288" max="14288" width="13.73046875" style="11" customWidth="1"/>
    <col min="14289" max="14289" width="9.265625" style="11" bestFit="1" customWidth="1"/>
    <col min="14290" max="14290" width="10.53125" style="11" customWidth="1"/>
    <col min="14291" max="14292" width="9.265625" style="11" bestFit="1" customWidth="1"/>
    <col min="14293" max="14293" width="15.265625" style="11" bestFit="1" customWidth="1"/>
    <col min="14294" max="14294" width="9.265625" style="11" bestFit="1" customWidth="1"/>
    <col min="14295" max="14295" width="13.46484375" style="11" bestFit="1" customWidth="1"/>
    <col min="14296" max="14296" width="9.19921875" style="11" customWidth="1"/>
    <col min="14297" max="14297" width="12" style="11" customWidth="1"/>
    <col min="14298" max="14299" width="9.46484375" style="11" bestFit="1" customWidth="1"/>
    <col min="14300" max="14300" width="13.265625" style="11" customWidth="1"/>
    <col min="14301" max="14301" width="9.46484375" style="11" bestFit="1" customWidth="1"/>
    <col min="14302" max="14302" width="9.796875" style="11" bestFit="1" customWidth="1"/>
    <col min="14303" max="14303" width="12.46484375" style="11" bestFit="1" customWidth="1"/>
    <col min="14304" max="14304" width="10.19921875" style="11" customWidth="1"/>
    <col min="14305" max="14305" width="10" style="11" bestFit="1" customWidth="1"/>
    <col min="14306" max="14306" width="10.53125" style="11" customWidth="1"/>
    <col min="14307" max="14307" width="9.46484375" style="11" bestFit="1" customWidth="1"/>
    <col min="14308" max="14308" width="9.265625" style="11" bestFit="1" customWidth="1"/>
    <col min="14309" max="14309" width="9.265625" style="11" customWidth="1"/>
    <col min="14310" max="14310" width="9.46484375" style="11" bestFit="1" customWidth="1"/>
    <col min="14311" max="14311" width="10.19921875" style="11" customWidth="1"/>
    <col min="14312" max="14312" width="12.19921875" style="11" customWidth="1"/>
    <col min="14313" max="14313" width="9.53125" style="11" customWidth="1"/>
    <col min="14314" max="14314" width="11.53125" style="11" customWidth="1"/>
    <col min="14315" max="14315" width="12.73046875" style="11" customWidth="1"/>
    <col min="14316" max="14316" width="14.796875" style="11" customWidth="1"/>
    <col min="14317" max="14317" width="9.53125" style="11" customWidth="1"/>
    <col min="14318" max="14318" width="10.53125" style="11" customWidth="1"/>
    <col min="14319" max="14319" width="9.19921875" style="11"/>
    <col min="14320" max="14320" width="13.265625" style="11" customWidth="1"/>
    <col min="14321" max="14321" width="11.19921875" style="11" customWidth="1"/>
    <col min="14322" max="14322" width="9.19921875" style="11"/>
    <col min="14323" max="14323" width="9.19921875" style="11" customWidth="1"/>
    <col min="14324" max="14324" width="11.265625" style="11" customWidth="1"/>
    <col min="14325" max="14330" width="9.19921875" style="11"/>
    <col min="14331" max="14331" width="11.46484375" style="11" customWidth="1"/>
    <col min="14332" max="14332" width="11.73046875" style="11" customWidth="1"/>
    <col min="14333" max="14339" width="9.19921875" style="11"/>
    <col min="14340" max="14340" width="11" style="11" customWidth="1"/>
    <col min="14341" max="14342" width="9.19921875" style="11"/>
    <col min="14343" max="14343" width="10.265625" style="11" customWidth="1"/>
    <col min="14344" max="14344" width="10.19921875" style="11" customWidth="1"/>
    <col min="14345" max="14345" width="12.19921875" style="11" customWidth="1"/>
    <col min="14346" max="14542" width="9.19921875" style="11"/>
    <col min="14543" max="14543" width="34.265625" style="11" customWidth="1"/>
    <col min="14544" max="14544" width="13.73046875" style="11" customWidth="1"/>
    <col min="14545" max="14545" width="9.265625" style="11" bestFit="1" customWidth="1"/>
    <col min="14546" max="14546" width="10.53125" style="11" customWidth="1"/>
    <col min="14547" max="14548" width="9.265625" style="11" bestFit="1" customWidth="1"/>
    <col min="14549" max="14549" width="15.265625" style="11" bestFit="1" customWidth="1"/>
    <col min="14550" max="14550" width="9.265625" style="11" bestFit="1" customWidth="1"/>
    <col min="14551" max="14551" width="13.46484375" style="11" bestFit="1" customWidth="1"/>
    <col min="14552" max="14552" width="9.19921875" style="11" customWidth="1"/>
    <col min="14553" max="14553" width="12" style="11" customWidth="1"/>
    <col min="14554" max="14555" width="9.46484375" style="11" bestFit="1" customWidth="1"/>
    <col min="14556" max="14556" width="13.265625" style="11" customWidth="1"/>
    <col min="14557" max="14557" width="9.46484375" style="11" bestFit="1" customWidth="1"/>
    <col min="14558" max="14558" width="9.796875" style="11" bestFit="1" customWidth="1"/>
    <col min="14559" max="14559" width="12.46484375" style="11" bestFit="1" customWidth="1"/>
    <col min="14560" max="14560" width="10.19921875" style="11" customWidth="1"/>
    <col min="14561" max="14561" width="10" style="11" bestFit="1" customWidth="1"/>
    <col min="14562" max="14562" width="10.53125" style="11" customWidth="1"/>
    <col min="14563" max="14563" width="9.46484375" style="11" bestFit="1" customWidth="1"/>
    <col min="14564" max="14564" width="9.265625" style="11" bestFit="1" customWidth="1"/>
    <col min="14565" max="14565" width="9.265625" style="11" customWidth="1"/>
    <col min="14566" max="14566" width="9.46484375" style="11" bestFit="1" customWidth="1"/>
    <col min="14567" max="14567" width="10.19921875" style="11" customWidth="1"/>
    <col min="14568" max="14568" width="12.19921875" style="11" customWidth="1"/>
    <col min="14569" max="14569" width="9.53125" style="11" customWidth="1"/>
    <col min="14570" max="14570" width="11.53125" style="11" customWidth="1"/>
    <col min="14571" max="14571" width="12.73046875" style="11" customWidth="1"/>
    <col min="14572" max="14572" width="14.796875" style="11" customWidth="1"/>
    <col min="14573" max="14573" width="9.53125" style="11" customWidth="1"/>
    <col min="14574" max="14574" width="10.53125" style="11" customWidth="1"/>
    <col min="14575" max="14575" width="9.19921875" style="11"/>
    <col min="14576" max="14576" width="13.265625" style="11" customWidth="1"/>
    <col min="14577" max="14577" width="11.19921875" style="11" customWidth="1"/>
    <col min="14578" max="14578" width="9.19921875" style="11"/>
    <col min="14579" max="14579" width="9.19921875" style="11" customWidth="1"/>
    <col min="14580" max="14580" width="11.265625" style="11" customWidth="1"/>
    <col min="14581" max="14586" width="9.19921875" style="11"/>
    <col min="14587" max="14587" width="11.46484375" style="11" customWidth="1"/>
    <col min="14588" max="14588" width="11.73046875" style="11" customWidth="1"/>
    <col min="14589" max="14595" width="9.19921875" style="11"/>
    <col min="14596" max="14596" width="11" style="11" customWidth="1"/>
    <col min="14597" max="14598" width="9.19921875" style="11"/>
    <col min="14599" max="14599" width="10.265625" style="11" customWidth="1"/>
    <col min="14600" max="14600" width="10.19921875" style="11" customWidth="1"/>
    <col min="14601" max="14601" width="12.19921875" style="11" customWidth="1"/>
    <col min="14602" max="14798" width="9.19921875" style="11"/>
    <col min="14799" max="14799" width="34.265625" style="11" customWidth="1"/>
    <col min="14800" max="14800" width="13.73046875" style="11" customWidth="1"/>
    <col min="14801" max="14801" width="9.265625" style="11" bestFit="1" customWidth="1"/>
    <col min="14802" max="14802" width="10.53125" style="11" customWidth="1"/>
    <col min="14803" max="14804" width="9.265625" style="11" bestFit="1" customWidth="1"/>
    <col min="14805" max="14805" width="15.265625" style="11" bestFit="1" customWidth="1"/>
    <col min="14806" max="14806" width="9.265625" style="11" bestFit="1" customWidth="1"/>
    <col min="14807" max="14807" width="13.46484375" style="11" bestFit="1" customWidth="1"/>
    <col min="14808" max="14808" width="9.19921875" style="11" customWidth="1"/>
    <col min="14809" max="14809" width="12" style="11" customWidth="1"/>
    <col min="14810" max="14811" width="9.46484375" style="11" bestFit="1" customWidth="1"/>
    <col min="14812" max="14812" width="13.265625" style="11" customWidth="1"/>
    <col min="14813" max="14813" width="9.46484375" style="11" bestFit="1" customWidth="1"/>
    <col min="14814" max="14814" width="9.796875" style="11" bestFit="1" customWidth="1"/>
    <col min="14815" max="14815" width="12.46484375" style="11" bestFit="1" customWidth="1"/>
    <col min="14816" max="14816" width="10.19921875" style="11" customWidth="1"/>
    <col min="14817" max="14817" width="10" style="11" bestFit="1" customWidth="1"/>
    <col min="14818" max="14818" width="10.53125" style="11" customWidth="1"/>
    <col min="14819" max="14819" width="9.46484375" style="11" bestFit="1" customWidth="1"/>
    <col min="14820" max="14820" width="9.265625" style="11" bestFit="1" customWidth="1"/>
    <col min="14821" max="14821" width="9.265625" style="11" customWidth="1"/>
    <col min="14822" max="14822" width="9.46484375" style="11" bestFit="1" customWidth="1"/>
    <col min="14823" max="14823" width="10.19921875" style="11" customWidth="1"/>
    <col min="14824" max="14824" width="12.19921875" style="11" customWidth="1"/>
    <col min="14825" max="14825" width="9.53125" style="11" customWidth="1"/>
    <col min="14826" max="14826" width="11.53125" style="11" customWidth="1"/>
    <col min="14827" max="14827" width="12.73046875" style="11" customWidth="1"/>
    <col min="14828" max="14828" width="14.796875" style="11" customWidth="1"/>
    <col min="14829" max="14829" width="9.53125" style="11" customWidth="1"/>
    <col min="14830" max="14830" width="10.53125" style="11" customWidth="1"/>
    <col min="14831" max="14831" width="9.19921875" style="11"/>
    <col min="14832" max="14832" width="13.265625" style="11" customWidth="1"/>
    <col min="14833" max="14833" width="11.19921875" style="11" customWidth="1"/>
    <col min="14834" max="14834" width="9.19921875" style="11"/>
    <col min="14835" max="14835" width="9.19921875" style="11" customWidth="1"/>
    <col min="14836" max="14836" width="11.265625" style="11" customWidth="1"/>
    <col min="14837" max="14842" width="9.19921875" style="11"/>
    <col min="14843" max="14843" width="11.46484375" style="11" customWidth="1"/>
    <col min="14844" max="14844" width="11.73046875" style="11" customWidth="1"/>
    <col min="14845" max="14851" width="9.19921875" style="11"/>
    <col min="14852" max="14852" width="11" style="11" customWidth="1"/>
    <col min="14853" max="14854" width="9.19921875" style="11"/>
    <col min="14855" max="14855" width="10.265625" style="11" customWidth="1"/>
    <col min="14856" max="14856" width="10.19921875" style="11" customWidth="1"/>
    <col min="14857" max="14857" width="12.19921875" style="11" customWidth="1"/>
    <col min="14858" max="15054" width="9.19921875" style="11"/>
    <col min="15055" max="15055" width="34.265625" style="11" customWidth="1"/>
    <col min="15056" max="15056" width="13.73046875" style="11" customWidth="1"/>
    <col min="15057" max="15057" width="9.265625" style="11" bestFit="1" customWidth="1"/>
    <col min="15058" max="15058" width="10.53125" style="11" customWidth="1"/>
    <col min="15059" max="15060" width="9.265625" style="11" bestFit="1" customWidth="1"/>
    <col min="15061" max="15061" width="15.265625" style="11" bestFit="1" customWidth="1"/>
    <col min="15062" max="15062" width="9.265625" style="11" bestFit="1" customWidth="1"/>
    <col min="15063" max="15063" width="13.46484375" style="11" bestFit="1" customWidth="1"/>
    <col min="15064" max="15064" width="9.19921875" style="11" customWidth="1"/>
    <col min="15065" max="15065" width="12" style="11" customWidth="1"/>
    <col min="15066" max="15067" width="9.46484375" style="11" bestFit="1" customWidth="1"/>
    <col min="15068" max="15068" width="13.265625" style="11" customWidth="1"/>
    <col min="15069" max="15069" width="9.46484375" style="11" bestFit="1" customWidth="1"/>
    <col min="15070" max="15070" width="9.796875" style="11" bestFit="1" customWidth="1"/>
    <col min="15071" max="15071" width="12.46484375" style="11" bestFit="1" customWidth="1"/>
    <col min="15072" max="15072" width="10.19921875" style="11" customWidth="1"/>
    <col min="15073" max="15073" width="10" style="11" bestFit="1" customWidth="1"/>
    <col min="15074" max="15074" width="10.53125" style="11" customWidth="1"/>
    <col min="15075" max="15075" width="9.46484375" style="11" bestFit="1" customWidth="1"/>
    <col min="15076" max="15076" width="9.265625" style="11" bestFit="1" customWidth="1"/>
    <col min="15077" max="15077" width="9.265625" style="11" customWidth="1"/>
    <col min="15078" max="15078" width="9.46484375" style="11" bestFit="1" customWidth="1"/>
    <col min="15079" max="15079" width="10.19921875" style="11" customWidth="1"/>
    <col min="15080" max="15080" width="12.19921875" style="11" customWidth="1"/>
    <col min="15081" max="15081" width="9.53125" style="11" customWidth="1"/>
    <col min="15082" max="15082" width="11.53125" style="11" customWidth="1"/>
    <col min="15083" max="15083" width="12.73046875" style="11" customWidth="1"/>
    <col min="15084" max="15084" width="14.796875" style="11" customWidth="1"/>
    <col min="15085" max="15085" width="9.53125" style="11" customWidth="1"/>
    <col min="15086" max="15086" width="10.53125" style="11" customWidth="1"/>
    <col min="15087" max="15087" width="9.19921875" style="11"/>
    <col min="15088" max="15088" width="13.265625" style="11" customWidth="1"/>
    <col min="15089" max="15089" width="11.19921875" style="11" customWidth="1"/>
    <col min="15090" max="15090" width="9.19921875" style="11"/>
    <col min="15091" max="15091" width="9.19921875" style="11" customWidth="1"/>
    <col min="15092" max="15092" width="11.265625" style="11" customWidth="1"/>
    <col min="15093" max="15098" width="9.19921875" style="11"/>
    <col min="15099" max="15099" width="11.46484375" style="11" customWidth="1"/>
    <col min="15100" max="15100" width="11.73046875" style="11" customWidth="1"/>
    <col min="15101" max="15107" width="9.19921875" style="11"/>
    <col min="15108" max="15108" width="11" style="11" customWidth="1"/>
    <col min="15109" max="15110" width="9.19921875" style="11"/>
    <col min="15111" max="15111" width="10.265625" style="11" customWidth="1"/>
    <col min="15112" max="15112" width="10.19921875" style="11" customWidth="1"/>
    <col min="15113" max="15113" width="12.19921875" style="11" customWidth="1"/>
    <col min="15114" max="15310" width="9.19921875" style="11"/>
    <col min="15311" max="15311" width="34.265625" style="11" customWidth="1"/>
    <col min="15312" max="15312" width="13.73046875" style="11" customWidth="1"/>
    <col min="15313" max="15313" width="9.265625" style="11" bestFit="1" customWidth="1"/>
    <col min="15314" max="15314" width="10.53125" style="11" customWidth="1"/>
    <col min="15315" max="15316" width="9.265625" style="11" bestFit="1" customWidth="1"/>
    <col min="15317" max="15317" width="15.265625" style="11" bestFit="1" customWidth="1"/>
    <col min="15318" max="15318" width="9.265625" style="11" bestFit="1" customWidth="1"/>
    <col min="15319" max="15319" width="13.46484375" style="11" bestFit="1" customWidth="1"/>
    <col min="15320" max="15320" width="9.19921875" style="11" customWidth="1"/>
    <col min="15321" max="15321" width="12" style="11" customWidth="1"/>
    <col min="15322" max="15323" width="9.46484375" style="11" bestFit="1" customWidth="1"/>
    <col min="15324" max="15324" width="13.265625" style="11" customWidth="1"/>
    <col min="15325" max="15325" width="9.46484375" style="11" bestFit="1" customWidth="1"/>
    <col min="15326" max="15326" width="9.796875" style="11" bestFit="1" customWidth="1"/>
    <col min="15327" max="15327" width="12.46484375" style="11" bestFit="1" customWidth="1"/>
    <col min="15328" max="15328" width="10.19921875" style="11" customWidth="1"/>
    <col min="15329" max="15329" width="10" style="11" bestFit="1" customWidth="1"/>
    <col min="15330" max="15330" width="10.53125" style="11" customWidth="1"/>
    <col min="15331" max="15331" width="9.46484375" style="11" bestFit="1" customWidth="1"/>
    <col min="15332" max="15332" width="9.265625" style="11" bestFit="1" customWidth="1"/>
    <col min="15333" max="15333" width="9.265625" style="11" customWidth="1"/>
    <col min="15334" max="15334" width="9.46484375" style="11" bestFit="1" customWidth="1"/>
    <col min="15335" max="15335" width="10.19921875" style="11" customWidth="1"/>
    <col min="15336" max="15336" width="12.19921875" style="11" customWidth="1"/>
    <col min="15337" max="15337" width="9.53125" style="11" customWidth="1"/>
    <col min="15338" max="15338" width="11.53125" style="11" customWidth="1"/>
    <col min="15339" max="15339" width="12.73046875" style="11" customWidth="1"/>
    <col min="15340" max="15340" width="14.796875" style="11" customWidth="1"/>
    <col min="15341" max="15341" width="9.53125" style="11" customWidth="1"/>
    <col min="15342" max="15342" width="10.53125" style="11" customWidth="1"/>
    <col min="15343" max="15343" width="9.19921875" style="11"/>
    <col min="15344" max="15344" width="13.265625" style="11" customWidth="1"/>
    <col min="15345" max="15345" width="11.19921875" style="11" customWidth="1"/>
    <col min="15346" max="15346" width="9.19921875" style="11"/>
    <col min="15347" max="15347" width="9.19921875" style="11" customWidth="1"/>
    <col min="15348" max="15348" width="11.265625" style="11" customWidth="1"/>
    <col min="15349" max="15354" width="9.19921875" style="11"/>
    <col min="15355" max="15355" width="11.46484375" style="11" customWidth="1"/>
    <col min="15356" max="15356" width="11.73046875" style="11" customWidth="1"/>
    <col min="15357" max="15363" width="9.19921875" style="11"/>
    <col min="15364" max="15364" width="11" style="11" customWidth="1"/>
    <col min="15365" max="15366" width="9.19921875" style="11"/>
    <col min="15367" max="15367" width="10.265625" style="11" customWidth="1"/>
    <col min="15368" max="15368" width="10.19921875" style="11" customWidth="1"/>
    <col min="15369" max="15369" width="12.19921875" style="11" customWidth="1"/>
    <col min="15370" max="15566" width="9.19921875" style="11"/>
    <col min="15567" max="15567" width="34.265625" style="11" customWidth="1"/>
    <col min="15568" max="15568" width="13.73046875" style="11" customWidth="1"/>
    <col min="15569" max="15569" width="9.265625" style="11" bestFit="1" customWidth="1"/>
    <col min="15570" max="15570" width="10.53125" style="11" customWidth="1"/>
    <col min="15571" max="15572" width="9.265625" style="11" bestFit="1" customWidth="1"/>
    <col min="15573" max="15573" width="15.265625" style="11" bestFit="1" customWidth="1"/>
    <col min="15574" max="15574" width="9.265625" style="11" bestFit="1" customWidth="1"/>
    <col min="15575" max="15575" width="13.46484375" style="11" bestFit="1" customWidth="1"/>
    <col min="15576" max="15576" width="9.19921875" style="11" customWidth="1"/>
    <col min="15577" max="15577" width="12" style="11" customWidth="1"/>
    <col min="15578" max="15579" width="9.46484375" style="11" bestFit="1" customWidth="1"/>
    <col min="15580" max="15580" width="13.265625" style="11" customWidth="1"/>
    <col min="15581" max="15581" width="9.46484375" style="11" bestFit="1" customWidth="1"/>
    <col min="15582" max="15582" width="9.796875" style="11" bestFit="1" customWidth="1"/>
    <col min="15583" max="15583" width="12.46484375" style="11" bestFit="1" customWidth="1"/>
    <col min="15584" max="15584" width="10.19921875" style="11" customWidth="1"/>
    <col min="15585" max="15585" width="10" style="11" bestFit="1" customWidth="1"/>
    <col min="15586" max="15586" width="10.53125" style="11" customWidth="1"/>
    <col min="15587" max="15587" width="9.46484375" style="11" bestFit="1" customWidth="1"/>
    <col min="15588" max="15588" width="9.265625" style="11" bestFit="1" customWidth="1"/>
    <col min="15589" max="15589" width="9.265625" style="11" customWidth="1"/>
    <col min="15590" max="15590" width="9.46484375" style="11" bestFit="1" customWidth="1"/>
    <col min="15591" max="15591" width="10.19921875" style="11" customWidth="1"/>
    <col min="15592" max="15592" width="12.19921875" style="11" customWidth="1"/>
    <col min="15593" max="15593" width="9.53125" style="11" customWidth="1"/>
    <col min="15594" max="15594" width="11.53125" style="11" customWidth="1"/>
    <col min="15595" max="15595" width="12.73046875" style="11" customWidth="1"/>
    <col min="15596" max="15596" width="14.796875" style="11" customWidth="1"/>
    <col min="15597" max="15597" width="9.53125" style="11" customWidth="1"/>
    <col min="15598" max="15598" width="10.53125" style="11" customWidth="1"/>
    <col min="15599" max="15599" width="9.19921875" style="11"/>
    <col min="15600" max="15600" width="13.265625" style="11" customWidth="1"/>
    <col min="15601" max="15601" width="11.19921875" style="11" customWidth="1"/>
    <col min="15602" max="15602" width="9.19921875" style="11"/>
    <col min="15603" max="15603" width="9.19921875" style="11" customWidth="1"/>
    <col min="15604" max="15604" width="11.265625" style="11" customWidth="1"/>
    <col min="15605" max="15610" width="9.19921875" style="11"/>
    <col min="15611" max="15611" width="11.46484375" style="11" customWidth="1"/>
    <col min="15612" max="15612" width="11.73046875" style="11" customWidth="1"/>
    <col min="15613" max="15619" width="9.19921875" style="11"/>
    <col min="15620" max="15620" width="11" style="11" customWidth="1"/>
    <col min="15621" max="15622" width="9.19921875" style="11"/>
    <col min="15623" max="15623" width="10.265625" style="11" customWidth="1"/>
    <col min="15624" max="15624" width="10.19921875" style="11" customWidth="1"/>
    <col min="15625" max="15625" width="12.19921875" style="11" customWidth="1"/>
    <col min="15626" max="15822" width="9.19921875" style="11"/>
    <col min="15823" max="15823" width="34.265625" style="11" customWidth="1"/>
    <col min="15824" max="15824" width="13.73046875" style="11" customWidth="1"/>
    <col min="15825" max="15825" width="9.265625" style="11" bestFit="1" customWidth="1"/>
    <col min="15826" max="15826" width="10.53125" style="11" customWidth="1"/>
    <col min="15827" max="15828" width="9.265625" style="11" bestFit="1" customWidth="1"/>
    <col min="15829" max="15829" width="15.265625" style="11" bestFit="1" customWidth="1"/>
    <col min="15830" max="15830" width="9.265625" style="11" bestFit="1" customWidth="1"/>
    <col min="15831" max="15831" width="13.46484375" style="11" bestFit="1" customWidth="1"/>
    <col min="15832" max="15832" width="9.19921875" style="11" customWidth="1"/>
    <col min="15833" max="15833" width="12" style="11" customWidth="1"/>
    <col min="15834" max="15835" width="9.46484375" style="11" bestFit="1" customWidth="1"/>
    <col min="15836" max="15836" width="13.265625" style="11" customWidth="1"/>
    <col min="15837" max="15837" width="9.46484375" style="11" bestFit="1" customWidth="1"/>
    <col min="15838" max="15838" width="9.796875" style="11" bestFit="1" customWidth="1"/>
    <col min="15839" max="15839" width="12.46484375" style="11" bestFit="1" customWidth="1"/>
    <col min="15840" max="15840" width="10.19921875" style="11" customWidth="1"/>
    <col min="15841" max="15841" width="10" style="11" bestFit="1" customWidth="1"/>
    <col min="15842" max="15842" width="10.53125" style="11" customWidth="1"/>
    <col min="15843" max="15843" width="9.46484375" style="11" bestFit="1" customWidth="1"/>
    <col min="15844" max="15844" width="9.265625" style="11" bestFit="1" customWidth="1"/>
    <col min="15845" max="15845" width="9.265625" style="11" customWidth="1"/>
    <col min="15846" max="15846" width="9.46484375" style="11" bestFit="1" customWidth="1"/>
    <col min="15847" max="15847" width="10.19921875" style="11" customWidth="1"/>
    <col min="15848" max="15848" width="12.19921875" style="11" customWidth="1"/>
    <col min="15849" max="15849" width="9.53125" style="11" customWidth="1"/>
    <col min="15850" max="15850" width="11.53125" style="11" customWidth="1"/>
    <col min="15851" max="15851" width="12.73046875" style="11" customWidth="1"/>
    <col min="15852" max="15852" width="14.796875" style="11" customWidth="1"/>
    <col min="15853" max="15853" width="9.53125" style="11" customWidth="1"/>
    <col min="15854" max="15854" width="10.53125" style="11" customWidth="1"/>
    <col min="15855" max="15855" width="9.19921875" style="11"/>
    <col min="15856" max="15856" width="13.265625" style="11" customWidth="1"/>
    <col min="15857" max="15857" width="11.19921875" style="11" customWidth="1"/>
    <col min="15858" max="15858" width="9.19921875" style="11"/>
    <col min="15859" max="15859" width="9.19921875" style="11" customWidth="1"/>
    <col min="15860" max="15860" width="11.265625" style="11" customWidth="1"/>
    <col min="15861" max="15866" width="9.19921875" style="11"/>
    <col min="15867" max="15867" width="11.46484375" style="11" customWidth="1"/>
    <col min="15868" max="15868" width="11.73046875" style="11" customWidth="1"/>
    <col min="15869" max="15875" width="9.19921875" style="11"/>
    <col min="15876" max="15876" width="11" style="11" customWidth="1"/>
    <col min="15877" max="15878" width="9.19921875" style="11"/>
    <col min="15879" max="15879" width="10.265625" style="11" customWidth="1"/>
    <col min="15880" max="15880" width="10.19921875" style="11" customWidth="1"/>
    <col min="15881" max="15881" width="12.19921875" style="11" customWidth="1"/>
    <col min="15882" max="16078" width="9.19921875" style="11"/>
    <col min="16079" max="16079" width="34.265625" style="11" customWidth="1"/>
    <col min="16080" max="16080" width="13.73046875" style="11" customWidth="1"/>
    <col min="16081" max="16081" width="9.265625" style="11" bestFit="1" customWidth="1"/>
    <col min="16082" max="16082" width="10.53125" style="11" customWidth="1"/>
    <col min="16083" max="16084" width="9.265625" style="11" bestFit="1" customWidth="1"/>
    <col min="16085" max="16085" width="15.265625" style="11" bestFit="1" customWidth="1"/>
    <col min="16086" max="16086" width="9.265625" style="11" bestFit="1" customWidth="1"/>
    <col min="16087" max="16087" width="13.46484375" style="11" bestFit="1" customWidth="1"/>
    <col min="16088" max="16088" width="9.19921875" style="11" customWidth="1"/>
    <col min="16089" max="16089" width="12" style="11" customWidth="1"/>
    <col min="16090" max="16091" width="9.46484375" style="11" bestFit="1" customWidth="1"/>
    <col min="16092" max="16092" width="13.265625" style="11" customWidth="1"/>
    <col min="16093" max="16093" width="9.46484375" style="11" bestFit="1" customWidth="1"/>
    <col min="16094" max="16094" width="9.796875" style="11" bestFit="1" customWidth="1"/>
    <col min="16095" max="16095" width="12.46484375" style="11" bestFit="1" customWidth="1"/>
    <col min="16096" max="16096" width="10.19921875" style="11" customWidth="1"/>
    <col min="16097" max="16097" width="10" style="11" bestFit="1" customWidth="1"/>
    <col min="16098" max="16098" width="10.53125" style="11" customWidth="1"/>
    <col min="16099" max="16099" width="9.46484375" style="11" bestFit="1" customWidth="1"/>
    <col min="16100" max="16100" width="9.265625" style="11" bestFit="1" customWidth="1"/>
    <col min="16101" max="16101" width="9.265625" style="11" customWidth="1"/>
    <col min="16102" max="16102" width="9.46484375" style="11" bestFit="1" customWidth="1"/>
    <col min="16103" max="16103" width="10.19921875" style="11" customWidth="1"/>
    <col min="16104" max="16104" width="12.19921875" style="11" customWidth="1"/>
    <col min="16105" max="16105" width="9.53125" style="11" customWidth="1"/>
    <col min="16106" max="16106" width="11.53125" style="11" customWidth="1"/>
    <col min="16107" max="16107" width="12.73046875" style="11" customWidth="1"/>
    <col min="16108" max="16108" width="14.796875" style="11" customWidth="1"/>
    <col min="16109" max="16109" width="9.53125" style="11" customWidth="1"/>
    <col min="16110" max="16110" width="10.53125" style="11" customWidth="1"/>
    <col min="16111" max="16111" width="9.19921875" style="11"/>
    <col min="16112" max="16112" width="13.265625" style="11" customWidth="1"/>
    <col min="16113" max="16113" width="11.19921875" style="11" customWidth="1"/>
    <col min="16114" max="16114" width="9.19921875" style="11"/>
    <col min="16115" max="16115" width="9.19921875" style="11" customWidth="1"/>
    <col min="16116" max="16116" width="11.265625" style="11" customWidth="1"/>
    <col min="16117" max="16122" width="9.19921875" style="11"/>
    <col min="16123" max="16123" width="11.46484375" style="11" customWidth="1"/>
    <col min="16124" max="16124" width="11.73046875" style="11" customWidth="1"/>
    <col min="16125" max="16131" width="9.19921875" style="11"/>
    <col min="16132" max="16132" width="11" style="11" customWidth="1"/>
    <col min="16133" max="16134" width="9.19921875" style="11"/>
    <col min="16135" max="16135" width="10.265625" style="11" customWidth="1"/>
    <col min="16136" max="16136" width="10.19921875" style="11" customWidth="1"/>
    <col min="16137" max="16137" width="12.19921875" style="11" customWidth="1"/>
    <col min="16138" max="16384" width="9.19921875" style="11"/>
  </cols>
  <sheetData>
    <row r="1" spans="1:38" ht="17.649999999999999" x14ac:dyDescent="0.5">
      <c r="A1" s="1346" t="s">
        <v>2505</v>
      </c>
    </row>
    <row r="2" spans="1:38" ht="15.4" x14ac:dyDescent="0.45">
      <c r="B2" s="1211"/>
      <c r="C2" s="1211"/>
      <c r="D2" s="1211"/>
      <c r="E2" s="1211"/>
      <c r="F2" s="1211"/>
      <c r="G2" s="1211"/>
      <c r="H2" s="1211"/>
      <c r="I2" s="1211"/>
    </row>
    <row r="3" spans="1:38" ht="15.4" x14ac:dyDescent="0.45">
      <c r="B3" s="1212" t="s">
        <v>992</v>
      </c>
      <c r="C3" s="1212" t="s">
        <v>1842</v>
      </c>
      <c r="D3" s="1212"/>
      <c r="E3" s="1211"/>
      <c r="F3" s="1211"/>
      <c r="G3" s="1211"/>
      <c r="H3" s="1211"/>
      <c r="I3" s="1211"/>
    </row>
    <row r="4" spans="1:38" ht="15.4" x14ac:dyDescent="0.45">
      <c r="B4" s="1211"/>
      <c r="C4" s="1213"/>
      <c r="D4" s="1211"/>
      <c r="E4" s="1211"/>
      <c r="F4" s="1211"/>
      <c r="G4" s="1211"/>
      <c r="H4" s="1211"/>
      <c r="I4" s="1211"/>
    </row>
    <row r="5" spans="1:38" ht="21.75" customHeight="1" x14ac:dyDescent="0.45">
      <c r="K5" s="1214"/>
    </row>
    <row r="6" spans="1:38" ht="14.25" customHeight="1" thickBot="1" x14ac:dyDescent="0.5">
      <c r="A6" s="1215"/>
      <c r="C6" s="1432" t="s">
        <v>202</v>
      </c>
      <c r="D6" s="1433"/>
      <c r="E6" s="1433"/>
      <c r="F6" s="1433"/>
      <c r="G6" s="1433"/>
      <c r="H6" s="1433"/>
      <c r="I6" s="1433"/>
      <c r="J6" s="1433"/>
      <c r="K6" s="1433"/>
      <c r="L6" s="1433"/>
      <c r="M6" s="1433"/>
      <c r="N6" s="1433"/>
      <c r="O6" s="1433"/>
      <c r="P6" s="1433"/>
      <c r="Q6" s="1434"/>
      <c r="R6" s="1432" t="s">
        <v>203</v>
      </c>
      <c r="S6" s="1425"/>
      <c r="T6" s="1425"/>
      <c r="U6" s="1425"/>
      <c r="V6" s="1426"/>
      <c r="W6" s="1435" t="s">
        <v>204</v>
      </c>
      <c r="X6" s="1436"/>
      <c r="Y6" s="1436"/>
      <c r="Z6" s="1436"/>
      <c r="AA6" s="1436"/>
      <c r="AB6" s="1436"/>
      <c r="AC6" s="1437"/>
      <c r="AD6" s="106"/>
      <c r="AG6" s="112"/>
      <c r="AH6" s="122"/>
      <c r="AI6" s="107"/>
      <c r="AJ6" s="122"/>
      <c r="AL6" s="122"/>
    </row>
    <row r="7" spans="1:38" ht="67.5" customHeight="1" x14ac:dyDescent="0.45">
      <c r="A7" s="1218"/>
      <c r="B7" s="1219" t="s">
        <v>205</v>
      </c>
      <c r="C7" s="1220" t="s">
        <v>206</v>
      </c>
      <c r="D7" s="1420" t="s">
        <v>17</v>
      </c>
      <c r="E7" s="1421"/>
      <c r="F7" s="1422"/>
      <c r="G7" s="1420" t="s">
        <v>172</v>
      </c>
      <c r="H7" s="1422"/>
      <c r="I7" s="1221" t="s">
        <v>207</v>
      </c>
      <c r="J7" s="1423" t="s">
        <v>208</v>
      </c>
      <c r="K7" s="1424"/>
      <c r="L7" s="1420" t="s">
        <v>209</v>
      </c>
      <c r="M7" s="1422"/>
      <c r="N7" s="1222" t="s">
        <v>210</v>
      </c>
      <c r="O7" s="1423" t="s">
        <v>211</v>
      </c>
      <c r="P7" s="1425"/>
      <c r="Q7" s="1426"/>
      <c r="R7" s="1420" t="s">
        <v>212</v>
      </c>
      <c r="S7" s="1426"/>
      <c r="T7" s="1223" t="s">
        <v>213</v>
      </c>
      <c r="U7" s="1221" t="s">
        <v>214</v>
      </c>
      <c r="V7" s="1224" t="s">
        <v>215</v>
      </c>
      <c r="W7" s="1427" t="s">
        <v>17</v>
      </c>
      <c r="X7" s="1428"/>
      <c r="Y7" s="1225" t="s">
        <v>172</v>
      </c>
      <c r="Z7" s="1226" t="s">
        <v>216</v>
      </c>
      <c r="AA7" s="1226" t="s">
        <v>217</v>
      </c>
      <c r="AB7" s="1227" t="s">
        <v>211</v>
      </c>
      <c r="AC7" s="1226" t="s">
        <v>218</v>
      </c>
      <c r="AD7" s="109"/>
      <c r="AF7" s="1228"/>
      <c r="AG7" s="1429" t="s">
        <v>219</v>
      </c>
      <c r="AH7" s="1229" t="s">
        <v>220</v>
      </c>
      <c r="AI7" s="1230" t="s">
        <v>221</v>
      </c>
      <c r="AJ7" s="1229" t="s">
        <v>220</v>
      </c>
      <c r="AK7" s="108"/>
      <c r="AL7" s="122"/>
    </row>
    <row r="8" spans="1:38" ht="26.25" customHeight="1" x14ac:dyDescent="0.45">
      <c r="A8" s="1218"/>
      <c r="B8" s="1234"/>
      <c r="C8" s="1220"/>
      <c r="D8" s="1222" t="s">
        <v>224</v>
      </c>
      <c r="E8" s="1235" t="s">
        <v>225</v>
      </c>
      <c r="F8" s="1236"/>
      <c r="G8" s="1237"/>
      <c r="H8" s="1238"/>
      <c r="I8" s="1222"/>
      <c r="J8" s="1224"/>
      <c r="K8" s="1220"/>
      <c r="L8" s="1235"/>
      <c r="M8" s="1238"/>
      <c r="N8" s="1222"/>
      <c r="O8" s="1239"/>
      <c r="P8" s="1240"/>
      <c r="Q8" s="1241"/>
      <c r="R8" s="1237"/>
      <c r="S8" s="1242"/>
      <c r="T8" s="1243"/>
      <c r="U8" s="1224"/>
      <c r="V8" s="1224"/>
      <c r="W8" s="1224" t="s">
        <v>226</v>
      </c>
      <c r="X8" s="1244" t="s">
        <v>225</v>
      </c>
      <c r="Y8" s="1244"/>
      <c r="Z8" s="1245"/>
      <c r="AA8" s="1243"/>
      <c r="AB8" s="1245"/>
      <c r="AC8" s="1246"/>
      <c r="AD8" s="109"/>
      <c r="AF8" s="121"/>
      <c r="AG8" s="1430"/>
      <c r="AH8" s="1247"/>
      <c r="AI8" s="1248"/>
      <c r="AJ8" s="1247"/>
      <c r="AK8" s="108"/>
      <c r="AL8" s="122"/>
    </row>
    <row r="9" spans="1:38" ht="15" customHeight="1" x14ac:dyDescent="0.45">
      <c r="B9" s="1253"/>
      <c r="C9" s="1254"/>
      <c r="D9" s="1236" t="s">
        <v>227</v>
      </c>
      <c r="E9" s="1236" t="s">
        <v>227</v>
      </c>
      <c r="F9" s="1236" t="s">
        <v>228</v>
      </c>
      <c r="G9" s="1237" t="s">
        <v>227</v>
      </c>
      <c r="H9" s="1236" t="s">
        <v>228</v>
      </c>
      <c r="I9" s="1237" t="s">
        <v>228</v>
      </c>
      <c r="J9" s="1236" t="s">
        <v>227</v>
      </c>
      <c r="K9" s="1238" t="s">
        <v>228</v>
      </c>
      <c r="L9" s="1236" t="s">
        <v>227</v>
      </c>
      <c r="M9" s="1236" t="s">
        <v>228</v>
      </c>
      <c r="N9" s="1236" t="s">
        <v>227</v>
      </c>
      <c r="O9" s="1255" t="s">
        <v>227</v>
      </c>
      <c r="P9" s="1236" t="s">
        <v>228</v>
      </c>
      <c r="Q9" s="1236" t="s">
        <v>229</v>
      </c>
      <c r="R9" s="1238" t="s">
        <v>227</v>
      </c>
      <c r="S9" s="1238" t="s">
        <v>228</v>
      </c>
      <c r="T9" s="1237" t="s">
        <v>230</v>
      </c>
      <c r="U9" s="1235" t="s">
        <v>228</v>
      </c>
      <c r="V9" s="1236" t="s">
        <v>228</v>
      </c>
      <c r="W9" s="1413" t="s">
        <v>231</v>
      </c>
      <c r="X9" s="1414"/>
      <c r="Y9" s="1414"/>
      <c r="Z9" s="1414"/>
      <c r="AA9" s="1414"/>
      <c r="AB9" s="1414"/>
      <c r="AC9" s="1403"/>
      <c r="AD9" s="111"/>
      <c r="AF9" s="121"/>
      <c r="AG9" s="1431"/>
      <c r="AH9" s="1225" t="s">
        <v>203</v>
      </c>
      <c r="AI9" s="1256" t="s">
        <v>231</v>
      </c>
      <c r="AJ9" s="1225" t="s">
        <v>1022</v>
      </c>
      <c r="AK9" s="110"/>
      <c r="AL9" s="122"/>
    </row>
    <row r="10" spans="1:38" x14ac:dyDescent="0.45">
      <c r="A10" s="10">
        <v>1820</v>
      </c>
      <c r="B10" s="1234"/>
      <c r="C10" s="1259"/>
      <c r="D10" s="1260"/>
      <c r="E10" s="1261"/>
      <c r="F10" s="1261"/>
      <c r="G10" s="126"/>
      <c r="H10" s="1262"/>
      <c r="I10" s="1262"/>
      <c r="J10" s="1262"/>
      <c r="K10" s="1262"/>
      <c r="L10" s="1262"/>
      <c r="M10" s="1263"/>
      <c r="N10" s="1255"/>
      <c r="O10" s="1255"/>
      <c r="P10" s="126"/>
      <c r="Q10" s="1255"/>
      <c r="R10" s="1260"/>
      <c r="S10" s="126"/>
      <c r="T10" s="1262"/>
      <c r="U10" s="126"/>
      <c r="V10" s="1255"/>
      <c r="W10" s="1264"/>
      <c r="X10" s="12"/>
      <c r="Y10" s="12"/>
      <c r="Z10" s="12"/>
      <c r="AA10" s="12"/>
      <c r="AB10" s="12"/>
      <c r="AC10" s="124"/>
      <c r="AD10" s="111"/>
      <c r="AF10" s="121"/>
      <c r="AG10" s="1265"/>
      <c r="AH10" s="1266"/>
      <c r="AI10" s="1267"/>
      <c r="AJ10" s="1266"/>
      <c r="AK10" s="110"/>
      <c r="AL10" s="122"/>
    </row>
    <row r="11" spans="1:38" x14ac:dyDescent="0.45">
      <c r="A11" s="10">
        <v>1821</v>
      </c>
      <c r="B11" s="1234"/>
      <c r="C11" s="1259"/>
      <c r="D11" s="1260"/>
      <c r="E11" s="1261"/>
      <c r="F11" s="1261"/>
      <c r="G11" s="126"/>
      <c r="H11" s="1262"/>
      <c r="I11" s="1262"/>
      <c r="J11" s="1262"/>
      <c r="K11" s="1262"/>
      <c r="L11" s="1262"/>
      <c r="M11" s="1263"/>
      <c r="N11" s="1255"/>
      <c r="O11" s="1255"/>
      <c r="P11" s="126"/>
      <c r="Q11" s="1255"/>
      <c r="R11" s="1260"/>
      <c r="S11" s="126"/>
      <c r="T11" s="1262"/>
      <c r="U11" s="126"/>
      <c r="V11" s="1255"/>
      <c r="W11" s="1264"/>
      <c r="X11" s="12"/>
      <c r="Y11" s="12"/>
      <c r="Z11" s="12"/>
      <c r="AA11" s="12"/>
      <c r="AB11" s="12"/>
      <c r="AC11" s="124"/>
      <c r="AD11" s="111"/>
      <c r="AF11" s="121"/>
      <c r="AG11" s="1265"/>
      <c r="AH11" s="1266"/>
      <c r="AI11" s="1267"/>
      <c r="AJ11" s="1266"/>
      <c r="AK11" s="110"/>
      <c r="AL11" s="122"/>
    </row>
    <row r="12" spans="1:38" x14ac:dyDescent="0.45">
      <c r="A12" s="10">
        <v>1822</v>
      </c>
      <c r="B12" s="1234"/>
      <c r="C12" s="1259"/>
      <c r="D12" s="1260"/>
      <c r="E12" s="1261"/>
      <c r="F12" s="1261"/>
      <c r="G12" s="126"/>
      <c r="H12" s="1262"/>
      <c r="I12" s="1262"/>
      <c r="J12" s="1262"/>
      <c r="K12" s="1262"/>
      <c r="L12" s="1262"/>
      <c r="M12" s="1263"/>
      <c r="N12" s="1255"/>
      <c r="O12" s="1255">
        <f t="shared" ref="O12:O22" si="0">AH12</f>
        <v>212.67857142857144</v>
      </c>
      <c r="P12" s="126"/>
      <c r="Q12" s="1255">
        <f t="shared" ref="Q12:Q69" si="1">O12</f>
        <v>212.67857142857144</v>
      </c>
      <c r="R12" s="1260"/>
      <c r="S12" s="126"/>
      <c r="T12" s="1262"/>
      <c r="U12" s="126"/>
      <c r="V12" s="1255"/>
      <c r="W12" s="1264"/>
      <c r="X12" s="12"/>
      <c r="Y12" s="12"/>
      <c r="Z12" s="12"/>
      <c r="AA12" s="12"/>
      <c r="AB12" s="12"/>
      <c r="AC12" s="124"/>
      <c r="AD12" s="111"/>
      <c r="AF12" s="121"/>
      <c r="AG12" s="1265"/>
      <c r="AH12" s="1273">
        <f>AJ12/Units!$C$23*Units!$C$22/Units!$C$18*10^9/1000</f>
        <v>212.67857142857144</v>
      </c>
      <c r="AI12" s="1267"/>
      <c r="AJ12" s="1274">
        <v>1.48875</v>
      </c>
      <c r="AK12" s="110"/>
      <c r="AL12" s="122"/>
    </row>
    <row r="13" spans="1:38" x14ac:dyDescent="0.45">
      <c r="A13" s="10">
        <v>1823</v>
      </c>
      <c r="B13" s="1234"/>
      <c r="C13" s="1259"/>
      <c r="D13" s="1260"/>
      <c r="E13" s="1261"/>
      <c r="F13" s="1261"/>
      <c r="G13" s="126"/>
      <c r="H13" s="1262"/>
      <c r="I13" s="1262"/>
      <c r="J13" s="1262"/>
      <c r="K13" s="1262"/>
      <c r="L13" s="1262"/>
      <c r="M13" s="1263"/>
      <c r="N13" s="1255"/>
      <c r="O13" s="1255">
        <f t="shared" si="0"/>
        <v>227.22527472527477</v>
      </c>
      <c r="P13" s="126"/>
      <c r="Q13" s="1255">
        <f t="shared" si="1"/>
        <v>227.22527472527477</v>
      </c>
      <c r="R13" s="1260"/>
      <c r="S13" s="126"/>
      <c r="T13" s="1262"/>
      <c r="U13" s="126"/>
      <c r="V13" s="1255"/>
      <c r="W13" s="1264"/>
      <c r="X13" s="12"/>
      <c r="Y13" s="12"/>
      <c r="Z13" s="12"/>
      <c r="AA13" s="12"/>
      <c r="AB13" s="12"/>
      <c r="AC13" s="124"/>
      <c r="AD13" s="111"/>
      <c r="AF13" s="121"/>
      <c r="AG13" s="1265"/>
      <c r="AH13" s="1273">
        <f>AJ13/Units!$C$23*Units!$C$22/Units!$C$18*10^9/1000</f>
        <v>227.22527472527477</v>
      </c>
      <c r="AI13" s="1267"/>
      <c r="AJ13" s="1274">
        <v>1.5905769230769233</v>
      </c>
      <c r="AK13" s="110"/>
      <c r="AL13" s="122"/>
    </row>
    <row r="14" spans="1:38" x14ac:dyDescent="0.45">
      <c r="A14" s="10">
        <v>1824</v>
      </c>
      <c r="B14" s="1234"/>
      <c r="C14" s="1259"/>
      <c r="D14" s="1260"/>
      <c r="E14" s="1261"/>
      <c r="F14" s="1261"/>
      <c r="G14" s="126"/>
      <c r="H14" s="1262"/>
      <c r="I14" s="1262"/>
      <c r="J14" s="1262"/>
      <c r="K14" s="1262"/>
      <c r="L14" s="1262"/>
      <c r="M14" s="1263"/>
      <c r="N14" s="1255"/>
      <c r="O14" s="1255">
        <f t="shared" si="0"/>
        <v>241.77197802197801</v>
      </c>
      <c r="P14" s="126"/>
      <c r="Q14" s="1255">
        <f t="shared" si="1"/>
        <v>241.77197802197801</v>
      </c>
      <c r="R14" s="1260"/>
      <c r="S14" s="126"/>
      <c r="T14" s="1262"/>
      <c r="U14" s="126"/>
      <c r="V14" s="1255"/>
      <c r="W14" s="1264"/>
      <c r="X14" s="12"/>
      <c r="Y14" s="12"/>
      <c r="Z14" s="12"/>
      <c r="AA14" s="12"/>
      <c r="AB14" s="12"/>
      <c r="AC14" s="124"/>
      <c r="AD14" s="111"/>
      <c r="AF14" s="121"/>
      <c r="AG14" s="1265"/>
      <c r="AH14" s="1273">
        <f>AJ14/Units!$C$23*Units!$C$22/Units!$C$18*10^9/1000</f>
        <v>241.77197802197801</v>
      </c>
      <c r="AI14" s="1267"/>
      <c r="AJ14" s="1274">
        <v>1.6924038461538462</v>
      </c>
      <c r="AK14" s="110"/>
      <c r="AL14" s="122"/>
    </row>
    <row r="15" spans="1:38" x14ac:dyDescent="0.45">
      <c r="A15" s="10">
        <v>1825</v>
      </c>
      <c r="B15" s="1234"/>
      <c r="C15" s="1259"/>
      <c r="D15" s="1260"/>
      <c r="E15" s="1261"/>
      <c r="F15" s="1261"/>
      <c r="G15" s="126"/>
      <c r="H15" s="1262"/>
      <c r="I15" s="1262"/>
      <c r="J15" s="1262"/>
      <c r="K15" s="1262"/>
      <c r="L15" s="1262"/>
      <c r="M15" s="1263"/>
      <c r="N15" s="1255"/>
      <c r="O15" s="1255">
        <f t="shared" si="0"/>
        <v>256.31868131868129</v>
      </c>
      <c r="P15" s="126"/>
      <c r="Q15" s="1255">
        <f t="shared" si="1"/>
        <v>256.31868131868129</v>
      </c>
      <c r="R15" s="1260"/>
      <c r="S15" s="126"/>
      <c r="T15" s="1262"/>
      <c r="U15" s="126"/>
      <c r="V15" s="1255"/>
      <c r="W15" s="1264"/>
      <c r="X15" s="12"/>
      <c r="Y15" s="12"/>
      <c r="Z15" s="12"/>
      <c r="AA15" s="12"/>
      <c r="AB15" s="12"/>
      <c r="AC15" s="124"/>
      <c r="AD15" s="111"/>
      <c r="AF15" s="121"/>
      <c r="AG15" s="1265"/>
      <c r="AH15" s="1273">
        <f>AJ15/Units!$C$23*Units!$C$22/Units!$C$18*10^9/1000</f>
        <v>256.31868131868129</v>
      </c>
      <c r="AI15" s="1267"/>
      <c r="AJ15" s="1274">
        <v>1.7942307692307691</v>
      </c>
      <c r="AK15" s="110"/>
      <c r="AL15" s="122"/>
    </row>
    <row r="16" spans="1:38" x14ac:dyDescent="0.45">
      <c r="A16" s="10">
        <v>1826</v>
      </c>
      <c r="B16" s="1234"/>
      <c r="C16" s="1259"/>
      <c r="D16" s="1260"/>
      <c r="E16" s="1261"/>
      <c r="F16" s="1261"/>
      <c r="G16" s="126"/>
      <c r="H16" s="1262"/>
      <c r="I16" s="1262"/>
      <c r="J16" s="1262"/>
      <c r="K16" s="1262"/>
      <c r="L16" s="1262"/>
      <c r="M16" s="1263"/>
      <c r="N16" s="1255"/>
      <c r="O16" s="1255">
        <f t="shared" si="0"/>
        <v>270.86538461538458</v>
      </c>
      <c r="P16" s="126"/>
      <c r="Q16" s="1255">
        <f t="shared" si="1"/>
        <v>270.86538461538458</v>
      </c>
      <c r="R16" s="1260"/>
      <c r="S16" s="126"/>
      <c r="T16" s="1262"/>
      <c r="U16" s="126"/>
      <c r="V16" s="1255"/>
      <c r="W16" s="1264"/>
      <c r="X16" s="12"/>
      <c r="Y16" s="12"/>
      <c r="Z16" s="12"/>
      <c r="AA16" s="12"/>
      <c r="AB16" s="12"/>
      <c r="AC16" s="124"/>
      <c r="AD16" s="111"/>
      <c r="AF16" s="121"/>
      <c r="AG16" s="1265"/>
      <c r="AH16" s="1273">
        <f>AJ16/Units!$C$23*Units!$C$22/Units!$C$18*10^9/1000</f>
        <v>270.86538461538458</v>
      </c>
      <c r="AI16" s="1267"/>
      <c r="AJ16" s="1274">
        <v>1.8960576923076922</v>
      </c>
      <c r="AK16" s="110"/>
      <c r="AL16" s="122"/>
    </row>
    <row r="17" spans="1:38" x14ac:dyDescent="0.45">
      <c r="A17" s="10">
        <v>1827</v>
      </c>
      <c r="B17" s="1234"/>
      <c r="C17" s="1259"/>
      <c r="D17" s="1260"/>
      <c r="E17" s="1261"/>
      <c r="F17" s="1261"/>
      <c r="G17" s="126"/>
      <c r="H17" s="1262"/>
      <c r="I17" s="1262"/>
      <c r="J17" s="1262"/>
      <c r="K17" s="1262"/>
      <c r="L17" s="1262"/>
      <c r="M17" s="1263"/>
      <c r="N17" s="1255"/>
      <c r="O17" s="1255">
        <f t="shared" si="0"/>
        <v>285.41208791208794</v>
      </c>
      <c r="P17" s="126"/>
      <c r="Q17" s="1255">
        <f t="shared" si="1"/>
        <v>285.41208791208794</v>
      </c>
      <c r="R17" s="1260"/>
      <c r="S17" s="126"/>
      <c r="T17" s="1262"/>
      <c r="U17" s="126"/>
      <c r="V17" s="1255"/>
      <c r="W17" s="1264"/>
      <c r="X17" s="12"/>
      <c r="Y17" s="12"/>
      <c r="Z17" s="12"/>
      <c r="AA17" s="12"/>
      <c r="AB17" s="12"/>
      <c r="AC17" s="124"/>
      <c r="AD17" s="111"/>
      <c r="AF17" s="121"/>
      <c r="AG17" s="1265"/>
      <c r="AH17" s="1273">
        <f>AJ17/Units!$C$23*Units!$C$22/Units!$C$18*10^9/1000</f>
        <v>285.41208791208794</v>
      </c>
      <c r="AI17" s="1267"/>
      <c r="AJ17" s="1274">
        <v>1.9978846153846155</v>
      </c>
      <c r="AK17" s="110"/>
      <c r="AL17" s="122"/>
    </row>
    <row r="18" spans="1:38" x14ac:dyDescent="0.45">
      <c r="A18" s="10">
        <v>1828</v>
      </c>
      <c r="B18" s="1234"/>
      <c r="C18" s="1259"/>
      <c r="D18" s="1260"/>
      <c r="E18" s="1261"/>
      <c r="F18" s="1261"/>
      <c r="G18" s="126"/>
      <c r="H18" s="1262"/>
      <c r="I18" s="1262"/>
      <c r="J18" s="1262"/>
      <c r="K18" s="1262"/>
      <c r="L18" s="1262"/>
      <c r="M18" s="1263"/>
      <c r="N18" s="1255"/>
      <c r="O18" s="1255">
        <f t="shared" si="0"/>
        <v>299.95879120879124</v>
      </c>
      <c r="P18" s="126"/>
      <c r="Q18" s="1255">
        <f t="shared" si="1"/>
        <v>299.95879120879124</v>
      </c>
      <c r="R18" s="1260"/>
      <c r="S18" s="126"/>
      <c r="T18" s="1262"/>
      <c r="U18" s="126"/>
      <c r="V18" s="1255"/>
      <c r="W18" s="1264"/>
      <c r="X18" s="12"/>
      <c r="Y18" s="12"/>
      <c r="Z18" s="12"/>
      <c r="AA18" s="12"/>
      <c r="AB18" s="12"/>
      <c r="AC18" s="124"/>
      <c r="AD18" s="111"/>
      <c r="AF18" s="121"/>
      <c r="AG18" s="1265"/>
      <c r="AH18" s="1273">
        <f>AJ18/Units!$C$23*Units!$C$22/Units!$C$18*10^9/1000</f>
        <v>299.95879120879124</v>
      </c>
      <c r="AI18" s="1267"/>
      <c r="AJ18" s="1274">
        <v>2.0997115384615386</v>
      </c>
      <c r="AK18" s="110"/>
      <c r="AL18" s="122"/>
    </row>
    <row r="19" spans="1:38" x14ac:dyDescent="0.45">
      <c r="A19" s="10">
        <v>1829</v>
      </c>
      <c r="B19" s="1234"/>
      <c r="C19" s="1259"/>
      <c r="D19" s="1260"/>
      <c r="E19" s="1261"/>
      <c r="F19" s="1261"/>
      <c r="G19" s="126"/>
      <c r="H19" s="1262"/>
      <c r="I19" s="1262"/>
      <c r="J19" s="1262"/>
      <c r="K19" s="1262"/>
      <c r="L19" s="1262"/>
      <c r="M19" s="1263"/>
      <c r="N19" s="1255"/>
      <c r="O19" s="1255">
        <f t="shared" si="0"/>
        <v>314.5054945054946</v>
      </c>
      <c r="P19" s="126"/>
      <c r="Q19" s="1255">
        <f t="shared" si="1"/>
        <v>314.5054945054946</v>
      </c>
      <c r="R19" s="1260"/>
      <c r="S19" s="126"/>
      <c r="T19" s="1262"/>
      <c r="U19" s="126"/>
      <c r="V19" s="1255"/>
      <c r="W19" s="1264"/>
      <c r="X19" s="12"/>
      <c r="Y19" s="12"/>
      <c r="Z19" s="12"/>
      <c r="AA19" s="12"/>
      <c r="AB19" s="12"/>
      <c r="AC19" s="124"/>
      <c r="AD19" s="111"/>
      <c r="AF19" s="121"/>
      <c r="AG19" s="1265"/>
      <c r="AH19" s="1273">
        <f>AJ19/Units!$C$23*Units!$C$22/Units!$C$18*10^9/1000</f>
        <v>314.5054945054946</v>
      </c>
      <c r="AI19" s="1267"/>
      <c r="AJ19" s="1274">
        <v>2.2015384615384619</v>
      </c>
      <c r="AK19" s="110"/>
      <c r="AL19" s="122"/>
    </row>
    <row r="20" spans="1:38" x14ac:dyDescent="0.45">
      <c r="A20" s="10">
        <v>1830</v>
      </c>
      <c r="B20" s="1234"/>
      <c r="C20" s="1259"/>
      <c r="D20" s="1260"/>
      <c r="E20" s="1261"/>
      <c r="F20" s="1261"/>
      <c r="G20" s="126"/>
      <c r="H20" s="1262"/>
      <c r="I20" s="1262"/>
      <c r="J20" s="1262"/>
      <c r="K20" s="1262"/>
      <c r="L20" s="1262"/>
      <c r="M20" s="1263"/>
      <c r="N20" s="1255"/>
      <c r="O20" s="1255">
        <f t="shared" si="0"/>
        <v>342.21428571428578</v>
      </c>
      <c r="P20" s="126"/>
      <c r="Q20" s="1255">
        <f t="shared" si="1"/>
        <v>342.21428571428578</v>
      </c>
      <c r="R20" s="1260"/>
      <c r="S20" s="126"/>
      <c r="T20" s="1262"/>
      <c r="U20" s="126"/>
      <c r="V20" s="1255"/>
      <c r="W20" s="1264"/>
      <c r="X20" s="12"/>
      <c r="Y20" s="12"/>
      <c r="Z20" s="12"/>
      <c r="AA20" s="12"/>
      <c r="AB20" s="12"/>
      <c r="AC20" s="124"/>
      <c r="AD20" s="111"/>
      <c r="AF20" s="121"/>
      <c r="AG20" s="1265"/>
      <c r="AH20" s="1273">
        <f>AJ20/Units!$C$23*Units!$C$22/Units!$C$18*10^9/1000</f>
        <v>342.21428571428578</v>
      </c>
      <c r="AI20" s="1267"/>
      <c r="AJ20" s="1274">
        <v>2.3955000000000006</v>
      </c>
      <c r="AK20" s="110"/>
      <c r="AL20" s="122"/>
    </row>
    <row r="21" spans="1:38" x14ac:dyDescent="0.45">
      <c r="A21" s="10">
        <v>1831</v>
      </c>
      <c r="B21" s="1234"/>
      <c r="C21" s="1259"/>
      <c r="D21" s="1260"/>
      <c r="E21" s="1261"/>
      <c r="F21" s="1261"/>
      <c r="G21" s="126"/>
      <c r="H21" s="1262"/>
      <c r="I21" s="1262"/>
      <c r="J21" s="1262"/>
      <c r="K21" s="1262"/>
      <c r="L21" s="1262"/>
      <c r="M21" s="1263"/>
      <c r="N21" s="1255"/>
      <c r="O21" s="1255">
        <f t="shared" si="0"/>
        <v>357.34285714285727</v>
      </c>
      <c r="P21" s="126"/>
      <c r="Q21" s="1255">
        <f t="shared" si="1"/>
        <v>357.34285714285727</v>
      </c>
      <c r="R21" s="1260"/>
      <c r="S21" s="126"/>
      <c r="T21" s="1262"/>
      <c r="U21" s="126"/>
      <c r="V21" s="1255"/>
      <c r="W21" s="1264"/>
      <c r="X21" s="12"/>
      <c r="Y21" s="12"/>
      <c r="Z21" s="12"/>
      <c r="AA21" s="12"/>
      <c r="AB21" s="12"/>
      <c r="AC21" s="124"/>
      <c r="AD21" s="111"/>
      <c r="AF21" s="121"/>
      <c r="AG21" s="1265"/>
      <c r="AH21" s="1273">
        <f>AJ21/Units!$C$23*Units!$C$22/Units!$C$18*10^9/1000</f>
        <v>357.34285714285727</v>
      </c>
      <c r="AI21" s="1267"/>
      <c r="AJ21" s="1274">
        <v>2.5014000000000007</v>
      </c>
      <c r="AK21" s="110"/>
      <c r="AL21" s="122"/>
    </row>
    <row r="22" spans="1:38" x14ac:dyDescent="0.45">
      <c r="A22" s="10">
        <v>1832</v>
      </c>
      <c r="B22" s="1234"/>
      <c r="C22" s="1259"/>
      <c r="D22" s="1260"/>
      <c r="E22" s="1261"/>
      <c r="F22" s="1261"/>
      <c r="G22" s="126"/>
      <c r="H22" s="1262"/>
      <c r="I22" s="1262"/>
      <c r="J22" s="1262"/>
      <c r="K22" s="1262"/>
      <c r="L22" s="1262"/>
      <c r="M22" s="1263"/>
      <c r="N22" s="1255"/>
      <c r="O22" s="1255">
        <f t="shared" si="0"/>
        <v>372.47142857142865</v>
      </c>
      <c r="P22" s="126"/>
      <c r="Q22" s="1255">
        <f t="shared" si="1"/>
        <v>372.47142857142865</v>
      </c>
      <c r="R22" s="1260"/>
      <c r="S22" s="126"/>
      <c r="T22" s="1262"/>
      <c r="U22" s="126"/>
      <c r="V22" s="1255"/>
      <c r="W22" s="1264"/>
      <c r="X22" s="12"/>
      <c r="Y22" s="12"/>
      <c r="Z22" s="12"/>
      <c r="AA22" s="12"/>
      <c r="AB22" s="12"/>
      <c r="AC22" s="124"/>
      <c r="AD22" s="111"/>
      <c r="AF22" s="121"/>
      <c r="AG22" s="1265"/>
      <c r="AH22" s="1273">
        <f>AJ22/Units!$C$23*Units!$C$22/Units!$C$18*10^9/1000</f>
        <v>372.47142857142865</v>
      </c>
      <c r="AI22" s="1267"/>
      <c r="AJ22" s="1274">
        <v>2.6073000000000008</v>
      </c>
      <c r="AK22" s="110"/>
      <c r="AL22" s="122"/>
    </row>
    <row r="23" spans="1:38" x14ac:dyDescent="0.45">
      <c r="A23" s="10">
        <v>1833</v>
      </c>
      <c r="B23" s="1234"/>
      <c r="C23" s="1259"/>
      <c r="D23" s="1260"/>
      <c r="E23" s="1261"/>
      <c r="F23" s="1261"/>
      <c r="G23" s="126"/>
      <c r="H23" s="1262"/>
      <c r="I23" s="1262"/>
      <c r="J23" s="1262"/>
      <c r="K23" s="1262"/>
      <c r="L23" s="1262"/>
      <c r="M23" s="1263"/>
      <c r="N23" s="1255"/>
      <c r="O23" s="1255">
        <f>AH23</f>
        <v>387.60000000000019</v>
      </c>
      <c r="P23" s="126"/>
      <c r="Q23" s="1255">
        <f t="shared" si="1"/>
        <v>387.60000000000019</v>
      </c>
      <c r="R23" s="1260"/>
      <c r="S23" s="126"/>
      <c r="T23" s="1262"/>
      <c r="U23" s="126"/>
      <c r="V23" s="1255"/>
      <c r="W23" s="1264"/>
      <c r="X23" s="12"/>
      <c r="Y23" s="12"/>
      <c r="Z23" s="12"/>
      <c r="AA23" s="12"/>
      <c r="AB23" s="12"/>
      <c r="AC23" s="124"/>
      <c r="AD23" s="111"/>
      <c r="AF23" s="121"/>
      <c r="AG23" s="1265"/>
      <c r="AH23" s="1273">
        <f>AJ23/Units!$C$23*Units!$C$22/Units!$C$18*10^9/1000</f>
        <v>387.60000000000019</v>
      </c>
      <c r="AI23" s="1267"/>
      <c r="AJ23" s="1274">
        <v>2.7132000000000009</v>
      </c>
      <c r="AK23" s="110"/>
      <c r="AL23" s="122"/>
    </row>
    <row r="24" spans="1:38" x14ac:dyDescent="0.45">
      <c r="A24" s="10">
        <v>1834</v>
      </c>
      <c r="B24" s="1234"/>
      <c r="C24" s="1259"/>
      <c r="D24" s="1260"/>
      <c r="E24" s="1261"/>
      <c r="F24" s="1261"/>
      <c r="G24" s="126"/>
      <c r="H24" s="1262"/>
      <c r="I24" s="1262"/>
      <c r="J24" s="1262"/>
      <c r="K24" s="1262"/>
      <c r="L24" s="1262"/>
      <c r="M24" s="1263"/>
      <c r="N24" s="1255"/>
      <c r="O24" s="1255">
        <f t="shared" ref="O24:O70" si="2">AH24</f>
        <v>402.72857142857163</v>
      </c>
      <c r="P24" s="126"/>
      <c r="Q24" s="1255">
        <f t="shared" si="1"/>
        <v>402.72857142857163</v>
      </c>
      <c r="R24" s="1260"/>
      <c r="S24" s="126"/>
      <c r="T24" s="1262"/>
      <c r="U24" s="126"/>
      <c r="V24" s="1255"/>
      <c r="W24" s="1264"/>
      <c r="X24" s="12"/>
      <c r="Y24" s="12"/>
      <c r="Z24" s="12"/>
      <c r="AA24" s="12"/>
      <c r="AB24" s="12"/>
      <c r="AC24" s="124"/>
      <c r="AD24" s="111"/>
      <c r="AF24" s="121"/>
      <c r="AG24" s="1265"/>
      <c r="AH24" s="1273">
        <f>AJ24/Units!$C$23*Units!$C$22/Units!$C$18*10^9/1000</f>
        <v>402.72857142857163</v>
      </c>
      <c r="AI24" s="1267"/>
      <c r="AJ24" s="1274">
        <v>2.8191000000000015</v>
      </c>
      <c r="AK24" s="110"/>
      <c r="AL24" s="122"/>
    </row>
    <row r="25" spans="1:38" x14ac:dyDescent="0.45">
      <c r="A25" s="10">
        <v>1835</v>
      </c>
      <c r="B25" s="1234"/>
      <c r="C25" s="1259"/>
      <c r="D25" s="1260"/>
      <c r="E25" s="1261"/>
      <c r="F25" s="1261"/>
      <c r="G25" s="126"/>
      <c r="H25" s="1262"/>
      <c r="I25" s="1262"/>
      <c r="J25" s="1262"/>
      <c r="K25" s="1262"/>
      <c r="L25" s="1262"/>
      <c r="M25" s="1263"/>
      <c r="N25" s="1255"/>
      <c r="O25" s="1255">
        <f t="shared" si="2"/>
        <v>417.85714285714289</v>
      </c>
      <c r="P25" s="126"/>
      <c r="Q25" s="1255">
        <f t="shared" si="1"/>
        <v>417.85714285714289</v>
      </c>
      <c r="R25" s="1260"/>
      <c r="S25" s="126"/>
      <c r="T25" s="1262"/>
      <c r="U25" s="126"/>
      <c r="V25" s="1255"/>
      <c r="W25" s="1264"/>
      <c r="X25" s="12"/>
      <c r="Y25" s="12"/>
      <c r="Z25" s="12"/>
      <c r="AA25" s="12"/>
      <c r="AB25" s="12"/>
      <c r="AC25" s="124"/>
      <c r="AD25" s="111"/>
      <c r="AF25" s="121"/>
      <c r="AG25" s="1265"/>
      <c r="AH25" s="1273">
        <f>AJ25/Units!$C$23*Units!$C$22/Units!$C$18*10^9/1000</f>
        <v>417.85714285714289</v>
      </c>
      <c r="AI25" s="1267"/>
      <c r="AJ25" s="1274">
        <v>2.9250000000000003</v>
      </c>
      <c r="AK25" s="110"/>
      <c r="AL25" s="122"/>
    </row>
    <row r="26" spans="1:38" x14ac:dyDescent="0.45">
      <c r="A26" s="10">
        <v>1836</v>
      </c>
      <c r="B26" s="1234"/>
      <c r="C26" s="1259"/>
      <c r="D26" s="1260"/>
      <c r="E26" s="1261"/>
      <c r="F26" s="1261"/>
      <c r="G26" s="126"/>
      <c r="H26" s="1262"/>
      <c r="I26" s="1262"/>
      <c r="J26" s="1262"/>
      <c r="K26" s="1262"/>
      <c r="L26" s="1262"/>
      <c r="M26" s="1263"/>
      <c r="N26" s="1255"/>
      <c r="O26" s="1255">
        <f t="shared" si="2"/>
        <v>483.52040816326536</v>
      </c>
      <c r="P26" s="126"/>
      <c r="Q26" s="1255">
        <f t="shared" si="1"/>
        <v>483.52040816326536</v>
      </c>
      <c r="R26" s="1260"/>
      <c r="S26" s="126"/>
      <c r="T26" s="1262"/>
      <c r="U26" s="126"/>
      <c r="V26" s="1255"/>
      <c r="W26" s="1264"/>
      <c r="X26" s="12"/>
      <c r="Y26" s="12"/>
      <c r="Z26" s="12"/>
      <c r="AA26" s="12"/>
      <c r="AB26" s="12"/>
      <c r="AC26" s="124"/>
      <c r="AD26" s="111"/>
      <c r="AF26" s="121"/>
      <c r="AG26" s="1265"/>
      <c r="AH26" s="1273">
        <f>AJ26/Units!$C$23*Units!$C$22/Units!$C$18*10^9/1000</f>
        <v>483.52040816326536</v>
      </c>
      <c r="AI26" s="1267"/>
      <c r="AJ26" s="1274">
        <v>3.3846428571428575</v>
      </c>
      <c r="AK26" s="110"/>
      <c r="AL26" s="122"/>
    </row>
    <row r="27" spans="1:38" x14ac:dyDescent="0.45">
      <c r="A27" s="10">
        <v>1837</v>
      </c>
      <c r="B27" s="1234"/>
      <c r="C27" s="1259"/>
      <c r="D27" s="1260"/>
      <c r="E27" s="1261"/>
      <c r="F27" s="1261"/>
      <c r="G27" s="126"/>
      <c r="H27" s="1262"/>
      <c r="I27" s="1262"/>
      <c r="J27" s="1262"/>
      <c r="K27" s="1262"/>
      <c r="L27" s="1262"/>
      <c r="M27" s="1263"/>
      <c r="N27" s="1255"/>
      <c r="O27" s="1255">
        <f t="shared" si="2"/>
        <v>549.18367346938771</v>
      </c>
      <c r="P27" s="126"/>
      <c r="Q27" s="1255">
        <f t="shared" si="1"/>
        <v>549.18367346938771</v>
      </c>
      <c r="R27" s="1260"/>
      <c r="S27" s="126"/>
      <c r="T27" s="1262"/>
      <c r="U27" s="126"/>
      <c r="V27" s="1255"/>
      <c r="W27" s="1264"/>
      <c r="X27" s="12"/>
      <c r="Y27" s="12"/>
      <c r="Z27" s="12"/>
      <c r="AA27" s="12"/>
      <c r="AB27" s="12"/>
      <c r="AC27" s="124"/>
      <c r="AD27" s="111"/>
      <c r="AF27" s="121"/>
      <c r="AG27" s="1265"/>
      <c r="AH27" s="1273">
        <f>AJ27/Units!$C$23*Units!$C$22/Units!$C$18*10^9/1000</f>
        <v>549.18367346938771</v>
      </c>
      <c r="AI27" s="1267"/>
      <c r="AJ27" s="1274">
        <v>3.8442857142857148</v>
      </c>
      <c r="AK27" s="110"/>
      <c r="AL27" s="122"/>
    </row>
    <row r="28" spans="1:38" x14ac:dyDescent="0.45">
      <c r="A28" s="10">
        <v>1838</v>
      </c>
      <c r="B28" s="1234"/>
      <c r="C28" s="1259"/>
      <c r="D28" s="1260"/>
      <c r="E28" s="1261"/>
      <c r="F28" s="1261"/>
      <c r="G28" s="126"/>
      <c r="H28" s="1262"/>
      <c r="I28" s="1262"/>
      <c r="J28" s="1262"/>
      <c r="K28" s="1262"/>
      <c r="L28" s="1262"/>
      <c r="M28" s="1263"/>
      <c r="N28" s="1255"/>
      <c r="O28" s="1255">
        <f t="shared" si="2"/>
        <v>614.84693877551024</v>
      </c>
      <c r="P28" s="126"/>
      <c r="Q28" s="1255">
        <f t="shared" si="1"/>
        <v>614.84693877551024</v>
      </c>
      <c r="R28" s="1260"/>
      <c r="S28" s="126"/>
      <c r="T28" s="1262"/>
      <c r="U28" s="126"/>
      <c r="V28" s="1255"/>
      <c r="W28" s="1264"/>
      <c r="X28" s="12"/>
      <c r="Y28" s="12"/>
      <c r="Z28" s="12"/>
      <c r="AA28" s="12"/>
      <c r="AB28" s="12"/>
      <c r="AC28" s="124"/>
      <c r="AD28" s="111"/>
      <c r="AF28" s="121"/>
      <c r="AG28" s="1265"/>
      <c r="AH28" s="1273">
        <f>AJ28/Units!$C$23*Units!$C$22/Units!$C$18*10^9/1000</f>
        <v>614.84693877551024</v>
      </c>
      <c r="AI28" s="1267"/>
      <c r="AJ28" s="1274">
        <v>4.303928571428572</v>
      </c>
      <c r="AK28" s="110"/>
      <c r="AL28" s="122"/>
    </row>
    <row r="29" spans="1:38" x14ac:dyDescent="0.45">
      <c r="A29" s="10">
        <v>1839</v>
      </c>
      <c r="B29" s="1234"/>
      <c r="C29" s="1259"/>
      <c r="D29" s="1260"/>
      <c r="E29" s="1261"/>
      <c r="F29" s="1261"/>
      <c r="G29" s="126"/>
      <c r="H29" s="1262"/>
      <c r="I29" s="1262"/>
      <c r="J29" s="1262"/>
      <c r="K29" s="1262"/>
      <c r="L29" s="1262"/>
      <c r="M29" s="1263"/>
      <c r="N29" s="1255"/>
      <c r="O29" s="1255">
        <f t="shared" si="2"/>
        <v>680.51020408163276</v>
      </c>
      <c r="P29" s="126"/>
      <c r="Q29" s="1255">
        <f t="shared" si="1"/>
        <v>680.51020408163276</v>
      </c>
      <c r="R29" s="1260"/>
      <c r="S29" s="126"/>
      <c r="T29" s="1262"/>
      <c r="U29" s="126"/>
      <c r="V29" s="1255"/>
      <c r="W29" s="1264"/>
      <c r="X29" s="12"/>
      <c r="Y29" s="12"/>
      <c r="Z29" s="12"/>
      <c r="AA29" s="12"/>
      <c r="AB29" s="12"/>
      <c r="AC29" s="124"/>
      <c r="AD29" s="111"/>
      <c r="AF29" s="121"/>
      <c r="AG29" s="1265"/>
      <c r="AH29" s="1273">
        <f>AJ29/Units!$C$23*Units!$C$22/Units!$C$18*10^9/1000</f>
        <v>680.51020408163276</v>
      </c>
      <c r="AI29" s="1267"/>
      <c r="AJ29" s="1274">
        <v>4.7635714285714297</v>
      </c>
      <c r="AK29" s="110"/>
      <c r="AL29" s="122"/>
    </row>
    <row r="30" spans="1:38" x14ac:dyDescent="0.45">
      <c r="A30" s="10">
        <v>1840</v>
      </c>
      <c r="B30" s="1234"/>
      <c r="C30" s="1259"/>
      <c r="D30" s="1260"/>
      <c r="E30" s="1261"/>
      <c r="F30" s="1261"/>
      <c r="G30" s="126"/>
      <c r="H30" s="1262"/>
      <c r="I30" s="1262"/>
      <c r="J30" s="1262"/>
      <c r="K30" s="1262"/>
      <c r="L30" s="1262"/>
      <c r="M30" s="1263"/>
      <c r="N30" s="1255"/>
      <c r="O30" s="1255">
        <f t="shared" si="2"/>
        <v>774.87244897959204</v>
      </c>
      <c r="P30" s="126"/>
      <c r="Q30" s="1255">
        <f t="shared" si="1"/>
        <v>774.87244897959204</v>
      </c>
      <c r="R30" s="1260"/>
      <c r="S30" s="126"/>
      <c r="T30" s="1262"/>
      <c r="U30" s="126"/>
      <c r="V30" s="1255"/>
      <c r="W30" s="1264"/>
      <c r="X30" s="12"/>
      <c r="Y30" s="12"/>
      <c r="Z30" s="12"/>
      <c r="AA30" s="12"/>
      <c r="AB30" s="12"/>
      <c r="AC30" s="124"/>
      <c r="AD30" s="111"/>
      <c r="AF30" s="121"/>
      <c r="AG30" s="1265"/>
      <c r="AH30" s="1273">
        <f>AJ30/Units!$C$23*Units!$C$22/Units!$C$18*10^9/1000</f>
        <v>774.87244897959204</v>
      </c>
      <c r="AI30" s="1267"/>
      <c r="AJ30" s="1274">
        <v>5.4241071428571441</v>
      </c>
      <c r="AK30" s="110"/>
      <c r="AL30" s="122"/>
    </row>
    <row r="31" spans="1:38" x14ac:dyDescent="0.45">
      <c r="A31" s="10">
        <v>1841</v>
      </c>
      <c r="B31" s="1234"/>
      <c r="C31" s="1259"/>
      <c r="D31" s="1260"/>
      <c r="E31" s="1261"/>
      <c r="F31" s="1261"/>
      <c r="G31" s="126"/>
      <c r="H31" s="1262"/>
      <c r="I31" s="1262"/>
      <c r="J31" s="1262"/>
      <c r="K31" s="1262"/>
      <c r="L31" s="1262"/>
      <c r="M31" s="1263"/>
      <c r="N31" s="1255"/>
      <c r="O31" s="1255">
        <f t="shared" si="2"/>
        <v>843.06122448979613</v>
      </c>
      <c r="P31" s="126"/>
      <c r="Q31" s="1255">
        <f t="shared" si="1"/>
        <v>843.06122448979613</v>
      </c>
      <c r="R31" s="1260"/>
      <c r="S31" s="126"/>
      <c r="T31" s="1262"/>
      <c r="U31" s="126"/>
      <c r="V31" s="1255"/>
      <c r="W31" s="1264"/>
      <c r="X31" s="12"/>
      <c r="Y31" s="12"/>
      <c r="Z31" s="12"/>
      <c r="AA31" s="12"/>
      <c r="AB31" s="12"/>
      <c r="AC31" s="124"/>
      <c r="AD31" s="111"/>
      <c r="AF31" s="121"/>
      <c r="AG31" s="1265"/>
      <c r="AH31" s="1273">
        <f>AJ31/Units!$C$23*Units!$C$22/Units!$C$18*10^9/1000</f>
        <v>843.06122448979613</v>
      </c>
      <c r="AI31" s="1267"/>
      <c r="AJ31" s="1274">
        <v>5.901428571428573</v>
      </c>
      <c r="AK31" s="110"/>
      <c r="AL31" s="122"/>
    </row>
    <row r="32" spans="1:38" x14ac:dyDescent="0.45">
      <c r="A32" s="10">
        <v>1842</v>
      </c>
      <c r="B32" s="1234"/>
      <c r="C32" s="1259"/>
      <c r="D32" s="1260"/>
      <c r="E32" s="1261"/>
      <c r="F32" s="1261"/>
      <c r="G32" s="126"/>
      <c r="H32" s="1262"/>
      <c r="I32" s="1262"/>
      <c r="J32" s="1262"/>
      <c r="K32" s="1262"/>
      <c r="L32" s="1262"/>
      <c r="M32" s="1263"/>
      <c r="N32" s="1255"/>
      <c r="O32" s="1255">
        <f t="shared" si="2"/>
        <v>911.25</v>
      </c>
      <c r="P32" s="126"/>
      <c r="Q32" s="1255">
        <f t="shared" si="1"/>
        <v>911.25</v>
      </c>
      <c r="R32" s="1260"/>
      <c r="S32" s="126"/>
      <c r="T32" s="1262"/>
      <c r="U32" s="126"/>
      <c r="V32" s="1255"/>
      <c r="W32" s="1264"/>
      <c r="X32" s="12"/>
      <c r="Y32" s="12"/>
      <c r="Z32" s="12"/>
      <c r="AA32" s="12"/>
      <c r="AB32" s="12"/>
      <c r="AC32" s="124"/>
      <c r="AD32" s="111"/>
      <c r="AF32" s="121"/>
      <c r="AG32" s="1265"/>
      <c r="AH32" s="1273">
        <f>AJ32/Units!$C$23*Units!$C$22/Units!$C$18*10^9/1000</f>
        <v>911.25</v>
      </c>
      <c r="AI32" s="1267"/>
      <c r="AJ32" s="1274">
        <v>6.3787500000000001</v>
      </c>
      <c r="AK32" s="110"/>
      <c r="AL32" s="122"/>
    </row>
    <row r="33" spans="1:38" x14ac:dyDescent="0.45">
      <c r="A33" s="10">
        <v>1843</v>
      </c>
      <c r="B33" s="1234"/>
      <c r="C33" s="1259"/>
      <c r="D33" s="1260"/>
      <c r="E33" s="1261"/>
      <c r="F33" s="1261"/>
      <c r="G33" s="126"/>
      <c r="H33" s="1262"/>
      <c r="I33" s="1262"/>
      <c r="J33" s="1262"/>
      <c r="K33" s="1262"/>
      <c r="L33" s="1262"/>
      <c r="M33" s="1263"/>
      <c r="N33" s="1255"/>
      <c r="O33" s="1255">
        <f t="shared" si="2"/>
        <v>916.07142857142867</v>
      </c>
      <c r="P33" s="126"/>
      <c r="Q33" s="1255">
        <f t="shared" si="1"/>
        <v>916.07142857142867</v>
      </c>
      <c r="R33" s="1260"/>
      <c r="S33" s="126"/>
      <c r="T33" s="1262"/>
      <c r="U33" s="126"/>
      <c r="V33" s="1255"/>
      <c r="W33" s="1264"/>
      <c r="X33" s="12"/>
      <c r="Y33" s="12"/>
      <c r="Z33" s="12"/>
      <c r="AA33" s="12"/>
      <c r="AB33" s="12"/>
      <c r="AC33" s="124"/>
      <c r="AD33" s="111"/>
      <c r="AF33" s="121"/>
      <c r="AG33" s="1265"/>
      <c r="AH33" s="1273">
        <f>AJ33/Units!$C$23*Units!$C$22/Units!$C$18*10^9/1000</f>
        <v>916.07142857142867</v>
      </c>
      <c r="AI33" s="1267"/>
      <c r="AJ33" s="1274">
        <v>6.4125000000000005</v>
      </c>
      <c r="AK33" s="110"/>
      <c r="AL33" s="122"/>
    </row>
    <row r="34" spans="1:38" x14ac:dyDescent="0.45">
      <c r="A34" s="10">
        <v>1844</v>
      </c>
      <c r="B34" s="1234"/>
      <c r="C34" s="1259"/>
      <c r="D34" s="1260"/>
      <c r="E34" s="1261"/>
      <c r="F34" s="1261"/>
      <c r="G34" s="126"/>
      <c r="H34" s="1262"/>
      <c r="I34" s="1262"/>
      <c r="J34" s="1262"/>
      <c r="K34" s="1262"/>
      <c r="L34" s="1262"/>
      <c r="M34" s="1263"/>
      <c r="N34" s="1255"/>
      <c r="O34" s="1255">
        <f t="shared" si="2"/>
        <v>920.89285714285711</v>
      </c>
      <c r="P34" s="126"/>
      <c r="Q34" s="1255">
        <f t="shared" si="1"/>
        <v>920.89285714285711</v>
      </c>
      <c r="R34" s="1260"/>
      <c r="S34" s="126"/>
      <c r="T34" s="1262"/>
      <c r="U34" s="126"/>
      <c r="V34" s="1255"/>
      <c r="W34" s="1264"/>
      <c r="X34" s="12"/>
      <c r="Y34" s="12"/>
      <c r="Z34" s="12"/>
      <c r="AA34" s="12"/>
      <c r="AB34" s="12"/>
      <c r="AC34" s="124"/>
      <c r="AD34" s="111"/>
      <c r="AF34" s="121"/>
      <c r="AG34" s="1265"/>
      <c r="AH34" s="1273">
        <f>AJ34/Units!$C$23*Units!$C$22/Units!$C$18*10^9/1000</f>
        <v>920.89285714285711</v>
      </c>
      <c r="AI34" s="1267"/>
      <c r="AJ34" s="1274">
        <v>6.4462500000000009</v>
      </c>
      <c r="AK34" s="110"/>
      <c r="AL34" s="122"/>
    </row>
    <row r="35" spans="1:38" x14ac:dyDescent="0.45">
      <c r="A35" s="10">
        <v>1845</v>
      </c>
      <c r="B35" s="1234"/>
      <c r="C35" s="1259"/>
      <c r="D35" s="1260"/>
      <c r="E35" s="1261"/>
      <c r="F35" s="1261"/>
      <c r="G35" s="126"/>
      <c r="H35" s="1262"/>
      <c r="I35" s="1262"/>
      <c r="J35" s="1262"/>
      <c r="K35" s="1262"/>
      <c r="L35" s="1262"/>
      <c r="M35" s="1263"/>
      <c r="N35" s="1255"/>
      <c r="O35" s="1255">
        <f t="shared" si="2"/>
        <v>925.71428571428578</v>
      </c>
      <c r="P35" s="126"/>
      <c r="Q35" s="1255">
        <f t="shared" si="1"/>
        <v>925.71428571428578</v>
      </c>
      <c r="R35" s="1260"/>
      <c r="S35" s="126"/>
      <c r="T35" s="1262"/>
      <c r="U35" s="126"/>
      <c r="V35" s="1255"/>
      <c r="W35" s="1264"/>
      <c r="X35" s="12"/>
      <c r="Y35" s="12"/>
      <c r="Z35" s="12"/>
      <c r="AA35" s="12"/>
      <c r="AB35" s="12"/>
      <c r="AC35" s="124"/>
      <c r="AD35" s="111"/>
      <c r="AF35" s="121"/>
      <c r="AG35" s="1265"/>
      <c r="AH35" s="1273">
        <f>AJ35/Units!$C$23*Units!$C$22/Units!$C$18*10^9/1000</f>
        <v>925.71428571428578</v>
      </c>
      <c r="AI35" s="1267"/>
      <c r="AJ35" s="1274">
        <v>6.48</v>
      </c>
      <c r="AK35" s="110"/>
      <c r="AL35" s="122"/>
    </row>
    <row r="36" spans="1:38" x14ac:dyDescent="0.45">
      <c r="A36" s="10">
        <v>1846</v>
      </c>
      <c r="B36" s="1234"/>
      <c r="C36" s="1259"/>
      <c r="D36" s="1260"/>
      <c r="E36" s="1261"/>
      <c r="F36" s="1261"/>
      <c r="G36" s="126"/>
      <c r="H36" s="1262"/>
      <c r="I36" s="1262"/>
      <c r="J36" s="1262"/>
      <c r="K36" s="1262"/>
      <c r="L36" s="1262"/>
      <c r="M36" s="1263"/>
      <c r="N36" s="1255"/>
      <c r="O36" s="1255">
        <f t="shared" si="2"/>
        <v>960.42857142857167</v>
      </c>
      <c r="P36" s="126"/>
      <c r="Q36" s="1255">
        <f t="shared" si="1"/>
        <v>960.42857142857167</v>
      </c>
      <c r="R36" s="1260"/>
      <c r="S36" s="126"/>
      <c r="T36" s="1262"/>
      <c r="U36" s="126"/>
      <c r="V36" s="1255"/>
      <c r="W36" s="1264"/>
      <c r="X36" s="12"/>
      <c r="Y36" s="12"/>
      <c r="Z36" s="12"/>
      <c r="AA36" s="12"/>
      <c r="AB36" s="12"/>
      <c r="AC36" s="124"/>
      <c r="AD36" s="111"/>
      <c r="AF36" s="121"/>
      <c r="AG36" s="1265"/>
      <c r="AH36" s="1273">
        <f>AJ36/Units!$C$23*Units!$C$22/Units!$C$18*10^9/1000</f>
        <v>960.42857142857167</v>
      </c>
      <c r="AI36" s="1267"/>
      <c r="AJ36" s="1274">
        <v>6.7230000000000016</v>
      </c>
      <c r="AK36" s="110"/>
      <c r="AL36" s="122"/>
    </row>
    <row r="37" spans="1:38" x14ac:dyDescent="0.45">
      <c r="A37" s="10">
        <v>1847</v>
      </c>
      <c r="B37" s="1234"/>
      <c r="C37" s="1259"/>
      <c r="D37" s="1260"/>
      <c r="E37" s="1261"/>
      <c r="F37" s="1261"/>
      <c r="G37" s="126"/>
      <c r="H37" s="1262"/>
      <c r="I37" s="1262"/>
      <c r="J37" s="1262"/>
      <c r="K37" s="1262"/>
      <c r="L37" s="1262"/>
      <c r="M37" s="1263"/>
      <c r="N37" s="1255"/>
      <c r="O37" s="1255">
        <f t="shared" si="2"/>
        <v>995.14285714285734</v>
      </c>
      <c r="P37" s="126"/>
      <c r="Q37" s="1255">
        <f t="shared" si="1"/>
        <v>995.14285714285734</v>
      </c>
      <c r="R37" s="1260"/>
      <c r="S37" s="126"/>
      <c r="T37" s="1262"/>
      <c r="U37" s="126"/>
      <c r="V37" s="1255"/>
      <c r="W37" s="1264"/>
      <c r="X37" s="12"/>
      <c r="Y37" s="12"/>
      <c r="Z37" s="12"/>
      <c r="AA37" s="12"/>
      <c r="AB37" s="12"/>
      <c r="AC37" s="124"/>
      <c r="AD37" s="111"/>
      <c r="AF37" s="121"/>
      <c r="AG37" s="1265"/>
      <c r="AH37" s="1273">
        <f>AJ37/Units!$C$23*Units!$C$22/Units!$C$18*10^9/1000</f>
        <v>995.14285714285734</v>
      </c>
      <c r="AI37" s="1267"/>
      <c r="AJ37" s="1274">
        <v>6.9660000000000011</v>
      </c>
      <c r="AK37" s="110"/>
      <c r="AL37" s="122"/>
    </row>
    <row r="38" spans="1:38" x14ac:dyDescent="0.45">
      <c r="A38" s="10">
        <v>1848</v>
      </c>
      <c r="B38" s="1234"/>
      <c r="C38" s="1259"/>
      <c r="D38" s="1260"/>
      <c r="E38" s="1261"/>
      <c r="F38" s="1261"/>
      <c r="G38" s="126"/>
      <c r="H38" s="1262"/>
      <c r="I38" s="1262"/>
      <c r="J38" s="1262"/>
      <c r="K38" s="1262"/>
      <c r="L38" s="1262"/>
      <c r="M38" s="1263"/>
      <c r="N38" s="1255"/>
      <c r="O38" s="1255">
        <f t="shared" si="2"/>
        <v>1029.8571428571431</v>
      </c>
      <c r="P38" s="126"/>
      <c r="Q38" s="1255">
        <f t="shared" si="1"/>
        <v>1029.8571428571431</v>
      </c>
      <c r="R38" s="1260"/>
      <c r="S38" s="126"/>
      <c r="T38" s="1262"/>
      <c r="U38" s="126"/>
      <c r="V38" s="1255"/>
      <c r="W38" s="1264"/>
      <c r="X38" s="12"/>
      <c r="Y38" s="12"/>
      <c r="Z38" s="12"/>
      <c r="AA38" s="12"/>
      <c r="AB38" s="12"/>
      <c r="AC38" s="124"/>
      <c r="AD38" s="111"/>
      <c r="AF38" s="121"/>
      <c r="AG38" s="1265"/>
      <c r="AH38" s="1273">
        <f>AJ38/Units!$C$23*Units!$C$22/Units!$C$18*10^9/1000</f>
        <v>1029.8571428571431</v>
      </c>
      <c r="AI38" s="1267"/>
      <c r="AJ38" s="1274">
        <v>7.2090000000000014</v>
      </c>
      <c r="AK38" s="110"/>
      <c r="AL38" s="122"/>
    </row>
    <row r="39" spans="1:38" x14ac:dyDescent="0.45">
      <c r="A39" s="10">
        <v>1849</v>
      </c>
      <c r="B39" s="1234"/>
      <c r="C39" s="1259"/>
      <c r="D39" s="1260"/>
      <c r="E39" s="1261"/>
      <c r="F39" s="1261"/>
      <c r="G39" s="126"/>
      <c r="H39" s="1262"/>
      <c r="I39" s="1262"/>
      <c r="J39" s="1262"/>
      <c r="K39" s="1262"/>
      <c r="L39" s="1262"/>
      <c r="M39" s="1263"/>
      <c r="N39" s="1255"/>
      <c r="O39" s="1255">
        <f t="shared" si="2"/>
        <v>1064.5714285714289</v>
      </c>
      <c r="P39" s="126"/>
      <c r="Q39" s="1255">
        <f t="shared" si="1"/>
        <v>1064.5714285714289</v>
      </c>
      <c r="R39" s="1260"/>
      <c r="S39" s="126"/>
      <c r="T39" s="1262"/>
      <c r="U39" s="126"/>
      <c r="V39" s="1255"/>
      <c r="W39" s="1264"/>
      <c r="X39" s="12"/>
      <c r="Y39" s="12"/>
      <c r="Z39" s="12"/>
      <c r="AA39" s="12"/>
      <c r="AB39" s="12"/>
      <c r="AC39" s="124"/>
      <c r="AD39" s="111"/>
      <c r="AF39" s="121"/>
      <c r="AG39" s="1265"/>
      <c r="AH39" s="1273">
        <f>AJ39/Units!$C$23*Units!$C$22/Units!$C$18*10^9/1000</f>
        <v>1064.5714285714289</v>
      </c>
      <c r="AI39" s="1267"/>
      <c r="AJ39" s="1274">
        <v>7.4520000000000017</v>
      </c>
      <c r="AK39" s="110"/>
      <c r="AL39" s="122"/>
    </row>
    <row r="40" spans="1:38" x14ac:dyDescent="0.45">
      <c r="A40" s="10">
        <v>1850</v>
      </c>
      <c r="B40" s="1234"/>
      <c r="C40" s="1259"/>
      <c r="D40" s="1260"/>
      <c r="E40" s="1261"/>
      <c r="F40" s="1261"/>
      <c r="G40" s="126"/>
      <c r="H40" s="1262"/>
      <c r="I40" s="1262"/>
      <c r="J40" s="1262"/>
      <c r="K40" s="1262"/>
      <c r="L40" s="1262"/>
      <c r="M40" s="1263"/>
      <c r="N40" s="1255"/>
      <c r="O40" s="1255">
        <f t="shared" si="2"/>
        <v>1139.9999999999998</v>
      </c>
      <c r="P40" s="126"/>
      <c r="Q40" s="1255">
        <f t="shared" si="1"/>
        <v>1139.9999999999998</v>
      </c>
      <c r="R40" s="1260"/>
      <c r="S40" s="126"/>
      <c r="T40" s="1262"/>
      <c r="U40" s="126"/>
      <c r="V40" s="1255"/>
      <c r="W40" s="1264"/>
      <c r="X40" s="12"/>
      <c r="Y40" s="12"/>
      <c r="Z40" s="12"/>
      <c r="AA40" s="12"/>
      <c r="AB40" s="12"/>
      <c r="AC40" s="124"/>
      <c r="AD40" s="111"/>
      <c r="AF40" s="121"/>
      <c r="AG40" s="1265"/>
      <c r="AH40" s="1273">
        <f>AJ40/Units!$C$23*Units!$C$22/Units!$C$18*10^9/1000</f>
        <v>1139.9999999999998</v>
      </c>
      <c r="AI40" s="1267"/>
      <c r="AJ40" s="1274">
        <v>7.9799999999999986</v>
      </c>
      <c r="AK40" s="110"/>
      <c r="AL40" s="122"/>
    </row>
    <row r="41" spans="1:38" x14ac:dyDescent="0.45">
      <c r="A41" s="10">
        <v>1851</v>
      </c>
      <c r="B41" s="1234"/>
      <c r="C41" s="1259"/>
      <c r="D41" s="1260"/>
      <c r="E41" s="1261"/>
      <c r="F41" s="1261"/>
      <c r="G41" s="126"/>
      <c r="H41" s="1262"/>
      <c r="I41" s="1262"/>
      <c r="J41" s="1262"/>
      <c r="K41" s="1262"/>
      <c r="L41" s="1262"/>
      <c r="M41" s="1263"/>
      <c r="N41" s="1255"/>
      <c r="O41" s="1255">
        <f t="shared" si="2"/>
        <v>1272.0000000000002</v>
      </c>
      <c r="P41" s="126"/>
      <c r="Q41" s="1255">
        <f t="shared" si="1"/>
        <v>1272.0000000000002</v>
      </c>
      <c r="R41" s="1260"/>
      <c r="S41" s="126"/>
      <c r="T41" s="1262"/>
      <c r="U41" s="126"/>
      <c r="V41" s="1255"/>
      <c r="W41" s="1264"/>
      <c r="X41" s="12"/>
      <c r="Y41" s="12"/>
      <c r="Z41" s="12"/>
      <c r="AA41" s="12"/>
      <c r="AB41" s="12"/>
      <c r="AC41" s="124"/>
      <c r="AD41" s="111"/>
      <c r="AF41" s="121"/>
      <c r="AG41" s="1265"/>
      <c r="AH41" s="1273">
        <f>AJ41/Units!$C$23*Units!$C$22/Units!$C$18*10^9/1000</f>
        <v>1272.0000000000002</v>
      </c>
      <c r="AI41" s="1267"/>
      <c r="AJ41" s="1274">
        <v>8.9039999999999999</v>
      </c>
      <c r="AK41" s="110"/>
      <c r="AL41" s="122"/>
    </row>
    <row r="42" spans="1:38" x14ac:dyDescent="0.45">
      <c r="A42" s="10">
        <v>1852</v>
      </c>
      <c r="B42" s="1234"/>
      <c r="C42" s="1259"/>
      <c r="D42" s="1260"/>
      <c r="E42" s="1261"/>
      <c r="F42" s="1261"/>
      <c r="G42" s="126"/>
      <c r="H42" s="1262"/>
      <c r="I42" s="1262"/>
      <c r="J42" s="1262"/>
      <c r="K42" s="1262"/>
      <c r="L42" s="1262"/>
      <c r="M42" s="1263"/>
      <c r="N42" s="1255"/>
      <c r="O42" s="1255">
        <f t="shared" si="2"/>
        <v>1404.0000000000002</v>
      </c>
      <c r="P42" s="126"/>
      <c r="Q42" s="1255">
        <f t="shared" si="1"/>
        <v>1404.0000000000002</v>
      </c>
      <c r="R42" s="1260"/>
      <c r="S42" s="126"/>
      <c r="T42" s="1262"/>
      <c r="U42" s="126"/>
      <c r="V42" s="1255"/>
      <c r="W42" s="1264"/>
      <c r="X42" s="12"/>
      <c r="Y42" s="12"/>
      <c r="Z42" s="12"/>
      <c r="AA42" s="12"/>
      <c r="AB42" s="12"/>
      <c r="AC42" s="124"/>
      <c r="AD42" s="111"/>
      <c r="AF42" s="121"/>
      <c r="AG42" s="1265"/>
      <c r="AH42" s="1273">
        <f>AJ42/Units!$C$23*Units!$C$22/Units!$C$18*10^9/1000</f>
        <v>1404.0000000000002</v>
      </c>
      <c r="AI42" s="1267"/>
      <c r="AJ42" s="1274">
        <v>9.8280000000000012</v>
      </c>
      <c r="AK42" s="110"/>
      <c r="AL42" s="122"/>
    </row>
    <row r="43" spans="1:38" x14ac:dyDescent="0.45">
      <c r="A43" s="10">
        <v>1853</v>
      </c>
      <c r="B43" s="1234"/>
      <c r="C43" s="1259"/>
      <c r="D43" s="1260"/>
      <c r="E43" s="1261"/>
      <c r="F43" s="1261"/>
      <c r="G43" s="126"/>
      <c r="H43" s="1262"/>
      <c r="I43" s="1262"/>
      <c r="J43" s="1262"/>
      <c r="K43" s="1262"/>
      <c r="L43" s="1262"/>
      <c r="M43" s="1263"/>
      <c r="N43" s="1255"/>
      <c r="O43" s="1255">
        <f t="shared" si="2"/>
        <v>1536.0000000000002</v>
      </c>
      <c r="P43" s="126"/>
      <c r="Q43" s="1255">
        <f t="shared" si="1"/>
        <v>1536.0000000000002</v>
      </c>
      <c r="R43" s="1260"/>
      <c r="S43" s="126"/>
      <c r="T43" s="1262"/>
      <c r="U43" s="126"/>
      <c r="V43" s="1255"/>
      <c r="W43" s="1264"/>
      <c r="X43" s="12"/>
      <c r="Y43" s="12"/>
      <c r="Z43" s="12"/>
      <c r="AA43" s="12"/>
      <c r="AB43" s="12"/>
      <c r="AC43" s="124"/>
      <c r="AD43" s="111"/>
      <c r="AF43" s="121"/>
      <c r="AG43" s="1265"/>
      <c r="AH43" s="1273">
        <f>AJ43/Units!$C$23*Units!$C$22/Units!$C$18*10^9/1000</f>
        <v>1536.0000000000002</v>
      </c>
      <c r="AI43" s="1267"/>
      <c r="AJ43" s="1274">
        <v>10.752000000000002</v>
      </c>
      <c r="AK43" s="110"/>
      <c r="AL43" s="122"/>
    </row>
    <row r="44" spans="1:38" x14ac:dyDescent="0.45">
      <c r="A44" s="10">
        <v>1854</v>
      </c>
      <c r="B44" s="1234"/>
      <c r="C44" s="1259"/>
      <c r="D44" s="1260"/>
      <c r="E44" s="1261"/>
      <c r="F44" s="1261"/>
      <c r="G44" s="126"/>
      <c r="H44" s="1262"/>
      <c r="I44" s="1262"/>
      <c r="J44" s="1262"/>
      <c r="K44" s="1262"/>
      <c r="L44" s="1262"/>
      <c r="M44" s="1263"/>
      <c r="N44" s="1255"/>
      <c r="O44" s="1255">
        <f t="shared" si="2"/>
        <v>1668.0000000000005</v>
      </c>
      <c r="P44" s="126"/>
      <c r="Q44" s="1255">
        <f t="shared" si="1"/>
        <v>1668.0000000000005</v>
      </c>
      <c r="R44" s="1260"/>
      <c r="S44" s="126"/>
      <c r="T44" s="1262"/>
      <c r="U44" s="126"/>
      <c r="V44" s="1255"/>
      <c r="W44" s="1264"/>
      <c r="X44" s="12"/>
      <c r="Y44" s="12"/>
      <c r="Z44" s="12"/>
      <c r="AA44" s="12"/>
      <c r="AB44" s="12"/>
      <c r="AC44" s="124"/>
      <c r="AD44" s="111"/>
      <c r="AF44" s="121"/>
      <c r="AG44" s="1265"/>
      <c r="AH44" s="1273">
        <f>AJ44/Units!$C$23*Units!$C$22/Units!$C$18*10^9/1000</f>
        <v>1668.0000000000005</v>
      </c>
      <c r="AI44" s="1267"/>
      <c r="AJ44" s="1274">
        <v>11.676000000000002</v>
      </c>
      <c r="AK44" s="110"/>
      <c r="AL44" s="122"/>
    </row>
    <row r="45" spans="1:38" x14ac:dyDescent="0.45">
      <c r="A45" s="10">
        <v>1855</v>
      </c>
      <c r="B45" s="1234"/>
      <c r="C45" s="1259"/>
      <c r="D45" s="1260"/>
      <c r="E45" s="1261"/>
      <c r="F45" s="1261"/>
      <c r="G45" s="126"/>
      <c r="H45" s="1262"/>
      <c r="I45" s="1262"/>
      <c r="J45" s="1262"/>
      <c r="K45" s="1262"/>
      <c r="L45" s="1262"/>
      <c r="M45" s="1263"/>
      <c r="N45" s="1255"/>
      <c r="O45" s="1255">
        <f t="shared" si="2"/>
        <v>1799.9999999999995</v>
      </c>
      <c r="P45" s="126"/>
      <c r="Q45" s="1255">
        <f t="shared" si="1"/>
        <v>1799.9999999999995</v>
      </c>
      <c r="R45" s="1260"/>
      <c r="S45" s="126"/>
      <c r="T45" s="1262"/>
      <c r="U45" s="126"/>
      <c r="V45" s="1255"/>
      <c r="W45" s="1264"/>
      <c r="X45" s="12"/>
      <c r="Y45" s="12"/>
      <c r="Z45" s="12"/>
      <c r="AA45" s="12"/>
      <c r="AB45" s="12"/>
      <c r="AC45" s="124"/>
      <c r="AD45" s="111"/>
      <c r="AF45" s="121"/>
      <c r="AG45" s="1265"/>
      <c r="AH45" s="1273">
        <f>AJ45/Units!$C$23*Units!$C$22/Units!$C$18*10^9/1000</f>
        <v>1799.9999999999995</v>
      </c>
      <c r="AI45" s="1267"/>
      <c r="AJ45" s="1274">
        <v>12.599999999999998</v>
      </c>
      <c r="AK45" s="110"/>
      <c r="AL45" s="122"/>
    </row>
    <row r="46" spans="1:38" x14ac:dyDescent="0.45">
      <c r="A46" s="10">
        <v>1856</v>
      </c>
      <c r="B46" s="1234"/>
      <c r="C46" s="1259"/>
      <c r="D46" s="1260"/>
      <c r="E46" s="1261"/>
      <c r="F46" s="1261"/>
      <c r="G46" s="126"/>
      <c r="H46" s="1262"/>
      <c r="I46" s="1262"/>
      <c r="J46" s="1262"/>
      <c r="K46" s="1262"/>
      <c r="L46" s="1262"/>
      <c r="M46" s="1263"/>
      <c r="N46" s="1255"/>
      <c r="O46" s="1255">
        <f t="shared" si="2"/>
        <v>1889.9999999999995</v>
      </c>
      <c r="P46" s="126"/>
      <c r="Q46" s="1255">
        <f t="shared" si="1"/>
        <v>1889.9999999999995</v>
      </c>
      <c r="R46" s="1260"/>
      <c r="S46" s="126"/>
      <c r="T46" s="1262"/>
      <c r="U46" s="126"/>
      <c r="V46" s="1255"/>
      <c r="W46" s="1264"/>
      <c r="X46" s="12"/>
      <c r="Y46" s="12"/>
      <c r="Z46" s="12"/>
      <c r="AA46" s="12"/>
      <c r="AB46" s="12"/>
      <c r="AC46" s="124"/>
      <c r="AD46" s="111"/>
      <c r="AF46" s="121"/>
      <c r="AG46" s="1265"/>
      <c r="AH46" s="1273">
        <f>AJ46/Units!$C$23*Units!$C$22/Units!$C$18*10^9/1000</f>
        <v>1889.9999999999995</v>
      </c>
      <c r="AI46" s="1267"/>
      <c r="AJ46" s="1274">
        <v>13.229999999999997</v>
      </c>
      <c r="AK46" s="110"/>
      <c r="AL46" s="122"/>
    </row>
    <row r="47" spans="1:38" x14ac:dyDescent="0.45">
      <c r="A47" s="10">
        <v>1857</v>
      </c>
      <c r="B47" s="1234"/>
      <c r="C47" s="1259"/>
      <c r="D47" s="1260"/>
      <c r="E47" s="1261"/>
      <c r="F47" s="1261"/>
      <c r="G47" s="126"/>
      <c r="H47" s="1262"/>
      <c r="I47" s="1262"/>
      <c r="J47" s="1262"/>
      <c r="K47" s="1262"/>
      <c r="L47" s="1262"/>
      <c r="M47" s="1263"/>
      <c r="N47" s="1255"/>
      <c r="O47" s="1255">
        <f t="shared" si="2"/>
        <v>1979.9999999999995</v>
      </c>
      <c r="P47" s="126"/>
      <c r="Q47" s="1255">
        <f t="shared" si="1"/>
        <v>1979.9999999999995</v>
      </c>
      <c r="R47" s="1260"/>
      <c r="S47" s="126"/>
      <c r="T47" s="1262"/>
      <c r="U47" s="126"/>
      <c r="V47" s="1255"/>
      <c r="W47" s="1264"/>
      <c r="X47" s="12"/>
      <c r="Y47" s="12"/>
      <c r="Z47" s="12"/>
      <c r="AA47" s="12"/>
      <c r="AB47" s="12"/>
      <c r="AC47" s="124"/>
      <c r="AD47" s="111"/>
      <c r="AF47" s="121"/>
      <c r="AG47" s="1265"/>
      <c r="AH47" s="1273">
        <f>AJ47/Units!$C$23*Units!$C$22/Units!$C$18*10^9/1000</f>
        <v>1979.9999999999995</v>
      </c>
      <c r="AI47" s="1267"/>
      <c r="AJ47" s="1274">
        <v>13.859999999999998</v>
      </c>
      <c r="AK47" s="110"/>
      <c r="AL47" s="122"/>
    </row>
    <row r="48" spans="1:38" x14ac:dyDescent="0.45">
      <c r="A48" s="10">
        <v>1858</v>
      </c>
      <c r="B48" s="1234"/>
      <c r="C48" s="1259"/>
      <c r="D48" s="1260"/>
      <c r="E48" s="1261"/>
      <c r="F48" s="1261"/>
      <c r="G48" s="126"/>
      <c r="H48" s="1262"/>
      <c r="I48" s="1262"/>
      <c r="J48" s="1262"/>
      <c r="K48" s="1262"/>
      <c r="L48" s="1262"/>
      <c r="M48" s="1263"/>
      <c r="N48" s="1255"/>
      <c r="O48" s="1255">
        <f t="shared" si="2"/>
        <v>2069.9999999999995</v>
      </c>
      <c r="P48" s="126"/>
      <c r="Q48" s="1255">
        <f t="shared" si="1"/>
        <v>2069.9999999999995</v>
      </c>
      <c r="R48" s="1260"/>
      <c r="S48" s="126"/>
      <c r="T48" s="1262"/>
      <c r="U48" s="126"/>
      <c r="V48" s="1255"/>
      <c r="W48" s="1264"/>
      <c r="X48" s="12"/>
      <c r="Y48" s="12"/>
      <c r="Z48" s="12"/>
      <c r="AA48" s="12"/>
      <c r="AB48" s="12"/>
      <c r="AC48" s="124"/>
      <c r="AD48" s="111"/>
      <c r="AF48" s="121"/>
      <c r="AG48" s="1265"/>
      <c r="AH48" s="1273">
        <f>AJ48/Units!$C$23*Units!$C$22/Units!$C$18*10^9/1000</f>
        <v>2069.9999999999995</v>
      </c>
      <c r="AI48" s="1267"/>
      <c r="AJ48" s="1274">
        <v>14.489999999999998</v>
      </c>
      <c r="AK48" s="110"/>
      <c r="AL48" s="122"/>
    </row>
    <row r="49" spans="1:38" x14ac:dyDescent="0.45">
      <c r="A49" s="10">
        <v>1859</v>
      </c>
      <c r="B49" s="1234"/>
      <c r="C49" s="1259"/>
      <c r="D49" s="1260"/>
      <c r="E49" s="1261"/>
      <c r="F49" s="1261"/>
      <c r="G49" s="126"/>
      <c r="H49" s="1262"/>
      <c r="I49" s="1262"/>
      <c r="J49" s="1262"/>
      <c r="K49" s="1262"/>
      <c r="L49" s="1262"/>
      <c r="M49" s="1263"/>
      <c r="N49" s="1255"/>
      <c r="O49" s="1255">
        <f t="shared" si="2"/>
        <v>2159.9999999999995</v>
      </c>
      <c r="P49" s="126"/>
      <c r="Q49" s="1255">
        <f t="shared" si="1"/>
        <v>2159.9999999999995</v>
      </c>
      <c r="R49" s="1260"/>
      <c r="S49" s="126"/>
      <c r="T49" s="1262"/>
      <c r="U49" s="126"/>
      <c r="V49" s="1255"/>
      <c r="W49" s="1264"/>
      <c r="X49" s="12"/>
      <c r="Y49" s="12"/>
      <c r="Z49" s="12"/>
      <c r="AA49" s="12"/>
      <c r="AB49" s="12"/>
      <c r="AC49" s="124"/>
      <c r="AD49" s="111"/>
      <c r="AF49" s="121"/>
      <c r="AG49" s="1265"/>
      <c r="AH49" s="1273">
        <f>AJ49/Units!$C$23*Units!$C$22/Units!$C$18*10^9/1000</f>
        <v>2159.9999999999995</v>
      </c>
      <c r="AI49" s="1267"/>
      <c r="AJ49" s="1274">
        <v>15.119999999999997</v>
      </c>
      <c r="AK49" s="110"/>
      <c r="AL49" s="122"/>
    </row>
    <row r="50" spans="1:38" x14ac:dyDescent="0.45">
      <c r="A50" s="10">
        <v>1860</v>
      </c>
      <c r="B50" s="1234"/>
      <c r="C50" s="1259"/>
      <c r="D50" s="1260"/>
      <c r="E50" s="1261"/>
      <c r="F50" s="1261"/>
      <c r="G50" s="126"/>
      <c r="H50" s="1262"/>
      <c r="I50" s="1262"/>
      <c r="J50" s="1262"/>
      <c r="K50" s="1262"/>
      <c r="L50" s="1262"/>
      <c r="M50" s="1263"/>
      <c r="N50" s="1255"/>
      <c r="O50" s="1255">
        <f t="shared" si="2"/>
        <v>2330.3571428571427</v>
      </c>
      <c r="P50" s="126"/>
      <c r="Q50" s="1255">
        <f t="shared" si="1"/>
        <v>2330.3571428571427</v>
      </c>
      <c r="R50" s="1260"/>
      <c r="S50" s="126"/>
      <c r="T50" s="1262"/>
      <c r="U50" s="126"/>
      <c r="V50" s="1255"/>
      <c r="W50" s="1264"/>
      <c r="X50" s="12"/>
      <c r="Y50" s="12"/>
      <c r="Z50" s="12"/>
      <c r="AA50" s="12"/>
      <c r="AB50" s="12"/>
      <c r="AC50" s="124"/>
      <c r="AD50" s="111"/>
      <c r="AF50" s="121"/>
      <c r="AG50" s="1265"/>
      <c r="AH50" s="1273">
        <f>AJ50/Units!$C$23*Units!$C$22/Units!$C$18*10^9/1000</f>
        <v>2330.3571428571427</v>
      </c>
      <c r="AI50" s="1267"/>
      <c r="AJ50" s="1274">
        <v>16.3125</v>
      </c>
      <c r="AK50" s="110"/>
      <c r="AL50" s="122"/>
    </row>
    <row r="51" spans="1:38" x14ac:dyDescent="0.45">
      <c r="A51" s="10">
        <v>1861</v>
      </c>
      <c r="B51" s="1234"/>
      <c r="C51" s="1259"/>
      <c r="D51" s="1260"/>
      <c r="E51" s="1261"/>
      <c r="F51" s="1261"/>
      <c r="G51" s="126"/>
      <c r="H51" s="1262"/>
      <c r="I51" s="1262"/>
      <c r="J51" s="1262"/>
      <c r="K51" s="1262"/>
      <c r="L51" s="1262"/>
      <c r="M51" s="1263"/>
      <c r="N51" s="1255"/>
      <c r="O51" s="1255">
        <f t="shared" si="2"/>
        <v>2454.6428571428573</v>
      </c>
      <c r="P51" s="126"/>
      <c r="Q51" s="1255">
        <f t="shared" si="1"/>
        <v>2454.6428571428573</v>
      </c>
      <c r="R51" s="1260"/>
      <c r="S51" s="126"/>
      <c r="T51" s="1262"/>
      <c r="U51" s="126"/>
      <c r="V51" s="1255"/>
      <c r="W51" s="1264"/>
      <c r="X51" s="12"/>
      <c r="Y51" s="12"/>
      <c r="Z51" s="12"/>
      <c r="AA51" s="12"/>
      <c r="AB51" s="12"/>
      <c r="AC51" s="124"/>
      <c r="AD51" s="111"/>
      <c r="AF51" s="121"/>
      <c r="AG51" s="1265"/>
      <c r="AH51" s="1273">
        <f>AJ51/Units!$C$23*Units!$C$22/Units!$C$18*10^9/1000</f>
        <v>2454.6428571428573</v>
      </c>
      <c r="AI51" s="1267"/>
      <c r="AJ51" s="1274">
        <v>17.182500000000001</v>
      </c>
      <c r="AK51" s="110"/>
      <c r="AL51" s="122"/>
    </row>
    <row r="52" spans="1:38" x14ac:dyDescent="0.45">
      <c r="A52" s="10">
        <v>1862</v>
      </c>
      <c r="B52" s="1234"/>
      <c r="C52" s="1259"/>
      <c r="D52" s="1260"/>
      <c r="E52" s="1261"/>
      <c r="F52" s="1261"/>
      <c r="G52" s="126"/>
      <c r="H52" s="1262"/>
      <c r="I52" s="1262"/>
      <c r="J52" s="1262"/>
      <c r="K52" s="1262"/>
      <c r="L52" s="1262"/>
      <c r="M52" s="1263"/>
      <c r="N52" s="1255"/>
      <c r="O52" s="1255">
        <f t="shared" si="2"/>
        <v>2578.9285714285716</v>
      </c>
      <c r="P52" s="126"/>
      <c r="Q52" s="1255">
        <f t="shared" si="1"/>
        <v>2578.9285714285716</v>
      </c>
      <c r="R52" s="1260"/>
      <c r="S52" s="126"/>
      <c r="T52" s="1262"/>
      <c r="U52" s="126"/>
      <c r="V52" s="1255"/>
      <c r="W52" s="1264"/>
      <c r="X52" s="12"/>
      <c r="Y52" s="12"/>
      <c r="Z52" s="12"/>
      <c r="AA52" s="12"/>
      <c r="AB52" s="12"/>
      <c r="AC52" s="124"/>
      <c r="AD52" s="111"/>
      <c r="AF52" s="121"/>
      <c r="AG52" s="1265"/>
      <c r="AH52" s="1273">
        <f>AJ52/Units!$C$23*Units!$C$22/Units!$C$18*10^9/1000</f>
        <v>2578.9285714285716</v>
      </c>
      <c r="AI52" s="1267"/>
      <c r="AJ52" s="1274">
        <v>18.052500000000002</v>
      </c>
      <c r="AK52" s="110"/>
      <c r="AL52" s="122"/>
    </row>
    <row r="53" spans="1:38" x14ac:dyDescent="0.45">
      <c r="A53" s="10">
        <v>1863</v>
      </c>
      <c r="B53" s="1234"/>
      <c r="C53" s="1259"/>
      <c r="D53" s="1260"/>
      <c r="E53" s="1261"/>
      <c r="F53" s="1261"/>
      <c r="G53" s="126"/>
      <c r="H53" s="1262"/>
      <c r="I53" s="1262"/>
      <c r="J53" s="1262"/>
      <c r="K53" s="1262"/>
      <c r="L53" s="1262"/>
      <c r="M53" s="1263"/>
      <c r="N53" s="1255"/>
      <c r="O53" s="1255">
        <f t="shared" si="2"/>
        <v>2703.2142857142862</v>
      </c>
      <c r="P53" s="126"/>
      <c r="Q53" s="1255">
        <f t="shared" si="1"/>
        <v>2703.2142857142862</v>
      </c>
      <c r="R53" s="1260"/>
      <c r="S53" s="126"/>
      <c r="T53" s="1262"/>
      <c r="U53" s="126"/>
      <c r="V53" s="1255"/>
      <c r="W53" s="1264"/>
      <c r="X53" s="12"/>
      <c r="Y53" s="12"/>
      <c r="Z53" s="12"/>
      <c r="AA53" s="12"/>
      <c r="AB53" s="12"/>
      <c r="AC53" s="124"/>
      <c r="AD53" s="111"/>
      <c r="AF53" s="121"/>
      <c r="AG53" s="1265"/>
      <c r="AH53" s="1273">
        <f>AJ53/Units!$C$23*Units!$C$22/Units!$C$18*10^9/1000</f>
        <v>2703.2142857142862</v>
      </c>
      <c r="AI53" s="1267"/>
      <c r="AJ53" s="1274">
        <v>18.922500000000003</v>
      </c>
      <c r="AK53" s="110"/>
      <c r="AL53" s="122"/>
    </row>
    <row r="54" spans="1:38" x14ac:dyDescent="0.45">
      <c r="A54" s="10">
        <v>1864</v>
      </c>
      <c r="B54" s="1234"/>
      <c r="C54" s="1259"/>
      <c r="D54" s="1260"/>
      <c r="E54" s="1261"/>
      <c r="F54" s="1261"/>
      <c r="G54" s="126"/>
      <c r="H54" s="1262"/>
      <c r="I54" s="1262"/>
      <c r="J54" s="1262"/>
      <c r="K54" s="1262"/>
      <c r="L54" s="1262"/>
      <c r="M54" s="1263"/>
      <c r="N54" s="1255"/>
      <c r="O54" s="1255">
        <f t="shared" si="2"/>
        <v>2827.5000000000005</v>
      </c>
      <c r="P54" s="126"/>
      <c r="Q54" s="1255">
        <f t="shared" si="1"/>
        <v>2827.5000000000005</v>
      </c>
      <c r="R54" s="1260"/>
      <c r="S54" s="126"/>
      <c r="T54" s="1262"/>
      <c r="U54" s="126"/>
      <c r="V54" s="1255"/>
      <c r="W54" s="1264"/>
      <c r="X54" s="12"/>
      <c r="Y54" s="12"/>
      <c r="Z54" s="12"/>
      <c r="AA54" s="12"/>
      <c r="AB54" s="12"/>
      <c r="AC54" s="124"/>
      <c r="AD54" s="111"/>
      <c r="AF54" s="121"/>
      <c r="AG54" s="1265"/>
      <c r="AH54" s="1273">
        <f>AJ54/Units!$C$23*Units!$C$22/Units!$C$18*10^9/1000</f>
        <v>2827.5000000000005</v>
      </c>
      <c r="AI54" s="1267"/>
      <c r="AJ54" s="1274">
        <v>19.792500000000004</v>
      </c>
      <c r="AK54" s="110"/>
      <c r="AL54" s="122"/>
    </row>
    <row r="55" spans="1:38" x14ac:dyDescent="0.45">
      <c r="A55" s="10">
        <v>1865</v>
      </c>
      <c r="B55" s="1234"/>
      <c r="C55" s="1259"/>
      <c r="D55" s="1260"/>
      <c r="E55" s="1261"/>
      <c r="F55" s="1261"/>
      <c r="G55" s="126"/>
      <c r="H55" s="1262"/>
      <c r="I55" s="1262"/>
      <c r="J55" s="1262"/>
      <c r="K55" s="1262"/>
      <c r="L55" s="1262"/>
      <c r="M55" s="1263"/>
      <c r="N55" s="1255"/>
      <c r="O55" s="1255">
        <f t="shared" si="2"/>
        <v>2951.7857142857147</v>
      </c>
      <c r="P55" s="126"/>
      <c r="Q55" s="1255">
        <f t="shared" si="1"/>
        <v>2951.7857142857147</v>
      </c>
      <c r="R55" s="1260"/>
      <c r="S55" s="126"/>
      <c r="T55" s="1262"/>
      <c r="U55" s="126"/>
      <c r="V55" s="1255"/>
      <c r="W55" s="1264"/>
      <c r="X55" s="12"/>
      <c r="Y55" s="12"/>
      <c r="Z55" s="12"/>
      <c r="AA55" s="12"/>
      <c r="AB55" s="12"/>
      <c r="AC55" s="124"/>
      <c r="AD55" s="111"/>
      <c r="AF55" s="121"/>
      <c r="AG55" s="1265"/>
      <c r="AH55" s="1273">
        <f>AJ55/Units!$C$23*Units!$C$22/Units!$C$18*10^9/1000</f>
        <v>2951.7857142857147</v>
      </c>
      <c r="AI55" s="1267"/>
      <c r="AJ55" s="1274">
        <v>20.662500000000001</v>
      </c>
      <c r="AK55" s="110"/>
      <c r="AL55" s="122"/>
    </row>
    <row r="56" spans="1:38" x14ac:dyDescent="0.45">
      <c r="A56" s="10">
        <v>1866</v>
      </c>
      <c r="B56" s="1234"/>
      <c r="C56" s="1259"/>
      <c r="D56" s="1260"/>
      <c r="E56" s="1261"/>
      <c r="F56" s="1261"/>
      <c r="G56" s="126"/>
      <c r="H56" s="1262"/>
      <c r="I56" s="1262"/>
      <c r="J56" s="1262"/>
      <c r="K56" s="1262"/>
      <c r="L56" s="1262"/>
      <c r="M56" s="1263"/>
      <c r="N56" s="1255"/>
      <c r="O56" s="1255">
        <f t="shared" si="2"/>
        <v>3045</v>
      </c>
      <c r="P56" s="126"/>
      <c r="Q56" s="1255">
        <f t="shared" si="1"/>
        <v>3045</v>
      </c>
      <c r="R56" s="1260"/>
      <c r="S56" s="126"/>
      <c r="T56" s="1262"/>
      <c r="U56" s="126"/>
      <c r="V56" s="1255"/>
      <c r="W56" s="1264"/>
      <c r="X56" s="12"/>
      <c r="Y56" s="12"/>
      <c r="Z56" s="12"/>
      <c r="AA56" s="12"/>
      <c r="AB56" s="12"/>
      <c r="AC56" s="124"/>
      <c r="AD56" s="111"/>
      <c r="AF56" s="121"/>
      <c r="AG56" s="1265"/>
      <c r="AH56" s="1273">
        <f>AJ56/Units!$C$23*Units!$C$22/Units!$C$18*10^9/1000</f>
        <v>3045</v>
      </c>
      <c r="AI56" s="1267"/>
      <c r="AJ56" s="1274">
        <v>21.315000000000001</v>
      </c>
      <c r="AK56" s="110"/>
      <c r="AL56" s="122"/>
    </row>
    <row r="57" spans="1:38" x14ac:dyDescent="0.45">
      <c r="A57" s="10">
        <v>1867</v>
      </c>
      <c r="B57" s="1234"/>
      <c r="C57" s="1259"/>
      <c r="D57" s="1260"/>
      <c r="E57" s="1261"/>
      <c r="F57" s="1261"/>
      <c r="G57" s="126"/>
      <c r="H57" s="1262"/>
      <c r="I57" s="1262"/>
      <c r="J57" s="1262"/>
      <c r="K57" s="1262"/>
      <c r="L57" s="1262"/>
      <c r="M57" s="1263"/>
      <c r="N57" s="1255"/>
      <c r="O57" s="1255">
        <f t="shared" si="2"/>
        <v>3138.2142857142858</v>
      </c>
      <c r="P57" s="126"/>
      <c r="Q57" s="1255">
        <f t="shared" si="1"/>
        <v>3138.2142857142858</v>
      </c>
      <c r="R57" s="1260"/>
      <c r="S57" s="126"/>
      <c r="T57" s="1262"/>
      <c r="U57" s="126"/>
      <c r="V57" s="1255"/>
      <c r="W57" s="1264"/>
      <c r="X57" s="12"/>
      <c r="Y57" s="12"/>
      <c r="Z57" s="12"/>
      <c r="AA57" s="12"/>
      <c r="AB57" s="12"/>
      <c r="AC57" s="124"/>
      <c r="AD57" s="111"/>
      <c r="AF57" s="121"/>
      <c r="AG57" s="1265"/>
      <c r="AH57" s="1273">
        <f>AJ57/Units!$C$23*Units!$C$22/Units!$C$18*10^9/1000</f>
        <v>3138.2142857142858</v>
      </c>
      <c r="AI57" s="1267"/>
      <c r="AJ57" s="1274">
        <v>21.967500000000001</v>
      </c>
      <c r="AK57" s="110"/>
      <c r="AL57" s="122"/>
    </row>
    <row r="58" spans="1:38" x14ac:dyDescent="0.45">
      <c r="A58" s="10">
        <v>1868</v>
      </c>
      <c r="B58" s="1234"/>
      <c r="C58" s="1259"/>
      <c r="D58" s="1260"/>
      <c r="E58" s="1261"/>
      <c r="F58" s="1261"/>
      <c r="G58" s="126"/>
      <c r="H58" s="1262"/>
      <c r="I58" s="1262"/>
      <c r="J58" s="1262"/>
      <c r="K58" s="1262"/>
      <c r="L58" s="1262"/>
      <c r="M58" s="1263"/>
      <c r="N58" s="1255"/>
      <c r="O58" s="1255">
        <f t="shared" si="2"/>
        <v>3231.4285714285729</v>
      </c>
      <c r="P58" s="126"/>
      <c r="Q58" s="1255">
        <f t="shared" si="1"/>
        <v>3231.4285714285729</v>
      </c>
      <c r="R58" s="1260"/>
      <c r="S58" s="126"/>
      <c r="T58" s="1262"/>
      <c r="U58" s="126"/>
      <c r="V58" s="1255"/>
      <c r="W58" s="1264"/>
      <c r="X58" s="12"/>
      <c r="Y58" s="12"/>
      <c r="Z58" s="12"/>
      <c r="AA58" s="12"/>
      <c r="AB58" s="12"/>
      <c r="AC58" s="124"/>
      <c r="AD58" s="111"/>
      <c r="AF58" s="121"/>
      <c r="AG58" s="1265"/>
      <c r="AH58" s="1273">
        <f>AJ58/Units!$C$23*Units!$C$22/Units!$C$18*10^9/1000</f>
        <v>3231.4285714285729</v>
      </c>
      <c r="AI58" s="1267"/>
      <c r="AJ58" s="1274">
        <v>22.620000000000005</v>
      </c>
      <c r="AK58" s="110"/>
      <c r="AL58" s="122"/>
    </row>
    <row r="59" spans="1:38" x14ac:dyDescent="0.45">
      <c r="A59" s="10">
        <v>1869</v>
      </c>
      <c r="B59" s="1234"/>
      <c r="C59" s="1259"/>
      <c r="D59" s="1260"/>
      <c r="E59" s="1261"/>
      <c r="F59" s="1261"/>
      <c r="G59" s="126"/>
      <c r="H59" s="1262"/>
      <c r="I59" s="1262"/>
      <c r="J59" s="1262"/>
      <c r="K59" s="1262"/>
      <c r="L59" s="1262"/>
      <c r="M59" s="1263"/>
      <c r="N59" s="1255"/>
      <c r="O59" s="1255">
        <f t="shared" si="2"/>
        <v>3324.6428571428587</v>
      </c>
      <c r="P59" s="126"/>
      <c r="Q59" s="1255">
        <f t="shared" si="1"/>
        <v>3324.6428571428587</v>
      </c>
      <c r="R59" s="1260"/>
      <c r="S59" s="126"/>
      <c r="T59" s="1262"/>
      <c r="U59" s="126"/>
      <c r="V59" s="1255"/>
      <c r="W59" s="1264"/>
      <c r="X59" s="12"/>
      <c r="Y59" s="12"/>
      <c r="Z59" s="12"/>
      <c r="AA59" s="12"/>
      <c r="AB59" s="12"/>
      <c r="AC59" s="124"/>
      <c r="AD59" s="111"/>
      <c r="AF59" s="121"/>
      <c r="AG59" s="1265"/>
      <c r="AH59" s="1273">
        <f>AJ59/Units!$C$23*Units!$C$22/Units!$C$18*10^9/1000</f>
        <v>3324.6428571428587</v>
      </c>
      <c r="AI59" s="1267"/>
      <c r="AJ59" s="1274">
        <v>23.272500000000008</v>
      </c>
      <c r="AK59" s="110"/>
      <c r="AL59" s="122"/>
    </row>
    <row r="60" spans="1:38" x14ac:dyDescent="0.45">
      <c r="A60" s="10">
        <v>1870</v>
      </c>
      <c r="B60" s="1234"/>
      <c r="C60" s="1259"/>
      <c r="D60" s="1260"/>
      <c r="E60" s="1261"/>
      <c r="F60" s="1261"/>
      <c r="G60" s="126"/>
      <c r="H60" s="1262"/>
      <c r="I60" s="1262"/>
      <c r="J60" s="1262"/>
      <c r="K60" s="1262"/>
      <c r="L60" s="1262"/>
      <c r="M60" s="1263"/>
      <c r="N60" s="1255"/>
      <c r="O60" s="1255">
        <f t="shared" si="2"/>
        <v>3535.7142857142858</v>
      </c>
      <c r="P60" s="126"/>
      <c r="Q60" s="1255">
        <f t="shared" si="1"/>
        <v>3535.7142857142858</v>
      </c>
      <c r="R60" s="1260"/>
      <c r="S60" s="126"/>
      <c r="T60" s="1262"/>
      <c r="U60" s="126"/>
      <c r="V60" s="1255"/>
      <c r="W60" s="1264"/>
      <c r="X60" s="12"/>
      <c r="Y60" s="12"/>
      <c r="Z60" s="12"/>
      <c r="AA60" s="12"/>
      <c r="AB60" s="12"/>
      <c r="AC60" s="124"/>
      <c r="AD60" s="111"/>
      <c r="AF60" s="121"/>
      <c r="AG60" s="1265"/>
      <c r="AH60" s="1273">
        <f>AJ60/Units!$C$23*Units!$C$22/Units!$C$18*10^9/1000</f>
        <v>3535.7142857142858</v>
      </c>
      <c r="AI60" s="1267"/>
      <c r="AJ60" s="1274">
        <v>24.75</v>
      </c>
      <c r="AK60" s="110"/>
      <c r="AL60" s="122"/>
    </row>
    <row r="61" spans="1:38" x14ac:dyDescent="0.45">
      <c r="A61" s="10">
        <v>1871</v>
      </c>
      <c r="B61" s="1234"/>
      <c r="C61" s="1259"/>
      <c r="D61" s="1260"/>
      <c r="E61" s="1261"/>
      <c r="F61" s="1261"/>
      <c r="G61" s="126"/>
      <c r="H61" s="1262"/>
      <c r="I61" s="1262"/>
      <c r="J61" s="1262"/>
      <c r="K61" s="1262"/>
      <c r="L61" s="1262"/>
      <c r="M61" s="1263"/>
      <c r="N61" s="1255"/>
      <c r="O61" s="1255">
        <f t="shared" si="2"/>
        <v>3857.1428571428573</v>
      </c>
      <c r="P61" s="126"/>
      <c r="Q61" s="1255">
        <f t="shared" si="1"/>
        <v>3857.1428571428573</v>
      </c>
      <c r="R61" s="1260"/>
      <c r="S61" s="126"/>
      <c r="T61" s="1262"/>
      <c r="U61" s="126"/>
      <c r="V61" s="1255"/>
      <c r="W61" s="1264"/>
      <c r="X61" s="12"/>
      <c r="Y61" s="12"/>
      <c r="Z61" s="12"/>
      <c r="AA61" s="12"/>
      <c r="AB61" s="12"/>
      <c r="AC61" s="124"/>
      <c r="AD61" s="111"/>
      <c r="AF61" s="121"/>
      <c r="AG61" s="1265"/>
      <c r="AH61" s="1273">
        <f>AJ61/Units!$C$23*Units!$C$22/Units!$C$18*10^9/1000</f>
        <v>3857.1428571428573</v>
      </c>
      <c r="AI61" s="1267"/>
      <c r="AJ61" s="1274">
        <v>27</v>
      </c>
      <c r="AK61" s="110"/>
      <c r="AL61" s="122"/>
    </row>
    <row r="62" spans="1:38" x14ac:dyDescent="0.45">
      <c r="A62" s="10">
        <v>1872</v>
      </c>
      <c r="B62" s="1234"/>
      <c r="C62" s="1259"/>
      <c r="D62" s="1260"/>
      <c r="E62" s="1261"/>
      <c r="F62" s="1261"/>
      <c r="G62" s="126"/>
      <c r="H62" s="1262"/>
      <c r="I62" s="1262"/>
      <c r="J62" s="1262"/>
      <c r="K62" s="1262"/>
      <c r="L62" s="1262"/>
      <c r="M62" s="1263"/>
      <c r="N62" s="1255"/>
      <c r="O62" s="1255">
        <f t="shared" si="2"/>
        <v>3792.8571428571431</v>
      </c>
      <c r="P62" s="126"/>
      <c r="Q62" s="1255">
        <f t="shared" si="1"/>
        <v>3792.8571428571431</v>
      </c>
      <c r="R62" s="1260"/>
      <c r="S62" s="126"/>
      <c r="T62" s="1262"/>
      <c r="U62" s="126"/>
      <c r="V62" s="1255"/>
      <c r="W62" s="1264"/>
      <c r="X62" s="12"/>
      <c r="Y62" s="12"/>
      <c r="Z62" s="12"/>
      <c r="AA62" s="12"/>
      <c r="AB62" s="12"/>
      <c r="AC62" s="124"/>
      <c r="AD62" s="111"/>
      <c r="AF62" s="121"/>
      <c r="AG62" s="1265"/>
      <c r="AH62" s="1273">
        <f>AJ62/Units!$C$23*Units!$C$22/Units!$C$18*10^9/1000</f>
        <v>3792.8571428571431</v>
      </c>
      <c r="AI62" s="1267"/>
      <c r="AJ62" s="1274">
        <v>26.550000000000004</v>
      </c>
      <c r="AK62" s="110"/>
      <c r="AL62" s="122"/>
    </row>
    <row r="63" spans="1:38" x14ac:dyDescent="0.45">
      <c r="A63" s="10">
        <v>1873</v>
      </c>
      <c r="B63" s="1234"/>
      <c r="C63" s="1259"/>
      <c r="D63" s="1260"/>
      <c r="E63" s="1261"/>
      <c r="F63" s="1261"/>
      <c r="G63" s="126"/>
      <c r="H63" s="1262"/>
      <c r="I63" s="1262"/>
      <c r="J63" s="1262"/>
      <c r="K63" s="1262"/>
      <c r="L63" s="1262"/>
      <c r="M63" s="1263"/>
      <c r="N63" s="1255"/>
      <c r="O63" s="1255">
        <f t="shared" si="2"/>
        <v>3760.7142857142849</v>
      </c>
      <c r="P63" s="126"/>
      <c r="Q63" s="1255">
        <f t="shared" si="1"/>
        <v>3760.7142857142849</v>
      </c>
      <c r="R63" s="1260"/>
      <c r="S63" s="126"/>
      <c r="T63" s="1262"/>
      <c r="U63" s="126"/>
      <c r="V63" s="1255"/>
      <c r="W63" s="1264"/>
      <c r="X63" s="12"/>
      <c r="Y63" s="12"/>
      <c r="Z63" s="12"/>
      <c r="AA63" s="12"/>
      <c r="AB63" s="12"/>
      <c r="AC63" s="124"/>
      <c r="AD63" s="111"/>
      <c r="AF63" s="121"/>
      <c r="AG63" s="1265"/>
      <c r="AH63" s="1273">
        <f>AJ63/Units!$C$23*Units!$C$22/Units!$C$18*10^9/1000</f>
        <v>3760.7142857142849</v>
      </c>
      <c r="AI63" s="1267"/>
      <c r="AJ63" s="1274">
        <v>26.324999999999996</v>
      </c>
      <c r="AK63" s="110"/>
      <c r="AL63" s="122"/>
    </row>
    <row r="64" spans="1:38" x14ac:dyDescent="0.45">
      <c r="A64" s="10">
        <v>1874</v>
      </c>
      <c r="B64" s="1234"/>
      <c r="C64" s="1259"/>
      <c r="D64" s="1260"/>
      <c r="E64" s="1261"/>
      <c r="F64" s="1261"/>
      <c r="G64" s="126"/>
      <c r="H64" s="1262"/>
      <c r="I64" s="1262"/>
      <c r="J64" s="1262"/>
      <c r="K64" s="1262"/>
      <c r="L64" s="1262"/>
      <c r="M64" s="1263"/>
      <c r="N64" s="1255"/>
      <c r="O64" s="1255">
        <f t="shared" si="2"/>
        <v>4017.8571428571431</v>
      </c>
      <c r="P64" s="126"/>
      <c r="Q64" s="1255">
        <f t="shared" si="1"/>
        <v>4017.8571428571431</v>
      </c>
      <c r="R64" s="1260"/>
      <c r="S64" s="126"/>
      <c r="T64" s="1262"/>
      <c r="U64" s="126"/>
      <c r="V64" s="1255"/>
      <c r="W64" s="1264"/>
      <c r="X64" s="12"/>
      <c r="Y64" s="12"/>
      <c r="Z64" s="12"/>
      <c r="AA64" s="12"/>
      <c r="AB64" s="12"/>
      <c r="AC64" s="124"/>
      <c r="AD64" s="111"/>
      <c r="AF64" s="121"/>
      <c r="AG64" s="1265"/>
      <c r="AH64" s="1273">
        <f>AJ64/Units!$C$23*Units!$C$22/Units!$C$18*10^9/1000</f>
        <v>4017.8571428571431</v>
      </c>
      <c r="AI64" s="1267"/>
      <c r="AJ64" s="1274">
        <v>28.125</v>
      </c>
      <c r="AK64" s="110"/>
      <c r="AL64" s="122"/>
    </row>
    <row r="65" spans="1:38" x14ac:dyDescent="0.45">
      <c r="A65" s="10">
        <v>1875</v>
      </c>
      <c r="B65" s="1234"/>
      <c r="C65" s="1259"/>
      <c r="D65" s="1260"/>
      <c r="E65" s="1261"/>
      <c r="F65" s="1261"/>
      <c r="G65" s="126"/>
      <c r="H65" s="1262"/>
      <c r="I65" s="1262"/>
      <c r="J65" s="1262"/>
      <c r="K65" s="1262"/>
      <c r="L65" s="1262"/>
      <c r="M65" s="1263"/>
      <c r="N65" s="1255"/>
      <c r="O65" s="1255">
        <f t="shared" si="2"/>
        <v>4242.8571428571422</v>
      </c>
      <c r="P65" s="126"/>
      <c r="Q65" s="1255">
        <f t="shared" si="1"/>
        <v>4242.8571428571422</v>
      </c>
      <c r="R65" s="1260"/>
      <c r="S65" s="126"/>
      <c r="T65" s="1262"/>
      <c r="U65" s="126"/>
      <c r="V65" s="1255"/>
      <c r="W65" s="1264"/>
      <c r="X65" s="12"/>
      <c r="Y65" s="12"/>
      <c r="Z65" s="12"/>
      <c r="AA65" s="12"/>
      <c r="AB65" s="12"/>
      <c r="AC65" s="124"/>
      <c r="AD65" s="111"/>
      <c r="AF65" s="121"/>
      <c r="AG65" s="1265"/>
      <c r="AH65" s="1273">
        <f>AJ65/Units!$C$23*Units!$C$22/Units!$C$18*10^9/1000</f>
        <v>4242.8571428571422</v>
      </c>
      <c r="AI65" s="1267"/>
      <c r="AJ65" s="1274">
        <v>29.699999999999996</v>
      </c>
      <c r="AK65" s="110"/>
      <c r="AL65" s="122"/>
    </row>
    <row r="66" spans="1:38" x14ac:dyDescent="0.45">
      <c r="A66" s="10">
        <v>1876</v>
      </c>
      <c r="B66" s="1234"/>
      <c r="C66" s="1259"/>
      <c r="D66" s="1260"/>
      <c r="E66" s="1261"/>
      <c r="F66" s="1261"/>
      <c r="G66" s="126"/>
      <c r="H66" s="1262"/>
      <c r="I66" s="1262"/>
      <c r="J66" s="1262"/>
      <c r="K66" s="1262"/>
      <c r="L66" s="1262"/>
      <c r="M66" s="1263"/>
      <c r="N66" s="1255"/>
      <c r="O66" s="1255">
        <f t="shared" si="2"/>
        <v>4660.7142857142853</v>
      </c>
      <c r="P66" s="126"/>
      <c r="Q66" s="1255">
        <f t="shared" si="1"/>
        <v>4660.7142857142853</v>
      </c>
      <c r="R66" s="1260"/>
      <c r="S66" s="126"/>
      <c r="T66" s="1262"/>
      <c r="U66" s="126"/>
      <c r="V66" s="1255"/>
      <c r="W66" s="1264"/>
      <c r="X66" s="12"/>
      <c r="Y66" s="12"/>
      <c r="Z66" s="12"/>
      <c r="AA66" s="12"/>
      <c r="AB66" s="12"/>
      <c r="AC66" s="124"/>
      <c r="AD66" s="111"/>
      <c r="AF66" s="121"/>
      <c r="AG66" s="1265"/>
      <c r="AH66" s="1273">
        <f>AJ66/Units!$C$23*Units!$C$22/Units!$C$18*10^9/1000</f>
        <v>4660.7142857142853</v>
      </c>
      <c r="AI66" s="1267"/>
      <c r="AJ66" s="1274">
        <v>32.625</v>
      </c>
      <c r="AK66" s="110"/>
      <c r="AL66" s="122"/>
    </row>
    <row r="67" spans="1:38" x14ac:dyDescent="0.45">
      <c r="A67" s="10">
        <v>1877</v>
      </c>
      <c r="B67" s="1234"/>
      <c r="C67" s="1259"/>
      <c r="D67" s="1260"/>
      <c r="E67" s="1261"/>
      <c r="F67" s="1261"/>
      <c r="G67" s="126"/>
      <c r="H67" s="1262"/>
      <c r="I67" s="1262"/>
      <c r="J67" s="1262"/>
      <c r="K67" s="1262"/>
      <c r="L67" s="1262"/>
      <c r="M67" s="1263"/>
      <c r="N67" s="1255"/>
      <c r="O67" s="1255">
        <f t="shared" si="2"/>
        <v>5046.4285714285706</v>
      </c>
      <c r="P67" s="126"/>
      <c r="Q67" s="1255">
        <f t="shared" si="1"/>
        <v>5046.4285714285706</v>
      </c>
      <c r="R67" s="1260"/>
      <c r="S67" s="126"/>
      <c r="T67" s="1262"/>
      <c r="U67" s="126"/>
      <c r="V67" s="1255"/>
      <c r="W67" s="1264"/>
      <c r="X67" s="12"/>
      <c r="Y67" s="12"/>
      <c r="Z67" s="12"/>
      <c r="AA67" s="12"/>
      <c r="AB67" s="12"/>
      <c r="AC67" s="124"/>
      <c r="AD67" s="111"/>
      <c r="AF67" s="121"/>
      <c r="AG67" s="1265"/>
      <c r="AH67" s="1273">
        <f>AJ67/Units!$C$23*Units!$C$22/Units!$C$18*10^9/1000</f>
        <v>5046.4285714285706</v>
      </c>
      <c r="AI67" s="1267"/>
      <c r="AJ67" s="1274">
        <v>35.324999999999996</v>
      </c>
      <c r="AK67" s="110"/>
      <c r="AL67" s="122"/>
    </row>
    <row r="68" spans="1:38" x14ac:dyDescent="0.45">
      <c r="A68" s="10">
        <v>1878</v>
      </c>
      <c r="B68" s="1234"/>
      <c r="C68" s="1259"/>
      <c r="D68" s="1260"/>
      <c r="E68" s="1261"/>
      <c r="F68" s="1261"/>
      <c r="G68" s="126"/>
      <c r="H68" s="1262"/>
      <c r="I68" s="1262"/>
      <c r="J68" s="1262"/>
      <c r="K68" s="1262"/>
      <c r="L68" s="1262"/>
      <c r="M68" s="1263"/>
      <c r="N68" s="1255"/>
      <c r="O68" s="1255">
        <f t="shared" si="2"/>
        <v>5400</v>
      </c>
      <c r="P68" s="126"/>
      <c r="Q68" s="1255">
        <f t="shared" si="1"/>
        <v>5400</v>
      </c>
      <c r="R68" s="1260"/>
      <c r="S68" s="126"/>
      <c r="T68" s="1262"/>
      <c r="U68" s="126"/>
      <c r="V68" s="1255"/>
      <c r="W68" s="1264"/>
      <c r="X68" s="12"/>
      <c r="Y68" s="12"/>
      <c r="Z68" s="12"/>
      <c r="AA68" s="12"/>
      <c r="AB68" s="12"/>
      <c r="AC68" s="124"/>
      <c r="AD68" s="111"/>
      <c r="AF68" s="121"/>
      <c r="AG68" s="1265"/>
      <c r="AH68" s="1273">
        <f>AJ68/Units!$C$23*Units!$C$22/Units!$C$18*10^9/1000</f>
        <v>5400</v>
      </c>
      <c r="AI68" s="1267"/>
      <c r="AJ68" s="1274">
        <v>37.800000000000004</v>
      </c>
      <c r="AK68" s="110"/>
      <c r="AL68" s="122"/>
    </row>
    <row r="69" spans="1:38" x14ac:dyDescent="0.45">
      <c r="A69" s="10">
        <v>1879</v>
      </c>
      <c r="B69" s="1234"/>
      <c r="C69" s="1259"/>
      <c r="D69" s="1260"/>
      <c r="E69" s="1261"/>
      <c r="F69" s="1261"/>
      <c r="G69" s="126"/>
      <c r="H69" s="1262"/>
      <c r="I69" s="1262"/>
      <c r="J69" s="1262"/>
      <c r="K69" s="1262"/>
      <c r="L69" s="1262"/>
      <c r="M69" s="1263"/>
      <c r="N69" s="1255"/>
      <c r="O69" s="1255">
        <f t="shared" si="2"/>
        <v>5753.5714285714275</v>
      </c>
      <c r="P69" s="126"/>
      <c r="Q69" s="1255">
        <f t="shared" si="1"/>
        <v>5753.5714285714275</v>
      </c>
      <c r="R69" s="1260"/>
      <c r="S69" s="126"/>
      <c r="T69" s="1262"/>
      <c r="U69" s="126"/>
      <c r="V69" s="1255"/>
      <c r="W69" s="1264"/>
      <c r="X69" s="12"/>
      <c r="Y69" s="12"/>
      <c r="Z69" s="12"/>
      <c r="AA69" s="12"/>
      <c r="AB69" s="12"/>
      <c r="AC69" s="124"/>
      <c r="AD69" s="111"/>
      <c r="AF69" s="121"/>
      <c r="AG69" s="1265"/>
      <c r="AH69" s="1273">
        <f>AJ69/Units!$C$23*Units!$C$22/Units!$C$18*10^9/1000</f>
        <v>5753.5714285714275</v>
      </c>
      <c r="AI69" s="1267"/>
      <c r="AJ69" s="1274">
        <v>40.274999999999999</v>
      </c>
      <c r="AK69" s="110"/>
      <c r="AL69" s="122"/>
    </row>
    <row r="70" spans="1:38" x14ac:dyDescent="0.45">
      <c r="A70" s="10">
        <v>1880</v>
      </c>
      <c r="B70" s="1234"/>
      <c r="C70" s="1259"/>
      <c r="D70" s="1260"/>
      <c r="E70" s="1261"/>
      <c r="F70" s="1261"/>
      <c r="G70" s="126"/>
      <c r="H70" s="1262"/>
      <c r="I70" s="1262"/>
      <c r="J70" s="1262"/>
      <c r="K70" s="1262"/>
      <c r="L70" s="1262"/>
      <c r="M70" s="1263"/>
      <c r="N70" s="1255"/>
      <c r="O70" s="1255">
        <f t="shared" si="2"/>
        <v>6042.857142857144</v>
      </c>
      <c r="P70" s="126"/>
      <c r="Q70" s="1255">
        <f>O70</f>
        <v>6042.857142857144</v>
      </c>
      <c r="R70" s="1260"/>
      <c r="S70" s="126"/>
      <c r="T70" s="1262"/>
      <c r="U70" s="126"/>
      <c r="V70" s="1255"/>
      <c r="W70" s="1264"/>
      <c r="X70" s="12"/>
      <c r="Y70" s="12"/>
      <c r="Z70" s="12"/>
      <c r="AA70" s="12"/>
      <c r="AB70" s="12"/>
      <c r="AC70" s="124"/>
      <c r="AD70" s="111"/>
      <c r="AF70" s="121"/>
      <c r="AG70" s="1265"/>
      <c r="AH70" s="1273">
        <f>AJ70/Units!$C$23*Units!$C$22/Units!$C$18*10^9/1000</f>
        <v>6042.857142857144</v>
      </c>
      <c r="AI70" s="1267"/>
      <c r="AJ70" s="1274">
        <v>42.300000000000004</v>
      </c>
      <c r="AK70" s="110"/>
      <c r="AL70" s="122"/>
    </row>
    <row r="71" spans="1:38" x14ac:dyDescent="0.45">
      <c r="A71" s="10">
        <v>1881</v>
      </c>
      <c r="B71" s="1234"/>
      <c r="C71" s="1259"/>
      <c r="D71" s="1260"/>
      <c r="E71" s="1261"/>
      <c r="F71" s="1261"/>
      <c r="G71" s="126"/>
      <c r="H71" s="1262"/>
      <c r="I71" s="1262"/>
      <c r="J71" s="1262"/>
      <c r="K71" s="1262"/>
      <c r="L71" s="1262"/>
      <c r="M71" s="1263"/>
      <c r="N71" s="1255"/>
      <c r="O71" s="1255"/>
      <c r="P71" s="126"/>
      <c r="Q71" s="1255"/>
      <c r="R71" s="1260"/>
      <c r="S71" s="126"/>
      <c r="T71" s="1262"/>
      <c r="U71" s="126"/>
      <c r="V71" s="1255"/>
      <c r="W71" s="1264"/>
      <c r="X71" s="12"/>
      <c r="Y71" s="12"/>
      <c r="Z71" s="12"/>
      <c r="AA71" s="12"/>
      <c r="AB71" s="12"/>
      <c r="AC71" s="124"/>
      <c r="AD71" s="111"/>
      <c r="AF71" s="121"/>
      <c r="AG71" s="1265"/>
      <c r="AH71" s="1266"/>
      <c r="AI71" s="1267"/>
      <c r="AJ71" s="1274"/>
      <c r="AK71" s="110"/>
      <c r="AL71" s="122"/>
    </row>
    <row r="72" spans="1:38" x14ac:dyDescent="0.45">
      <c r="A72" s="10">
        <v>1882</v>
      </c>
      <c r="B72" s="1234"/>
      <c r="C72" s="1259"/>
      <c r="D72" s="1260"/>
      <c r="E72" s="1261"/>
      <c r="F72" s="1261"/>
      <c r="G72" s="126"/>
      <c r="H72" s="1262"/>
      <c r="I72" s="1262"/>
      <c r="J72" s="1262"/>
      <c r="K72" s="1262"/>
      <c r="L72" s="1262"/>
      <c r="M72" s="1263"/>
      <c r="N72" s="1255"/>
      <c r="O72" s="1255"/>
      <c r="P72" s="126"/>
      <c r="Q72" s="1255"/>
      <c r="R72" s="1260"/>
      <c r="S72" s="126"/>
      <c r="T72" s="1262"/>
      <c r="U72" s="126"/>
      <c r="V72" s="1255"/>
      <c r="W72" s="1264"/>
      <c r="X72" s="12"/>
      <c r="Y72" s="12"/>
      <c r="Z72" s="12"/>
      <c r="AA72" s="12"/>
      <c r="AB72" s="112"/>
      <c r="AC72" s="124"/>
      <c r="AD72" s="111"/>
      <c r="AF72" s="121"/>
      <c r="AG72" s="1275"/>
      <c r="AH72" s="1276"/>
      <c r="AI72" s="1277"/>
      <c r="AJ72" s="1274"/>
      <c r="AK72" s="110"/>
      <c r="AL72" s="122"/>
    </row>
    <row r="73" spans="1:38" x14ac:dyDescent="0.45">
      <c r="A73" s="10">
        <v>1883</v>
      </c>
      <c r="B73" s="1234"/>
      <c r="C73" s="1259"/>
      <c r="D73" s="1260"/>
      <c r="E73" s="1261"/>
      <c r="F73" s="1261"/>
      <c r="G73" s="126"/>
      <c r="H73" s="1262"/>
      <c r="I73" s="1262"/>
      <c r="J73" s="1262"/>
      <c r="K73" s="1262"/>
      <c r="L73" s="1262"/>
      <c r="M73" s="1263"/>
      <c r="N73" s="1255"/>
      <c r="O73" s="1255"/>
      <c r="P73" s="126"/>
      <c r="Q73" s="1255"/>
      <c r="R73" s="1260"/>
      <c r="S73" s="126"/>
      <c r="T73" s="1262"/>
      <c r="U73" s="126"/>
      <c r="V73" s="1255"/>
      <c r="W73" s="1264"/>
      <c r="X73" s="12"/>
      <c r="Y73" s="12"/>
      <c r="Z73" s="12"/>
      <c r="AA73" s="12"/>
      <c r="AB73" s="112"/>
      <c r="AC73" s="124"/>
      <c r="AD73" s="111"/>
      <c r="AF73" s="121"/>
      <c r="AG73" s="1275"/>
      <c r="AH73" s="1276"/>
      <c r="AI73" s="1277"/>
      <c r="AJ73" s="1274"/>
      <c r="AK73" s="110"/>
      <c r="AL73" s="122"/>
    </row>
    <row r="74" spans="1:38" x14ac:dyDescent="0.45">
      <c r="A74" s="10">
        <v>1884</v>
      </c>
      <c r="B74" s="1234"/>
      <c r="C74" s="1259"/>
      <c r="D74" s="1260"/>
      <c r="E74" s="1261"/>
      <c r="F74" s="1261"/>
      <c r="G74" s="126"/>
      <c r="H74" s="1262"/>
      <c r="I74" s="1262"/>
      <c r="J74" s="1262"/>
      <c r="K74" s="1262"/>
      <c r="L74" s="1262"/>
      <c r="M74" s="1263"/>
      <c r="N74" s="1255"/>
      <c r="O74" s="1255"/>
      <c r="P74" s="126"/>
      <c r="Q74" s="1255"/>
      <c r="R74" s="1260"/>
      <c r="S74" s="126"/>
      <c r="T74" s="1262"/>
      <c r="U74" s="126"/>
      <c r="V74" s="1255"/>
      <c r="W74" s="1264"/>
      <c r="X74" s="12"/>
      <c r="Y74" s="12"/>
      <c r="Z74" s="12"/>
      <c r="AA74" s="12"/>
      <c r="AB74" s="112"/>
      <c r="AC74" s="124"/>
      <c r="AD74" s="111"/>
      <c r="AF74" s="121"/>
      <c r="AG74" s="1275"/>
      <c r="AH74" s="1276"/>
      <c r="AI74" s="1277"/>
      <c r="AJ74" s="1274"/>
      <c r="AK74" s="110"/>
      <c r="AL74" s="122"/>
    </row>
    <row r="75" spans="1:38" x14ac:dyDescent="0.45">
      <c r="A75" s="10">
        <v>1885</v>
      </c>
      <c r="B75" s="1234"/>
      <c r="C75" s="1259"/>
      <c r="D75" s="1260"/>
      <c r="E75" s="1261"/>
      <c r="F75" s="1261"/>
      <c r="G75" s="126"/>
      <c r="H75" s="1262"/>
      <c r="I75" s="1262"/>
      <c r="J75" s="1262"/>
      <c r="K75" s="1262"/>
      <c r="L75" s="1262"/>
      <c r="M75" s="1263"/>
      <c r="N75" s="1255"/>
      <c r="O75" s="1255"/>
      <c r="P75" s="126"/>
      <c r="Q75" s="1255"/>
      <c r="R75" s="1260"/>
      <c r="S75" s="126"/>
      <c r="T75" s="1262"/>
      <c r="U75" s="126"/>
      <c r="V75" s="1255"/>
      <c r="W75" s="1264"/>
      <c r="X75" s="12"/>
      <c r="Y75" s="12"/>
      <c r="Z75" s="12"/>
      <c r="AA75" s="12"/>
      <c r="AB75" s="112"/>
      <c r="AC75" s="124"/>
      <c r="AD75" s="111"/>
      <c r="AF75" s="121"/>
      <c r="AG75" s="1275"/>
      <c r="AH75" s="1276"/>
      <c r="AI75" s="1277"/>
      <c r="AJ75" s="1274"/>
      <c r="AK75" s="110"/>
      <c r="AL75" s="122"/>
    </row>
    <row r="76" spans="1:38" x14ac:dyDescent="0.45">
      <c r="A76" s="10">
        <v>1886</v>
      </c>
      <c r="B76" s="1234"/>
      <c r="C76" s="1259"/>
      <c r="D76" s="1260"/>
      <c r="E76" s="1261"/>
      <c r="F76" s="1261"/>
      <c r="G76" s="126"/>
      <c r="H76" s="1262"/>
      <c r="I76" s="1262"/>
      <c r="J76" s="1262"/>
      <c r="K76" s="1262"/>
      <c r="L76" s="1262"/>
      <c r="M76" s="1263"/>
      <c r="N76" s="1255"/>
      <c r="O76" s="1255"/>
      <c r="P76" s="126"/>
      <c r="Q76" s="1255"/>
      <c r="R76" s="1260"/>
      <c r="S76" s="126"/>
      <c r="T76" s="1262"/>
      <c r="U76" s="126"/>
      <c r="V76" s="1255"/>
      <c r="W76" s="1264"/>
      <c r="X76" s="12"/>
      <c r="Y76" s="12"/>
      <c r="Z76" s="12"/>
      <c r="AA76" s="12"/>
      <c r="AB76" s="112"/>
      <c r="AC76" s="124"/>
      <c r="AD76" s="111"/>
      <c r="AF76" s="121"/>
      <c r="AG76" s="1275"/>
      <c r="AH76" s="1276"/>
      <c r="AI76" s="1277"/>
      <c r="AJ76" s="1274"/>
      <c r="AK76" s="110"/>
      <c r="AL76" s="122"/>
    </row>
    <row r="77" spans="1:38" x14ac:dyDescent="0.45">
      <c r="A77" s="10">
        <v>1887</v>
      </c>
      <c r="B77" s="1234"/>
      <c r="C77" s="1259"/>
      <c r="D77" s="1260"/>
      <c r="E77" s="1261"/>
      <c r="F77" s="1261"/>
      <c r="G77" s="126"/>
      <c r="H77" s="1262"/>
      <c r="I77" s="1262"/>
      <c r="J77" s="1262"/>
      <c r="K77" s="1262"/>
      <c r="L77" s="1262"/>
      <c r="M77" s="1263"/>
      <c r="N77" s="1255"/>
      <c r="O77" s="1255"/>
      <c r="P77" s="126"/>
      <c r="Q77" s="1255"/>
      <c r="R77" s="1260"/>
      <c r="S77" s="126"/>
      <c r="T77" s="1262"/>
      <c r="U77" s="126"/>
      <c r="V77" s="1255"/>
      <c r="W77" s="1264"/>
      <c r="X77" s="12"/>
      <c r="Y77" s="12"/>
      <c r="Z77" s="12"/>
      <c r="AA77" s="12"/>
      <c r="AB77" s="112"/>
      <c r="AC77" s="124"/>
      <c r="AD77" s="111"/>
      <c r="AF77" s="121"/>
      <c r="AG77" s="1275"/>
      <c r="AH77" s="1276"/>
      <c r="AI77" s="1277"/>
      <c r="AJ77" s="1274"/>
      <c r="AK77" s="110"/>
      <c r="AL77" s="122"/>
    </row>
    <row r="78" spans="1:38" x14ac:dyDescent="0.45">
      <c r="A78" s="10">
        <v>1888</v>
      </c>
      <c r="B78" s="1234"/>
      <c r="C78" s="1259"/>
      <c r="D78" s="1260"/>
      <c r="E78" s="1261"/>
      <c r="F78" s="1261"/>
      <c r="G78" s="126"/>
      <c r="H78" s="1262"/>
      <c r="I78" s="1262"/>
      <c r="J78" s="1262"/>
      <c r="K78" s="1262"/>
      <c r="L78" s="1262"/>
      <c r="M78" s="1263"/>
      <c r="N78" s="1255"/>
      <c r="O78" s="1255"/>
      <c r="P78" s="126"/>
      <c r="Q78" s="1255"/>
      <c r="R78" s="1260"/>
      <c r="S78" s="126"/>
      <c r="T78" s="1262"/>
      <c r="U78" s="126"/>
      <c r="V78" s="1255"/>
      <c r="W78" s="1264"/>
      <c r="X78" s="12"/>
      <c r="Y78" s="12"/>
      <c r="Z78" s="12"/>
      <c r="AA78" s="12"/>
      <c r="AB78" s="112"/>
      <c r="AC78" s="124"/>
      <c r="AD78" s="111"/>
      <c r="AF78" s="121"/>
      <c r="AG78" s="1275"/>
      <c r="AH78" s="1276"/>
      <c r="AI78" s="1277"/>
      <c r="AJ78" s="1274"/>
      <c r="AK78" s="110"/>
      <c r="AL78" s="122"/>
    </row>
    <row r="79" spans="1:38" x14ac:dyDescent="0.45">
      <c r="A79" s="10">
        <v>1889</v>
      </c>
      <c r="B79" s="1234"/>
      <c r="C79" s="1259"/>
      <c r="D79" s="1260"/>
      <c r="E79" s="1261"/>
      <c r="F79" s="1261"/>
      <c r="G79" s="126"/>
      <c r="H79" s="1262"/>
      <c r="I79" s="1262"/>
      <c r="J79" s="1262"/>
      <c r="K79" s="1262"/>
      <c r="L79" s="1262"/>
      <c r="M79" s="1263"/>
      <c r="N79" s="1255"/>
      <c r="O79" s="1255"/>
      <c r="P79" s="126"/>
      <c r="Q79" s="1255"/>
      <c r="R79" s="1260"/>
      <c r="S79" s="126"/>
      <c r="T79" s="1262"/>
      <c r="U79" s="126"/>
      <c r="V79" s="1255"/>
      <c r="W79" s="1264"/>
      <c r="X79" s="12"/>
      <c r="Y79" s="12"/>
      <c r="Z79" s="12"/>
      <c r="AA79" s="12"/>
      <c r="AB79" s="112"/>
      <c r="AC79" s="124"/>
      <c r="AD79" s="111"/>
      <c r="AF79" s="121"/>
      <c r="AG79" s="1275"/>
      <c r="AH79" s="1276"/>
      <c r="AI79" s="1277"/>
      <c r="AJ79" s="1274"/>
      <c r="AK79" s="110"/>
      <c r="AL79" s="122"/>
    </row>
    <row r="80" spans="1:38" x14ac:dyDescent="0.45">
      <c r="A80" s="10">
        <v>1890</v>
      </c>
      <c r="B80" s="1234"/>
      <c r="C80" s="1259"/>
      <c r="D80" s="1260"/>
      <c r="E80" s="1261"/>
      <c r="F80" s="1261"/>
      <c r="G80" s="126"/>
      <c r="H80" s="1262"/>
      <c r="I80" s="1262"/>
      <c r="J80" s="1262"/>
      <c r="K80" s="1262"/>
      <c r="L80" s="1262"/>
      <c r="M80" s="1263"/>
      <c r="N80" s="1255"/>
      <c r="O80" s="1255"/>
      <c r="P80" s="126"/>
      <c r="Q80" s="1255"/>
      <c r="R80" s="1260"/>
      <c r="S80" s="126"/>
      <c r="T80" s="1262"/>
      <c r="U80" s="126"/>
      <c r="V80" s="1255"/>
      <c r="W80" s="1264"/>
      <c r="X80" s="12"/>
      <c r="Y80" s="12"/>
      <c r="Z80" s="12"/>
      <c r="AA80" s="12"/>
      <c r="AB80" s="112"/>
      <c r="AC80" s="124"/>
      <c r="AD80" s="111"/>
      <c r="AF80" s="121"/>
      <c r="AG80" s="1275"/>
      <c r="AH80" s="1276"/>
      <c r="AI80" s="1277"/>
      <c r="AJ80" s="1274"/>
      <c r="AK80" s="110"/>
      <c r="AL80" s="122"/>
    </row>
  </sheetData>
  <mergeCells count="12">
    <mergeCell ref="R7:S7"/>
    <mergeCell ref="W7:X7"/>
    <mergeCell ref="AG7:AG9"/>
    <mergeCell ref="C6:Q6"/>
    <mergeCell ref="R6:V6"/>
    <mergeCell ref="W6:AC6"/>
    <mergeCell ref="W9:AC9"/>
    <mergeCell ref="D7:F7"/>
    <mergeCell ref="G7:H7"/>
    <mergeCell ref="J7:K7"/>
    <mergeCell ref="L7:M7"/>
    <mergeCell ref="O7:Q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64"/>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4.265625" defaultRowHeight="12.75" x14ac:dyDescent="0.35"/>
  <cols>
    <col min="1" max="1" width="15.19921875" style="75" customWidth="1"/>
    <col min="2" max="2" width="10.73046875" style="75" customWidth="1"/>
    <col min="3" max="3" width="12.265625" style="75" customWidth="1"/>
    <col min="4" max="4" width="9.73046875" style="75" customWidth="1"/>
    <col min="5" max="5" width="10.19921875" style="75" customWidth="1"/>
    <col min="6" max="6" width="11.73046875" style="75" customWidth="1"/>
    <col min="7" max="7" width="9.796875" style="75" customWidth="1"/>
    <col min="8" max="8" width="9.265625" style="75" customWidth="1"/>
    <col min="9" max="9" width="10.265625" style="75" customWidth="1"/>
    <col min="10" max="10" width="12.19921875" style="75" customWidth="1"/>
    <col min="11" max="11" width="8.19921875" style="75" customWidth="1"/>
    <col min="12" max="12" width="8" style="140" customWidth="1"/>
    <col min="13" max="13" width="1.73046875" style="75" customWidth="1"/>
    <col min="14" max="14" width="13.796875" style="141" customWidth="1"/>
    <col min="15" max="15" width="16.53125" style="75" customWidth="1"/>
    <col min="16" max="16" width="13.73046875" style="75" customWidth="1"/>
    <col min="17" max="17" width="10.796875" style="75" customWidth="1"/>
    <col min="18" max="18" width="8.73046875" style="75" customWidth="1"/>
    <col min="19" max="19" width="7.796875" style="75" customWidth="1"/>
    <col min="20" max="20" width="1.265625" style="75" customWidth="1"/>
    <col min="21" max="21" width="10.19921875" style="75" customWidth="1"/>
    <col min="22" max="22" width="7.265625" style="75" customWidth="1"/>
    <col min="23" max="28" width="4.265625" style="75"/>
    <col min="29" max="29" width="9.796875" style="75" customWidth="1"/>
    <col min="30" max="30" width="6.46484375" style="75" customWidth="1"/>
    <col min="31" max="31" width="8.73046875" style="75" customWidth="1"/>
    <col min="32" max="33" width="9.19921875" style="75" customWidth="1"/>
    <col min="34" max="34" width="8.53125" style="75" customWidth="1"/>
    <col min="35" max="37" width="8.265625" style="75" customWidth="1"/>
    <col min="38" max="38" width="12.46484375" style="75" customWidth="1"/>
    <col min="39" max="39" width="10" style="75" customWidth="1"/>
    <col min="40" max="40" width="9.53125" style="75" customWidth="1"/>
    <col min="41" max="258" width="4.265625" style="75"/>
    <col min="259" max="259" width="15.19921875" style="75" customWidth="1"/>
    <col min="260" max="260" width="10.73046875" style="75" customWidth="1"/>
    <col min="261" max="261" width="12.265625" style="75" customWidth="1"/>
    <col min="262" max="262" width="9.73046875" style="75" customWidth="1"/>
    <col min="263" max="263" width="10.19921875" style="75" customWidth="1"/>
    <col min="264" max="264" width="11.73046875" style="75" customWidth="1"/>
    <col min="265" max="265" width="7.265625" style="75" customWidth="1"/>
    <col min="266" max="266" width="9.265625" style="75" customWidth="1"/>
    <col min="267" max="267" width="10.265625" style="75" customWidth="1"/>
    <col min="268" max="268" width="9.19921875" style="75" customWidth="1"/>
    <col min="269" max="269" width="8.19921875" style="75" customWidth="1"/>
    <col min="270" max="270" width="8" style="75" customWidth="1"/>
    <col min="271" max="271" width="1.73046875" style="75" customWidth="1"/>
    <col min="272" max="272" width="10.19921875" style="75" customWidth="1"/>
    <col min="273" max="273" width="16.53125" style="75" customWidth="1"/>
    <col min="274" max="274" width="13.73046875" style="75" customWidth="1"/>
    <col min="275" max="275" width="8.265625" style="75" customWidth="1"/>
    <col min="276" max="276" width="8.73046875" style="75" customWidth="1"/>
    <col min="277" max="277" width="7.796875" style="75" customWidth="1"/>
    <col min="278" max="278" width="1.265625" style="75" customWidth="1"/>
    <col min="279" max="279" width="10.19921875" style="75" customWidth="1"/>
    <col min="280" max="280" width="7.265625" style="75" customWidth="1"/>
    <col min="281" max="514" width="4.265625" style="75"/>
    <col min="515" max="515" width="15.19921875" style="75" customWidth="1"/>
    <col min="516" max="516" width="10.73046875" style="75" customWidth="1"/>
    <col min="517" max="517" width="12.265625" style="75" customWidth="1"/>
    <col min="518" max="518" width="9.73046875" style="75" customWidth="1"/>
    <col min="519" max="519" width="10.19921875" style="75" customWidth="1"/>
    <col min="520" max="520" width="11.73046875" style="75" customWidth="1"/>
    <col min="521" max="521" width="7.265625" style="75" customWidth="1"/>
    <col min="522" max="522" width="9.265625" style="75" customWidth="1"/>
    <col min="523" max="523" width="10.265625" style="75" customWidth="1"/>
    <col min="524" max="524" width="9.19921875" style="75" customWidth="1"/>
    <col min="525" max="525" width="8.19921875" style="75" customWidth="1"/>
    <col min="526" max="526" width="8" style="75" customWidth="1"/>
    <col min="527" max="527" width="1.73046875" style="75" customWidth="1"/>
    <col min="528" max="528" width="10.19921875" style="75" customWidth="1"/>
    <col min="529" max="529" width="16.53125" style="75" customWidth="1"/>
    <col min="530" max="530" width="13.73046875" style="75" customWidth="1"/>
    <col min="531" max="531" width="8.265625" style="75" customWidth="1"/>
    <col min="532" max="532" width="8.73046875" style="75" customWidth="1"/>
    <col min="533" max="533" width="7.796875" style="75" customWidth="1"/>
    <col min="534" max="534" width="1.265625" style="75" customWidth="1"/>
    <col min="535" max="535" width="10.19921875" style="75" customWidth="1"/>
    <col min="536" max="536" width="7.265625" style="75" customWidth="1"/>
    <col min="537" max="770" width="4.265625" style="75"/>
    <col min="771" max="771" width="15.19921875" style="75" customWidth="1"/>
    <col min="772" max="772" width="10.73046875" style="75" customWidth="1"/>
    <col min="773" max="773" width="12.265625" style="75" customWidth="1"/>
    <col min="774" max="774" width="9.73046875" style="75" customWidth="1"/>
    <col min="775" max="775" width="10.19921875" style="75" customWidth="1"/>
    <col min="776" max="776" width="11.73046875" style="75" customWidth="1"/>
    <col min="777" max="777" width="7.265625" style="75" customWidth="1"/>
    <col min="778" max="778" width="9.265625" style="75" customWidth="1"/>
    <col min="779" max="779" width="10.265625" style="75" customWidth="1"/>
    <col min="780" max="780" width="9.19921875" style="75" customWidth="1"/>
    <col min="781" max="781" width="8.19921875" style="75" customWidth="1"/>
    <col min="782" max="782" width="8" style="75" customWidth="1"/>
    <col min="783" max="783" width="1.73046875" style="75" customWidth="1"/>
    <col min="784" max="784" width="10.19921875" style="75" customWidth="1"/>
    <col min="785" max="785" width="16.53125" style="75" customWidth="1"/>
    <col min="786" max="786" width="13.73046875" style="75" customWidth="1"/>
    <col min="787" max="787" width="8.265625" style="75" customWidth="1"/>
    <col min="788" max="788" width="8.73046875" style="75" customWidth="1"/>
    <col min="789" max="789" width="7.796875" style="75" customWidth="1"/>
    <col min="790" max="790" width="1.265625" style="75" customWidth="1"/>
    <col min="791" max="791" width="10.19921875" style="75" customWidth="1"/>
    <col min="792" max="792" width="7.265625" style="75" customWidth="1"/>
    <col min="793" max="1026" width="4.265625" style="75"/>
    <col min="1027" max="1027" width="15.19921875" style="75" customWidth="1"/>
    <col min="1028" max="1028" width="10.73046875" style="75" customWidth="1"/>
    <col min="1029" max="1029" width="12.265625" style="75" customWidth="1"/>
    <col min="1030" max="1030" width="9.73046875" style="75" customWidth="1"/>
    <col min="1031" max="1031" width="10.19921875" style="75" customWidth="1"/>
    <col min="1032" max="1032" width="11.73046875" style="75" customWidth="1"/>
    <col min="1033" max="1033" width="7.265625" style="75" customWidth="1"/>
    <col min="1034" max="1034" width="9.265625" style="75" customWidth="1"/>
    <col min="1035" max="1035" width="10.265625" style="75" customWidth="1"/>
    <col min="1036" max="1036" width="9.19921875" style="75" customWidth="1"/>
    <col min="1037" max="1037" width="8.19921875" style="75" customWidth="1"/>
    <col min="1038" max="1038" width="8" style="75" customWidth="1"/>
    <col min="1039" max="1039" width="1.73046875" style="75" customWidth="1"/>
    <col min="1040" max="1040" width="10.19921875" style="75" customWidth="1"/>
    <col min="1041" max="1041" width="16.53125" style="75" customWidth="1"/>
    <col min="1042" max="1042" width="13.73046875" style="75" customWidth="1"/>
    <col min="1043" max="1043" width="8.265625" style="75" customWidth="1"/>
    <col min="1044" max="1044" width="8.73046875" style="75" customWidth="1"/>
    <col min="1045" max="1045" width="7.796875" style="75" customWidth="1"/>
    <col min="1046" max="1046" width="1.265625" style="75" customWidth="1"/>
    <col min="1047" max="1047" width="10.19921875" style="75" customWidth="1"/>
    <col min="1048" max="1048" width="7.265625" style="75" customWidth="1"/>
    <col min="1049" max="1282" width="4.265625" style="75"/>
    <col min="1283" max="1283" width="15.19921875" style="75" customWidth="1"/>
    <col min="1284" max="1284" width="10.73046875" style="75" customWidth="1"/>
    <col min="1285" max="1285" width="12.265625" style="75" customWidth="1"/>
    <col min="1286" max="1286" width="9.73046875" style="75" customWidth="1"/>
    <col min="1287" max="1287" width="10.19921875" style="75" customWidth="1"/>
    <col min="1288" max="1288" width="11.73046875" style="75" customWidth="1"/>
    <col min="1289" max="1289" width="7.265625" style="75" customWidth="1"/>
    <col min="1290" max="1290" width="9.265625" style="75" customWidth="1"/>
    <col min="1291" max="1291" width="10.265625" style="75" customWidth="1"/>
    <col min="1292" max="1292" width="9.19921875" style="75" customWidth="1"/>
    <col min="1293" max="1293" width="8.19921875" style="75" customWidth="1"/>
    <col min="1294" max="1294" width="8" style="75" customWidth="1"/>
    <col min="1295" max="1295" width="1.73046875" style="75" customWidth="1"/>
    <col min="1296" max="1296" width="10.19921875" style="75" customWidth="1"/>
    <col min="1297" max="1297" width="16.53125" style="75" customWidth="1"/>
    <col min="1298" max="1298" width="13.73046875" style="75" customWidth="1"/>
    <col min="1299" max="1299" width="8.265625" style="75" customWidth="1"/>
    <col min="1300" max="1300" width="8.73046875" style="75" customWidth="1"/>
    <col min="1301" max="1301" width="7.796875" style="75" customWidth="1"/>
    <col min="1302" max="1302" width="1.265625" style="75" customWidth="1"/>
    <col min="1303" max="1303" width="10.19921875" style="75" customWidth="1"/>
    <col min="1304" max="1304" width="7.265625" style="75" customWidth="1"/>
    <col min="1305" max="1538" width="4.265625" style="75"/>
    <col min="1539" max="1539" width="15.19921875" style="75" customWidth="1"/>
    <col min="1540" max="1540" width="10.73046875" style="75" customWidth="1"/>
    <col min="1541" max="1541" width="12.265625" style="75" customWidth="1"/>
    <col min="1542" max="1542" width="9.73046875" style="75" customWidth="1"/>
    <col min="1543" max="1543" width="10.19921875" style="75" customWidth="1"/>
    <col min="1544" max="1544" width="11.73046875" style="75" customWidth="1"/>
    <col min="1545" max="1545" width="7.265625" style="75" customWidth="1"/>
    <col min="1546" max="1546" width="9.265625" style="75" customWidth="1"/>
    <col min="1547" max="1547" width="10.265625" style="75" customWidth="1"/>
    <col min="1548" max="1548" width="9.19921875" style="75" customWidth="1"/>
    <col min="1549" max="1549" width="8.19921875" style="75" customWidth="1"/>
    <col min="1550" max="1550" width="8" style="75" customWidth="1"/>
    <col min="1551" max="1551" width="1.73046875" style="75" customWidth="1"/>
    <col min="1552" max="1552" width="10.19921875" style="75" customWidth="1"/>
    <col min="1553" max="1553" width="16.53125" style="75" customWidth="1"/>
    <col min="1554" max="1554" width="13.73046875" style="75" customWidth="1"/>
    <col min="1555" max="1555" width="8.265625" style="75" customWidth="1"/>
    <col min="1556" max="1556" width="8.73046875" style="75" customWidth="1"/>
    <col min="1557" max="1557" width="7.796875" style="75" customWidth="1"/>
    <col min="1558" max="1558" width="1.265625" style="75" customWidth="1"/>
    <col min="1559" max="1559" width="10.19921875" style="75" customWidth="1"/>
    <col min="1560" max="1560" width="7.265625" style="75" customWidth="1"/>
    <col min="1561" max="1794" width="4.265625" style="75"/>
    <col min="1795" max="1795" width="15.19921875" style="75" customWidth="1"/>
    <col min="1796" max="1796" width="10.73046875" style="75" customWidth="1"/>
    <col min="1797" max="1797" width="12.265625" style="75" customWidth="1"/>
    <col min="1798" max="1798" width="9.73046875" style="75" customWidth="1"/>
    <col min="1799" max="1799" width="10.19921875" style="75" customWidth="1"/>
    <col min="1800" max="1800" width="11.73046875" style="75" customWidth="1"/>
    <col min="1801" max="1801" width="7.265625" style="75" customWidth="1"/>
    <col min="1802" max="1802" width="9.265625" style="75" customWidth="1"/>
    <col min="1803" max="1803" width="10.265625" style="75" customWidth="1"/>
    <col min="1804" max="1804" width="9.19921875" style="75" customWidth="1"/>
    <col min="1805" max="1805" width="8.19921875" style="75" customWidth="1"/>
    <col min="1806" max="1806" width="8" style="75" customWidth="1"/>
    <col min="1807" max="1807" width="1.73046875" style="75" customWidth="1"/>
    <col min="1808" max="1808" width="10.19921875" style="75" customWidth="1"/>
    <col min="1809" max="1809" width="16.53125" style="75" customWidth="1"/>
    <col min="1810" max="1810" width="13.73046875" style="75" customWidth="1"/>
    <col min="1811" max="1811" width="8.265625" style="75" customWidth="1"/>
    <col min="1812" max="1812" width="8.73046875" style="75" customWidth="1"/>
    <col min="1813" max="1813" width="7.796875" style="75" customWidth="1"/>
    <col min="1814" max="1814" width="1.265625" style="75" customWidth="1"/>
    <col min="1815" max="1815" width="10.19921875" style="75" customWidth="1"/>
    <col min="1816" max="1816" width="7.265625" style="75" customWidth="1"/>
    <col min="1817" max="2050" width="4.265625" style="75"/>
    <col min="2051" max="2051" width="15.19921875" style="75" customWidth="1"/>
    <col min="2052" max="2052" width="10.73046875" style="75" customWidth="1"/>
    <col min="2053" max="2053" width="12.265625" style="75" customWidth="1"/>
    <col min="2054" max="2054" width="9.73046875" style="75" customWidth="1"/>
    <col min="2055" max="2055" width="10.19921875" style="75" customWidth="1"/>
    <col min="2056" max="2056" width="11.73046875" style="75" customWidth="1"/>
    <col min="2057" max="2057" width="7.265625" style="75" customWidth="1"/>
    <col min="2058" max="2058" width="9.265625" style="75" customWidth="1"/>
    <col min="2059" max="2059" width="10.265625" style="75" customWidth="1"/>
    <col min="2060" max="2060" width="9.19921875" style="75" customWidth="1"/>
    <col min="2061" max="2061" width="8.19921875" style="75" customWidth="1"/>
    <col min="2062" max="2062" width="8" style="75" customWidth="1"/>
    <col min="2063" max="2063" width="1.73046875" style="75" customWidth="1"/>
    <col min="2064" max="2064" width="10.19921875" style="75" customWidth="1"/>
    <col min="2065" max="2065" width="16.53125" style="75" customWidth="1"/>
    <col min="2066" max="2066" width="13.73046875" style="75" customWidth="1"/>
    <col min="2067" max="2067" width="8.265625" style="75" customWidth="1"/>
    <col min="2068" max="2068" width="8.73046875" style="75" customWidth="1"/>
    <col min="2069" max="2069" width="7.796875" style="75" customWidth="1"/>
    <col min="2070" max="2070" width="1.265625" style="75" customWidth="1"/>
    <col min="2071" max="2071" width="10.19921875" style="75" customWidth="1"/>
    <col min="2072" max="2072" width="7.265625" style="75" customWidth="1"/>
    <col min="2073" max="2306" width="4.265625" style="75"/>
    <col min="2307" max="2307" width="15.19921875" style="75" customWidth="1"/>
    <col min="2308" max="2308" width="10.73046875" style="75" customWidth="1"/>
    <col min="2309" max="2309" width="12.265625" style="75" customWidth="1"/>
    <col min="2310" max="2310" width="9.73046875" style="75" customWidth="1"/>
    <col min="2311" max="2311" width="10.19921875" style="75" customWidth="1"/>
    <col min="2312" max="2312" width="11.73046875" style="75" customWidth="1"/>
    <col min="2313" max="2313" width="7.265625" style="75" customWidth="1"/>
    <col min="2314" max="2314" width="9.265625" style="75" customWidth="1"/>
    <col min="2315" max="2315" width="10.265625" style="75" customWidth="1"/>
    <col min="2316" max="2316" width="9.19921875" style="75" customWidth="1"/>
    <col min="2317" max="2317" width="8.19921875" style="75" customWidth="1"/>
    <col min="2318" max="2318" width="8" style="75" customWidth="1"/>
    <col min="2319" max="2319" width="1.73046875" style="75" customWidth="1"/>
    <col min="2320" max="2320" width="10.19921875" style="75" customWidth="1"/>
    <col min="2321" max="2321" width="16.53125" style="75" customWidth="1"/>
    <col min="2322" max="2322" width="13.73046875" style="75" customWidth="1"/>
    <col min="2323" max="2323" width="8.265625" style="75" customWidth="1"/>
    <col min="2324" max="2324" width="8.73046875" style="75" customWidth="1"/>
    <col min="2325" max="2325" width="7.796875" style="75" customWidth="1"/>
    <col min="2326" max="2326" width="1.265625" style="75" customWidth="1"/>
    <col min="2327" max="2327" width="10.19921875" style="75" customWidth="1"/>
    <col min="2328" max="2328" width="7.265625" style="75" customWidth="1"/>
    <col min="2329" max="2562" width="4.265625" style="75"/>
    <col min="2563" max="2563" width="15.19921875" style="75" customWidth="1"/>
    <col min="2564" max="2564" width="10.73046875" style="75" customWidth="1"/>
    <col min="2565" max="2565" width="12.265625" style="75" customWidth="1"/>
    <col min="2566" max="2566" width="9.73046875" style="75" customWidth="1"/>
    <col min="2567" max="2567" width="10.19921875" style="75" customWidth="1"/>
    <col min="2568" max="2568" width="11.73046875" style="75" customWidth="1"/>
    <col min="2569" max="2569" width="7.265625" style="75" customWidth="1"/>
    <col min="2570" max="2570" width="9.265625" style="75" customWidth="1"/>
    <col min="2571" max="2571" width="10.265625" style="75" customWidth="1"/>
    <col min="2572" max="2572" width="9.19921875" style="75" customWidth="1"/>
    <col min="2573" max="2573" width="8.19921875" style="75" customWidth="1"/>
    <col min="2574" max="2574" width="8" style="75" customWidth="1"/>
    <col min="2575" max="2575" width="1.73046875" style="75" customWidth="1"/>
    <col min="2576" max="2576" width="10.19921875" style="75" customWidth="1"/>
    <col min="2577" max="2577" width="16.53125" style="75" customWidth="1"/>
    <col min="2578" max="2578" width="13.73046875" style="75" customWidth="1"/>
    <col min="2579" max="2579" width="8.265625" style="75" customWidth="1"/>
    <col min="2580" max="2580" width="8.73046875" style="75" customWidth="1"/>
    <col min="2581" max="2581" width="7.796875" style="75" customWidth="1"/>
    <col min="2582" max="2582" width="1.265625" style="75" customWidth="1"/>
    <col min="2583" max="2583" width="10.19921875" style="75" customWidth="1"/>
    <col min="2584" max="2584" width="7.265625" style="75" customWidth="1"/>
    <col min="2585" max="2818" width="4.265625" style="75"/>
    <col min="2819" max="2819" width="15.19921875" style="75" customWidth="1"/>
    <col min="2820" max="2820" width="10.73046875" style="75" customWidth="1"/>
    <col min="2821" max="2821" width="12.265625" style="75" customWidth="1"/>
    <col min="2822" max="2822" width="9.73046875" style="75" customWidth="1"/>
    <col min="2823" max="2823" width="10.19921875" style="75" customWidth="1"/>
    <col min="2824" max="2824" width="11.73046875" style="75" customWidth="1"/>
    <col min="2825" max="2825" width="7.265625" style="75" customWidth="1"/>
    <col min="2826" max="2826" width="9.265625" style="75" customWidth="1"/>
    <col min="2827" max="2827" width="10.265625" style="75" customWidth="1"/>
    <col min="2828" max="2828" width="9.19921875" style="75" customWidth="1"/>
    <col min="2829" max="2829" width="8.19921875" style="75" customWidth="1"/>
    <col min="2830" max="2830" width="8" style="75" customWidth="1"/>
    <col min="2831" max="2831" width="1.73046875" style="75" customWidth="1"/>
    <col min="2832" max="2832" width="10.19921875" style="75" customWidth="1"/>
    <col min="2833" max="2833" width="16.53125" style="75" customWidth="1"/>
    <col min="2834" max="2834" width="13.73046875" style="75" customWidth="1"/>
    <col min="2835" max="2835" width="8.265625" style="75" customWidth="1"/>
    <col min="2836" max="2836" width="8.73046875" style="75" customWidth="1"/>
    <col min="2837" max="2837" width="7.796875" style="75" customWidth="1"/>
    <col min="2838" max="2838" width="1.265625" style="75" customWidth="1"/>
    <col min="2839" max="2839" width="10.19921875" style="75" customWidth="1"/>
    <col min="2840" max="2840" width="7.265625" style="75" customWidth="1"/>
    <col min="2841" max="3074" width="4.265625" style="75"/>
    <col min="3075" max="3075" width="15.19921875" style="75" customWidth="1"/>
    <col min="3076" max="3076" width="10.73046875" style="75" customWidth="1"/>
    <col min="3077" max="3077" width="12.265625" style="75" customWidth="1"/>
    <col min="3078" max="3078" width="9.73046875" style="75" customWidth="1"/>
    <col min="3079" max="3079" width="10.19921875" style="75" customWidth="1"/>
    <col min="3080" max="3080" width="11.73046875" style="75" customWidth="1"/>
    <col min="3081" max="3081" width="7.265625" style="75" customWidth="1"/>
    <col min="3082" max="3082" width="9.265625" style="75" customWidth="1"/>
    <col min="3083" max="3083" width="10.265625" style="75" customWidth="1"/>
    <col min="3084" max="3084" width="9.19921875" style="75" customWidth="1"/>
    <col min="3085" max="3085" width="8.19921875" style="75" customWidth="1"/>
    <col min="3086" max="3086" width="8" style="75" customWidth="1"/>
    <col min="3087" max="3087" width="1.73046875" style="75" customWidth="1"/>
    <col min="3088" max="3088" width="10.19921875" style="75" customWidth="1"/>
    <col min="3089" max="3089" width="16.53125" style="75" customWidth="1"/>
    <col min="3090" max="3090" width="13.73046875" style="75" customWidth="1"/>
    <col min="3091" max="3091" width="8.265625" style="75" customWidth="1"/>
    <col min="3092" max="3092" width="8.73046875" style="75" customWidth="1"/>
    <col min="3093" max="3093" width="7.796875" style="75" customWidth="1"/>
    <col min="3094" max="3094" width="1.265625" style="75" customWidth="1"/>
    <col min="3095" max="3095" width="10.19921875" style="75" customWidth="1"/>
    <col min="3096" max="3096" width="7.265625" style="75" customWidth="1"/>
    <col min="3097" max="3330" width="4.265625" style="75"/>
    <col min="3331" max="3331" width="15.19921875" style="75" customWidth="1"/>
    <col min="3332" max="3332" width="10.73046875" style="75" customWidth="1"/>
    <col min="3333" max="3333" width="12.265625" style="75" customWidth="1"/>
    <col min="3334" max="3334" width="9.73046875" style="75" customWidth="1"/>
    <col min="3335" max="3335" width="10.19921875" style="75" customWidth="1"/>
    <col min="3336" max="3336" width="11.73046875" style="75" customWidth="1"/>
    <col min="3337" max="3337" width="7.265625" style="75" customWidth="1"/>
    <col min="3338" max="3338" width="9.265625" style="75" customWidth="1"/>
    <col min="3339" max="3339" width="10.265625" style="75" customWidth="1"/>
    <col min="3340" max="3340" width="9.19921875" style="75" customWidth="1"/>
    <col min="3341" max="3341" width="8.19921875" style="75" customWidth="1"/>
    <col min="3342" max="3342" width="8" style="75" customWidth="1"/>
    <col min="3343" max="3343" width="1.73046875" style="75" customWidth="1"/>
    <col min="3344" max="3344" width="10.19921875" style="75" customWidth="1"/>
    <col min="3345" max="3345" width="16.53125" style="75" customWidth="1"/>
    <col min="3346" max="3346" width="13.73046875" style="75" customWidth="1"/>
    <col min="3347" max="3347" width="8.265625" style="75" customWidth="1"/>
    <col min="3348" max="3348" width="8.73046875" style="75" customWidth="1"/>
    <col min="3349" max="3349" width="7.796875" style="75" customWidth="1"/>
    <col min="3350" max="3350" width="1.265625" style="75" customWidth="1"/>
    <col min="3351" max="3351" width="10.19921875" style="75" customWidth="1"/>
    <col min="3352" max="3352" width="7.265625" style="75" customWidth="1"/>
    <col min="3353" max="3586" width="4.265625" style="75"/>
    <col min="3587" max="3587" width="15.19921875" style="75" customWidth="1"/>
    <col min="3588" max="3588" width="10.73046875" style="75" customWidth="1"/>
    <col min="3589" max="3589" width="12.265625" style="75" customWidth="1"/>
    <col min="3590" max="3590" width="9.73046875" style="75" customWidth="1"/>
    <col min="3591" max="3591" width="10.19921875" style="75" customWidth="1"/>
    <col min="3592" max="3592" width="11.73046875" style="75" customWidth="1"/>
    <col min="3593" max="3593" width="7.265625" style="75" customWidth="1"/>
    <col min="3594" max="3594" width="9.265625" style="75" customWidth="1"/>
    <col min="3595" max="3595" width="10.265625" style="75" customWidth="1"/>
    <col min="3596" max="3596" width="9.19921875" style="75" customWidth="1"/>
    <col min="3597" max="3597" width="8.19921875" style="75" customWidth="1"/>
    <col min="3598" max="3598" width="8" style="75" customWidth="1"/>
    <col min="3599" max="3599" width="1.73046875" style="75" customWidth="1"/>
    <col min="3600" max="3600" width="10.19921875" style="75" customWidth="1"/>
    <col min="3601" max="3601" width="16.53125" style="75" customWidth="1"/>
    <col min="3602" max="3602" width="13.73046875" style="75" customWidth="1"/>
    <col min="3603" max="3603" width="8.265625" style="75" customWidth="1"/>
    <col min="3604" max="3604" width="8.73046875" style="75" customWidth="1"/>
    <col min="3605" max="3605" width="7.796875" style="75" customWidth="1"/>
    <col min="3606" max="3606" width="1.265625" style="75" customWidth="1"/>
    <col min="3607" max="3607" width="10.19921875" style="75" customWidth="1"/>
    <col min="3608" max="3608" width="7.265625" style="75" customWidth="1"/>
    <col min="3609" max="3842" width="4.265625" style="75"/>
    <col min="3843" max="3843" width="15.19921875" style="75" customWidth="1"/>
    <col min="3844" max="3844" width="10.73046875" style="75" customWidth="1"/>
    <col min="3845" max="3845" width="12.265625" style="75" customWidth="1"/>
    <col min="3846" max="3846" width="9.73046875" style="75" customWidth="1"/>
    <col min="3847" max="3847" width="10.19921875" style="75" customWidth="1"/>
    <col min="3848" max="3848" width="11.73046875" style="75" customWidth="1"/>
    <col min="3849" max="3849" width="7.265625" style="75" customWidth="1"/>
    <col min="3850" max="3850" width="9.265625" style="75" customWidth="1"/>
    <col min="3851" max="3851" width="10.265625" style="75" customWidth="1"/>
    <col min="3852" max="3852" width="9.19921875" style="75" customWidth="1"/>
    <col min="3853" max="3853" width="8.19921875" style="75" customWidth="1"/>
    <col min="3854" max="3854" width="8" style="75" customWidth="1"/>
    <col min="3855" max="3855" width="1.73046875" style="75" customWidth="1"/>
    <col min="3856" max="3856" width="10.19921875" style="75" customWidth="1"/>
    <col min="3857" max="3857" width="16.53125" style="75" customWidth="1"/>
    <col min="3858" max="3858" width="13.73046875" style="75" customWidth="1"/>
    <col min="3859" max="3859" width="8.265625" style="75" customWidth="1"/>
    <col min="3860" max="3860" width="8.73046875" style="75" customWidth="1"/>
    <col min="3861" max="3861" width="7.796875" style="75" customWidth="1"/>
    <col min="3862" max="3862" width="1.265625" style="75" customWidth="1"/>
    <col min="3863" max="3863" width="10.19921875" style="75" customWidth="1"/>
    <col min="3864" max="3864" width="7.265625" style="75" customWidth="1"/>
    <col min="3865" max="4098" width="4.265625" style="75"/>
    <col min="4099" max="4099" width="15.19921875" style="75" customWidth="1"/>
    <col min="4100" max="4100" width="10.73046875" style="75" customWidth="1"/>
    <col min="4101" max="4101" width="12.265625" style="75" customWidth="1"/>
    <col min="4102" max="4102" width="9.73046875" style="75" customWidth="1"/>
    <col min="4103" max="4103" width="10.19921875" style="75" customWidth="1"/>
    <col min="4104" max="4104" width="11.73046875" style="75" customWidth="1"/>
    <col min="4105" max="4105" width="7.265625" style="75" customWidth="1"/>
    <col min="4106" max="4106" width="9.265625" style="75" customWidth="1"/>
    <col min="4107" max="4107" width="10.265625" style="75" customWidth="1"/>
    <col min="4108" max="4108" width="9.19921875" style="75" customWidth="1"/>
    <col min="4109" max="4109" width="8.19921875" style="75" customWidth="1"/>
    <col min="4110" max="4110" width="8" style="75" customWidth="1"/>
    <col min="4111" max="4111" width="1.73046875" style="75" customWidth="1"/>
    <col min="4112" max="4112" width="10.19921875" style="75" customWidth="1"/>
    <col min="4113" max="4113" width="16.53125" style="75" customWidth="1"/>
    <col min="4114" max="4114" width="13.73046875" style="75" customWidth="1"/>
    <col min="4115" max="4115" width="8.265625" style="75" customWidth="1"/>
    <col min="4116" max="4116" width="8.73046875" style="75" customWidth="1"/>
    <col min="4117" max="4117" width="7.796875" style="75" customWidth="1"/>
    <col min="4118" max="4118" width="1.265625" style="75" customWidth="1"/>
    <col min="4119" max="4119" width="10.19921875" style="75" customWidth="1"/>
    <col min="4120" max="4120" width="7.265625" style="75" customWidth="1"/>
    <col min="4121" max="4354" width="4.265625" style="75"/>
    <col min="4355" max="4355" width="15.19921875" style="75" customWidth="1"/>
    <col min="4356" max="4356" width="10.73046875" style="75" customWidth="1"/>
    <col min="4357" max="4357" width="12.265625" style="75" customWidth="1"/>
    <col min="4358" max="4358" width="9.73046875" style="75" customWidth="1"/>
    <col min="4359" max="4359" width="10.19921875" style="75" customWidth="1"/>
    <col min="4360" max="4360" width="11.73046875" style="75" customWidth="1"/>
    <col min="4361" max="4361" width="7.265625" style="75" customWidth="1"/>
    <col min="4362" max="4362" width="9.265625" style="75" customWidth="1"/>
    <col min="4363" max="4363" width="10.265625" style="75" customWidth="1"/>
    <col min="4364" max="4364" width="9.19921875" style="75" customWidth="1"/>
    <col min="4365" max="4365" width="8.19921875" style="75" customWidth="1"/>
    <col min="4366" max="4366" width="8" style="75" customWidth="1"/>
    <col min="4367" max="4367" width="1.73046875" style="75" customWidth="1"/>
    <col min="4368" max="4368" width="10.19921875" style="75" customWidth="1"/>
    <col min="4369" max="4369" width="16.53125" style="75" customWidth="1"/>
    <col min="4370" max="4370" width="13.73046875" style="75" customWidth="1"/>
    <col min="4371" max="4371" width="8.265625" style="75" customWidth="1"/>
    <col min="4372" max="4372" width="8.73046875" style="75" customWidth="1"/>
    <col min="4373" max="4373" width="7.796875" style="75" customWidth="1"/>
    <col min="4374" max="4374" width="1.265625" style="75" customWidth="1"/>
    <col min="4375" max="4375" width="10.19921875" style="75" customWidth="1"/>
    <col min="4376" max="4376" width="7.265625" style="75" customWidth="1"/>
    <col min="4377" max="4610" width="4.265625" style="75"/>
    <col min="4611" max="4611" width="15.19921875" style="75" customWidth="1"/>
    <col min="4612" max="4612" width="10.73046875" style="75" customWidth="1"/>
    <col min="4613" max="4613" width="12.265625" style="75" customWidth="1"/>
    <col min="4614" max="4614" width="9.73046875" style="75" customWidth="1"/>
    <col min="4615" max="4615" width="10.19921875" style="75" customWidth="1"/>
    <col min="4616" max="4616" width="11.73046875" style="75" customWidth="1"/>
    <col min="4617" max="4617" width="7.265625" style="75" customWidth="1"/>
    <col min="4618" max="4618" width="9.265625" style="75" customWidth="1"/>
    <col min="4619" max="4619" width="10.265625" style="75" customWidth="1"/>
    <col min="4620" max="4620" width="9.19921875" style="75" customWidth="1"/>
    <col min="4621" max="4621" width="8.19921875" style="75" customWidth="1"/>
    <col min="4622" max="4622" width="8" style="75" customWidth="1"/>
    <col min="4623" max="4623" width="1.73046875" style="75" customWidth="1"/>
    <col min="4624" max="4624" width="10.19921875" style="75" customWidth="1"/>
    <col min="4625" max="4625" width="16.53125" style="75" customWidth="1"/>
    <col min="4626" max="4626" width="13.73046875" style="75" customWidth="1"/>
    <col min="4627" max="4627" width="8.265625" style="75" customWidth="1"/>
    <col min="4628" max="4628" width="8.73046875" style="75" customWidth="1"/>
    <col min="4629" max="4629" width="7.796875" style="75" customWidth="1"/>
    <col min="4630" max="4630" width="1.265625" style="75" customWidth="1"/>
    <col min="4631" max="4631" width="10.19921875" style="75" customWidth="1"/>
    <col min="4632" max="4632" width="7.265625" style="75" customWidth="1"/>
    <col min="4633" max="4866" width="4.265625" style="75"/>
    <col min="4867" max="4867" width="15.19921875" style="75" customWidth="1"/>
    <col min="4868" max="4868" width="10.73046875" style="75" customWidth="1"/>
    <col min="4869" max="4869" width="12.265625" style="75" customWidth="1"/>
    <col min="4870" max="4870" width="9.73046875" style="75" customWidth="1"/>
    <col min="4871" max="4871" width="10.19921875" style="75" customWidth="1"/>
    <col min="4872" max="4872" width="11.73046875" style="75" customWidth="1"/>
    <col min="4873" max="4873" width="7.265625" style="75" customWidth="1"/>
    <col min="4874" max="4874" width="9.265625" style="75" customWidth="1"/>
    <col min="4875" max="4875" width="10.265625" style="75" customWidth="1"/>
    <col min="4876" max="4876" width="9.19921875" style="75" customWidth="1"/>
    <col min="4877" max="4877" width="8.19921875" style="75" customWidth="1"/>
    <col min="4878" max="4878" width="8" style="75" customWidth="1"/>
    <col min="4879" max="4879" width="1.73046875" style="75" customWidth="1"/>
    <col min="4880" max="4880" width="10.19921875" style="75" customWidth="1"/>
    <col min="4881" max="4881" width="16.53125" style="75" customWidth="1"/>
    <col min="4882" max="4882" width="13.73046875" style="75" customWidth="1"/>
    <col min="4883" max="4883" width="8.265625" style="75" customWidth="1"/>
    <col min="4884" max="4884" width="8.73046875" style="75" customWidth="1"/>
    <col min="4885" max="4885" width="7.796875" style="75" customWidth="1"/>
    <col min="4886" max="4886" width="1.265625" style="75" customWidth="1"/>
    <col min="4887" max="4887" width="10.19921875" style="75" customWidth="1"/>
    <col min="4888" max="4888" width="7.265625" style="75" customWidth="1"/>
    <col min="4889" max="5122" width="4.265625" style="75"/>
    <col min="5123" max="5123" width="15.19921875" style="75" customWidth="1"/>
    <col min="5124" max="5124" width="10.73046875" style="75" customWidth="1"/>
    <col min="5125" max="5125" width="12.265625" style="75" customWidth="1"/>
    <col min="5126" max="5126" width="9.73046875" style="75" customWidth="1"/>
    <col min="5127" max="5127" width="10.19921875" style="75" customWidth="1"/>
    <col min="5128" max="5128" width="11.73046875" style="75" customWidth="1"/>
    <col min="5129" max="5129" width="7.265625" style="75" customWidth="1"/>
    <col min="5130" max="5130" width="9.265625" style="75" customWidth="1"/>
    <col min="5131" max="5131" width="10.265625" style="75" customWidth="1"/>
    <col min="5132" max="5132" width="9.19921875" style="75" customWidth="1"/>
    <col min="5133" max="5133" width="8.19921875" style="75" customWidth="1"/>
    <col min="5134" max="5134" width="8" style="75" customWidth="1"/>
    <col min="5135" max="5135" width="1.73046875" style="75" customWidth="1"/>
    <col min="5136" max="5136" width="10.19921875" style="75" customWidth="1"/>
    <col min="5137" max="5137" width="16.53125" style="75" customWidth="1"/>
    <col min="5138" max="5138" width="13.73046875" style="75" customWidth="1"/>
    <col min="5139" max="5139" width="8.265625" style="75" customWidth="1"/>
    <col min="5140" max="5140" width="8.73046875" style="75" customWidth="1"/>
    <col min="5141" max="5141" width="7.796875" style="75" customWidth="1"/>
    <col min="5142" max="5142" width="1.265625" style="75" customWidth="1"/>
    <col min="5143" max="5143" width="10.19921875" style="75" customWidth="1"/>
    <col min="5144" max="5144" width="7.265625" style="75" customWidth="1"/>
    <col min="5145" max="5378" width="4.265625" style="75"/>
    <col min="5379" max="5379" width="15.19921875" style="75" customWidth="1"/>
    <col min="5380" max="5380" width="10.73046875" style="75" customWidth="1"/>
    <col min="5381" max="5381" width="12.265625" style="75" customWidth="1"/>
    <col min="5382" max="5382" width="9.73046875" style="75" customWidth="1"/>
    <col min="5383" max="5383" width="10.19921875" style="75" customWidth="1"/>
    <col min="5384" max="5384" width="11.73046875" style="75" customWidth="1"/>
    <col min="5385" max="5385" width="7.265625" style="75" customWidth="1"/>
    <col min="5386" max="5386" width="9.265625" style="75" customWidth="1"/>
    <col min="5387" max="5387" width="10.265625" style="75" customWidth="1"/>
    <col min="5388" max="5388" width="9.19921875" style="75" customWidth="1"/>
    <col min="5389" max="5389" width="8.19921875" style="75" customWidth="1"/>
    <col min="5390" max="5390" width="8" style="75" customWidth="1"/>
    <col min="5391" max="5391" width="1.73046875" style="75" customWidth="1"/>
    <col min="5392" max="5392" width="10.19921875" style="75" customWidth="1"/>
    <col min="5393" max="5393" width="16.53125" style="75" customWidth="1"/>
    <col min="5394" max="5394" width="13.73046875" style="75" customWidth="1"/>
    <col min="5395" max="5395" width="8.265625" style="75" customWidth="1"/>
    <col min="5396" max="5396" width="8.73046875" style="75" customWidth="1"/>
    <col min="5397" max="5397" width="7.796875" style="75" customWidth="1"/>
    <col min="5398" max="5398" width="1.265625" style="75" customWidth="1"/>
    <col min="5399" max="5399" width="10.19921875" style="75" customWidth="1"/>
    <col min="5400" max="5400" width="7.265625" style="75" customWidth="1"/>
    <col min="5401" max="5634" width="4.265625" style="75"/>
    <col min="5635" max="5635" width="15.19921875" style="75" customWidth="1"/>
    <col min="5636" max="5636" width="10.73046875" style="75" customWidth="1"/>
    <col min="5637" max="5637" width="12.265625" style="75" customWidth="1"/>
    <col min="5638" max="5638" width="9.73046875" style="75" customWidth="1"/>
    <col min="5639" max="5639" width="10.19921875" style="75" customWidth="1"/>
    <col min="5640" max="5640" width="11.73046875" style="75" customWidth="1"/>
    <col min="5641" max="5641" width="7.265625" style="75" customWidth="1"/>
    <col min="5642" max="5642" width="9.265625" style="75" customWidth="1"/>
    <col min="5643" max="5643" width="10.265625" style="75" customWidth="1"/>
    <col min="5644" max="5644" width="9.19921875" style="75" customWidth="1"/>
    <col min="5645" max="5645" width="8.19921875" style="75" customWidth="1"/>
    <col min="5646" max="5646" width="8" style="75" customWidth="1"/>
    <col min="5647" max="5647" width="1.73046875" style="75" customWidth="1"/>
    <col min="5648" max="5648" width="10.19921875" style="75" customWidth="1"/>
    <col min="5649" max="5649" width="16.53125" style="75" customWidth="1"/>
    <col min="5650" max="5650" width="13.73046875" style="75" customWidth="1"/>
    <col min="5651" max="5651" width="8.265625" style="75" customWidth="1"/>
    <col min="5652" max="5652" width="8.73046875" style="75" customWidth="1"/>
    <col min="5653" max="5653" width="7.796875" style="75" customWidth="1"/>
    <col min="5654" max="5654" width="1.265625" style="75" customWidth="1"/>
    <col min="5655" max="5655" width="10.19921875" style="75" customWidth="1"/>
    <col min="5656" max="5656" width="7.265625" style="75" customWidth="1"/>
    <col min="5657" max="5890" width="4.265625" style="75"/>
    <col min="5891" max="5891" width="15.19921875" style="75" customWidth="1"/>
    <col min="5892" max="5892" width="10.73046875" style="75" customWidth="1"/>
    <col min="5893" max="5893" width="12.265625" style="75" customWidth="1"/>
    <col min="5894" max="5894" width="9.73046875" style="75" customWidth="1"/>
    <col min="5895" max="5895" width="10.19921875" style="75" customWidth="1"/>
    <col min="5896" max="5896" width="11.73046875" style="75" customWidth="1"/>
    <col min="5897" max="5897" width="7.265625" style="75" customWidth="1"/>
    <col min="5898" max="5898" width="9.265625" style="75" customWidth="1"/>
    <col min="5899" max="5899" width="10.265625" style="75" customWidth="1"/>
    <col min="5900" max="5900" width="9.19921875" style="75" customWidth="1"/>
    <col min="5901" max="5901" width="8.19921875" style="75" customWidth="1"/>
    <col min="5902" max="5902" width="8" style="75" customWidth="1"/>
    <col min="5903" max="5903" width="1.73046875" style="75" customWidth="1"/>
    <col min="5904" max="5904" width="10.19921875" style="75" customWidth="1"/>
    <col min="5905" max="5905" width="16.53125" style="75" customWidth="1"/>
    <col min="5906" max="5906" width="13.73046875" style="75" customWidth="1"/>
    <col min="5907" max="5907" width="8.265625" style="75" customWidth="1"/>
    <col min="5908" max="5908" width="8.73046875" style="75" customWidth="1"/>
    <col min="5909" max="5909" width="7.796875" style="75" customWidth="1"/>
    <col min="5910" max="5910" width="1.265625" style="75" customWidth="1"/>
    <col min="5911" max="5911" width="10.19921875" style="75" customWidth="1"/>
    <col min="5912" max="5912" width="7.265625" style="75" customWidth="1"/>
    <col min="5913" max="6146" width="4.265625" style="75"/>
    <col min="6147" max="6147" width="15.19921875" style="75" customWidth="1"/>
    <col min="6148" max="6148" width="10.73046875" style="75" customWidth="1"/>
    <col min="6149" max="6149" width="12.265625" style="75" customWidth="1"/>
    <col min="6150" max="6150" width="9.73046875" style="75" customWidth="1"/>
    <col min="6151" max="6151" width="10.19921875" style="75" customWidth="1"/>
    <col min="6152" max="6152" width="11.73046875" style="75" customWidth="1"/>
    <col min="6153" max="6153" width="7.265625" style="75" customWidth="1"/>
    <col min="6154" max="6154" width="9.265625" style="75" customWidth="1"/>
    <col min="6155" max="6155" width="10.265625" style="75" customWidth="1"/>
    <col min="6156" max="6156" width="9.19921875" style="75" customWidth="1"/>
    <col min="6157" max="6157" width="8.19921875" style="75" customWidth="1"/>
    <col min="6158" max="6158" width="8" style="75" customWidth="1"/>
    <col min="6159" max="6159" width="1.73046875" style="75" customWidth="1"/>
    <col min="6160" max="6160" width="10.19921875" style="75" customWidth="1"/>
    <col min="6161" max="6161" width="16.53125" style="75" customWidth="1"/>
    <col min="6162" max="6162" width="13.73046875" style="75" customWidth="1"/>
    <col min="6163" max="6163" width="8.265625" style="75" customWidth="1"/>
    <col min="6164" max="6164" width="8.73046875" style="75" customWidth="1"/>
    <col min="6165" max="6165" width="7.796875" style="75" customWidth="1"/>
    <col min="6166" max="6166" width="1.265625" style="75" customWidth="1"/>
    <col min="6167" max="6167" width="10.19921875" style="75" customWidth="1"/>
    <col min="6168" max="6168" width="7.265625" style="75" customWidth="1"/>
    <col min="6169" max="6402" width="4.265625" style="75"/>
    <col min="6403" max="6403" width="15.19921875" style="75" customWidth="1"/>
    <col min="6404" max="6404" width="10.73046875" style="75" customWidth="1"/>
    <col min="6405" max="6405" width="12.265625" style="75" customWidth="1"/>
    <col min="6406" max="6406" width="9.73046875" style="75" customWidth="1"/>
    <col min="6407" max="6407" width="10.19921875" style="75" customWidth="1"/>
    <col min="6408" max="6408" width="11.73046875" style="75" customWidth="1"/>
    <col min="6409" max="6409" width="7.265625" style="75" customWidth="1"/>
    <col min="6410" max="6410" width="9.265625" style="75" customWidth="1"/>
    <col min="6411" max="6411" width="10.265625" style="75" customWidth="1"/>
    <col min="6412" max="6412" width="9.19921875" style="75" customWidth="1"/>
    <col min="6413" max="6413" width="8.19921875" style="75" customWidth="1"/>
    <col min="6414" max="6414" width="8" style="75" customWidth="1"/>
    <col min="6415" max="6415" width="1.73046875" style="75" customWidth="1"/>
    <col min="6416" max="6416" width="10.19921875" style="75" customWidth="1"/>
    <col min="6417" max="6417" width="16.53125" style="75" customWidth="1"/>
    <col min="6418" max="6418" width="13.73046875" style="75" customWidth="1"/>
    <col min="6419" max="6419" width="8.265625" style="75" customWidth="1"/>
    <col min="6420" max="6420" width="8.73046875" style="75" customWidth="1"/>
    <col min="6421" max="6421" width="7.796875" style="75" customWidth="1"/>
    <col min="6422" max="6422" width="1.265625" style="75" customWidth="1"/>
    <col min="6423" max="6423" width="10.19921875" style="75" customWidth="1"/>
    <col min="6424" max="6424" width="7.265625" style="75" customWidth="1"/>
    <col min="6425" max="6658" width="4.265625" style="75"/>
    <col min="6659" max="6659" width="15.19921875" style="75" customWidth="1"/>
    <col min="6660" max="6660" width="10.73046875" style="75" customWidth="1"/>
    <col min="6661" max="6661" width="12.265625" style="75" customWidth="1"/>
    <col min="6662" max="6662" width="9.73046875" style="75" customWidth="1"/>
    <col min="6663" max="6663" width="10.19921875" style="75" customWidth="1"/>
    <col min="6664" max="6664" width="11.73046875" style="75" customWidth="1"/>
    <col min="6665" max="6665" width="7.265625" style="75" customWidth="1"/>
    <col min="6666" max="6666" width="9.265625" style="75" customWidth="1"/>
    <col min="6667" max="6667" width="10.265625" style="75" customWidth="1"/>
    <col min="6668" max="6668" width="9.19921875" style="75" customWidth="1"/>
    <col min="6669" max="6669" width="8.19921875" style="75" customWidth="1"/>
    <col min="6670" max="6670" width="8" style="75" customWidth="1"/>
    <col min="6671" max="6671" width="1.73046875" style="75" customWidth="1"/>
    <col min="6672" max="6672" width="10.19921875" style="75" customWidth="1"/>
    <col min="6673" max="6673" width="16.53125" style="75" customWidth="1"/>
    <col min="6674" max="6674" width="13.73046875" style="75" customWidth="1"/>
    <col min="6675" max="6675" width="8.265625" style="75" customWidth="1"/>
    <col min="6676" max="6676" width="8.73046875" style="75" customWidth="1"/>
    <col min="6677" max="6677" width="7.796875" style="75" customWidth="1"/>
    <col min="6678" max="6678" width="1.265625" style="75" customWidth="1"/>
    <col min="6679" max="6679" width="10.19921875" style="75" customWidth="1"/>
    <col min="6680" max="6680" width="7.265625" style="75" customWidth="1"/>
    <col min="6681" max="6914" width="4.265625" style="75"/>
    <col min="6915" max="6915" width="15.19921875" style="75" customWidth="1"/>
    <col min="6916" max="6916" width="10.73046875" style="75" customWidth="1"/>
    <col min="6917" max="6917" width="12.265625" style="75" customWidth="1"/>
    <col min="6918" max="6918" width="9.73046875" style="75" customWidth="1"/>
    <col min="6919" max="6919" width="10.19921875" style="75" customWidth="1"/>
    <col min="6920" max="6920" width="11.73046875" style="75" customWidth="1"/>
    <col min="6921" max="6921" width="7.265625" style="75" customWidth="1"/>
    <col min="6922" max="6922" width="9.265625" style="75" customWidth="1"/>
    <col min="6923" max="6923" width="10.265625" style="75" customWidth="1"/>
    <col min="6924" max="6924" width="9.19921875" style="75" customWidth="1"/>
    <col min="6925" max="6925" width="8.19921875" style="75" customWidth="1"/>
    <col min="6926" max="6926" width="8" style="75" customWidth="1"/>
    <col min="6927" max="6927" width="1.73046875" style="75" customWidth="1"/>
    <col min="6928" max="6928" width="10.19921875" style="75" customWidth="1"/>
    <col min="6929" max="6929" width="16.53125" style="75" customWidth="1"/>
    <col min="6930" max="6930" width="13.73046875" style="75" customWidth="1"/>
    <col min="6931" max="6931" width="8.265625" style="75" customWidth="1"/>
    <col min="6932" max="6932" width="8.73046875" style="75" customWidth="1"/>
    <col min="6933" max="6933" width="7.796875" style="75" customWidth="1"/>
    <col min="6934" max="6934" width="1.265625" style="75" customWidth="1"/>
    <col min="6935" max="6935" width="10.19921875" style="75" customWidth="1"/>
    <col min="6936" max="6936" width="7.265625" style="75" customWidth="1"/>
    <col min="6937" max="7170" width="4.265625" style="75"/>
    <col min="7171" max="7171" width="15.19921875" style="75" customWidth="1"/>
    <col min="7172" max="7172" width="10.73046875" style="75" customWidth="1"/>
    <col min="7173" max="7173" width="12.265625" style="75" customWidth="1"/>
    <col min="7174" max="7174" width="9.73046875" style="75" customWidth="1"/>
    <col min="7175" max="7175" width="10.19921875" style="75" customWidth="1"/>
    <col min="7176" max="7176" width="11.73046875" style="75" customWidth="1"/>
    <col min="7177" max="7177" width="7.265625" style="75" customWidth="1"/>
    <col min="7178" max="7178" width="9.265625" style="75" customWidth="1"/>
    <col min="7179" max="7179" width="10.265625" style="75" customWidth="1"/>
    <col min="7180" max="7180" width="9.19921875" style="75" customWidth="1"/>
    <col min="7181" max="7181" width="8.19921875" style="75" customWidth="1"/>
    <col min="7182" max="7182" width="8" style="75" customWidth="1"/>
    <col min="7183" max="7183" width="1.73046875" style="75" customWidth="1"/>
    <col min="7184" max="7184" width="10.19921875" style="75" customWidth="1"/>
    <col min="7185" max="7185" width="16.53125" style="75" customWidth="1"/>
    <col min="7186" max="7186" width="13.73046875" style="75" customWidth="1"/>
    <col min="7187" max="7187" width="8.265625" style="75" customWidth="1"/>
    <col min="7188" max="7188" width="8.73046875" style="75" customWidth="1"/>
    <col min="7189" max="7189" width="7.796875" style="75" customWidth="1"/>
    <col min="7190" max="7190" width="1.265625" style="75" customWidth="1"/>
    <col min="7191" max="7191" width="10.19921875" style="75" customWidth="1"/>
    <col min="7192" max="7192" width="7.265625" style="75" customWidth="1"/>
    <col min="7193" max="7426" width="4.265625" style="75"/>
    <col min="7427" max="7427" width="15.19921875" style="75" customWidth="1"/>
    <col min="7428" max="7428" width="10.73046875" style="75" customWidth="1"/>
    <col min="7429" max="7429" width="12.265625" style="75" customWidth="1"/>
    <col min="7430" max="7430" width="9.73046875" style="75" customWidth="1"/>
    <col min="7431" max="7431" width="10.19921875" style="75" customWidth="1"/>
    <col min="7432" max="7432" width="11.73046875" style="75" customWidth="1"/>
    <col min="7433" max="7433" width="7.265625" style="75" customWidth="1"/>
    <col min="7434" max="7434" width="9.265625" style="75" customWidth="1"/>
    <col min="7435" max="7435" width="10.265625" style="75" customWidth="1"/>
    <col min="7436" max="7436" width="9.19921875" style="75" customWidth="1"/>
    <col min="7437" max="7437" width="8.19921875" style="75" customWidth="1"/>
    <col min="7438" max="7438" width="8" style="75" customWidth="1"/>
    <col min="7439" max="7439" width="1.73046875" style="75" customWidth="1"/>
    <col min="7440" max="7440" width="10.19921875" style="75" customWidth="1"/>
    <col min="7441" max="7441" width="16.53125" style="75" customWidth="1"/>
    <col min="7442" max="7442" width="13.73046875" style="75" customWidth="1"/>
    <col min="7443" max="7443" width="8.265625" style="75" customWidth="1"/>
    <col min="7444" max="7444" width="8.73046875" style="75" customWidth="1"/>
    <col min="7445" max="7445" width="7.796875" style="75" customWidth="1"/>
    <col min="7446" max="7446" width="1.265625" style="75" customWidth="1"/>
    <col min="7447" max="7447" width="10.19921875" style="75" customWidth="1"/>
    <col min="7448" max="7448" width="7.265625" style="75" customWidth="1"/>
    <col min="7449" max="7682" width="4.265625" style="75"/>
    <col min="7683" max="7683" width="15.19921875" style="75" customWidth="1"/>
    <col min="7684" max="7684" width="10.73046875" style="75" customWidth="1"/>
    <col min="7685" max="7685" width="12.265625" style="75" customWidth="1"/>
    <col min="7686" max="7686" width="9.73046875" style="75" customWidth="1"/>
    <col min="7687" max="7687" width="10.19921875" style="75" customWidth="1"/>
    <col min="7688" max="7688" width="11.73046875" style="75" customWidth="1"/>
    <col min="7689" max="7689" width="7.265625" style="75" customWidth="1"/>
    <col min="7690" max="7690" width="9.265625" style="75" customWidth="1"/>
    <col min="7691" max="7691" width="10.265625" style="75" customWidth="1"/>
    <col min="7692" max="7692" width="9.19921875" style="75" customWidth="1"/>
    <col min="7693" max="7693" width="8.19921875" style="75" customWidth="1"/>
    <col min="7694" max="7694" width="8" style="75" customWidth="1"/>
    <col min="7695" max="7695" width="1.73046875" style="75" customWidth="1"/>
    <col min="7696" max="7696" width="10.19921875" style="75" customWidth="1"/>
    <col min="7697" max="7697" width="16.53125" style="75" customWidth="1"/>
    <col min="7698" max="7698" width="13.73046875" style="75" customWidth="1"/>
    <col min="7699" max="7699" width="8.265625" style="75" customWidth="1"/>
    <col min="7700" max="7700" width="8.73046875" style="75" customWidth="1"/>
    <col min="7701" max="7701" width="7.796875" style="75" customWidth="1"/>
    <col min="7702" max="7702" width="1.265625" style="75" customWidth="1"/>
    <col min="7703" max="7703" width="10.19921875" style="75" customWidth="1"/>
    <col min="7704" max="7704" width="7.265625" style="75" customWidth="1"/>
    <col min="7705" max="7938" width="4.265625" style="75"/>
    <col min="7939" max="7939" width="15.19921875" style="75" customWidth="1"/>
    <col min="7940" max="7940" width="10.73046875" style="75" customWidth="1"/>
    <col min="7941" max="7941" width="12.265625" style="75" customWidth="1"/>
    <col min="7942" max="7942" width="9.73046875" style="75" customWidth="1"/>
    <col min="7943" max="7943" width="10.19921875" style="75" customWidth="1"/>
    <col min="7944" max="7944" width="11.73046875" style="75" customWidth="1"/>
    <col min="7945" max="7945" width="7.265625" style="75" customWidth="1"/>
    <col min="7946" max="7946" width="9.265625" style="75" customWidth="1"/>
    <col min="7947" max="7947" width="10.265625" style="75" customWidth="1"/>
    <col min="7948" max="7948" width="9.19921875" style="75" customWidth="1"/>
    <col min="7949" max="7949" width="8.19921875" style="75" customWidth="1"/>
    <col min="7950" max="7950" width="8" style="75" customWidth="1"/>
    <col min="7951" max="7951" width="1.73046875" style="75" customWidth="1"/>
    <col min="7952" max="7952" width="10.19921875" style="75" customWidth="1"/>
    <col min="7953" max="7953" width="16.53125" style="75" customWidth="1"/>
    <col min="7954" max="7954" width="13.73046875" style="75" customWidth="1"/>
    <col min="7955" max="7955" width="8.265625" style="75" customWidth="1"/>
    <col min="7956" max="7956" width="8.73046875" style="75" customWidth="1"/>
    <col min="7957" max="7957" width="7.796875" style="75" customWidth="1"/>
    <col min="7958" max="7958" width="1.265625" style="75" customWidth="1"/>
    <col min="7959" max="7959" width="10.19921875" style="75" customWidth="1"/>
    <col min="7960" max="7960" width="7.265625" style="75" customWidth="1"/>
    <col min="7961" max="8194" width="4.265625" style="75"/>
    <col min="8195" max="8195" width="15.19921875" style="75" customWidth="1"/>
    <col min="8196" max="8196" width="10.73046875" style="75" customWidth="1"/>
    <col min="8197" max="8197" width="12.265625" style="75" customWidth="1"/>
    <col min="8198" max="8198" width="9.73046875" style="75" customWidth="1"/>
    <col min="8199" max="8199" width="10.19921875" style="75" customWidth="1"/>
    <col min="8200" max="8200" width="11.73046875" style="75" customWidth="1"/>
    <col min="8201" max="8201" width="7.265625" style="75" customWidth="1"/>
    <col min="8202" max="8202" width="9.265625" style="75" customWidth="1"/>
    <col min="8203" max="8203" width="10.265625" style="75" customWidth="1"/>
    <col min="8204" max="8204" width="9.19921875" style="75" customWidth="1"/>
    <col min="8205" max="8205" width="8.19921875" style="75" customWidth="1"/>
    <col min="8206" max="8206" width="8" style="75" customWidth="1"/>
    <col min="8207" max="8207" width="1.73046875" style="75" customWidth="1"/>
    <col min="8208" max="8208" width="10.19921875" style="75" customWidth="1"/>
    <col min="8209" max="8209" width="16.53125" style="75" customWidth="1"/>
    <col min="8210" max="8210" width="13.73046875" style="75" customWidth="1"/>
    <col min="8211" max="8211" width="8.265625" style="75" customWidth="1"/>
    <col min="8212" max="8212" width="8.73046875" style="75" customWidth="1"/>
    <col min="8213" max="8213" width="7.796875" style="75" customWidth="1"/>
    <col min="8214" max="8214" width="1.265625" style="75" customWidth="1"/>
    <col min="8215" max="8215" width="10.19921875" style="75" customWidth="1"/>
    <col min="8216" max="8216" width="7.265625" style="75" customWidth="1"/>
    <col min="8217" max="8450" width="4.265625" style="75"/>
    <col min="8451" max="8451" width="15.19921875" style="75" customWidth="1"/>
    <col min="8452" max="8452" width="10.73046875" style="75" customWidth="1"/>
    <col min="8453" max="8453" width="12.265625" style="75" customWidth="1"/>
    <col min="8454" max="8454" width="9.73046875" style="75" customWidth="1"/>
    <col min="8455" max="8455" width="10.19921875" style="75" customWidth="1"/>
    <col min="8456" max="8456" width="11.73046875" style="75" customWidth="1"/>
    <col min="8457" max="8457" width="7.265625" style="75" customWidth="1"/>
    <col min="8458" max="8458" width="9.265625" style="75" customWidth="1"/>
    <col min="8459" max="8459" width="10.265625" style="75" customWidth="1"/>
    <col min="8460" max="8460" width="9.19921875" style="75" customWidth="1"/>
    <col min="8461" max="8461" width="8.19921875" style="75" customWidth="1"/>
    <col min="8462" max="8462" width="8" style="75" customWidth="1"/>
    <col min="8463" max="8463" width="1.73046875" style="75" customWidth="1"/>
    <col min="8464" max="8464" width="10.19921875" style="75" customWidth="1"/>
    <col min="8465" max="8465" width="16.53125" style="75" customWidth="1"/>
    <col min="8466" max="8466" width="13.73046875" style="75" customWidth="1"/>
    <col min="8467" max="8467" width="8.265625" style="75" customWidth="1"/>
    <col min="8468" max="8468" width="8.73046875" style="75" customWidth="1"/>
    <col min="8469" max="8469" width="7.796875" style="75" customWidth="1"/>
    <col min="8470" max="8470" width="1.265625" style="75" customWidth="1"/>
    <col min="8471" max="8471" width="10.19921875" style="75" customWidth="1"/>
    <col min="8472" max="8472" width="7.265625" style="75" customWidth="1"/>
    <col min="8473" max="8706" width="4.265625" style="75"/>
    <col min="8707" max="8707" width="15.19921875" style="75" customWidth="1"/>
    <col min="8708" max="8708" width="10.73046875" style="75" customWidth="1"/>
    <col min="8709" max="8709" width="12.265625" style="75" customWidth="1"/>
    <col min="8710" max="8710" width="9.73046875" style="75" customWidth="1"/>
    <col min="8711" max="8711" width="10.19921875" style="75" customWidth="1"/>
    <col min="8712" max="8712" width="11.73046875" style="75" customWidth="1"/>
    <col min="8713" max="8713" width="7.265625" style="75" customWidth="1"/>
    <col min="8714" max="8714" width="9.265625" style="75" customWidth="1"/>
    <col min="8715" max="8715" width="10.265625" style="75" customWidth="1"/>
    <col min="8716" max="8716" width="9.19921875" style="75" customWidth="1"/>
    <col min="8717" max="8717" width="8.19921875" style="75" customWidth="1"/>
    <col min="8718" max="8718" width="8" style="75" customWidth="1"/>
    <col min="8719" max="8719" width="1.73046875" style="75" customWidth="1"/>
    <col min="8720" max="8720" width="10.19921875" style="75" customWidth="1"/>
    <col min="8721" max="8721" width="16.53125" style="75" customWidth="1"/>
    <col min="8722" max="8722" width="13.73046875" style="75" customWidth="1"/>
    <col min="8723" max="8723" width="8.265625" style="75" customWidth="1"/>
    <col min="8724" max="8724" width="8.73046875" style="75" customWidth="1"/>
    <col min="8725" max="8725" width="7.796875" style="75" customWidth="1"/>
    <col min="8726" max="8726" width="1.265625" style="75" customWidth="1"/>
    <col min="8727" max="8727" width="10.19921875" style="75" customWidth="1"/>
    <col min="8728" max="8728" width="7.265625" style="75" customWidth="1"/>
    <col min="8729" max="8962" width="4.265625" style="75"/>
    <col min="8963" max="8963" width="15.19921875" style="75" customWidth="1"/>
    <col min="8964" max="8964" width="10.73046875" style="75" customWidth="1"/>
    <col min="8965" max="8965" width="12.265625" style="75" customWidth="1"/>
    <col min="8966" max="8966" width="9.73046875" style="75" customWidth="1"/>
    <col min="8967" max="8967" width="10.19921875" style="75" customWidth="1"/>
    <col min="8968" max="8968" width="11.73046875" style="75" customWidth="1"/>
    <col min="8969" max="8969" width="7.265625" style="75" customWidth="1"/>
    <col min="8970" max="8970" width="9.265625" style="75" customWidth="1"/>
    <col min="8971" max="8971" width="10.265625" style="75" customWidth="1"/>
    <col min="8972" max="8972" width="9.19921875" style="75" customWidth="1"/>
    <col min="8973" max="8973" width="8.19921875" style="75" customWidth="1"/>
    <col min="8974" max="8974" width="8" style="75" customWidth="1"/>
    <col min="8975" max="8975" width="1.73046875" style="75" customWidth="1"/>
    <col min="8976" max="8976" width="10.19921875" style="75" customWidth="1"/>
    <col min="8977" max="8977" width="16.53125" style="75" customWidth="1"/>
    <col min="8978" max="8978" width="13.73046875" style="75" customWidth="1"/>
    <col min="8979" max="8979" width="8.265625" style="75" customWidth="1"/>
    <col min="8980" max="8980" width="8.73046875" style="75" customWidth="1"/>
    <col min="8981" max="8981" width="7.796875" style="75" customWidth="1"/>
    <col min="8982" max="8982" width="1.265625" style="75" customWidth="1"/>
    <col min="8983" max="8983" width="10.19921875" style="75" customWidth="1"/>
    <col min="8984" max="8984" width="7.265625" style="75" customWidth="1"/>
    <col min="8985" max="9218" width="4.265625" style="75"/>
    <col min="9219" max="9219" width="15.19921875" style="75" customWidth="1"/>
    <col min="9220" max="9220" width="10.73046875" style="75" customWidth="1"/>
    <col min="9221" max="9221" width="12.265625" style="75" customWidth="1"/>
    <col min="9222" max="9222" width="9.73046875" style="75" customWidth="1"/>
    <col min="9223" max="9223" width="10.19921875" style="75" customWidth="1"/>
    <col min="9224" max="9224" width="11.73046875" style="75" customWidth="1"/>
    <col min="9225" max="9225" width="7.265625" style="75" customWidth="1"/>
    <col min="9226" max="9226" width="9.265625" style="75" customWidth="1"/>
    <col min="9227" max="9227" width="10.265625" style="75" customWidth="1"/>
    <col min="9228" max="9228" width="9.19921875" style="75" customWidth="1"/>
    <col min="9229" max="9229" width="8.19921875" style="75" customWidth="1"/>
    <col min="9230" max="9230" width="8" style="75" customWidth="1"/>
    <col min="9231" max="9231" width="1.73046875" style="75" customWidth="1"/>
    <col min="9232" max="9232" width="10.19921875" style="75" customWidth="1"/>
    <col min="9233" max="9233" width="16.53125" style="75" customWidth="1"/>
    <col min="9234" max="9234" width="13.73046875" style="75" customWidth="1"/>
    <col min="9235" max="9235" width="8.265625" style="75" customWidth="1"/>
    <col min="9236" max="9236" width="8.73046875" style="75" customWidth="1"/>
    <col min="9237" max="9237" width="7.796875" style="75" customWidth="1"/>
    <col min="9238" max="9238" width="1.265625" style="75" customWidth="1"/>
    <col min="9239" max="9239" width="10.19921875" style="75" customWidth="1"/>
    <col min="9240" max="9240" width="7.265625" style="75" customWidth="1"/>
    <col min="9241" max="9474" width="4.265625" style="75"/>
    <col min="9475" max="9475" width="15.19921875" style="75" customWidth="1"/>
    <col min="9476" max="9476" width="10.73046875" style="75" customWidth="1"/>
    <col min="9477" max="9477" width="12.265625" style="75" customWidth="1"/>
    <col min="9478" max="9478" width="9.73046875" style="75" customWidth="1"/>
    <col min="9479" max="9479" width="10.19921875" style="75" customWidth="1"/>
    <col min="9480" max="9480" width="11.73046875" style="75" customWidth="1"/>
    <col min="9481" max="9481" width="7.265625" style="75" customWidth="1"/>
    <col min="9482" max="9482" width="9.265625" style="75" customWidth="1"/>
    <col min="9483" max="9483" width="10.265625" style="75" customWidth="1"/>
    <col min="9484" max="9484" width="9.19921875" style="75" customWidth="1"/>
    <col min="9485" max="9485" width="8.19921875" style="75" customWidth="1"/>
    <col min="9486" max="9486" width="8" style="75" customWidth="1"/>
    <col min="9487" max="9487" width="1.73046875" style="75" customWidth="1"/>
    <col min="9488" max="9488" width="10.19921875" style="75" customWidth="1"/>
    <col min="9489" max="9489" width="16.53125" style="75" customWidth="1"/>
    <col min="9490" max="9490" width="13.73046875" style="75" customWidth="1"/>
    <col min="9491" max="9491" width="8.265625" style="75" customWidth="1"/>
    <col min="9492" max="9492" width="8.73046875" style="75" customWidth="1"/>
    <col min="9493" max="9493" width="7.796875" style="75" customWidth="1"/>
    <col min="9494" max="9494" width="1.265625" style="75" customWidth="1"/>
    <col min="9495" max="9495" width="10.19921875" style="75" customWidth="1"/>
    <col min="9496" max="9496" width="7.265625" style="75" customWidth="1"/>
    <col min="9497" max="9730" width="4.265625" style="75"/>
    <col min="9731" max="9731" width="15.19921875" style="75" customWidth="1"/>
    <col min="9732" max="9732" width="10.73046875" style="75" customWidth="1"/>
    <col min="9733" max="9733" width="12.265625" style="75" customWidth="1"/>
    <col min="9734" max="9734" width="9.73046875" style="75" customWidth="1"/>
    <col min="9735" max="9735" width="10.19921875" style="75" customWidth="1"/>
    <col min="9736" max="9736" width="11.73046875" style="75" customWidth="1"/>
    <col min="9737" max="9737" width="7.265625" style="75" customWidth="1"/>
    <col min="9738" max="9738" width="9.265625" style="75" customWidth="1"/>
    <col min="9739" max="9739" width="10.265625" style="75" customWidth="1"/>
    <col min="9740" max="9740" width="9.19921875" style="75" customWidth="1"/>
    <col min="9741" max="9741" width="8.19921875" style="75" customWidth="1"/>
    <col min="9742" max="9742" width="8" style="75" customWidth="1"/>
    <col min="9743" max="9743" width="1.73046875" style="75" customWidth="1"/>
    <col min="9744" max="9744" width="10.19921875" style="75" customWidth="1"/>
    <col min="9745" max="9745" width="16.53125" style="75" customWidth="1"/>
    <col min="9746" max="9746" width="13.73046875" style="75" customWidth="1"/>
    <col min="9747" max="9747" width="8.265625" style="75" customWidth="1"/>
    <col min="9748" max="9748" width="8.73046875" style="75" customWidth="1"/>
    <col min="9749" max="9749" width="7.796875" style="75" customWidth="1"/>
    <col min="9750" max="9750" width="1.265625" style="75" customWidth="1"/>
    <col min="9751" max="9751" width="10.19921875" style="75" customWidth="1"/>
    <col min="9752" max="9752" width="7.265625" style="75" customWidth="1"/>
    <col min="9753" max="9986" width="4.265625" style="75"/>
    <col min="9987" max="9987" width="15.19921875" style="75" customWidth="1"/>
    <col min="9988" max="9988" width="10.73046875" style="75" customWidth="1"/>
    <col min="9989" max="9989" width="12.265625" style="75" customWidth="1"/>
    <col min="9990" max="9990" width="9.73046875" style="75" customWidth="1"/>
    <col min="9991" max="9991" width="10.19921875" style="75" customWidth="1"/>
    <col min="9992" max="9992" width="11.73046875" style="75" customWidth="1"/>
    <col min="9993" max="9993" width="7.265625" style="75" customWidth="1"/>
    <col min="9994" max="9994" width="9.265625" style="75" customWidth="1"/>
    <col min="9995" max="9995" width="10.265625" style="75" customWidth="1"/>
    <col min="9996" max="9996" width="9.19921875" style="75" customWidth="1"/>
    <col min="9997" max="9997" width="8.19921875" style="75" customWidth="1"/>
    <col min="9998" max="9998" width="8" style="75" customWidth="1"/>
    <col min="9999" max="9999" width="1.73046875" style="75" customWidth="1"/>
    <col min="10000" max="10000" width="10.19921875" style="75" customWidth="1"/>
    <col min="10001" max="10001" width="16.53125" style="75" customWidth="1"/>
    <col min="10002" max="10002" width="13.73046875" style="75" customWidth="1"/>
    <col min="10003" max="10003" width="8.265625" style="75" customWidth="1"/>
    <col min="10004" max="10004" width="8.73046875" style="75" customWidth="1"/>
    <col min="10005" max="10005" width="7.796875" style="75" customWidth="1"/>
    <col min="10006" max="10006" width="1.265625" style="75" customWidth="1"/>
    <col min="10007" max="10007" width="10.19921875" style="75" customWidth="1"/>
    <col min="10008" max="10008" width="7.265625" style="75" customWidth="1"/>
    <col min="10009" max="10242" width="4.265625" style="75"/>
    <col min="10243" max="10243" width="15.19921875" style="75" customWidth="1"/>
    <col min="10244" max="10244" width="10.73046875" style="75" customWidth="1"/>
    <col min="10245" max="10245" width="12.265625" style="75" customWidth="1"/>
    <col min="10246" max="10246" width="9.73046875" style="75" customWidth="1"/>
    <col min="10247" max="10247" width="10.19921875" style="75" customWidth="1"/>
    <col min="10248" max="10248" width="11.73046875" style="75" customWidth="1"/>
    <col min="10249" max="10249" width="7.265625" style="75" customWidth="1"/>
    <col min="10250" max="10250" width="9.265625" style="75" customWidth="1"/>
    <col min="10251" max="10251" width="10.265625" style="75" customWidth="1"/>
    <col min="10252" max="10252" width="9.19921875" style="75" customWidth="1"/>
    <col min="10253" max="10253" width="8.19921875" style="75" customWidth="1"/>
    <col min="10254" max="10254" width="8" style="75" customWidth="1"/>
    <col min="10255" max="10255" width="1.73046875" style="75" customWidth="1"/>
    <col min="10256" max="10256" width="10.19921875" style="75" customWidth="1"/>
    <col min="10257" max="10257" width="16.53125" style="75" customWidth="1"/>
    <col min="10258" max="10258" width="13.73046875" style="75" customWidth="1"/>
    <col min="10259" max="10259" width="8.265625" style="75" customWidth="1"/>
    <col min="10260" max="10260" width="8.73046875" style="75" customWidth="1"/>
    <col min="10261" max="10261" width="7.796875" style="75" customWidth="1"/>
    <col min="10262" max="10262" width="1.265625" style="75" customWidth="1"/>
    <col min="10263" max="10263" width="10.19921875" style="75" customWidth="1"/>
    <col min="10264" max="10264" width="7.265625" style="75" customWidth="1"/>
    <col min="10265" max="10498" width="4.265625" style="75"/>
    <col min="10499" max="10499" width="15.19921875" style="75" customWidth="1"/>
    <col min="10500" max="10500" width="10.73046875" style="75" customWidth="1"/>
    <col min="10501" max="10501" width="12.265625" style="75" customWidth="1"/>
    <col min="10502" max="10502" width="9.73046875" style="75" customWidth="1"/>
    <col min="10503" max="10503" width="10.19921875" style="75" customWidth="1"/>
    <col min="10504" max="10504" width="11.73046875" style="75" customWidth="1"/>
    <col min="10505" max="10505" width="7.265625" style="75" customWidth="1"/>
    <col min="10506" max="10506" width="9.265625" style="75" customWidth="1"/>
    <col min="10507" max="10507" width="10.265625" style="75" customWidth="1"/>
    <col min="10508" max="10508" width="9.19921875" style="75" customWidth="1"/>
    <col min="10509" max="10509" width="8.19921875" style="75" customWidth="1"/>
    <col min="10510" max="10510" width="8" style="75" customWidth="1"/>
    <col min="10511" max="10511" width="1.73046875" style="75" customWidth="1"/>
    <col min="10512" max="10512" width="10.19921875" style="75" customWidth="1"/>
    <col min="10513" max="10513" width="16.53125" style="75" customWidth="1"/>
    <col min="10514" max="10514" width="13.73046875" style="75" customWidth="1"/>
    <col min="10515" max="10515" width="8.265625" style="75" customWidth="1"/>
    <col min="10516" max="10516" width="8.73046875" style="75" customWidth="1"/>
    <col min="10517" max="10517" width="7.796875" style="75" customWidth="1"/>
    <col min="10518" max="10518" width="1.265625" style="75" customWidth="1"/>
    <col min="10519" max="10519" width="10.19921875" style="75" customWidth="1"/>
    <col min="10520" max="10520" width="7.265625" style="75" customWidth="1"/>
    <col min="10521" max="10754" width="4.265625" style="75"/>
    <col min="10755" max="10755" width="15.19921875" style="75" customWidth="1"/>
    <col min="10756" max="10756" width="10.73046875" style="75" customWidth="1"/>
    <col min="10757" max="10757" width="12.265625" style="75" customWidth="1"/>
    <col min="10758" max="10758" width="9.73046875" style="75" customWidth="1"/>
    <col min="10759" max="10759" width="10.19921875" style="75" customWidth="1"/>
    <col min="10760" max="10760" width="11.73046875" style="75" customWidth="1"/>
    <col min="10761" max="10761" width="7.265625" style="75" customWidth="1"/>
    <col min="10762" max="10762" width="9.265625" style="75" customWidth="1"/>
    <col min="10763" max="10763" width="10.265625" style="75" customWidth="1"/>
    <col min="10764" max="10764" width="9.19921875" style="75" customWidth="1"/>
    <col min="10765" max="10765" width="8.19921875" style="75" customWidth="1"/>
    <col min="10766" max="10766" width="8" style="75" customWidth="1"/>
    <col min="10767" max="10767" width="1.73046875" style="75" customWidth="1"/>
    <col min="10768" max="10768" width="10.19921875" style="75" customWidth="1"/>
    <col min="10769" max="10769" width="16.53125" style="75" customWidth="1"/>
    <col min="10770" max="10770" width="13.73046875" style="75" customWidth="1"/>
    <col min="10771" max="10771" width="8.265625" style="75" customWidth="1"/>
    <col min="10772" max="10772" width="8.73046875" style="75" customWidth="1"/>
    <col min="10773" max="10773" width="7.796875" style="75" customWidth="1"/>
    <col min="10774" max="10774" width="1.265625" style="75" customWidth="1"/>
    <col min="10775" max="10775" width="10.19921875" style="75" customWidth="1"/>
    <col min="10776" max="10776" width="7.265625" style="75" customWidth="1"/>
    <col min="10777" max="11010" width="4.265625" style="75"/>
    <col min="11011" max="11011" width="15.19921875" style="75" customWidth="1"/>
    <col min="11012" max="11012" width="10.73046875" style="75" customWidth="1"/>
    <col min="11013" max="11013" width="12.265625" style="75" customWidth="1"/>
    <col min="11014" max="11014" width="9.73046875" style="75" customWidth="1"/>
    <col min="11015" max="11015" width="10.19921875" style="75" customWidth="1"/>
    <col min="11016" max="11016" width="11.73046875" style="75" customWidth="1"/>
    <col min="11017" max="11017" width="7.265625" style="75" customWidth="1"/>
    <col min="11018" max="11018" width="9.265625" style="75" customWidth="1"/>
    <col min="11019" max="11019" width="10.265625" style="75" customWidth="1"/>
    <col min="11020" max="11020" width="9.19921875" style="75" customWidth="1"/>
    <col min="11021" max="11021" width="8.19921875" style="75" customWidth="1"/>
    <col min="11022" max="11022" width="8" style="75" customWidth="1"/>
    <col min="11023" max="11023" width="1.73046875" style="75" customWidth="1"/>
    <col min="11024" max="11024" width="10.19921875" style="75" customWidth="1"/>
    <col min="11025" max="11025" width="16.53125" style="75" customWidth="1"/>
    <col min="11026" max="11026" width="13.73046875" style="75" customWidth="1"/>
    <col min="11027" max="11027" width="8.265625" style="75" customWidth="1"/>
    <col min="11028" max="11028" width="8.73046875" style="75" customWidth="1"/>
    <col min="11029" max="11029" width="7.796875" style="75" customWidth="1"/>
    <col min="11030" max="11030" width="1.265625" style="75" customWidth="1"/>
    <col min="11031" max="11031" width="10.19921875" style="75" customWidth="1"/>
    <col min="11032" max="11032" width="7.265625" style="75" customWidth="1"/>
    <col min="11033" max="11266" width="4.265625" style="75"/>
    <col min="11267" max="11267" width="15.19921875" style="75" customWidth="1"/>
    <col min="11268" max="11268" width="10.73046875" style="75" customWidth="1"/>
    <col min="11269" max="11269" width="12.265625" style="75" customWidth="1"/>
    <col min="11270" max="11270" width="9.73046875" style="75" customWidth="1"/>
    <col min="11271" max="11271" width="10.19921875" style="75" customWidth="1"/>
    <col min="11272" max="11272" width="11.73046875" style="75" customWidth="1"/>
    <col min="11273" max="11273" width="7.265625" style="75" customWidth="1"/>
    <col min="11274" max="11274" width="9.265625" style="75" customWidth="1"/>
    <col min="11275" max="11275" width="10.265625" style="75" customWidth="1"/>
    <col min="11276" max="11276" width="9.19921875" style="75" customWidth="1"/>
    <col min="11277" max="11277" width="8.19921875" style="75" customWidth="1"/>
    <col min="11278" max="11278" width="8" style="75" customWidth="1"/>
    <col min="11279" max="11279" width="1.73046875" style="75" customWidth="1"/>
    <col min="11280" max="11280" width="10.19921875" style="75" customWidth="1"/>
    <col min="11281" max="11281" width="16.53125" style="75" customWidth="1"/>
    <col min="11282" max="11282" width="13.73046875" style="75" customWidth="1"/>
    <col min="11283" max="11283" width="8.265625" style="75" customWidth="1"/>
    <col min="11284" max="11284" width="8.73046875" style="75" customWidth="1"/>
    <col min="11285" max="11285" width="7.796875" style="75" customWidth="1"/>
    <col min="11286" max="11286" width="1.265625" style="75" customWidth="1"/>
    <col min="11287" max="11287" width="10.19921875" style="75" customWidth="1"/>
    <col min="11288" max="11288" width="7.265625" style="75" customWidth="1"/>
    <col min="11289" max="11522" width="4.265625" style="75"/>
    <col min="11523" max="11523" width="15.19921875" style="75" customWidth="1"/>
    <col min="11524" max="11524" width="10.73046875" style="75" customWidth="1"/>
    <col min="11525" max="11525" width="12.265625" style="75" customWidth="1"/>
    <col min="11526" max="11526" width="9.73046875" style="75" customWidth="1"/>
    <col min="11527" max="11527" width="10.19921875" style="75" customWidth="1"/>
    <col min="11528" max="11528" width="11.73046875" style="75" customWidth="1"/>
    <col min="11529" max="11529" width="7.265625" style="75" customWidth="1"/>
    <col min="11530" max="11530" width="9.265625" style="75" customWidth="1"/>
    <col min="11531" max="11531" width="10.265625" style="75" customWidth="1"/>
    <col min="11532" max="11532" width="9.19921875" style="75" customWidth="1"/>
    <col min="11533" max="11533" width="8.19921875" style="75" customWidth="1"/>
    <col min="11534" max="11534" width="8" style="75" customWidth="1"/>
    <col min="11535" max="11535" width="1.73046875" style="75" customWidth="1"/>
    <col min="11536" max="11536" width="10.19921875" style="75" customWidth="1"/>
    <col min="11537" max="11537" width="16.53125" style="75" customWidth="1"/>
    <col min="11538" max="11538" width="13.73046875" style="75" customWidth="1"/>
    <col min="11539" max="11539" width="8.265625" style="75" customWidth="1"/>
    <col min="11540" max="11540" width="8.73046875" style="75" customWidth="1"/>
    <col min="11541" max="11541" width="7.796875" style="75" customWidth="1"/>
    <col min="11542" max="11542" width="1.265625" style="75" customWidth="1"/>
    <col min="11543" max="11543" width="10.19921875" style="75" customWidth="1"/>
    <col min="11544" max="11544" width="7.265625" style="75" customWidth="1"/>
    <col min="11545" max="11778" width="4.265625" style="75"/>
    <col min="11779" max="11779" width="15.19921875" style="75" customWidth="1"/>
    <col min="11780" max="11780" width="10.73046875" style="75" customWidth="1"/>
    <col min="11781" max="11781" width="12.265625" style="75" customWidth="1"/>
    <col min="11782" max="11782" width="9.73046875" style="75" customWidth="1"/>
    <col min="11783" max="11783" width="10.19921875" style="75" customWidth="1"/>
    <col min="11784" max="11784" width="11.73046875" style="75" customWidth="1"/>
    <col min="11785" max="11785" width="7.265625" style="75" customWidth="1"/>
    <col min="11786" max="11786" width="9.265625" style="75" customWidth="1"/>
    <col min="11787" max="11787" width="10.265625" style="75" customWidth="1"/>
    <col min="11788" max="11788" width="9.19921875" style="75" customWidth="1"/>
    <col min="11789" max="11789" width="8.19921875" style="75" customWidth="1"/>
    <col min="11790" max="11790" width="8" style="75" customWidth="1"/>
    <col min="11791" max="11791" width="1.73046875" style="75" customWidth="1"/>
    <col min="11792" max="11792" width="10.19921875" style="75" customWidth="1"/>
    <col min="11793" max="11793" width="16.53125" style="75" customWidth="1"/>
    <col min="11794" max="11794" width="13.73046875" style="75" customWidth="1"/>
    <col min="11795" max="11795" width="8.265625" style="75" customWidth="1"/>
    <col min="11796" max="11796" width="8.73046875" style="75" customWidth="1"/>
    <col min="11797" max="11797" width="7.796875" style="75" customWidth="1"/>
    <col min="11798" max="11798" width="1.265625" style="75" customWidth="1"/>
    <col min="11799" max="11799" width="10.19921875" style="75" customWidth="1"/>
    <col min="11800" max="11800" width="7.265625" style="75" customWidth="1"/>
    <col min="11801" max="12034" width="4.265625" style="75"/>
    <col min="12035" max="12035" width="15.19921875" style="75" customWidth="1"/>
    <col min="12036" max="12036" width="10.73046875" style="75" customWidth="1"/>
    <col min="12037" max="12037" width="12.265625" style="75" customWidth="1"/>
    <col min="12038" max="12038" width="9.73046875" style="75" customWidth="1"/>
    <col min="12039" max="12039" width="10.19921875" style="75" customWidth="1"/>
    <col min="12040" max="12040" width="11.73046875" style="75" customWidth="1"/>
    <col min="12041" max="12041" width="7.265625" style="75" customWidth="1"/>
    <col min="12042" max="12042" width="9.265625" style="75" customWidth="1"/>
    <col min="12043" max="12043" width="10.265625" style="75" customWidth="1"/>
    <col min="12044" max="12044" width="9.19921875" style="75" customWidth="1"/>
    <col min="12045" max="12045" width="8.19921875" style="75" customWidth="1"/>
    <col min="12046" max="12046" width="8" style="75" customWidth="1"/>
    <col min="12047" max="12047" width="1.73046875" style="75" customWidth="1"/>
    <col min="12048" max="12048" width="10.19921875" style="75" customWidth="1"/>
    <col min="12049" max="12049" width="16.53125" style="75" customWidth="1"/>
    <col min="12050" max="12050" width="13.73046875" style="75" customWidth="1"/>
    <col min="12051" max="12051" width="8.265625" style="75" customWidth="1"/>
    <col min="12052" max="12052" width="8.73046875" style="75" customWidth="1"/>
    <col min="12053" max="12053" width="7.796875" style="75" customWidth="1"/>
    <col min="12054" max="12054" width="1.265625" style="75" customWidth="1"/>
    <col min="12055" max="12055" width="10.19921875" style="75" customWidth="1"/>
    <col min="12056" max="12056" width="7.265625" style="75" customWidth="1"/>
    <col min="12057" max="12290" width="4.265625" style="75"/>
    <col min="12291" max="12291" width="15.19921875" style="75" customWidth="1"/>
    <col min="12292" max="12292" width="10.73046875" style="75" customWidth="1"/>
    <col min="12293" max="12293" width="12.265625" style="75" customWidth="1"/>
    <col min="12294" max="12294" width="9.73046875" style="75" customWidth="1"/>
    <col min="12295" max="12295" width="10.19921875" style="75" customWidth="1"/>
    <col min="12296" max="12296" width="11.73046875" style="75" customWidth="1"/>
    <col min="12297" max="12297" width="7.265625" style="75" customWidth="1"/>
    <col min="12298" max="12298" width="9.265625" style="75" customWidth="1"/>
    <col min="12299" max="12299" width="10.265625" style="75" customWidth="1"/>
    <col min="12300" max="12300" width="9.19921875" style="75" customWidth="1"/>
    <col min="12301" max="12301" width="8.19921875" style="75" customWidth="1"/>
    <col min="12302" max="12302" width="8" style="75" customWidth="1"/>
    <col min="12303" max="12303" width="1.73046875" style="75" customWidth="1"/>
    <col min="12304" max="12304" width="10.19921875" style="75" customWidth="1"/>
    <col min="12305" max="12305" width="16.53125" style="75" customWidth="1"/>
    <col min="12306" max="12306" width="13.73046875" style="75" customWidth="1"/>
    <col min="12307" max="12307" width="8.265625" style="75" customWidth="1"/>
    <col min="12308" max="12308" width="8.73046875" style="75" customWidth="1"/>
    <col min="12309" max="12309" width="7.796875" style="75" customWidth="1"/>
    <col min="12310" max="12310" width="1.265625" style="75" customWidth="1"/>
    <col min="12311" max="12311" width="10.19921875" style="75" customWidth="1"/>
    <col min="12312" max="12312" width="7.265625" style="75" customWidth="1"/>
    <col min="12313" max="12546" width="4.265625" style="75"/>
    <col min="12547" max="12547" width="15.19921875" style="75" customWidth="1"/>
    <col min="12548" max="12548" width="10.73046875" style="75" customWidth="1"/>
    <col min="12549" max="12549" width="12.265625" style="75" customWidth="1"/>
    <col min="12550" max="12550" width="9.73046875" style="75" customWidth="1"/>
    <col min="12551" max="12551" width="10.19921875" style="75" customWidth="1"/>
    <col min="12552" max="12552" width="11.73046875" style="75" customWidth="1"/>
    <col min="12553" max="12553" width="7.265625" style="75" customWidth="1"/>
    <col min="12554" max="12554" width="9.265625" style="75" customWidth="1"/>
    <col min="12555" max="12555" width="10.265625" style="75" customWidth="1"/>
    <col min="12556" max="12556" width="9.19921875" style="75" customWidth="1"/>
    <col min="12557" max="12557" width="8.19921875" style="75" customWidth="1"/>
    <col min="12558" max="12558" width="8" style="75" customWidth="1"/>
    <col min="12559" max="12559" width="1.73046875" style="75" customWidth="1"/>
    <col min="12560" max="12560" width="10.19921875" style="75" customWidth="1"/>
    <col min="12561" max="12561" width="16.53125" style="75" customWidth="1"/>
    <col min="12562" max="12562" width="13.73046875" style="75" customWidth="1"/>
    <col min="12563" max="12563" width="8.265625" style="75" customWidth="1"/>
    <col min="12564" max="12564" width="8.73046875" style="75" customWidth="1"/>
    <col min="12565" max="12565" width="7.796875" style="75" customWidth="1"/>
    <col min="12566" max="12566" width="1.265625" style="75" customWidth="1"/>
    <col min="12567" max="12567" width="10.19921875" style="75" customWidth="1"/>
    <col min="12568" max="12568" width="7.265625" style="75" customWidth="1"/>
    <col min="12569" max="12802" width="4.265625" style="75"/>
    <col min="12803" max="12803" width="15.19921875" style="75" customWidth="1"/>
    <col min="12804" max="12804" width="10.73046875" style="75" customWidth="1"/>
    <col min="12805" max="12805" width="12.265625" style="75" customWidth="1"/>
    <col min="12806" max="12806" width="9.73046875" style="75" customWidth="1"/>
    <col min="12807" max="12807" width="10.19921875" style="75" customWidth="1"/>
    <col min="12808" max="12808" width="11.73046875" style="75" customWidth="1"/>
    <col min="12809" max="12809" width="7.265625" style="75" customWidth="1"/>
    <col min="12810" max="12810" width="9.265625" style="75" customWidth="1"/>
    <col min="12811" max="12811" width="10.265625" style="75" customWidth="1"/>
    <col min="12812" max="12812" width="9.19921875" style="75" customWidth="1"/>
    <col min="12813" max="12813" width="8.19921875" style="75" customWidth="1"/>
    <col min="12814" max="12814" width="8" style="75" customWidth="1"/>
    <col min="12815" max="12815" width="1.73046875" style="75" customWidth="1"/>
    <col min="12816" max="12816" width="10.19921875" style="75" customWidth="1"/>
    <col min="12817" max="12817" width="16.53125" style="75" customWidth="1"/>
    <col min="12818" max="12818" width="13.73046875" style="75" customWidth="1"/>
    <col min="12819" max="12819" width="8.265625" style="75" customWidth="1"/>
    <col min="12820" max="12820" width="8.73046875" style="75" customWidth="1"/>
    <col min="12821" max="12821" width="7.796875" style="75" customWidth="1"/>
    <col min="12822" max="12822" width="1.265625" style="75" customWidth="1"/>
    <col min="12823" max="12823" width="10.19921875" style="75" customWidth="1"/>
    <col min="12824" max="12824" width="7.265625" style="75" customWidth="1"/>
    <col min="12825" max="13058" width="4.265625" style="75"/>
    <col min="13059" max="13059" width="15.19921875" style="75" customWidth="1"/>
    <col min="13060" max="13060" width="10.73046875" style="75" customWidth="1"/>
    <col min="13061" max="13061" width="12.265625" style="75" customWidth="1"/>
    <col min="13062" max="13062" width="9.73046875" style="75" customWidth="1"/>
    <col min="13063" max="13063" width="10.19921875" style="75" customWidth="1"/>
    <col min="13064" max="13064" width="11.73046875" style="75" customWidth="1"/>
    <col min="13065" max="13065" width="7.265625" style="75" customWidth="1"/>
    <col min="13066" max="13066" width="9.265625" style="75" customWidth="1"/>
    <col min="13067" max="13067" width="10.265625" style="75" customWidth="1"/>
    <col min="13068" max="13068" width="9.19921875" style="75" customWidth="1"/>
    <col min="13069" max="13069" width="8.19921875" style="75" customWidth="1"/>
    <col min="13070" max="13070" width="8" style="75" customWidth="1"/>
    <col min="13071" max="13071" width="1.73046875" style="75" customWidth="1"/>
    <col min="13072" max="13072" width="10.19921875" style="75" customWidth="1"/>
    <col min="13073" max="13073" width="16.53125" style="75" customWidth="1"/>
    <col min="13074" max="13074" width="13.73046875" style="75" customWidth="1"/>
    <col min="13075" max="13075" width="8.265625" style="75" customWidth="1"/>
    <col min="13076" max="13076" width="8.73046875" style="75" customWidth="1"/>
    <col min="13077" max="13077" width="7.796875" style="75" customWidth="1"/>
    <col min="13078" max="13078" width="1.265625" style="75" customWidth="1"/>
    <col min="13079" max="13079" width="10.19921875" style="75" customWidth="1"/>
    <col min="13080" max="13080" width="7.265625" style="75" customWidth="1"/>
    <col min="13081" max="13314" width="4.265625" style="75"/>
    <col min="13315" max="13315" width="15.19921875" style="75" customWidth="1"/>
    <col min="13316" max="13316" width="10.73046875" style="75" customWidth="1"/>
    <col min="13317" max="13317" width="12.265625" style="75" customWidth="1"/>
    <col min="13318" max="13318" width="9.73046875" style="75" customWidth="1"/>
    <col min="13319" max="13319" width="10.19921875" style="75" customWidth="1"/>
    <col min="13320" max="13320" width="11.73046875" style="75" customWidth="1"/>
    <col min="13321" max="13321" width="7.265625" style="75" customWidth="1"/>
    <col min="13322" max="13322" width="9.265625" style="75" customWidth="1"/>
    <col min="13323" max="13323" width="10.265625" style="75" customWidth="1"/>
    <col min="13324" max="13324" width="9.19921875" style="75" customWidth="1"/>
    <col min="13325" max="13325" width="8.19921875" style="75" customWidth="1"/>
    <col min="13326" max="13326" width="8" style="75" customWidth="1"/>
    <col min="13327" max="13327" width="1.73046875" style="75" customWidth="1"/>
    <col min="13328" max="13328" width="10.19921875" style="75" customWidth="1"/>
    <col min="13329" max="13329" width="16.53125" style="75" customWidth="1"/>
    <col min="13330" max="13330" width="13.73046875" style="75" customWidth="1"/>
    <col min="13331" max="13331" width="8.265625" style="75" customWidth="1"/>
    <col min="13332" max="13332" width="8.73046875" style="75" customWidth="1"/>
    <col min="13333" max="13333" width="7.796875" style="75" customWidth="1"/>
    <col min="13334" max="13334" width="1.265625" style="75" customWidth="1"/>
    <col min="13335" max="13335" width="10.19921875" style="75" customWidth="1"/>
    <col min="13336" max="13336" width="7.265625" style="75" customWidth="1"/>
    <col min="13337" max="13570" width="4.265625" style="75"/>
    <col min="13571" max="13571" width="15.19921875" style="75" customWidth="1"/>
    <col min="13572" max="13572" width="10.73046875" style="75" customWidth="1"/>
    <col min="13573" max="13573" width="12.265625" style="75" customWidth="1"/>
    <col min="13574" max="13574" width="9.73046875" style="75" customWidth="1"/>
    <col min="13575" max="13575" width="10.19921875" style="75" customWidth="1"/>
    <col min="13576" max="13576" width="11.73046875" style="75" customWidth="1"/>
    <col min="13577" max="13577" width="7.265625" style="75" customWidth="1"/>
    <col min="13578" max="13578" width="9.265625" style="75" customWidth="1"/>
    <col min="13579" max="13579" width="10.265625" style="75" customWidth="1"/>
    <col min="13580" max="13580" width="9.19921875" style="75" customWidth="1"/>
    <col min="13581" max="13581" width="8.19921875" style="75" customWidth="1"/>
    <col min="13582" max="13582" width="8" style="75" customWidth="1"/>
    <col min="13583" max="13583" width="1.73046875" style="75" customWidth="1"/>
    <col min="13584" max="13584" width="10.19921875" style="75" customWidth="1"/>
    <col min="13585" max="13585" width="16.53125" style="75" customWidth="1"/>
    <col min="13586" max="13586" width="13.73046875" style="75" customWidth="1"/>
    <col min="13587" max="13587" width="8.265625" style="75" customWidth="1"/>
    <col min="13588" max="13588" width="8.73046875" style="75" customWidth="1"/>
    <col min="13589" max="13589" width="7.796875" style="75" customWidth="1"/>
    <col min="13590" max="13590" width="1.265625" style="75" customWidth="1"/>
    <col min="13591" max="13591" width="10.19921875" style="75" customWidth="1"/>
    <col min="13592" max="13592" width="7.265625" style="75" customWidth="1"/>
    <col min="13593" max="13826" width="4.265625" style="75"/>
    <col min="13827" max="13827" width="15.19921875" style="75" customWidth="1"/>
    <col min="13828" max="13828" width="10.73046875" style="75" customWidth="1"/>
    <col min="13829" max="13829" width="12.265625" style="75" customWidth="1"/>
    <col min="13830" max="13830" width="9.73046875" style="75" customWidth="1"/>
    <col min="13831" max="13831" width="10.19921875" style="75" customWidth="1"/>
    <col min="13832" max="13832" width="11.73046875" style="75" customWidth="1"/>
    <col min="13833" max="13833" width="7.265625" style="75" customWidth="1"/>
    <col min="13834" max="13834" width="9.265625" style="75" customWidth="1"/>
    <col min="13835" max="13835" width="10.265625" style="75" customWidth="1"/>
    <col min="13836" max="13836" width="9.19921875" style="75" customWidth="1"/>
    <col min="13837" max="13837" width="8.19921875" style="75" customWidth="1"/>
    <col min="13838" max="13838" width="8" style="75" customWidth="1"/>
    <col min="13839" max="13839" width="1.73046875" style="75" customWidth="1"/>
    <col min="13840" max="13840" width="10.19921875" style="75" customWidth="1"/>
    <col min="13841" max="13841" width="16.53125" style="75" customWidth="1"/>
    <col min="13842" max="13842" width="13.73046875" style="75" customWidth="1"/>
    <col min="13843" max="13843" width="8.265625" style="75" customWidth="1"/>
    <col min="13844" max="13844" width="8.73046875" style="75" customWidth="1"/>
    <col min="13845" max="13845" width="7.796875" style="75" customWidth="1"/>
    <col min="13846" max="13846" width="1.265625" style="75" customWidth="1"/>
    <col min="13847" max="13847" width="10.19921875" style="75" customWidth="1"/>
    <col min="13848" max="13848" width="7.265625" style="75" customWidth="1"/>
    <col min="13849" max="14082" width="4.265625" style="75"/>
    <col min="14083" max="14083" width="15.19921875" style="75" customWidth="1"/>
    <col min="14084" max="14084" width="10.73046875" style="75" customWidth="1"/>
    <col min="14085" max="14085" width="12.265625" style="75" customWidth="1"/>
    <col min="14086" max="14086" width="9.73046875" style="75" customWidth="1"/>
    <col min="14087" max="14087" width="10.19921875" style="75" customWidth="1"/>
    <col min="14088" max="14088" width="11.73046875" style="75" customWidth="1"/>
    <col min="14089" max="14089" width="7.265625" style="75" customWidth="1"/>
    <col min="14090" max="14090" width="9.265625" style="75" customWidth="1"/>
    <col min="14091" max="14091" width="10.265625" style="75" customWidth="1"/>
    <col min="14092" max="14092" width="9.19921875" style="75" customWidth="1"/>
    <col min="14093" max="14093" width="8.19921875" style="75" customWidth="1"/>
    <col min="14094" max="14094" width="8" style="75" customWidth="1"/>
    <col min="14095" max="14095" width="1.73046875" style="75" customWidth="1"/>
    <col min="14096" max="14096" width="10.19921875" style="75" customWidth="1"/>
    <col min="14097" max="14097" width="16.53125" style="75" customWidth="1"/>
    <col min="14098" max="14098" width="13.73046875" style="75" customWidth="1"/>
    <col min="14099" max="14099" width="8.265625" style="75" customWidth="1"/>
    <col min="14100" max="14100" width="8.73046875" style="75" customWidth="1"/>
    <col min="14101" max="14101" width="7.796875" style="75" customWidth="1"/>
    <col min="14102" max="14102" width="1.265625" style="75" customWidth="1"/>
    <col min="14103" max="14103" width="10.19921875" style="75" customWidth="1"/>
    <col min="14104" max="14104" width="7.265625" style="75" customWidth="1"/>
    <col min="14105" max="14338" width="4.265625" style="75"/>
    <col min="14339" max="14339" width="15.19921875" style="75" customWidth="1"/>
    <col min="14340" max="14340" width="10.73046875" style="75" customWidth="1"/>
    <col min="14341" max="14341" width="12.265625" style="75" customWidth="1"/>
    <col min="14342" max="14342" width="9.73046875" style="75" customWidth="1"/>
    <col min="14343" max="14343" width="10.19921875" style="75" customWidth="1"/>
    <col min="14344" max="14344" width="11.73046875" style="75" customWidth="1"/>
    <col min="14345" max="14345" width="7.265625" style="75" customWidth="1"/>
    <col min="14346" max="14346" width="9.265625" style="75" customWidth="1"/>
    <col min="14347" max="14347" width="10.265625" style="75" customWidth="1"/>
    <col min="14348" max="14348" width="9.19921875" style="75" customWidth="1"/>
    <col min="14349" max="14349" width="8.19921875" style="75" customWidth="1"/>
    <col min="14350" max="14350" width="8" style="75" customWidth="1"/>
    <col min="14351" max="14351" width="1.73046875" style="75" customWidth="1"/>
    <col min="14352" max="14352" width="10.19921875" style="75" customWidth="1"/>
    <col min="14353" max="14353" width="16.53125" style="75" customWidth="1"/>
    <col min="14354" max="14354" width="13.73046875" style="75" customWidth="1"/>
    <col min="14355" max="14355" width="8.265625" style="75" customWidth="1"/>
    <col min="14356" max="14356" width="8.73046875" style="75" customWidth="1"/>
    <col min="14357" max="14357" width="7.796875" style="75" customWidth="1"/>
    <col min="14358" max="14358" width="1.265625" style="75" customWidth="1"/>
    <col min="14359" max="14359" width="10.19921875" style="75" customWidth="1"/>
    <col min="14360" max="14360" width="7.265625" style="75" customWidth="1"/>
    <col min="14361" max="14594" width="4.265625" style="75"/>
    <col min="14595" max="14595" width="15.19921875" style="75" customWidth="1"/>
    <col min="14596" max="14596" width="10.73046875" style="75" customWidth="1"/>
    <col min="14597" max="14597" width="12.265625" style="75" customWidth="1"/>
    <col min="14598" max="14598" width="9.73046875" style="75" customWidth="1"/>
    <col min="14599" max="14599" width="10.19921875" style="75" customWidth="1"/>
    <col min="14600" max="14600" width="11.73046875" style="75" customWidth="1"/>
    <col min="14601" max="14601" width="7.265625" style="75" customWidth="1"/>
    <col min="14602" max="14602" width="9.265625" style="75" customWidth="1"/>
    <col min="14603" max="14603" width="10.265625" style="75" customWidth="1"/>
    <col min="14604" max="14604" width="9.19921875" style="75" customWidth="1"/>
    <col min="14605" max="14605" width="8.19921875" style="75" customWidth="1"/>
    <col min="14606" max="14606" width="8" style="75" customWidth="1"/>
    <col min="14607" max="14607" width="1.73046875" style="75" customWidth="1"/>
    <col min="14608" max="14608" width="10.19921875" style="75" customWidth="1"/>
    <col min="14609" max="14609" width="16.53125" style="75" customWidth="1"/>
    <col min="14610" max="14610" width="13.73046875" style="75" customWidth="1"/>
    <col min="14611" max="14611" width="8.265625" style="75" customWidth="1"/>
    <col min="14612" max="14612" width="8.73046875" style="75" customWidth="1"/>
    <col min="14613" max="14613" width="7.796875" style="75" customWidth="1"/>
    <col min="14614" max="14614" width="1.265625" style="75" customWidth="1"/>
    <col min="14615" max="14615" width="10.19921875" style="75" customWidth="1"/>
    <col min="14616" max="14616" width="7.265625" style="75" customWidth="1"/>
    <col min="14617" max="14850" width="4.265625" style="75"/>
    <col min="14851" max="14851" width="15.19921875" style="75" customWidth="1"/>
    <col min="14852" max="14852" width="10.73046875" style="75" customWidth="1"/>
    <col min="14853" max="14853" width="12.265625" style="75" customWidth="1"/>
    <col min="14854" max="14854" width="9.73046875" style="75" customWidth="1"/>
    <col min="14855" max="14855" width="10.19921875" style="75" customWidth="1"/>
    <col min="14856" max="14856" width="11.73046875" style="75" customWidth="1"/>
    <col min="14857" max="14857" width="7.265625" style="75" customWidth="1"/>
    <col min="14858" max="14858" width="9.265625" style="75" customWidth="1"/>
    <col min="14859" max="14859" width="10.265625" style="75" customWidth="1"/>
    <col min="14860" max="14860" width="9.19921875" style="75" customWidth="1"/>
    <col min="14861" max="14861" width="8.19921875" style="75" customWidth="1"/>
    <col min="14862" max="14862" width="8" style="75" customWidth="1"/>
    <col min="14863" max="14863" width="1.73046875" style="75" customWidth="1"/>
    <col min="14864" max="14864" width="10.19921875" style="75" customWidth="1"/>
    <col min="14865" max="14865" width="16.53125" style="75" customWidth="1"/>
    <col min="14866" max="14866" width="13.73046875" style="75" customWidth="1"/>
    <col min="14867" max="14867" width="8.265625" style="75" customWidth="1"/>
    <col min="14868" max="14868" width="8.73046875" style="75" customWidth="1"/>
    <col min="14869" max="14869" width="7.796875" style="75" customWidth="1"/>
    <col min="14870" max="14870" width="1.265625" style="75" customWidth="1"/>
    <col min="14871" max="14871" width="10.19921875" style="75" customWidth="1"/>
    <col min="14872" max="14872" width="7.265625" style="75" customWidth="1"/>
    <col min="14873" max="15106" width="4.265625" style="75"/>
    <col min="15107" max="15107" width="15.19921875" style="75" customWidth="1"/>
    <col min="15108" max="15108" width="10.73046875" style="75" customWidth="1"/>
    <col min="15109" max="15109" width="12.265625" style="75" customWidth="1"/>
    <col min="15110" max="15110" width="9.73046875" style="75" customWidth="1"/>
    <col min="15111" max="15111" width="10.19921875" style="75" customWidth="1"/>
    <col min="15112" max="15112" width="11.73046875" style="75" customWidth="1"/>
    <col min="15113" max="15113" width="7.265625" style="75" customWidth="1"/>
    <col min="15114" max="15114" width="9.265625" style="75" customWidth="1"/>
    <col min="15115" max="15115" width="10.265625" style="75" customWidth="1"/>
    <col min="15116" max="15116" width="9.19921875" style="75" customWidth="1"/>
    <col min="15117" max="15117" width="8.19921875" style="75" customWidth="1"/>
    <col min="15118" max="15118" width="8" style="75" customWidth="1"/>
    <col min="15119" max="15119" width="1.73046875" style="75" customWidth="1"/>
    <col min="15120" max="15120" width="10.19921875" style="75" customWidth="1"/>
    <col min="15121" max="15121" width="16.53125" style="75" customWidth="1"/>
    <col min="15122" max="15122" width="13.73046875" style="75" customWidth="1"/>
    <col min="15123" max="15123" width="8.265625" style="75" customWidth="1"/>
    <col min="15124" max="15124" width="8.73046875" style="75" customWidth="1"/>
    <col min="15125" max="15125" width="7.796875" style="75" customWidth="1"/>
    <col min="15126" max="15126" width="1.265625" style="75" customWidth="1"/>
    <col min="15127" max="15127" width="10.19921875" style="75" customWidth="1"/>
    <col min="15128" max="15128" width="7.265625" style="75" customWidth="1"/>
    <col min="15129" max="15362" width="4.265625" style="75"/>
    <col min="15363" max="15363" width="15.19921875" style="75" customWidth="1"/>
    <col min="15364" max="15364" width="10.73046875" style="75" customWidth="1"/>
    <col min="15365" max="15365" width="12.265625" style="75" customWidth="1"/>
    <col min="15366" max="15366" width="9.73046875" style="75" customWidth="1"/>
    <col min="15367" max="15367" width="10.19921875" style="75" customWidth="1"/>
    <col min="15368" max="15368" width="11.73046875" style="75" customWidth="1"/>
    <col min="15369" max="15369" width="7.265625" style="75" customWidth="1"/>
    <col min="15370" max="15370" width="9.265625" style="75" customWidth="1"/>
    <col min="15371" max="15371" width="10.265625" style="75" customWidth="1"/>
    <col min="15372" max="15372" width="9.19921875" style="75" customWidth="1"/>
    <col min="15373" max="15373" width="8.19921875" style="75" customWidth="1"/>
    <col min="15374" max="15374" width="8" style="75" customWidth="1"/>
    <col min="15375" max="15375" width="1.73046875" style="75" customWidth="1"/>
    <col min="15376" max="15376" width="10.19921875" style="75" customWidth="1"/>
    <col min="15377" max="15377" width="16.53125" style="75" customWidth="1"/>
    <col min="15378" max="15378" width="13.73046875" style="75" customWidth="1"/>
    <col min="15379" max="15379" width="8.265625" style="75" customWidth="1"/>
    <col min="15380" max="15380" width="8.73046875" style="75" customWidth="1"/>
    <col min="15381" max="15381" width="7.796875" style="75" customWidth="1"/>
    <col min="15382" max="15382" width="1.265625" style="75" customWidth="1"/>
    <col min="15383" max="15383" width="10.19921875" style="75" customWidth="1"/>
    <col min="15384" max="15384" width="7.265625" style="75" customWidth="1"/>
    <col min="15385" max="15618" width="4.265625" style="75"/>
    <col min="15619" max="15619" width="15.19921875" style="75" customWidth="1"/>
    <col min="15620" max="15620" width="10.73046875" style="75" customWidth="1"/>
    <col min="15621" max="15621" width="12.265625" style="75" customWidth="1"/>
    <col min="15622" max="15622" width="9.73046875" style="75" customWidth="1"/>
    <col min="15623" max="15623" width="10.19921875" style="75" customWidth="1"/>
    <col min="15624" max="15624" width="11.73046875" style="75" customWidth="1"/>
    <col min="15625" max="15625" width="7.265625" style="75" customWidth="1"/>
    <col min="15626" max="15626" width="9.265625" style="75" customWidth="1"/>
    <col min="15627" max="15627" width="10.265625" style="75" customWidth="1"/>
    <col min="15628" max="15628" width="9.19921875" style="75" customWidth="1"/>
    <col min="15629" max="15629" width="8.19921875" style="75" customWidth="1"/>
    <col min="15630" max="15630" width="8" style="75" customWidth="1"/>
    <col min="15631" max="15631" width="1.73046875" style="75" customWidth="1"/>
    <col min="15632" max="15632" width="10.19921875" style="75" customWidth="1"/>
    <col min="15633" max="15633" width="16.53125" style="75" customWidth="1"/>
    <col min="15634" max="15634" width="13.73046875" style="75" customWidth="1"/>
    <col min="15635" max="15635" width="8.265625" style="75" customWidth="1"/>
    <col min="15636" max="15636" width="8.73046875" style="75" customWidth="1"/>
    <col min="15637" max="15637" width="7.796875" style="75" customWidth="1"/>
    <col min="15638" max="15638" width="1.265625" style="75" customWidth="1"/>
    <col min="15639" max="15639" width="10.19921875" style="75" customWidth="1"/>
    <col min="15640" max="15640" width="7.265625" style="75" customWidth="1"/>
    <col min="15641" max="15874" width="4.265625" style="75"/>
    <col min="15875" max="15875" width="15.19921875" style="75" customWidth="1"/>
    <col min="15876" max="15876" width="10.73046875" style="75" customWidth="1"/>
    <col min="15877" max="15877" width="12.265625" style="75" customWidth="1"/>
    <col min="15878" max="15878" width="9.73046875" style="75" customWidth="1"/>
    <col min="15879" max="15879" width="10.19921875" style="75" customWidth="1"/>
    <col min="15880" max="15880" width="11.73046875" style="75" customWidth="1"/>
    <col min="15881" max="15881" width="7.265625" style="75" customWidth="1"/>
    <col min="15882" max="15882" width="9.265625" style="75" customWidth="1"/>
    <col min="15883" max="15883" width="10.265625" style="75" customWidth="1"/>
    <col min="15884" max="15884" width="9.19921875" style="75" customWidth="1"/>
    <col min="15885" max="15885" width="8.19921875" style="75" customWidth="1"/>
    <col min="15886" max="15886" width="8" style="75" customWidth="1"/>
    <col min="15887" max="15887" width="1.73046875" style="75" customWidth="1"/>
    <col min="15888" max="15888" width="10.19921875" style="75" customWidth="1"/>
    <col min="15889" max="15889" width="16.53125" style="75" customWidth="1"/>
    <col min="15890" max="15890" width="13.73046875" style="75" customWidth="1"/>
    <col min="15891" max="15891" width="8.265625" style="75" customWidth="1"/>
    <col min="15892" max="15892" width="8.73046875" style="75" customWidth="1"/>
    <col min="15893" max="15893" width="7.796875" style="75" customWidth="1"/>
    <col min="15894" max="15894" width="1.265625" style="75" customWidth="1"/>
    <col min="15895" max="15895" width="10.19921875" style="75" customWidth="1"/>
    <col min="15896" max="15896" width="7.265625" style="75" customWidth="1"/>
    <col min="15897" max="16130" width="4.265625" style="75"/>
    <col min="16131" max="16131" width="15.19921875" style="75" customWidth="1"/>
    <col min="16132" max="16132" width="10.73046875" style="75" customWidth="1"/>
    <col min="16133" max="16133" width="12.265625" style="75" customWidth="1"/>
    <col min="16134" max="16134" width="9.73046875" style="75" customWidth="1"/>
    <col min="16135" max="16135" width="10.19921875" style="75" customWidth="1"/>
    <col min="16136" max="16136" width="11.73046875" style="75" customWidth="1"/>
    <col min="16137" max="16137" width="7.265625" style="75" customWidth="1"/>
    <col min="16138" max="16138" width="9.265625" style="75" customWidth="1"/>
    <col min="16139" max="16139" width="10.265625" style="75" customWidth="1"/>
    <col min="16140" max="16140" width="9.19921875" style="75" customWidth="1"/>
    <col min="16141" max="16141" width="8.19921875" style="75" customWidth="1"/>
    <col min="16142" max="16142" width="8" style="75" customWidth="1"/>
    <col min="16143" max="16143" width="1.73046875" style="75" customWidth="1"/>
    <col min="16144" max="16144" width="10.19921875" style="75" customWidth="1"/>
    <col min="16145" max="16145" width="16.53125" style="75" customWidth="1"/>
    <col min="16146" max="16146" width="13.73046875" style="75" customWidth="1"/>
    <col min="16147" max="16147" width="8.265625" style="75" customWidth="1"/>
    <col min="16148" max="16148" width="8.73046875" style="75" customWidth="1"/>
    <col min="16149" max="16149" width="7.796875" style="75" customWidth="1"/>
    <col min="16150" max="16150" width="1.265625" style="75" customWidth="1"/>
    <col min="16151" max="16151" width="10.19921875" style="75" customWidth="1"/>
    <col min="16152" max="16152" width="7.265625" style="75" customWidth="1"/>
    <col min="16153" max="16384" width="4.265625" style="75"/>
  </cols>
  <sheetData>
    <row r="1" spans="1:41" ht="20.25" customHeight="1" x14ac:dyDescent="0.5">
      <c r="A1" s="971" t="s">
        <v>2494</v>
      </c>
      <c r="D1" s="138"/>
      <c r="E1"/>
      <c r="F1" s="139"/>
      <c r="AC1" s="228"/>
      <c r="AD1" s="228"/>
      <c r="AE1" s="228"/>
      <c r="AF1" s="228"/>
      <c r="AG1" s="229" t="s">
        <v>626</v>
      </c>
      <c r="AH1" s="230"/>
      <c r="AI1" s="228"/>
      <c r="AJ1" s="228"/>
      <c r="AK1" s="228"/>
      <c r="AL1" s="228"/>
      <c r="AM1" s="231"/>
      <c r="AN1" s="231"/>
      <c r="AO1" s="228"/>
    </row>
    <row r="2" spans="1:41" ht="14.25" x14ac:dyDescent="0.45">
      <c r="A2" s="142"/>
      <c r="AC2" s="138"/>
      <c r="AD2" s="138"/>
      <c r="AE2" s="138"/>
      <c r="AF2" s="138"/>
      <c r="AG2" s="176"/>
      <c r="AH2" s="176"/>
      <c r="AI2" s="176"/>
      <c r="AJ2" s="176"/>
      <c r="AK2" s="176"/>
      <c r="AL2" s="176"/>
      <c r="AM2" s="176"/>
      <c r="AN2" s="176"/>
      <c r="AO2" s="158"/>
    </row>
    <row r="3" spans="1:41" ht="17.649999999999999" x14ac:dyDescent="0.5">
      <c r="B3" s="1136" t="s">
        <v>992</v>
      </c>
      <c r="C3" s="1136" t="s">
        <v>2461</v>
      </c>
      <c r="D3" s="1194"/>
      <c r="E3" s="1194"/>
      <c r="F3" s="1194"/>
      <c r="G3" s="1194"/>
      <c r="H3" s="1194"/>
      <c r="I3" s="1194"/>
      <c r="J3" s="1194"/>
      <c r="K3" s="1194"/>
      <c r="L3" s="1195"/>
      <c r="N3" s="629" t="s">
        <v>627</v>
      </c>
      <c r="O3" s="256"/>
      <c r="P3" s="256"/>
      <c r="Q3" s="256"/>
      <c r="R3" s="256"/>
      <c r="S3" s="256"/>
      <c r="T3" s="256"/>
      <c r="U3" s="256"/>
      <c r="V3" s="256"/>
      <c r="AC3" s="1459" t="s">
        <v>737</v>
      </c>
      <c r="AD3" s="1459"/>
      <c r="AE3" s="1459"/>
      <c r="AF3" s="1459"/>
      <c r="AG3" s="1459"/>
      <c r="AH3" s="1459"/>
      <c r="AI3" s="1459"/>
      <c r="AJ3" s="1459"/>
      <c r="AK3" s="1459"/>
      <c r="AL3" s="1459"/>
      <c r="AM3" s="1459"/>
      <c r="AN3" s="1459"/>
      <c r="AO3" s="1459"/>
    </row>
    <row r="4" spans="1:41" ht="50.25" customHeight="1" x14ac:dyDescent="0.4">
      <c r="A4" s="145"/>
      <c r="B4" s="145"/>
      <c r="C4" s="145"/>
      <c r="D4" s="145"/>
      <c r="E4" s="145"/>
      <c r="F4" s="145"/>
      <c r="G4" s="145"/>
      <c r="H4" s="145"/>
      <c r="I4" s="145"/>
      <c r="J4" s="145"/>
      <c r="K4" s="145"/>
      <c r="L4" s="146" t="s">
        <v>628</v>
      </c>
      <c r="N4" s="1460"/>
      <c r="O4" s="1460"/>
      <c r="P4" s="1460"/>
      <c r="Q4" s="1460"/>
      <c r="R4" s="1460"/>
      <c r="S4" s="147" t="s">
        <v>628</v>
      </c>
      <c r="T4" s="81"/>
      <c r="U4" s="145" t="s">
        <v>231</v>
      </c>
      <c r="AC4" s="139"/>
      <c r="AD4" s="139"/>
      <c r="AE4" s="228"/>
      <c r="AF4" s="158"/>
      <c r="AG4" s="158"/>
      <c r="AH4" s="158"/>
      <c r="AI4" s="228"/>
      <c r="AJ4" s="228"/>
      <c r="AK4" s="228"/>
      <c r="AL4" s="1210"/>
      <c r="AM4" s="158"/>
      <c r="AN4" s="158"/>
      <c r="AO4" s="158"/>
    </row>
    <row r="5" spans="1:41" ht="13.5" thickBot="1" x14ac:dyDescent="0.45">
      <c r="A5" s="148"/>
      <c r="B5" s="44"/>
      <c r="C5" s="44"/>
      <c r="D5" s="44"/>
      <c r="E5" s="44"/>
      <c r="F5" s="149"/>
      <c r="G5" s="1449" t="s">
        <v>630</v>
      </c>
      <c r="H5" s="1449"/>
      <c r="I5" s="1449"/>
      <c r="J5" s="1449"/>
      <c r="K5" s="1449"/>
      <c r="L5" s="1450"/>
      <c r="N5" s="150" t="s">
        <v>631</v>
      </c>
      <c r="O5" s="151" t="s">
        <v>632</v>
      </c>
      <c r="P5" s="151" t="s">
        <v>633</v>
      </c>
      <c r="Q5" s="625" t="s">
        <v>634</v>
      </c>
      <c r="R5" s="151" t="s">
        <v>635</v>
      </c>
      <c r="S5" s="152" t="s">
        <v>211</v>
      </c>
      <c r="T5" s="81"/>
      <c r="U5" s="153" t="s">
        <v>636</v>
      </c>
      <c r="V5" s="154"/>
      <c r="AC5" s="232"/>
      <c r="AD5" s="233"/>
      <c r="AE5" s="233"/>
      <c r="AF5" s="233"/>
      <c r="AG5" s="233"/>
      <c r="AH5" s="233"/>
      <c r="AI5" s="158"/>
      <c r="AJ5" s="158"/>
      <c r="AK5" s="158"/>
      <c r="AL5" s="234" t="s">
        <v>738</v>
      </c>
      <c r="AM5" s="234"/>
      <c r="AN5" s="233"/>
      <c r="AO5" s="233"/>
    </row>
    <row r="6" spans="1:41" s="158" customFormat="1" ht="13.5" thickTop="1" x14ac:dyDescent="0.4">
      <c r="A6" s="155"/>
      <c r="B6" s="156" t="s">
        <v>13</v>
      </c>
      <c r="C6" s="156" t="s">
        <v>637</v>
      </c>
      <c r="D6" s="156" t="s">
        <v>638</v>
      </c>
      <c r="E6" s="156" t="s">
        <v>13</v>
      </c>
      <c r="F6" s="157" t="s">
        <v>639</v>
      </c>
      <c r="G6" s="157" t="s">
        <v>211</v>
      </c>
      <c r="H6" s="157" t="s">
        <v>180</v>
      </c>
      <c r="I6" s="1451" t="s">
        <v>640</v>
      </c>
      <c r="J6" s="1452"/>
      <c r="K6" s="1452"/>
      <c r="L6" s="1453"/>
      <c r="N6" s="159" t="s">
        <v>641</v>
      </c>
      <c r="O6" s="157" t="s">
        <v>642</v>
      </c>
      <c r="P6" s="157" t="s">
        <v>643</v>
      </c>
      <c r="Q6" s="14" t="s">
        <v>644</v>
      </c>
      <c r="R6" s="149"/>
      <c r="S6" s="160"/>
      <c r="U6" s="155" t="s">
        <v>645</v>
      </c>
      <c r="V6" s="161"/>
      <c r="AC6" s="161"/>
      <c r="AD6" s="157" t="s">
        <v>211</v>
      </c>
      <c r="AE6" s="157" t="s">
        <v>739</v>
      </c>
      <c r="AF6" s="157" t="s">
        <v>740</v>
      </c>
      <c r="AG6" s="157" t="s">
        <v>741</v>
      </c>
      <c r="AH6" s="1454" t="s">
        <v>13</v>
      </c>
      <c r="AI6" s="1454"/>
      <c r="AJ6" s="1454"/>
      <c r="AK6" s="1454"/>
      <c r="AL6" s="1454"/>
      <c r="AM6" s="157" t="s">
        <v>195</v>
      </c>
      <c r="AN6" s="157" t="s">
        <v>22</v>
      </c>
      <c r="AO6" s="176"/>
    </row>
    <row r="7" spans="1:41" s="158" customFormat="1" ht="13.15" x14ac:dyDescent="0.4">
      <c r="A7" s="155"/>
      <c r="B7" s="156" t="s">
        <v>646</v>
      </c>
      <c r="C7" s="156" t="s">
        <v>647</v>
      </c>
      <c r="D7" s="156" t="s">
        <v>214</v>
      </c>
      <c r="E7" s="156" t="s">
        <v>648</v>
      </c>
      <c r="F7" s="157" t="s">
        <v>649</v>
      </c>
      <c r="G7" s="157"/>
      <c r="H7" s="157" t="s">
        <v>650</v>
      </c>
      <c r="I7" s="162" t="s">
        <v>172</v>
      </c>
      <c r="J7" s="157" t="s">
        <v>17</v>
      </c>
      <c r="K7" s="157" t="s">
        <v>22</v>
      </c>
      <c r="L7" s="163" t="s">
        <v>211</v>
      </c>
      <c r="N7" s="159" t="s">
        <v>651</v>
      </c>
      <c r="O7" s="157" t="s">
        <v>652</v>
      </c>
      <c r="P7" s="157" t="s">
        <v>651</v>
      </c>
      <c r="Q7" s="149"/>
      <c r="R7" s="149"/>
      <c r="S7" s="160"/>
      <c r="U7" s="155" t="s">
        <v>653</v>
      </c>
      <c r="V7" s="161"/>
      <c r="AC7" s="161"/>
      <c r="AD7" s="157" t="s">
        <v>742</v>
      </c>
      <c r="AE7" s="157"/>
      <c r="AF7" s="157"/>
      <c r="AG7" s="157" t="s">
        <v>743</v>
      </c>
      <c r="AH7" s="157" t="s">
        <v>744</v>
      </c>
      <c r="AI7" s="157" t="s">
        <v>745</v>
      </c>
      <c r="AJ7" s="157" t="s">
        <v>746</v>
      </c>
      <c r="AK7" s="157" t="s">
        <v>1038</v>
      </c>
      <c r="AL7" s="157" t="s">
        <v>1044</v>
      </c>
      <c r="AM7" s="157" t="s">
        <v>747</v>
      </c>
      <c r="AN7" s="157" t="s">
        <v>748</v>
      </c>
      <c r="AO7" s="176"/>
    </row>
    <row r="8" spans="1:41" s="158" customFormat="1" ht="13.15" x14ac:dyDescent="0.4">
      <c r="A8" s="164"/>
      <c r="B8" s="165" t="s">
        <v>654</v>
      </c>
      <c r="C8" s="165" t="s">
        <v>655</v>
      </c>
      <c r="D8" s="166" t="s">
        <v>27</v>
      </c>
      <c r="E8" s="165"/>
      <c r="F8" s="165" t="s">
        <v>656</v>
      </c>
      <c r="G8" s="165"/>
      <c r="H8" s="167"/>
      <c r="I8" s="168"/>
      <c r="J8" s="165"/>
      <c r="K8" s="166" t="s">
        <v>29</v>
      </c>
      <c r="L8" s="167"/>
      <c r="N8" s="169"/>
      <c r="O8" s="165" t="s">
        <v>651</v>
      </c>
      <c r="P8" s="165"/>
      <c r="Q8" s="170"/>
      <c r="R8" s="170"/>
      <c r="S8" s="171"/>
      <c r="U8" s="172" t="s">
        <v>31</v>
      </c>
      <c r="V8" s="173"/>
      <c r="AC8" s="173"/>
      <c r="AD8" s="165" t="s">
        <v>749</v>
      </c>
      <c r="AE8" s="165"/>
      <c r="AF8" s="165"/>
      <c r="AG8" s="165"/>
      <c r="AH8" s="165"/>
      <c r="AI8" s="165" t="s">
        <v>750</v>
      </c>
      <c r="AJ8" s="165"/>
      <c r="AK8" s="165"/>
      <c r="AL8" s="165"/>
      <c r="AM8" s="165" t="s">
        <v>752</v>
      </c>
      <c r="AN8" s="165"/>
      <c r="AO8" s="228"/>
    </row>
    <row r="9" spans="1:41" s="158" customFormat="1" ht="13.15" x14ac:dyDescent="0.4">
      <c r="A9" s="155"/>
      <c r="B9" s="157"/>
      <c r="C9" s="157"/>
      <c r="D9" s="612"/>
      <c r="E9" s="157"/>
      <c r="F9" s="157"/>
      <c r="G9" s="157"/>
      <c r="H9" s="157"/>
      <c r="I9" s="157"/>
      <c r="J9" s="157"/>
      <c r="K9" s="612"/>
      <c r="L9" s="163"/>
      <c r="N9" s="159"/>
      <c r="O9" s="157"/>
      <c r="P9" s="157"/>
      <c r="Q9" s="149"/>
      <c r="R9" s="149"/>
      <c r="S9" s="160"/>
      <c r="U9" s="613"/>
      <c r="V9" s="161"/>
      <c r="AC9" s="161"/>
      <c r="AD9" s="157"/>
      <c r="AE9" s="157"/>
      <c r="AF9" s="157"/>
      <c r="AG9" s="157"/>
      <c r="AH9" s="157"/>
      <c r="AI9" s="157"/>
      <c r="AJ9" s="157"/>
      <c r="AK9" s="157"/>
      <c r="AL9" s="157"/>
      <c r="AM9" s="157"/>
      <c r="AN9" s="157"/>
      <c r="AO9" s="176"/>
    </row>
    <row r="10" spans="1:41" s="158" customFormat="1" ht="13.15" x14ac:dyDescent="0.4">
      <c r="A10" s="614">
        <v>1890</v>
      </c>
      <c r="B10" s="176"/>
      <c r="C10" s="176"/>
      <c r="D10" s="197"/>
      <c r="E10" s="176"/>
      <c r="F10" s="176"/>
      <c r="G10" s="176"/>
      <c r="H10" s="176"/>
      <c r="I10" s="176"/>
      <c r="J10" s="176"/>
      <c r="K10" s="197"/>
      <c r="L10" s="620"/>
      <c r="N10" s="159"/>
      <c r="O10" s="157"/>
      <c r="P10" s="157"/>
      <c r="Q10" s="149"/>
      <c r="R10" s="149"/>
      <c r="S10" s="160"/>
      <c r="U10" s="613"/>
      <c r="V10" s="816">
        <v>1890</v>
      </c>
      <c r="AC10" s="614">
        <v>1890</v>
      </c>
      <c r="AD10" s="157"/>
      <c r="AE10" s="157"/>
      <c r="AF10" s="157"/>
      <c r="AG10" s="157"/>
      <c r="AH10" s="157"/>
      <c r="AI10" s="157"/>
      <c r="AJ10" s="157"/>
      <c r="AK10" s="157"/>
      <c r="AL10" s="157"/>
      <c r="AM10" s="157"/>
      <c r="AN10" s="157"/>
      <c r="AO10" s="176"/>
    </row>
    <row r="11" spans="1:41" s="158" customFormat="1" ht="13.15" x14ac:dyDescent="0.4">
      <c r="A11" s="614">
        <v>1891</v>
      </c>
      <c r="B11" s="176"/>
      <c r="C11" s="176"/>
      <c r="D11" s="197"/>
      <c r="E11" s="176"/>
      <c r="F11" s="176"/>
      <c r="G11" s="176"/>
      <c r="H11" s="176"/>
      <c r="I11" s="176"/>
      <c r="J11" s="176"/>
      <c r="K11" s="197"/>
      <c r="L11" s="620"/>
      <c r="N11" s="159"/>
      <c r="O11" s="157"/>
      <c r="P11" s="157"/>
      <c r="Q11" s="149"/>
      <c r="R11" s="149"/>
      <c r="S11" s="160"/>
      <c r="U11" s="613"/>
      <c r="V11" s="816">
        <v>1891</v>
      </c>
      <c r="AC11" s="614">
        <v>1891</v>
      </c>
      <c r="AD11" s="157"/>
      <c r="AE11" s="157"/>
      <c r="AF11" s="157"/>
      <c r="AG11" s="157"/>
      <c r="AH11" s="157"/>
      <c r="AI11" s="157"/>
      <c r="AJ11" s="157"/>
      <c r="AK11" s="157"/>
      <c r="AL11" s="157"/>
      <c r="AM11" s="157"/>
      <c r="AN11" s="157"/>
      <c r="AO11" s="176"/>
    </row>
    <row r="12" spans="1:41" s="158" customFormat="1" ht="13.15" x14ac:dyDescent="0.4">
      <c r="A12" s="614">
        <v>1892</v>
      </c>
      <c r="B12" s="176"/>
      <c r="C12" s="176"/>
      <c r="D12" s="197"/>
      <c r="E12" s="176"/>
      <c r="F12" s="176"/>
      <c r="G12" s="176"/>
      <c r="H12" s="176"/>
      <c r="I12" s="176"/>
      <c r="J12" s="176"/>
      <c r="K12" s="197"/>
      <c r="L12" s="620"/>
      <c r="N12" s="159"/>
      <c r="O12" s="157"/>
      <c r="P12" s="175"/>
      <c r="Q12" s="149"/>
      <c r="R12" s="149"/>
      <c r="S12" s="160"/>
      <c r="U12" s="613"/>
      <c r="V12" s="816">
        <v>1892</v>
      </c>
      <c r="AC12" s="614">
        <v>1892</v>
      </c>
      <c r="AD12" s="157"/>
      <c r="AE12" s="157"/>
      <c r="AF12" s="157"/>
      <c r="AG12" s="157"/>
      <c r="AH12" s="157"/>
      <c r="AI12" s="157"/>
      <c r="AJ12" s="157"/>
      <c r="AK12" s="157"/>
      <c r="AL12" s="157"/>
      <c r="AM12" s="157"/>
      <c r="AN12" s="157"/>
      <c r="AO12" s="176"/>
    </row>
    <row r="13" spans="1:41" s="158" customFormat="1" ht="13.15" x14ac:dyDescent="0.4">
      <c r="A13" s="614">
        <v>1893</v>
      </c>
      <c r="B13" s="176"/>
      <c r="C13" s="176"/>
      <c r="D13" s="197"/>
      <c r="E13" s="176"/>
      <c r="F13" s="176"/>
      <c r="G13" s="176"/>
      <c r="H13" s="176"/>
      <c r="I13" s="176"/>
      <c r="J13" s="176"/>
      <c r="K13" s="197"/>
      <c r="L13" s="620"/>
      <c r="N13" s="159"/>
      <c r="O13" s="157"/>
      <c r="P13" s="175"/>
      <c r="Q13" s="149"/>
      <c r="R13" s="149"/>
      <c r="S13" s="160"/>
      <c r="U13" s="613"/>
      <c r="V13" s="816">
        <v>1893</v>
      </c>
      <c r="AC13" s="614">
        <v>1893</v>
      </c>
      <c r="AD13" s="157"/>
      <c r="AE13" s="157"/>
      <c r="AF13" s="157"/>
      <c r="AG13" s="157"/>
      <c r="AH13" s="157"/>
      <c r="AI13" s="157"/>
      <c r="AJ13" s="157"/>
      <c r="AK13" s="157"/>
      <c r="AL13" s="157"/>
      <c r="AM13" s="157"/>
      <c r="AN13" s="157"/>
      <c r="AO13" s="176"/>
    </row>
    <row r="14" spans="1:41" s="158" customFormat="1" ht="13.15" x14ac:dyDescent="0.4">
      <c r="A14" s="614">
        <v>1894</v>
      </c>
      <c r="B14" s="176"/>
      <c r="C14" s="176"/>
      <c r="D14" s="197"/>
      <c r="E14" s="176"/>
      <c r="F14" s="176"/>
      <c r="G14" s="176"/>
      <c r="H14" s="176"/>
      <c r="I14" s="176"/>
      <c r="J14" s="176"/>
      <c r="K14" s="197"/>
      <c r="L14" s="620"/>
      <c r="N14" s="159"/>
      <c r="O14" s="157"/>
      <c r="P14" s="175"/>
      <c r="Q14" s="149"/>
      <c r="R14" s="149"/>
      <c r="S14" s="160"/>
      <c r="U14" s="613"/>
      <c r="V14" s="816">
        <v>1894</v>
      </c>
      <c r="AC14" s="614">
        <v>1894</v>
      </c>
      <c r="AD14" s="157"/>
      <c r="AE14" s="157"/>
      <c r="AF14" s="157"/>
      <c r="AG14" s="157"/>
      <c r="AH14" s="157"/>
      <c r="AI14" s="157"/>
      <c r="AJ14" s="157"/>
      <c r="AK14" s="157"/>
      <c r="AL14" s="157"/>
      <c r="AM14" s="157"/>
      <c r="AN14" s="157"/>
      <c r="AO14" s="176"/>
    </row>
    <row r="15" spans="1:41" s="158" customFormat="1" ht="15" customHeight="1" x14ac:dyDescent="0.45">
      <c r="A15" s="614">
        <v>1895</v>
      </c>
      <c r="B15" s="176"/>
      <c r="C15" s="176"/>
      <c r="D15" s="197"/>
      <c r="E15" s="176"/>
      <c r="F15" s="176"/>
      <c r="G15" s="622">
        <f t="shared" ref="G15:G38" si="0">S15</f>
        <v>3.78E-2</v>
      </c>
      <c r="H15" s="176"/>
      <c r="I15" s="626"/>
      <c r="J15" s="623"/>
      <c r="K15" s="197"/>
      <c r="L15" s="620"/>
      <c r="N15" s="1455">
        <f>'1.7.3 Elec2'!N15</f>
        <v>3.78E-2</v>
      </c>
      <c r="O15" s="1456"/>
      <c r="P15" s="621">
        <f>'1.7.3 Elec2'!P15</f>
        <v>0</v>
      </c>
      <c r="Q15" s="621"/>
      <c r="R15" s="621">
        <f>'1.7.3 Elec2'!R15</f>
        <v>0</v>
      </c>
      <c r="S15" s="624">
        <f>'1.7.3 Elec2'!S15</f>
        <v>3.78E-2</v>
      </c>
      <c r="U15" s="613"/>
      <c r="V15" s="816">
        <v>1895</v>
      </c>
      <c r="AC15" s="614">
        <v>1895</v>
      </c>
      <c r="AD15" s="175">
        <f>'1.7.3 Elec2'!AD15</f>
        <v>5.8799999999999998E-2</v>
      </c>
      <c r="AE15" s="193">
        <f>'1.7.3 Elec2'!AE15</f>
        <v>5.8799999999999998E-2</v>
      </c>
      <c r="AF15" s="157"/>
      <c r="AG15" s="157"/>
      <c r="AH15" s="157"/>
      <c r="AI15" s="157"/>
      <c r="AJ15" s="157"/>
      <c r="AK15" s="157"/>
      <c r="AL15" s="157"/>
      <c r="AM15" s="157"/>
      <c r="AN15" s="157"/>
      <c r="AO15" s="176"/>
    </row>
    <row r="16" spans="1:41" s="158" customFormat="1" ht="14.25" x14ac:dyDescent="0.45">
      <c r="A16" s="614">
        <v>1896</v>
      </c>
      <c r="B16" s="176"/>
      <c r="C16" s="176"/>
      <c r="D16" s="197"/>
      <c r="E16" s="176"/>
      <c r="F16" s="176"/>
      <c r="G16" s="622">
        <f t="shared" si="0"/>
        <v>5.2299999999999999E-2</v>
      </c>
      <c r="H16" s="176"/>
      <c r="I16" s="626"/>
      <c r="J16" s="623"/>
      <c r="K16" s="197"/>
      <c r="L16" s="620"/>
      <c r="N16" s="1455">
        <f>'1.7.3 Elec2'!N16</f>
        <v>5.2299999999999999E-2</v>
      </c>
      <c r="O16" s="1456"/>
      <c r="P16" s="621">
        <f>'1.7.3 Elec2'!P16</f>
        <v>0</v>
      </c>
      <c r="Q16" s="621"/>
      <c r="R16" s="621">
        <f>'1.7.3 Elec2'!R16</f>
        <v>0</v>
      </c>
      <c r="S16" s="624">
        <f>'1.7.3 Elec2'!S16</f>
        <v>5.2299999999999999E-2</v>
      </c>
      <c r="U16" s="613"/>
      <c r="V16" s="816">
        <v>1896</v>
      </c>
      <c r="AC16" s="614">
        <v>1896</v>
      </c>
      <c r="AD16" s="175">
        <f>'1.7.3 Elec2'!AD16</f>
        <v>0.27195000000000003</v>
      </c>
      <c r="AE16" s="193">
        <f>'1.7.3 Elec2'!AE16</f>
        <v>0.27195000000000003</v>
      </c>
      <c r="AF16" s="157"/>
      <c r="AG16" s="157"/>
      <c r="AH16" s="157"/>
      <c r="AI16" s="157"/>
      <c r="AJ16" s="157"/>
      <c r="AK16" s="157"/>
      <c r="AL16" s="157"/>
      <c r="AM16" s="157"/>
      <c r="AN16" s="157"/>
      <c r="AO16" s="176"/>
    </row>
    <row r="17" spans="1:41" s="158" customFormat="1" ht="14.25" x14ac:dyDescent="0.45">
      <c r="A17" s="614">
        <v>1897</v>
      </c>
      <c r="B17" s="176"/>
      <c r="C17" s="176"/>
      <c r="D17" s="197"/>
      <c r="E17" s="176"/>
      <c r="F17" s="176"/>
      <c r="G17" s="622">
        <f t="shared" si="0"/>
        <v>7.1300000000000002E-2</v>
      </c>
      <c r="H17" s="176"/>
      <c r="I17" s="626"/>
      <c r="J17" s="623"/>
      <c r="K17" s="197"/>
      <c r="L17" s="620"/>
      <c r="N17" s="1455">
        <f>'1.7.3 Elec2'!N17</f>
        <v>7.0099999999999996E-2</v>
      </c>
      <c r="O17" s="1456"/>
      <c r="P17" s="621">
        <f>'1.7.3 Elec2'!P17</f>
        <v>1.1999999999999999E-3</v>
      </c>
      <c r="Q17" s="621"/>
      <c r="R17" s="621">
        <f>'1.7.3 Elec2'!R17</f>
        <v>0</v>
      </c>
      <c r="S17" s="624">
        <f>'1.7.3 Elec2'!S17</f>
        <v>7.1300000000000002E-2</v>
      </c>
      <c r="U17" s="613"/>
      <c r="V17" s="816">
        <v>1897</v>
      </c>
      <c r="AC17" s="614">
        <v>1897</v>
      </c>
      <c r="AD17" s="175">
        <f>'1.7.3 Elec2'!AD17</f>
        <v>0.48509999999999992</v>
      </c>
      <c r="AE17" s="193">
        <f>'1.7.3 Elec2'!AE17</f>
        <v>0.48509999999999992</v>
      </c>
      <c r="AF17" s="157"/>
      <c r="AG17" s="157"/>
      <c r="AH17" s="157"/>
      <c r="AI17" s="157"/>
      <c r="AJ17" s="157"/>
      <c r="AK17" s="157"/>
      <c r="AL17" s="157"/>
      <c r="AM17" s="157"/>
      <c r="AN17" s="157"/>
      <c r="AO17" s="176"/>
    </row>
    <row r="18" spans="1:41" s="158" customFormat="1" ht="14.25" x14ac:dyDescent="0.45">
      <c r="A18" s="614">
        <v>1898</v>
      </c>
      <c r="B18" s="176"/>
      <c r="C18" s="176"/>
      <c r="D18" s="197"/>
      <c r="E18" s="176"/>
      <c r="F18" s="176"/>
      <c r="G18" s="622">
        <f t="shared" si="0"/>
        <v>9.2899999999999996E-2</v>
      </c>
      <c r="H18" s="176"/>
      <c r="I18" s="626"/>
      <c r="J18" s="623"/>
      <c r="K18" s="197"/>
      <c r="L18" s="620"/>
      <c r="N18" s="1455">
        <f>'1.7.3 Elec2'!N18</f>
        <v>8.8499999999999995E-2</v>
      </c>
      <c r="O18" s="1456"/>
      <c r="P18" s="621">
        <f>'1.7.3 Elec2'!P18</f>
        <v>3.8E-3</v>
      </c>
      <c r="Q18" s="621"/>
      <c r="R18" s="621">
        <f>'1.7.3 Elec2'!R18</f>
        <v>5.9999999999999995E-4</v>
      </c>
      <c r="S18" s="624">
        <f>'1.7.3 Elec2'!S18</f>
        <v>9.2899999999999996E-2</v>
      </c>
      <c r="U18" s="613"/>
      <c r="V18" s="816">
        <v>1898</v>
      </c>
      <c r="AC18" s="614">
        <v>1898</v>
      </c>
      <c r="AD18" s="175">
        <f>'1.7.3 Elec2'!AD18</f>
        <v>0.69824999999999993</v>
      </c>
      <c r="AE18" s="193">
        <f>'1.7.3 Elec2'!AE18</f>
        <v>0.69824999999999993</v>
      </c>
      <c r="AF18" s="157"/>
      <c r="AG18" s="157"/>
      <c r="AH18" s="157"/>
      <c r="AI18" s="157"/>
      <c r="AJ18" s="157"/>
      <c r="AK18" s="157"/>
      <c r="AL18" s="157"/>
      <c r="AM18" s="157"/>
      <c r="AN18" s="157"/>
      <c r="AO18" s="176"/>
    </row>
    <row r="19" spans="1:41" s="158" customFormat="1" ht="14.25" x14ac:dyDescent="0.45">
      <c r="A19" s="614">
        <v>1899</v>
      </c>
      <c r="B19" s="176"/>
      <c r="C19" s="176"/>
      <c r="D19" s="197"/>
      <c r="E19" s="176"/>
      <c r="F19" s="176"/>
      <c r="G19" s="622">
        <f t="shared" si="0"/>
        <v>0.13159999999999999</v>
      </c>
      <c r="H19" s="176"/>
      <c r="I19" s="626"/>
      <c r="J19" s="623"/>
      <c r="K19" s="197"/>
      <c r="L19" s="620"/>
      <c r="N19" s="1455">
        <f>'1.7.3 Elec2'!N19</f>
        <v>0.124</v>
      </c>
      <c r="O19" s="1456"/>
      <c r="P19" s="621">
        <f>'1.7.3 Elec2'!P19</f>
        <v>4.4000000000000003E-3</v>
      </c>
      <c r="Q19" s="621"/>
      <c r="R19" s="621">
        <f>'1.7.3 Elec2'!R19</f>
        <v>3.2000000000000002E-3</v>
      </c>
      <c r="S19" s="624">
        <f>'1.7.3 Elec2'!S19</f>
        <v>0.13159999999999999</v>
      </c>
      <c r="U19" s="613"/>
      <c r="V19" s="816">
        <v>1899</v>
      </c>
      <c r="AC19" s="614">
        <v>1899</v>
      </c>
      <c r="AD19" s="175">
        <f>'1.7.3 Elec2'!AD19</f>
        <v>0.91139999999999999</v>
      </c>
      <c r="AE19" s="193">
        <f>'1.7.3 Elec2'!AE19</f>
        <v>0.91139999999999999</v>
      </c>
      <c r="AF19" s="157"/>
      <c r="AG19" s="157"/>
      <c r="AH19" s="157"/>
      <c r="AI19" s="157"/>
      <c r="AJ19" s="157"/>
      <c r="AK19" s="157"/>
      <c r="AL19" s="157"/>
      <c r="AM19" s="157"/>
      <c r="AN19" s="157"/>
      <c r="AO19" s="176"/>
    </row>
    <row r="20" spans="1:41" s="158" customFormat="1" ht="14.25" x14ac:dyDescent="0.45">
      <c r="A20" s="614">
        <v>1900</v>
      </c>
      <c r="B20" s="176"/>
      <c r="C20" s="176"/>
      <c r="D20" s="197"/>
      <c r="E20" s="176"/>
      <c r="F20" s="176"/>
      <c r="G20" s="622">
        <f t="shared" si="0"/>
        <v>0.1804</v>
      </c>
      <c r="H20" s="176"/>
      <c r="I20" s="626"/>
      <c r="J20" s="623"/>
      <c r="K20" s="197"/>
      <c r="L20" s="620"/>
      <c r="N20" s="1455">
        <f>'1.7.3 Elec2'!N20</f>
        <v>0.15280000000000002</v>
      </c>
      <c r="O20" s="1456"/>
      <c r="P20" s="621">
        <f>'1.7.3 Elec2'!P20</f>
        <v>1.1900000000000001E-2</v>
      </c>
      <c r="Q20" s="621"/>
      <c r="R20" s="621">
        <f>'1.7.3 Elec2'!R20</f>
        <v>1.5699999999999999E-2</v>
      </c>
      <c r="S20" s="624">
        <f>'1.7.3 Elec2'!S20</f>
        <v>0.1804</v>
      </c>
      <c r="U20" s="613"/>
      <c r="V20" s="816">
        <v>1900</v>
      </c>
      <c r="AC20" s="614">
        <v>1900</v>
      </c>
      <c r="AD20" s="175">
        <f>'1.7.3 Elec2'!AD20</f>
        <v>1.1245499999999999</v>
      </c>
      <c r="AE20" s="193">
        <f>'1.7.3 Elec2'!AE20</f>
        <v>1.1245499999999999</v>
      </c>
      <c r="AF20" s="157"/>
      <c r="AG20" s="157"/>
      <c r="AH20" s="157"/>
      <c r="AI20" s="157"/>
      <c r="AJ20" s="157"/>
      <c r="AK20" s="157"/>
      <c r="AL20" s="157"/>
      <c r="AM20" s="157"/>
      <c r="AN20" s="157"/>
      <c r="AO20" s="176"/>
    </row>
    <row r="21" spans="1:41" s="158" customFormat="1" ht="14.25" x14ac:dyDescent="0.45">
      <c r="A21" s="614">
        <v>1901</v>
      </c>
      <c r="B21" s="176"/>
      <c r="C21" s="176"/>
      <c r="D21" s="197"/>
      <c r="E21" s="176"/>
      <c r="F21" s="176"/>
      <c r="G21" s="622">
        <f t="shared" si="0"/>
        <v>0.24330000000000002</v>
      </c>
      <c r="H21" s="176"/>
      <c r="I21" s="626"/>
      <c r="J21" s="623"/>
      <c r="K21" s="197"/>
      <c r="L21" s="620"/>
      <c r="N21" s="1455">
        <f>'1.7.3 Elec2'!N21</f>
        <v>0.18959999999999999</v>
      </c>
      <c r="O21" s="1456"/>
      <c r="P21" s="621">
        <f>'1.7.3 Elec2'!P21</f>
        <v>1.84E-2</v>
      </c>
      <c r="Q21" s="621"/>
      <c r="R21" s="621">
        <f>'1.7.3 Elec2'!R21</f>
        <v>3.5299999999999998E-2</v>
      </c>
      <c r="S21" s="624">
        <f>'1.7.3 Elec2'!S21</f>
        <v>0.24330000000000002</v>
      </c>
      <c r="U21" s="613"/>
      <c r="V21" s="816">
        <v>1901</v>
      </c>
      <c r="AC21" s="614">
        <v>1901</v>
      </c>
      <c r="AD21" s="175">
        <f>'1.7.3 Elec2'!AD21</f>
        <v>1.3376999999999999</v>
      </c>
      <c r="AE21" s="193">
        <f>'1.7.3 Elec2'!AE21</f>
        <v>1.3376999999999999</v>
      </c>
      <c r="AF21" s="157"/>
      <c r="AG21" s="157"/>
      <c r="AH21" s="157"/>
      <c r="AI21" s="157"/>
      <c r="AJ21" s="157"/>
      <c r="AK21" s="157"/>
      <c r="AL21" s="157"/>
      <c r="AM21" s="157"/>
      <c r="AN21" s="157"/>
      <c r="AO21" s="176"/>
    </row>
    <row r="22" spans="1:41" s="158" customFormat="1" ht="14.25" x14ac:dyDescent="0.45">
      <c r="A22" s="614">
        <v>1902</v>
      </c>
      <c r="B22" s="176"/>
      <c r="C22" s="176"/>
      <c r="D22" s="197"/>
      <c r="E22" s="176"/>
      <c r="F22" s="176"/>
      <c r="G22" s="622">
        <f t="shared" si="0"/>
        <v>0.33879999999999993</v>
      </c>
      <c r="H22" s="176"/>
      <c r="I22" s="626"/>
      <c r="J22" s="623"/>
      <c r="K22" s="197"/>
      <c r="L22" s="620"/>
      <c r="N22" s="1455">
        <f>'1.7.3 Elec2'!N22</f>
        <v>0.24359999999999998</v>
      </c>
      <c r="O22" s="1456"/>
      <c r="P22" s="621">
        <f>'1.7.3 Elec2'!P22</f>
        <v>2.86E-2</v>
      </c>
      <c r="Q22" s="621"/>
      <c r="R22" s="621">
        <f>'1.7.3 Elec2'!R22</f>
        <v>6.6599999999999993E-2</v>
      </c>
      <c r="S22" s="624">
        <f>'1.7.3 Elec2'!S22</f>
        <v>0.33879999999999993</v>
      </c>
      <c r="U22" s="613"/>
      <c r="V22" s="816">
        <v>1902</v>
      </c>
      <c r="AC22" s="614">
        <v>1902</v>
      </c>
      <c r="AD22" s="175">
        <f>'1.7.3 Elec2'!AD22</f>
        <v>1.5508499999999998</v>
      </c>
      <c r="AE22" s="193">
        <f>'1.7.3 Elec2'!AE22</f>
        <v>1.5508499999999998</v>
      </c>
      <c r="AF22" s="157"/>
      <c r="AG22" s="157"/>
      <c r="AH22" s="157"/>
      <c r="AI22" s="157"/>
      <c r="AJ22" s="157"/>
      <c r="AK22" s="157"/>
      <c r="AL22" s="157"/>
      <c r="AM22" s="157"/>
      <c r="AN22" s="157"/>
      <c r="AO22" s="176"/>
    </row>
    <row r="23" spans="1:41" s="158" customFormat="1" ht="14.25" x14ac:dyDescent="0.45">
      <c r="A23" s="614">
        <v>1903</v>
      </c>
      <c r="B23" s="176"/>
      <c r="C23" s="176"/>
      <c r="D23" s="197"/>
      <c r="E23" s="176"/>
      <c r="F23" s="176"/>
      <c r="G23" s="622">
        <f t="shared" si="0"/>
        <v>0.43310000000000004</v>
      </c>
      <c r="H23" s="176"/>
      <c r="I23" s="626"/>
      <c r="J23" s="623"/>
      <c r="K23" s="197"/>
      <c r="L23" s="620"/>
      <c r="N23" s="1455">
        <f>'1.7.3 Elec2'!N23</f>
        <v>0.28029999999999999</v>
      </c>
      <c r="O23" s="1456"/>
      <c r="P23" s="621">
        <f>'1.7.3 Elec2'!P23</f>
        <v>4.9399999999999999E-2</v>
      </c>
      <c r="Q23" s="621"/>
      <c r="R23" s="621">
        <f>'1.7.3 Elec2'!R23</f>
        <v>0.10340000000000001</v>
      </c>
      <c r="S23" s="624">
        <f>'1.7.3 Elec2'!S23</f>
        <v>0.43310000000000004</v>
      </c>
      <c r="U23" s="613"/>
      <c r="V23" s="816">
        <v>1903</v>
      </c>
      <c r="AC23" s="614">
        <v>1903</v>
      </c>
      <c r="AD23" s="175">
        <f>'1.7.3 Elec2'!AD23</f>
        <v>1.7639999999999998</v>
      </c>
      <c r="AE23" s="193">
        <f>'1.7.3 Elec2'!AE23</f>
        <v>1.7639999999999998</v>
      </c>
      <c r="AF23" s="157"/>
      <c r="AG23" s="157"/>
      <c r="AH23" s="157"/>
      <c r="AI23" s="157"/>
      <c r="AJ23" s="157"/>
      <c r="AK23" s="157"/>
      <c r="AL23" s="157"/>
      <c r="AM23" s="157"/>
      <c r="AN23" s="157"/>
      <c r="AO23" s="176"/>
    </row>
    <row r="24" spans="1:41" s="158" customFormat="1" ht="14.25" x14ac:dyDescent="0.45">
      <c r="A24" s="614">
        <v>1904</v>
      </c>
      <c r="B24" s="176"/>
      <c r="C24" s="176"/>
      <c r="D24" s="197"/>
      <c r="E24" s="176"/>
      <c r="F24" s="176"/>
      <c r="G24" s="622">
        <f t="shared" si="0"/>
        <v>0.55349999999999999</v>
      </c>
      <c r="H24" s="176"/>
      <c r="I24" s="626"/>
      <c r="J24" s="623"/>
      <c r="K24" s="197"/>
      <c r="L24" s="620"/>
      <c r="N24" s="1455">
        <f>'1.7.3 Elec2'!N24</f>
        <v>0.3634</v>
      </c>
      <c r="O24" s="1456"/>
      <c r="P24" s="621">
        <f>'1.7.3 Elec2'!P24</f>
        <v>7.6200000000000004E-2</v>
      </c>
      <c r="Q24" s="621"/>
      <c r="R24" s="621">
        <f>'1.7.3 Elec2'!R24</f>
        <v>0.1139</v>
      </c>
      <c r="S24" s="624">
        <f>'1.7.3 Elec2'!S24</f>
        <v>0.55349999999999999</v>
      </c>
      <c r="U24" s="613"/>
      <c r="V24" s="816">
        <v>1904</v>
      </c>
      <c r="AC24" s="614">
        <v>1904</v>
      </c>
      <c r="AD24" s="175">
        <f>'1.7.3 Elec2'!AD24</f>
        <v>1.8815999999999999</v>
      </c>
      <c r="AE24" s="193">
        <f>'1.7.3 Elec2'!AE24</f>
        <v>1.8815999999999999</v>
      </c>
      <c r="AF24" s="157"/>
      <c r="AG24" s="157"/>
      <c r="AH24" s="157"/>
      <c r="AI24" s="157"/>
      <c r="AJ24" s="157"/>
      <c r="AK24" s="157"/>
      <c r="AL24" s="157"/>
      <c r="AM24" s="157"/>
      <c r="AN24" s="157"/>
      <c r="AO24" s="176"/>
    </row>
    <row r="25" spans="1:41" s="158" customFormat="1" ht="14.25" x14ac:dyDescent="0.45">
      <c r="A25" s="614">
        <v>1905</v>
      </c>
      <c r="B25" s="176"/>
      <c r="C25" s="176"/>
      <c r="D25" s="197"/>
      <c r="E25" s="176"/>
      <c r="F25" s="176"/>
      <c r="G25" s="622">
        <f t="shared" si="0"/>
        <v>0.64460000000000006</v>
      </c>
      <c r="H25" s="176"/>
      <c r="I25" s="626"/>
      <c r="J25" s="623"/>
      <c r="K25" s="197"/>
      <c r="L25" s="620"/>
      <c r="N25" s="1455">
        <f>'1.7.3 Elec2'!N25</f>
        <v>0.35199999999999998</v>
      </c>
      <c r="O25" s="1456"/>
      <c r="P25" s="621">
        <f>'1.7.3 Elec2'!P25</f>
        <v>0.1163</v>
      </c>
      <c r="Q25" s="621"/>
      <c r="R25" s="621">
        <f>'1.7.3 Elec2'!R25</f>
        <v>0.17630000000000001</v>
      </c>
      <c r="S25" s="624">
        <f>'1.7.3 Elec2'!S25</f>
        <v>0.64460000000000006</v>
      </c>
      <c r="U25" s="613"/>
      <c r="V25" s="816">
        <v>1905</v>
      </c>
      <c r="AC25" s="614">
        <v>1905</v>
      </c>
      <c r="AD25" s="175">
        <f>'1.7.3 Elec2'!AD25</f>
        <v>1.9992000000000001</v>
      </c>
      <c r="AE25" s="193">
        <f>'1.7.3 Elec2'!AE25</f>
        <v>1.9992000000000001</v>
      </c>
      <c r="AF25" s="157"/>
      <c r="AG25" s="157"/>
      <c r="AH25" s="157"/>
      <c r="AI25" s="157"/>
      <c r="AJ25" s="157"/>
      <c r="AK25" s="157"/>
      <c r="AL25" s="157"/>
      <c r="AM25" s="157"/>
      <c r="AN25" s="157"/>
      <c r="AO25" s="176"/>
    </row>
    <row r="26" spans="1:41" s="158" customFormat="1" ht="14.25" x14ac:dyDescent="0.45">
      <c r="A26" s="614">
        <v>1906</v>
      </c>
      <c r="B26" s="176"/>
      <c r="C26" s="176"/>
      <c r="D26" s="197"/>
      <c r="E26" s="176"/>
      <c r="F26" s="176"/>
      <c r="G26" s="622">
        <f t="shared" si="0"/>
        <v>0.77590000000000015</v>
      </c>
      <c r="H26" s="176"/>
      <c r="I26" s="626"/>
      <c r="J26" s="623"/>
      <c r="K26" s="197"/>
      <c r="L26" s="620"/>
      <c r="N26" s="1455">
        <f>'1.7.3 Elec2'!N26</f>
        <v>0.40189999999999998</v>
      </c>
      <c r="O26" s="1456"/>
      <c r="P26" s="621">
        <f>'1.7.3 Elec2'!P26</f>
        <v>0.18230000000000002</v>
      </c>
      <c r="Q26" s="621"/>
      <c r="R26" s="621">
        <f>'1.7.3 Elec2'!R26</f>
        <v>0.19169999999999998</v>
      </c>
      <c r="S26" s="624">
        <f>'1.7.3 Elec2'!S26</f>
        <v>0.77590000000000015</v>
      </c>
      <c r="U26" s="613"/>
      <c r="V26" s="816">
        <v>1906</v>
      </c>
      <c r="AC26" s="614">
        <v>1906</v>
      </c>
      <c r="AD26" s="175">
        <f>'1.7.3 Elec2'!AD26</f>
        <v>2.1168</v>
      </c>
      <c r="AE26" s="193">
        <f>'1.7.3 Elec2'!AE26</f>
        <v>2.1168</v>
      </c>
      <c r="AF26" s="157"/>
      <c r="AG26" s="157"/>
      <c r="AH26" s="157"/>
      <c r="AI26" s="157"/>
      <c r="AJ26" s="157"/>
      <c r="AK26" s="157"/>
      <c r="AL26" s="157"/>
      <c r="AM26" s="157"/>
      <c r="AN26" s="157"/>
      <c r="AO26" s="176"/>
    </row>
    <row r="27" spans="1:41" s="158" customFormat="1" ht="14.25" x14ac:dyDescent="0.45">
      <c r="A27" s="614">
        <v>1907</v>
      </c>
      <c r="B27" s="176"/>
      <c r="C27" s="176"/>
      <c r="D27" s="197"/>
      <c r="E27" s="176"/>
      <c r="F27" s="176"/>
      <c r="G27" s="622">
        <f t="shared" si="0"/>
        <v>0.95599999999999996</v>
      </c>
      <c r="H27" s="176"/>
      <c r="I27" s="626"/>
      <c r="J27" s="623"/>
      <c r="K27" s="197"/>
      <c r="L27" s="620"/>
      <c r="N27" s="1455">
        <f>'1.7.3 Elec2'!N27</f>
        <v>0.41599999999999998</v>
      </c>
      <c r="O27" s="1456"/>
      <c r="P27" s="621">
        <f>'1.7.3 Elec2'!P27</f>
        <v>0.31589999999999996</v>
      </c>
      <c r="Q27" s="621"/>
      <c r="R27" s="621">
        <f>'1.7.3 Elec2'!R27</f>
        <v>0.22409999999999999</v>
      </c>
      <c r="S27" s="624">
        <f>'1.7.3 Elec2'!S27</f>
        <v>0.95599999999999996</v>
      </c>
      <c r="U27" s="613"/>
      <c r="V27" s="816">
        <v>1907</v>
      </c>
      <c r="AC27" s="614">
        <v>1907</v>
      </c>
      <c r="AD27" s="175">
        <f>'1.7.3 Elec2'!AD27</f>
        <v>2.2344000000000004</v>
      </c>
      <c r="AE27" s="193">
        <f>'1.7.3 Elec2'!AE27</f>
        <v>2.2344000000000004</v>
      </c>
      <c r="AF27" s="157"/>
      <c r="AG27" s="157"/>
      <c r="AH27" s="157"/>
      <c r="AI27" s="157"/>
      <c r="AJ27" s="157"/>
      <c r="AK27" s="157"/>
      <c r="AL27" s="157"/>
      <c r="AM27" s="157"/>
      <c r="AN27" s="157"/>
      <c r="AO27" s="176"/>
    </row>
    <row r="28" spans="1:41" s="158" customFormat="1" ht="14.25" x14ac:dyDescent="0.45">
      <c r="A28" s="614">
        <v>1908</v>
      </c>
      <c r="B28" s="176"/>
      <c r="C28" s="176"/>
      <c r="D28" s="197"/>
      <c r="E28" s="176"/>
      <c r="F28" s="176"/>
      <c r="G28" s="622">
        <f t="shared" si="0"/>
        <v>1.0356000000000001</v>
      </c>
      <c r="H28" s="176"/>
      <c r="I28" s="626"/>
      <c r="J28" s="623"/>
      <c r="K28" s="197"/>
      <c r="L28" s="620"/>
      <c r="N28" s="1455">
        <f>'1.7.3 Elec2'!N28</f>
        <v>0.44239999999999996</v>
      </c>
      <c r="O28" s="1456"/>
      <c r="P28" s="621">
        <f>'1.7.3 Elec2'!P28</f>
        <v>0.36880000000000002</v>
      </c>
      <c r="Q28" s="621"/>
      <c r="R28" s="621">
        <f>'1.7.3 Elec2'!R28</f>
        <v>0.22440000000000002</v>
      </c>
      <c r="S28" s="624">
        <f>'1.7.3 Elec2'!S28</f>
        <v>1.0356000000000001</v>
      </c>
      <c r="U28" s="613"/>
      <c r="V28" s="816">
        <v>1908</v>
      </c>
      <c r="AC28" s="614">
        <v>1908</v>
      </c>
      <c r="AD28" s="175">
        <f>'1.7.3 Elec2'!AD28</f>
        <v>2.3520000000000003</v>
      </c>
      <c r="AE28" s="193">
        <f>'1.7.3 Elec2'!AE28</f>
        <v>2.3520000000000003</v>
      </c>
      <c r="AF28" s="157"/>
      <c r="AG28" s="157"/>
      <c r="AH28" s="157"/>
      <c r="AI28" s="157"/>
      <c r="AJ28" s="157"/>
      <c r="AK28" s="157"/>
      <c r="AL28" s="157"/>
      <c r="AM28" s="157"/>
      <c r="AN28" s="157"/>
      <c r="AO28" s="176"/>
    </row>
    <row r="29" spans="1:41" s="158" customFormat="1" ht="14.25" x14ac:dyDescent="0.45">
      <c r="A29" s="614">
        <v>1909</v>
      </c>
      <c r="B29" s="176"/>
      <c r="C29" s="176"/>
      <c r="D29" s="197"/>
      <c r="E29" s="176"/>
      <c r="F29" s="176"/>
      <c r="G29" s="622">
        <f t="shared" si="0"/>
        <v>1.1231</v>
      </c>
      <c r="H29" s="176"/>
      <c r="I29" s="626"/>
      <c r="J29" s="623"/>
      <c r="K29" s="197"/>
      <c r="L29" s="620"/>
      <c r="N29" s="1455">
        <f>'1.7.3 Elec2'!N29</f>
        <v>0.4173</v>
      </c>
      <c r="O29" s="1456"/>
      <c r="P29" s="621">
        <f>'1.7.3 Elec2'!P29</f>
        <v>0.47549999999999998</v>
      </c>
      <c r="Q29" s="621"/>
      <c r="R29" s="621">
        <f>'1.7.3 Elec2'!R29</f>
        <v>0.2303</v>
      </c>
      <c r="S29" s="624">
        <f>'1.7.3 Elec2'!S29</f>
        <v>1.1231</v>
      </c>
      <c r="U29" s="613"/>
      <c r="V29" s="816">
        <v>1909</v>
      </c>
      <c r="AC29" s="614">
        <v>1909</v>
      </c>
      <c r="AD29" s="175">
        <f>'1.7.3 Elec2'!AD29</f>
        <v>2.4696000000000007</v>
      </c>
      <c r="AE29" s="193">
        <f>'1.7.3 Elec2'!AE29</f>
        <v>2.4696000000000007</v>
      </c>
      <c r="AF29" s="157"/>
      <c r="AG29" s="157"/>
      <c r="AH29" s="157"/>
      <c r="AI29" s="157"/>
      <c r="AJ29" s="157"/>
      <c r="AK29" s="157"/>
      <c r="AL29" s="157"/>
      <c r="AM29" s="157"/>
      <c r="AN29" s="157"/>
      <c r="AO29" s="176"/>
    </row>
    <row r="30" spans="1:41" s="158" customFormat="1" ht="14.25" x14ac:dyDescent="0.45">
      <c r="A30" s="614">
        <v>1910</v>
      </c>
      <c r="B30" s="176"/>
      <c r="C30" s="176"/>
      <c r="D30" s="197"/>
      <c r="E30" s="176"/>
      <c r="F30" s="176"/>
      <c r="G30" s="622">
        <f t="shared" si="0"/>
        <v>1.2735999999999998</v>
      </c>
      <c r="H30" s="176"/>
      <c r="I30" s="626"/>
      <c r="J30" s="623"/>
      <c r="K30" s="197"/>
      <c r="L30" s="620"/>
      <c r="N30" s="1455">
        <f>'1.7.3 Elec2'!N30</f>
        <v>0.4829</v>
      </c>
      <c r="O30" s="1456"/>
      <c r="P30" s="621">
        <f>'1.7.3 Elec2'!P30</f>
        <v>0.56279999999999997</v>
      </c>
      <c r="Q30" s="621"/>
      <c r="R30" s="621">
        <f>'1.7.3 Elec2'!R30</f>
        <v>0.22790000000000002</v>
      </c>
      <c r="S30" s="624">
        <f>'1.7.3 Elec2'!S30</f>
        <v>1.2735999999999998</v>
      </c>
      <c r="U30" s="613"/>
      <c r="V30" s="816">
        <v>1910</v>
      </c>
      <c r="AC30" s="614">
        <v>1910</v>
      </c>
      <c r="AD30" s="175">
        <f>'1.7.3 Elec2'!AD30</f>
        <v>2.5872000000000006</v>
      </c>
      <c r="AE30" s="193">
        <f>'1.7.3 Elec2'!AE30</f>
        <v>2.5872000000000006</v>
      </c>
      <c r="AF30" s="157"/>
      <c r="AG30" s="157"/>
      <c r="AH30" s="157"/>
      <c r="AI30" s="157"/>
      <c r="AJ30" s="157"/>
      <c r="AK30" s="157"/>
      <c r="AL30" s="157"/>
      <c r="AM30" s="157"/>
      <c r="AN30" s="157"/>
      <c r="AO30" s="176"/>
    </row>
    <row r="31" spans="1:41" s="158" customFormat="1" ht="14.25" x14ac:dyDescent="0.45">
      <c r="A31" s="614">
        <v>1911</v>
      </c>
      <c r="B31" s="176"/>
      <c r="C31" s="176"/>
      <c r="D31" s="197"/>
      <c r="E31" s="176"/>
      <c r="F31" s="176"/>
      <c r="G31" s="622">
        <f t="shared" si="0"/>
        <v>1.4056000000000002</v>
      </c>
      <c r="H31" s="176"/>
      <c r="I31" s="626"/>
      <c r="J31" s="623"/>
      <c r="K31" s="197"/>
      <c r="L31" s="620"/>
      <c r="N31" s="1455">
        <f>'1.7.3 Elec2'!N31</f>
        <v>0.437</v>
      </c>
      <c r="O31" s="1456"/>
      <c r="P31" s="621">
        <f>'1.7.3 Elec2'!P31</f>
        <v>0.68140000000000001</v>
      </c>
      <c r="Q31" s="621"/>
      <c r="R31" s="621">
        <f>'1.7.3 Elec2'!R31</f>
        <v>0.28720000000000001</v>
      </c>
      <c r="S31" s="624">
        <f>'1.7.3 Elec2'!S31</f>
        <v>1.4056000000000002</v>
      </c>
      <c r="U31" s="613"/>
      <c r="V31" s="816">
        <v>1911</v>
      </c>
      <c r="AC31" s="614">
        <v>1911</v>
      </c>
      <c r="AD31" s="175">
        <f>'1.7.3 Elec2'!AD31</f>
        <v>2.7048000000000005</v>
      </c>
      <c r="AE31" s="193">
        <f>'1.7.3 Elec2'!AE31</f>
        <v>2.7048000000000005</v>
      </c>
      <c r="AF31" s="157"/>
      <c r="AG31" s="157"/>
      <c r="AH31" s="157"/>
      <c r="AI31" s="157"/>
      <c r="AJ31" s="157"/>
      <c r="AK31" s="157"/>
      <c r="AL31" s="157"/>
      <c r="AM31" s="157"/>
      <c r="AN31" s="157"/>
      <c r="AO31" s="176"/>
    </row>
    <row r="32" spans="1:41" s="158" customFormat="1" ht="14.25" x14ac:dyDescent="0.45">
      <c r="A32" s="614">
        <v>1912</v>
      </c>
      <c r="B32" s="176"/>
      <c r="C32" s="176"/>
      <c r="D32" s="197"/>
      <c r="E32" s="176"/>
      <c r="F32" s="176"/>
      <c r="G32" s="622">
        <f t="shared" si="0"/>
        <v>1.6288000000000002</v>
      </c>
      <c r="H32" s="176"/>
      <c r="I32" s="626"/>
      <c r="J32" s="623"/>
      <c r="K32" s="197"/>
      <c r="L32" s="620"/>
      <c r="N32" s="1455">
        <f>'1.7.3 Elec2'!N32</f>
        <v>0.50729999999999997</v>
      </c>
      <c r="O32" s="1456"/>
      <c r="P32" s="621">
        <f>'1.7.3 Elec2'!P32</f>
        <v>0.84439999999999993</v>
      </c>
      <c r="Q32" s="621"/>
      <c r="R32" s="621">
        <f>'1.7.3 Elec2'!R32</f>
        <v>0.27710000000000001</v>
      </c>
      <c r="S32" s="624">
        <f>'1.7.3 Elec2'!S32</f>
        <v>1.6288000000000002</v>
      </c>
      <c r="U32" s="613"/>
      <c r="V32" s="816">
        <v>1912</v>
      </c>
      <c r="AC32" s="614">
        <v>1912</v>
      </c>
      <c r="AD32" s="175">
        <f>'1.7.3 Elec2'!AD32</f>
        <v>2.8224000000000009</v>
      </c>
      <c r="AE32" s="193">
        <f>'1.7.3 Elec2'!AE32</f>
        <v>2.8224000000000009</v>
      </c>
      <c r="AF32" s="157"/>
      <c r="AG32" s="157"/>
      <c r="AH32" s="157"/>
      <c r="AI32" s="157"/>
      <c r="AJ32" s="157"/>
      <c r="AK32" s="157"/>
      <c r="AL32" s="157"/>
      <c r="AM32" s="157"/>
      <c r="AN32" s="157"/>
      <c r="AO32" s="176"/>
    </row>
    <row r="33" spans="1:41" s="158" customFormat="1" ht="14.25" x14ac:dyDescent="0.45">
      <c r="A33" s="614">
        <v>1913</v>
      </c>
      <c r="B33" s="176"/>
      <c r="C33" s="176"/>
      <c r="D33" s="197"/>
      <c r="E33" s="176"/>
      <c r="F33" s="176"/>
      <c r="G33" s="622">
        <f t="shared" si="0"/>
        <v>1.9758</v>
      </c>
      <c r="H33" s="176"/>
      <c r="I33" s="626"/>
      <c r="J33" s="623"/>
      <c r="K33" s="197"/>
      <c r="L33" s="620"/>
      <c r="N33" s="1455">
        <f>'1.7.3 Elec2'!N33</f>
        <v>0.69579999999999997</v>
      </c>
      <c r="O33" s="1456"/>
      <c r="P33" s="621">
        <f>'1.7.3 Elec2'!P33</f>
        <v>1</v>
      </c>
      <c r="Q33" s="621"/>
      <c r="R33" s="621">
        <f>'1.7.3 Elec2'!R33</f>
        <v>0.28000000000000003</v>
      </c>
      <c r="S33" s="624">
        <f>'1.7.3 Elec2'!S33</f>
        <v>1.9758</v>
      </c>
      <c r="U33" s="613"/>
      <c r="V33" s="816">
        <v>1913</v>
      </c>
      <c r="AC33" s="614">
        <v>1913</v>
      </c>
      <c r="AD33" s="175">
        <f>'1.7.3 Elec2'!AD33</f>
        <v>2.94</v>
      </c>
      <c r="AE33" s="193">
        <f>'1.7.3 Elec2'!AE33</f>
        <v>2.94</v>
      </c>
      <c r="AF33" s="157"/>
      <c r="AG33" s="157"/>
      <c r="AH33" s="157"/>
      <c r="AI33" s="157"/>
      <c r="AJ33" s="157"/>
      <c r="AK33" s="157"/>
      <c r="AL33" s="157"/>
      <c r="AM33" s="157"/>
      <c r="AN33" s="157"/>
      <c r="AO33" s="176"/>
    </row>
    <row r="34" spans="1:41" s="158" customFormat="1" ht="14.25" x14ac:dyDescent="0.45">
      <c r="A34" s="614">
        <v>1914</v>
      </c>
      <c r="B34" s="176"/>
      <c r="C34" s="176"/>
      <c r="D34" s="197"/>
      <c r="E34" s="176"/>
      <c r="F34" s="176"/>
      <c r="G34" s="622">
        <f t="shared" si="0"/>
        <v>1.9639000000000002</v>
      </c>
      <c r="H34" s="176"/>
      <c r="I34" s="626"/>
      <c r="J34" s="176"/>
      <c r="K34" s="197"/>
      <c r="L34" s="620"/>
      <c r="N34" s="159"/>
      <c r="O34" s="157"/>
      <c r="P34" s="175"/>
      <c r="Q34" s="149"/>
      <c r="R34" s="175"/>
      <c r="S34" s="624">
        <f>'1.7.3 Elec2'!S34</f>
        <v>1.9639000000000002</v>
      </c>
      <c r="U34" s="613"/>
      <c r="V34" s="816">
        <v>1914</v>
      </c>
      <c r="AC34" s="614">
        <v>1914</v>
      </c>
      <c r="AD34" s="175">
        <f>'1.7.3 Elec2'!AD34</f>
        <v>0</v>
      </c>
      <c r="AE34" s="193">
        <f>'1.7.3 Elec2'!AE34</f>
        <v>0</v>
      </c>
      <c r="AF34" s="157"/>
      <c r="AG34" s="157"/>
      <c r="AH34" s="157"/>
      <c r="AI34" s="157"/>
      <c r="AJ34" s="157"/>
      <c r="AK34" s="157"/>
      <c r="AL34" s="157"/>
      <c r="AM34" s="157"/>
      <c r="AN34" s="157"/>
      <c r="AO34" s="176"/>
    </row>
    <row r="35" spans="1:41" s="158" customFormat="1" ht="14.25" x14ac:dyDescent="0.45">
      <c r="A35" s="614">
        <v>1915</v>
      </c>
      <c r="B35" s="176"/>
      <c r="C35" s="176"/>
      <c r="D35" s="197"/>
      <c r="E35" s="176"/>
      <c r="F35" s="176"/>
      <c r="G35" s="622">
        <f t="shared" si="0"/>
        <v>2.3198000000000003</v>
      </c>
      <c r="H35" s="176"/>
      <c r="I35" s="626"/>
      <c r="J35" s="176"/>
      <c r="K35" s="197"/>
      <c r="L35" s="620"/>
      <c r="N35" s="159"/>
      <c r="O35" s="157"/>
      <c r="P35" s="175"/>
      <c r="Q35" s="149"/>
      <c r="R35" s="175"/>
      <c r="S35" s="624">
        <f>'1.7.3 Elec2'!S35</f>
        <v>2.3198000000000003</v>
      </c>
      <c r="U35" s="613"/>
      <c r="V35" s="816">
        <v>1915</v>
      </c>
      <c r="AC35" s="614">
        <v>1915</v>
      </c>
      <c r="AD35" s="175">
        <f>'1.7.3 Elec2'!AD35</f>
        <v>0</v>
      </c>
      <c r="AE35" s="193">
        <f>'1.7.3 Elec2'!AE35</f>
        <v>0</v>
      </c>
      <c r="AF35" s="157"/>
      <c r="AG35" s="157"/>
      <c r="AH35" s="157"/>
      <c r="AI35" s="157"/>
      <c r="AJ35" s="157"/>
      <c r="AK35" s="157"/>
      <c r="AL35" s="157"/>
      <c r="AM35" s="157"/>
      <c r="AN35" s="157"/>
      <c r="AO35" s="176"/>
    </row>
    <row r="36" spans="1:41" s="158" customFormat="1" ht="14.25" x14ac:dyDescent="0.45">
      <c r="A36" s="614">
        <v>1916</v>
      </c>
      <c r="B36" s="176"/>
      <c r="C36" s="176"/>
      <c r="D36" s="197"/>
      <c r="E36" s="176"/>
      <c r="F36" s="176"/>
      <c r="G36" s="622">
        <f t="shared" si="0"/>
        <v>2.7441</v>
      </c>
      <c r="H36" s="176"/>
      <c r="I36" s="626"/>
      <c r="J36" s="176"/>
      <c r="K36" s="197"/>
      <c r="L36" s="620"/>
      <c r="N36" s="159"/>
      <c r="O36" s="157"/>
      <c r="P36" s="175"/>
      <c r="Q36" s="149"/>
      <c r="R36" s="175"/>
      <c r="S36" s="624">
        <f>'1.7.3 Elec2'!S36</f>
        <v>2.7441</v>
      </c>
      <c r="U36" s="613"/>
      <c r="V36" s="816">
        <v>1916</v>
      </c>
      <c r="AC36" s="614">
        <v>1916</v>
      </c>
      <c r="AD36" s="175">
        <f>'1.7.3 Elec2'!AD36</f>
        <v>0</v>
      </c>
      <c r="AE36" s="193">
        <f>'1.7.3 Elec2'!AE36</f>
        <v>0</v>
      </c>
      <c r="AF36" s="157"/>
      <c r="AG36" s="157"/>
      <c r="AH36" s="157"/>
      <c r="AI36" s="157"/>
      <c r="AJ36" s="157"/>
      <c r="AK36" s="157"/>
      <c r="AL36" s="157"/>
      <c r="AM36" s="157"/>
      <c r="AN36" s="157"/>
      <c r="AO36" s="176"/>
    </row>
    <row r="37" spans="1:41" s="158" customFormat="1" ht="14.25" x14ac:dyDescent="0.45">
      <c r="A37" s="614">
        <v>1917</v>
      </c>
      <c r="B37" s="176"/>
      <c r="C37" s="176"/>
      <c r="D37" s="197"/>
      <c r="E37" s="176"/>
      <c r="F37" s="176"/>
      <c r="G37" s="622">
        <f t="shared" si="0"/>
        <v>3.1486999999999998</v>
      </c>
      <c r="H37" s="176"/>
      <c r="I37" s="626"/>
      <c r="J37" s="176"/>
      <c r="K37" s="197"/>
      <c r="L37" s="620"/>
      <c r="N37" s="159"/>
      <c r="O37" s="157"/>
      <c r="P37" s="175"/>
      <c r="Q37" s="149"/>
      <c r="R37" s="175"/>
      <c r="S37" s="624">
        <f>'1.7.3 Elec2'!S37</f>
        <v>3.1486999999999998</v>
      </c>
      <c r="U37" s="613"/>
      <c r="V37" s="816">
        <v>1917</v>
      </c>
      <c r="AC37" s="614">
        <v>1917</v>
      </c>
      <c r="AD37" s="175">
        <f>'1.7.3 Elec2'!AD37</f>
        <v>0</v>
      </c>
      <c r="AE37" s="193">
        <f>'1.7.3 Elec2'!AE37</f>
        <v>0</v>
      </c>
      <c r="AF37" s="157"/>
      <c r="AG37" s="157"/>
      <c r="AH37" s="157"/>
      <c r="AI37" s="157"/>
      <c r="AJ37" s="157"/>
      <c r="AK37" s="157"/>
      <c r="AL37" s="157"/>
      <c r="AM37" s="157"/>
      <c r="AN37" s="157"/>
      <c r="AO37" s="176"/>
    </row>
    <row r="38" spans="1:41" s="158" customFormat="1" ht="14.25" x14ac:dyDescent="0.45">
      <c r="A38" s="614">
        <v>1918</v>
      </c>
      <c r="B38" s="176"/>
      <c r="C38" s="176"/>
      <c r="D38" s="197"/>
      <c r="E38" s="176"/>
      <c r="F38" s="176"/>
      <c r="G38" s="622">
        <f t="shared" si="0"/>
        <v>3.5695999999999999</v>
      </c>
      <c r="H38" s="176"/>
      <c r="I38" s="626"/>
      <c r="J38" s="176"/>
      <c r="K38" s="197"/>
      <c r="L38" s="620"/>
      <c r="N38" s="159"/>
      <c r="O38" s="157"/>
      <c r="P38" s="175"/>
      <c r="Q38" s="149"/>
      <c r="R38" s="175"/>
      <c r="S38" s="624">
        <f>'1.7.3 Elec2'!S38</f>
        <v>3.5695999999999999</v>
      </c>
      <c r="U38" s="613"/>
      <c r="V38" s="816">
        <v>1918</v>
      </c>
      <c r="AC38" s="614">
        <v>1918</v>
      </c>
      <c r="AD38" s="175">
        <f>'1.7.3 Elec2'!AD38</f>
        <v>0</v>
      </c>
      <c r="AE38" s="193">
        <f>'1.7.3 Elec2'!AE38</f>
        <v>0</v>
      </c>
      <c r="AF38" s="157"/>
      <c r="AG38" s="157"/>
      <c r="AH38" s="157"/>
      <c r="AI38" s="157"/>
      <c r="AJ38" s="157"/>
      <c r="AK38" s="157"/>
      <c r="AL38" s="157"/>
      <c r="AM38" s="157"/>
      <c r="AN38" s="157"/>
      <c r="AO38" s="176"/>
    </row>
    <row r="39" spans="1:41" s="158" customFormat="1" ht="14.25" x14ac:dyDescent="0.45">
      <c r="A39" s="614">
        <v>1919</v>
      </c>
      <c r="B39" s="176"/>
      <c r="C39" s="176"/>
      <c r="D39" s="197"/>
      <c r="E39" s="176"/>
      <c r="F39" s="176"/>
      <c r="G39" s="622">
        <f>S39</f>
        <v>3.5776999999999997</v>
      </c>
      <c r="H39" s="176"/>
      <c r="I39" s="626"/>
      <c r="K39" s="197"/>
      <c r="L39" s="620"/>
      <c r="N39" s="159"/>
      <c r="O39" s="157"/>
      <c r="P39" s="175"/>
      <c r="Q39" s="175"/>
      <c r="R39" s="175"/>
      <c r="S39" s="624">
        <f>'1.7.3 Elec2'!S39</f>
        <v>3.5776999999999997</v>
      </c>
      <c r="U39" s="613"/>
      <c r="V39" s="816">
        <v>1919</v>
      </c>
      <c r="AC39" s="614">
        <v>1919</v>
      </c>
      <c r="AD39" s="175">
        <f>'1.7.3 Elec2'!AD39</f>
        <v>0</v>
      </c>
      <c r="AE39" s="193">
        <f>'1.7.3 Elec2'!AE39</f>
        <v>0</v>
      </c>
      <c r="AF39" s="157"/>
      <c r="AG39" s="157"/>
      <c r="AH39" s="157"/>
      <c r="AI39" s="157"/>
      <c r="AJ39" s="157"/>
      <c r="AK39" s="157"/>
      <c r="AL39" s="157"/>
      <c r="AM39" s="157"/>
      <c r="AN39" s="157"/>
      <c r="AO39" s="176"/>
    </row>
    <row r="40" spans="1:41" s="158" customFormat="1" ht="14.25" x14ac:dyDescent="0.45">
      <c r="A40" s="614">
        <v>1920</v>
      </c>
      <c r="B40" s="175">
        <f>E40-D40-C40</f>
        <v>3.9760000000000004</v>
      </c>
      <c r="C40" s="176">
        <f>89/1000</f>
        <v>8.8999999999999996E-2</v>
      </c>
      <c r="D40" s="177">
        <v>0</v>
      </c>
      <c r="E40" s="176">
        <f>4065/1000</f>
        <v>4.0650000000000004</v>
      </c>
      <c r="F40" s="176"/>
      <c r="G40" s="622">
        <f t="shared" ref="G40:G79" si="1">S40</f>
        <v>3.7069999999999999</v>
      </c>
      <c r="H40" s="15"/>
      <c r="I40" s="626"/>
      <c r="J40" s="15"/>
      <c r="K40" s="15"/>
      <c r="L40" s="618"/>
      <c r="N40" s="179">
        <f>297/1000</f>
        <v>0.29699999999999999</v>
      </c>
      <c r="O40" s="175">
        <f>398/1000</f>
        <v>0.39800000000000002</v>
      </c>
      <c r="P40" s="175">
        <f>2545/1000</f>
        <v>2.5449999999999999</v>
      </c>
      <c r="Q40" s="180">
        <f>48/1000</f>
        <v>4.8000000000000001E-2</v>
      </c>
      <c r="R40" s="180">
        <f>419/1000</f>
        <v>0.41899999999999998</v>
      </c>
      <c r="S40" s="181">
        <f>3707/1000</f>
        <v>3.7069999999999999</v>
      </c>
      <c r="T40" s="182"/>
      <c r="U40" s="183">
        <v>850</v>
      </c>
      <c r="V40" s="816">
        <v>1920</v>
      </c>
      <c r="AC40" s="614">
        <v>1920</v>
      </c>
      <c r="AD40" s="175">
        <f>SUM(AE40:AM40)</f>
        <v>3.6825881033040004</v>
      </c>
      <c r="AE40" s="175">
        <f>(6348*1.016*23.8*0.023885)/1000</f>
        <v>3.6663407739840004</v>
      </c>
      <c r="AF40" s="175">
        <f>((6+9)*1.016*41.8*0.023885)/1000</f>
        <v>1.5215509319999999E-2</v>
      </c>
      <c r="AG40" s="177">
        <v>0</v>
      </c>
      <c r="AH40" s="177">
        <v>0</v>
      </c>
      <c r="AI40" s="193">
        <f>12*0.085985/1000</f>
        <v>1.0318200000000001E-3</v>
      </c>
      <c r="AJ40" s="193"/>
      <c r="AK40" s="193"/>
      <c r="AL40" s="193"/>
      <c r="AM40" s="235">
        <f t="shared" ref="AM40:AM49" si="2">(0*1.016*27*0.023885)/1000</f>
        <v>0</v>
      </c>
      <c r="AN40" s="185"/>
      <c r="AO40" s="176"/>
    </row>
    <row r="41" spans="1:41" s="158" customFormat="1" ht="14.25" x14ac:dyDescent="0.45">
      <c r="A41" s="614">
        <v>1921</v>
      </c>
      <c r="B41" s="175">
        <f t="shared" ref="B41:B79" si="3">E41-D41-C41</f>
        <v>3.605</v>
      </c>
      <c r="C41" s="176">
        <f>59/1000</f>
        <v>5.8999999999999997E-2</v>
      </c>
      <c r="D41" s="177">
        <v>0</v>
      </c>
      <c r="E41" s="176">
        <f>3664/1000</f>
        <v>3.6640000000000001</v>
      </c>
      <c r="F41" s="176"/>
      <c r="G41" s="622">
        <f t="shared" si="1"/>
        <v>3.242</v>
      </c>
      <c r="H41" s="15"/>
      <c r="I41" s="626"/>
      <c r="J41" s="15"/>
      <c r="K41" s="15"/>
      <c r="L41" s="618"/>
      <c r="N41" s="179">
        <f>316/1000</f>
        <v>0.316</v>
      </c>
      <c r="O41" s="175">
        <f>403/1000</f>
        <v>0.40300000000000002</v>
      </c>
      <c r="P41" s="175">
        <f>2081/1000</f>
        <v>2.081</v>
      </c>
      <c r="Q41" s="180">
        <f>51/1000</f>
        <v>5.0999999999999997E-2</v>
      </c>
      <c r="R41" s="180">
        <f>391/1000</f>
        <v>0.39100000000000001</v>
      </c>
      <c r="S41" s="181">
        <f>3242/1000</f>
        <v>3.242</v>
      </c>
      <c r="U41" s="183">
        <v>1000</v>
      </c>
      <c r="V41" s="816">
        <v>1921</v>
      </c>
      <c r="AC41" s="614">
        <v>1921</v>
      </c>
      <c r="AD41" s="175">
        <f t="shared" ref="AD41:AD84" si="4">SUM(AE41:AN41)</f>
        <v>3.1895986480239999</v>
      </c>
      <c r="AE41" s="175">
        <f>(5363*1.016*23.8*0.023885)/1000</f>
        <v>3.097445742104</v>
      </c>
      <c r="AF41" s="175">
        <f>((75+15)*1.016*41.8*0.023885)/1000</f>
        <v>9.1293055919999991E-2</v>
      </c>
      <c r="AG41" s="177">
        <v>0</v>
      </c>
      <c r="AH41" s="177">
        <v>0</v>
      </c>
      <c r="AI41" s="193">
        <f>10*0.085985/1000</f>
        <v>8.5985E-4</v>
      </c>
      <c r="AJ41" s="193"/>
      <c r="AK41" s="193"/>
      <c r="AL41" s="193"/>
      <c r="AM41" s="235">
        <f t="shared" si="2"/>
        <v>0</v>
      </c>
      <c r="AN41" s="185"/>
      <c r="AO41" s="176"/>
    </row>
    <row r="42" spans="1:41" s="158" customFormat="1" ht="14.25" x14ac:dyDescent="0.45">
      <c r="A42" s="614">
        <v>1922</v>
      </c>
      <c r="B42" s="175">
        <f t="shared" si="3"/>
        <v>4.226</v>
      </c>
      <c r="C42" s="176">
        <f>150/1000</f>
        <v>0.15</v>
      </c>
      <c r="D42" s="177">
        <v>0</v>
      </c>
      <c r="E42" s="176">
        <f>4376/1000</f>
        <v>4.3760000000000003</v>
      </c>
      <c r="F42" s="176"/>
      <c r="G42" s="622">
        <f t="shared" si="1"/>
        <v>3.7589999999999999</v>
      </c>
      <c r="H42" s="15"/>
      <c r="I42" s="626"/>
      <c r="J42" s="15"/>
      <c r="K42" s="15"/>
      <c r="L42" s="618"/>
      <c r="N42" s="179">
        <f>370/1000</f>
        <v>0.37</v>
      </c>
      <c r="O42" s="175">
        <f>460/1000</f>
        <v>0.46</v>
      </c>
      <c r="P42" s="175">
        <f>2456/1000</f>
        <v>2.456</v>
      </c>
      <c r="Q42" s="180">
        <f>58/1000</f>
        <v>5.8000000000000003E-2</v>
      </c>
      <c r="R42" s="180">
        <f>415/1000</f>
        <v>0.41499999999999998</v>
      </c>
      <c r="S42" s="181">
        <f>3759/1000</f>
        <v>3.7589999999999999</v>
      </c>
      <c r="U42" s="183">
        <v>1200</v>
      </c>
      <c r="V42" s="816">
        <v>1922</v>
      </c>
      <c r="AC42" s="614">
        <v>1922</v>
      </c>
      <c r="AD42" s="175">
        <f t="shared" si="4"/>
        <v>3.2100752776320003</v>
      </c>
      <c r="AE42" s="175">
        <f>(5481*1.016*23.8*0.023885)/1000</f>
        <v>3.1655976342480003</v>
      </c>
      <c r="AF42" s="175">
        <f>((32+11)*1.016*41.8*0.023885)/1000</f>
        <v>4.3617793384E-2</v>
      </c>
      <c r="AG42" s="177">
        <v>0</v>
      </c>
      <c r="AH42" s="177">
        <v>0</v>
      </c>
      <c r="AI42" s="193">
        <f>10*0.085985/1000</f>
        <v>8.5985E-4</v>
      </c>
      <c r="AJ42" s="193"/>
      <c r="AK42" s="193"/>
      <c r="AL42" s="193"/>
      <c r="AM42" s="235">
        <f t="shared" si="2"/>
        <v>0</v>
      </c>
      <c r="AN42" s="185"/>
      <c r="AO42" s="176"/>
    </row>
    <row r="43" spans="1:41" s="158" customFormat="1" ht="14.25" x14ac:dyDescent="0.45">
      <c r="A43" s="614">
        <v>1923</v>
      </c>
      <c r="B43" s="175">
        <f t="shared" si="3"/>
        <v>4.9279999999999999</v>
      </c>
      <c r="C43" s="176">
        <f>249/1000</f>
        <v>0.249</v>
      </c>
      <c r="D43" s="177">
        <v>0</v>
      </c>
      <c r="E43" s="176">
        <f>5177/1000</f>
        <v>5.1769999999999996</v>
      </c>
      <c r="F43" s="176"/>
      <c r="G43" s="622">
        <f t="shared" si="1"/>
        <v>4.4950000000000001</v>
      </c>
      <c r="H43" s="15"/>
      <c r="I43" s="626"/>
      <c r="J43" s="15"/>
      <c r="K43" s="15"/>
      <c r="L43" s="618"/>
      <c r="N43" s="179">
        <f>453/1000</f>
        <v>0.45300000000000001</v>
      </c>
      <c r="O43" s="175">
        <f>543/1000</f>
        <v>0.54300000000000004</v>
      </c>
      <c r="P43" s="175">
        <f>2989/1000</f>
        <v>2.9889999999999999</v>
      </c>
      <c r="Q43" s="180">
        <f>67/1000</f>
        <v>6.7000000000000004E-2</v>
      </c>
      <c r="R43" s="180">
        <f>443/1000</f>
        <v>0.443</v>
      </c>
      <c r="S43" s="181">
        <f>4495/1000</f>
        <v>4.4950000000000001</v>
      </c>
      <c r="U43" s="183">
        <v>1400</v>
      </c>
      <c r="V43" s="816">
        <v>1923</v>
      </c>
      <c r="AC43" s="614">
        <v>1923</v>
      </c>
      <c r="AD43" s="175">
        <f t="shared" si="4"/>
        <v>3.6186961476799997</v>
      </c>
      <c r="AE43" s="175">
        <f>(6174*1.016*23.8*0.023885)/1000</f>
        <v>3.565845610992</v>
      </c>
      <c r="AF43" s="175">
        <f>((39+12)*1.016*41.8*0.023885)/1000</f>
        <v>5.1732731688000001E-2</v>
      </c>
      <c r="AG43" s="177">
        <v>0</v>
      </c>
      <c r="AH43" s="177">
        <v>0</v>
      </c>
      <c r="AI43" s="193">
        <f>13*0.085985/1000</f>
        <v>1.1178050000000001E-3</v>
      </c>
      <c r="AJ43" s="193"/>
      <c r="AK43" s="193"/>
      <c r="AL43" s="193"/>
      <c r="AM43" s="235">
        <f t="shared" si="2"/>
        <v>0</v>
      </c>
      <c r="AN43" s="185"/>
      <c r="AO43" s="176"/>
    </row>
    <row r="44" spans="1:41" s="158" customFormat="1" ht="14.25" x14ac:dyDescent="0.45">
      <c r="A44" s="614">
        <v>1924</v>
      </c>
      <c r="B44" s="175">
        <f t="shared" si="3"/>
        <v>5.6269999999999998</v>
      </c>
      <c r="C44" s="176">
        <f>272/1000</f>
        <v>0.27200000000000002</v>
      </c>
      <c r="D44" s="177">
        <v>0</v>
      </c>
      <c r="E44" s="176">
        <f>5899/1000</f>
        <v>5.899</v>
      </c>
      <c r="F44" s="176"/>
      <c r="G44" s="622">
        <f t="shared" si="1"/>
        <v>5.1680000000000001</v>
      </c>
      <c r="H44" s="15"/>
      <c r="I44" s="626"/>
      <c r="J44" s="15"/>
      <c r="K44" s="15"/>
      <c r="L44" s="618"/>
      <c r="N44" s="179">
        <f>543/1000</f>
        <v>0.54300000000000004</v>
      </c>
      <c r="O44" s="175">
        <f>626/1000</f>
        <v>0.626</v>
      </c>
      <c r="P44" s="175">
        <f>3435/1000</f>
        <v>3.4350000000000001</v>
      </c>
      <c r="Q44" s="180">
        <f>78/1000</f>
        <v>7.8E-2</v>
      </c>
      <c r="R44" s="180">
        <f>486/1000</f>
        <v>0.48599999999999999</v>
      </c>
      <c r="S44" s="181">
        <f>5168/1000</f>
        <v>5.1680000000000001</v>
      </c>
      <c r="U44" s="183">
        <v>1600</v>
      </c>
      <c r="V44" s="816">
        <v>1924</v>
      </c>
      <c r="AC44" s="614">
        <v>1924</v>
      </c>
      <c r="AD44" s="175">
        <f t="shared" si="4"/>
        <v>3.9011534296640002</v>
      </c>
      <c r="AE44" s="175">
        <f>(6661*1.016*23.8*0.023885)/1000</f>
        <v>3.8471165556880003</v>
      </c>
      <c r="AF44" s="175">
        <f>((37+15)*1.016*41.8*0.023885)/1000</f>
        <v>5.2747098975999995E-2</v>
      </c>
      <c r="AG44" s="177">
        <v>0</v>
      </c>
      <c r="AH44" s="177">
        <v>0</v>
      </c>
      <c r="AI44" s="193">
        <f>15*0.085985/1000</f>
        <v>1.2897750000000002E-3</v>
      </c>
      <c r="AJ44" s="193"/>
      <c r="AK44" s="193"/>
      <c r="AL44" s="193"/>
      <c r="AM44" s="235">
        <f t="shared" si="2"/>
        <v>0</v>
      </c>
      <c r="AN44" s="185"/>
      <c r="AO44" s="176"/>
    </row>
    <row r="45" spans="1:41" s="158" customFormat="1" ht="14.25" x14ac:dyDescent="0.45">
      <c r="A45" s="614">
        <v>1925</v>
      </c>
      <c r="B45" s="175">
        <f t="shared" si="3"/>
        <v>6.1840000000000002</v>
      </c>
      <c r="C45" s="176">
        <f>308/1000</f>
        <v>0.308</v>
      </c>
      <c r="D45" s="177">
        <v>0</v>
      </c>
      <c r="E45" s="176">
        <f>6492/1000</f>
        <v>6.492</v>
      </c>
      <c r="F45" s="176"/>
      <c r="G45" s="622">
        <f t="shared" si="1"/>
        <v>5.6520000000000001</v>
      </c>
      <c r="H45" s="15"/>
      <c r="I45" s="626"/>
      <c r="J45" s="15"/>
      <c r="K45" s="15"/>
      <c r="L45" s="618"/>
      <c r="N45" s="179">
        <f>635/1000</f>
        <v>0.63500000000000001</v>
      </c>
      <c r="O45" s="175">
        <f>699/1000</f>
        <v>0.69899999999999995</v>
      </c>
      <c r="P45" s="175">
        <f>3709/1000</f>
        <v>3.7090000000000001</v>
      </c>
      <c r="Q45" s="180">
        <f>90/1000</f>
        <v>0.09</v>
      </c>
      <c r="R45" s="180">
        <f>519/1000</f>
        <v>0.51900000000000002</v>
      </c>
      <c r="S45" s="181">
        <f>5652/1000</f>
        <v>5.6520000000000001</v>
      </c>
      <c r="U45" s="183">
        <v>1900</v>
      </c>
      <c r="V45" s="816">
        <v>1925</v>
      </c>
      <c r="AC45" s="614">
        <v>1925</v>
      </c>
      <c r="AD45" s="175">
        <f t="shared" si="4"/>
        <v>4.0810119127199993</v>
      </c>
      <c r="AE45" s="175">
        <f>(6997*1.016*23.8*0.023885)/1000</f>
        <v>4.0411761807759996</v>
      </c>
      <c r="AF45" s="175">
        <f>((22+16)*1.016*41.8*0.023885)/1000</f>
        <v>3.8545956943999996E-2</v>
      </c>
      <c r="AG45" s="177">
        <v>0</v>
      </c>
      <c r="AH45" s="177">
        <v>0</v>
      </c>
      <c r="AI45" s="193">
        <f>15*0.085985/1000</f>
        <v>1.2897750000000002E-3</v>
      </c>
      <c r="AJ45" s="193"/>
      <c r="AK45" s="193"/>
      <c r="AL45" s="193"/>
      <c r="AM45" s="235">
        <f t="shared" si="2"/>
        <v>0</v>
      </c>
      <c r="AN45" s="185"/>
      <c r="AO45" s="176"/>
    </row>
    <row r="46" spans="1:41" s="158" customFormat="1" ht="14.25" x14ac:dyDescent="0.45">
      <c r="A46" s="614">
        <v>1926</v>
      </c>
      <c r="B46" s="175">
        <f t="shared" si="3"/>
        <v>6.5259999999999998</v>
      </c>
      <c r="C46" s="176">
        <f>262/1000</f>
        <v>0.26200000000000001</v>
      </c>
      <c r="D46" s="177">
        <v>0</v>
      </c>
      <c r="E46" s="176">
        <f>6788/1000</f>
        <v>6.7880000000000003</v>
      </c>
      <c r="F46" s="176"/>
      <c r="G46" s="622">
        <f t="shared" si="1"/>
        <v>5.8170000000000002</v>
      </c>
      <c r="H46" s="15"/>
      <c r="I46" s="626"/>
      <c r="J46" s="15"/>
      <c r="K46" s="15"/>
      <c r="L46" s="618"/>
      <c r="N46" s="179">
        <f>754/1000</f>
        <v>0.754</v>
      </c>
      <c r="O46" s="175">
        <f>812/1000</f>
        <v>0.81200000000000006</v>
      </c>
      <c r="P46" s="175">
        <f>3592/1000</f>
        <v>3.5920000000000001</v>
      </c>
      <c r="Q46" s="180">
        <f>96/1000</f>
        <v>9.6000000000000002E-2</v>
      </c>
      <c r="R46" s="180">
        <f>563/1000</f>
        <v>0.56299999999999994</v>
      </c>
      <c r="S46" s="181">
        <f>5817/1000</f>
        <v>5.8170000000000002</v>
      </c>
      <c r="U46" s="183">
        <v>2200</v>
      </c>
      <c r="V46" s="816">
        <v>1926</v>
      </c>
      <c r="AC46" s="614">
        <v>1926</v>
      </c>
      <c r="AD46" s="175">
        <f t="shared" si="4"/>
        <v>4.1438881242800001</v>
      </c>
      <c r="AE46" s="175">
        <f>(7004*1.016*23.8*0.023885)/1000</f>
        <v>4.0452190896319999</v>
      </c>
      <c r="AF46" s="175">
        <f>((75+21)*1.016*41.8*0.023885)/1000</f>
        <v>9.7379259647999983E-2</v>
      </c>
      <c r="AG46" s="177">
        <v>0</v>
      </c>
      <c r="AH46" s="177">
        <v>0</v>
      </c>
      <c r="AI46" s="193">
        <f>15*0.085985/1000</f>
        <v>1.2897750000000002E-3</v>
      </c>
      <c r="AJ46" s="193"/>
      <c r="AK46" s="193"/>
      <c r="AL46" s="193"/>
      <c r="AM46" s="235">
        <f t="shared" si="2"/>
        <v>0</v>
      </c>
      <c r="AN46" s="185"/>
      <c r="AO46" s="176"/>
    </row>
    <row r="47" spans="1:41" s="158" customFormat="1" ht="14.25" x14ac:dyDescent="0.45">
      <c r="A47" s="614">
        <v>1927</v>
      </c>
      <c r="B47" s="175">
        <f t="shared" si="3"/>
        <v>7.9260000000000002</v>
      </c>
      <c r="C47" s="176">
        <f>176/1000</f>
        <v>0.17599999999999999</v>
      </c>
      <c r="D47" s="177">
        <v>0</v>
      </c>
      <c r="E47" s="176">
        <f>8102/1000</f>
        <v>8.1020000000000003</v>
      </c>
      <c r="F47" s="176"/>
      <c r="G47" s="622">
        <f t="shared" si="1"/>
        <v>6.9809999999999999</v>
      </c>
      <c r="H47" s="15"/>
      <c r="I47" s="626"/>
      <c r="J47" s="15"/>
      <c r="K47" s="15"/>
      <c r="L47" s="618"/>
      <c r="N47" s="179">
        <f>921/1000</f>
        <v>0.92100000000000004</v>
      </c>
      <c r="O47" s="175">
        <f>923/1000</f>
        <v>0.92300000000000004</v>
      </c>
      <c r="P47" s="175">
        <f>4375/1000</f>
        <v>4.375</v>
      </c>
      <c r="Q47" s="180">
        <f>113/1000</f>
        <v>0.113</v>
      </c>
      <c r="R47" s="180">
        <f>649/1000</f>
        <v>0.64900000000000002</v>
      </c>
      <c r="S47" s="181">
        <f>6981/1000</f>
        <v>6.9809999999999999</v>
      </c>
      <c r="U47" s="183">
        <v>2600</v>
      </c>
      <c r="V47" s="816">
        <v>1927</v>
      </c>
      <c r="AC47" s="614">
        <v>1927</v>
      </c>
      <c r="AD47" s="175">
        <f t="shared" si="4"/>
        <v>4.6287288060960003</v>
      </c>
      <c r="AE47" s="175">
        <f>(7957*1.016*23.8*0.023885)/1000</f>
        <v>4.5956322524560003</v>
      </c>
      <c r="AF47" s="175">
        <f>((9+21)*1.016*41.8*0.023885)/1000</f>
        <v>3.0431018639999998E-2</v>
      </c>
      <c r="AG47" s="177">
        <v>0</v>
      </c>
      <c r="AH47" s="177">
        <v>0</v>
      </c>
      <c r="AI47" s="193">
        <f>31*0.085985/1000</f>
        <v>2.6655350000000001E-3</v>
      </c>
      <c r="AJ47" s="193"/>
      <c r="AK47" s="193"/>
      <c r="AL47" s="193"/>
      <c r="AM47" s="235">
        <f t="shared" si="2"/>
        <v>0</v>
      </c>
      <c r="AN47" s="185"/>
      <c r="AO47" s="176"/>
    </row>
    <row r="48" spans="1:41" s="158" customFormat="1" ht="14.25" x14ac:dyDescent="0.45">
      <c r="A48" s="614">
        <v>1928</v>
      </c>
      <c r="B48" s="175">
        <f t="shared" si="3"/>
        <v>8.75</v>
      </c>
      <c r="C48" s="176">
        <f>229/1000</f>
        <v>0.22900000000000001</v>
      </c>
      <c r="D48" s="177">
        <v>0</v>
      </c>
      <c r="E48" s="176">
        <f>8979/1000</f>
        <v>8.9789999999999992</v>
      </c>
      <c r="F48" s="176"/>
      <c r="G48" s="622">
        <f t="shared" si="1"/>
        <v>7.7439999999999998</v>
      </c>
      <c r="H48" s="15"/>
      <c r="I48" s="626"/>
      <c r="J48" s="15"/>
      <c r="K48" s="15"/>
      <c r="L48" s="618"/>
      <c r="N48" s="179">
        <f>1098/1000</f>
        <v>1.0980000000000001</v>
      </c>
      <c r="O48" s="175">
        <f>1042/1000</f>
        <v>1.042</v>
      </c>
      <c r="P48" s="175">
        <f>4762/1000</f>
        <v>4.7619999999999996</v>
      </c>
      <c r="Q48" s="180">
        <f>126/1000</f>
        <v>0.126</v>
      </c>
      <c r="R48" s="180">
        <f>716/1000</f>
        <v>0.71599999999999997</v>
      </c>
      <c r="S48" s="181">
        <f>7744/1000</f>
        <v>7.7439999999999998</v>
      </c>
      <c r="U48" s="183">
        <v>3007</v>
      </c>
      <c r="V48" s="816">
        <v>1928</v>
      </c>
      <c r="AC48" s="614">
        <v>1928</v>
      </c>
      <c r="AD48" s="175">
        <f t="shared" si="4"/>
        <v>4.7934599053600007</v>
      </c>
      <c r="AE48" s="175">
        <f>(8229*1.016*23.8*0.023885)/1000</f>
        <v>4.7527281394320005</v>
      </c>
      <c r="AF48" s="175">
        <f>((6+25)*1.016*41.8*0.023885)/1000</f>
        <v>3.1445385928000003E-2</v>
      </c>
      <c r="AG48" s="177">
        <v>0</v>
      </c>
      <c r="AH48" s="177">
        <v>0</v>
      </c>
      <c r="AI48" s="193">
        <f>108*0.085985/1000</f>
        <v>9.2863800000000003E-3</v>
      </c>
      <c r="AJ48" s="193"/>
      <c r="AK48" s="193"/>
      <c r="AL48" s="193"/>
      <c r="AM48" s="235">
        <f t="shared" si="2"/>
        <v>0</v>
      </c>
      <c r="AN48" s="185"/>
      <c r="AO48" s="176"/>
    </row>
    <row r="49" spans="1:41" s="158" customFormat="1" ht="14.25" x14ac:dyDescent="0.45">
      <c r="A49" s="614">
        <v>1929</v>
      </c>
      <c r="B49" s="175">
        <f t="shared" si="3"/>
        <v>9.7569999999999997</v>
      </c>
      <c r="C49" s="176">
        <f>222/1000</f>
        <v>0.222</v>
      </c>
      <c r="D49" s="177">
        <v>0</v>
      </c>
      <c r="E49" s="176">
        <f>9979/1000</f>
        <v>9.9789999999999992</v>
      </c>
      <c r="F49" s="176"/>
      <c r="G49" s="622">
        <f t="shared" si="1"/>
        <v>8.7460000000000004</v>
      </c>
      <c r="H49" s="15"/>
      <c r="I49" s="626"/>
      <c r="J49" s="15"/>
      <c r="K49" s="15"/>
      <c r="L49" s="618"/>
      <c r="N49" s="179">
        <f>1311/1000</f>
        <v>1.3109999999999999</v>
      </c>
      <c r="O49" s="175">
        <f>1191/1000</f>
        <v>1.1910000000000001</v>
      </c>
      <c r="P49" s="175">
        <f>5318/1000</f>
        <v>5.3179999999999996</v>
      </c>
      <c r="Q49" s="180">
        <f>144/1000</f>
        <v>0.14399999999999999</v>
      </c>
      <c r="R49" s="180">
        <f>782/1000</f>
        <v>0.78200000000000003</v>
      </c>
      <c r="S49" s="181">
        <f>8746/1000</f>
        <v>8.7460000000000004</v>
      </c>
      <c r="U49" s="183">
        <v>3472</v>
      </c>
      <c r="V49" s="816">
        <v>1929</v>
      </c>
      <c r="AC49" s="614">
        <v>1929</v>
      </c>
      <c r="AD49" s="175">
        <f t="shared" si="4"/>
        <v>5.1741682426000013</v>
      </c>
      <c r="AE49" s="175">
        <f>(8884*1.016*23.8*0.023885)/1000</f>
        <v>5.1310288966720012</v>
      </c>
      <c r="AF49" s="175">
        <f>((5+26)*1.016*41.8*0.023885)/1000</f>
        <v>3.1445385928000003E-2</v>
      </c>
      <c r="AG49" s="177">
        <v>0</v>
      </c>
      <c r="AH49" s="177">
        <v>0</v>
      </c>
      <c r="AI49" s="193">
        <f>136*0.085985/1000</f>
        <v>1.169396E-2</v>
      </c>
      <c r="AJ49" s="193"/>
      <c r="AK49" s="193"/>
      <c r="AL49" s="193"/>
      <c r="AM49" s="235">
        <f t="shared" si="2"/>
        <v>0</v>
      </c>
      <c r="AN49" s="185"/>
      <c r="AO49" s="176"/>
    </row>
    <row r="50" spans="1:41" s="158" customFormat="1" ht="14.25" x14ac:dyDescent="0.45">
      <c r="A50" s="614">
        <v>1930</v>
      </c>
      <c r="B50" s="175">
        <f t="shared" si="3"/>
        <v>10.262</v>
      </c>
      <c r="C50" s="176">
        <f>213/1000</f>
        <v>0.21299999999999999</v>
      </c>
      <c r="D50" s="177">
        <v>0</v>
      </c>
      <c r="E50" s="176">
        <f>10475/1000</f>
        <v>10.475</v>
      </c>
      <c r="F50" s="176"/>
      <c r="G50" s="622">
        <f t="shared" si="1"/>
        <v>9.1690000000000005</v>
      </c>
      <c r="H50" s="15"/>
      <c r="I50" s="626"/>
      <c r="J50" s="15"/>
      <c r="K50" s="15"/>
      <c r="L50" s="618"/>
      <c r="N50" s="179">
        <f>1532/1000</f>
        <v>1.532</v>
      </c>
      <c r="O50" s="175">
        <f>1314/1000</f>
        <v>1.3140000000000001</v>
      </c>
      <c r="P50" s="175">
        <f>5355/1000</f>
        <v>5.3550000000000004</v>
      </c>
      <c r="Q50" s="180">
        <f>162/1000</f>
        <v>0.16200000000000001</v>
      </c>
      <c r="R50" s="180">
        <f>806/1000</f>
        <v>0.80600000000000005</v>
      </c>
      <c r="S50" s="181">
        <f>9169/1000</f>
        <v>9.1690000000000005</v>
      </c>
      <c r="U50" s="183">
        <v>4012</v>
      </c>
      <c r="V50" s="816">
        <v>1930</v>
      </c>
      <c r="AC50" s="614">
        <v>1930</v>
      </c>
      <c r="AD50" s="175">
        <f t="shared" si="4"/>
        <v>5.7846513849679999</v>
      </c>
      <c r="AE50" s="175">
        <f>((1156+8520)*1.016*23.8*0.023885)/1000</f>
        <v>5.588455155808</v>
      </c>
      <c r="AF50" s="175">
        <f>((0+30)*1.016*41.8*0.023885)/1000</f>
        <v>3.0431018639999998E-2</v>
      </c>
      <c r="AG50" s="177">
        <v>0</v>
      </c>
      <c r="AH50" s="177">
        <v>0</v>
      </c>
      <c r="AI50" s="193">
        <f>320*0.085985/1000</f>
        <v>2.75152E-2</v>
      </c>
      <c r="AJ50" s="193"/>
      <c r="AK50" s="193"/>
      <c r="AL50" s="193"/>
      <c r="AM50" s="175">
        <f>((26+185)*1.016*27*0.023885)/1000</f>
        <v>0.13825001051999999</v>
      </c>
      <c r="AN50" s="176"/>
      <c r="AO50" s="211"/>
    </row>
    <row r="51" spans="1:41" s="158" customFormat="1" ht="14.25" x14ac:dyDescent="0.45">
      <c r="A51" s="614">
        <v>1931</v>
      </c>
      <c r="B51" s="175">
        <f t="shared" si="3"/>
        <v>10.755000000000001</v>
      </c>
      <c r="C51" s="176">
        <f>158/1000</f>
        <v>0.158</v>
      </c>
      <c r="D51" s="177">
        <v>0</v>
      </c>
      <c r="E51" s="176">
        <f>10913/1000</f>
        <v>10.913</v>
      </c>
      <c r="F51" s="176"/>
      <c r="G51" s="622">
        <f t="shared" si="1"/>
        <v>9.5</v>
      </c>
      <c r="H51" s="15"/>
      <c r="I51" s="626"/>
      <c r="J51" s="15"/>
      <c r="K51" s="15"/>
      <c r="L51" s="618"/>
      <c r="N51" s="179">
        <f>1776/1000</f>
        <v>1.776</v>
      </c>
      <c r="O51" s="175">
        <f>1439/1000</f>
        <v>1.4390000000000001</v>
      </c>
      <c r="P51" s="175">
        <f>5282/1000</f>
        <v>5.282</v>
      </c>
      <c r="Q51" s="180">
        <f>181/1000</f>
        <v>0.18099999999999999</v>
      </c>
      <c r="R51" s="180">
        <f>822/1000</f>
        <v>0.82199999999999995</v>
      </c>
      <c r="S51" s="181">
        <f>9500/1000</f>
        <v>9.5</v>
      </c>
      <c r="U51" s="183">
        <v>4646</v>
      </c>
      <c r="V51" s="816">
        <v>1931</v>
      </c>
      <c r="AC51" s="614">
        <v>1931</v>
      </c>
      <c r="AD51" s="175">
        <f t="shared" si="4"/>
        <v>5.7595774274240004</v>
      </c>
      <c r="AE51" s="175">
        <f>((1113+8499)*1.016*23.8*0.023885)/1000</f>
        <v>5.551491417696</v>
      </c>
      <c r="AF51" s="175">
        <f>((0+31)*1.016*41.8*0.023885)/1000</f>
        <v>3.1445385928000003E-2</v>
      </c>
      <c r="AG51" s="177">
        <v>0</v>
      </c>
      <c r="AH51" s="177">
        <v>0</v>
      </c>
      <c r="AI51" s="193">
        <f>416*0.085985/1000</f>
        <v>3.5769760000000005E-2</v>
      </c>
      <c r="AJ51" s="193"/>
      <c r="AK51" s="193"/>
      <c r="AL51" s="193"/>
      <c r="AM51" s="175">
        <f>((7+208)*1.016*27*0.023885)/1000</f>
        <v>0.1408708638</v>
      </c>
      <c r="AN51" s="176"/>
      <c r="AO51" s="211"/>
    </row>
    <row r="52" spans="1:41" s="158" customFormat="1" ht="14.25" x14ac:dyDescent="0.45">
      <c r="A52" s="614">
        <v>1932</v>
      </c>
      <c r="B52" s="175">
        <f t="shared" si="3"/>
        <v>11.535</v>
      </c>
      <c r="C52" s="176">
        <f>166/1000</f>
        <v>0.16600000000000001</v>
      </c>
      <c r="D52" s="177">
        <v>0</v>
      </c>
      <c r="E52" s="176">
        <f>11701/1000</f>
        <v>11.701000000000001</v>
      </c>
      <c r="F52" s="176"/>
      <c r="G52" s="622">
        <f t="shared" si="1"/>
        <v>10.176</v>
      </c>
      <c r="H52" s="15"/>
      <c r="I52" s="626"/>
      <c r="J52" s="15"/>
      <c r="K52" s="15"/>
      <c r="L52" s="618"/>
      <c r="N52" s="179">
        <f>2027/1000</f>
        <v>2.0270000000000001</v>
      </c>
      <c r="O52" s="175">
        <f>1577/1000</f>
        <v>1.577</v>
      </c>
      <c r="P52" s="175">
        <f>5518/1000</f>
        <v>5.5179999999999998</v>
      </c>
      <c r="Q52" s="180">
        <f>199/1000</f>
        <v>0.19900000000000001</v>
      </c>
      <c r="R52" s="180">
        <f>855/1000</f>
        <v>0.85499999999999998</v>
      </c>
      <c r="S52" s="181">
        <f>10176/1000</f>
        <v>10.176</v>
      </c>
      <c r="U52" s="183">
        <v>5337</v>
      </c>
      <c r="V52" s="816">
        <v>1932</v>
      </c>
      <c r="AC52" s="614">
        <v>1932</v>
      </c>
      <c r="AD52" s="175">
        <f t="shared" si="4"/>
        <v>5.8963257257919999</v>
      </c>
      <c r="AE52" s="175">
        <f>((1004+8805)*1.016*23.8*0.023885)/1000</f>
        <v>5.6652704240719993</v>
      </c>
      <c r="AF52" s="175">
        <f>((0+35)*1.016*41.8*0.023885)/1000</f>
        <v>3.550285508E-2</v>
      </c>
      <c r="AG52" s="177">
        <v>0</v>
      </c>
      <c r="AH52" s="177">
        <v>0</v>
      </c>
      <c r="AI52" s="193">
        <f>354*0.085985/1000</f>
        <v>3.0438690000000001E-2</v>
      </c>
      <c r="AJ52" s="193"/>
      <c r="AK52" s="193"/>
      <c r="AL52" s="193"/>
      <c r="AM52" s="175">
        <f>((21+231)*1.016*27*0.023885)/1000</f>
        <v>0.16511375664</v>
      </c>
      <c r="AN52" s="176"/>
      <c r="AO52" s="176"/>
    </row>
    <row r="53" spans="1:41" s="158" customFormat="1" ht="14.25" x14ac:dyDescent="0.45">
      <c r="A53" s="614">
        <v>1933</v>
      </c>
      <c r="B53" s="175">
        <f t="shared" si="3"/>
        <v>12.781000000000001</v>
      </c>
      <c r="C53" s="176">
        <f>183/1000</f>
        <v>0.183</v>
      </c>
      <c r="D53" s="177">
        <v>0</v>
      </c>
      <c r="E53" s="176">
        <f>12964/1000</f>
        <v>12.964</v>
      </c>
      <c r="F53" s="176"/>
      <c r="G53" s="622">
        <f t="shared" si="1"/>
        <v>11.273</v>
      </c>
      <c r="H53" s="15"/>
      <c r="I53" s="626"/>
      <c r="J53" s="15"/>
      <c r="K53" s="15"/>
      <c r="L53" s="618"/>
      <c r="N53" s="179">
        <f>2296/1000</f>
        <v>2.2959999999999998</v>
      </c>
      <c r="O53" s="175">
        <f>1741/1000</f>
        <v>1.7410000000000001</v>
      </c>
      <c r="P53" s="175">
        <f>6073/1000</f>
        <v>6.0730000000000004</v>
      </c>
      <c r="Q53" s="180">
        <f>216/1000</f>
        <v>0.216</v>
      </c>
      <c r="R53" s="180">
        <f>947/1000</f>
        <v>0.94699999999999995</v>
      </c>
      <c r="S53" s="181">
        <f>11273/1000</f>
        <v>11.273</v>
      </c>
      <c r="U53" s="183">
        <v>6109</v>
      </c>
      <c r="V53" s="816">
        <v>1933</v>
      </c>
      <c r="AC53" s="614">
        <v>1933</v>
      </c>
      <c r="AD53" s="175">
        <f t="shared" si="4"/>
        <v>6.1765716649360005</v>
      </c>
      <c r="AE53" s="175">
        <f>((959+9368)*1.016*23.8*0.023885)/1000</f>
        <v>5.9644456794160003</v>
      </c>
      <c r="AF53" s="175">
        <f>((0+30)*1.016*41.8*0.023885)/1000</f>
        <v>3.0431018639999998E-2</v>
      </c>
      <c r="AG53" s="177">
        <v>0</v>
      </c>
      <c r="AH53" s="177">
        <v>0</v>
      </c>
      <c r="AI53" s="193">
        <f>330*0.085985/1000</f>
        <v>2.8375050000000002E-2</v>
      </c>
      <c r="AJ53" s="193"/>
      <c r="AK53" s="193"/>
      <c r="AL53" s="193"/>
      <c r="AM53" s="175">
        <f>((7+227)*1.016*27*0.023885)/1000</f>
        <v>0.15331991687999999</v>
      </c>
      <c r="AN53" s="176"/>
      <c r="AO53" s="176"/>
    </row>
    <row r="54" spans="1:41" s="158" customFormat="1" ht="14.25" x14ac:dyDescent="0.45">
      <c r="A54" s="614">
        <v>1934</v>
      </c>
      <c r="B54" s="175">
        <f t="shared" si="3"/>
        <v>14.582000000000001</v>
      </c>
      <c r="C54" s="176">
        <f>187/1000</f>
        <v>0.187</v>
      </c>
      <c r="D54" s="177">
        <v>0</v>
      </c>
      <c r="E54" s="176">
        <f>14769/1000</f>
        <v>14.769</v>
      </c>
      <c r="F54" s="176"/>
      <c r="G54" s="622">
        <f t="shared" si="1"/>
        <v>12.891999999999999</v>
      </c>
      <c r="H54" s="15"/>
      <c r="I54" s="626"/>
      <c r="J54" s="15"/>
      <c r="K54" s="15"/>
      <c r="L54" s="618"/>
      <c r="N54" s="179">
        <f>2647/1000</f>
        <v>2.6469999999999998</v>
      </c>
      <c r="O54" s="175">
        <f>1963/1000</f>
        <v>1.9630000000000001</v>
      </c>
      <c r="P54" s="175">
        <f>7060/1000</f>
        <v>7.06</v>
      </c>
      <c r="Q54" s="180">
        <f>240/1000</f>
        <v>0.24</v>
      </c>
      <c r="R54" s="180">
        <f>982/1000</f>
        <v>0.98199999999999998</v>
      </c>
      <c r="S54" s="181">
        <f>12892/1000</f>
        <v>12.891999999999999</v>
      </c>
      <c r="U54" s="183">
        <v>6903</v>
      </c>
      <c r="V54" s="816">
        <v>1934</v>
      </c>
      <c r="AC54" s="614">
        <v>1934</v>
      </c>
      <c r="AD54" s="175">
        <f t="shared" si="4"/>
        <v>6.647563208943998</v>
      </c>
      <c r="AE54" s="175">
        <f>((936+10234)*1.016*23.8*0.023885)/1000</f>
        <v>6.451327417359999</v>
      </c>
      <c r="AF54" s="175">
        <f>((0+23)*1.016*41.8*0.023885)/1000</f>
        <v>2.3330447624000002E-2</v>
      </c>
      <c r="AG54" s="177">
        <v>0</v>
      </c>
      <c r="AH54" s="177">
        <v>0</v>
      </c>
      <c r="AI54" s="193">
        <f>464*0.085985/1000</f>
        <v>3.9897040000000002E-2</v>
      </c>
      <c r="AJ54" s="193"/>
      <c r="AK54" s="193"/>
      <c r="AL54" s="193"/>
      <c r="AM54" s="175">
        <f>((8+195)*1.016*27*0.023885)/1000</f>
        <v>0.13300830396000002</v>
      </c>
      <c r="AN54" s="176"/>
      <c r="AO54" s="176"/>
    </row>
    <row r="55" spans="1:41" s="158" customFormat="1" ht="14.25" x14ac:dyDescent="0.45">
      <c r="A55" s="614">
        <v>1935</v>
      </c>
      <c r="B55" s="175">
        <f>E55-D55-C55</f>
        <v>16.596</v>
      </c>
      <c r="C55" s="176">
        <f>221/1000</f>
        <v>0.221</v>
      </c>
      <c r="D55" s="177">
        <v>0</v>
      </c>
      <c r="E55" s="176">
        <f>16817/1000</f>
        <v>16.817</v>
      </c>
      <c r="F55" s="176"/>
      <c r="G55" s="622">
        <f t="shared" si="1"/>
        <v>14.641</v>
      </c>
      <c r="H55" s="15"/>
      <c r="I55" s="626"/>
      <c r="J55" s="15"/>
      <c r="K55" s="15"/>
      <c r="L55" s="618"/>
      <c r="N55" s="179">
        <f>3227/1000</f>
        <v>3.2269999999999999</v>
      </c>
      <c r="O55" s="175">
        <f>2257/1000</f>
        <v>2.2570000000000001</v>
      </c>
      <c r="P55" s="175">
        <f>7853/1000</f>
        <v>7.8529999999999998</v>
      </c>
      <c r="Q55" s="180">
        <f>268/1000</f>
        <v>0.26800000000000002</v>
      </c>
      <c r="R55" s="180">
        <f>1036/1000</f>
        <v>1.036</v>
      </c>
      <c r="S55" s="181">
        <f>14641/1000</f>
        <v>14.641</v>
      </c>
      <c r="U55" s="183">
        <v>7704</v>
      </c>
      <c r="V55" s="816">
        <v>1935</v>
      </c>
      <c r="AC55" s="614">
        <v>1935</v>
      </c>
      <c r="AD55" s="175">
        <f t="shared" si="4"/>
        <v>7.2597524512000007</v>
      </c>
      <c r="AE55" s="175">
        <f>((957+11279)*1.016*23.8*0.023885)/1000</f>
        <v>7.0670046802880009</v>
      </c>
      <c r="AF55" s="175">
        <f>((0+24)*1.016*41.8*0.023885)/1000</f>
        <v>2.4344814911999996E-2</v>
      </c>
      <c r="AG55" s="177">
        <v>0</v>
      </c>
      <c r="AH55" s="177">
        <v>0</v>
      </c>
      <c r="AI55" s="193">
        <f>625*0.085985/1000</f>
        <v>5.3740625E-2</v>
      </c>
      <c r="AJ55" s="193"/>
      <c r="AK55" s="193"/>
      <c r="AL55" s="193"/>
      <c r="AM55" s="175">
        <f>((7+168)*1.016*27*0.023885)/1000</f>
        <v>0.11466233100000001</v>
      </c>
      <c r="AN55" s="176"/>
      <c r="AO55" s="176"/>
    </row>
    <row r="56" spans="1:41" s="158" customFormat="1" ht="14.25" x14ac:dyDescent="0.45">
      <c r="A56" s="614">
        <v>1936</v>
      </c>
      <c r="B56" s="175">
        <f>E56-D56-C56</f>
        <v>19.167000000000002</v>
      </c>
      <c r="C56" s="176">
        <f>237/1000</f>
        <v>0.23699999999999999</v>
      </c>
      <c r="D56" s="177">
        <v>0</v>
      </c>
      <c r="E56" s="176">
        <f>19404/1000</f>
        <v>19.404</v>
      </c>
      <c r="F56" s="176"/>
      <c r="G56" s="622">
        <f t="shared" si="1"/>
        <v>16.890999999999998</v>
      </c>
      <c r="H56" s="15"/>
      <c r="I56" s="626"/>
      <c r="J56" s="15"/>
      <c r="K56" s="15"/>
      <c r="L56" s="618"/>
      <c r="N56" s="179">
        <f>3964/1000</f>
        <v>3.964</v>
      </c>
      <c r="O56" s="175">
        <f>2619/1000</f>
        <v>2.6190000000000002</v>
      </c>
      <c r="P56" s="175">
        <f>8914/1000</f>
        <v>8.9139999999999997</v>
      </c>
      <c r="Q56" s="180">
        <f>298/1000</f>
        <v>0.29799999999999999</v>
      </c>
      <c r="R56" s="180">
        <f>1096/1000</f>
        <v>1.0960000000000001</v>
      </c>
      <c r="S56" s="181">
        <f>16891/1000</f>
        <v>16.890999999999998</v>
      </c>
      <c r="U56" s="183">
        <v>8557</v>
      </c>
      <c r="V56" s="816">
        <v>1936</v>
      </c>
      <c r="AC56" s="614">
        <v>1936</v>
      </c>
      <c r="AD56" s="175">
        <f t="shared" si="4"/>
        <v>8.0483856566960004</v>
      </c>
      <c r="AE56" s="175">
        <f>((960+12643)*1.016*23.8*0.023885)/1000</f>
        <v>7.8565270240240004</v>
      </c>
      <c r="AF56" s="175">
        <f>((0+24)*1.016*41.8*0.023885)/1000</f>
        <v>2.4344814911999996E-2</v>
      </c>
      <c r="AG56" s="177">
        <v>0</v>
      </c>
      <c r="AH56" s="177">
        <v>0</v>
      </c>
      <c r="AI56" s="193">
        <f>668*0.085985/1000</f>
        <v>5.7437980000000007E-2</v>
      </c>
      <c r="AJ56" s="193"/>
      <c r="AK56" s="193"/>
      <c r="AL56" s="193"/>
      <c r="AM56" s="175">
        <f>((7+161)*1.016*27*0.023885)/1000</f>
        <v>0.11007583776</v>
      </c>
      <c r="AN56" s="176"/>
      <c r="AO56" s="176"/>
    </row>
    <row r="57" spans="1:41" s="158" customFormat="1" ht="14.25" x14ac:dyDescent="0.45">
      <c r="A57" s="614">
        <v>1937</v>
      </c>
      <c r="B57" s="175">
        <f>E57-D57-C57</f>
        <v>21.672000000000001</v>
      </c>
      <c r="C57" s="176">
        <f>169/1000</f>
        <v>0.16900000000000001</v>
      </c>
      <c r="D57" s="177">
        <v>0</v>
      </c>
      <c r="E57" s="176">
        <f>21841/1000</f>
        <v>21.841000000000001</v>
      </c>
      <c r="F57" s="176"/>
      <c r="G57" s="622">
        <f t="shared" si="1"/>
        <v>19.169</v>
      </c>
      <c r="H57" s="15"/>
      <c r="I57" s="626"/>
      <c r="J57" s="15"/>
      <c r="K57" s="15"/>
      <c r="L57" s="618"/>
      <c r="N57" s="179">
        <f>4687/1000</f>
        <v>4.6870000000000003</v>
      </c>
      <c r="O57" s="175">
        <f>2944/1000</f>
        <v>2.944</v>
      </c>
      <c r="P57" s="175">
        <f>10019/1000</f>
        <v>10.019</v>
      </c>
      <c r="Q57" s="180">
        <f>339/1000</f>
        <v>0.33900000000000002</v>
      </c>
      <c r="R57" s="180">
        <f>1180/1000</f>
        <v>1.18</v>
      </c>
      <c r="S57" s="181">
        <f>19169/1000</f>
        <v>19.169</v>
      </c>
      <c r="U57" s="183">
        <v>9358</v>
      </c>
      <c r="V57" s="816">
        <v>1937</v>
      </c>
      <c r="AC57" s="614">
        <v>1937</v>
      </c>
      <c r="AD57" s="175">
        <f t="shared" si="4"/>
        <v>8.7553187043760001</v>
      </c>
      <c r="AE57" s="175">
        <f>((933+13830)*1.016*23.8*0.023885)/1000</f>
        <v>8.5264947773040003</v>
      </c>
      <c r="AF57" s="175">
        <f>((0+24)*1.016*41.8*0.023885)/1000</f>
        <v>2.4344814911999996E-2</v>
      </c>
      <c r="AG57" s="177">
        <v>0</v>
      </c>
      <c r="AH57" s="177">
        <v>0</v>
      </c>
      <c r="AI57" s="193">
        <f>755*0.085985/1000</f>
        <v>6.4918675000000009E-2</v>
      </c>
      <c r="AJ57" s="193"/>
      <c r="AK57" s="193"/>
      <c r="AL57" s="193"/>
      <c r="AM57" s="175">
        <f>((12+201)*1.016*27*0.023885)/1000</f>
        <v>0.13956043716000002</v>
      </c>
      <c r="AN57" s="176"/>
      <c r="AO57" s="176"/>
    </row>
    <row r="58" spans="1:41" s="158" customFormat="1" ht="14.25" x14ac:dyDescent="0.45">
      <c r="A58" s="614">
        <v>1938</v>
      </c>
      <c r="B58" s="175">
        <f t="shared" si="3"/>
        <v>23.089000000000002</v>
      </c>
      <c r="C58" s="176">
        <f>249/1000</f>
        <v>0.249</v>
      </c>
      <c r="D58" s="177">
        <v>0</v>
      </c>
      <c r="E58" s="176">
        <f>23338/1000</f>
        <v>23.338000000000001</v>
      </c>
      <c r="F58" s="176"/>
      <c r="G58" s="622">
        <f t="shared" si="1"/>
        <v>20.404</v>
      </c>
      <c r="H58" s="15"/>
      <c r="I58" s="626"/>
      <c r="J58" s="15"/>
      <c r="K58" s="15"/>
      <c r="L58" s="618"/>
      <c r="N58" s="179">
        <f>5361/1000</f>
        <v>5.3609999999999998</v>
      </c>
      <c r="O58" s="175">
        <f>3107/1000</f>
        <v>3.1070000000000002</v>
      </c>
      <c r="P58" s="175">
        <f>10320/1000</f>
        <v>10.32</v>
      </c>
      <c r="Q58" s="180">
        <f>367/1000</f>
        <v>0.36699999999999999</v>
      </c>
      <c r="R58" s="180">
        <f>1249/1000</f>
        <v>1.2490000000000001</v>
      </c>
      <c r="S58" s="181">
        <f>20404/1000</f>
        <v>20.404</v>
      </c>
      <c r="U58" s="183">
        <v>10113</v>
      </c>
      <c r="V58" s="816">
        <v>1938</v>
      </c>
      <c r="AC58" s="614">
        <v>1938</v>
      </c>
      <c r="AD58" s="175">
        <f t="shared" si="4"/>
        <v>8.846358919535998</v>
      </c>
      <c r="AE58" s="175">
        <f>((917+14010)*1.016*23.8*0.023885)/1000</f>
        <v>8.6212143562159991</v>
      </c>
      <c r="AF58" s="175">
        <f>((0+20)*1.016*41.8*0.023885)/1000</f>
        <v>2.0287345760000002E-2</v>
      </c>
      <c r="AG58" s="177">
        <v>0</v>
      </c>
      <c r="AH58" s="177">
        <v>0</v>
      </c>
      <c r="AI58" s="193">
        <f>988*0.085985/1000</f>
        <v>8.4953180000000003E-2</v>
      </c>
      <c r="AJ58" s="193"/>
      <c r="AK58" s="193"/>
      <c r="AL58" s="193"/>
      <c r="AM58" s="175">
        <f>((7+176)*1.016*27*0.023885)/1000</f>
        <v>0.11990403756</v>
      </c>
      <c r="AN58" s="176"/>
      <c r="AO58" s="176"/>
    </row>
    <row r="59" spans="1:41" s="158" customFormat="1" ht="14.25" x14ac:dyDescent="0.45">
      <c r="A59" s="614">
        <v>1939</v>
      </c>
      <c r="B59" s="175">
        <f t="shared" si="3"/>
        <v>25.018000000000001</v>
      </c>
      <c r="C59" s="176">
        <f>171/1000</f>
        <v>0.17100000000000001</v>
      </c>
      <c r="D59" s="177">
        <v>0</v>
      </c>
      <c r="E59" s="176">
        <f>25189/1000</f>
        <v>25.189</v>
      </c>
      <c r="F59" s="176"/>
      <c r="G59" s="622">
        <f t="shared" si="1"/>
        <v>22.234000000000002</v>
      </c>
      <c r="H59" s="15"/>
      <c r="I59" s="626"/>
      <c r="J59" s="15"/>
      <c r="K59" s="15"/>
      <c r="L59" s="618"/>
      <c r="N59" s="179">
        <f>5936/1000</f>
        <v>5.9359999999999999</v>
      </c>
      <c r="O59" s="175">
        <f>3117/1000</f>
        <v>3.117</v>
      </c>
      <c r="P59" s="175">
        <f>11672/1000</f>
        <v>11.672000000000001</v>
      </c>
      <c r="Q59" s="180">
        <f>248/1000</f>
        <v>0.248</v>
      </c>
      <c r="R59" s="180">
        <f>1261/1000</f>
        <v>1.2609999999999999</v>
      </c>
      <c r="S59" s="181">
        <f>22234/1000</f>
        <v>22.234000000000002</v>
      </c>
      <c r="U59" s="183">
        <v>10559</v>
      </c>
      <c r="V59" s="816">
        <v>1939</v>
      </c>
      <c r="AC59" s="614">
        <v>1939</v>
      </c>
      <c r="AD59" s="175">
        <f t="shared" si="4"/>
        <v>9.4553030260719986</v>
      </c>
      <c r="AE59" s="175">
        <f>((893+15032)*1.016*23.8*0.023885)/1000</f>
        <v>9.1976176473999995</v>
      </c>
      <c r="AF59" s="175">
        <f>((0+19)*1.016*41.8*0.023885)/1000</f>
        <v>1.9272978471999998E-2</v>
      </c>
      <c r="AG59" s="177">
        <v>0</v>
      </c>
      <c r="AH59" s="177">
        <v>0</v>
      </c>
      <c r="AI59" s="193">
        <f>982*0.085985/1000</f>
        <v>8.4437270000000009E-2</v>
      </c>
      <c r="AJ59" s="193"/>
      <c r="AK59" s="193"/>
      <c r="AL59" s="193"/>
      <c r="AM59" s="175">
        <f>((8+227)*1.016*27*0.023885)/1000</f>
        <v>0.1539751302</v>
      </c>
      <c r="AN59" s="176"/>
      <c r="AO59" s="176"/>
    </row>
    <row r="60" spans="1:41" s="158" customFormat="1" ht="14.25" x14ac:dyDescent="0.45">
      <c r="A60" s="614">
        <v>1940</v>
      </c>
      <c r="B60" s="175">
        <f t="shared" si="3"/>
        <v>27.211000000000002</v>
      </c>
      <c r="C60" s="176">
        <f>116/1000</f>
        <v>0.11600000000000001</v>
      </c>
      <c r="D60" s="177">
        <v>0</v>
      </c>
      <c r="E60" s="176">
        <f>27327/1000</f>
        <v>27.327000000000002</v>
      </c>
      <c r="F60" s="176"/>
      <c r="G60" s="622">
        <f t="shared" si="1"/>
        <v>24.263000000000002</v>
      </c>
      <c r="H60" s="15"/>
      <c r="I60" s="626"/>
      <c r="J60" s="15"/>
      <c r="K60" s="15"/>
      <c r="L60" s="618"/>
      <c r="N60" s="179">
        <f>6228/1000</f>
        <v>6.2279999999999998</v>
      </c>
      <c r="O60" s="175">
        <f>2997/1000</f>
        <v>2.9969999999999999</v>
      </c>
      <c r="P60" s="175">
        <f>13874/1000</f>
        <v>13.874000000000001</v>
      </c>
      <c r="Q60" s="180">
        <f>17/1000</f>
        <v>1.7000000000000001E-2</v>
      </c>
      <c r="R60" s="180">
        <f>1147/1000</f>
        <v>1.147</v>
      </c>
      <c r="S60" s="181">
        <f>24263/1000</f>
        <v>24.263000000000002</v>
      </c>
      <c r="U60" s="183">
        <v>10499</v>
      </c>
      <c r="V60" s="816">
        <v>1940</v>
      </c>
      <c r="AC60" s="614">
        <v>1940</v>
      </c>
      <c r="AD60" s="175">
        <f t="shared" si="4"/>
        <v>10.724944471744001</v>
      </c>
      <c r="AE60" s="175">
        <f>((842+17270)*1.016*23.8*0.023885)/1000</f>
        <v>10.460737885696002</v>
      </c>
      <c r="AF60" s="175">
        <f>((0+26)*1.016*41.8*0.023885)/1000</f>
        <v>2.6373549487999998E-2</v>
      </c>
      <c r="AG60" s="177">
        <v>0</v>
      </c>
      <c r="AH60" s="177">
        <v>0</v>
      </c>
      <c r="AI60" s="193">
        <f>800*0.085985/1000</f>
        <v>6.8788000000000016E-2</v>
      </c>
      <c r="AJ60" s="193"/>
      <c r="AK60" s="193"/>
      <c r="AL60" s="193"/>
      <c r="AM60" s="175">
        <f>((10+248)*1.016*27*0.023885)/1000</f>
        <v>0.16904503655999997</v>
      </c>
      <c r="AN60" s="176"/>
      <c r="AO60" s="176"/>
    </row>
    <row r="61" spans="1:41" s="158" customFormat="1" ht="14.25" x14ac:dyDescent="0.45">
      <c r="A61" s="614">
        <v>1941</v>
      </c>
      <c r="B61" s="175">
        <f t="shared" si="3"/>
        <v>30.594000000000001</v>
      </c>
      <c r="C61" s="176">
        <f>416/1000</f>
        <v>0.41599999999999998</v>
      </c>
      <c r="D61" s="177">
        <v>0</v>
      </c>
      <c r="E61" s="185">
        <f>31010/1000</f>
        <v>31.01</v>
      </c>
      <c r="F61" s="176"/>
      <c r="G61" s="622">
        <f t="shared" si="1"/>
        <v>27.308</v>
      </c>
      <c r="H61" s="15"/>
      <c r="I61" s="626"/>
      <c r="J61" s="15"/>
      <c r="K61" s="15"/>
      <c r="L61" s="618"/>
      <c r="N61" s="179">
        <f>6637/1000</f>
        <v>6.6369999999999996</v>
      </c>
      <c r="O61" s="175">
        <f>3266/1000</f>
        <v>3.266</v>
      </c>
      <c r="P61" s="175">
        <f>16244/1000</f>
        <v>16.244</v>
      </c>
      <c r="Q61" s="180">
        <f>18/1000</f>
        <v>1.7999999999999999E-2</v>
      </c>
      <c r="R61" s="180">
        <f>1143/1000</f>
        <v>1.143</v>
      </c>
      <c r="S61" s="181">
        <f>27308/1000</f>
        <v>27.308</v>
      </c>
      <c r="U61" s="183">
        <v>10574</v>
      </c>
      <c r="V61" s="816">
        <v>1941</v>
      </c>
      <c r="AC61" s="614">
        <v>1941</v>
      </c>
      <c r="AD61" s="175">
        <f t="shared" si="4"/>
        <v>12.074330611239999</v>
      </c>
      <c r="AE61" s="175">
        <f>((884+19551)*1.016*23.8*0.023885)/1000</f>
        <v>11.80240606748</v>
      </c>
      <c r="AF61" s="175">
        <f>((0+20)*1.016*41.8*0.023885)/1000</f>
        <v>2.0287345760000002E-2</v>
      </c>
      <c r="AG61" s="177">
        <v>0</v>
      </c>
      <c r="AH61" s="177">
        <v>0</v>
      </c>
      <c r="AI61" s="193">
        <f>831*0.085985/1000</f>
        <v>7.1453534999999999E-2</v>
      </c>
      <c r="AJ61" s="193"/>
      <c r="AK61" s="193"/>
      <c r="AL61" s="193"/>
      <c r="AM61" s="175">
        <f>((8+267)*1.016*27*0.023885)/1000</f>
        <v>0.18018366299999999</v>
      </c>
      <c r="AN61" s="176"/>
      <c r="AO61" s="176"/>
    </row>
    <row r="62" spans="1:41" s="158" customFormat="1" ht="14.25" x14ac:dyDescent="0.45">
      <c r="A62" s="614">
        <v>1942</v>
      </c>
      <c r="B62" s="175">
        <f t="shared" si="3"/>
        <v>33.694000000000003</v>
      </c>
      <c r="C62" s="176">
        <f>147/1000</f>
        <v>0.14699999999999999</v>
      </c>
      <c r="D62" s="177">
        <v>0</v>
      </c>
      <c r="E62" s="176">
        <f>33841/1000</f>
        <v>33.841000000000001</v>
      </c>
      <c r="F62" s="176"/>
      <c r="G62" s="622">
        <f t="shared" si="1"/>
        <v>30.286000000000001</v>
      </c>
      <c r="H62" s="15"/>
      <c r="I62" s="626"/>
      <c r="J62" s="15"/>
      <c r="K62" s="15"/>
      <c r="L62" s="618"/>
      <c r="N62" s="179">
        <f>6720/1000</f>
        <v>6.72</v>
      </c>
      <c r="O62" s="175">
        <f>3256/1000</f>
        <v>3.2559999999999998</v>
      </c>
      <c r="P62" s="175">
        <f>19142/1000</f>
        <v>19.141999999999999</v>
      </c>
      <c r="Q62" s="180">
        <f>20/1000</f>
        <v>0.02</v>
      </c>
      <c r="R62" s="180">
        <f>1148/1000</f>
        <v>1.1479999999999999</v>
      </c>
      <c r="S62" s="181">
        <f>30286/1000</f>
        <v>30.286000000000001</v>
      </c>
      <c r="U62" s="183">
        <v>10688</v>
      </c>
      <c r="V62" s="816">
        <v>1942</v>
      </c>
      <c r="AC62" s="614">
        <v>1942</v>
      </c>
      <c r="AD62" s="175">
        <f t="shared" si="4"/>
        <v>13.191986424048002</v>
      </c>
      <c r="AE62" s="175">
        <f>((923+21360)*1.016*23.8*0.023885)/1000</f>
        <v>12.869734005464002</v>
      </c>
      <c r="AF62" s="175">
        <f>((0+18)*1.016*41.8*0.023885)/1000</f>
        <v>1.8258611184E-2</v>
      </c>
      <c r="AG62" s="177">
        <v>0</v>
      </c>
      <c r="AH62" s="177">
        <v>0</v>
      </c>
      <c r="AI62" s="193">
        <f>1097*0.085985/1000</f>
        <v>9.4325545000000011E-2</v>
      </c>
      <c r="AJ62" s="193"/>
      <c r="AK62" s="193"/>
      <c r="AL62" s="193"/>
      <c r="AM62" s="175">
        <f>((10+310)*1.016*27*0.023885)/1000</f>
        <v>0.2096682624</v>
      </c>
      <c r="AN62" s="176"/>
      <c r="AO62" s="176"/>
    </row>
    <row r="63" spans="1:41" s="158" customFormat="1" ht="14.25" x14ac:dyDescent="0.45">
      <c r="A63" s="614">
        <v>1943</v>
      </c>
      <c r="B63" s="175">
        <f t="shared" si="3"/>
        <v>34.914999999999999</v>
      </c>
      <c r="C63" s="176">
        <f>181/1000</f>
        <v>0.18099999999999999</v>
      </c>
      <c r="D63" s="177">
        <v>0</v>
      </c>
      <c r="E63" s="176">
        <f>35096/1000</f>
        <v>35.095999999999997</v>
      </c>
      <c r="F63" s="176"/>
      <c r="G63" s="622">
        <f t="shared" si="1"/>
        <v>31.449000000000002</v>
      </c>
      <c r="H63" s="15"/>
      <c r="I63" s="626"/>
      <c r="J63" s="15"/>
      <c r="K63" s="15"/>
      <c r="L63" s="618"/>
      <c r="N63" s="179">
        <f>6709/1000</f>
        <v>6.7089999999999996</v>
      </c>
      <c r="O63" s="175">
        <f>3062/1000</f>
        <v>3.0619999999999998</v>
      </c>
      <c r="P63" s="175">
        <f>20516/1000</f>
        <v>20.515999999999998</v>
      </c>
      <c r="Q63" s="180">
        <f>20/1000</f>
        <v>0.02</v>
      </c>
      <c r="R63" s="180">
        <f>1142/1000</f>
        <v>1.1419999999999999</v>
      </c>
      <c r="S63" s="181">
        <f>31449/1000</f>
        <v>31.449000000000002</v>
      </c>
      <c r="U63" s="183">
        <v>10786</v>
      </c>
      <c r="V63" s="816">
        <v>1943</v>
      </c>
      <c r="AC63" s="614">
        <v>1943</v>
      </c>
      <c r="AD63" s="175">
        <f t="shared" si="4"/>
        <v>13.389075505184</v>
      </c>
      <c r="AE63" s="175">
        <f>((920+21679)*1.016*23.8*0.023885)/1000</f>
        <v>13.052242462392</v>
      </c>
      <c r="AF63" s="175">
        <f>((0+14)*1.016*41.8*0.023885)/1000</f>
        <v>1.4201142031999998E-2</v>
      </c>
      <c r="AG63" s="177">
        <v>0</v>
      </c>
      <c r="AH63" s="177">
        <v>0</v>
      </c>
      <c r="AI63" s="193">
        <f>1329*0.085985/1000</f>
        <v>0.11427406500000001</v>
      </c>
      <c r="AJ63" s="193"/>
      <c r="AK63" s="193"/>
      <c r="AL63" s="193"/>
      <c r="AM63" s="175">
        <f>((12+306)*1.016*27*0.023885)/1000</f>
        <v>0.20835783576</v>
      </c>
      <c r="AN63" s="176"/>
      <c r="AO63" s="176"/>
    </row>
    <row r="64" spans="1:41" s="158" customFormat="1" ht="14.25" x14ac:dyDescent="0.45">
      <c r="A64" s="614">
        <v>1944</v>
      </c>
      <c r="B64" s="175">
        <f t="shared" si="3"/>
        <v>36.195</v>
      </c>
      <c r="C64" s="176">
        <f>390/1000</f>
        <v>0.39</v>
      </c>
      <c r="D64" s="177">
        <v>0</v>
      </c>
      <c r="E64" s="176">
        <f>36585/1000</f>
        <v>36.585000000000001</v>
      </c>
      <c r="F64" s="176"/>
      <c r="G64" s="622">
        <f t="shared" si="1"/>
        <v>32.518999999999998</v>
      </c>
      <c r="H64" s="15"/>
      <c r="I64" s="626"/>
      <c r="J64" s="15"/>
      <c r="K64" s="15"/>
      <c r="L64" s="618"/>
      <c r="N64" s="179">
        <f>7835/1000</f>
        <v>7.835</v>
      </c>
      <c r="O64" s="175">
        <f>3510/1000</f>
        <v>3.51</v>
      </c>
      <c r="P64" s="175">
        <f>19976/1000</f>
        <v>19.975999999999999</v>
      </c>
      <c r="Q64" s="180">
        <f>29/1000</f>
        <v>2.9000000000000001E-2</v>
      </c>
      <c r="R64" s="180">
        <f>1169/1000</f>
        <v>1.169</v>
      </c>
      <c r="S64" s="181">
        <f>32519/1000</f>
        <v>32.518999999999998</v>
      </c>
      <c r="U64" s="183">
        <v>10829</v>
      </c>
      <c r="V64" s="816">
        <v>1944</v>
      </c>
      <c r="AC64" s="614">
        <v>1944</v>
      </c>
      <c r="AD64" s="175">
        <f t="shared" si="4"/>
        <v>14.244324974216001</v>
      </c>
      <c r="AE64" s="175">
        <f>((952+23122)*1.016*23.8*0.023885)/1000</f>
        <v>13.904141114192001</v>
      </c>
      <c r="AF64" s="175">
        <f>((0+18)*1.016*41.8*0.023885)/1000</f>
        <v>1.8258611184E-2</v>
      </c>
      <c r="AG64" s="177">
        <v>0</v>
      </c>
      <c r="AH64" s="177">
        <v>0</v>
      </c>
      <c r="AI64" s="193">
        <f>1176*0.085985/1000</f>
        <v>0.10111836</v>
      </c>
      <c r="AJ64" s="193"/>
      <c r="AK64" s="193"/>
      <c r="AL64" s="193"/>
      <c r="AM64" s="175">
        <f>((11+326)*1.016*27*0.023885)/1000</f>
        <v>0.22080688884000002</v>
      </c>
      <c r="AN64" s="176"/>
      <c r="AO64" s="176"/>
    </row>
    <row r="65" spans="1:41" s="158" customFormat="1" ht="14.25" x14ac:dyDescent="0.45">
      <c r="A65" s="614">
        <v>1945</v>
      </c>
      <c r="B65" s="175">
        <f t="shared" si="3"/>
        <v>35.148000000000003</v>
      </c>
      <c r="C65" s="176">
        <f>558/1000</f>
        <v>0.55800000000000005</v>
      </c>
      <c r="D65" s="177">
        <v>0</v>
      </c>
      <c r="E65" s="176">
        <f>35706/1000</f>
        <v>35.706000000000003</v>
      </c>
      <c r="F65" s="176"/>
      <c r="G65" s="622">
        <f t="shared" si="1"/>
        <v>31.363</v>
      </c>
      <c r="H65" s="15"/>
      <c r="I65" s="626"/>
      <c r="J65" s="15"/>
      <c r="K65" s="15"/>
      <c r="L65" s="618"/>
      <c r="N65" s="179">
        <f>8805/1000</f>
        <v>8.8049999999999997</v>
      </c>
      <c r="O65" s="175">
        <f>3482/1000</f>
        <v>3.4820000000000002</v>
      </c>
      <c r="P65" s="175">
        <f>17679/1000</f>
        <v>17.678999999999998</v>
      </c>
      <c r="Q65" s="180">
        <f>161/1000</f>
        <v>0.161</v>
      </c>
      <c r="R65" s="180">
        <f>1236/1000</f>
        <v>1.236</v>
      </c>
      <c r="S65" s="181">
        <f>31363/1000</f>
        <v>31.363</v>
      </c>
      <c r="U65" s="183">
        <v>11006</v>
      </c>
      <c r="V65" s="816">
        <v>1945</v>
      </c>
      <c r="AC65" s="614">
        <v>1945</v>
      </c>
      <c r="AD65" s="175">
        <f t="shared" si="4"/>
        <v>13.903454260504002</v>
      </c>
      <c r="AE65" s="175">
        <f>((994+22499)*1.016*23.8*0.023885)/1000</f>
        <v>13.568579679144001</v>
      </c>
      <c r="AF65" s="175">
        <f>((0+20)*1.016*41.8*0.023885)/1000</f>
        <v>2.0287345760000002E-2</v>
      </c>
      <c r="AG65" s="177">
        <v>0</v>
      </c>
      <c r="AH65" s="177">
        <v>0</v>
      </c>
      <c r="AI65" s="193">
        <f>1144*0.085985/1000</f>
        <v>9.8366840000000011E-2</v>
      </c>
      <c r="AJ65" s="193"/>
      <c r="AK65" s="193"/>
      <c r="AL65" s="193"/>
      <c r="AM65" s="175">
        <f>((9+321)*1.016*27*0.023885)/1000</f>
        <v>0.2162203956</v>
      </c>
      <c r="AN65" s="176"/>
      <c r="AO65" s="176"/>
    </row>
    <row r="66" spans="1:41" s="158" customFormat="1" ht="14.25" x14ac:dyDescent="0.45">
      <c r="A66" s="614">
        <v>1946</v>
      </c>
      <c r="B66" s="175">
        <f t="shared" si="3"/>
        <v>38.931999999999995</v>
      </c>
      <c r="C66" s="176">
        <f>246/1000</f>
        <v>0.246</v>
      </c>
      <c r="D66" s="177">
        <v>0</v>
      </c>
      <c r="E66" s="176">
        <f>39178/1000</f>
        <v>39.177999999999997</v>
      </c>
      <c r="F66" s="176"/>
      <c r="G66" s="622">
        <f t="shared" si="1"/>
        <v>34.798000000000002</v>
      </c>
      <c r="H66" s="15"/>
      <c r="I66" s="626"/>
      <c r="J66" s="15"/>
      <c r="K66" s="15"/>
      <c r="L66" s="618"/>
      <c r="N66" s="179">
        <f>11663/1000</f>
        <v>11.663</v>
      </c>
      <c r="O66" s="175">
        <f>3892/1000</f>
        <v>3.8919999999999999</v>
      </c>
      <c r="P66" s="175">
        <f>17632/1000</f>
        <v>17.632000000000001</v>
      </c>
      <c r="Q66" s="180">
        <f>242/1000</f>
        <v>0.24199999999999999</v>
      </c>
      <c r="R66" s="180">
        <f>1369/1000</f>
        <v>1.369</v>
      </c>
      <c r="S66" s="181">
        <f>34798/1000</f>
        <v>34.798000000000002</v>
      </c>
      <c r="U66" s="183">
        <v>11481</v>
      </c>
      <c r="V66" s="816">
        <v>1946</v>
      </c>
      <c r="AC66" s="614">
        <v>1946</v>
      </c>
      <c r="AD66" s="175">
        <f t="shared" si="4"/>
        <v>15.512703885760002</v>
      </c>
      <c r="AE66" s="175">
        <f>((1087+25114)*1.016*23.8*0.023885)/1000</f>
        <v>15.132607848008002</v>
      </c>
      <c r="AF66" s="175">
        <f>((0+34)*1.016*41.8*0.023885)/1000</f>
        <v>3.4488487791999992E-2</v>
      </c>
      <c r="AG66" s="177">
        <v>0</v>
      </c>
      <c r="AH66" s="177">
        <v>0</v>
      </c>
      <c r="AI66" s="193">
        <f>1139*0.085985/1000</f>
        <v>9.7936915000000013E-2</v>
      </c>
      <c r="AJ66" s="193"/>
      <c r="AK66" s="193"/>
      <c r="AL66" s="193"/>
      <c r="AM66" s="175">
        <f>((9+369)*1.016*27*0.023885)/1000</f>
        <v>0.24767063496</v>
      </c>
      <c r="AN66" s="176"/>
      <c r="AO66" s="176"/>
    </row>
    <row r="67" spans="1:41" s="158" customFormat="1" ht="14.25" x14ac:dyDescent="0.45">
      <c r="A67" s="614">
        <v>1947</v>
      </c>
      <c r="B67" s="175">
        <f t="shared" si="3"/>
        <v>40.171999999999997</v>
      </c>
      <c r="C67" s="176">
        <f>197/1000</f>
        <v>0.19700000000000001</v>
      </c>
      <c r="D67" s="177">
        <v>0</v>
      </c>
      <c r="E67" s="176">
        <f>40369/1000</f>
        <v>40.369</v>
      </c>
      <c r="F67" s="176"/>
      <c r="G67" s="622">
        <f t="shared" si="1"/>
        <v>35.857999999999997</v>
      </c>
      <c r="H67" s="15"/>
      <c r="I67" s="626"/>
      <c r="J67" s="15"/>
      <c r="K67" s="15"/>
      <c r="L67" s="618"/>
      <c r="N67" s="179">
        <f>12728/1000</f>
        <v>12.728</v>
      </c>
      <c r="O67" s="175">
        <f>3973/1000</f>
        <v>3.9729999999999999</v>
      </c>
      <c r="P67" s="175">
        <f>17606/1000</f>
        <v>17.606000000000002</v>
      </c>
      <c r="Q67" s="180">
        <f>190/1000</f>
        <v>0.19</v>
      </c>
      <c r="R67" s="180">
        <f>1361/1000</f>
        <v>1.361</v>
      </c>
      <c r="S67" s="181">
        <f>35858/1000</f>
        <v>35.857999999999997</v>
      </c>
      <c r="U67" s="183">
        <v>11917</v>
      </c>
      <c r="V67" s="816">
        <v>1947</v>
      </c>
      <c r="AC67" s="614">
        <v>1947</v>
      </c>
      <c r="AD67" s="175">
        <f t="shared" si="4"/>
        <v>15.931788616336</v>
      </c>
      <c r="AE67" s="175">
        <f>((1019+26026)*1.016*23.8*0.023885)/1000</f>
        <v>15.62006714436</v>
      </c>
      <c r="AF67" s="175">
        <f>((20+47)*1.016*41.8*0.023885)/1000</f>
        <v>6.7962608295999996E-2</v>
      </c>
      <c r="AG67" s="177">
        <v>0</v>
      </c>
      <c r="AH67" s="177">
        <v>0</v>
      </c>
      <c r="AI67" s="193">
        <f>1128*0.085985/1000</f>
        <v>9.6991080000000007E-2</v>
      </c>
      <c r="AJ67" s="193"/>
      <c r="AK67" s="193"/>
      <c r="AL67" s="193"/>
      <c r="AM67" s="175">
        <f>((7+217)*1.016*27*0.023885)/1000</f>
        <v>0.14676778368000001</v>
      </c>
      <c r="AN67" s="176"/>
      <c r="AO67" s="176"/>
    </row>
    <row r="68" spans="1:41" s="158" customFormat="1" ht="14.25" x14ac:dyDescent="0.45">
      <c r="A68" s="614">
        <v>1948</v>
      </c>
      <c r="B68" s="175">
        <f t="shared" si="3"/>
        <v>43.403999999999996</v>
      </c>
      <c r="C68" s="176">
        <f>411/1000</f>
        <v>0.41099999999999998</v>
      </c>
      <c r="D68" s="177">
        <v>0</v>
      </c>
      <c r="E68" s="176">
        <f>43815/1000</f>
        <v>43.814999999999998</v>
      </c>
      <c r="F68" s="176"/>
      <c r="G68" s="622">
        <f t="shared" si="1"/>
        <v>38.820999999999998</v>
      </c>
      <c r="H68" s="15"/>
      <c r="I68" s="626"/>
      <c r="J68" s="15"/>
      <c r="K68" s="15"/>
      <c r="L68" s="618"/>
      <c r="N68" s="179">
        <f>13576/1000</f>
        <v>13.576000000000001</v>
      </c>
      <c r="O68" s="175">
        <f>4469/1000</f>
        <v>4.4690000000000003</v>
      </c>
      <c r="P68" s="175">
        <f>19121/1000</f>
        <v>19.120999999999999</v>
      </c>
      <c r="Q68" s="180">
        <f>257/1000</f>
        <v>0.25700000000000001</v>
      </c>
      <c r="R68" s="180">
        <f>1398/1000</f>
        <v>1.3979999999999999</v>
      </c>
      <c r="S68" s="181">
        <f>38821/1000</f>
        <v>38.820999999999998</v>
      </c>
      <c r="U68" s="183">
        <v>12286</v>
      </c>
      <c r="V68" s="816">
        <v>1948</v>
      </c>
      <c r="AC68" s="614">
        <v>1948</v>
      </c>
      <c r="AD68" s="175">
        <f t="shared" si="4"/>
        <v>17.009580877143996</v>
      </c>
      <c r="AE68" s="175">
        <f>((1074+27641)*1.016*23.8*0.023885)/1000</f>
        <v>16.584589685719997</v>
      </c>
      <c r="AF68" s="175">
        <f>((29+44)*1.016*41.8*0.023885)/1000</f>
        <v>7.4048812024000002E-2</v>
      </c>
      <c r="AG68" s="177">
        <v>0</v>
      </c>
      <c r="AH68" s="177">
        <v>0</v>
      </c>
      <c r="AI68" s="193">
        <f>881*0.085985/1000</f>
        <v>7.5752785000000003E-2</v>
      </c>
      <c r="AJ68" s="193"/>
      <c r="AK68" s="193"/>
      <c r="AL68" s="193"/>
      <c r="AM68" s="175">
        <f>((8+412)*1.016*27*0.023885)/1000</f>
        <v>0.27518959440000001</v>
      </c>
      <c r="AN68" s="176"/>
      <c r="AO68" s="176"/>
    </row>
    <row r="69" spans="1:41" s="158" customFormat="1" ht="14.25" x14ac:dyDescent="0.45">
      <c r="A69" s="614">
        <v>1949</v>
      </c>
      <c r="B69" s="175">
        <f t="shared" si="3"/>
        <v>45.817999999999998</v>
      </c>
      <c r="C69" s="176">
        <f>423/1000</f>
        <v>0.42299999999999999</v>
      </c>
      <c r="D69" s="177">
        <v>0</v>
      </c>
      <c r="E69" s="176">
        <f>46241/1000</f>
        <v>46.241</v>
      </c>
      <c r="F69" s="176"/>
      <c r="G69" s="622">
        <f t="shared" si="1"/>
        <v>40.918999999999997</v>
      </c>
      <c r="H69" s="15"/>
      <c r="I69" s="626"/>
      <c r="J69" s="15"/>
      <c r="K69" s="15"/>
      <c r="L69" s="618"/>
      <c r="N69" s="186">
        <f>13657/1000</f>
        <v>13.657</v>
      </c>
      <c r="O69" s="187">
        <f>5035/1000</f>
        <v>5.0350000000000001</v>
      </c>
      <c r="P69" s="187">
        <f>20445/1000</f>
        <v>20.445</v>
      </c>
      <c r="Q69" s="188">
        <f>335/1000</f>
        <v>0.33500000000000002</v>
      </c>
      <c r="R69" s="188">
        <f>1447/1000</f>
        <v>1.4470000000000001</v>
      </c>
      <c r="S69" s="189">
        <f>40919/1000</f>
        <v>40.918999999999997</v>
      </c>
      <c r="U69" s="183">
        <v>12742</v>
      </c>
      <c r="V69" s="816">
        <v>1949</v>
      </c>
      <c r="AC69" s="614">
        <v>1949</v>
      </c>
      <c r="AD69" s="175">
        <f t="shared" si="4"/>
        <v>17.915794066296002</v>
      </c>
      <c r="AE69" s="175">
        <f>((1085+28798)*1.016*23.8*0.023885)/1000</f>
        <v>17.259177906264</v>
      </c>
      <c r="AF69" s="175">
        <f>((35+54)*1.016*41.8*0.023885)/1000</f>
        <v>9.0278688632000004E-2</v>
      </c>
      <c r="AG69" s="177">
        <v>0</v>
      </c>
      <c r="AH69" s="177">
        <v>0</v>
      </c>
      <c r="AI69" s="193">
        <f>719*0.085985/1000</f>
        <v>6.1823215000000008E-2</v>
      </c>
      <c r="AJ69" s="193"/>
      <c r="AK69" s="193"/>
      <c r="AL69" s="193"/>
      <c r="AM69" s="175">
        <f>((8+762)*1.016*27*0.023885)/1000</f>
        <v>0.50451425640000003</v>
      </c>
      <c r="AN69" s="176"/>
      <c r="AO69" s="176"/>
    </row>
    <row r="70" spans="1:41" s="158" customFormat="1" ht="14.25" x14ac:dyDescent="0.45">
      <c r="A70" s="614">
        <v>1950</v>
      </c>
      <c r="B70" s="175">
        <f t="shared" si="3"/>
        <v>51.467000000000006</v>
      </c>
      <c r="C70" s="176">
        <f>410/1000</f>
        <v>0.41</v>
      </c>
      <c r="D70" s="177">
        <v>0</v>
      </c>
      <c r="E70" s="176">
        <f>51877/1000</f>
        <v>51.877000000000002</v>
      </c>
      <c r="F70" s="176"/>
      <c r="G70" s="622">
        <f t="shared" si="1"/>
        <v>45.473999999999997</v>
      </c>
      <c r="H70" s="15"/>
      <c r="I70" s="626"/>
      <c r="J70" s="15"/>
      <c r="K70" s="15"/>
      <c r="L70" s="618"/>
      <c r="N70" s="179">
        <f>14911/1000</f>
        <v>14.911</v>
      </c>
      <c r="O70" s="190">
        <f>5765/1000</f>
        <v>5.7649999999999997</v>
      </c>
      <c r="P70" s="190">
        <f>22920/1000</f>
        <v>22.92</v>
      </c>
      <c r="Q70" s="191">
        <f>415/1000</f>
        <v>0.41499999999999998</v>
      </c>
      <c r="R70" s="191">
        <f>1463/1000</f>
        <v>1.4630000000000001</v>
      </c>
      <c r="S70" s="192">
        <f>45474/1000</f>
        <v>45.473999999999997</v>
      </c>
      <c r="U70" s="183">
        <v>13216</v>
      </c>
      <c r="V70" s="816">
        <v>1950</v>
      </c>
      <c r="AC70" s="614" t="s">
        <v>753</v>
      </c>
      <c r="AD70" s="175">
        <f t="shared" si="4"/>
        <v>19.05695901296</v>
      </c>
      <c r="AE70" s="175">
        <f>(31718*1.016*23.8*0.023885)/1000</f>
        <v>18.318997584944</v>
      </c>
      <c r="AF70" s="175">
        <f>((41+31)*1.016*41.8*0.023885)/1000</f>
        <v>7.3034444736000001E-2</v>
      </c>
      <c r="AG70" s="177">
        <v>0</v>
      </c>
      <c r="AH70" s="177">
        <v>0</v>
      </c>
      <c r="AI70" s="193">
        <f>1035*0.085985/1000</f>
        <v>8.8994475000000003E-2</v>
      </c>
      <c r="AJ70" s="193"/>
      <c r="AK70" s="193"/>
      <c r="AL70" s="193"/>
      <c r="AM70" s="175">
        <f>(879*1.016*27*0.023885)/1000</f>
        <v>0.57593250827999998</v>
      </c>
      <c r="AN70" s="176"/>
      <c r="AO70" s="176"/>
    </row>
    <row r="71" spans="1:41" s="158" customFormat="1" ht="14.25" x14ac:dyDescent="0.45">
      <c r="A71" s="614">
        <v>1951</v>
      </c>
      <c r="B71" s="175">
        <f t="shared" si="3"/>
        <v>56.193000000000005</v>
      </c>
      <c r="C71" s="176">
        <f>467/1000</f>
        <v>0.46700000000000003</v>
      </c>
      <c r="D71" s="180">
        <f>-2/1000</f>
        <v>-2E-3</v>
      </c>
      <c r="E71" s="176">
        <f>56658/1000</f>
        <v>56.658000000000001</v>
      </c>
      <c r="F71" s="176"/>
      <c r="G71" s="622">
        <f t="shared" si="1"/>
        <v>50.512999999999998</v>
      </c>
      <c r="H71" s="15"/>
      <c r="I71" s="626"/>
      <c r="J71" s="15"/>
      <c r="K71" s="15"/>
      <c r="L71" s="618"/>
      <c r="N71" s="179">
        <f>16939/1000</f>
        <v>16.939</v>
      </c>
      <c r="O71" s="175">
        <f>6354/1000</f>
        <v>6.3540000000000001</v>
      </c>
      <c r="P71" s="175">
        <f>25350/1000</f>
        <v>25.35</v>
      </c>
      <c r="Q71" s="180">
        <f>441/1000</f>
        <v>0.441</v>
      </c>
      <c r="R71" s="180">
        <f>1429/1000</f>
        <v>1.429</v>
      </c>
      <c r="S71" s="181">
        <f>50513/1000</f>
        <v>50.512999999999998</v>
      </c>
      <c r="U71" s="183">
        <v>13655</v>
      </c>
      <c r="V71" s="816">
        <v>1951</v>
      </c>
      <c r="AC71" s="614">
        <v>1951</v>
      </c>
      <c r="AD71" s="175">
        <f t="shared" si="4"/>
        <v>20.471074601175999</v>
      </c>
      <c r="AE71" s="175">
        <f>(34180*1.016*23.8*0.023885)/1000</f>
        <v>19.740946385439997</v>
      </c>
      <c r="AF71" s="175">
        <f>((50+32)*1.016*41.8*0.023885)/1000</f>
        <v>8.3178117615999997E-2</v>
      </c>
      <c r="AG71" s="177">
        <v>0</v>
      </c>
      <c r="AH71" s="177">
        <v>0</v>
      </c>
      <c r="AI71" s="193">
        <f>1687*0.085985/1000</f>
        <v>0.14505669500000001</v>
      </c>
      <c r="AJ71" s="193"/>
      <c r="AK71" s="193"/>
      <c r="AL71" s="193"/>
      <c r="AM71" s="175">
        <f>(766*1.016*27*0.023885)/1000</f>
        <v>0.50189340311999997</v>
      </c>
      <c r="AN71" s="176"/>
      <c r="AO71" s="176"/>
    </row>
    <row r="72" spans="1:41" s="158" customFormat="1" ht="14.25" x14ac:dyDescent="0.45">
      <c r="A72" s="614">
        <v>1952</v>
      </c>
      <c r="B72" s="175">
        <f t="shared" si="3"/>
        <v>58.400000000000006</v>
      </c>
      <c r="C72" s="176">
        <f>418/1000</f>
        <v>0.41799999999999998</v>
      </c>
      <c r="D72" s="180">
        <f>-2/1000</f>
        <v>-2E-3</v>
      </c>
      <c r="E72" s="176">
        <f>58816/1000</f>
        <v>58.816000000000003</v>
      </c>
      <c r="F72" s="176"/>
      <c r="G72" s="622">
        <f t="shared" si="1"/>
        <v>51.95</v>
      </c>
      <c r="H72" s="15"/>
      <c r="I72" s="626"/>
      <c r="J72" s="15"/>
      <c r="K72" s="15"/>
      <c r="L72" s="618"/>
      <c r="N72" s="179">
        <f>16869/1000</f>
        <v>16.869</v>
      </c>
      <c r="O72" s="175">
        <f>7115/1000</f>
        <v>7.1150000000000002</v>
      </c>
      <c r="P72" s="175">
        <f>26068/1000</f>
        <v>26.068000000000001</v>
      </c>
      <c r="Q72" s="180">
        <f>479/1000</f>
        <v>0.47899999999999998</v>
      </c>
      <c r="R72" s="180">
        <f>1419/1000</f>
        <v>1.419</v>
      </c>
      <c r="S72" s="181">
        <f>51950/1000</f>
        <v>51.95</v>
      </c>
      <c r="U72" s="183">
        <v>14054</v>
      </c>
      <c r="V72" s="816">
        <v>1952</v>
      </c>
      <c r="AC72" s="614">
        <v>1952</v>
      </c>
      <c r="AD72" s="175">
        <f t="shared" si="4"/>
        <v>20.680954257136005</v>
      </c>
      <c r="AE72" s="175">
        <f>(34462*1.016*23.8*0.023885)/1000</f>
        <v>19.903817856496005</v>
      </c>
      <c r="AF72" s="175">
        <f>((42+28)*1.016*41.8*0.023885)/1000</f>
        <v>7.1005710159999999E-2</v>
      </c>
      <c r="AG72" s="177">
        <v>0</v>
      </c>
      <c r="AH72" s="177">
        <v>0</v>
      </c>
      <c r="AI72" s="193">
        <f>1819*0.085985/1000</f>
        <v>0.15640671500000003</v>
      </c>
      <c r="AJ72" s="193"/>
      <c r="AK72" s="193"/>
      <c r="AL72" s="193"/>
      <c r="AM72" s="175">
        <f>(839*1.016*27*0.023885)/1000</f>
        <v>0.54972397548000007</v>
      </c>
      <c r="AN72" s="176"/>
      <c r="AO72" s="176"/>
    </row>
    <row r="73" spans="1:41" s="158" customFormat="1" ht="14.25" x14ac:dyDescent="0.45">
      <c r="A73" s="614">
        <v>1953</v>
      </c>
      <c r="B73" s="175">
        <f t="shared" si="3"/>
        <v>61.634999999999998</v>
      </c>
      <c r="C73" s="176">
        <f>322/1000</f>
        <v>0.32200000000000001</v>
      </c>
      <c r="D73" s="180">
        <f>-2/1000</f>
        <v>-2E-3</v>
      </c>
      <c r="E73" s="176">
        <f>61955/1000</f>
        <v>61.954999999999998</v>
      </c>
      <c r="F73" s="176"/>
      <c r="G73" s="622">
        <f t="shared" si="1"/>
        <v>55.567999999999998</v>
      </c>
      <c r="H73" s="15"/>
      <c r="I73" s="626"/>
      <c r="J73" s="15"/>
      <c r="K73" s="15"/>
      <c r="L73" s="618"/>
      <c r="N73" s="179">
        <f>17691/1000</f>
        <v>17.690999999999999</v>
      </c>
      <c r="O73" s="175">
        <f>7948/1000</f>
        <v>7.9480000000000004</v>
      </c>
      <c r="P73" s="175">
        <f>28000/1000</f>
        <v>28</v>
      </c>
      <c r="Q73" s="180">
        <f>528/1000</f>
        <v>0.52800000000000002</v>
      </c>
      <c r="R73" s="180">
        <f>1401/1000</f>
        <v>1.401</v>
      </c>
      <c r="S73" s="181">
        <f>55568/1000</f>
        <v>55.567999999999998</v>
      </c>
      <c r="U73" s="183">
        <v>14565</v>
      </c>
      <c r="V73" s="816">
        <v>1953</v>
      </c>
      <c r="AC73" s="614">
        <v>1953</v>
      </c>
      <c r="AD73" s="175">
        <f t="shared" si="4"/>
        <v>21.412581427968004</v>
      </c>
      <c r="AE73" s="175">
        <f>(35599*1.016*23.8*0.023885)/1000</f>
        <v>20.560501766392004</v>
      </c>
      <c r="AF73" s="175">
        <f>((70+27)*1.016*41.8*0.023885)/1000</f>
        <v>9.8393626935999998E-2</v>
      </c>
      <c r="AG73" s="177">
        <v>0</v>
      </c>
      <c r="AH73" s="177">
        <v>0</v>
      </c>
      <c r="AI73" s="193">
        <f>1892*0.085985/1000</f>
        <v>0.16268362000000003</v>
      </c>
      <c r="AJ73" s="193"/>
      <c r="AK73" s="193"/>
      <c r="AL73" s="193"/>
      <c r="AM73" s="175">
        <f>(902*1.016*27*0.023885)/1000</f>
        <v>0.59100241464000003</v>
      </c>
      <c r="AN73" s="176"/>
      <c r="AO73" s="176"/>
    </row>
    <row r="74" spans="1:41" s="158" customFormat="1" ht="14.25" x14ac:dyDescent="0.45">
      <c r="A74" s="614">
        <v>1954</v>
      </c>
      <c r="B74" s="175">
        <f t="shared" si="3"/>
        <v>68.570000000000007</v>
      </c>
      <c r="C74" s="176">
        <f>353/1000</f>
        <v>0.35299999999999998</v>
      </c>
      <c r="D74" s="180">
        <f>-2/1000</f>
        <v>-2E-3</v>
      </c>
      <c r="E74" s="176">
        <f>68921/1000</f>
        <v>68.921000000000006</v>
      </c>
      <c r="F74" s="176"/>
      <c r="G74" s="622">
        <f t="shared" si="1"/>
        <v>61.401000000000003</v>
      </c>
      <c r="H74" s="15"/>
      <c r="I74" s="626"/>
      <c r="J74" s="15"/>
      <c r="K74" s="15"/>
      <c r="L74" s="618"/>
      <c r="N74" s="179">
        <f>19075/1000</f>
        <v>19.074999999999999</v>
      </c>
      <c r="O74" s="175">
        <f>8746/1000</f>
        <v>8.7460000000000004</v>
      </c>
      <c r="P74" s="175">
        <f>31553/1000</f>
        <v>31.553000000000001</v>
      </c>
      <c r="Q74" s="180">
        <f>576/1000</f>
        <v>0.57599999999999996</v>
      </c>
      <c r="R74" s="180">
        <f>1451/1000</f>
        <v>1.4510000000000001</v>
      </c>
      <c r="S74" s="181">
        <f>61401/1000</f>
        <v>61.401000000000003</v>
      </c>
      <c r="U74" s="183">
        <v>15115</v>
      </c>
      <c r="V74" s="816">
        <v>1954</v>
      </c>
      <c r="AC74" s="614">
        <v>1954</v>
      </c>
      <c r="AD74" s="175">
        <f t="shared" si="4"/>
        <v>23.408868064304002</v>
      </c>
      <c r="AE74" s="175">
        <f>(38612*1.016*23.8*0.023885)/1000</f>
        <v>22.300685249696002</v>
      </c>
      <c r="AF74" s="175">
        <f>((153+23)*1.016*41.8*0.023885)/1000</f>
        <v>0.17852864268799998</v>
      </c>
      <c r="AG74" s="177">
        <v>0</v>
      </c>
      <c r="AH74" s="177">
        <v>0</v>
      </c>
      <c r="AI74" s="193">
        <f>2384*0.085985/1000</f>
        <v>0.20498824000000002</v>
      </c>
      <c r="AJ74" s="193"/>
      <c r="AK74" s="193"/>
      <c r="AL74" s="193"/>
      <c r="AM74" s="175">
        <f>(1106*1.016*27*0.023885)/1000</f>
        <v>0.72466593191999995</v>
      </c>
      <c r="AN74" s="176"/>
      <c r="AO74" s="176"/>
    </row>
    <row r="75" spans="1:41" s="158" customFormat="1" ht="14.25" x14ac:dyDescent="0.45">
      <c r="A75" s="614">
        <v>1955</v>
      </c>
      <c r="B75" s="175">
        <f t="shared" si="3"/>
        <v>75.328999999999994</v>
      </c>
      <c r="C75" s="176">
        <f>321/1000</f>
        <v>0.32100000000000001</v>
      </c>
      <c r="D75" s="180">
        <f>-2/1000</f>
        <v>-2E-3</v>
      </c>
      <c r="E75" s="176">
        <f>75648/1000</f>
        <v>75.647999999999996</v>
      </c>
      <c r="F75" s="176"/>
      <c r="G75" s="622">
        <f t="shared" si="1"/>
        <v>67.423000000000002</v>
      </c>
      <c r="H75" s="15"/>
      <c r="I75" s="626"/>
      <c r="J75" s="15"/>
      <c r="K75" s="15"/>
      <c r="L75" s="618"/>
      <c r="N75" s="179">
        <f>21146/1000</f>
        <v>21.146000000000001</v>
      </c>
      <c r="O75" s="175">
        <f>9545/1000</f>
        <v>9.5449999999999999</v>
      </c>
      <c r="P75" s="175">
        <f>34635/1000</f>
        <v>34.634999999999998</v>
      </c>
      <c r="Q75" s="180">
        <f>627/1000</f>
        <v>0.627</v>
      </c>
      <c r="R75" s="180">
        <f>1470/1000</f>
        <v>1.47</v>
      </c>
      <c r="S75" s="181">
        <f>67423/1000</f>
        <v>67.423000000000002</v>
      </c>
      <c r="U75" s="183">
        <v>15628</v>
      </c>
      <c r="V75" s="816">
        <v>1955</v>
      </c>
      <c r="AC75" s="614">
        <v>1955</v>
      </c>
      <c r="AD75" s="175">
        <f t="shared" si="4"/>
        <v>25.232446772432002</v>
      </c>
      <c r="AE75" s="175">
        <f>(41892*1.016*23.8*0.023885)/1000</f>
        <v>24.195076827936003</v>
      </c>
      <c r="AF75" s="175">
        <f>((188+29)*1.016*41.8*0.023885)/1000</f>
        <v>0.22011770149600002</v>
      </c>
      <c r="AG75" s="177">
        <v>0</v>
      </c>
      <c r="AH75" s="177">
        <v>0</v>
      </c>
      <c r="AI75" s="193">
        <f>1694*0.085985/1000</f>
        <v>0.14565859</v>
      </c>
      <c r="AJ75" s="193"/>
      <c r="AK75" s="193"/>
      <c r="AL75" s="193"/>
      <c r="AM75" s="175">
        <f>(1025*1.016*27*0.023885)/1000</f>
        <v>0.67159365300000007</v>
      </c>
      <c r="AN75" s="176"/>
      <c r="AO75" s="176"/>
    </row>
    <row r="76" spans="1:41" s="158" customFormat="1" ht="14.25" x14ac:dyDescent="0.45">
      <c r="A76" s="614">
        <v>1956</v>
      </c>
      <c r="B76" s="175">
        <f t="shared" si="3"/>
        <v>81.915000000000006</v>
      </c>
      <c r="C76" s="176">
        <f>277/1000</f>
        <v>0.27700000000000002</v>
      </c>
      <c r="D76" s="180">
        <f>-1/1000</f>
        <v>-1E-3</v>
      </c>
      <c r="E76" s="176">
        <f>82191/1000</f>
        <v>82.191000000000003</v>
      </c>
      <c r="F76" s="176"/>
      <c r="G76" s="622">
        <f t="shared" si="1"/>
        <v>73.52</v>
      </c>
      <c r="H76" s="15"/>
      <c r="I76" s="626"/>
      <c r="J76" s="15"/>
      <c r="K76" s="15"/>
      <c r="L76" s="618"/>
      <c r="N76" s="179">
        <f>23755/1000</f>
        <v>23.754999999999999</v>
      </c>
      <c r="O76" s="175">
        <f>10337/1000</f>
        <v>10.337</v>
      </c>
      <c r="P76" s="175">
        <f>37224/1000</f>
        <v>37.223999999999997</v>
      </c>
      <c r="Q76" s="180">
        <f>692/1000</f>
        <v>0.69199999999999995</v>
      </c>
      <c r="R76" s="180">
        <f>1512/1000</f>
        <v>1.512</v>
      </c>
      <c r="S76" s="181">
        <f>73520/1000</f>
        <v>73.52</v>
      </c>
      <c r="U76" s="183">
        <v>16074</v>
      </c>
      <c r="V76" s="816">
        <v>1956</v>
      </c>
      <c r="AC76" s="614">
        <v>1956</v>
      </c>
      <c r="AD76" s="175">
        <f t="shared" si="4"/>
        <v>27.05611272235782</v>
      </c>
      <c r="AE76" s="175">
        <f>(44800*1.016*23.8*0.023885)/1000</f>
        <v>25.874616678400002</v>
      </c>
      <c r="AF76" s="175">
        <f>((344+28)*1.016*41.8*0.023885)/1000</f>
        <v>0.37734463113599997</v>
      </c>
      <c r="AG76" s="177">
        <v>0</v>
      </c>
      <c r="AH76" s="193">
        <f>58*0.085985/1000/0.275</f>
        <v>1.8135018181818181E-2</v>
      </c>
      <c r="AI76" s="193">
        <f>2268*0.085985/1000</f>
        <v>0.19501398</v>
      </c>
      <c r="AJ76" s="193"/>
      <c r="AK76" s="193"/>
      <c r="AL76" s="193"/>
      <c r="AM76" s="175">
        <f>(902*1.016*27*0.023885)/1000</f>
        <v>0.59100241464000003</v>
      </c>
      <c r="AN76" s="176"/>
      <c r="AO76" s="176"/>
    </row>
    <row r="77" spans="1:41" s="158" customFormat="1" ht="14.25" x14ac:dyDescent="0.45">
      <c r="A77" s="614">
        <v>1957</v>
      </c>
      <c r="B77" s="175">
        <f t="shared" si="3"/>
        <v>85.499999999999986</v>
      </c>
      <c r="C77" s="176">
        <f>501/1000</f>
        <v>0.501</v>
      </c>
      <c r="D77" s="180">
        <f>-2/1000</f>
        <v>-2E-3</v>
      </c>
      <c r="E77" s="176">
        <f>85999/1000</f>
        <v>85.998999999999995</v>
      </c>
      <c r="F77" s="176"/>
      <c r="G77" s="622">
        <f t="shared" si="1"/>
        <v>77.218000000000004</v>
      </c>
      <c r="H77" s="15"/>
      <c r="I77" s="626"/>
      <c r="J77" s="15"/>
      <c r="K77" s="15"/>
      <c r="L77" s="618"/>
      <c r="N77" s="179">
        <f>24850/1000</f>
        <v>24.85</v>
      </c>
      <c r="O77" s="175">
        <f>10733/1000</f>
        <v>10.733000000000001</v>
      </c>
      <c r="P77" s="175">
        <f>39348/1000</f>
        <v>39.347999999999999</v>
      </c>
      <c r="Q77" s="180">
        <f>742/1000</f>
        <v>0.74199999999999999</v>
      </c>
      <c r="R77" s="180">
        <f>1545/1000</f>
        <v>1.5449999999999999</v>
      </c>
      <c r="S77" s="181">
        <f>77218/1000</f>
        <v>77.218000000000004</v>
      </c>
      <c r="U77" s="183">
        <v>16472</v>
      </c>
      <c r="V77" s="816">
        <v>1957</v>
      </c>
      <c r="AC77" s="614">
        <v>1957</v>
      </c>
      <c r="AD77" s="175">
        <f t="shared" si="4"/>
        <v>27.860696079646548</v>
      </c>
      <c r="AE77" s="175">
        <f>(45600*1.016*23.8*0.023885)/1000</f>
        <v>26.336663404799999</v>
      </c>
      <c r="AF77" s="175">
        <f>((570+24)*1.016*41.8*0.023885)/1000</f>
        <v>0.60253416907199997</v>
      </c>
      <c r="AG77" s="177">
        <v>0</v>
      </c>
      <c r="AH77" s="193">
        <f>409*0.085985/1000/0.275</f>
        <v>0.12788314545454543</v>
      </c>
      <c r="AI77" s="193">
        <f>2745*0.085985/1000</f>
        <v>0.23602882500000003</v>
      </c>
      <c r="AJ77" s="193"/>
      <c r="AK77" s="193"/>
      <c r="AL77" s="193"/>
      <c r="AM77" s="175">
        <f>(851*1.016*27*0.023885)/1000</f>
        <v>0.55758653531999991</v>
      </c>
      <c r="AN77" s="176"/>
      <c r="AO77" s="176"/>
    </row>
    <row r="78" spans="1:41" s="158" customFormat="1" ht="14.25" x14ac:dyDescent="0.45">
      <c r="A78" s="614">
        <v>1958</v>
      </c>
      <c r="B78" s="175">
        <f t="shared" si="3"/>
        <v>92.689000000000007</v>
      </c>
      <c r="C78" s="176">
        <f>753/1000</f>
        <v>0.753</v>
      </c>
      <c r="D78" s="180">
        <f>-1/1000</f>
        <v>-1E-3</v>
      </c>
      <c r="E78" s="176">
        <f>93441/1000</f>
        <v>93.441000000000003</v>
      </c>
      <c r="F78" s="176"/>
      <c r="G78" s="622">
        <f t="shared" si="1"/>
        <v>83.869</v>
      </c>
      <c r="H78" s="15"/>
      <c r="I78" s="626"/>
      <c r="J78" s="15"/>
      <c r="K78" s="15"/>
      <c r="L78" s="618"/>
      <c r="N78" s="179">
        <f>28227/1000</f>
        <v>28.227</v>
      </c>
      <c r="O78" s="175">
        <f>12057/1000</f>
        <v>12.057</v>
      </c>
      <c r="P78" s="175">
        <f>41241/1000</f>
        <v>41.241</v>
      </c>
      <c r="Q78" s="180">
        <f>793/1000</f>
        <v>0.79300000000000004</v>
      </c>
      <c r="R78" s="180">
        <f>1551/1000</f>
        <v>1.5509999999999999</v>
      </c>
      <c r="S78" s="181">
        <f>83869/1000</f>
        <v>83.869</v>
      </c>
      <c r="U78" s="183">
        <v>16824</v>
      </c>
      <c r="V78" s="816">
        <v>1958</v>
      </c>
      <c r="AC78" s="614">
        <v>1958</v>
      </c>
      <c r="AD78" s="175">
        <f t="shared" si="4"/>
        <v>29.768502811778184</v>
      </c>
      <c r="AE78" s="175">
        <f>(45330*1.016*23.8*0.023885)/1000</f>
        <v>26.180722634640002</v>
      </c>
      <c r="AF78" s="175">
        <f>((2536+29)*1.016*41.8*0.023885)/1000</f>
        <v>2.6018520937200003</v>
      </c>
      <c r="AG78" s="177">
        <v>0</v>
      </c>
      <c r="AH78" s="193">
        <f>305*0.085985/1000/0.275</f>
        <v>9.5365181818181807E-2</v>
      </c>
      <c r="AI78" s="193">
        <f>2699*0.085985/1000</f>
        <v>0.23207351500000001</v>
      </c>
      <c r="AJ78" s="193"/>
      <c r="AK78" s="193"/>
      <c r="AL78" s="193"/>
      <c r="AM78" s="175">
        <f>(1005*1.016*27*0.023885)/1000</f>
        <v>0.6584893866</v>
      </c>
      <c r="AN78" s="176"/>
      <c r="AO78" s="176"/>
    </row>
    <row r="79" spans="1:41" s="158" customFormat="1" ht="14.25" x14ac:dyDescent="0.45">
      <c r="A79" s="614">
        <v>1959</v>
      </c>
      <c r="B79" s="175">
        <f t="shared" si="3"/>
        <v>98.944000000000003</v>
      </c>
      <c r="C79" s="176">
        <f>1629/1000</f>
        <v>1.629</v>
      </c>
      <c r="D79" s="180">
        <f>-1/1000</f>
        <v>-1E-3</v>
      </c>
      <c r="E79" s="176">
        <f>100572/1000</f>
        <v>100.572</v>
      </c>
      <c r="F79" s="176"/>
      <c r="G79" s="622">
        <f t="shared" si="1"/>
        <v>90.504000000000005</v>
      </c>
      <c r="H79" s="15"/>
      <c r="I79" s="626"/>
      <c r="J79" s="15"/>
      <c r="K79" s="15"/>
      <c r="L79" s="618"/>
      <c r="N79" s="186">
        <f>30487/1000</f>
        <v>30.486999999999998</v>
      </c>
      <c r="O79" s="187">
        <f>12837/1000</f>
        <v>12.837</v>
      </c>
      <c r="P79" s="187">
        <f>44695/1000</f>
        <v>44.695</v>
      </c>
      <c r="Q79" s="188">
        <f>855/1000</f>
        <v>0.85499999999999998</v>
      </c>
      <c r="R79" s="188">
        <f>1630/1000</f>
        <v>1.63</v>
      </c>
      <c r="S79" s="189">
        <f>90504/1000</f>
        <v>90.504000000000005</v>
      </c>
      <c r="U79" s="183">
        <v>17150</v>
      </c>
      <c r="V79" s="816">
        <v>1959</v>
      </c>
      <c r="AC79" s="614">
        <v>1959</v>
      </c>
      <c r="AD79" s="175">
        <f t="shared" si="4"/>
        <v>31.824549134718552</v>
      </c>
      <c r="AE79" s="175">
        <f>(45387*1.016*23.8*0.023885)/1000</f>
        <v>26.213643463896005</v>
      </c>
      <c r="AF79" s="175">
        <f>((4160+31)*1.016*41.8*0.023885)/1000</f>
        <v>4.251213304008</v>
      </c>
      <c r="AG79" s="177">
        <v>0</v>
      </c>
      <c r="AH79" s="193">
        <f>1201*0.085985/1000/0.275</f>
        <v>0.37551994545454542</v>
      </c>
      <c r="AI79" s="193">
        <f>2698*0.085985/1000</f>
        <v>0.23198753000000003</v>
      </c>
      <c r="AJ79" s="193"/>
      <c r="AK79" s="193"/>
      <c r="AL79" s="193"/>
      <c r="AM79" s="175">
        <f>(1148*1.016*27*0.023885)/1000</f>
        <v>0.75218489135999989</v>
      </c>
      <c r="AN79" s="176"/>
      <c r="AO79" s="176"/>
    </row>
    <row r="80" spans="1:41" s="158" customFormat="1" ht="13.15" x14ac:dyDescent="0.4">
      <c r="A80" s="614">
        <v>1960</v>
      </c>
      <c r="B80" s="193">
        <v>116.96</v>
      </c>
      <c r="C80" s="193">
        <v>0.15</v>
      </c>
      <c r="D80" s="180">
        <f>-1/1000</f>
        <v>-1E-3</v>
      </c>
      <c r="E80" s="193">
        <v>117.11</v>
      </c>
      <c r="F80" s="193">
        <v>12.07</v>
      </c>
      <c r="G80" s="193">
        <v>105.04</v>
      </c>
      <c r="H80" s="193">
        <v>6.25</v>
      </c>
      <c r="I80" s="193">
        <v>44.51</v>
      </c>
      <c r="J80" s="193">
        <v>33.68</v>
      </c>
      <c r="K80" s="193" t="s">
        <v>657</v>
      </c>
      <c r="L80" s="194">
        <f t="shared" ref="L80:L89" si="5">SUM(I80:K80)</f>
        <v>78.19</v>
      </c>
      <c r="N80" s="195">
        <f>35270/1000</f>
        <v>35.270000000000003</v>
      </c>
      <c r="O80" s="190">
        <f>14526/1000</f>
        <v>14.526</v>
      </c>
      <c r="P80" s="190">
        <f>49991/1000</f>
        <v>49.991</v>
      </c>
      <c r="Q80" s="191">
        <f>922/1000</f>
        <v>0.92200000000000004</v>
      </c>
      <c r="R80" s="191">
        <f>1654/1000</f>
        <v>1.6539999999999999</v>
      </c>
      <c r="S80" s="192">
        <f>102363/1000</f>
        <v>102.363</v>
      </c>
      <c r="U80" s="183">
        <v>17490</v>
      </c>
      <c r="V80" s="816">
        <v>1960</v>
      </c>
      <c r="AC80" s="614">
        <v>1960</v>
      </c>
      <c r="AD80" s="175">
        <f t="shared" si="4"/>
        <v>37.308577755000002</v>
      </c>
      <c r="AE80" s="193">
        <v>30.07</v>
      </c>
      <c r="AF80" s="193">
        <v>5.78</v>
      </c>
      <c r="AG80" s="177">
        <v>0</v>
      </c>
      <c r="AH80" s="193">
        <f>2079*0.085985/1000/0.275</f>
        <v>0.65004660000000003</v>
      </c>
      <c r="AI80" s="193">
        <f>3123*0.085985/1000</f>
        <v>0.26853115500000002</v>
      </c>
      <c r="AJ80" s="193"/>
      <c r="AK80" s="193"/>
      <c r="AL80" s="193"/>
      <c r="AM80" s="193">
        <v>0.54</v>
      </c>
      <c r="AN80" s="193"/>
      <c r="AO80" s="175"/>
    </row>
    <row r="81" spans="1:41" s="158" customFormat="1" ht="13.15" x14ac:dyDescent="0.4">
      <c r="A81" s="614">
        <v>1961</v>
      </c>
      <c r="B81" s="193">
        <f>E81-D81-C81</f>
        <v>120.06499999999998</v>
      </c>
      <c r="C81" s="176">
        <f>2757/1000</f>
        <v>2.7570000000000001</v>
      </c>
      <c r="D81" s="180">
        <f>1/1000</f>
        <v>1E-3</v>
      </c>
      <c r="E81" s="193">
        <f>122823/1000</f>
        <v>122.82299999999999</v>
      </c>
      <c r="F81" s="177">
        <v>0</v>
      </c>
      <c r="G81" s="177">
        <v>0</v>
      </c>
      <c r="H81" s="177">
        <v>0</v>
      </c>
      <c r="I81" s="177">
        <v>0</v>
      </c>
      <c r="J81" s="177">
        <v>0</v>
      </c>
      <c r="K81" s="177">
        <v>0</v>
      </c>
      <c r="L81" s="196">
        <v>0</v>
      </c>
      <c r="N81" s="179">
        <f>39968/1000</f>
        <v>39.968000000000004</v>
      </c>
      <c r="O81" s="175">
        <f>15809/1000</f>
        <v>15.808999999999999</v>
      </c>
      <c r="P81" s="175">
        <f>51740/1000</f>
        <v>51.74</v>
      </c>
      <c r="Q81" s="180">
        <f>994/1000</f>
        <v>0.99399999999999999</v>
      </c>
      <c r="R81" s="180">
        <f>1721/1000</f>
        <v>1.7210000000000001</v>
      </c>
      <c r="S81" s="181">
        <f>110232/1000</f>
        <v>110.232</v>
      </c>
      <c r="U81" s="183">
        <v>17816</v>
      </c>
      <c r="V81" s="816">
        <v>1961</v>
      </c>
      <c r="AC81" s="614">
        <v>1961</v>
      </c>
      <c r="AD81" s="175">
        <f t="shared" si="4"/>
        <v>40.232735459475272</v>
      </c>
      <c r="AE81" s="193">
        <f>(54777*1.016*24.8*0.023885)/1000</f>
        <v>32.966199138336002</v>
      </c>
      <c r="AF81" s="193">
        <f>(5523*1.016*41.8*0.023885)/1000</f>
        <v>5.6023505316239994</v>
      </c>
      <c r="AG81" s="177">
        <v>0</v>
      </c>
      <c r="AH81" s="193">
        <f>2399*0.085985/1000/0.275</f>
        <v>0.75010187272727269</v>
      </c>
      <c r="AI81" s="193">
        <f>3842*0.085985/1000</f>
        <v>0.33035437000000001</v>
      </c>
      <c r="AJ81" s="193"/>
      <c r="AK81" s="193"/>
      <c r="AL81" s="193"/>
      <c r="AM81" s="193">
        <f>(890.9*1.016*27*0.023885)/1000</f>
        <v>0.58372954678800004</v>
      </c>
      <c r="AN81" s="193"/>
      <c r="AO81" s="176"/>
    </row>
    <row r="82" spans="1:41" s="158" customFormat="1" ht="13.15" x14ac:dyDescent="0.4">
      <c r="A82" s="614">
        <v>1962</v>
      </c>
      <c r="B82" s="193">
        <f>E82-D82-C82</f>
        <v>132.77000000000001</v>
      </c>
      <c r="C82" s="176">
        <f>3158/1000</f>
        <v>3.1579999999999999</v>
      </c>
      <c r="D82" s="180">
        <f>87/1000</f>
        <v>8.6999999999999994E-2</v>
      </c>
      <c r="E82" s="193">
        <f>136015/1000</f>
        <v>136.01499999999999</v>
      </c>
      <c r="F82" s="177">
        <v>0</v>
      </c>
      <c r="G82" s="177">
        <v>0</v>
      </c>
      <c r="H82" s="177">
        <v>0</v>
      </c>
      <c r="I82" s="177">
        <v>0</v>
      </c>
      <c r="J82" s="177">
        <v>0</v>
      </c>
      <c r="K82" s="177">
        <v>0</v>
      </c>
      <c r="L82" s="196">
        <v>0</v>
      </c>
      <c r="N82" s="179">
        <f>47628/1000</f>
        <v>47.628</v>
      </c>
      <c r="O82" s="175">
        <f>18284/1000</f>
        <v>18.283999999999999</v>
      </c>
      <c r="P82" s="175">
        <f>53529/1000</f>
        <v>53.529000000000003</v>
      </c>
      <c r="Q82" s="180">
        <f>1060/1000</f>
        <v>1.06</v>
      </c>
      <c r="R82" s="180">
        <f>1856/1000</f>
        <v>1.8560000000000001</v>
      </c>
      <c r="S82" s="181">
        <f>122357/1000</f>
        <v>122.357</v>
      </c>
      <c r="U82" s="183">
        <v>18115</v>
      </c>
      <c r="V82" s="816">
        <v>1962</v>
      </c>
      <c r="AC82" s="614">
        <v>1962</v>
      </c>
      <c r="AD82" s="175">
        <f t="shared" si="4"/>
        <v>44.221819126603272</v>
      </c>
      <c r="AE82" s="193">
        <f>(60394*1.016*24.8*0.023885)/1000</f>
        <v>36.346653353792007</v>
      </c>
      <c r="AF82" s="193">
        <f>(5763*1.016*41.8*0.023885)/1000</f>
        <v>5.8457986807439992</v>
      </c>
      <c r="AG82" s="177">
        <v>0</v>
      </c>
      <c r="AH82" s="193">
        <f>3477*0.085985/1000/0.275</f>
        <v>1.0871630727272728</v>
      </c>
      <c r="AI82" s="193">
        <f>3913*0.085985/1000</f>
        <v>0.33645930500000004</v>
      </c>
      <c r="AJ82" s="193"/>
      <c r="AK82" s="193"/>
      <c r="AL82" s="193"/>
      <c r="AM82" s="193">
        <f>(924.5*1.016*27*0.023885)/1000</f>
        <v>0.6057447143400001</v>
      </c>
      <c r="AN82" s="193"/>
      <c r="AO82" s="176"/>
    </row>
    <row r="83" spans="1:41" s="158" customFormat="1" ht="13.15" x14ac:dyDescent="0.4">
      <c r="A83" s="614">
        <v>1963</v>
      </c>
      <c r="B83" s="193">
        <f>162652/1000</f>
        <v>162.65199999999999</v>
      </c>
      <c r="C83" s="176">
        <f>3350/1000</f>
        <v>3.35</v>
      </c>
      <c r="D83" s="185">
        <f>-15/1000</f>
        <v>-1.4999999999999999E-2</v>
      </c>
      <c r="E83" s="193">
        <f>147102/1000</f>
        <v>147.102</v>
      </c>
      <c r="F83" s="177">
        <v>0</v>
      </c>
      <c r="G83" s="177">
        <v>0</v>
      </c>
      <c r="H83" s="177">
        <v>0</v>
      </c>
      <c r="I83" s="177">
        <v>0</v>
      </c>
      <c r="J83" s="177">
        <v>0</v>
      </c>
      <c r="K83" s="177">
        <v>0</v>
      </c>
      <c r="L83" s="196">
        <v>0</v>
      </c>
      <c r="N83" s="179">
        <f>54475/1000</f>
        <v>54.475000000000001</v>
      </c>
      <c r="O83" s="175">
        <f>20263/1000</f>
        <v>20.263000000000002</v>
      </c>
      <c r="P83" s="175">
        <f>56106/1000</f>
        <v>56.106000000000002</v>
      </c>
      <c r="Q83" s="180">
        <f>1127/1000</f>
        <v>1.127</v>
      </c>
      <c r="R83" s="180">
        <f>1879/1000</f>
        <v>1.879</v>
      </c>
      <c r="S83" s="181">
        <f>133850/1000</f>
        <v>133.85</v>
      </c>
      <c r="U83" s="183">
        <v>18398</v>
      </c>
      <c r="V83" s="816">
        <v>1963</v>
      </c>
      <c r="AC83" s="614">
        <v>1963</v>
      </c>
      <c r="AD83" s="175">
        <f t="shared" si="4"/>
        <v>47.866743492217459</v>
      </c>
      <c r="AE83" s="193">
        <f>(66662*1.016*24.8*0.023885)/1000</f>
        <v>40.118896014016002</v>
      </c>
      <c r="AF83" s="193">
        <f>(5059*1.016*41.8*0.023885)/1000</f>
        <v>5.1316841099920003</v>
      </c>
      <c r="AG83" s="177">
        <v>0</v>
      </c>
      <c r="AH83" s="193">
        <f>5949*0.085985/1000/0.275</f>
        <v>1.8600900545454548</v>
      </c>
      <c r="AI83" s="193">
        <f>3648*0.085985/1000</f>
        <v>0.31367328000000005</v>
      </c>
      <c r="AJ83" s="193"/>
      <c r="AK83" s="193"/>
      <c r="AL83" s="193"/>
      <c r="AM83" s="193">
        <f>(675.2*1.016*27*0.023885)/1000</f>
        <v>0.4424000336640001</v>
      </c>
      <c r="AN83" s="193"/>
      <c r="AO83" s="176"/>
    </row>
    <row r="84" spans="1:41" s="158" customFormat="1" ht="13.15" x14ac:dyDescent="0.4">
      <c r="A84" s="614">
        <v>1964</v>
      </c>
      <c r="B84" s="193">
        <f>170951/1000</f>
        <v>170.95099999999999</v>
      </c>
      <c r="C84" s="176">
        <f>3180/1000</f>
        <v>3.18</v>
      </c>
      <c r="D84" s="185">
        <f>-211/1000</f>
        <v>-0.21099999999999999</v>
      </c>
      <c r="E84" s="193">
        <f>154534/1000</f>
        <v>154.53399999999999</v>
      </c>
      <c r="F84" s="177">
        <v>0</v>
      </c>
      <c r="G84" s="177">
        <v>0</v>
      </c>
      <c r="H84" s="177">
        <v>0</v>
      </c>
      <c r="I84" s="177">
        <v>0</v>
      </c>
      <c r="J84" s="177">
        <v>0</v>
      </c>
      <c r="K84" s="177">
        <v>0</v>
      </c>
      <c r="L84" s="196">
        <v>0</v>
      </c>
      <c r="N84" s="179">
        <f>54411/1000</f>
        <v>54.411000000000001</v>
      </c>
      <c r="O84" s="175">
        <f>21321/1000</f>
        <v>21.321000000000002</v>
      </c>
      <c r="P84" s="175">
        <f>61604/1000</f>
        <v>61.603999999999999</v>
      </c>
      <c r="Q84" s="180">
        <f>1191/1000</f>
        <v>1.1910000000000001</v>
      </c>
      <c r="R84" s="180">
        <f>1847/1000</f>
        <v>1.847</v>
      </c>
      <c r="S84" s="181">
        <f>140374/1000</f>
        <v>140.374</v>
      </c>
      <c r="U84" s="183">
        <v>18732</v>
      </c>
      <c r="V84" s="816">
        <v>1964</v>
      </c>
      <c r="AC84" s="614">
        <v>1964</v>
      </c>
      <c r="AD84" s="175">
        <f t="shared" si="4"/>
        <v>49.751938037263642</v>
      </c>
      <c r="AE84" s="193">
        <f>(67836*1.016*24.8*0.023885)/1000</f>
        <v>40.825439230848005</v>
      </c>
      <c r="AF84" s="193">
        <f>(5664*1.016*41.8*0.023885)/1000</f>
        <v>5.7453763192319993</v>
      </c>
      <c r="AG84" s="177">
        <v>0</v>
      </c>
      <c r="AH84" s="193">
        <f>7629*0.085985/1000/0.275</f>
        <v>2.3853802363636367</v>
      </c>
      <c r="AI84" s="193">
        <f>4008*0.085985/1000</f>
        <v>0.34462788</v>
      </c>
      <c r="AJ84" s="193"/>
      <c r="AK84" s="193"/>
      <c r="AL84" s="193"/>
      <c r="AM84" s="193">
        <f>(688.5*1.016*27*0.023885)/1000</f>
        <v>0.45111437082000005</v>
      </c>
      <c r="AN84" s="193"/>
      <c r="AO84" s="176"/>
    </row>
    <row r="85" spans="1:41" s="158" customFormat="1" ht="13.15" x14ac:dyDescent="0.4">
      <c r="A85" s="614">
        <v>1965</v>
      </c>
      <c r="B85" s="193">
        <v>169.57</v>
      </c>
      <c r="C85" s="193">
        <v>0.21</v>
      </c>
      <c r="D85" s="197" t="s">
        <v>658</v>
      </c>
      <c r="E85" s="193">
        <v>169.88</v>
      </c>
      <c r="F85" s="193">
        <v>15.17</v>
      </c>
      <c r="G85" s="193">
        <v>154.71</v>
      </c>
      <c r="H85" s="193">
        <v>7.55</v>
      </c>
      <c r="I85" s="193">
        <v>58.54</v>
      </c>
      <c r="J85" s="193">
        <v>57.23</v>
      </c>
      <c r="K85" s="193">
        <v>31.39</v>
      </c>
      <c r="L85" s="194">
        <f t="shared" si="5"/>
        <v>147.16</v>
      </c>
      <c r="N85" s="186">
        <f>59421/1000</f>
        <v>59.420999999999999</v>
      </c>
      <c r="O85" s="187">
        <f>23427/1000</f>
        <v>23.427</v>
      </c>
      <c r="P85" s="187">
        <f>65040/1000</f>
        <v>65.040000000000006</v>
      </c>
      <c r="Q85" s="188">
        <f>1260/1000</f>
        <v>1.26</v>
      </c>
      <c r="R85" s="188">
        <f>1923/1000</f>
        <v>1.923</v>
      </c>
      <c r="S85" s="189">
        <f>151071/1000</f>
        <v>151.071</v>
      </c>
      <c r="U85" s="183">
        <v>19060</v>
      </c>
      <c r="V85" s="816">
        <v>1965</v>
      </c>
      <c r="AC85" s="614">
        <v>1965</v>
      </c>
      <c r="AD85" s="193">
        <v>51.72</v>
      </c>
      <c r="AE85" s="193">
        <v>40.03</v>
      </c>
      <c r="AF85" s="193">
        <v>6.74</v>
      </c>
      <c r="AG85" s="177">
        <v>0</v>
      </c>
      <c r="AH85" s="193">
        <v>4.34</v>
      </c>
      <c r="AI85" s="193">
        <f>4612*0.085985/1000</f>
        <v>0.39656282000000004</v>
      </c>
      <c r="AJ85" s="193"/>
      <c r="AK85" s="193"/>
      <c r="AL85" s="193"/>
      <c r="AM85" s="193">
        <v>0.21</v>
      </c>
      <c r="AN85" s="193"/>
      <c r="AO85" s="176"/>
    </row>
    <row r="86" spans="1:41" s="158" customFormat="1" ht="13.15" x14ac:dyDescent="0.4">
      <c r="A86" s="614">
        <v>1966</v>
      </c>
      <c r="B86" s="193">
        <v>175.38</v>
      </c>
      <c r="C86" s="193">
        <v>0.22</v>
      </c>
      <c r="D86" s="193">
        <v>0.35</v>
      </c>
      <c r="E86" s="193">
        <v>175.95</v>
      </c>
      <c r="F86" s="193">
        <v>15.3</v>
      </c>
      <c r="G86" s="193">
        <v>160.65</v>
      </c>
      <c r="H86" s="193">
        <v>7.66</v>
      </c>
      <c r="I86" s="193">
        <v>60.11</v>
      </c>
      <c r="J86" s="193">
        <v>59.81</v>
      </c>
      <c r="K86" s="193">
        <v>33.07</v>
      </c>
      <c r="L86" s="194">
        <f t="shared" si="5"/>
        <v>152.99</v>
      </c>
      <c r="N86" s="182"/>
      <c r="U86" s="183">
        <v>19363</v>
      </c>
      <c r="V86" s="816">
        <v>1966</v>
      </c>
      <c r="AC86" s="614">
        <v>1966</v>
      </c>
      <c r="AD86" s="193">
        <v>54.41</v>
      </c>
      <c r="AE86" s="193">
        <v>40.090000000000003</v>
      </c>
      <c r="AF86" s="193">
        <v>7.81</v>
      </c>
      <c r="AG86" s="177">
        <v>0</v>
      </c>
      <c r="AH86" s="193">
        <v>5.8</v>
      </c>
      <c r="AI86" s="193">
        <v>0.39</v>
      </c>
      <c r="AJ86" s="193"/>
      <c r="AK86" s="193"/>
      <c r="AL86" s="193"/>
      <c r="AM86" s="193">
        <v>0.32</v>
      </c>
      <c r="AN86" s="193"/>
      <c r="AO86" s="176"/>
    </row>
    <row r="87" spans="1:41" s="158" customFormat="1" ht="13.15" x14ac:dyDescent="0.4">
      <c r="A87" s="614">
        <v>1967</v>
      </c>
      <c r="B87" s="193">
        <v>181.14</v>
      </c>
      <c r="C87" s="193">
        <v>0.21</v>
      </c>
      <c r="D87" s="197" t="s">
        <v>659</v>
      </c>
      <c r="E87" s="193">
        <v>181.51</v>
      </c>
      <c r="F87" s="193">
        <v>15.76</v>
      </c>
      <c r="G87" s="193">
        <v>165.75</v>
      </c>
      <c r="H87" s="193">
        <v>7.75</v>
      </c>
      <c r="I87" s="193">
        <v>60.91</v>
      </c>
      <c r="J87" s="193">
        <v>62.35</v>
      </c>
      <c r="K87" s="193">
        <v>34.74</v>
      </c>
      <c r="L87" s="194">
        <f t="shared" si="5"/>
        <v>158</v>
      </c>
      <c r="N87" s="182"/>
      <c r="O87" s="182"/>
      <c r="P87" s="182"/>
      <c r="Q87" s="182"/>
      <c r="R87" s="182"/>
      <c r="S87" s="182"/>
      <c r="U87" s="183">
        <v>19668</v>
      </c>
      <c r="V87" s="816">
        <v>1967</v>
      </c>
      <c r="AC87" s="614">
        <v>1967</v>
      </c>
      <c r="AD87" s="193">
        <v>55.05</v>
      </c>
      <c r="AE87" s="193">
        <v>39.61</v>
      </c>
      <c r="AF87" s="193">
        <v>7.92</v>
      </c>
      <c r="AG87" s="177">
        <v>0</v>
      </c>
      <c r="AH87" s="193">
        <v>6.68</v>
      </c>
      <c r="AI87" s="193">
        <v>0.42</v>
      </c>
      <c r="AJ87" s="193"/>
      <c r="AK87" s="193"/>
      <c r="AL87" s="193"/>
      <c r="AM87" s="193">
        <v>0.42</v>
      </c>
      <c r="AN87" s="193"/>
      <c r="AO87" s="176"/>
    </row>
    <row r="88" spans="1:41" s="158" customFormat="1" ht="13.15" x14ac:dyDescent="0.4">
      <c r="A88" s="614">
        <v>1968</v>
      </c>
      <c r="B88" s="193">
        <v>193.56</v>
      </c>
      <c r="C88" s="193">
        <v>0.2</v>
      </c>
      <c r="D88" s="197" t="s">
        <v>660</v>
      </c>
      <c r="E88" s="193">
        <v>194.49</v>
      </c>
      <c r="F88" s="193">
        <v>16.29</v>
      </c>
      <c r="G88" s="193">
        <v>178.2</v>
      </c>
      <c r="H88" s="193">
        <v>7.68</v>
      </c>
      <c r="I88" s="193">
        <v>66.150000000000006</v>
      </c>
      <c r="J88" s="193">
        <v>66.66</v>
      </c>
      <c r="K88" s="193">
        <v>37.71</v>
      </c>
      <c r="L88" s="194">
        <f t="shared" si="5"/>
        <v>170.52</v>
      </c>
      <c r="N88" s="182"/>
      <c r="O88" s="182"/>
      <c r="P88" s="182"/>
      <c r="Q88" s="182"/>
      <c r="R88" s="182"/>
      <c r="S88" s="182"/>
      <c r="U88" s="183">
        <v>19964</v>
      </c>
      <c r="V88" s="816">
        <v>1968</v>
      </c>
      <c r="AC88" s="614">
        <v>1968</v>
      </c>
      <c r="AD88" s="193">
        <v>58.22</v>
      </c>
      <c r="AE88" s="193">
        <v>43.33</v>
      </c>
      <c r="AF88" s="193">
        <v>6.85</v>
      </c>
      <c r="AG88" s="177">
        <v>0</v>
      </c>
      <c r="AH88" s="193">
        <v>7.51</v>
      </c>
      <c r="AI88" s="193">
        <v>0.32</v>
      </c>
      <c r="AJ88" s="193"/>
      <c r="AK88" s="193"/>
      <c r="AL88" s="193"/>
      <c r="AM88" s="193">
        <v>0.21</v>
      </c>
      <c r="AN88" s="193"/>
      <c r="AO88" s="176"/>
    </row>
    <row r="89" spans="1:41" s="158" customFormat="1" ht="13.15" x14ac:dyDescent="0.4">
      <c r="A89" s="614">
        <v>1969</v>
      </c>
      <c r="B89" s="193">
        <v>206.37</v>
      </c>
      <c r="C89" s="193">
        <v>0.2</v>
      </c>
      <c r="D89" s="197" t="s">
        <v>661</v>
      </c>
      <c r="E89" s="193">
        <v>207.15</v>
      </c>
      <c r="F89" s="193">
        <v>17.29</v>
      </c>
      <c r="G89" s="193">
        <v>189.86</v>
      </c>
      <c r="H89" s="193">
        <v>6.88</v>
      </c>
      <c r="I89" s="193">
        <v>70.34</v>
      </c>
      <c r="J89" s="193">
        <v>72.19</v>
      </c>
      <c r="K89" s="193">
        <v>40.450000000000003</v>
      </c>
      <c r="L89" s="194">
        <f t="shared" si="5"/>
        <v>182.98000000000002</v>
      </c>
      <c r="N89" s="182"/>
      <c r="U89" s="183">
        <v>20200</v>
      </c>
      <c r="V89" s="816">
        <v>1969</v>
      </c>
      <c r="AC89" s="614">
        <v>1969</v>
      </c>
      <c r="AD89" s="193">
        <v>62.04</v>
      </c>
      <c r="AE89" s="193">
        <v>44.74</v>
      </c>
      <c r="AF89" s="193">
        <v>8.89</v>
      </c>
      <c r="AG89" s="193">
        <v>0.11</v>
      </c>
      <c r="AH89" s="193">
        <v>7.91</v>
      </c>
      <c r="AI89" s="193">
        <v>0.28000000000000003</v>
      </c>
      <c r="AJ89" s="193"/>
      <c r="AK89" s="193"/>
      <c r="AL89" s="193"/>
      <c r="AM89" s="193">
        <v>0.11</v>
      </c>
      <c r="AN89" s="193"/>
      <c r="AO89" s="176"/>
    </row>
    <row r="90" spans="1:41" ht="13.15" x14ac:dyDescent="0.4">
      <c r="A90" s="614">
        <v>1970</v>
      </c>
      <c r="B90" s="177">
        <v>215.76</v>
      </c>
      <c r="C90" s="177">
        <v>0.19</v>
      </c>
      <c r="D90" s="177">
        <v>0.55000000000000004</v>
      </c>
      <c r="E90" s="177">
        <v>216.5</v>
      </c>
      <c r="F90" s="177">
        <v>17.5</v>
      </c>
      <c r="G90" s="177">
        <v>199</v>
      </c>
      <c r="H90" s="177">
        <v>6.59</v>
      </c>
      <c r="I90" s="177">
        <v>72.989999999999995</v>
      </c>
      <c r="J90" s="177">
        <v>77.040000000000006</v>
      </c>
      <c r="K90" s="177">
        <v>42.38</v>
      </c>
      <c r="L90" s="196">
        <v>192.41</v>
      </c>
      <c r="M90" s="158"/>
      <c r="N90" s="182"/>
      <c r="O90" s="158"/>
      <c r="P90" s="158"/>
      <c r="Q90" s="158"/>
      <c r="R90" s="158"/>
      <c r="S90" s="158"/>
      <c r="U90" s="198">
        <v>20425</v>
      </c>
      <c r="V90" s="817">
        <v>1970</v>
      </c>
      <c r="AC90" s="614">
        <v>1970</v>
      </c>
      <c r="AD90" s="177">
        <v>63.84</v>
      </c>
      <c r="AE90" s="177">
        <v>43.07</v>
      </c>
      <c r="AF90" s="177">
        <v>13.27</v>
      </c>
      <c r="AG90" s="177">
        <v>0.11</v>
      </c>
      <c r="AH90" s="177">
        <v>7</v>
      </c>
      <c r="AI90" s="177">
        <v>0.39</v>
      </c>
      <c r="AJ90" s="177"/>
      <c r="AK90" s="177"/>
      <c r="AL90" s="177"/>
      <c r="AM90" s="177">
        <v>0</v>
      </c>
      <c r="AN90" s="177"/>
      <c r="AO90" s="176"/>
    </row>
    <row r="91" spans="1:41" ht="13.15" x14ac:dyDescent="0.4">
      <c r="A91" s="614">
        <v>1971</v>
      </c>
      <c r="B91" s="177">
        <v>222.92</v>
      </c>
      <c r="C91" s="177">
        <v>0.53</v>
      </c>
      <c r="D91" s="177">
        <v>0.12</v>
      </c>
      <c r="E91" s="177">
        <v>223.57</v>
      </c>
      <c r="F91" s="177">
        <v>19.010000000000002</v>
      </c>
      <c r="G91" s="177">
        <v>204.56</v>
      </c>
      <c r="H91" s="177">
        <v>6.6</v>
      </c>
      <c r="I91" s="177">
        <v>73.430000000000007</v>
      </c>
      <c r="J91" s="177">
        <v>80.67</v>
      </c>
      <c r="K91" s="177">
        <v>43.86</v>
      </c>
      <c r="L91" s="196">
        <v>197.96</v>
      </c>
      <c r="M91" s="158"/>
      <c r="N91" s="182"/>
      <c r="O91" s="158"/>
      <c r="P91" s="158"/>
      <c r="Q91" s="158"/>
      <c r="R91" s="158"/>
      <c r="S91" s="158"/>
      <c r="U91" s="198">
        <v>20627</v>
      </c>
      <c r="V91" s="817">
        <v>1971</v>
      </c>
      <c r="AC91" s="614">
        <v>1971</v>
      </c>
      <c r="AD91" s="177">
        <v>66.459999999999994</v>
      </c>
      <c r="AE91" s="177">
        <v>42.42</v>
      </c>
      <c r="AF91" s="177">
        <v>15.63</v>
      </c>
      <c r="AG91" s="177">
        <v>0.64</v>
      </c>
      <c r="AH91" s="177">
        <v>7.37</v>
      </c>
      <c r="AI91" s="177">
        <v>0.28999999999999998</v>
      </c>
      <c r="AJ91" s="177"/>
      <c r="AK91" s="177"/>
      <c r="AL91" s="177"/>
      <c r="AM91" s="177">
        <v>0.11</v>
      </c>
      <c r="AN91" s="177"/>
      <c r="AO91" s="176"/>
    </row>
    <row r="92" spans="1:41" ht="13.15" x14ac:dyDescent="0.4">
      <c r="A92" s="614">
        <v>1972</v>
      </c>
      <c r="B92" s="177">
        <v>229.45</v>
      </c>
      <c r="C92" s="177">
        <v>0.53</v>
      </c>
      <c r="D92" s="177">
        <v>0.48</v>
      </c>
      <c r="E92" s="177">
        <v>230.46</v>
      </c>
      <c r="F92" s="177">
        <v>18.91</v>
      </c>
      <c r="G92" s="177">
        <v>211.55</v>
      </c>
      <c r="H92" s="177">
        <v>6.37</v>
      </c>
      <c r="I92" s="177">
        <v>73.16</v>
      </c>
      <c r="J92" s="177">
        <v>86.89</v>
      </c>
      <c r="K92" s="177">
        <v>45.13</v>
      </c>
      <c r="L92" s="196">
        <v>205.18</v>
      </c>
      <c r="M92" s="158"/>
      <c r="N92" s="182"/>
      <c r="O92" s="158"/>
      <c r="P92" s="158"/>
      <c r="Q92" s="158"/>
      <c r="R92" s="158"/>
      <c r="S92" s="158"/>
      <c r="U92" s="198">
        <v>20885</v>
      </c>
      <c r="V92" s="817">
        <v>1972</v>
      </c>
      <c r="AC92" s="614">
        <v>1972</v>
      </c>
      <c r="AD92" s="177">
        <v>68.37</v>
      </c>
      <c r="AE92" s="177">
        <v>38.47</v>
      </c>
      <c r="AF92" s="177">
        <v>20.13</v>
      </c>
      <c r="AG92" s="177">
        <v>1.61</v>
      </c>
      <c r="AH92" s="177">
        <v>7.87</v>
      </c>
      <c r="AI92" s="177">
        <v>0.28999999999999998</v>
      </c>
      <c r="AJ92" s="177"/>
      <c r="AK92" s="177"/>
      <c r="AL92" s="177"/>
      <c r="AM92" s="175" t="s">
        <v>100</v>
      </c>
      <c r="AN92" s="177"/>
      <c r="AO92" s="176"/>
    </row>
    <row r="93" spans="1:41" ht="13.15" x14ac:dyDescent="0.4">
      <c r="A93" s="614">
        <v>1973</v>
      </c>
      <c r="B93" s="177">
        <v>245.42</v>
      </c>
      <c r="C93" s="177">
        <v>0.59</v>
      </c>
      <c r="D93" s="177">
        <v>0.06</v>
      </c>
      <c r="E93" s="177">
        <v>246.07</v>
      </c>
      <c r="F93" s="177">
        <v>19.59</v>
      </c>
      <c r="G93" s="177">
        <v>226.48</v>
      </c>
      <c r="H93" s="177">
        <v>6.67</v>
      </c>
      <c r="I93" s="177">
        <v>80.069999999999993</v>
      </c>
      <c r="J93" s="177">
        <v>91.3</v>
      </c>
      <c r="K93" s="177">
        <v>48.44</v>
      </c>
      <c r="L93" s="196">
        <v>219.81</v>
      </c>
      <c r="M93" s="158"/>
      <c r="N93" s="182"/>
      <c r="O93" s="158"/>
      <c r="P93" s="158"/>
      <c r="Q93" s="158"/>
      <c r="R93" s="158"/>
      <c r="S93" s="158"/>
      <c r="U93" s="198">
        <v>21100</v>
      </c>
      <c r="V93" s="817">
        <v>1973</v>
      </c>
      <c r="AC93" s="614">
        <v>1973</v>
      </c>
      <c r="AD93" s="177">
        <v>70.930000000000007</v>
      </c>
      <c r="AE93" s="177">
        <v>44.3</v>
      </c>
      <c r="AF93" s="177">
        <v>18.09</v>
      </c>
      <c r="AG93" s="177">
        <v>0.64</v>
      </c>
      <c r="AH93" s="177">
        <v>7.46</v>
      </c>
      <c r="AI93" s="177">
        <v>0.33</v>
      </c>
      <c r="AJ93" s="177"/>
      <c r="AK93" s="177"/>
      <c r="AL93" s="177"/>
      <c r="AM93" s="177">
        <v>0.11</v>
      </c>
      <c r="AN93" s="177"/>
      <c r="AO93" s="176"/>
    </row>
    <row r="94" spans="1:41" ht="13.15" x14ac:dyDescent="0.4">
      <c r="A94" s="614">
        <v>1974</v>
      </c>
      <c r="B94" s="177">
        <v>237.21</v>
      </c>
      <c r="C94" s="177">
        <v>0.6</v>
      </c>
      <c r="D94" s="177">
        <v>0.05</v>
      </c>
      <c r="E94" s="177">
        <v>237.86</v>
      </c>
      <c r="F94" s="177">
        <v>18.22</v>
      </c>
      <c r="G94" s="177">
        <v>219.64</v>
      </c>
      <c r="H94" s="177">
        <v>6.12</v>
      </c>
      <c r="I94" s="177">
        <v>75.81</v>
      </c>
      <c r="J94" s="177">
        <v>92.63</v>
      </c>
      <c r="K94" s="177">
        <v>45.08</v>
      </c>
      <c r="L94" s="196">
        <v>213.52</v>
      </c>
      <c r="M94" s="158"/>
      <c r="N94" s="182"/>
      <c r="O94" s="158"/>
      <c r="P94" s="158"/>
      <c r="Q94" s="158"/>
      <c r="R94" s="158"/>
      <c r="S94" s="158"/>
      <c r="U94" s="198">
        <v>21286</v>
      </c>
      <c r="V94" s="817">
        <v>1974</v>
      </c>
      <c r="AC94" s="614">
        <v>1974</v>
      </c>
      <c r="AD94" s="177">
        <v>69.010000000000005</v>
      </c>
      <c r="AE94" s="177">
        <v>38.71</v>
      </c>
      <c r="AF94" s="177">
        <v>18.41</v>
      </c>
      <c r="AG94" s="177">
        <v>2.46</v>
      </c>
      <c r="AH94" s="177">
        <v>8.9700000000000006</v>
      </c>
      <c r="AI94" s="177">
        <v>0.35</v>
      </c>
      <c r="AJ94" s="177"/>
      <c r="AK94" s="177"/>
      <c r="AL94" s="177"/>
      <c r="AM94" s="177">
        <v>0.11</v>
      </c>
      <c r="AN94" s="177"/>
      <c r="AO94" s="176"/>
    </row>
    <row r="95" spans="1:41" ht="13.15" x14ac:dyDescent="0.4">
      <c r="A95" s="614">
        <v>1975</v>
      </c>
      <c r="B95" s="177">
        <v>237.76</v>
      </c>
      <c r="C95" s="177">
        <v>0.7</v>
      </c>
      <c r="D95" s="177">
        <v>0.08</v>
      </c>
      <c r="E95" s="177">
        <v>238.54</v>
      </c>
      <c r="F95" s="177">
        <v>19.47</v>
      </c>
      <c r="G95" s="177">
        <v>219.07</v>
      </c>
      <c r="H95" s="177">
        <v>6.29</v>
      </c>
      <c r="I95" s="177">
        <v>75.36</v>
      </c>
      <c r="J95" s="177">
        <v>89.21</v>
      </c>
      <c r="K95" s="177">
        <v>48.21</v>
      </c>
      <c r="L95" s="196">
        <v>212.78</v>
      </c>
      <c r="M95" s="158"/>
      <c r="N95" s="182"/>
      <c r="O95" s="158"/>
      <c r="P95" s="158"/>
      <c r="Q95" s="158"/>
      <c r="R95" s="158"/>
      <c r="S95" s="158"/>
      <c r="U95" s="198">
        <v>21520</v>
      </c>
      <c r="V95" s="817">
        <v>1975</v>
      </c>
      <c r="AC95" s="614">
        <v>1975</v>
      </c>
      <c r="AD95" s="177">
        <v>66.25</v>
      </c>
      <c r="AE95" s="177">
        <v>41.85</v>
      </c>
      <c r="AF95" s="177">
        <v>13.7</v>
      </c>
      <c r="AG95" s="177">
        <v>2.14</v>
      </c>
      <c r="AH95" s="177">
        <v>8.1199999999999992</v>
      </c>
      <c r="AI95" s="177">
        <v>0.33</v>
      </c>
      <c r="AJ95" s="177"/>
      <c r="AK95" s="177"/>
      <c r="AL95" s="177"/>
      <c r="AM95" s="177">
        <v>0.11</v>
      </c>
      <c r="AN95" s="177"/>
      <c r="AO95" s="176"/>
    </row>
    <row r="96" spans="1:41" ht="13.15" x14ac:dyDescent="0.4">
      <c r="A96" s="614">
        <v>1976</v>
      </c>
      <c r="B96" s="177">
        <v>240.22</v>
      </c>
      <c r="C96" s="177">
        <v>0.61</v>
      </c>
      <c r="D96" s="177">
        <v>-0.1</v>
      </c>
      <c r="E96" s="177">
        <v>240.73</v>
      </c>
      <c r="F96" s="177">
        <v>18.73</v>
      </c>
      <c r="G96" s="177">
        <v>222</v>
      </c>
      <c r="H96" s="177">
        <v>6.39</v>
      </c>
      <c r="I96" s="177">
        <v>80.84</v>
      </c>
      <c r="J96" s="177">
        <v>85.12</v>
      </c>
      <c r="K96" s="177">
        <v>49.65</v>
      </c>
      <c r="L96" s="196">
        <v>215.61</v>
      </c>
      <c r="M96" s="158"/>
      <c r="N96" s="182"/>
      <c r="O96" s="158"/>
      <c r="P96" s="158"/>
      <c r="Q96" s="158"/>
      <c r="R96" s="158"/>
      <c r="S96" s="158"/>
      <c r="U96" s="198">
        <v>21777</v>
      </c>
      <c r="V96" s="817">
        <v>1976</v>
      </c>
      <c r="AC96" s="614">
        <v>1976</v>
      </c>
      <c r="AD96" s="177">
        <v>66.97</v>
      </c>
      <c r="AE96" s="177">
        <v>44.49</v>
      </c>
      <c r="AF96" s="177">
        <v>10.92</v>
      </c>
      <c r="AG96" s="177">
        <v>1.61</v>
      </c>
      <c r="AH96" s="177">
        <v>9.56</v>
      </c>
      <c r="AI96" s="177">
        <v>0.39</v>
      </c>
      <c r="AJ96" s="177"/>
      <c r="AK96" s="177"/>
      <c r="AL96" s="177"/>
      <c r="AM96" s="177">
        <v>0</v>
      </c>
      <c r="AN96" s="177"/>
      <c r="AO96" s="176"/>
    </row>
    <row r="97" spans="1:41" ht="13.15" x14ac:dyDescent="0.4">
      <c r="A97" s="614">
        <v>1977</v>
      </c>
      <c r="B97" s="177">
        <v>246.82</v>
      </c>
      <c r="C97" s="177">
        <v>0.74</v>
      </c>
      <c r="D97" s="177">
        <v>0</v>
      </c>
      <c r="E97" s="177">
        <v>247.56</v>
      </c>
      <c r="F97" s="177">
        <v>20.76</v>
      </c>
      <c r="G97" s="177">
        <v>226.8</v>
      </c>
      <c r="H97" s="177">
        <v>6.41</v>
      </c>
      <c r="I97" s="177">
        <v>82.06</v>
      </c>
      <c r="J97" s="177">
        <v>85.9</v>
      </c>
      <c r="K97" s="177">
        <v>52.43</v>
      </c>
      <c r="L97" s="196">
        <v>220.39</v>
      </c>
      <c r="M97" s="158"/>
      <c r="N97" s="182"/>
      <c r="O97" s="158"/>
      <c r="P97" s="158"/>
      <c r="Q97" s="158"/>
      <c r="R97" s="158"/>
      <c r="S97" s="158"/>
      <c r="U97" s="198">
        <v>22029</v>
      </c>
      <c r="V97" s="817">
        <v>1977</v>
      </c>
      <c r="AC97" s="614">
        <v>1977</v>
      </c>
      <c r="AD97" s="177">
        <v>69.319999999999993</v>
      </c>
      <c r="AE97" s="177">
        <v>45.71</v>
      </c>
      <c r="AF97" s="177">
        <v>11.35</v>
      </c>
      <c r="AG97" s="177">
        <v>1.28</v>
      </c>
      <c r="AH97" s="177">
        <v>10.64</v>
      </c>
      <c r="AI97" s="177">
        <v>0.34</v>
      </c>
      <c r="AJ97" s="177"/>
      <c r="AK97" s="177"/>
      <c r="AL97" s="177"/>
      <c r="AM97" s="177">
        <v>0</v>
      </c>
      <c r="AN97" s="177"/>
      <c r="AO97" s="176"/>
    </row>
    <row r="98" spans="1:41" ht="13.15" x14ac:dyDescent="0.4">
      <c r="A98" s="614">
        <v>1978</v>
      </c>
      <c r="B98" s="177">
        <v>252.65</v>
      </c>
      <c r="C98" s="177">
        <v>0.66</v>
      </c>
      <c r="D98" s="177">
        <v>-0.08</v>
      </c>
      <c r="E98" s="177">
        <v>253.23</v>
      </c>
      <c r="F98" s="177">
        <v>21.81</v>
      </c>
      <c r="G98" s="177">
        <v>231.42</v>
      </c>
      <c r="H98" s="177">
        <v>6.52</v>
      </c>
      <c r="I98" s="177">
        <v>84</v>
      </c>
      <c r="J98" s="177">
        <v>85.8</v>
      </c>
      <c r="K98" s="177">
        <v>55.1</v>
      </c>
      <c r="L98" s="196">
        <v>224.9</v>
      </c>
      <c r="M98" s="158"/>
      <c r="N98" s="182"/>
      <c r="O98" s="158"/>
      <c r="P98" s="158"/>
      <c r="Q98" s="158"/>
      <c r="R98" s="158"/>
      <c r="S98" s="158"/>
      <c r="U98" s="198">
        <v>22297</v>
      </c>
      <c r="V98" s="817">
        <v>1978</v>
      </c>
      <c r="AC98" s="614">
        <v>1978</v>
      </c>
      <c r="AD98" s="177">
        <v>69.64</v>
      </c>
      <c r="AE98" s="177">
        <v>46.05</v>
      </c>
      <c r="AF98" s="177">
        <v>12.31</v>
      </c>
      <c r="AG98" s="177">
        <v>0.86</v>
      </c>
      <c r="AH98" s="177">
        <v>9.9600000000000009</v>
      </c>
      <c r="AI98" s="177">
        <v>0.35</v>
      </c>
      <c r="AJ98" s="177"/>
      <c r="AK98" s="177"/>
      <c r="AL98" s="177"/>
      <c r="AM98" s="177">
        <v>0.11</v>
      </c>
      <c r="AN98" s="177"/>
      <c r="AO98" s="176"/>
    </row>
    <row r="99" spans="1:41" ht="13.15" x14ac:dyDescent="0.4">
      <c r="A99" s="614">
        <v>1979</v>
      </c>
      <c r="B99" s="177">
        <v>264.33999999999997</v>
      </c>
      <c r="C99" s="177">
        <v>0.63</v>
      </c>
      <c r="D99" s="177">
        <v>0</v>
      </c>
      <c r="E99" s="177">
        <v>264.97000000000003</v>
      </c>
      <c r="F99" s="177">
        <v>22.97</v>
      </c>
      <c r="G99" s="177">
        <v>242</v>
      </c>
      <c r="H99" s="177">
        <v>6.78</v>
      </c>
      <c r="I99" s="177">
        <v>87.55</v>
      </c>
      <c r="J99" s="177">
        <v>89.67</v>
      </c>
      <c r="K99" s="177">
        <v>58</v>
      </c>
      <c r="L99" s="196">
        <v>235.22</v>
      </c>
      <c r="M99" s="158"/>
      <c r="N99" s="182"/>
      <c r="O99" s="158"/>
      <c r="P99" s="158"/>
      <c r="Q99" s="158"/>
      <c r="R99" s="158"/>
      <c r="S99" s="158"/>
      <c r="U99" s="198">
        <v>22531</v>
      </c>
      <c r="V99" s="817">
        <v>1979</v>
      </c>
      <c r="AC99" s="614">
        <v>1979</v>
      </c>
      <c r="AD99" s="177">
        <v>72.8</v>
      </c>
      <c r="AE99" s="177">
        <v>50.1</v>
      </c>
      <c r="AF99" s="177">
        <v>11.45</v>
      </c>
      <c r="AG99" s="177">
        <v>0.54</v>
      </c>
      <c r="AH99" s="177">
        <v>10.23</v>
      </c>
      <c r="AI99" s="177">
        <v>0.37</v>
      </c>
      <c r="AJ99" s="177"/>
      <c r="AK99" s="177"/>
      <c r="AL99" s="177"/>
      <c r="AM99" s="177">
        <v>0.11</v>
      </c>
      <c r="AN99" s="177"/>
      <c r="AO99" s="176"/>
    </row>
    <row r="100" spans="1:41" ht="13.15" x14ac:dyDescent="0.4">
      <c r="A100" s="614">
        <v>1980</v>
      </c>
      <c r="B100" s="177">
        <v>252.02</v>
      </c>
      <c r="C100" s="177">
        <v>0.61</v>
      </c>
      <c r="D100" s="177">
        <v>0</v>
      </c>
      <c r="E100" s="177">
        <v>252.63</v>
      </c>
      <c r="F100" s="177">
        <v>21.53</v>
      </c>
      <c r="G100" s="177">
        <v>231.11</v>
      </c>
      <c r="H100" s="177">
        <v>6.86</v>
      </c>
      <c r="I100" s="177">
        <v>79.73</v>
      </c>
      <c r="J100" s="177">
        <v>86.11</v>
      </c>
      <c r="K100" s="177">
        <v>58.41</v>
      </c>
      <c r="L100" s="196">
        <v>224.25</v>
      </c>
      <c r="M100" s="158"/>
      <c r="N100" s="182"/>
      <c r="O100" s="158"/>
      <c r="P100" s="158"/>
      <c r="Q100" s="158"/>
      <c r="R100" s="158"/>
      <c r="S100" s="158"/>
      <c r="U100" s="198">
        <v>22603</v>
      </c>
      <c r="V100" s="817">
        <v>1980</v>
      </c>
      <c r="AC100" s="614">
        <v>1980</v>
      </c>
      <c r="AD100" s="177">
        <v>69.459999999999994</v>
      </c>
      <c r="AE100" s="177">
        <v>51.01</v>
      </c>
      <c r="AF100" s="177">
        <v>7.67</v>
      </c>
      <c r="AG100" s="177">
        <v>0.42</v>
      </c>
      <c r="AH100" s="177">
        <v>9.91</v>
      </c>
      <c r="AI100" s="177">
        <v>0.34</v>
      </c>
      <c r="AJ100" s="177"/>
      <c r="AK100" s="177"/>
      <c r="AL100" s="177"/>
      <c r="AM100" s="177">
        <v>0.11</v>
      </c>
      <c r="AN100" s="177"/>
      <c r="AO100" s="176"/>
    </row>
    <row r="101" spans="1:41" ht="13.15" x14ac:dyDescent="0.4">
      <c r="A101" s="614">
        <v>1981</v>
      </c>
      <c r="B101" s="177">
        <v>246.6</v>
      </c>
      <c r="C101" s="177">
        <v>0.74</v>
      </c>
      <c r="D101" s="177">
        <v>0</v>
      </c>
      <c r="E101" s="177">
        <v>247.34</v>
      </c>
      <c r="F101" s="177">
        <v>20.13</v>
      </c>
      <c r="G101" s="177">
        <v>227.21</v>
      </c>
      <c r="H101" s="177">
        <v>6.86</v>
      </c>
      <c r="I101" s="177">
        <v>77.03</v>
      </c>
      <c r="J101" s="177">
        <v>84.44</v>
      </c>
      <c r="K101" s="177">
        <v>58.88</v>
      </c>
      <c r="L101" s="196">
        <v>220.35</v>
      </c>
      <c r="M101" s="158"/>
      <c r="N101" s="182"/>
      <c r="O101" s="158"/>
      <c r="P101" s="158"/>
      <c r="Q101" s="158"/>
      <c r="R101" s="158"/>
      <c r="S101" s="158"/>
      <c r="U101" s="198">
        <v>22789</v>
      </c>
      <c r="V101" s="817">
        <v>1981</v>
      </c>
      <c r="AC101" s="614">
        <v>1981</v>
      </c>
      <c r="AD101" s="177">
        <v>65.98</v>
      </c>
      <c r="AE101" s="177">
        <v>49.64</v>
      </c>
      <c r="AF101" s="177">
        <v>5.46</v>
      </c>
      <c r="AG101" s="177">
        <v>0.21</v>
      </c>
      <c r="AH101" s="177">
        <v>10.18</v>
      </c>
      <c r="AI101" s="177">
        <v>0.38</v>
      </c>
      <c r="AJ101" s="177"/>
      <c r="AK101" s="177"/>
      <c r="AL101" s="177"/>
      <c r="AM101" s="177">
        <v>0.11</v>
      </c>
      <c r="AN101" s="177"/>
      <c r="AO101" s="176"/>
    </row>
    <row r="102" spans="1:41" ht="13.15" x14ac:dyDescent="0.4">
      <c r="A102" s="614">
        <v>1982</v>
      </c>
      <c r="B102" s="177">
        <v>242.48</v>
      </c>
      <c r="C102" s="177">
        <v>0.82</v>
      </c>
      <c r="D102" s="177">
        <v>0</v>
      </c>
      <c r="E102" s="177">
        <v>243.3</v>
      </c>
      <c r="F102" s="177">
        <v>20.48</v>
      </c>
      <c r="G102" s="177">
        <v>222.82</v>
      </c>
      <c r="H102" s="177">
        <v>6.81</v>
      </c>
      <c r="I102" s="177">
        <v>73.91</v>
      </c>
      <c r="J102" s="177">
        <v>82.79</v>
      </c>
      <c r="K102" s="177">
        <v>59.31</v>
      </c>
      <c r="L102" s="196">
        <v>216.01</v>
      </c>
      <c r="M102" s="158"/>
      <c r="N102" s="182"/>
      <c r="O102" s="158"/>
      <c r="P102" s="158"/>
      <c r="Q102" s="158"/>
      <c r="R102" s="158"/>
      <c r="S102" s="158"/>
      <c r="U102" s="198">
        <v>22951</v>
      </c>
      <c r="V102" s="817">
        <v>1982</v>
      </c>
      <c r="AC102" s="614">
        <v>1982</v>
      </c>
      <c r="AD102" s="177">
        <v>65.98</v>
      </c>
      <c r="AE102" s="177">
        <v>46.75</v>
      </c>
      <c r="AF102" s="177">
        <v>6.64</v>
      </c>
      <c r="AG102" s="177">
        <v>0.21</v>
      </c>
      <c r="AH102" s="177">
        <v>11.88</v>
      </c>
      <c r="AI102" s="177">
        <v>0.39</v>
      </c>
      <c r="AJ102" s="177"/>
      <c r="AK102" s="177"/>
      <c r="AL102" s="177"/>
      <c r="AM102" s="177">
        <v>0.11</v>
      </c>
      <c r="AN102" s="177"/>
      <c r="AO102" s="176"/>
    </row>
    <row r="103" spans="1:41" ht="13.15" x14ac:dyDescent="0.4">
      <c r="A103" s="614">
        <v>1983</v>
      </c>
      <c r="B103" s="177">
        <v>246.15</v>
      </c>
      <c r="C103" s="177">
        <v>1.1499999999999999</v>
      </c>
      <c r="D103" s="177">
        <v>0</v>
      </c>
      <c r="E103" s="177">
        <v>247.3</v>
      </c>
      <c r="F103" s="177">
        <v>21.21</v>
      </c>
      <c r="G103" s="177">
        <v>226.09</v>
      </c>
      <c r="H103" s="177">
        <v>6.69</v>
      </c>
      <c r="I103" s="177">
        <v>74.17</v>
      </c>
      <c r="J103" s="177">
        <v>82.95</v>
      </c>
      <c r="K103" s="177">
        <v>62.28</v>
      </c>
      <c r="L103" s="196">
        <v>219.4</v>
      </c>
      <c r="M103" s="158"/>
      <c r="N103" s="182"/>
      <c r="O103" s="158"/>
      <c r="P103" s="158"/>
      <c r="Q103" s="158"/>
      <c r="R103" s="158"/>
      <c r="S103" s="158"/>
      <c r="U103" s="198">
        <v>23180</v>
      </c>
      <c r="V103" s="817">
        <v>1983</v>
      </c>
      <c r="AC103" s="614">
        <v>1983</v>
      </c>
      <c r="AD103" s="177">
        <v>66.37</v>
      </c>
      <c r="AE103" s="177">
        <v>47.16</v>
      </c>
      <c r="AF103" s="177">
        <v>5.14</v>
      </c>
      <c r="AG103" s="177">
        <v>0.21</v>
      </c>
      <c r="AH103" s="177">
        <v>13.47</v>
      </c>
      <c r="AI103" s="177">
        <v>0.39</v>
      </c>
      <c r="AJ103" s="177"/>
      <c r="AK103" s="177"/>
      <c r="AL103" s="177"/>
      <c r="AM103" s="177">
        <v>0</v>
      </c>
      <c r="AN103" s="177"/>
      <c r="AO103" s="176"/>
    </row>
    <row r="104" spans="1:41" ht="13.15" x14ac:dyDescent="0.4">
      <c r="A104" s="614">
        <v>1984</v>
      </c>
      <c r="B104" s="177">
        <v>251.47</v>
      </c>
      <c r="C104" s="177">
        <v>0.55000000000000004</v>
      </c>
      <c r="D104" s="177">
        <v>0</v>
      </c>
      <c r="E104" s="177">
        <v>252.02</v>
      </c>
      <c r="F104" s="177">
        <v>21.06</v>
      </c>
      <c r="G104" s="177">
        <v>230.96</v>
      </c>
      <c r="H104" s="177">
        <v>6.64</v>
      </c>
      <c r="I104" s="177">
        <v>78.64</v>
      </c>
      <c r="J104" s="177">
        <v>83.9</v>
      </c>
      <c r="K104" s="177">
        <v>61.78</v>
      </c>
      <c r="L104" s="196">
        <v>224.32</v>
      </c>
      <c r="M104" s="158"/>
      <c r="N104" s="182"/>
      <c r="O104" s="158"/>
      <c r="P104" s="158"/>
      <c r="Q104" s="158"/>
      <c r="R104" s="158"/>
      <c r="S104" s="158"/>
      <c r="U104" s="198">
        <v>23431</v>
      </c>
      <c r="V104" s="817">
        <v>1984</v>
      </c>
      <c r="AC104" s="614">
        <v>1984</v>
      </c>
      <c r="AD104" s="177">
        <v>69.180000000000007</v>
      </c>
      <c r="AE104" s="177">
        <v>31.07</v>
      </c>
      <c r="AF104" s="177">
        <v>22.8</v>
      </c>
      <c r="AG104" s="177">
        <v>0.42</v>
      </c>
      <c r="AH104" s="177">
        <v>14.5</v>
      </c>
      <c r="AI104" s="177">
        <v>0.39</v>
      </c>
      <c r="AJ104" s="177"/>
      <c r="AK104" s="177"/>
      <c r="AL104" s="177"/>
      <c r="AM104" s="177">
        <v>0</v>
      </c>
      <c r="AN104" s="177"/>
      <c r="AO104" s="176"/>
    </row>
    <row r="105" spans="1:41" ht="13.15" x14ac:dyDescent="0.4">
      <c r="A105" s="614">
        <v>1985</v>
      </c>
      <c r="B105" s="177">
        <v>263.56</v>
      </c>
      <c r="C105" s="177">
        <v>0.92</v>
      </c>
      <c r="D105" s="177">
        <v>0</v>
      </c>
      <c r="E105" s="177">
        <v>264.48</v>
      </c>
      <c r="F105" s="177">
        <v>22.63</v>
      </c>
      <c r="G105" s="177">
        <v>241.85</v>
      </c>
      <c r="H105" s="177">
        <v>7.76</v>
      </c>
      <c r="I105" s="177">
        <v>79.53</v>
      </c>
      <c r="J105" s="177">
        <v>88.23</v>
      </c>
      <c r="K105" s="177">
        <v>66.33</v>
      </c>
      <c r="L105" s="196">
        <v>234.09</v>
      </c>
      <c r="M105" s="158"/>
      <c r="N105" s="182"/>
      <c r="O105" s="158"/>
      <c r="P105" s="158"/>
      <c r="Q105" s="158"/>
      <c r="R105" s="158"/>
      <c r="S105" s="158"/>
      <c r="U105" s="198">
        <v>23665</v>
      </c>
      <c r="V105" s="817">
        <v>1985</v>
      </c>
      <c r="AC105" s="614">
        <v>1985</v>
      </c>
      <c r="AD105" s="177">
        <v>71.540000000000006</v>
      </c>
      <c r="AE105" s="177">
        <v>42.81</v>
      </c>
      <c r="AF105" s="177">
        <v>11.35</v>
      </c>
      <c r="AG105" s="177">
        <v>0.54</v>
      </c>
      <c r="AH105" s="177">
        <v>16.5</v>
      </c>
      <c r="AI105" s="177">
        <v>0.34</v>
      </c>
      <c r="AJ105" s="177"/>
      <c r="AK105" s="177"/>
      <c r="AL105" s="177"/>
      <c r="AM105" s="177">
        <v>0</v>
      </c>
      <c r="AN105" s="177"/>
      <c r="AO105" s="176"/>
    </row>
    <row r="106" spans="1:41" ht="13.5" thickBot="1" x14ac:dyDescent="0.45">
      <c r="A106" s="614" t="s">
        <v>1035</v>
      </c>
      <c r="B106" s="177">
        <v>278.48</v>
      </c>
      <c r="C106" s="177">
        <v>0</v>
      </c>
      <c r="D106" s="177">
        <v>4.26</v>
      </c>
      <c r="E106" s="177">
        <v>282.73</v>
      </c>
      <c r="F106" s="177">
        <v>22.91</v>
      </c>
      <c r="G106" s="177">
        <v>259.82</v>
      </c>
      <c r="H106" s="177">
        <v>9.51</v>
      </c>
      <c r="I106" s="177">
        <v>88.8</v>
      </c>
      <c r="J106" s="177">
        <v>91.83</v>
      </c>
      <c r="K106" s="177">
        <v>69.680000000000007</v>
      </c>
      <c r="L106" s="196">
        <v>250.31</v>
      </c>
      <c r="M106" s="158"/>
      <c r="N106" s="182"/>
      <c r="O106" s="158"/>
      <c r="P106" s="158"/>
      <c r="Q106" s="158"/>
      <c r="U106" s="202">
        <v>23915</v>
      </c>
      <c r="V106" s="817">
        <v>1986</v>
      </c>
      <c r="AC106" s="814" t="s">
        <v>1124</v>
      </c>
      <c r="AD106" s="236">
        <v>70.5</v>
      </c>
      <c r="AE106" s="201">
        <v>50.37</v>
      </c>
      <c r="AF106" s="201">
        <v>5.14</v>
      </c>
      <c r="AG106" s="201">
        <v>0.19</v>
      </c>
      <c r="AH106" s="201">
        <v>14.44</v>
      </c>
      <c r="AI106" s="201">
        <v>0.36</v>
      </c>
      <c r="AJ106" s="201"/>
      <c r="AK106" s="201"/>
      <c r="AL106" s="201"/>
      <c r="AM106" s="201">
        <v>0</v>
      </c>
      <c r="AN106" s="201"/>
      <c r="AO106" s="237"/>
    </row>
    <row r="107" spans="1:41" ht="13.5" thickTop="1" x14ac:dyDescent="0.4">
      <c r="A107" s="614">
        <v>1987</v>
      </c>
      <c r="B107" s="177">
        <v>279.70999999999998</v>
      </c>
      <c r="C107" s="177">
        <v>0</v>
      </c>
      <c r="D107" s="177">
        <v>11.64</v>
      </c>
      <c r="E107" s="177">
        <v>291.33999999999997</v>
      </c>
      <c r="F107" s="177">
        <v>22.96</v>
      </c>
      <c r="G107" s="177">
        <v>268.38</v>
      </c>
      <c r="H107" s="177">
        <v>9.49</v>
      </c>
      <c r="I107" s="177">
        <v>93.14</v>
      </c>
      <c r="J107" s="177">
        <v>93.25</v>
      </c>
      <c r="K107" s="177">
        <v>72.5</v>
      </c>
      <c r="L107" s="196">
        <v>258.89</v>
      </c>
      <c r="M107" s="158"/>
      <c r="N107" s="182"/>
      <c r="O107" s="158"/>
      <c r="P107" s="158"/>
      <c r="Q107" s="158"/>
      <c r="R107" s="158"/>
      <c r="S107" s="158"/>
      <c r="U107" s="198">
        <v>24481</v>
      </c>
      <c r="V107" s="817">
        <v>1987</v>
      </c>
      <c r="AC107" s="614" t="s">
        <v>1124</v>
      </c>
      <c r="AD107" s="177">
        <v>74.31</v>
      </c>
      <c r="AE107" s="177">
        <v>51.58</v>
      </c>
      <c r="AF107" s="177">
        <v>6.3</v>
      </c>
      <c r="AG107" s="177">
        <v>0.91</v>
      </c>
      <c r="AH107" s="177">
        <v>14.44</v>
      </c>
      <c r="AI107" s="177">
        <v>0.36</v>
      </c>
      <c r="AJ107" s="177"/>
      <c r="AK107" s="177"/>
      <c r="AL107" s="177">
        <v>0</v>
      </c>
      <c r="AM107" s="177">
        <v>0</v>
      </c>
      <c r="AN107" s="177">
        <f>'1.7.2 Elec1'!AL77-'1.8.1 RenElLR'!S8/1000</f>
        <v>0.72</v>
      </c>
      <c r="AO107" s="176"/>
    </row>
    <row r="108" spans="1:41" ht="13.15" x14ac:dyDescent="0.4">
      <c r="A108" s="614">
        <v>1988</v>
      </c>
      <c r="B108" s="177">
        <v>285.70999999999998</v>
      </c>
      <c r="C108" s="177">
        <v>0</v>
      </c>
      <c r="D108" s="177">
        <v>12.14</v>
      </c>
      <c r="E108" s="177">
        <v>297.85000000000002</v>
      </c>
      <c r="F108" s="177">
        <v>23.35</v>
      </c>
      <c r="G108" s="177">
        <v>274.5</v>
      </c>
      <c r="H108" s="177">
        <v>9.16</v>
      </c>
      <c r="I108" s="177">
        <v>97.14</v>
      </c>
      <c r="J108" s="177">
        <v>92.36</v>
      </c>
      <c r="K108" s="177">
        <v>75.84</v>
      </c>
      <c r="L108" s="196">
        <v>265.33999999999997</v>
      </c>
      <c r="M108" s="158"/>
      <c r="N108" s="182"/>
      <c r="O108" s="158"/>
      <c r="P108" s="158"/>
      <c r="Q108" s="158"/>
      <c r="R108" s="158"/>
      <c r="S108" s="158"/>
      <c r="U108" s="198">
        <v>24743</v>
      </c>
      <c r="V108" s="817">
        <v>1988</v>
      </c>
      <c r="AC108" s="614">
        <v>1988</v>
      </c>
      <c r="AD108" s="177">
        <v>75.569999999999993</v>
      </c>
      <c r="AE108" s="177">
        <v>49.83</v>
      </c>
      <c r="AF108" s="177">
        <v>7.01</v>
      </c>
      <c r="AG108" s="177">
        <v>0.97</v>
      </c>
      <c r="AH108" s="177">
        <v>16.57</v>
      </c>
      <c r="AI108" s="177">
        <v>0.42</v>
      </c>
      <c r="AJ108" s="177"/>
      <c r="AK108" s="177"/>
      <c r="AL108" s="177">
        <v>0</v>
      </c>
      <c r="AM108" s="177">
        <v>0</v>
      </c>
      <c r="AN108" s="177">
        <f>'1.7.2 Elec1'!AL78-'1.8.1 RenElLR'!S9/1000</f>
        <v>0.77</v>
      </c>
      <c r="AO108" s="176"/>
    </row>
    <row r="109" spans="1:41" ht="13.15" x14ac:dyDescent="0.4">
      <c r="A109" s="614">
        <v>1989</v>
      </c>
      <c r="B109" s="177">
        <v>291.75</v>
      </c>
      <c r="C109" s="177">
        <v>0</v>
      </c>
      <c r="D109" s="177">
        <v>12.63</v>
      </c>
      <c r="E109" s="177">
        <v>304.38</v>
      </c>
      <c r="F109" s="177">
        <v>24.98</v>
      </c>
      <c r="G109" s="177">
        <v>279.39999999999998</v>
      </c>
      <c r="H109" s="177">
        <v>9</v>
      </c>
      <c r="I109" s="177">
        <v>99.42</v>
      </c>
      <c r="J109" s="177">
        <v>92.27</v>
      </c>
      <c r="K109" s="177">
        <v>78.709999999999994</v>
      </c>
      <c r="L109" s="196">
        <v>270.39999999999998</v>
      </c>
      <c r="M109" s="158"/>
      <c r="N109" s="182"/>
      <c r="O109" s="158"/>
      <c r="P109" s="158"/>
      <c r="Q109" s="158"/>
      <c r="R109" s="158"/>
      <c r="S109" s="158"/>
      <c r="U109" s="198">
        <v>24990</v>
      </c>
      <c r="V109" s="817">
        <v>1989</v>
      </c>
      <c r="AC109" s="614">
        <v>1989</v>
      </c>
      <c r="AD109" s="177">
        <v>75.27</v>
      </c>
      <c r="AE109" s="177">
        <v>48.59</v>
      </c>
      <c r="AF109" s="177">
        <v>7.11</v>
      </c>
      <c r="AG109" s="177">
        <v>0.54</v>
      </c>
      <c r="AH109" s="177">
        <v>17.739999999999998</v>
      </c>
      <c r="AI109" s="177">
        <v>0.41</v>
      </c>
      <c r="AJ109" s="177"/>
      <c r="AK109" s="177"/>
      <c r="AL109" s="177">
        <v>0</v>
      </c>
      <c r="AM109" s="177">
        <v>0</v>
      </c>
      <c r="AN109" s="177">
        <f>'1.7.2 Elec1'!AL79-'1.8.1 RenElLR'!S70/1000</f>
        <v>0.88</v>
      </c>
      <c r="AO109" s="176"/>
    </row>
    <row r="110" spans="1:41" ht="13.15" x14ac:dyDescent="0.4">
      <c r="A110" s="614">
        <v>1990</v>
      </c>
      <c r="B110" s="177">
        <v>297.5</v>
      </c>
      <c r="C110" s="177">
        <v>0</v>
      </c>
      <c r="D110" s="177">
        <v>11.91</v>
      </c>
      <c r="E110" s="177">
        <v>309.41000000000003</v>
      </c>
      <c r="F110" s="177">
        <v>24.99</v>
      </c>
      <c r="G110" s="177">
        <v>284.42</v>
      </c>
      <c r="H110" s="177">
        <v>9.99</v>
      </c>
      <c r="I110" s="177">
        <v>100.64</v>
      </c>
      <c r="J110" s="177">
        <v>93.79</v>
      </c>
      <c r="K110" s="177">
        <v>80</v>
      </c>
      <c r="L110" s="196">
        <v>274.43</v>
      </c>
      <c r="M110" s="158"/>
      <c r="N110" s="182"/>
      <c r="O110" s="158"/>
      <c r="P110" s="158"/>
      <c r="Q110" s="158"/>
      <c r="R110" s="158"/>
      <c r="S110" s="158"/>
      <c r="U110" s="198">
        <v>25268</v>
      </c>
      <c r="V110" s="817">
        <v>1990</v>
      </c>
      <c r="AC110" s="614">
        <v>1990</v>
      </c>
      <c r="AD110" s="177">
        <v>76.34</v>
      </c>
      <c r="AE110" s="177">
        <v>49.84</v>
      </c>
      <c r="AF110" s="177">
        <v>8.4</v>
      </c>
      <c r="AG110" s="177">
        <v>0.56000000000000005</v>
      </c>
      <c r="AH110" s="177">
        <v>16.260000000000002</v>
      </c>
      <c r="AI110" s="177">
        <v>0.44</v>
      </c>
      <c r="AJ110" s="177">
        <f>('1.8.1 RenElLR'!B80+'1.8.1 RenElLR'!C80)/1000</f>
        <v>7.9000000000000001E-4</v>
      </c>
      <c r="AK110" s="177">
        <f>('1.8.1 RenElLR'!F80)/1000</f>
        <v>0</v>
      </c>
      <c r="AL110" s="177">
        <f>'1.8.1 RenElLR'!S80/1000</f>
        <v>0.21903</v>
      </c>
      <c r="AM110" s="177">
        <v>0</v>
      </c>
      <c r="AN110" s="177">
        <f>'1.7.2 Elec1'!AL80-'1.8.1 RenElLR'!S80/1000</f>
        <v>0.62097000000000002</v>
      </c>
      <c r="AO110" s="176"/>
    </row>
    <row r="111" spans="1:41" ht="13.15" x14ac:dyDescent="0.4">
      <c r="A111" s="614">
        <v>1991</v>
      </c>
      <c r="B111" s="177">
        <v>300.64999999999998</v>
      </c>
      <c r="C111" s="177">
        <v>0</v>
      </c>
      <c r="D111" s="177">
        <v>16.41</v>
      </c>
      <c r="E111" s="177">
        <v>317.06</v>
      </c>
      <c r="F111" s="177">
        <v>26.22</v>
      </c>
      <c r="G111" s="177">
        <v>290.83999999999997</v>
      </c>
      <c r="H111" s="177">
        <v>9.7899999999999991</v>
      </c>
      <c r="I111" s="177">
        <v>99.57</v>
      </c>
      <c r="J111" s="177">
        <v>98.1</v>
      </c>
      <c r="K111" s="177">
        <v>83.38</v>
      </c>
      <c r="L111" s="196">
        <v>281.05</v>
      </c>
      <c r="M111" s="158"/>
      <c r="N111" s="182"/>
      <c r="O111" s="158"/>
      <c r="P111" s="158"/>
      <c r="Q111" s="158"/>
      <c r="R111" s="158"/>
      <c r="S111" s="158"/>
      <c r="U111" s="198">
        <v>25503</v>
      </c>
      <c r="V111" s="817">
        <v>1991</v>
      </c>
      <c r="AC111" s="614">
        <v>1991</v>
      </c>
      <c r="AD111" s="177">
        <v>76.87</v>
      </c>
      <c r="AE111" s="177">
        <v>49.98</v>
      </c>
      <c r="AF111" s="177">
        <v>7.56</v>
      </c>
      <c r="AG111" s="177">
        <v>0.56999999999999995</v>
      </c>
      <c r="AH111" s="177">
        <v>17.43</v>
      </c>
      <c r="AI111" s="177">
        <v>0.39</v>
      </c>
      <c r="AJ111" s="177">
        <f>('1.8.1 RenElLR'!B81+'1.8.1 RenElLR'!C81)/1000</f>
        <v>7.3999999999999999E-4</v>
      </c>
      <c r="AK111" s="177">
        <f>('1.8.1 RenElLR'!F81)/1000</f>
        <v>0</v>
      </c>
      <c r="AL111" s="177">
        <f>'1.8.1 RenElLR'!S81/1000</f>
        <v>0.24687999999999999</v>
      </c>
      <c r="AM111" s="177">
        <v>0</v>
      </c>
      <c r="AN111" s="177">
        <f>'1.7.2 Elec1'!AL81-'1.8.1 RenElLR'!S81/1000</f>
        <v>0.69311999999999996</v>
      </c>
      <c r="AO111" s="176"/>
    </row>
    <row r="112" spans="1:41" ht="13.15" x14ac:dyDescent="0.4">
      <c r="A112" s="614">
        <v>1992</v>
      </c>
      <c r="B112" s="177">
        <v>298.55</v>
      </c>
      <c r="C112" s="177">
        <v>0</v>
      </c>
      <c r="D112" s="177">
        <v>16.690000000000001</v>
      </c>
      <c r="E112" s="177">
        <v>315.24</v>
      </c>
      <c r="F112" s="177">
        <v>23.79</v>
      </c>
      <c r="G112" s="177">
        <v>291.45</v>
      </c>
      <c r="H112" s="177">
        <v>9.98</v>
      </c>
      <c r="I112" s="177">
        <v>95.28</v>
      </c>
      <c r="J112" s="177">
        <v>99.48</v>
      </c>
      <c r="K112" s="177">
        <v>86.71</v>
      </c>
      <c r="L112" s="196">
        <v>281.47000000000003</v>
      </c>
      <c r="M112" s="158"/>
      <c r="N112" s="182"/>
      <c r="O112" s="158"/>
      <c r="P112" s="158"/>
      <c r="Q112" s="158"/>
      <c r="R112" s="158"/>
      <c r="S112" s="158"/>
      <c r="U112" s="198">
        <v>25648</v>
      </c>
      <c r="V112" s="817">
        <v>1992</v>
      </c>
      <c r="AC112" s="614">
        <v>1992</v>
      </c>
      <c r="AD112" s="177">
        <v>76.569999999999993</v>
      </c>
      <c r="AE112" s="177">
        <v>46.94</v>
      </c>
      <c r="AF112" s="177">
        <v>8.07</v>
      </c>
      <c r="AG112" s="177">
        <v>1.54</v>
      </c>
      <c r="AH112" s="177">
        <v>18.45</v>
      </c>
      <c r="AI112" s="177">
        <v>0.46</v>
      </c>
      <c r="AJ112" s="177">
        <f>('1.8.1 RenElLR'!B82+'1.8.1 RenElLR'!C82)/1000</f>
        <v>2.8E-3</v>
      </c>
      <c r="AK112" s="177">
        <f>('1.8.1 RenElLR'!F82)/1000</f>
        <v>0</v>
      </c>
      <c r="AL112" s="177">
        <f>'1.8.1 RenElLR'!S82/1000</f>
        <v>0.33462999999999998</v>
      </c>
      <c r="AM112" s="177">
        <v>0</v>
      </c>
      <c r="AN112" s="177">
        <f>'1.7.2 Elec1'!AL82-'1.8.1 RenElLR'!S82/1000</f>
        <v>0.7553700000000001</v>
      </c>
      <c r="AO112" s="176"/>
    </row>
    <row r="113" spans="1:41" ht="13.15" x14ac:dyDescent="0.4">
      <c r="A113" s="614">
        <v>1993</v>
      </c>
      <c r="B113" s="177">
        <v>301.87</v>
      </c>
      <c r="C113" s="177">
        <v>0</v>
      </c>
      <c r="D113" s="177">
        <v>16.72</v>
      </c>
      <c r="E113" s="177">
        <v>318.58999999999997</v>
      </c>
      <c r="F113" s="177">
        <v>22.84</v>
      </c>
      <c r="G113" s="177">
        <v>295.75</v>
      </c>
      <c r="H113" s="177">
        <v>9.6199999999999992</v>
      </c>
      <c r="I113" s="177">
        <v>96.84</v>
      </c>
      <c r="J113" s="177">
        <v>100.46</v>
      </c>
      <c r="K113" s="177">
        <v>88.83</v>
      </c>
      <c r="L113" s="196">
        <v>286.13</v>
      </c>
      <c r="M113" s="158"/>
      <c r="N113" s="182"/>
      <c r="O113" s="158"/>
      <c r="P113" s="158"/>
      <c r="Q113" s="158"/>
      <c r="R113" s="158"/>
      <c r="S113" s="158"/>
      <c r="U113" s="198">
        <v>25847</v>
      </c>
      <c r="V113" s="817">
        <v>1993</v>
      </c>
      <c r="AC113" s="614">
        <v>1993</v>
      </c>
      <c r="AD113" s="177">
        <v>75.400000000000006</v>
      </c>
      <c r="AE113" s="177">
        <v>39.61</v>
      </c>
      <c r="AF113" s="177">
        <v>5.78</v>
      </c>
      <c r="AG113" s="177">
        <v>7.04</v>
      </c>
      <c r="AH113" s="177">
        <v>21.58</v>
      </c>
      <c r="AI113" s="177">
        <v>0.37</v>
      </c>
      <c r="AJ113" s="177">
        <f>('1.8.1 RenElLR'!B83+'1.8.1 RenElLR'!C83)/1000</f>
        <v>1.8690000000000002E-2</v>
      </c>
      <c r="AK113" s="177">
        <f>('1.8.1 RenElLR'!F83)/1000</f>
        <v>0</v>
      </c>
      <c r="AL113" s="177">
        <f>'1.8.1 RenElLR'!S83/1000</f>
        <v>0.44195999999999996</v>
      </c>
      <c r="AM113" s="177">
        <v>0</v>
      </c>
      <c r="AN113" s="177">
        <f>'1.7.2 Elec1'!AL83-'1.8.1 RenElLR'!S83/1000</f>
        <v>0.57804000000000011</v>
      </c>
      <c r="AO113" s="176"/>
    </row>
    <row r="114" spans="1:41" ht="13.15" x14ac:dyDescent="0.4">
      <c r="A114" s="614">
        <v>1994</v>
      </c>
      <c r="B114" s="177">
        <v>306.94</v>
      </c>
      <c r="C114" s="177">
        <v>0</v>
      </c>
      <c r="D114" s="177">
        <v>16.89</v>
      </c>
      <c r="E114" s="177">
        <v>323.83</v>
      </c>
      <c r="F114" s="177">
        <v>31</v>
      </c>
      <c r="G114" s="177">
        <v>292.83</v>
      </c>
      <c r="H114" s="177">
        <v>7.52</v>
      </c>
      <c r="I114" s="177">
        <v>96.12</v>
      </c>
      <c r="J114" s="177">
        <v>101.41</v>
      </c>
      <c r="K114" s="177">
        <v>87.78</v>
      </c>
      <c r="L114" s="196">
        <v>285.31</v>
      </c>
      <c r="M114" s="158"/>
      <c r="N114" s="182"/>
      <c r="O114" s="158"/>
      <c r="P114" s="158"/>
      <c r="Q114" s="158"/>
      <c r="R114" s="158"/>
      <c r="S114" s="158"/>
      <c r="U114" s="198">
        <v>26048</v>
      </c>
      <c r="V114" s="817">
        <v>1994</v>
      </c>
      <c r="AC114" s="614">
        <v>1994</v>
      </c>
      <c r="AD114" s="177">
        <v>74.010000000000005</v>
      </c>
      <c r="AE114" s="177">
        <v>37.1</v>
      </c>
      <c r="AF114" s="177">
        <v>4.1100000000000003</v>
      </c>
      <c r="AG114" s="177">
        <v>10.1</v>
      </c>
      <c r="AH114" s="177">
        <v>21.2</v>
      </c>
      <c r="AI114" s="177">
        <v>0.44</v>
      </c>
      <c r="AJ114" s="177">
        <f>('1.8.1 RenElLR'!B84+'1.8.1 RenElLR'!C84)/1000</f>
        <v>2.9530000000000001E-2</v>
      </c>
      <c r="AK114" s="177">
        <f>('1.8.1 RenElLR'!F84)/1000</f>
        <v>0</v>
      </c>
      <c r="AL114" s="177">
        <f>'1.8.1 RenElLR'!S84/1000</f>
        <v>0.55080999999999991</v>
      </c>
      <c r="AM114" s="177">
        <v>0</v>
      </c>
      <c r="AN114" s="177">
        <f>'1.7.2 Elec1'!AL84-'1.8.1 RenElLR'!S84/1000</f>
        <v>0.50919000000000014</v>
      </c>
      <c r="AO114" s="176"/>
    </row>
    <row r="115" spans="1:41" ht="13.15" x14ac:dyDescent="0.4">
      <c r="A115" s="614">
        <v>1995</v>
      </c>
      <c r="B115" s="177">
        <v>317.63</v>
      </c>
      <c r="C115" s="177">
        <v>0</v>
      </c>
      <c r="D115" s="177">
        <v>16.61</v>
      </c>
      <c r="E115" s="177">
        <v>334.24</v>
      </c>
      <c r="F115" s="177">
        <v>30.32</v>
      </c>
      <c r="G115" s="177">
        <v>303.92</v>
      </c>
      <c r="H115" s="177">
        <v>8.07</v>
      </c>
      <c r="I115" s="177">
        <v>101.78</v>
      </c>
      <c r="J115" s="177">
        <v>102.21</v>
      </c>
      <c r="K115" s="177">
        <v>91.86</v>
      </c>
      <c r="L115" s="196">
        <v>295.85000000000002</v>
      </c>
      <c r="M115" s="158"/>
      <c r="N115" s="182"/>
      <c r="O115" s="158"/>
      <c r="P115" s="158"/>
      <c r="Q115" s="158"/>
      <c r="R115" s="158"/>
      <c r="S115" s="158"/>
      <c r="U115" s="198">
        <v>26220</v>
      </c>
      <c r="V115" s="817">
        <v>1995</v>
      </c>
      <c r="AC115" s="614">
        <v>1995</v>
      </c>
      <c r="AD115" s="177">
        <v>77.150000000000006</v>
      </c>
      <c r="AE115" s="177">
        <v>36.29</v>
      </c>
      <c r="AF115" s="177">
        <v>4.1500000000000004</v>
      </c>
      <c r="AG115" s="177">
        <v>13.27</v>
      </c>
      <c r="AH115" s="177">
        <v>21.25</v>
      </c>
      <c r="AI115" s="177">
        <v>0.4</v>
      </c>
      <c r="AJ115" s="177">
        <f>('1.8.1 RenElLR'!B85+'1.8.1 RenElLR'!C85)/1000</f>
        <v>3.3729999999999996E-2</v>
      </c>
      <c r="AK115" s="177">
        <f>('1.8.1 RenElLR'!F85)/1000</f>
        <v>0</v>
      </c>
      <c r="AL115" s="177">
        <f>'1.8.1 RenElLR'!S85/1000</f>
        <v>0.58874000000000004</v>
      </c>
      <c r="AM115" s="177">
        <v>0</v>
      </c>
      <c r="AN115" s="177">
        <f>'1.7.2 Elec1'!AL85-'1.8.1 RenElLR'!S85/1000</f>
        <v>1.20126</v>
      </c>
      <c r="AO115" s="176"/>
    </row>
    <row r="116" spans="1:41" ht="13.15" x14ac:dyDescent="0.4">
      <c r="A116" s="614">
        <v>1996</v>
      </c>
      <c r="B116" s="177">
        <v>332.35899999999998</v>
      </c>
      <c r="C116" s="177">
        <v>0</v>
      </c>
      <c r="D116" s="177">
        <v>16.754999999999999</v>
      </c>
      <c r="E116" s="177">
        <v>349.11399999999998</v>
      </c>
      <c r="F116" s="177">
        <v>29.335820378171377</v>
      </c>
      <c r="G116" s="177">
        <v>319.7781796218286</v>
      </c>
      <c r="H116" s="177">
        <v>9.2110000000000003</v>
      </c>
      <c r="I116" s="177">
        <v>107.63117962182857</v>
      </c>
      <c r="J116" s="177">
        <v>107.51300000000001</v>
      </c>
      <c r="K116" s="177">
        <v>95.423000000000002</v>
      </c>
      <c r="L116" s="196">
        <v>310.56717962182859</v>
      </c>
      <c r="M116" s="158"/>
      <c r="N116" s="182"/>
      <c r="O116" s="158"/>
      <c r="P116" s="158"/>
      <c r="Q116" s="158"/>
      <c r="R116" s="158"/>
      <c r="S116" s="158"/>
      <c r="U116" s="198">
        <v>26569</v>
      </c>
      <c r="V116" s="817">
        <v>1996</v>
      </c>
      <c r="AC116" s="614">
        <v>1996</v>
      </c>
      <c r="AD116" s="177">
        <v>79.554000000000016</v>
      </c>
      <c r="AE116" s="177">
        <v>33.664999999999999</v>
      </c>
      <c r="AF116" s="177">
        <v>3.871</v>
      </c>
      <c r="AG116" s="177">
        <v>17.363</v>
      </c>
      <c r="AH116" s="177">
        <v>22.18</v>
      </c>
      <c r="AI116" s="177">
        <v>0.29199999999999998</v>
      </c>
      <c r="AJ116" s="177">
        <f>('1.8.1 RenElLR'!B86+'1.8.1 RenElLR'!C86)/1000</f>
        <v>4.1939999999999998E-2</v>
      </c>
      <c r="AK116" s="177">
        <f>('1.8.1 RenElLR'!F86)/1000</f>
        <v>0</v>
      </c>
      <c r="AL116" s="177">
        <f>'1.8.1 RenElLR'!S86/1000</f>
        <v>0.63907000000000003</v>
      </c>
      <c r="AM116" s="177" t="s">
        <v>100</v>
      </c>
      <c r="AN116" s="177">
        <f>'1.7.2 Elec1'!AL86-'1.8.1 RenElLR'!S86/1000</f>
        <v>1.50193</v>
      </c>
      <c r="AO116" s="176"/>
    </row>
    <row r="117" spans="1:41" ht="13.15" x14ac:dyDescent="0.4">
      <c r="A117" s="614">
        <v>1997</v>
      </c>
      <c r="B117" s="177">
        <v>331.62900000000002</v>
      </c>
      <c r="C117" s="177">
        <v>0</v>
      </c>
      <c r="D117" s="177">
        <v>16.574000000000002</v>
      </c>
      <c r="E117" s="177">
        <v>348.20299999999997</v>
      </c>
      <c r="F117" s="177">
        <v>27.13799999999992</v>
      </c>
      <c r="G117" s="177">
        <v>321.065</v>
      </c>
      <c r="H117" s="177">
        <v>8.6240000000000006</v>
      </c>
      <c r="I117" s="177">
        <v>108.102</v>
      </c>
      <c r="J117" s="177">
        <v>104.455</v>
      </c>
      <c r="K117" s="177">
        <v>99.884</v>
      </c>
      <c r="L117" s="196">
        <v>312.44100000000003</v>
      </c>
      <c r="M117" s="158"/>
      <c r="N117" s="182"/>
      <c r="O117" s="158"/>
      <c r="P117" s="158"/>
      <c r="Q117" s="158"/>
      <c r="R117" s="158"/>
      <c r="S117" s="158"/>
      <c r="U117" s="198">
        <v>26960</v>
      </c>
      <c r="V117" s="817">
        <v>1997</v>
      </c>
      <c r="AC117" s="614">
        <v>1997</v>
      </c>
      <c r="AD117" s="177">
        <v>76.428000000000011</v>
      </c>
      <c r="AE117" s="177">
        <v>28.295000000000002</v>
      </c>
      <c r="AF117" s="177">
        <v>1.851</v>
      </c>
      <c r="AG117" s="177">
        <v>21.571999999999999</v>
      </c>
      <c r="AH117" s="177">
        <v>21.983000000000001</v>
      </c>
      <c r="AI117" s="177">
        <v>0.377</v>
      </c>
      <c r="AJ117" s="177">
        <f>('1.8.1 RenElLR'!B87+'1.8.1 RenElLR'!C87)/1000</f>
        <v>5.7349999999999998E-2</v>
      </c>
      <c r="AK117" s="177">
        <f>('1.8.1 RenElLR'!F87)/1000</f>
        <v>0</v>
      </c>
      <c r="AL117" s="177">
        <f>'1.8.1 RenElLR'!S87/1000</f>
        <v>0.76084000000000007</v>
      </c>
      <c r="AM117" s="177" t="s">
        <v>100</v>
      </c>
      <c r="AN117" s="177">
        <f>'1.7.2 Elec1'!AL87-'1.8.1 RenElLR'!S87/1000</f>
        <v>1.5321600000000002</v>
      </c>
      <c r="AO117" s="177"/>
    </row>
    <row r="118" spans="1:41" ht="13.15" x14ac:dyDescent="0.4">
      <c r="A118" s="615">
        <v>1998</v>
      </c>
      <c r="B118" s="203">
        <v>342.7</v>
      </c>
      <c r="C118" s="177">
        <v>0</v>
      </c>
      <c r="D118" s="177">
        <v>12.468</v>
      </c>
      <c r="E118" s="177">
        <v>355.16800000000001</v>
      </c>
      <c r="F118" s="177">
        <v>29.817999999999984</v>
      </c>
      <c r="G118" s="177">
        <v>325.35000000000002</v>
      </c>
      <c r="H118" s="177">
        <v>8.4060000000000006</v>
      </c>
      <c r="I118" s="177">
        <v>108.44300000000001</v>
      </c>
      <c r="J118" s="177">
        <v>109.41</v>
      </c>
      <c r="K118" s="177">
        <v>99.090999999999994</v>
      </c>
      <c r="L118" s="196">
        <v>316.94400000000002</v>
      </c>
      <c r="M118" s="158"/>
      <c r="N118" s="182"/>
      <c r="O118" s="158"/>
      <c r="P118" s="158"/>
      <c r="Q118" s="158"/>
      <c r="R118" s="158"/>
      <c r="S118" s="158"/>
      <c r="U118" s="198">
        <v>26611</v>
      </c>
      <c r="V118" s="817">
        <v>1998</v>
      </c>
      <c r="AC118" s="614">
        <v>1998</v>
      </c>
      <c r="AD118" s="177">
        <v>81.135000000000005</v>
      </c>
      <c r="AE118" s="177">
        <v>29.939</v>
      </c>
      <c r="AF118" s="177">
        <v>1.6950000000000001</v>
      </c>
      <c r="AG118" s="177">
        <v>23.021000000000001</v>
      </c>
      <c r="AH118" s="177">
        <v>23.443000000000001</v>
      </c>
      <c r="AI118" s="177">
        <v>0.44</v>
      </c>
      <c r="AJ118" s="177">
        <f>('1.8.1 RenElLR'!B88+'1.8.1 RenElLR'!C88)/1000</f>
        <v>7.5400000000000009E-2</v>
      </c>
      <c r="AK118" s="177">
        <f>('1.8.1 RenElLR'!F88)/1000</f>
        <v>0</v>
      </c>
      <c r="AL118" s="177">
        <f>'1.8.1 RenElLR'!S88/1000</f>
        <v>0.93798999999999999</v>
      </c>
      <c r="AM118" s="177" t="s">
        <v>100</v>
      </c>
      <c r="AN118" s="177">
        <f>'1.7.2 Elec1'!AL88-'1.8.1 RenElLR'!S88/1000</f>
        <v>1.5840099999999997</v>
      </c>
      <c r="AO118" s="177"/>
    </row>
    <row r="119" spans="1:41" ht="13.15" x14ac:dyDescent="0.4">
      <c r="A119" s="615">
        <v>1999</v>
      </c>
      <c r="B119" s="203">
        <v>347.67099999999999</v>
      </c>
      <c r="C119" s="177">
        <v>0</v>
      </c>
      <c r="D119" s="177">
        <v>14.244</v>
      </c>
      <c r="E119" s="177">
        <v>361.91500000000002</v>
      </c>
      <c r="F119" s="177">
        <v>29.862092500000017</v>
      </c>
      <c r="G119" s="177">
        <v>332.0529075</v>
      </c>
      <c r="H119" s="177">
        <v>8.036999999999999</v>
      </c>
      <c r="I119" s="177">
        <v>112.25</v>
      </c>
      <c r="J119" s="177">
        <v>110.30800000000001</v>
      </c>
      <c r="K119" s="177">
        <v>101.4579075</v>
      </c>
      <c r="L119" s="196">
        <v>324.01590750000003</v>
      </c>
      <c r="M119" s="158"/>
      <c r="N119" s="182"/>
      <c r="O119" s="158"/>
      <c r="P119" s="158"/>
      <c r="Q119" s="158"/>
      <c r="R119" s="158"/>
      <c r="S119" s="158"/>
      <c r="U119" s="198">
        <v>27125</v>
      </c>
      <c r="V119" s="817">
        <v>1999</v>
      </c>
      <c r="AC119" s="614">
        <v>1999</v>
      </c>
      <c r="AD119" s="177">
        <v>79.724000000000004</v>
      </c>
      <c r="AE119" s="177">
        <v>25.512</v>
      </c>
      <c r="AF119" s="177">
        <v>1.5409999999999999</v>
      </c>
      <c r="AG119" s="177">
        <v>27.132999999999999</v>
      </c>
      <c r="AH119" s="177">
        <v>22.216000000000001</v>
      </c>
      <c r="AI119" s="177">
        <v>0.45900000000000002</v>
      </c>
      <c r="AJ119" s="177">
        <f>('1.8.1 RenElLR'!B89+'1.8.1 RenElLR'!C89)/1000</f>
        <v>7.3099999999999998E-2</v>
      </c>
      <c r="AK119" s="177">
        <f>('1.8.1 RenElLR'!F89)/1000</f>
        <v>0</v>
      </c>
      <c r="AL119" s="177">
        <f>'1.8.1 RenElLR'!S89/1000</f>
        <v>1.19503</v>
      </c>
      <c r="AM119" s="177" t="s">
        <v>100</v>
      </c>
      <c r="AN119" s="177">
        <f>'1.7.2 Elec1'!AL89-'1.8.1 RenElLR'!S89/1000</f>
        <v>1.59497</v>
      </c>
      <c r="AO119" s="177"/>
    </row>
    <row r="120" spans="1:41" ht="13.15" x14ac:dyDescent="0.4">
      <c r="A120" s="615">
        <v>2000</v>
      </c>
      <c r="B120" s="203">
        <v>357.26600000000002</v>
      </c>
      <c r="C120" s="177">
        <v>0</v>
      </c>
      <c r="D120" s="177">
        <v>14.173999999999999</v>
      </c>
      <c r="E120" s="177">
        <v>371.44</v>
      </c>
      <c r="F120" s="177">
        <v>31.144000000000062</v>
      </c>
      <c r="G120" s="177">
        <v>340.29599999999994</v>
      </c>
      <c r="H120" s="177">
        <v>9.7030000000000012</v>
      </c>
      <c r="I120" s="177">
        <v>115.286</v>
      </c>
      <c r="J120" s="177">
        <v>111.842</v>
      </c>
      <c r="K120" s="177">
        <v>103.465</v>
      </c>
      <c r="L120" s="196">
        <v>330.59299999999996</v>
      </c>
      <c r="M120" s="158"/>
      <c r="N120" s="182"/>
      <c r="O120" s="158"/>
      <c r="P120" s="158"/>
      <c r="Q120" s="158"/>
      <c r="R120" s="158"/>
      <c r="S120" s="158"/>
      <c r="U120" s="198">
        <v>27125</v>
      </c>
      <c r="V120" s="817">
        <v>2000</v>
      </c>
      <c r="AC120" s="614">
        <v>2000</v>
      </c>
      <c r="AD120" s="177">
        <v>81.206000000000003</v>
      </c>
      <c r="AE120" s="177">
        <v>28.67</v>
      </c>
      <c r="AF120" s="177">
        <v>1.55</v>
      </c>
      <c r="AG120" s="177">
        <v>27.907</v>
      </c>
      <c r="AH120" s="177">
        <v>19.635000000000002</v>
      </c>
      <c r="AI120" s="177">
        <v>0.437</v>
      </c>
      <c r="AJ120" s="177">
        <f>('1.8.1 RenElLR'!B90+'1.8.1 RenElLR'!C90)/1000</f>
        <v>8.134000000000001E-2</v>
      </c>
      <c r="AK120" s="177">
        <f>('1.8.1 RenElLR'!F90)/1000</f>
        <v>1.1E-4</v>
      </c>
      <c r="AL120" s="177">
        <f>'1.8.1 RenElLR'!S90/1000</f>
        <v>1.38131</v>
      </c>
      <c r="AM120" s="177" t="s">
        <v>100</v>
      </c>
      <c r="AN120" s="177">
        <f>'1.7.2 Elec1'!AL90-'1.8.1 RenElLR'!S90/1000</f>
        <v>1.5446900000000001</v>
      </c>
      <c r="AO120" s="177"/>
    </row>
    <row r="121" spans="1:41" ht="13.15" x14ac:dyDescent="0.4">
      <c r="A121" s="615">
        <v>2001</v>
      </c>
      <c r="B121" s="203">
        <v>364.17399999999998</v>
      </c>
      <c r="C121" s="177">
        <v>0</v>
      </c>
      <c r="D121" s="177">
        <v>10.398999999999999</v>
      </c>
      <c r="E121" s="177">
        <v>374.57299999999998</v>
      </c>
      <c r="F121" s="177">
        <v>32.06899999999996</v>
      </c>
      <c r="G121" s="177">
        <v>342.50400000000002</v>
      </c>
      <c r="H121" s="177">
        <v>8.625</v>
      </c>
      <c r="I121" s="177">
        <v>112.495</v>
      </c>
      <c r="J121" s="177">
        <v>115.337</v>
      </c>
      <c r="K121" s="177">
        <v>106.047</v>
      </c>
      <c r="L121" s="196">
        <v>333.87900000000002</v>
      </c>
      <c r="M121" s="158"/>
      <c r="N121" s="182"/>
      <c r="O121" s="158"/>
      <c r="P121" s="158"/>
      <c r="Q121" s="158"/>
      <c r="R121" s="158"/>
      <c r="S121" s="158"/>
      <c r="U121" s="198">
        <v>29068</v>
      </c>
      <c r="V121" s="817">
        <v>2001</v>
      </c>
      <c r="AC121" s="614">
        <v>2001</v>
      </c>
      <c r="AD121" s="177">
        <v>84.01</v>
      </c>
      <c r="AE121" s="177">
        <v>31.605</v>
      </c>
      <c r="AF121" s="177">
        <v>1.423</v>
      </c>
      <c r="AG121" s="177">
        <v>26.872</v>
      </c>
      <c r="AH121" s="177">
        <v>20.768000000000001</v>
      </c>
      <c r="AI121" s="177">
        <v>0.34899999999999998</v>
      </c>
      <c r="AJ121" s="177">
        <f>('1.8.1 RenElLR'!B91+'1.8.1 RenElLR'!C91)/1000</f>
        <v>8.2970000000000002E-2</v>
      </c>
      <c r="AK121" s="177">
        <f>('1.8.1 RenElLR'!F91)/1000</f>
        <v>1.6000000000000001E-4</v>
      </c>
      <c r="AL121" s="177">
        <f>'1.8.1 RenElLR'!S91/1000</f>
        <v>1.61439</v>
      </c>
      <c r="AM121" s="177" t="s">
        <v>100</v>
      </c>
      <c r="AN121" s="177">
        <f>'1.7.2 Elec1'!AL91-'1.8.1 RenElLR'!S91/1000</f>
        <v>1.2956100000000002</v>
      </c>
      <c r="AO121" s="177"/>
    </row>
    <row r="122" spans="1:41" ht="13.15" x14ac:dyDescent="0.4">
      <c r="A122" s="615">
        <v>2002</v>
      </c>
      <c r="B122" s="203">
        <v>366.65799999999996</v>
      </c>
      <c r="C122" s="177">
        <v>0</v>
      </c>
      <c r="D122" s="177">
        <v>8.4139999999999997</v>
      </c>
      <c r="E122" s="177">
        <v>375.072</v>
      </c>
      <c r="F122" s="177">
        <v>30.963000000000022</v>
      </c>
      <c r="G122" s="177">
        <v>344.10899999999998</v>
      </c>
      <c r="H122" s="177">
        <v>10.059641982066207</v>
      </c>
      <c r="I122" s="177">
        <v>110.81635801793379</v>
      </c>
      <c r="J122" s="177">
        <v>120.014</v>
      </c>
      <c r="K122" s="177">
        <v>103.21899999999999</v>
      </c>
      <c r="L122" s="196">
        <v>334.0493580179338</v>
      </c>
      <c r="M122" s="158"/>
      <c r="N122" s="182"/>
      <c r="O122" s="158"/>
      <c r="P122" s="158"/>
      <c r="Q122" s="158"/>
      <c r="R122" s="158"/>
      <c r="S122" s="158"/>
      <c r="U122" s="198">
        <v>29068</v>
      </c>
      <c r="V122" s="818">
        <v>2002</v>
      </c>
      <c r="AC122" s="614">
        <v>2002</v>
      </c>
      <c r="AD122" s="177">
        <v>82.995000000000019</v>
      </c>
      <c r="AE122" s="177">
        <v>29.626000000000001</v>
      </c>
      <c r="AF122" s="177">
        <v>1.288</v>
      </c>
      <c r="AG122" s="177">
        <v>28.327000000000002</v>
      </c>
      <c r="AH122" s="177">
        <v>20.100000000000001</v>
      </c>
      <c r="AI122" s="177">
        <v>0.41199999999999998</v>
      </c>
      <c r="AJ122" s="177">
        <f>('1.8.1 RenElLR'!B92+'1.8.1 RenElLR'!C92)/1000</f>
        <v>0.108</v>
      </c>
      <c r="AK122" s="177">
        <f>('1.8.1 RenElLR'!F92)/1000</f>
        <v>2.3000000000000001E-4</v>
      </c>
      <c r="AL122" s="177">
        <f>'1.8.1 RenElLR'!S92/1000</f>
        <v>1.79</v>
      </c>
      <c r="AM122" s="177" t="s">
        <v>100</v>
      </c>
      <c r="AN122" s="177">
        <f>'1.7.2 Elec1'!AL92-'1.8.1 RenElLR'!S92/1000</f>
        <v>1.3439999999999999</v>
      </c>
      <c r="AO122" s="177"/>
    </row>
    <row r="123" spans="1:41" ht="13.15" x14ac:dyDescent="0.4">
      <c r="A123" s="614">
        <v>2003</v>
      </c>
      <c r="B123" s="203">
        <v>376.52699999999999</v>
      </c>
      <c r="C123" s="177">
        <v>0</v>
      </c>
      <c r="D123" s="177">
        <v>2.16</v>
      </c>
      <c r="E123" s="177">
        <v>378.68700000000001</v>
      </c>
      <c r="F123" s="177">
        <v>32.069999999999993</v>
      </c>
      <c r="G123" s="177">
        <v>346.61700000000002</v>
      </c>
      <c r="H123" s="177">
        <v>9.7515770927932515</v>
      </c>
      <c r="I123" s="177">
        <v>109.92642290720676</v>
      </c>
      <c r="J123" s="177">
        <v>123.001</v>
      </c>
      <c r="K123" s="177">
        <v>103.938</v>
      </c>
      <c r="L123" s="196">
        <v>336.86542290720678</v>
      </c>
      <c r="M123" s="158"/>
      <c r="N123" s="182"/>
      <c r="O123" s="158"/>
      <c r="P123" s="158"/>
      <c r="Q123" s="158"/>
      <c r="R123" s="158"/>
      <c r="S123" s="158"/>
      <c r="U123" s="198">
        <f>25814+2433</f>
        <v>28247</v>
      </c>
      <c r="V123" s="817">
        <v>2003</v>
      </c>
      <c r="AC123" s="614">
        <v>2003</v>
      </c>
      <c r="AD123" s="203">
        <v>85.947000000000003</v>
      </c>
      <c r="AE123" s="177">
        <v>32.542000000000002</v>
      </c>
      <c r="AF123" s="177">
        <v>1.1919999999999999</v>
      </c>
      <c r="AG123" s="177">
        <v>27.853000000000002</v>
      </c>
      <c r="AH123" s="177">
        <v>20.041</v>
      </c>
      <c r="AI123" s="177">
        <v>0.27800000000000002</v>
      </c>
      <c r="AJ123" s="177">
        <f>('1.8.1 RenElLR'!B93+'1.8.1 RenElLR'!C93)/1000</f>
        <v>0.11051999999999999</v>
      </c>
      <c r="AK123" s="177">
        <f>('1.8.1 RenElLR'!F93)/1000</f>
        <v>2.5000000000000001E-4</v>
      </c>
      <c r="AL123" s="177">
        <f>'1.8.1 RenElLR'!S93/1000</f>
        <v>2.1561399999999997</v>
      </c>
      <c r="AM123" s="177" t="s">
        <v>100</v>
      </c>
      <c r="AN123" s="177">
        <f>'1.7.2 Elec1'!AL93-'1.8.1 RenElLR'!S93/1000</f>
        <v>1.77386</v>
      </c>
      <c r="AO123" s="177"/>
    </row>
    <row r="124" spans="1:41" ht="13.15" x14ac:dyDescent="0.4">
      <c r="A124" s="616">
        <v>2004</v>
      </c>
      <c r="B124" s="177">
        <v>373.399</v>
      </c>
      <c r="C124" s="177">
        <v>0</v>
      </c>
      <c r="D124" s="177">
        <v>7.49</v>
      </c>
      <c r="E124" s="177">
        <v>380.88900000000001</v>
      </c>
      <c r="F124" s="177">
        <v>33.175000000000011</v>
      </c>
      <c r="G124" s="177">
        <v>347.714</v>
      </c>
      <c r="H124" s="177">
        <v>8.1423641905928417</v>
      </c>
      <c r="I124" s="177">
        <v>112.09163580940715</v>
      </c>
      <c r="J124" s="177">
        <v>124.2</v>
      </c>
      <c r="K124" s="177">
        <v>103.28</v>
      </c>
      <c r="L124" s="196">
        <v>339.57163580940716</v>
      </c>
      <c r="M124" s="158"/>
      <c r="N124" s="182"/>
      <c r="O124" s="158"/>
      <c r="P124" s="158"/>
      <c r="Q124" s="158"/>
      <c r="R124" s="158"/>
      <c r="S124" s="158"/>
      <c r="U124" s="183">
        <f>25902+2477</f>
        <v>28379</v>
      </c>
      <c r="V124" s="817">
        <v>2004</v>
      </c>
      <c r="AC124" s="614">
        <v>2004</v>
      </c>
      <c r="AD124" s="177">
        <v>84.569000000000003</v>
      </c>
      <c r="AE124" s="177">
        <v>31.312000000000001</v>
      </c>
      <c r="AF124" s="177">
        <v>1.1000000000000001</v>
      </c>
      <c r="AG124" s="177">
        <v>29.254000000000001</v>
      </c>
      <c r="AH124" s="177">
        <v>18.164000000000001</v>
      </c>
      <c r="AI124" s="177">
        <v>0.41799999999999998</v>
      </c>
      <c r="AJ124" s="177">
        <f>('1.8.1 RenElLR'!B94+'1.8.1 RenElLR'!C94)/1000</f>
        <v>0.16638</v>
      </c>
      <c r="AK124" s="177">
        <f>('1.8.1 RenElLR'!F94)/1000</f>
        <v>3.4000000000000002E-4</v>
      </c>
      <c r="AL124" s="177">
        <f>'1.8.1 RenElLR'!S94/1000</f>
        <v>2.52739</v>
      </c>
      <c r="AM124" s="177" t="s">
        <v>100</v>
      </c>
      <c r="AN124" s="177">
        <f>'1.7.2 Elec1'!AL94-'1.8.1 RenElLR'!S94/1000</f>
        <v>1.6266099999999999</v>
      </c>
      <c r="AO124" s="177"/>
    </row>
    <row r="125" spans="1:41" ht="13.15" x14ac:dyDescent="0.4">
      <c r="A125" s="616">
        <v>2005</v>
      </c>
      <c r="B125" s="177">
        <v>376.78</v>
      </c>
      <c r="C125" s="177">
        <v>0</v>
      </c>
      <c r="D125" s="177">
        <v>8.3209999999999997</v>
      </c>
      <c r="E125" s="177">
        <v>385.101</v>
      </c>
      <c r="F125" s="177">
        <v>27.901999999999987</v>
      </c>
      <c r="G125" s="177">
        <v>357.19900000000001</v>
      </c>
      <c r="H125" s="177">
        <v>7.8497254631429083</v>
      </c>
      <c r="I125" s="177">
        <v>116.69927453685709</v>
      </c>
      <c r="J125" s="177">
        <v>125.711</v>
      </c>
      <c r="K125" s="177">
        <v>106.93899999999999</v>
      </c>
      <c r="L125" s="196">
        <v>349.34927453685708</v>
      </c>
      <c r="M125" s="158"/>
      <c r="N125" s="182"/>
      <c r="O125" s="158"/>
      <c r="P125" s="158"/>
      <c r="Q125" s="158"/>
      <c r="R125" s="158"/>
      <c r="S125" s="158"/>
      <c r="U125" s="183">
        <f>25930+2568</f>
        <v>28498</v>
      </c>
      <c r="V125" s="817">
        <v>2005</v>
      </c>
      <c r="AC125" s="614">
        <v>2005</v>
      </c>
      <c r="AD125" s="177">
        <v>86.675000000000011</v>
      </c>
      <c r="AE125" s="177">
        <v>32.575000000000003</v>
      </c>
      <c r="AF125" s="177">
        <v>1.3049999999999999</v>
      </c>
      <c r="AG125" s="177">
        <v>28.516999999999999</v>
      </c>
      <c r="AH125" s="177">
        <v>18.372</v>
      </c>
      <c r="AI125" s="177">
        <v>0.42299999999999999</v>
      </c>
      <c r="AJ125" s="177">
        <f>('1.8.1 RenElLR'!B95+'1.8.1 RenElLR'!C95)/1000</f>
        <v>0.24969</v>
      </c>
      <c r="AK125" s="177">
        <f>('1.8.1 RenElLR'!F95)/1000</f>
        <v>6.9999999999999999E-4</v>
      </c>
      <c r="AL125" s="177">
        <f>'1.8.1 RenElLR'!S95/1000</f>
        <v>3.1078000000000001</v>
      </c>
      <c r="AM125" s="177" t="s">
        <v>100</v>
      </c>
      <c r="AN125" s="177">
        <f>'1.7.2 Elec1'!AL95-'1.8.1 RenElLR'!S95/1000</f>
        <v>2.1251999999999995</v>
      </c>
      <c r="AO125" s="177"/>
    </row>
    <row r="126" spans="1:41" ht="13.15" x14ac:dyDescent="0.4">
      <c r="A126" s="616">
        <v>2006</v>
      </c>
      <c r="B126" s="177">
        <v>373.86099999999999</v>
      </c>
      <c r="C126" s="177">
        <v>0</v>
      </c>
      <c r="D126" s="177">
        <v>7.5170000000000003</v>
      </c>
      <c r="E126" s="177">
        <v>381.37799999999999</v>
      </c>
      <c r="F126" s="177">
        <v>27.514999999999986</v>
      </c>
      <c r="G126" s="177">
        <v>353.863</v>
      </c>
      <c r="H126" s="177">
        <v>7.997398940542281</v>
      </c>
      <c r="I126" s="177">
        <v>115.53260105945772</v>
      </c>
      <c r="J126" s="177">
        <v>124.70399999999999</v>
      </c>
      <c r="K126" s="177">
        <v>105.629</v>
      </c>
      <c r="L126" s="196">
        <v>345.86560105945773</v>
      </c>
      <c r="M126" s="158"/>
      <c r="N126" s="182"/>
      <c r="O126" s="158"/>
      <c r="P126" s="158"/>
      <c r="Q126" s="158"/>
      <c r="R126" s="158"/>
      <c r="S126" s="158"/>
      <c r="U126" s="183">
        <f>26434+2441</f>
        <v>28875</v>
      </c>
      <c r="V126" s="817">
        <v>2006</v>
      </c>
      <c r="AC126" s="614">
        <v>2006</v>
      </c>
      <c r="AD126" s="177">
        <v>87.063000000000002</v>
      </c>
      <c r="AE126" s="177">
        <v>35.942999999999998</v>
      </c>
      <c r="AF126" s="177">
        <v>1.4330000000000001</v>
      </c>
      <c r="AG126" s="177">
        <v>26.776</v>
      </c>
      <c r="AH126" s="177">
        <v>17.131</v>
      </c>
      <c r="AI126" s="177">
        <v>0.39500000000000002</v>
      </c>
      <c r="AJ126" s="177">
        <f>('1.8.1 RenElLR'!B96+'1.8.1 RenElLR'!C96)/1000</f>
        <v>0.36328999999999995</v>
      </c>
      <c r="AK126" s="177">
        <f>('1.8.1 RenElLR'!F96)/1000</f>
        <v>9.2000000000000003E-4</v>
      </c>
      <c r="AL126" s="177">
        <f>'1.8.1 RenElLR'!S96/1000</f>
        <v>3.1764399999999999</v>
      </c>
      <c r="AM126" s="177" t="s">
        <v>100</v>
      </c>
      <c r="AN126" s="177">
        <f>'1.7.2 Elec1'!AL96-'1.8.1 RenElLR'!S96/1000</f>
        <v>1.84456</v>
      </c>
      <c r="AO126" s="177"/>
    </row>
    <row r="127" spans="1:41" ht="13.15" x14ac:dyDescent="0.4">
      <c r="A127" s="616">
        <v>2007</v>
      </c>
      <c r="B127" s="203">
        <v>374.06400000000002</v>
      </c>
      <c r="C127" s="177">
        <v>0</v>
      </c>
      <c r="D127" s="177">
        <v>5.2149999999999999</v>
      </c>
      <c r="E127" s="177">
        <v>379.279</v>
      </c>
      <c r="F127" s="177">
        <v>27.829999999999984</v>
      </c>
      <c r="G127" s="177">
        <v>351.44900000000001</v>
      </c>
      <c r="H127" s="177">
        <v>9.1862512624189527</v>
      </c>
      <c r="I127" s="177">
        <v>113.40574873758105</v>
      </c>
      <c r="J127" s="177">
        <v>123.07599999999999</v>
      </c>
      <c r="K127" s="177">
        <v>105.78100000000001</v>
      </c>
      <c r="L127" s="196">
        <v>342.26274873758103</v>
      </c>
      <c r="M127" s="158"/>
      <c r="N127" s="182"/>
      <c r="O127" s="158"/>
      <c r="P127" s="158"/>
      <c r="Q127" s="158"/>
      <c r="R127" s="158"/>
      <c r="S127" s="158"/>
      <c r="U127" s="183">
        <f>26670+2435</f>
        <v>29105</v>
      </c>
      <c r="V127" s="817">
        <v>2007</v>
      </c>
      <c r="AC127" s="614">
        <v>2007</v>
      </c>
      <c r="AD127" s="177">
        <v>84.284000000000006</v>
      </c>
      <c r="AE127" s="177">
        <v>32.92</v>
      </c>
      <c r="AF127" s="177">
        <v>1.1599999999999999</v>
      </c>
      <c r="AG127" s="177">
        <v>30.6</v>
      </c>
      <c r="AH127" s="177">
        <v>14.037000000000001</v>
      </c>
      <c r="AI127" s="177">
        <v>0.437</v>
      </c>
      <c r="AJ127" s="177">
        <f>('1.8.1 RenElLR'!B97+'1.8.1 RenElLR'!C97)/1000</f>
        <v>0.45347000000000004</v>
      </c>
      <c r="AK127" s="177">
        <f>('1.8.1 RenElLR'!F97)/1000</f>
        <v>1.1999999999999999E-3</v>
      </c>
      <c r="AL127" s="177">
        <f>'1.8.1 RenElLR'!S97/1000</f>
        <v>3.11917</v>
      </c>
      <c r="AM127" s="177" t="s">
        <v>100</v>
      </c>
      <c r="AN127" s="177">
        <f>'1.7.2 Elec1'!AL97-'1.8.1 RenElLR'!S97/1000</f>
        <v>1.5558299999999998</v>
      </c>
      <c r="AO127" s="177"/>
    </row>
    <row r="128" spans="1:41" ht="13.15" x14ac:dyDescent="0.4">
      <c r="A128" s="616">
        <v>2008</v>
      </c>
      <c r="B128" s="177">
        <v>367.17998658756744</v>
      </c>
      <c r="C128" s="177">
        <v>0</v>
      </c>
      <c r="D128" s="177">
        <v>11.022101659016826</v>
      </c>
      <c r="E128" s="177">
        <v>378.20208824658425</v>
      </c>
      <c r="F128" s="177">
        <v>28.103088246584264</v>
      </c>
      <c r="G128" s="177">
        <v>349.53161080447069</v>
      </c>
      <c r="H128" s="177">
        <v>7.7094997034225203</v>
      </c>
      <c r="I128" s="177">
        <v>114.15090713070066</v>
      </c>
      <c r="J128" s="177">
        <v>119.79999999999998</v>
      </c>
      <c r="K128" s="177">
        <v>107.87120397034751</v>
      </c>
      <c r="L128" s="196">
        <v>341.82211110104816</v>
      </c>
      <c r="M128" s="158"/>
      <c r="N128" s="182"/>
      <c r="O128" s="158"/>
      <c r="P128" s="158"/>
      <c r="Q128" s="158"/>
      <c r="R128" s="158"/>
      <c r="S128" s="158"/>
      <c r="U128" s="183">
        <f>26805+2407</f>
        <v>29212</v>
      </c>
      <c r="V128" s="817">
        <v>2008</v>
      </c>
      <c r="AC128" s="614">
        <v>2008</v>
      </c>
      <c r="AD128" s="177">
        <v>81.575999999999993</v>
      </c>
      <c r="AE128" s="177">
        <v>29.960999999999999</v>
      </c>
      <c r="AF128" s="177">
        <v>1.5820000000000001</v>
      </c>
      <c r="AG128" s="177">
        <v>32.4</v>
      </c>
      <c r="AH128" s="177">
        <v>11.91</v>
      </c>
      <c r="AI128" s="177">
        <v>0.442</v>
      </c>
      <c r="AJ128" s="177">
        <f>('1.8.1 RenElLR'!B98+'1.8.1 RenElLR'!C98)/1000</f>
        <v>0.61233999999999988</v>
      </c>
      <c r="AK128" s="177">
        <f>('1.8.1 RenElLR'!F98)/1000</f>
        <v>1.4599999999999999E-3</v>
      </c>
      <c r="AL128" s="177">
        <f>'1.8.1 RenElLR'!S98/1000</f>
        <v>3.2234000000000003</v>
      </c>
      <c r="AM128" s="177" t="s">
        <v>100</v>
      </c>
      <c r="AN128" s="177">
        <f>'1.7.2 Elec1'!AL98-'1.8.1 RenElLR'!S98/1000</f>
        <v>1.4435999999999996</v>
      </c>
      <c r="AO128" s="177"/>
    </row>
    <row r="129" spans="1:41" ht="13.15" x14ac:dyDescent="0.4">
      <c r="A129" s="616">
        <v>2009</v>
      </c>
      <c r="B129" s="203">
        <v>355.30583825398833</v>
      </c>
      <c r="C129" s="177">
        <v>0</v>
      </c>
      <c r="D129" s="177">
        <v>2.8608092699318037</v>
      </c>
      <c r="E129" s="177">
        <v>358.16664752392012</v>
      </c>
      <c r="F129" s="177">
        <v>28.146647523920137</v>
      </c>
      <c r="G129" s="177">
        <v>329.41616448062859</v>
      </c>
      <c r="H129" s="177">
        <v>7.6681015729860338</v>
      </c>
      <c r="I129" s="177">
        <v>99.737984526683377</v>
      </c>
      <c r="J129" s="177">
        <v>118.54079334272313</v>
      </c>
      <c r="K129" s="177">
        <v>103.46928503823607</v>
      </c>
      <c r="L129" s="196">
        <v>321.74806290764258</v>
      </c>
      <c r="M129" s="158"/>
      <c r="N129" s="182"/>
      <c r="O129" s="158"/>
      <c r="P129" s="158"/>
      <c r="Q129" s="158"/>
      <c r="R129" s="158"/>
      <c r="S129" s="158"/>
      <c r="U129" s="183">
        <f>26987+2378</f>
        <v>29365</v>
      </c>
      <c r="V129" s="817">
        <v>2009</v>
      </c>
      <c r="AC129" s="614">
        <v>2009</v>
      </c>
      <c r="AD129" s="177">
        <v>78.42</v>
      </c>
      <c r="AE129" s="177">
        <v>24.661999999999999</v>
      </c>
      <c r="AF129" s="177">
        <v>1.5129999999999999</v>
      </c>
      <c r="AG129" s="177">
        <v>30.895</v>
      </c>
      <c r="AH129" s="177">
        <v>15.23</v>
      </c>
      <c r="AI129" s="177">
        <v>0.45</v>
      </c>
      <c r="AJ129" s="177">
        <f>('1.8.1 RenElLR'!B99+'1.8.1 RenElLR'!C99)/1000</f>
        <v>0.79803000000000002</v>
      </c>
      <c r="AK129" s="177">
        <f>('1.8.1 RenElLR'!F99)/1000</f>
        <v>1.72E-3</v>
      </c>
      <c r="AL129" s="177">
        <f>'1.8.1 RenElLR'!S99/1000</f>
        <v>3.5078899999999997</v>
      </c>
      <c r="AM129" s="177" t="s">
        <v>100</v>
      </c>
      <c r="AN129" s="177">
        <f>'1.7.2 Elec1'!AL99-'1.8.1 RenElLR'!S99/1000</f>
        <v>1.3621100000000004</v>
      </c>
      <c r="AO129" s="177"/>
    </row>
    <row r="130" spans="1:41" ht="13.15" x14ac:dyDescent="0.4">
      <c r="A130" s="616">
        <v>2010</v>
      </c>
      <c r="B130" s="203">
        <v>361.73401283653669</v>
      </c>
      <c r="C130" s="177">
        <v>0</v>
      </c>
      <c r="D130" s="177">
        <v>2.6634084573440777</v>
      </c>
      <c r="E130" s="177">
        <v>364.39742129388071</v>
      </c>
      <c r="F130" s="177">
        <v>26.886139576402741</v>
      </c>
      <c r="G130" s="177">
        <v>337.51128171747797</v>
      </c>
      <c r="H130" s="177">
        <v>8.2531024037313863</v>
      </c>
      <c r="I130" s="177">
        <v>104.95839178283407</v>
      </c>
      <c r="J130" s="177">
        <v>118.83195263410775</v>
      </c>
      <c r="K130" s="177">
        <v>105.46783489680477</v>
      </c>
      <c r="L130" s="196">
        <v>329.25817931374661</v>
      </c>
      <c r="M130" s="158"/>
      <c r="N130" s="182"/>
      <c r="O130" s="158"/>
      <c r="P130" s="158"/>
      <c r="Q130" s="158"/>
      <c r="R130" s="158"/>
      <c r="S130" s="158"/>
      <c r="U130" s="183">
        <v>29591</v>
      </c>
      <c r="V130" s="817">
        <f>A130</f>
        <v>2010</v>
      </c>
      <c r="AC130" s="614">
        <v>2010</v>
      </c>
      <c r="AD130" s="177">
        <v>79.41</v>
      </c>
      <c r="AE130" s="177">
        <v>25.56</v>
      </c>
      <c r="AF130" s="177">
        <v>1.18</v>
      </c>
      <c r="AG130" s="177">
        <v>32.43</v>
      </c>
      <c r="AH130" s="177">
        <v>13.93</v>
      </c>
      <c r="AI130" s="177">
        <v>0.31</v>
      </c>
      <c r="AJ130" s="177">
        <f>('1.8.1 RenElLR'!B100+'1.8.1 RenElLR'!C100)/1000</f>
        <v>0.88442000000000009</v>
      </c>
      <c r="AK130" s="177">
        <f>('1.8.1 RenElLR'!F100)/1000</f>
        <v>3.46E-3</v>
      </c>
      <c r="AL130" s="177">
        <f>'1.8.1 RenElLR'!S100/1000</f>
        <v>3.9161999999999999</v>
      </c>
      <c r="AM130" s="177" t="s">
        <v>100</v>
      </c>
      <c r="AN130" s="177">
        <f>'1.7.2 Elec1'!AL100-'1.8.1 RenElLR'!S100/1000</f>
        <v>1.1938000000000004</v>
      </c>
      <c r="AO130" s="177"/>
    </row>
    <row r="131" spans="1:41" s="81" customFormat="1" ht="13.15" x14ac:dyDescent="0.4">
      <c r="A131" s="616">
        <v>2011</v>
      </c>
      <c r="B131" s="177">
        <v>347.68750030216455</v>
      </c>
      <c r="C131" s="177">
        <v>0</v>
      </c>
      <c r="D131" s="177">
        <v>6.2218967980458126</v>
      </c>
      <c r="E131" s="177">
        <v>353.9093971002103</v>
      </c>
      <c r="F131" s="177">
        <v>27.990325990739677</v>
      </c>
      <c r="G131" s="177">
        <v>325.91907110947062</v>
      </c>
      <c r="H131" s="177">
        <v>7.665896181573971</v>
      </c>
      <c r="I131" s="177">
        <v>102.79588669814831</v>
      </c>
      <c r="J131" s="177">
        <v>111.58641761428098</v>
      </c>
      <c r="K131" s="177">
        <v>103.87087061546734</v>
      </c>
      <c r="L131" s="196">
        <v>318.25317492789662</v>
      </c>
      <c r="M131" s="176"/>
      <c r="N131" s="175"/>
      <c r="O131" s="176"/>
      <c r="P131" s="176"/>
      <c r="Q131" s="176"/>
      <c r="R131" s="176"/>
      <c r="S131" s="176"/>
      <c r="U131" s="183">
        <v>29687</v>
      </c>
      <c r="V131" s="817">
        <f t="shared" ref="V131:V136" si="6">A131</f>
        <v>2011</v>
      </c>
      <c r="AC131" s="614">
        <v>2011</v>
      </c>
      <c r="AD131" s="177">
        <v>76.52</v>
      </c>
      <c r="AE131" s="177">
        <v>26.03</v>
      </c>
      <c r="AF131" s="177">
        <v>0.78</v>
      </c>
      <c r="AG131" s="177">
        <v>26.58</v>
      </c>
      <c r="AH131" s="177">
        <v>15.63</v>
      </c>
      <c r="AI131" s="177">
        <v>0.49</v>
      </c>
      <c r="AJ131" s="177">
        <f>('1.8.1 RenElLR'!B101+'1.8.1 RenElLR'!C101)/1000</f>
        <v>1.3725799999999999</v>
      </c>
      <c r="AK131" s="177">
        <f>('1.8.1 RenElLR'!F101)/1000</f>
        <v>2.095E-2</v>
      </c>
      <c r="AL131" s="177">
        <f>'1.8.1 RenElLR'!S101/1000</f>
        <v>4.1848299999999998</v>
      </c>
      <c r="AM131" s="177" t="s">
        <v>100</v>
      </c>
      <c r="AN131" s="177">
        <f>'1.7.2 Elec1'!AL101-'1.8.1 RenElLR'!S101/1000</f>
        <v>1.4351700000000003</v>
      </c>
      <c r="AO131" s="177"/>
    </row>
    <row r="132" spans="1:41" s="81" customFormat="1" ht="13.15" x14ac:dyDescent="0.4">
      <c r="A132" s="616">
        <v>2012</v>
      </c>
      <c r="B132" s="177">
        <v>341.91240691484899</v>
      </c>
      <c r="C132" s="177">
        <v>0</v>
      </c>
      <c r="D132" s="177">
        <v>11.863935920999987</v>
      </c>
      <c r="E132" s="177">
        <v>353.77634283584899</v>
      </c>
      <c r="F132" s="177">
        <v>28.294464938848591</v>
      </c>
      <c r="G132" s="177">
        <v>325.4818778970004</v>
      </c>
      <c r="H132" s="177">
        <v>6.7250170884556679</v>
      </c>
      <c r="I132" s="177">
        <v>98.941135807560087</v>
      </c>
      <c r="J132" s="177">
        <v>114.66262542679949</v>
      </c>
      <c r="K132" s="177">
        <v>105.15309957418515</v>
      </c>
      <c r="L132" s="196">
        <v>318.75686080854473</v>
      </c>
      <c r="M132" s="176"/>
      <c r="N132" s="175"/>
      <c r="O132" s="176"/>
      <c r="P132" s="176"/>
      <c r="Q132" s="176"/>
      <c r="R132" s="176"/>
      <c r="S132" s="176"/>
      <c r="U132" s="205">
        <v>29808</v>
      </c>
      <c r="V132" s="817">
        <f t="shared" si="6"/>
        <v>2012</v>
      </c>
      <c r="AC132" s="614">
        <v>2012</v>
      </c>
      <c r="AD132" s="177">
        <v>77.239999999999981</v>
      </c>
      <c r="AE132" s="177">
        <v>34.33</v>
      </c>
      <c r="AF132" s="177">
        <v>0.73</v>
      </c>
      <c r="AG132" s="177">
        <v>18.62</v>
      </c>
      <c r="AH132" s="177">
        <v>15.21</v>
      </c>
      <c r="AI132" s="177">
        <v>0.46</v>
      </c>
      <c r="AJ132" s="177">
        <f>('1.8.1 RenElLR'!B102+'1.8.1 RenElLR'!C102)/1000</f>
        <v>1.7065599999999999</v>
      </c>
      <c r="AK132" s="177">
        <f>('1.8.1 RenElLR'!F102)/1000</f>
        <v>0.1164</v>
      </c>
      <c r="AL132" s="177">
        <f>'1.8.1 RenElLR'!S102/1000</f>
        <v>4.4390799999999997</v>
      </c>
      <c r="AM132" s="177" t="s">
        <v>100</v>
      </c>
      <c r="AN132" s="177">
        <f>'1.7.2 Elec1'!AL102-'1.8.1 RenElLR'!S102/1000</f>
        <v>1.6309200000000006</v>
      </c>
      <c r="AO132" s="177"/>
    </row>
    <row r="133" spans="1:41" s="81" customFormat="1" ht="13.15" x14ac:dyDescent="0.4">
      <c r="A133" s="616">
        <v>2013</v>
      </c>
      <c r="B133" s="177">
        <v>336.50416436439099</v>
      </c>
      <c r="C133" s="177">
        <v>0</v>
      </c>
      <c r="D133" s="177">
        <v>14.430889886500005</v>
      </c>
      <c r="E133" s="177">
        <v>350.93505425089103</v>
      </c>
      <c r="F133" s="177">
        <v>26.550207919646084</v>
      </c>
      <c r="G133" s="177">
        <v>324.38484633124494</v>
      </c>
      <c r="H133" s="177">
        <v>7.5411218888507268</v>
      </c>
      <c r="I133" s="177">
        <v>97.553173513596107</v>
      </c>
      <c r="J133" s="177">
        <v>113.41247237181817</v>
      </c>
      <c r="K133" s="177">
        <v>105.8780785569799</v>
      </c>
      <c r="L133" s="196">
        <v>316.8437244423942</v>
      </c>
      <c r="M133" s="176"/>
      <c r="N133" s="175"/>
      <c r="O133" s="176"/>
      <c r="P133" s="176"/>
      <c r="Q133" s="176"/>
      <c r="R133" s="176"/>
      <c r="S133" s="176"/>
      <c r="U133" s="205">
        <v>29925</v>
      </c>
      <c r="V133" s="817">
        <f t="shared" si="6"/>
        <v>2013</v>
      </c>
      <c r="AC133" s="614">
        <v>2013</v>
      </c>
      <c r="AD133" s="177">
        <v>74.52000000000001</v>
      </c>
      <c r="AE133" s="177">
        <v>31.33</v>
      </c>
      <c r="AF133" s="177">
        <v>0.59</v>
      </c>
      <c r="AG133" s="177">
        <v>17.7</v>
      </c>
      <c r="AH133" s="177">
        <v>15.44</v>
      </c>
      <c r="AI133" s="177">
        <v>0.4</v>
      </c>
      <c r="AJ133" s="177">
        <f>('1.8.1 RenElLR'!B103+'1.8.1 RenElLR'!C103)/1000</f>
        <v>2.4417199999999997</v>
      </c>
      <c r="AK133" s="177">
        <f>('1.8.1 RenElLR'!F103)/1000</f>
        <v>0.17283999999999999</v>
      </c>
      <c r="AL133" s="177">
        <f>'1.8.1 RenElLR'!S103/1000</f>
        <v>5.0352600000000001</v>
      </c>
      <c r="AM133" s="177" t="s">
        <v>100</v>
      </c>
      <c r="AN133" s="177">
        <f>'1.7.2 Elec1'!AL103-'1.8.1 RenElLR'!S103/1000</f>
        <v>1.4147400000000001</v>
      </c>
      <c r="AO133" s="177"/>
    </row>
    <row r="134" spans="1:41" s="81" customFormat="1" ht="13.15" x14ac:dyDescent="0.4">
      <c r="A134" s="616">
        <v>2014</v>
      </c>
      <c r="B134" s="177">
        <v>317.73297250503532</v>
      </c>
      <c r="C134" s="177">
        <v>0</v>
      </c>
      <c r="D134" s="177">
        <v>20.519788353500026</v>
      </c>
      <c r="E134" s="177">
        <v>338.2527608585354</v>
      </c>
      <c r="F134" s="177">
        <v>27.44832391648896</v>
      </c>
      <c r="G134" s="177">
        <v>310.80443694204644</v>
      </c>
      <c r="H134" s="177">
        <v>7.4576499000420071</v>
      </c>
      <c r="I134" s="177">
        <v>93.565807256448807</v>
      </c>
      <c r="J134" s="177">
        <v>108.07609974809642</v>
      </c>
      <c r="K134" s="177">
        <v>101.7048800374592</v>
      </c>
      <c r="L134" s="196">
        <v>303.34678704200445</v>
      </c>
      <c r="M134" s="176"/>
      <c r="N134" s="175"/>
      <c r="O134" s="176"/>
      <c r="P134" s="176"/>
      <c r="Q134" s="176"/>
      <c r="R134" s="176"/>
      <c r="S134" s="176"/>
      <c r="U134" s="205">
        <v>30189.732</v>
      </c>
      <c r="V134" s="817">
        <f t="shared" si="6"/>
        <v>2014</v>
      </c>
      <c r="AC134" s="614">
        <v>2014</v>
      </c>
      <c r="AD134" s="177">
        <v>68.48</v>
      </c>
      <c r="AE134" s="177">
        <v>24.01</v>
      </c>
      <c r="AF134" s="177">
        <v>0.55000000000000004</v>
      </c>
      <c r="AG134" s="177">
        <v>18.73</v>
      </c>
      <c r="AH134" s="177">
        <v>13.85</v>
      </c>
      <c r="AI134" s="177">
        <v>0.51</v>
      </c>
      <c r="AJ134" s="177">
        <f>('1.8.1 RenElLR'!B104+'1.8.1 RenElLR'!C104)/1000</f>
        <v>2.7480199999999999</v>
      </c>
      <c r="AK134" s="177">
        <f>('1.8.1 RenElLR'!F104)/1000</f>
        <v>0.34858999999999996</v>
      </c>
      <c r="AL134" s="177">
        <f>'1.8.1 RenElLR'!S104/1000</f>
        <v>6.1066400000000005</v>
      </c>
      <c r="AM134" s="177" t="s">
        <v>100</v>
      </c>
      <c r="AN134" s="177">
        <f>'1.7.2 Elec1'!AL104-'1.8.1 RenElLR'!S104/1000</f>
        <v>1.6233599999999999</v>
      </c>
      <c r="AO134" s="177"/>
    </row>
    <row r="135" spans="1:41" s="81" customFormat="1" ht="13.15" x14ac:dyDescent="0.4">
      <c r="A135" s="616">
        <v>2015</v>
      </c>
      <c r="B135" s="177">
        <v>318.51293495719887</v>
      </c>
      <c r="C135" s="177">
        <v>0</v>
      </c>
      <c r="D135" s="177">
        <v>21.105558818000006</v>
      </c>
      <c r="E135" s="177">
        <v>339.61849377519889</v>
      </c>
      <c r="F135" s="177">
        <v>28.195732879669038</v>
      </c>
      <c r="G135" s="177">
        <v>311.42276089552985</v>
      </c>
      <c r="H135" s="177">
        <v>7.5313834674564442</v>
      </c>
      <c r="I135" s="177">
        <v>93.349754369600092</v>
      </c>
      <c r="J135" s="177">
        <v>107.76384778252712</v>
      </c>
      <c r="K135" s="177">
        <v>102.77777527594614</v>
      </c>
      <c r="L135" s="196">
        <v>303.89137742807338</v>
      </c>
      <c r="M135" s="176"/>
      <c r="N135" s="175"/>
      <c r="O135" s="176"/>
      <c r="P135" s="176"/>
      <c r="Q135" s="176"/>
      <c r="R135" s="176"/>
      <c r="S135" s="176"/>
      <c r="U135" s="205">
        <v>30382</v>
      </c>
      <c r="V135" s="817">
        <f t="shared" si="6"/>
        <v>2015</v>
      </c>
      <c r="AC135" s="614">
        <v>2015</v>
      </c>
      <c r="AD135" s="177">
        <v>66.72</v>
      </c>
      <c r="AE135" s="177">
        <v>18.34</v>
      </c>
      <c r="AF135" s="177">
        <v>0.61</v>
      </c>
      <c r="AG135" s="177">
        <v>18.28</v>
      </c>
      <c r="AH135" s="177">
        <v>15.48</v>
      </c>
      <c r="AI135" s="177">
        <v>0.54</v>
      </c>
      <c r="AJ135" s="177">
        <f>('1.8.1 RenElLR'!B105+'1.8.1 RenElLR'!C105)/1000</f>
        <v>3.4630199999999998</v>
      </c>
      <c r="AK135" s="177">
        <f>('1.8.1 RenElLR'!F105)/1000</f>
        <v>0.64771000000000001</v>
      </c>
      <c r="AL135" s="177">
        <f>'1.8.1 RenElLR'!S105/1000</f>
        <v>7.4066299999999998</v>
      </c>
      <c r="AM135" s="177" t="s">
        <v>100</v>
      </c>
      <c r="AN135" s="177">
        <f>'1.7.2 Elec1'!AL105-'1.8.1 RenElLR'!S105/1000</f>
        <v>1.9533699999999996</v>
      </c>
      <c r="AO135" s="177"/>
    </row>
    <row r="136" spans="1:41" s="81" customFormat="1" ht="13.15" x14ac:dyDescent="0.4">
      <c r="A136" s="616">
        <v>2016</v>
      </c>
      <c r="B136" s="177">
        <v>319.90747919652472</v>
      </c>
      <c r="C136" s="177">
        <v>0</v>
      </c>
      <c r="D136" s="177">
        <v>17.745057307999993</v>
      </c>
      <c r="E136" s="177">
        <v>337.65253650452462</v>
      </c>
      <c r="F136" s="177">
        <v>26.108220830906816</v>
      </c>
      <c r="G136" s="177">
        <v>311.5443156736178</v>
      </c>
      <c r="H136" s="177">
        <v>7.2634714171682191</v>
      </c>
      <c r="I136" s="177">
        <v>93.563454785247288</v>
      </c>
      <c r="J136" s="177">
        <v>108.02504338198162</v>
      </c>
      <c r="K136" s="177">
        <v>102.69234608922069</v>
      </c>
      <c r="L136" s="196">
        <v>304.2808442564496</v>
      </c>
      <c r="M136" s="176"/>
      <c r="N136" s="175"/>
      <c r="O136" s="176"/>
      <c r="P136" s="176"/>
      <c r="Q136" s="176"/>
      <c r="R136" s="176"/>
      <c r="S136" s="176"/>
      <c r="U136" s="205">
        <v>30589</v>
      </c>
      <c r="V136" s="817">
        <f t="shared" si="6"/>
        <v>2016</v>
      </c>
      <c r="AC136" s="614">
        <v>2016</v>
      </c>
      <c r="AD136" s="177">
        <v>63.68</v>
      </c>
      <c r="AE136" s="177">
        <v>7.53</v>
      </c>
      <c r="AF136" s="177">
        <v>0.57999999999999996</v>
      </c>
      <c r="AG136" s="177">
        <v>25.63</v>
      </c>
      <c r="AH136" s="177">
        <v>15.41</v>
      </c>
      <c r="AI136" s="177">
        <v>0.46</v>
      </c>
      <c r="AJ136" s="177">
        <f>('1.8.1 RenElLR'!B106+'1.8.1 RenElLR'!C106)/1000</f>
        <v>3.1947700000000001</v>
      </c>
      <c r="AK136" s="177">
        <f>('1.8.1 RenElLR'!F106)/1000</f>
        <v>0.89491999999999994</v>
      </c>
      <c r="AL136" s="177">
        <f>'1.8.1 RenElLR'!S106/1000</f>
        <v>7.7834099999999999</v>
      </c>
      <c r="AM136" s="177" t="s">
        <v>100</v>
      </c>
      <c r="AN136" s="177">
        <f>'1.7.2 Elec1'!AL106-'1.8.1 RenElLR'!S106/1000</f>
        <v>2.1765900000000009</v>
      </c>
      <c r="AO136" s="177"/>
    </row>
    <row r="137" spans="1:41" s="81" customFormat="1" ht="13.15" x14ac:dyDescent="0.4">
      <c r="A137" s="616">
        <v>2017</v>
      </c>
      <c r="B137" s="177">
        <v>318.84114211533091</v>
      </c>
      <c r="C137" s="177">
        <v>0</v>
      </c>
      <c r="D137" s="177">
        <v>14.759930941826864</v>
      </c>
      <c r="E137" s="177">
        <v>333.60107305715775</v>
      </c>
      <c r="F137" s="177">
        <v>26.584722005093624</v>
      </c>
      <c r="G137" s="177">
        <v>307.01635105206412</v>
      </c>
      <c r="H137" s="177">
        <v>7.14364029761221</v>
      </c>
      <c r="I137" s="177">
        <v>92.531828749346147</v>
      </c>
      <c r="J137" s="177">
        <v>105.36790073945924</v>
      </c>
      <c r="K137" s="177">
        <v>101.97298126564652</v>
      </c>
      <c r="L137" s="196">
        <v>299.87271075445193</v>
      </c>
      <c r="M137" s="176"/>
      <c r="N137" s="175"/>
      <c r="O137" s="176"/>
      <c r="P137" s="176"/>
      <c r="Q137" s="176"/>
      <c r="R137" s="176"/>
      <c r="S137" s="176"/>
      <c r="U137" s="206">
        <v>30822</v>
      </c>
      <c r="V137" s="819">
        <v>2017</v>
      </c>
      <c r="AC137" s="614">
        <v>2017</v>
      </c>
      <c r="AD137" s="177">
        <v>61</v>
      </c>
      <c r="AE137" s="177">
        <v>5.55</v>
      </c>
      <c r="AF137" s="177">
        <v>0.54</v>
      </c>
      <c r="AG137" s="177">
        <v>24.6</v>
      </c>
      <c r="AH137" s="177">
        <v>15.12</v>
      </c>
      <c r="AI137" s="177">
        <v>0.51</v>
      </c>
      <c r="AJ137" s="177">
        <f>('1.8.1 RenElLR'!B107+'1.8.1 RenElLR'!C107)/1000</f>
        <v>4.26769</v>
      </c>
      <c r="AK137" s="177">
        <f>('1.8.1 RenElLR'!F107)/1000</f>
        <v>0.98672000000000004</v>
      </c>
      <c r="AL137" s="177">
        <f>'1.8.1 RenElLR'!S107/1000</f>
        <v>8.1724499999999995</v>
      </c>
      <c r="AM137" s="177" t="s">
        <v>100</v>
      </c>
      <c r="AN137" s="177">
        <f>'1.7.2 Elec1'!AL107-'1.8.1 RenElLR'!S107/1000</f>
        <v>1.0575500000000009</v>
      </c>
      <c r="AO137" s="177"/>
    </row>
    <row r="138" spans="1:41" ht="13.15" x14ac:dyDescent="0.4">
      <c r="A138" s="617">
        <v>2018</v>
      </c>
      <c r="B138" s="208">
        <v>314.07617896720291</v>
      </c>
      <c r="C138" s="208">
        <v>0</v>
      </c>
      <c r="D138" s="208">
        <v>19.107650939999999</v>
      </c>
      <c r="E138" s="208">
        <v>333.18382990720289</v>
      </c>
      <c r="F138" s="208">
        <v>26.382989583803408</v>
      </c>
      <c r="G138" s="208">
        <v>306.80084032339948</v>
      </c>
      <c r="H138" s="208">
        <v>6.9393819647398214</v>
      </c>
      <c r="I138" s="208">
        <v>93.236866747387509</v>
      </c>
      <c r="J138" s="208">
        <v>105.06454676977907</v>
      </c>
      <c r="K138" s="208">
        <v>101.5600448414931</v>
      </c>
      <c r="L138" s="209">
        <v>299.86145835865966</v>
      </c>
      <c r="M138" s="158"/>
      <c r="N138" s="182"/>
      <c r="O138" s="158"/>
      <c r="P138" s="158"/>
      <c r="Q138" s="158"/>
      <c r="R138" s="158"/>
      <c r="S138" s="158"/>
      <c r="AC138" s="815">
        <v>2018</v>
      </c>
      <c r="AD138" s="239">
        <v>59.870000000000005</v>
      </c>
      <c r="AE138" s="208">
        <v>4.24</v>
      </c>
      <c r="AF138" s="208">
        <v>0.49</v>
      </c>
      <c r="AG138" s="208">
        <v>23.51</v>
      </c>
      <c r="AH138" s="208">
        <v>14.06</v>
      </c>
      <c r="AI138" s="208">
        <v>0.47</v>
      </c>
      <c r="AJ138" s="208">
        <f>('1.8.1 RenElLR'!B108+'1.8.1 RenElLR'!C108)/1000</f>
        <v>4.8928899999999995</v>
      </c>
      <c r="AK138" s="208">
        <f>('1.8.1 RenElLR'!F108)/1000</f>
        <v>1.10554</v>
      </c>
      <c r="AL138" s="208">
        <f>'1.8.1 RenElLR'!S108/1000</f>
        <v>8.9562000000000008</v>
      </c>
      <c r="AM138" s="208" t="s">
        <v>100</v>
      </c>
      <c r="AN138" s="208">
        <f>'1.7.2 Elec1'!AL108-'1.8.1 RenElLR'!S108/1000</f>
        <v>2.1437999999999988</v>
      </c>
      <c r="AO138" s="208"/>
    </row>
    <row r="139" spans="1:41" hidden="1" x14ac:dyDescent="0.35">
      <c r="B139" s="210" t="s">
        <v>662</v>
      </c>
      <c r="D139" s="210" t="s">
        <v>662</v>
      </c>
      <c r="E139" s="210" t="s">
        <v>662</v>
      </c>
      <c r="F139" s="210" t="s">
        <v>662</v>
      </c>
      <c r="G139" s="210" t="s">
        <v>662</v>
      </c>
      <c r="H139" s="210" t="s">
        <v>662</v>
      </c>
      <c r="I139" s="210" t="s">
        <v>662</v>
      </c>
      <c r="J139" s="210" t="s">
        <v>662</v>
      </c>
      <c r="K139" s="210" t="s">
        <v>662</v>
      </c>
      <c r="L139" s="210" t="s">
        <v>662</v>
      </c>
      <c r="U139" s="211"/>
      <c r="V139" s="212"/>
      <c r="AC139" s="176"/>
      <c r="AD139" s="240"/>
      <c r="AE139" s="240"/>
      <c r="AF139" s="240"/>
      <c r="AG139" s="240"/>
      <c r="AH139" s="240"/>
      <c r="AI139" s="240"/>
      <c r="AJ139" s="240"/>
      <c r="AK139" s="240"/>
      <c r="AL139" s="193"/>
      <c r="AM139" s="20"/>
      <c r="AN139" s="193"/>
      <c r="AO139" s="177"/>
    </row>
    <row r="140" spans="1:41" ht="13.15" x14ac:dyDescent="0.4">
      <c r="B140" s="213"/>
      <c r="D140" s="213"/>
      <c r="E140" s="213"/>
      <c r="F140" s="213"/>
      <c r="G140" s="213"/>
      <c r="H140" s="213"/>
      <c r="I140" s="213"/>
      <c r="J140" s="213"/>
      <c r="K140" s="213"/>
      <c r="L140" s="213"/>
      <c r="U140" s="214" t="s">
        <v>663</v>
      </c>
      <c r="V140" s="212"/>
      <c r="AC140" s="215" t="s">
        <v>755</v>
      </c>
      <c r="AD140" s="241"/>
      <c r="AE140" s="241"/>
      <c r="AF140" s="241"/>
      <c r="AG140" s="241"/>
      <c r="AH140" s="242"/>
      <c r="AI140" s="242"/>
      <c r="AJ140" s="242"/>
      <c r="AK140" s="242"/>
      <c r="AL140" s="242"/>
      <c r="AM140" s="241"/>
      <c r="AN140" s="243"/>
      <c r="AO140" s="242"/>
    </row>
    <row r="141" spans="1:41" ht="13.15" x14ac:dyDescent="0.4">
      <c r="A141" s="215" t="s">
        <v>664</v>
      </c>
      <c r="K141" s="216"/>
      <c r="L141" s="81"/>
      <c r="U141" s="217"/>
      <c r="AC141" s="244" t="s">
        <v>756</v>
      </c>
      <c r="AD141" s="245"/>
      <c r="AE141" s="245"/>
      <c r="AF141" s="245"/>
      <c r="AG141" s="241"/>
      <c r="AH141" s="242"/>
      <c r="AI141" s="242"/>
      <c r="AJ141" s="242"/>
      <c r="AK141" s="242"/>
      <c r="AL141" s="242"/>
      <c r="AM141" s="241"/>
      <c r="AN141" s="241"/>
      <c r="AO141" s="242"/>
    </row>
    <row r="142" spans="1:41" x14ac:dyDescent="0.35">
      <c r="A142" s="218" t="s">
        <v>665</v>
      </c>
      <c r="B142" s="219"/>
      <c r="C142" s="219"/>
      <c r="D142" s="219"/>
      <c r="E142" s="219"/>
      <c r="F142" s="219"/>
      <c r="L142" s="81"/>
      <c r="U142" s="217"/>
      <c r="AC142" s="244" t="s">
        <v>757</v>
      </c>
      <c r="AD142" s="245"/>
      <c r="AE142" s="245"/>
      <c r="AF142" s="245"/>
      <c r="AG142" s="241"/>
      <c r="AH142" s="242"/>
      <c r="AI142" s="242"/>
      <c r="AJ142" s="242"/>
      <c r="AK142" s="242"/>
      <c r="AL142" s="242"/>
      <c r="AM142" s="241"/>
      <c r="AN142" s="241"/>
      <c r="AO142" s="242"/>
    </row>
    <row r="143" spans="1:41" x14ac:dyDescent="0.35">
      <c r="A143" s="218" t="s">
        <v>666</v>
      </c>
      <c r="B143" s="219"/>
      <c r="C143" s="219"/>
      <c r="D143" s="219"/>
      <c r="E143" s="219"/>
      <c r="F143" s="219"/>
      <c r="L143" s="81"/>
      <c r="AC143" s="244" t="s">
        <v>758</v>
      </c>
      <c r="AD143" s="245"/>
      <c r="AE143" s="245"/>
      <c r="AF143" s="245"/>
      <c r="AG143" s="241"/>
      <c r="AH143" s="242"/>
      <c r="AI143" s="242"/>
      <c r="AJ143" s="242"/>
      <c r="AK143" s="242"/>
      <c r="AL143" s="242"/>
      <c r="AM143" s="241"/>
      <c r="AN143" s="241"/>
      <c r="AO143" s="241"/>
    </row>
    <row r="144" spans="1:41" x14ac:dyDescent="0.35">
      <c r="A144" s="218" t="s">
        <v>667</v>
      </c>
      <c r="B144" s="219"/>
      <c r="C144" s="219"/>
      <c r="D144" s="219"/>
      <c r="E144" s="219"/>
      <c r="F144" s="219"/>
      <c r="L144" s="81"/>
      <c r="AC144" s="244" t="s">
        <v>1123</v>
      </c>
      <c r="AD144" s="245"/>
      <c r="AE144" s="245"/>
      <c r="AF144" s="245"/>
      <c r="AG144" s="241"/>
      <c r="AH144" s="242"/>
      <c r="AI144" s="242"/>
      <c r="AJ144" s="242"/>
      <c r="AK144" s="242"/>
      <c r="AL144" s="242"/>
      <c r="AM144" s="241"/>
      <c r="AN144" s="241"/>
      <c r="AO144" s="241"/>
    </row>
    <row r="145" spans="1:41" x14ac:dyDescent="0.35">
      <c r="A145" s="218" t="s">
        <v>668</v>
      </c>
      <c r="B145" s="219"/>
      <c r="C145" s="219"/>
      <c r="D145" s="219"/>
      <c r="E145" s="219"/>
      <c r="F145" s="219"/>
      <c r="L145" s="75"/>
      <c r="N145" s="75"/>
      <c r="AC145" s="244"/>
      <c r="AD145" s="245"/>
      <c r="AE145" s="245"/>
      <c r="AF145" s="245"/>
      <c r="AG145" s="241"/>
      <c r="AH145" s="242"/>
      <c r="AI145" s="242"/>
      <c r="AJ145" s="242"/>
      <c r="AK145" s="242"/>
      <c r="AL145" s="242"/>
      <c r="AM145" s="241"/>
      <c r="AN145" s="241"/>
      <c r="AO145" s="241"/>
    </row>
    <row r="146" spans="1:41" x14ac:dyDescent="0.35">
      <c r="A146" s="218" t="s">
        <v>669</v>
      </c>
      <c r="B146" s="219"/>
      <c r="C146" s="219"/>
      <c r="D146" s="219"/>
      <c r="E146" s="219"/>
      <c r="F146" s="219"/>
      <c r="L146" s="75"/>
      <c r="N146" s="75"/>
      <c r="AC146" s="218" t="s">
        <v>761</v>
      </c>
      <c r="AD146" s="245"/>
      <c r="AE146" s="245"/>
      <c r="AF146" s="245"/>
      <c r="AG146" s="241"/>
      <c r="AH146" s="242"/>
      <c r="AI146" s="242"/>
      <c r="AJ146" s="242"/>
      <c r="AK146" s="242"/>
      <c r="AL146" s="242"/>
      <c r="AM146" s="241"/>
      <c r="AN146" s="241"/>
      <c r="AO146" s="241"/>
    </row>
    <row r="147" spans="1:41" x14ac:dyDescent="0.35">
      <c r="A147" s="218" t="s">
        <v>670</v>
      </c>
      <c r="B147" s="219"/>
      <c r="C147" s="219"/>
      <c r="D147" s="219"/>
      <c r="E147" s="219"/>
      <c r="F147" s="219"/>
      <c r="L147" s="81"/>
      <c r="AC147" s="218" t="s">
        <v>762</v>
      </c>
      <c r="AD147" s="245"/>
      <c r="AE147" s="245"/>
      <c r="AF147" s="245"/>
      <c r="AG147" s="241"/>
      <c r="AH147" s="242"/>
      <c r="AI147" s="242"/>
      <c r="AJ147" s="242"/>
      <c r="AK147" s="242"/>
      <c r="AL147" s="242"/>
      <c r="AM147" s="241"/>
      <c r="AN147" s="241"/>
      <c r="AO147" s="241"/>
    </row>
    <row r="148" spans="1:41" x14ac:dyDescent="0.35">
      <c r="A148" s="218" t="s">
        <v>671</v>
      </c>
      <c r="B148" s="219"/>
      <c r="C148" s="219"/>
      <c r="D148" s="219"/>
      <c r="E148" s="219"/>
      <c r="F148" s="219"/>
      <c r="L148" s="81"/>
      <c r="AC148" s="218" t="s">
        <v>763</v>
      </c>
      <c r="AD148" s="245"/>
      <c r="AE148" s="245"/>
      <c r="AF148" s="245"/>
      <c r="AG148" s="241"/>
      <c r="AH148" s="241"/>
      <c r="AI148" s="241"/>
      <c r="AJ148" s="241"/>
      <c r="AK148" s="241"/>
      <c r="AL148" s="241"/>
      <c r="AM148" s="241"/>
      <c r="AN148" s="241"/>
      <c r="AO148" s="241"/>
    </row>
    <row r="149" spans="1:41" x14ac:dyDescent="0.35">
      <c r="A149" s="218" t="s">
        <v>672</v>
      </c>
      <c r="B149" s="219"/>
      <c r="C149" s="219"/>
      <c r="D149" s="219"/>
      <c r="E149" s="219"/>
      <c r="F149" s="219"/>
      <c r="L149" s="81"/>
      <c r="AC149" s="244" t="s">
        <v>764</v>
      </c>
      <c r="AD149" s="245"/>
      <c r="AE149" s="245"/>
      <c r="AF149" s="245"/>
      <c r="AG149" s="241"/>
      <c r="AH149" s="241"/>
      <c r="AI149" s="241"/>
      <c r="AJ149" s="241"/>
      <c r="AK149" s="241"/>
      <c r="AL149" s="241"/>
      <c r="AM149" s="241"/>
      <c r="AN149" s="241"/>
      <c r="AO149" s="241"/>
    </row>
    <row r="150" spans="1:41" ht="12.75" customHeight="1" x14ac:dyDescent="0.35">
      <c r="A150" s="218" t="s">
        <v>673</v>
      </c>
      <c r="B150" s="219"/>
      <c r="C150" s="219"/>
      <c r="D150" s="219"/>
      <c r="E150" s="219"/>
      <c r="F150" s="219"/>
      <c r="L150" s="81"/>
      <c r="AC150" s="1458" t="s">
        <v>765</v>
      </c>
      <c r="AD150" s="1458"/>
      <c r="AE150" s="1458"/>
      <c r="AF150" s="1458"/>
      <c r="AG150" s="1458"/>
      <c r="AH150" s="1458"/>
      <c r="AI150" s="1458"/>
      <c r="AJ150" s="1458"/>
      <c r="AK150" s="1458"/>
      <c r="AL150" s="1458"/>
      <c r="AM150" s="1458"/>
      <c r="AN150" s="1458"/>
      <c r="AO150" s="246"/>
    </row>
    <row r="151" spans="1:41" ht="12.75" customHeight="1" x14ac:dyDescent="0.35">
      <c r="A151" s="50"/>
      <c r="H151" s="139"/>
      <c r="I151" s="139"/>
      <c r="L151" s="81"/>
      <c r="AC151" s="1458" t="s">
        <v>766</v>
      </c>
      <c r="AD151" s="1458"/>
      <c r="AE151" s="1458"/>
      <c r="AF151" s="1458"/>
      <c r="AG151" s="1458"/>
      <c r="AH151" s="1458"/>
      <c r="AI151" s="1458"/>
      <c r="AJ151" s="1458"/>
      <c r="AK151" s="1458"/>
      <c r="AL151" s="1458"/>
      <c r="AM151" s="1458"/>
      <c r="AN151" s="1458"/>
      <c r="AO151" s="246"/>
    </row>
    <row r="152" spans="1:41" ht="13.15" x14ac:dyDescent="0.4">
      <c r="A152" s="215" t="s">
        <v>674</v>
      </c>
      <c r="H152" s="139"/>
      <c r="I152" s="139"/>
      <c r="L152" s="81"/>
      <c r="AC152" s="246"/>
      <c r="AD152" s="246"/>
      <c r="AE152" s="246"/>
      <c r="AF152" s="246"/>
      <c r="AG152" s="246"/>
      <c r="AH152" s="246"/>
      <c r="AI152" s="246"/>
      <c r="AJ152" s="246"/>
      <c r="AK152" s="246"/>
      <c r="AL152" s="246"/>
      <c r="AM152" s="246"/>
      <c r="AN152" s="246"/>
      <c r="AO152" s="246"/>
    </row>
    <row r="153" spans="1:41" ht="13.15" x14ac:dyDescent="0.4">
      <c r="A153" s="75" t="s">
        <v>675</v>
      </c>
      <c r="I153" s="75" t="s">
        <v>1036</v>
      </c>
      <c r="L153" s="81"/>
      <c r="AC153" s="215" t="s">
        <v>674</v>
      </c>
      <c r="AD153" s="241"/>
      <c r="AE153" s="241"/>
      <c r="AF153" s="241"/>
      <c r="AG153" s="241"/>
      <c r="AH153" s="247"/>
      <c r="AI153" s="241"/>
      <c r="AJ153" s="241"/>
      <c r="AK153" s="241"/>
      <c r="AL153" s="241"/>
      <c r="AM153" s="247"/>
      <c r="AN153" s="247"/>
      <c r="AO153" s="241"/>
    </row>
    <row r="154" spans="1:41" x14ac:dyDescent="0.35">
      <c r="A154" s="75" t="s">
        <v>676</v>
      </c>
      <c r="L154" s="81"/>
      <c r="AC154" s="139" t="s">
        <v>767</v>
      </c>
      <c r="AD154" s="241"/>
      <c r="AE154" s="241"/>
      <c r="AF154" s="241"/>
      <c r="AG154" s="241"/>
      <c r="AH154" s="247"/>
      <c r="AI154" s="241"/>
      <c r="AJ154" s="241"/>
      <c r="AK154" s="241"/>
      <c r="AL154" s="241"/>
      <c r="AM154" s="247"/>
      <c r="AN154" s="247"/>
      <c r="AO154" s="241"/>
    </row>
    <row r="155" spans="1:41" ht="14.25" x14ac:dyDescent="0.45">
      <c r="A155" s="75" t="s">
        <v>677</v>
      </c>
      <c r="B155"/>
      <c r="C155"/>
      <c r="D155"/>
      <c r="E155"/>
      <c r="F155"/>
      <c r="G155"/>
      <c r="H155"/>
      <c r="I155"/>
      <c r="J155"/>
      <c r="K155" s="81"/>
      <c r="L155" s="81"/>
      <c r="AC155" s="139" t="s">
        <v>768</v>
      </c>
      <c r="AD155" s="241"/>
      <c r="AE155" s="241"/>
      <c r="AF155" s="241"/>
      <c r="AG155" s="241"/>
      <c r="AH155" s="241"/>
      <c r="AI155" s="241"/>
      <c r="AJ155" s="241"/>
      <c r="AK155" s="241"/>
      <c r="AL155" s="241"/>
      <c r="AM155" s="241"/>
      <c r="AN155" s="241"/>
      <c r="AO155" s="241"/>
    </row>
    <row r="156" spans="1:41" ht="14.25" x14ac:dyDescent="0.45">
      <c r="A156" s="75" t="s">
        <v>678</v>
      </c>
      <c r="B156"/>
      <c r="C156"/>
      <c r="D156"/>
      <c r="E156"/>
      <c r="F156"/>
      <c r="K156" s="81"/>
      <c r="L156" s="75"/>
      <c r="AC156" s="248" t="s">
        <v>769</v>
      </c>
      <c r="AD156" s="55"/>
      <c r="AE156" s="55"/>
      <c r="AF156" s="55"/>
      <c r="AG156" s="55"/>
      <c r="AH156" s="55"/>
      <c r="AI156" s="55"/>
      <c r="AJ156" s="55"/>
      <c r="AK156" s="55"/>
      <c r="AL156" s="55"/>
      <c r="AM156" s="55"/>
      <c r="AN156" s="241"/>
      <c r="AO156" s="241"/>
    </row>
    <row r="157" spans="1:41" ht="14.25" x14ac:dyDescent="0.45">
      <c r="A157" s="75" t="s">
        <v>679</v>
      </c>
      <c r="B157"/>
      <c r="C157"/>
      <c r="D157"/>
      <c r="E157"/>
      <c r="F157"/>
      <c r="K157" s="220"/>
      <c r="L157" s="75"/>
      <c r="AC157" s="248" t="s">
        <v>770</v>
      </c>
      <c r="AD157" s="55"/>
      <c r="AE157" s="55"/>
      <c r="AF157" s="55"/>
      <c r="AG157" s="55"/>
      <c r="AH157" s="55"/>
      <c r="AI157" s="55"/>
      <c r="AJ157" s="55"/>
      <c r="AK157" s="55"/>
      <c r="AL157" s="55"/>
      <c r="AM157" s="55"/>
      <c r="AN157" s="241"/>
      <c r="AO157" s="241"/>
    </row>
    <row r="158" spans="1:41" s="50" customFormat="1" x14ac:dyDescent="0.35">
      <c r="A158" s="75" t="s">
        <v>680</v>
      </c>
      <c r="B158" s="55"/>
      <c r="C158" s="55"/>
      <c r="D158" s="55"/>
      <c r="E158" s="55"/>
      <c r="F158" s="55"/>
      <c r="G158" s="55"/>
      <c r="H158" s="55"/>
      <c r="I158" s="55"/>
      <c r="J158" s="55"/>
      <c r="K158" s="221"/>
      <c r="N158" s="222"/>
      <c r="U158" s="75"/>
      <c r="V158" s="75"/>
      <c r="AC158" s="248" t="s">
        <v>771</v>
      </c>
      <c r="AD158" s="55"/>
      <c r="AE158" s="55"/>
      <c r="AF158" s="55"/>
      <c r="AG158" s="55"/>
      <c r="AH158" s="55"/>
      <c r="AI158" s="55"/>
      <c r="AJ158" s="55"/>
      <c r="AK158" s="55"/>
      <c r="AL158" s="55"/>
      <c r="AM158" s="55"/>
      <c r="AN158" s="241"/>
      <c r="AO158" s="241"/>
    </row>
    <row r="159" spans="1:41" ht="14.25" x14ac:dyDescent="0.45">
      <c r="A159" s="75" t="s">
        <v>681</v>
      </c>
      <c r="B159"/>
      <c r="C159"/>
      <c r="D159"/>
      <c r="E159"/>
      <c r="F159"/>
      <c r="G159"/>
      <c r="H159"/>
      <c r="I159"/>
      <c r="J159"/>
      <c r="K159" s="223"/>
      <c r="L159" s="75"/>
      <c r="U159" s="50"/>
      <c r="V159" s="50"/>
      <c r="AC159" s="248" t="s">
        <v>772</v>
      </c>
      <c r="AD159" s="55"/>
      <c r="AE159" s="55"/>
      <c r="AF159" s="55"/>
      <c r="AG159" s="55"/>
      <c r="AH159" s="55"/>
      <c r="AI159" s="55"/>
      <c r="AJ159" s="55"/>
      <c r="AK159" s="55"/>
      <c r="AL159" s="55"/>
      <c r="AM159" s="55"/>
      <c r="AN159" s="241"/>
      <c r="AO159" s="241"/>
    </row>
    <row r="160" spans="1:41" ht="14.25" x14ac:dyDescent="0.45">
      <c r="A160" s="75" t="s">
        <v>682</v>
      </c>
      <c r="B160"/>
      <c r="C160"/>
      <c r="D160"/>
      <c r="E160"/>
      <c r="F160"/>
      <c r="G160"/>
      <c r="H160"/>
      <c r="I160"/>
      <c r="J160"/>
      <c r="K160" s="223"/>
      <c r="L160" s="75"/>
      <c r="AC160" s="248" t="s">
        <v>773</v>
      </c>
      <c r="AD160" s="55"/>
      <c r="AE160" s="55"/>
      <c r="AF160" s="55"/>
      <c r="AG160" s="55"/>
      <c r="AH160" s="55"/>
      <c r="AI160" s="55"/>
      <c r="AJ160" s="55"/>
      <c r="AK160" s="55"/>
      <c r="AL160" s="55"/>
      <c r="AM160" s="55"/>
      <c r="AN160" s="241"/>
      <c r="AO160" s="241"/>
    </row>
    <row r="161" spans="1:41" ht="14.25" x14ac:dyDescent="0.45">
      <c r="A161" s="75" t="s">
        <v>683</v>
      </c>
      <c r="B161"/>
      <c r="C161"/>
      <c r="D161"/>
      <c r="E161"/>
      <c r="F161"/>
      <c r="G161"/>
      <c r="H161"/>
      <c r="I161"/>
      <c r="J161"/>
      <c r="L161" s="75"/>
      <c r="AC161" s="248" t="s">
        <v>774</v>
      </c>
      <c r="AD161" s="55"/>
      <c r="AE161" s="55"/>
      <c r="AF161" s="55"/>
      <c r="AG161" s="55"/>
      <c r="AH161" s="55"/>
      <c r="AI161" s="55"/>
      <c r="AJ161" s="55"/>
      <c r="AK161" s="55"/>
      <c r="AL161" s="55"/>
      <c r="AM161" s="55"/>
      <c r="AN161" s="241"/>
      <c r="AO161" s="241"/>
    </row>
    <row r="162" spans="1:41" ht="14.25" x14ac:dyDescent="0.45">
      <c r="A162" s="75" t="s">
        <v>684</v>
      </c>
      <c r="B162"/>
      <c r="C162"/>
      <c r="D162"/>
      <c r="E162"/>
      <c r="F162"/>
      <c r="G162"/>
      <c r="H162"/>
      <c r="I162"/>
      <c r="J162"/>
      <c r="K162" s="217"/>
      <c r="L162" s="75"/>
      <c r="AC162" s="248" t="s">
        <v>775</v>
      </c>
      <c r="AD162" s="55"/>
      <c r="AE162" s="55"/>
      <c r="AF162" s="55"/>
      <c r="AG162" s="55"/>
      <c r="AH162" s="55"/>
      <c r="AI162" s="55"/>
      <c r="AJ162" s="55"/>
      <c r="AK162" s="55"/>
      <c r="AL162" s="55"/>
      <c r="AM162" s="55"/>
      <c r="AN162" s="241"/>
      <c r="AO162" s="241"/>
    </row>
    <row r="163" spans="1:41" s="50" customFormat="1" x14ac:dyDescent="0.35">
      <c r="A163" s="75" t="s">
        <v>685</v>
      </c>
      <c r="B163" s="55"/>
      <c r="C163" s="55"/>
      <c r="D163" s="55"/>
      <c r="E163" s="55"/>
      <c r="F163" s="55"/>
      <c r="G163" s="55"/>
      <c r="H163" s="55"/>
      <c r="I163" s="55"/>
      <c r="J163" s="55"/>
      <c r="K163" s="224"/>
      <c r="N163" s="222"/>
      <c r="U163" s="75"/>
      <c r="V163" s="75"/>
      <c r="AC163" s="248" t="s">
        <v>776</v>
      </c>
      <c r="AD163" s="55"/>
      <c r="AE163" s="55"/>
      <c r="AF163" s="55"/>
      <c r="AG163" s="55"/>
      <c r="AH163" s="55"/>
      <c r="AI163" s="55"/>
      <c r="AJ163" s="55"/>
      <c r="AK163" s="55"/>
      <c r="AL163" s="55"/>
      <c r="AM163" s="55"/>
      <c r="AN163" s="241"/>
      <c r="AO163" s="241"/>
    </row>
    <row r="164" spans="1:41" ht="14.25" x14ac:dyDescent="0.45">
      <c r="A164" s="75" t="s">
        <v>686</v>
      </c>
      <c r="B164"/>
      <c r="C164"/>
      <c r="D164"/>
      <c r="E164"/>
      <c r="F164"/>
      <c r="G164"/>
      <c r="H164"/>
      <c r="I164"/>
      <c r="J164"/>
      <c r="K164" s="217"/>
      <c r="L164" s="75"/>
      <c r="U164" s="50"/>
      <c r="V164" s="50"/>
      <c r="AC164" s="139" t="s">
        <v>777</v>
      </c>
      <c r="AD164" s="55"/>
      <c r="AE164" s="55"/>
      <c r="AF164" s="55"/>
      <c r="AG164" s="55"/>
      <c r="AH164" s="55"/>
      <c r="AI164" s="55"/>
      <c r="AJ164" s="55"/>
      <c r="AK164" s="55"/>
      <c r="AL164" s="55"/>
      <c r="AM164" s="55"/>
      <c r="AN164" s="241"/>
      <c r="AO164" s="241"/>
    </row>
    <row r="165" spans="1:41" ht="14.25" x14ac:dyDescent="0.45">
      <c r="A165" s="75" t="s">
        <v>687</v>
      </c>
      <c r="B165"/>
      <c r="C165"/>
      <c r="D165"/>
      <c r="E165"/>
      <c r="F165"/>
      <c r="G165"/>
      <c r="H165"/>
      <c r="I165"/>
      <c r="J165"/>
      <c r="K165" s="217"/>
      <c r="L165" s="75"/>
      <c r="AC165" s="248" t="s">
        <v>778</v>
      </c>
      <c r="AD165" s="55"/>
      <c r="AE165" s="55"/>
      <c r="AF165" s="55"/>
      <c r="AG165" s="55"/>
      <c r="AH165" s="55"/>
      <c r="AI165" s="55"/>
      <c r="AJ165" s="55"/>
      <c r="AK165" s="55"/>
      <c r="AL165" s="55"/>
      <c r="AM165" s="55"/>
      <c r="AN165" s="241"/>
      <c r="AO165" s="241"/>
    </row>
    <row r="166" spans="1:41" ht="14.25" x14ac:dyDescent="0.45">
      <c r="A166" s="75" t="s">
        <v>688</v>
      </c>
      <c r="B166"/>
      <c r="C166"/>
      <c r="D166"/>
      <c r="E166"/>
      <c r="F166"/>
      <c r="G166"/>
      <c r="H166"/>
      <c r="I166"/>
      <c r="J166"/>
      <c r="K166" s="217"/>
      <c r="L166" s="75"/>
      <c r="AC166" s="248" t="s">
        <v>779</v>
      </c>
      <c r="AD166" s="55"/>
      <c r="AE166" s="55"/>
      <c r="AF166" s="55"/>
      <c r="AG166" s="55"/>
      <c r="AH166" s="55"/>
      <c r="AI166" s="55"/>
      <c r="AJ166" s="55"/>
      <c r="AK166" s="55"/>
      <c r="AL166" s="55"/>
      <c r="AM166" s="55"/>
      <c r="AN166" s="241"/>
      <c r="AO166" s="241"/>
    </row>
    <row r="167" spans="1:41" s="50" customFormat="1" x14ac:dyDescent="0.35">
      <c r="A167" s="75" t="s">
        <v>689</v>
      </c>
      <c r="B167" s="55"/>
      <c r="C167" s="55"/>
      <c r="D167" s="55"/>
      <c r="E167" s="55"/>
      <c r="F167" s="55"/>
      <c r="G167" s="55"/>
      <c r="H167" s="55"/>
      <c r="I167" s="55"/>
      <c r="J167" s="55"/>
      <c r="K167" s="224"/>
      <c r="N167" s="222"/>
      <c r="U167" s="75"/>
      <c r="V167" s="75"/>
      <c r="AC167" s="248" t="s">
        <v>780</v>
      </c>
      <c r="AD167" s="55"/>
      <c r="AE167" s="55"/>
      <c r="AF167" s="55"/>
      <c r="AG167" s="55"/>
      <c r="AH167" s="55"/>
      <c r="AI167" s="55"/>
      <c r="AJ167" s="55"/>
      <c r="AK167" s="55"/>
      <c r="AL167" s="55"/>
      <c r="AM167" s="55"/>
      <c r="AN167" s="241"/>
      <c r="AO167" s="241"/>
    </row>
    <row r="168" spans="1:41" ht="14.25" x14ac:dyDescent="0.45">
      <c r="A168" s="75" t="s">
        <v>690</v>
      </c>
      <c r="B168"/>
      <c r="C168"/>
      <c r="D168"/>
      <c r="E168"/>
      <c r="F168"/>
      <c r="G168"/>
      <c r="H168"/>
      <c r="I168"/>
      <c r="J168"/>
      <c r="K168" s="217"/>
      <c r="L168" s="75"/>
      <c r="U168" s="50"/>
      <c r="V168" s="50"/>
      <c r="AC168" s="248" t="s">
        <v>781</v>
      </c>
      <c r="AD168" s="55"/>
      <c r="AE168" s="55"/>
      <c r="AF168" s="55"/>
      <c r="AG168" s="55"/>
      <c r="AH168" s="55"/>
      <c r="AI168" s="55"/>
      <c r="AJ168" s="55"/>
      <c r="AK168" s="55"/>
      <c r="AL168" s="55"/>
      <c r="AM168" s="55"/>
      <c r="AN168" s="241"/>
      <c r="AO168" s="241"/>
    </row>
    <row r="169" spans="1:41" ht="14.25" x14ac:dyDescent="0.45">
      <c r="A169" s="75" t="s">
        <v>691</v>
      </c>
      <c r="B169"/>
      <c r="C169"/>
      <c r="D169"/>
      <c r="E169"/>
      <c r="F169"/>
      <c r="G169"/>
      <c r="H169"/>
      <c r="I169"/>
      <c r="J169"/>
      <c r="K169" s="217"/>
      <c r="L169" s="75"/>
      <c r="AC169" s="248" t="s">
        <v>782</v>
      </c>
      <c r="AD169" s="55"/>
      <c r="AE169" s="55"/>
      <c r="AF169" s="55"/>
      <c r="AG169" s="55"/>
      <c r="AH169" s="55"/>
      <c r="AI169" s="55"/>
      <c r="AJ169" s="55"/>
      <c r="AK169" s="55"/>
      <c r="AL169" s="55"/>
      <c r="AM169" s="55"/>
      <c r="AN169" s="241"/>
      <c r="AO169" s="241"/>
    </row>
    <row r="170" spans="1:41" ht="14.25" x14ac:dyDescent="0.45">
      <c r="A170" s="75" t="s">
        <v>692</v>
      </c>
      <c r="B170"/>
      <c r="C170"/>
      <c r="D170"/>
      <c r="E170"/>
      <c r="F170"/>
      <c r="G170"/>
      <c r="H170"/>
      <c r="I170"/>
      <c r="J170"/>
      <c r="K170" s="217"/>
      <c r="L170" s="75"/>
      <c r="AC170" s="248" t="s">
        <v>783</v>
      </c>
      <c r="AD170" s="55"/>
      <c r="AE170" s="55"/>
      <c r="AF170" s="55"/>
      <c r="AG170" s="55"/>
      <c r="AH170" s="55"/>
      <c r="AI170" s="55"/>
      <c r="AJ170" s="55"/>
      <c r="AK170" s="55"/>
      <c r="AL170" s="55"/>
      <c r="AM170" s="55"/>
      <c r="AN170" s="241"/>
      <c r="AO170" s="241"/>
    </row>
    <row r="171" spans="1:41" ht="14.25" x14ac:dyDescent="0.45">
      <c r="A171" s="75" t="s">
        <v>693</v>
      </c>
      <c r="B171"/>
      <c r="C171"/>
      <c r="D171"/>
      <c r="E171"/>
      <c r="F171"/>
      <c r="G171"/>
      <c r="H171"/>
      <c r="I171"/>
      <c r="J171"/>
      <c r="K171" s="217"/>
      <c r="L171" s="75"/>
      <c r="AC171" s="248" t="s">
        <v>784</v>
      </c>
      <c r="AD171" s="55"/>
      <c r="AE171" s="55"/>
      <c r="AF171" s="55"/>
      <c r="AG171" s="55"/>
      <c r="AH171" s="55"/>
      <c r="AI171" s="55"/>
      <c r="AJ171" s="55"/>
      <c r="AK171" s="55"/>
      <c r="AL171" s="55"/>
      <c r="AM171" s="55"/>
      <c r="AN171" s="241"/>
      <c r="AO171" s="241"/>
    </row>
    <row r="172" spans="1:41" ht="14.25" x14ac:dyDescent="0.45">
      <c r="A172" s="75" t="s">
        <v>694</v>
      </c>
      <c r="B172"/>
      <c r="C172"/>
      <c r="D172"/>
      <c r="E172"/>
      <c r="F172"/>
      <c r="G172"/>
      <c r="H172"/>
      <c r="I172"/>
      <c r="J172"/>
      <c r="K172" s="217"/>
      <c r="L172" s="75"/>
      <c r="AC172" s="248" t="s">
        <v>785</v>
      </c>
      <c r="AD172" s="55"/>
      <c r="AE172" s="55"/>
      <c r="AF172" s="55"/>
      <c r="AG172" s="55"/>
      <c r="AH172" s="55"/>
      <c r="AI172" s="55"/>
      <c r="AJ172" s="55"/>
      <c r="AK172" s="55"/>
      <c r="AL172" s="55"/>
      <c r="AM172" s="55"/>
      <c r="AN172" s="241"/>
      <c r="AO172" s="241"/>
    </row>
    <row r="173" spans="1:41" ht="14.25" x14ac:dyDescent="0.45">
      <c r="A173" s="75" t="s">
        <v>695</v>
      </c>
      <c r="B173"/>
      <c r="C173"/>
      <c r="D173"/>
      <c r="E173"/>
      <c r="F173"/>
      <c r="G173"/>
      <c r="H173"/>
      <c r="I173"/>
      <c r="J173"/>
      <c r="K173" s="217"/>
      <c r="L173" s="75"/>
      <c r="AC173" s="248" t="s">
        <v>786</v>
      </c>
      <c r="AD173" s="55"/>
      <c r="AE173" s="55"/>
      <c r="AF173" s="55"/>
      <c r="AG173" s="55"/>
      <c r="AH173" s="55"/>
      <c r="AI173" s="55"/>
      <c r="AJ173" s="55"/>
      <c r="AK173" s="55"/>
      <c r="AL173" s="55"/>
      <c r="AM173" s="55"/>
      <c r="AN173" s="241"/>
      <c r="AO173" s="241"/>
    </row>
    <row r="174" spans="1:41" s="50" customFormat="1" x14ac:dyDescent="0.35">
      <c r="A174" s="75" t="s">
        <v>696</v>
      </c>
      <c r="B174" s="55"/>
      <c r="C174" s="55"/>
      <c r="D174" s="55"/>
      <c r="E174" s="55"/>
      <c r="F174" s="55"/>
      <c r="G174" s="55"/>
      <c r="H174" s="55"/>
      <c r="I174" s="55"/>
      <c r="J174" s="55"/>
      <c r="K174" s="224"/>
      <c r="N174" s="222"/>
      <c r="U174" s="75"/>
      <c r="V174" s="75"/>
      <c r="AC174" s="248" t="s">
        <v>787</v>
      </c>
      <c r="AD174" s="55"/>
      <c r="AE174" s="55"/>
      <c r="AF174" s="55"/>
      <c r="AG174" s="55"/>
      <c r="AH174" s="55"/>
      <c r="AI174" s="55"/>
      <c r="AJ174" s="55"/>
      <c r="AK174" s="55"/>
      <c r="AL174" s="55"/>
      <c r="AM174" s="55"/>
      <c r="AN174" s="241"/>
      <c r="AO174" s="241"/>
    </row>
    <row r="175" spans="1:41" ht="14.25" x14ac:dyDescent="0.45">
      <c r="A175" s="75" t="s">
        <v>697</v>
      </c>
      <c r="B175"/>
      <c r="C175"/>
      <c r="D175"/>
      <c r="E175"/>
      <c r="F175"/>
      <c r="G175"/>
      <c r="H175"/>
      <c r="I175"/>
      <c r="J175"/>
      <c r="K175" s="217"/>
      <c r="L175" s="75"/>
      <c r="U175" s="50"/>
      <c r="V175" s="50"/>
      <c r="AC175" s="248" t="s">
        <v>788</v>
      </c>
      <c r="AD175" s="55"/>
      <c r="AE175" s="55"/>
      <c r="AF175" s="55"/>
      <c r="AG175" s="55"/>
      <c r="AH175" s="55"/>
      <c r="AI175" s="55"/>
      <c r="AJ175" s="55"/>
      <c r="AK175" s="55"/>
      <c r="AL175" s="55"/>
      <c r="AM175" s="55"/>
      <c r="AN175" s="241"/>
      <c r="AO175" s="241"/>
    </row>
    <row r="176" spans="1:41" s="50" customFormat="1" x14ac:dyDescent="0.35">
      <c r="A176" s="75" t="s">
        <v>698</v>
      </c>
      <c r="B176" s="55"/>
      <c r="C176" s="55"/>
      <c r="D176" s="55"/>
      <c r="E176" s="55"/>
      <c r="F176" s="55"/>
      <c r="G176" s="55"/>
      <c r="H176" s="55"/>
      <c r="I176" s="55"/>
      <c r="J176" s="55"/>
      <c r="K176" s="224"/>
      <c r="N176" s="222"/>
      <c r="U176" s="75"/>
      <c r="V176" s="75"/>
      <c r="AC176" s="248" t="s">
        <v>789</v>
      </c>
      <c r="AD176" s="55"/>
      <c r="AE176" s="55"/>
      <c r="AF176" s="55"/>
      <c r="AG176" s="55"/>
      <c r="AH176" s="241"/>
      <c r="AI176" s="55"/>
      <c r="AJ176" s="55"/>
      <c r="AK176" s="55"/>
      <c r="AL176" s="55"/>
      <c r="AM176" s="55"/>
      <c r="AN176" s="241"/>
      <c r="AO176" s="241"/>
    </row>
    <row r="177" spans="1:41" ht="14.25" x14ac:dyDescent="0.45">
      <c r="A177" s="75" t="s">
        <v>699</v>
      </c>
      <c r="B177"/>
      <c r="C177"/>
      <c r="D177"/>
      <c r="E177"/>
      <c r="F177"/>
      <c r="G177"/>
      <c r="H177"/>
      <c r="I177"/>
      <c r="J177"/>
      <c r="K177" s="217"/>
      <c r="L177" s="75"/>
      <c r="U177" s="50"/>
      <c r="V177" s="50"/>
      <c r="AC177" s="248" t="s">
        <v>790</v>
      </c>
      <c r="AD177" s="55"/>
      <c r="AE177" s="55"/>
      <c r="AF177" s="55"/>
      <c r="AG177" s="55"/>
      <c r="AH177" s="55"/>
      <c r="AI177" s="55"/>
      <c r="AJ177" s="55"/>
      <c r="AK177" s="55"/>
      <c r="AL177" s="55"/>
      <c r="AM177" s="55"/>
      <c r="AN177" s="241"/>
      <c r="AO177" s="241"/>
    </row>
    <row r="178" spans="1:41" s="50" customFormat="1" x14ac:dyDescent="0.35">
      <c r="A178" s="75" t="s">
        <v>700</v>
      </c>
      <c r="B178" s="55"/>
      <c r="C178" s="55"/>
      <c r="D178" s="55"/>
      <c r="E178" s="55"/>
      <c r="F178" s="55"/>
      <c r="G178" s="55"/>
      <c r="H178" s="55"/>
      <c r="I178" s="55"/>
      <c r="J178" s="55"/>
      <c r="K178" s="224"/>
      <c r="N178" s="222"/>
      <c r="U178" s="75"/>
      <c r="V178" s="75"/>
      <c r="AC178" s="248" t="s">
        <v>791</v>
      </c>
      <c r="AD178" s="55"/>
      <c r="AE178" s="55"/>
      <c r="AF178" s="55"/>
      <c r="AG178" s="55"/>
      <c r="AH178" s="55"/>
      <c r="AI178" s="55"/>
      <c r="AJ178" s="55"/>
      <c r="AK178" s="55"/>
      <c r="AL178" s="55"/>
      <c r="AM178" s="55"/>
      <c r="AN178" s="241"/>
      <c r="AO178" s="241"/>
    </row>
    <row r="179" spans="1:41" ht="14.25" x14ac:dyDescent="0.45">
      <c r="A179" s="75" t="s">
        <v>701</v>
      </c>
      <c r="B179"/>
      <c r="C179"/>
      <c r="D179"/>
      <c r="E179"/>
      <c r="F179"/>
      <c r="G179"/>
      <c r="H179"/>
      <c r="I179"/>
      <c r="J179"/>
      <c r="K179" s="217"/>
      <c r="L179" s="75"/>
      <c r="U179" s="50"/>
      <c r="V179" s="50"/>
      <c r="AC179" s="248" t="s">
        <v>792</v>
      </c>
      <c r="AD179" s="55"/>
      <c r="AE179" s="55"/>
      <c r="AF179" s="55"/>
      <c r="AG179" s="55"/>
      <c r="AH179" s="55"/>
      <c r="AI179" s="55"/>
      <c r="AJ179" s="55"/>
      <c r="AK179" s="55"/>
      <c r="AL179" s="55"/>
      <c r="AM179" s="55"/>
      <c r="AN179" s="241"/>
      <c r="AO179" s="241"/>
    </row>
    <row r="180" spans="1:41" s="50" customFormat="1" x14ac:dyDescent="0.35">
      <c r="A180" s="75" t="s">
        <v>702</v>
      </c>
      <c r="B180" s="55"/>
      <c r="C180" s="55"/>
      <c r="D180" s="55"/>
      <c r="E180" s="55"/>
      <c r="F180" s="55"/>
      <c r="G180" s="55"/>
      <c r="H180" s="55"/>
      <c r="I180" s="55"/>
      <c r="J180" s="55"/>
      <c r="K180" s="224"/>
      <c r="N180" s="222"/>
      <c r="U180" s="75"/>
      <c r="V180" s="75"/>
      <c r="AC180" s="248" t="s">
        <v>793</v>
      </c>
      <c r="AD180" s="55"/>
      <c r="AE180" s="55"/>
      <c r="AF180" s="55"/>
      <c r="AG180" s="55"/>
      <c r="AH180" s="55"/>
      <c r="AI180" s="55"/>
      <c r="AJ180" s="55"/>
      <c r="AK180" s="55"/>
      <c r="AL180" s="55"/>
      <c r="AM180" s="55"/>
      <c r="AN180" s="249"/>
      <c r="AO180" s="241"/>
    </row>
    <row r="181" spans="1:41" ht="14.25" x14ac:dyDescent="0.45">
      <c r="A181" s="75" t="s">
        <v>703</v>
      </c>
      <c r="B181"/>
      <c r="C181"/>
      <c r="D181"/>
      <c r="E181"/>
      <c r="F181"/>
      <c r="G181"/>
      <c r="H181"/>
      <c r="I181"/>
      <c r="J181"/>
      <c r="K181" s="217"/>
      <c r="L181" s="75"/>
      <c r="U181" s="50"/>
      <c r="V181" s="50"/>
      <c r="AC181" s="248" t="s">
        <v>794</v>
      </c>
      <c r="AD181" s="55"/>
      <c r="AE181" s="55"/>
      <c r="AF181" s="55"/>
      <c r="AG181" s="55"/>
      <c r="AH181" s="55"/>
      <c r="AI181" s="55"/>
      <c r="AJ181" s="55"/>
      <c r="AK181" s="55"/>
      <c r="AL181" s="55"/>
      <c r="AM181" s="55"/>
      <c r="AN181" s="241"/>
      <c r="AO181" s="241"/>
    </row>
    <row r="182" spans="1:41" s="50" customFormat="1" x14ac:dyDescent="0.35">
      <c r="A182" s="75" t="s">
        <v>704</v>
      </c>
      <c r="B182" s="55"/>
      <c r="C182" s="55"/>
      <c r="D182" s="55"/>
      <c r="E182" s="55"/>
      <c r="F182" s="55"/>
      <c r="G182" s="55"/>
      <c r="H182" s="55"/>
      <c r="I182" s="55"/>
      <c r="J182" s="55"/>
      <c r="K182" s="224"/>
      <c r="N182" s="222"/>
      <c r="U182" s="75"/>
      <c r="V182" s="75"/>
      <c r="AC182" s="248" t="s">
        <v>795</v>
      </c>
      <c r="AD182" s="55"/>
      <c r="AE182" s="55"/>
      <c r="AF182" s="55"/>
      <c r="AG182" s="55"/>
      <c r="AH182" s="55"/>
      <c r="AI182" s="55"/>
      <c r="AJ182" s="55"/>
      <c r="AK182" s="55"/>
      <c r="AL182" s="55"/>
      <c r="AM182" s="55"/>
      <c r="AN182" s="241"/>
      <c r="AO182" s="241"/>
    </row>
    <row r="183" spans="1:41" ht="14.25" x14ac:dyDescent="0.45">
      <c r="A183" s="75" t="s">
        <v>705</v>
      </c>
      <c r="B183"/>
      <c r="C183"/>
      <c r="D183"/>
      <c r="E183"/>
      <c r="F183"/>
      <c r="G183"/>
      <c r="H183"/>
      <c r="I183"/>
      <c r="J183"/>
      <c r="K183" s="217"/>
      <c r="L183" s="75"/>
      <c r="U183" s="50"/>
      <c r="V183" s="50"/>
      <c r="AC183" s="248" t="s">
        <v>796</v>
      </c>
      <c r="AD183" s="55"/>
      <c r="AE183" s="55"/>
      <c r="AF183" s="55"/>
      <c r="AG183" s="55"/>
      <c r="AH183" s="55"/>
      <c r="AI183" s="55"/>
      <c r="AJ183" s="55"/>
      <c r="AK183" s="55"/>
      <c r="AL183" s="55"/>
      <c r="AM183" s="55"/>
      <c r="AN183" s="250"/>
      <c r="AO183" s="250"/>
    </row>
    <row r="184" spans="1:41" s="50" customFormat="1" x14ac:dyDescent="0.35">
      <c r="A184" s="75" t="s">
        <v>706</v>
      </c>
      <c r="B184" s="55"/>
      <c r="C184" s="55"/>
      <c r="D184" s="55"/>
      <c r="E184" s="55"/>
      <c r="F184" s="55"/>
      <c r="G184" s="55"/>
      <c r="H184" s="55"/>
      <c r="I184" s="55"/>
      <c r="J184" s="55"/>
      <c r="K184" s="224"/>
      <c r="N184" s="222"/>
      <c r="U184" s="75"/>
      <c r="V184" s="75"/>
      <c r="AC184" s="248" t="s">
        <v>797</v>
      </c>
      <c r="AD184" s="55"/>
      <c r="AE184" s="55"/>
      <c r="AF184" s="55"/>
      <c r="AG184" s="55"/>
      <c r="AH184" s="55"/>
      <c r="AI184" s="55"/>
      <c r="AJ184" s="55"/>
      <c r="AK184" s="55"/>
      <c r="AL184" s="55"/>
      <c r="AM184" s="55"/>
      <c r="AN184" s="250"/>
      <c r="AO184" s="250"/>
    </row>
    <row r="185" spans="1:41" ht="14.25" x14ac:dyDescent="0.45">
      <c r="A185" s="75" t="s">
        <v>707</v>
      </c>
      <c r="B185"/>
      <c r="C185"/>
      <c r="D185"/>
      <c r="E185"/>
      <c r="F185"/>
      <c r="G185"/>
      <c r="H185"/>
      <c r="I185"/>
      <c r="J185"/>
      <c r="K185" s="217"/>
      <c r="L185" s="75"/>
      <c r="U185" s="50"/>
      <c r="V185" s="50"/>
      <c r="AC185" s="248" t="s">
        <v>798</v>
      </c>
      <c r="AD185" s="55"/>
      <c r="AE185" s="55"/>
      <c r="AF185" s="55"/>
      <c r="AG185" s="55"/>
      <c r="AH185" s="55"/>
      <c r="AI185" s="55"/>
      <c r="AJ185" s="55"/>
      <c r="AK185" s="55"/>
      <c r="AL185" s="55"/>
      <c r="AM185" s="55"/>
      <c r="AN185" s="250"/>
      <c r="AO185" s="250"/>
    </row>
    <row r="186" spans="1:41" s="50" customFormat="1" x14ac:dyDescent="0.35">
      <c r="A186" s="75" t="s">
        <v>708</v>
      </c>
      <c r="B186" s="55"/>
      <c r="C186" s="55"/>
      <c r="D186" s="55"/>
      <c r="E186" s="55"/>
      <c r="F186" s="55"/>
      <c r="G186" s="55"/>
      <c r="H186" s="55"/>
      <c r="I186" s="55"/>
      <c r="J186" s="55"/>
      <c r="K186" s="224"/>
      <c r="N186" s="222"/>
      <c r="U186" s="75"/>
      <c r="V186" s="75"/>
      <c r="AC186" s="139" t="s">
        <v>799</v>
      </c>
      <c r="AD186" s="55"/>
      <c r="AE186" s="55"/>
      <c r="AF186" s="55"/>
      <c r="AG186" s="55"/>
      <c r="AH186" s="55"/>
      <c r="AI186" s="55"/>
      <c r="AJ186" s="55"/>
      <c r="AK186" s="55"/>
      <c r="AL186" s="55"/>
      <c r="AM186" s="55"/>
      <c r="AN186" s="241"/>
      <c r="AO186" s="241"/>
    </row>
    <row r="187" spans="1:41" ht="14.25" x14ac:dyDescent="0.45">
      <c r="A187" s="75" t="s">
        <v>709</v>
      </c>
      <c r="B187"/>
      <c r="C187"/>
      <c r="D187"/>
      <c r="E187"/>
      <c r="F187"/>
      <c r="G187"/>
      <c r="H187"/>
      <c r="I187"/>
      <c r="J187"/>
      <c r="K187" s="217"/>
      <c r="L187" s="75"/>
      <c r="U187" s="50"/>
      <c r="V187" s="50"/>
      <c r="AC187" s="248" t="s">
        <v>800</v>
      </c>
      <c r="AD187" s="55"/>
      <c r="AE187" s="55"/>
      <c r="AF187" s="55"/>
      <c r="AG187" s="55"/>
      <c r="AH187" s="55"/>
      <c r="AI187" s="55"/>
      <c r="AJ187" s="55"/>
      <c r="AK187" s="55"/>
      <c r="AL187" s="55"/>
      <c r="AM187" s="55"/>
      <c r="AN187" s="1457"/>
      <c r="AO187" s="1457"/>
    </row>
    <row r="188" spans="1:41" s="50" customFormat="1" x14ac:dyDescent="0.35">
      <c r="A188" s="75" t="s">
        <v>710</v>
      </c>
      <c r="B188" s="55"/>
      <c r="C188" s="55"/>
      <c r="D188" s="55"/>
      <c r="E188" s="55"/>
      <c r="F188" s="55"/>
      <c r="G188" s="55"/>
      <c r="H188" s="55"/>
      <c r="I188" s="55"/>
      <c r="J188" s="55"/>
      <c r="K188" s="224"/>
      <c r="N188" s="222"/>
      <c r="U188" s="75"/>
      <c r="V188" s="75"/>
      <c r="AC188" s="248" t="s">
        <v>801</v>
      </c>
      <c r="AD188" s="55"/>
      <c r="AE188" s="55"/>
      <c r="AF188" s="55"/>
      <c r="AG188" s="55"/>
      <c r="AH188" s="55"/>
      <c r="AI188" s="55"/>
      <c r="AJ188" s="55"/>
      <c r="AK188" s="55"/>
      <c r="AL188" s="55"/>
      <c r="AM188" s="55"/>
      <c r="AN188" s="250"/>
      <c r="AO188" s="250"/>
    </row>
    <row r="189" spans="1:41" ht="14.25" x14ac:dyDescent="0.45">
      <c r="A189" s="138" t="s">
        <v>711</v>
      </c>
      <c r="B189"/>
      <c r="C189"/>
      <c r="D189"/>
      <c r="E189"/>
      <c r="F189"/>
      <c r="G189"/>
      <c r="H189"/>
      <c r="I189"/>
      <c r="J189"/>
      <c r="K189" s="217"/>
      <c r="L189" s="75"/>
      <c r="U189" s="50"/>
      <c r="V189" s="50"/>
      <c r="AC189" s="248" t="s">
        <v>802</v>
      </c>
      <c r="AD189" s="55"/>
      <c r="AE189" s="55"/>
      <c r="AF189" s="55"/>
      <c r="AG189" s="55"/>
      <c r="AH189" s="55"/>
      <c r="AI189" s="55"/>
      <c r="AJ189" s="55"/>
      <c r="AK189" s="55"/>
      <c r="AL189" s="55"/>
      <c r="AM189" s="55"/>
      <c r="AN189" s="251"/>
      <c r="AO189" s="251"/>
    </row>
    <row r="190" spans="1:41" ht="14.25" x14ac:dyDescent="0.45">
      <c r="A190" s="138" t="s">
        <v>712</v>
      </c>
      <c r="B190"/>
      <c r="C190"/>
      <c r="D190"/>
      <c r="E190"/>
      <c r="F190"/>
      <c r="G190"/>
      <c r="H190"/>
      <c r="I190"/>
      <c r="J190"/>
      <c r="K190" s="217"/>
      <c r="L190" s="75"/>
      <c r="AC190" s="248" t="s">
        <v>803</v>
      </c>
      <c r="AD190" s="55"/>
      <c r="AE190" s="55"/>
      <c r="AF190" s="55"/>
      <c r="AG190" s="55"/>
      <c r="AH190" s="55"/>
      <c r="AI190" s="55"/>
      <c r="AJ190" s="55"/>
      <c r="AK190" s="55"/>
      <c r="AL190" s="55"/>
      <c r="AM190" s="55"/>
      <c r="AN190" s="252"/>
      <c r="AO190" s="252"/>
    </row>
    <row r="191" spans="1:41" ht="14.25" x14ac:dyDescent="0.45">
      <c r="A191" s="138" t="s">
        <v>713</v>
      </c>
      <c r="B191"/>
      <c r="C191"/>
      <c r="D191"/>
      <c r="E191"/>
      <c r="F191"/>
      <c r="G191"/>
      <c r="H191"/>
      <c r="I191"/>
      <c r="J191"/>
      <c r="K191" s="217"/>
      <c r="L191" s="75"/>
      <c r="AC191" s="248" t="s">
        <v>804</v>
      </c>
      <c r="AD191" s="55"/>
      <c r="AE191" s="55"/>
      <c r="AF191" s="55"/>
      <c r="AG191" s="55"/>
      <c r="AH191" s="55"/>
      <c r="AI191" s="55"/>
      <c r="AJ191" s="55"/>
      <c r="AK191" s="55"/>
      <c r="AL191" s="55"/>
      <c r="AM191" s="55"/>
      <c r="AN191" s="252"/>
      <c r="AO191" s="252"/>
    </row>
    <row r="192" spans="1:41" ht="14.25" x14ac:dyDescent="0.45">
      <c r="A192" s="225" t="s">
        <v>714</v>
      </c>
      <c r="B192"/>
      <c r="C192"/>
      <c r="D192"/>
      <c r="E192"/>
      <c r="F192"/>
      <c r="G192"/>
      <c r="H192"/>
      <c r="I192"/>
      <c r="J192"/>
      <c r="L192" s="81"/>
      <c r="AC192" s="248" t="s">
        <v>805</v>
      </c>
      <c r="AD192" s="55"/>
      <c r="AE192" s="55"/>
      <c r="AF192" s="55"/>
      <c r="AG192" s="55"/>
      <c r="AH192" s="55"/>
      <c r="AI192" s="55"/>
      <c r="AJ192" s="55"/>
      <c r="AK192" s="55"/>
      <c r="AL192" s="55"/>
      <c r="AM192" s="55"/>
      <c r="AN192" s="252"/>
      <c r="AO192" s="252"/>
    </row>
    <row r="193" spans="1:41" ht="14.25" x14ac:dyDescent="0.45">
      <c r="A193" s="138" t="s">
        <v>715</v>
      </c>
      <c r="B193"/>
      <c r="C193"/>
      <c r="D193"/>
      <c r="E193"/>
      <c r="F193"/>
      <c r="G193"/>
      <c r="H193"/>
      <c r="I193"/>
      <c r="J193"/>
      <c r="L193" s="81"/>
      <c r="AC193" s="248" t="s">
        <v>806</v>
      </c>
      <c r="AD193" s="55"/>
      <c r="AE193" s="55"/>
      <c r="AF193" s="55"/>
      <c r="AG193" s="55"/>
      <c r="AH193" s="55"/>
      <c r="AI193" s="55"/>
      <c r="AJ193" s="55"/>
      <c r="AK193" s="55"/>
      <c r="AL193" s="55"/>
      <c r="AM193" s="55"/>
      <c r="AN193" s="252"/>
      <c r="AO193" s="252"/>
    </row>
    <row r="194" spans="1:41" ht="14.25" x14ac:dyDescent="0.45">
      <c r="A194" s="138" t="s">
        <v>716</v>
      </c>
      <c r="B194"/>
      <c r="C194"/>
      <c r="D194"/>
      <c r="E194"/>
      <c r="F194"/>
      <c r="G194"/>
      <c r="H194"/>
      <c r="I194"/>
      <c r="J194"/>
      <c r="L194" s="81"/>
      <c r="AC194" s="248" t="s">
        <v>807</v>
      </c>
      <c r="AD194" s="55"/>
      <c r="AE194" s="55"/>
      <c r="AF194" s="55"/>
      <c r="AG194" s="55"/>
      <c r="AH194" s="55"/>
      <c r="AI194" s="55"/>
      <c r="AJ194" s="55"/>
      <c r="AK194" s="55"/>
      <c r="AL194" s="55"/>
      <c r="AM194" s="55"/>
      <c r="AN194" s="252"/>
      <c r="AO194" s="252"/>
    </row>
    <row r="195" spans="1:41" ht="14.25" x14ac:dyDescent="0.45">
      <c r="A195" s="138" t="s">
        <v>717</v>
      </c>
      <c r="B195"/>
      <c r="C195"/>
      <c r="D195"/>
      <c r="E195"/>
      <c r="F195"/>
      <c r="G195"/>
      <c r="H195"/>
      <c r="I195"/>
      <c r="J195"/>
      <c r="L195" s="81"/>
      <c r="AC195" s="139" t="s">
        <v>808</v>
      </c>
      <c r="AD195" s="55"/>
      <c r="AE195" s="55"/>
      <c r="AF195" s="55"/>
      <c r="AG195" s="55"/>
      <c r="AH195" s="55"/>
      <c r="AI195" s="55"/>
      <c r="AJ195" s="55"/>
      <c r="AK195" s="55"/>
      <c r="AL195" s="55"/>
      <c r="AM195" s="55"/>
      <c r="AN195" s="252"/>
      <c r="AO195" s="252"/>
    </row>
    <row r="196" spans="1:41" ht="14.25" x14ac:dyDescent="0.45">
      <c r="A196" s="138" t="s">
        <v>718</v>
      </c>
      <c r="B196"/>
      <c r="C196"/>
      <c r="D196"/>
      <c r="E196"/>
      <c r="F196"/>
      <c r="G196"/>
      <c r="H196"/>
      <c r="I196"/>
      <c r="J196"/>
      <c r="L196" s="81"/>
      <c r="AC196" s="248" t="s">
        <v>809</v>
      </c>
      <c r="AD196" s="55"/>
      <c r="AE196" s="55"/>
      <c r="AF196" s="55"/>
      <c r="AG196" s="55"/>
      <c r="AH196" s="55"/>
      <c r="AI196" s="55"/>
      <c r="AJ196" s="55"/>
      <c r="AK196" s="55"/>
      <c r="AL196" s="55"/>
      <c r="AM196" s="55"/>
      <c r="AN196" s="252"/>
      <c r="AO196" s="252"/>
    </row>
    <row r="197" spans="1:41" ht="14.25" x14ac:dyDescent="0.45">
      <c r="A197" s="138" t="s">
        <v>719</v>
      </c>
      <c r="B197"/>
      <c r="C197"/>
      <c r="D197"/>
      <c r="E197"/>
      <c r="F197"/>
      <c r="G197"/>
      <c r="H197"/>
      <c r="I197"/>
      <c r="J197"/>
      <c r="L197" s="81"/>
      <c r="AC197" s="55"/>
      <c r="AD197" s="55"/>
      <c r="AE197" s="55"/>
      <c r="AF197" s="55"/>
      <c r="AG197" s="55"/>
      <c r="AH197" s="55"/>
      <c r="AI197" s="55"/>
      <c r="AJ197" s="55"/>
      <c r="AK197" s="55"/>
      <c r="AL197" s="55"/>
      <c r="AM197" s="55"/>
      <c r="AN197" s="252"/>
      <c r="AO197" s="252"/>
    </row>
    <row r="198" spans="1:41" ht="14.25" x14ac:dyDescent="0.45">
      <c r="A198" s="138" t="s">
        <v>720</v>
      </c>
      <c r="B198"/>
      <c r="C198"/>
      <c r="D198"/>
      <c r="E198"/>
      <c r="F198"/>
      <c r="G198"/>
      <c r="H198"/>
      <c r="I198"/>
      <c r="J198"/>
      <c r="L198" s="81"/>
      <c r="AC198" s="55"/>
      <c r="AD198" s="55"/>
      <c r="AE198" s="55"/>
      <c r="AF198" s="55"/>
      <c r="AG198" s="55"/>
      <c r="AH198" s="55"/>
      <c r="AI198" s="55"/>
      <c r="AJ198" s="55"/>
      <c r="AK198" s="55"/>
      <c r="AL198" s="55"/>
      <c r="AM198" s="55"/>
      <c r="AN198" s="252"/>
      <c r="AO198" s="252"/>
    </row>
    <row r="199" spans="1:41" ht="14.25" x14ac:dyDescent="0.45">
      <c r="A199" s="138" t="s">
        <v>721</v>
      </c>
      <c r="B199"/>
      <c r="C199"/>
      <c r="D199"/>
      <c r="E199"/>
      <c r="F199"/>
      <c r="G199"/>
      <c r="H199"/>
      <c r="I199"/>
      <c r="J199"/>
      <c r="L199" s="81"/>
      <c r="AC199" s="55"/>
      <c r="AD199" s="55"/>
      <c r="AE199" s="55"/>
      <c r="AF199" s="55"/>
      <c r="AG199" s="55"/>
      <c r="AH199" s="55"/>
      <c r="AI199" s="55"/>
      <c r="AJ199" s="55"/>
      <c r="AK199" s="55"/>
      <c r="AL199" s="55"/>
      <c r="AM199" s="55"/>
      <c r="AN199" s="252"/>
      <c r="AO199" s="252"/>
    </row>
    <row r="200" spans="1:41" ht="14.25" x14ac:dyDescent="0.45">
      <c r="A200" s="138" t="s">
        <v>722</v>
      </c>
      <c r="B200"/>
      <c r="C200"/>
      <c r="D200"/>
      <c r="E200"/>
      <c r="F200"/>
      <c r="G200"/>
      <c r="H200"/>
      <c r="I200"/>
      <c r="J200"/>
      <c r="L200" s="81"/>
      <c r="AC200" s="55"/>
      <c r="AD200" s="55"/>
      <c r="AE200" s="55"/>
      <c r="AF200" s="55"/>
      <c r="AG200" s="55"/>
      <c r="AH200" s="55"/>
      <c r="AI200" s="55"/>
      <c r="AJ200" s="55"/>
      <c r="AK200" s="55"/>
      <c r="AL200" s="55"/>
      <c r="AM200" s="55"/>
      <c r="AN200" s="252"/>
      <c r="AO200" s="252"/>
    </row>
    <row r="201" spans="1:41" ht="14.25" x14ac:dyDescent="0.45">
      <c r="A201" s="138" t="s">
        <v>723</v>
      </c>
      <c r="B201"/>
      <c r="C201"/>
      <c r="D201"/>
      <c r="E201"/>
      <c r="F201"/>
      <c r="G201"/>
      <c r="H201"/>
      <c r="I201"/>
      <c r="J201"/>
      <c r="L201" s="81"/>
      <c r="AC201" s="55"/>
      <c r="AD201" s="55"/>
      <c r="AE201" s="55"/>
      <c r="AF201" s="55"/>
      <c r="AG201" s="55"/>
      <c r="AH201" s="55"/>
      <c r="AI201" s="55"/>
      <c r="AJ201" s="55"/>
      <c r="AK201" s="55"/>
      <c r="AL201" s="55"/>
      <c r="AM201" s="55"/>
      <c r="AN201" s="252"/>
      <c r="AO201" s="252"/>
    </row>
    <row r="202" spans="1:41" ht="14.25" x14ac:dyDescent="0.45">
      <c r="A202" s="138" t="s">
        <v>724</v>
      </c>
      <c r="B202"/>
      <c r="C202"/>
      <c r="D202"/>
      <c r="E202"/>
      <c r="F202"/>
      <c r="G202"/>
      <c r="H202"/>
      <c r="I202"/>
      <c r="J202"/>
      <c r="L202" s="81"/>
      <c r="AC202" s="55"/>
      <c r="AD202" s="55"/>
      <c r="AE202" s="55"/>
      <c r="AF202" s="55"/>
      <c r="AG202" s="55"/>
      <c r="AH202" s="55"/>
      <c r="AI202" s="55"/>
      <c r="AJ202" s="55"/>
      <c r="AK202" s="55"/>
      <c r="AL202" s="55"/>
      <c r="AM202" s="55"/>
      <c r="AN202" s="252"/>
      <c r="AO202" s="252"/>
    </row>
    <row r="203" spans="1:41" ht="14.25" x14ac:dyDescent="0.45">
      <c r="A203" s="138" t="s">
        <v>725</v>
      </c>
      <c r="B203"/>
      <c r="C203"/>
      <c r="D203"/>
      <c r="E203"/>
      <c r="F203"/>
      <c r="G203"/>
      <c r="H203"/>
      <c r="I203"/>
      <c r="J203"/>
      <c r="L203" s="81"/>
      <c r="AC203" s="55"/>
      <c r="AD203" s="55"/>
      <c r="AE203" s="55"/>
      <c r="AF203" s="55"/>
      <c r="AG203" s="55"/>
      <c r="AH203" s="55"/>
      <c r="AI203" s="55"/>
      <c r="AJ203" s="55"/>
      <c r="AK203" s="55"/>
      <c r="AL203" s="55"/>
      <c r="AM203" s="55"/>
      <c r="AN203" s="253"/>
      <c r="AO203" s="253"/>
    </row>
    <row r="204" spans="1:41" ht="14.25" x14ac:dyDescent="0.45">
      <c r="A204" s="138" t="s">
        <v>726</v>
      </c>
      <c r="B204"/>
      <c r="C204"/>
      <c r="D204"/>
      <c r="E204"/>
      <c r="F204"/>
      <c r="G204"/>
      <c r="H204"/>
      <c r="I204"/>
      <c r="J204"/>
      <c r="L204" s="81"/>
      <c r="AC204" s="55"/>
      <c r="AD204" s="55"/>
      <c r="AE204" s="55"/>
      <c r="AF204" s="55"/>
      <c r="AG204" s="55"/>
      <c r="AH204" s="55"/>
      <c r="AI204" s="55"/>
      <c r="AJ204" s="55"/>
      <c r="AK204" s="55"/>
      <c r="AL204" s="55"/>
      <c r="AM204" s="55"/>
      <c r="AN204" s="252"/>
      <c r="AO204" s="252"/>
    </row>
    <row r="205" spans="1:41" ht="14.25" x14ac:dyDescent="0.45">
      <c r="A205" s="138" t="s">
        <v>727</v>
      </c>
      <c r="B205"/>
      <c r="C205"/>
      <c r="D205"/>
      <c r="E205"/>
      <c r="F205"/>
      <c r="G205"/>
      <c r="H205"/>
      <c r="I205"/>
      <c r="J205"/>
      <c r="L205" s="81"/>
      <c r="AC205" s="55"/>
      <c r="AD205" s="55"/>
      <c r="AE205" s="55"/>
      <c r="AF205" s="55"/>
      <c r="AG205" s="55"/>
      <c r="AH205" s="55"/>
      <c r="AI205" s="55"/>
      <c r="AJ205" s="55"/>
      <c r="AK205" s="55"/>
      <c r="AL205" s="55"/>
      <c r="AM205" s="55"/>
      <c r="AN205" s="252"/>
      <c r="AO205" s="252"/>
    </row>
    <row r="206" spans="1:41" ht="14.25" x14ac:dyDescent="0.45">
      <c r="A206" s="138" t="s">
        <v>728</v>
      </c>
      <c r="B206"/>
      <c r="C206"/>
      <c r="D206"/>
      <c r="E206"/>
      <c r="F206"/>
      <c r="G206"/>
      <c r="H206"/>
      <c r="I206"/>
      <c r="J206"/>
      <c r="L206" s="81"/>
    </row>
    <row r="207" spans="1:41" ht="14.25" x14ac:dyDescent="0.45">
      <c r="A207" s="138" t="s">
        <v>729</v>
      </c>
      <c r="B207"/>
      <c r="C207"/>
      <c r="D207"/>
      <c r="E207"/>
      <c r="F207"/>
      <c r="G207"/>
      <c r="H207"/>
      <c r="I207"/>
      <c r="J207"/>
      <c r="L207" s="81"/>
    </row>
    <row r="208" spans="1:41" ht="14.25" x14ac:dyDescent="0.45">
      <c r="A208" s="138" t="s">
        <v>730</v>
      </c>
      <c r="B208"/>
      <c r="C208"/>
      <c r="D208"/>
      <c r="E208"/>
      <c r="F208"/>
      <c r="G208"/>
      <c r="H208"/>
      <c r="I208"/>
      <c r="J208"/>
      <c r="L208" s="81"/>
    </row>
    <row r="209" spans="1:14" ht="14.25" x14ac:dyDescent="0.45">
      <c r="A209" t="s">
        <v>731</v>
      </c>
      <c r="B209"/>
      <c r="C209"/>
      <c r="D209"/>
      <c r="E209"/>
      <c r="F209"/>
      <c r="G209"/>
      <c r="H209"/>
      <c r="I209"/>
      <c r="J209"/>
      <c r="L209" s="81"/>
      <c r="N209" s="75"/>
    </row>
    <row r="210" spans="1:14" ht="14.25" x14ac:dyDescent="0.45">
      <c r="A210" t="s">
        <v>732</v>
      </c>
      <c r="B210"/>
      <c r="C210"/>
      <c r="D210"/>
      <c r="E210"/>
      <c r="F210"/>
      <c r="G210"/>
      <c r="H210"/>
      <c r="I210"/>
      <c r="J210"/>
      <c r="L210" s="81"/>
      <c r="N210" s="75"/>
    </row>
    <row r="211" spans="1:14" ht="14.25" x14ac:dyDescent="0.45">
      <c r="A211" t="s">
        <v>733</v>
      </c>
      <c r="B211"/>
      <c r="C211"/>
      <c r="D211"/>
      <c r="E211"/>
      <c r="F211"/>
      <c r="G211"/>
      <c r="H211"/>
      <c r="I211"/>
      <c r="J211"/>
      <c r="L211" s="81"/>
      <c r="N211" s="75"/>
    </row>
    <row r="212" spans="1:14" ht="14.25" x14ac:dyDescent="0.45">
      <c r="A212" t="s">
        <v>734</v>
      </c>
      <c r="B212"/>
      <c r="C212"/>
      <c r="D212"/>
      <c r="E212"/>
      <c r="F212"/>
      <c r="G212"/>
      <c r="H212"/>
      <c r="I212"/>
      <c r="J212"/>
      <c r="L212" s="81"/>
      <c r="N212" s="75"/>
    </row>
    <row r="213" spans="1:14" ht="14.25" x14ac:dyDescent="0.45">
      <c r="A213" t="s">
        <v>735</v>
      </c>
      <c r="B213"/>
      <c r="C213"/>
      <c r="D213"/>
      <c r="E213"/>
      <c r="F213"/>
      <c r="G213"/>
      <c r="H213"/>
      <c r="I213"/>
      <c r="J213"/>
      <c r="L213" s="81"/>
      <c r="N213" s="75"/>
    </row>
    <row r="214" spans="1:14" ht="14.25" x14ac:dyDescent="0.45">
      <c r="A214" s="226" t="s">
        <v>736</v>
      </c>
      <c r="B214"/>
      <c r="C214"/>
      <c r="D214"/>
      <c r="E214"/>
      <c r="F214"/>
      <c r="G214"/>
      <c r="H214"/>
      <c r="I214"/>
      <c r="J214"/>
      <c r="L214" s="81"/>
      <c r="N214" s="75"/>
    </row>
    <row r="215" spans="1:14" ht="14.25" x14ac:dyDescent="0.45">
      <c r="A215"/>
      <c r="B215"/>
      <c r="C215"/>
      <c r="D215"/>
      <c r="E215"/>
      <c r="F215"/>
      <c r="G215"/>
      <c r="H215"/>
      <c r="I215"/>
      <c r="J215"/>
      <c r="L215" s="81"/>
      <c r="N215" s="75"/>
    </row>
    <row r="216" spans="1:14" ht="14.25" x14ac:dyDescent="0.45">
      <c r="A216"/>
      <c r="B216"/>
      <c r="C216"/>
      <c r="D216"/>
      <c r="E216"/>
      <c r="F216"/>
      <c r="G216"/>
      <c r="H216"/>
      <c r="I216"/>
      <c r="J216"/>
      <c r="L216" s="81"/>
      <c r="N216" s="75"/>
    </row>
    <row r="217" spans="1:14" ht="14.25" x14ac:dyDescent="0.45">
      <c r="A217"/>
      <c r="B217"/>
      <c r="C217"/>
      <c r="D217"/>
      <c r="E217"/>
      <c r="F217"/>
      <c r="G217"/>
      <c r="H217"/>
      <c r="I217"/>
      <c r="J217"/>
      <c r="L217" s="81"/>
      <c r="N217" s="75"/>
    </row>
    <row r="218" spans="1:14" ht="14.25" x14ac:dyDescent="0.45">
      <c r="A218"/>
      <c r="B218"/>
      <c r="C218"/>
      <c r="D218"/>
      <c r="E218"/>
      <c r="F218"/>
      <c r="G218"/>
      <c r="H218"/>
      <c r="I218"/>
      <c r="J218"/>
      <c r="L218" s="81"/>
      <c r="N218" s="75"/>
    </row>
    <row r="219" spans="1:14" ht="14.25" x14ac:dyDescent="0.45">
      <c r="A219"/>
      <c r="B219"/>
      <c r="C219"/>
      <c r="D219"/>
      <c r="E219"/>
      <c r="F219"/>
      <c r="G219"/>
      <c r="H219"/>
      <c r="I219"/>
      <c r="J219"/>
      <c r="L219" s="81"/>
      <c r="N219" s="75"/>
    </row>
    <row r="220" spans="1:14" ht="14.25" x14ac:dyDescent="0.45">
      <c r="A220"/>
      <c r="B220"/>
      <c r="C220"/>
      <c r="D220"/>
      <c r="E220"/>
      <c r="F220"/>
      <c r="G220"/>
      <c r="H220"/>
      <c r="I220"/>
      <c r="J220"/>
      <c r="L220" s="81"/>
      <c r="N220" s="75"/>
    </row>
    <row r="221" spans="1:14" ht="14.25" x14ac:dyDescent="0.45">
      <c r="A221"/>
      <c r="B221"/>
      <c r="C221"/>
      <c r="D221"/>
      <c r="E221"/>
      <c r="F221"/>
      <c r="G221"/>
      <c r="H221"/>
      <c r="I221"/>
      <c r="J221"/>
      <c r="L221" s="81"/>
      <c r="N221" s="75"/>
    </row>
    <row r="222" spans="1:14" ht="14.25" x14ac:dyDescent="0.45">
      <c r="A222"/>
      <c r="B222"/>
      <c r="C222"/>
      <c r="D222"/>
      <c r="E222"/>
      <c r="F222"/>
      <c r="G222"/>
      <c r="H222"/>
      <c r="I222"/>
      <c r="J222"/>
      <c r="L222" s="81"/>
      <c r="N222" s="75"/>
    </row>
    <row r="223" spans="1:14" ht="14.25" x14ac:dyDescent="0.45">
      <c r="A223"/>
      <c r="B223"/>
      <c r="C223"/>
      <c r="D223"/>
      <c r="E223"/>
      <c r="F223"/>
      <c r="G223"/>
      <c r="H223"/>
      <c r="I223"/>
      <c r="J223"/>
      <c r="L223" s="81"/>
      <c r="N223" s="75"/>
    </row>
    <row r="224" spans="1:14" ht="14.25" x14ac:dyDescent="0.45">
      <c r="A224"/>
      <c r="B224"/>
      <c r="C224"/>
      <c r="D224"/>
      <c r="E224"/>
      <c r="F224"/>
      <c r="G224"/>
      <c r="H224"/>
      <c r="I224"/>
      <c r="J224"/>
      <c r="L224" s="81"/>
      <c r="N224" s="75"/>
    </row>
    <row r="225" spans="1:14" ht="14.25" x14ac:dyDescent="0.45">
      <c r="A225"/>
      <c r="B225"/>
      <c r="C225"/>
      <c r="D225"/>
      <c r="E225"/>
      <c r="F225"/>
      <c r="G225"/>
      <c r="H225"/>
      <c r="I225"/>
      <c r="J225"/>
      <c r="L225" s="81"/>
      <c r="N225" s="75"/>
    </row>
    <row r="226" spans="1:14" ht="14.25" x14ac:dyDescent="0.45">
      <c r="A226"/>
      <c r="B226"/>
      <c r="C226"/>
      <c r="D226"/>
      <c r="E226"/>
      <c r="F226"/>
      <c r="G226"/>
      <c r="H226"/>
      <c r="I226"/>
      <c r="J226"/>
      <c r="L226" s="81"/>
      <c r="N226" s="75"/>
    </row>
    <row r="227" spans="1:14" ht="14.25" x14ac:dyDescent="0.45">
      <c r="A227"/>
      <c r="B227"/>
      <c r="C227"/>
      <c r="D227"/>
      <c r="E227"/>
      <c r="F227"/>
      <c r="G227"/>
      <c r="H227"/>
      <c r="I227"/>
      <c r="J227"/>
      <c r="L227" s="81"/>
      <c r="N227" s="75"/>
    </row>
    <row r="228" spans="1:14" ht="14.25" x14ac:dyDescent="0.45">
      <c r="A228"/>
      <c r="B228"/>
      <c r="C228"/>
      <c r="D228"/>
      <c r="E228"/>
      <c r="F228"/>
      <c r="G228"/>
      <c r="H228"/>
      <c r="I228"/>
      <c r="J228"/>
      <c r="L228" s="81"/>
      <c r="N228" s="75"/>
    </row>
    <row r="229" spans="1:14" ht="14.25" x14ac:dyDescent="0.45">
      <c r="A229"/>
      <c r="B229"/>
      <c r="C229"/>
      <c r="D229"/>
      <c r="E229"/>
      <c r="F229"/>
      <c r="G229"/>
      <c r="H229"/>
      <c r="I229"/>
      <c r="J229"/>
      <c r="L229" s="81"/>
      <c r="N229" s="75"/>
    </row>
    <row r="230" spans="1:14" ht="14.25" x14ac:dyDescent="0.45">
      <c r="A230"/>
      <c r="B230"/>
      <c r="C230"/>
      <c r="D230"/>
      <c r="E230"/>
      <c r="F230"/>
      <c r="G230"/>
      <c r="H230"/>
      <c r="I230"/>
      <c r="J230"/>
      <c r="L230" s="81"/>
      <c r="N230" s="75"/>
    </row>
    <row r="231" spans="1:14" ht="14.25" x14ac:dyDescent="0.45">
      <c r="A231"/>
      <c r="B231"/>
      <c r="C231"/>
      <c r="D231"/>
      <c r="E231"/>
      <c r="F231"/>
      <c r="G231"/>
      <c r="H231"/>
      <c r="I231"/>
      <c r="J231"/>
      <c r="L231" s="81"/>
      <c r="N231" s="75"/>
    </row>
    <row r="232" spans="1:14" ht="14.25" x14ac:dyDescent="0.45">
      <c r="A232"/>
      <c r="B232"/>
      <c r="C232"/>
      <c r="D232"/>
      <c r="E232"/>
      <c r="F232"/>
      <c r="G232"/>
      <c r="H232"/>
      <c r="I232"/>
      <c r="J232"/>
      <c r="L232" s="81"/>
      <c r="N232" s="75"/>
    </row>
    <row r="233" spans="1:14" ht="14.25" x14ac:dyDescent="0.45">
      <c r="A233"/>
      <c r="B233"/>
      <c r="C233"/>
      <c r="D233"/>
      <c r="E233"/>
      <c r="F233"/>
      <c r="G233"/>
      <c r="H233"/>
      <c r="I233"/>
      <c r="J233"/>
      <c r="L233" s="81"/>
      <c r="N233" s="75"/>
    </row>
    <row r="234" spans="1:14" ht="14.25" x14ac:dyDescent="0.45">
      <c r="A234"/>
      <c r="B234"/>
      <c r="C234"/>
      <c r="D234"/>
      <c r="E234"/>
      <c r="F234"/>
      <c r="G234"/>
      <c r="H234"/>
      <c r="I234"/>
      <c r="J234"/>
      <c r="L234" s="81"/>
      <c r="N234" s="75"/>
    </row>
    <row r="235" spans="1:14" ht="14.25" x14ac:dyDescent="0.45">
      <c r="A235"/>
      <c r="B235"/>
      <c r="C235"/>
      <c r="D235"/>
      <c r="E235"/>
      <c r="F235"/>
      <c r="G235"/>
      <c r="H235"/>
      <c r="I235"/>
      <c r="J235"/>
      <c r="L235" s="81"/>
      <c r="N235" s="75"/>
    </row>
    <row r="236" spans="1:14" ht="14.25" x14ac:dyDescent="0.45">
      <c r="A236"/>
      <c r="B236"/>
      <c r="C236"/>
      <c r="D236"/>
      <c r="E236"/>
      <c r="F236"/>
      <c r="G236"/>
      <c r="H236"/>
      <c r="I236"/>
      <c r="J236"/>
      <c r="L236" s="81"/>
      <c r="N236" s="75"/>
    </row>
    <row r="237" spans="1:14" ht="14.25" x14ac:dyDescent="0.45">
      <c r="A237"/>
      <c r="B237"/>
      <c r="C237"/>
      <c r="D237"/>
      <c r="E237"/>
      <c r="F237"/>
      <c r="G237"/>
      <c r="H237"/>
      <c r="I237"/>
      <c r="J237"/>
      <c r="L237" s="81"/>
      <c r="N237" s="75"/>
    </row>
    <row r="238" spans="1:14" ht="14.25" x14ac:dyDescent="0.45">
      <c r="A238"/>
      <c r="B238"/>
      <c r="C238"/>
      <c r="D238"/>
      <c r="E238"/>
      <c r="F238"/>
      <c r="G238"/>
      <c r="H238"/>
      <c r="I238"/>
      <c r="J238"/>
      <c r="L238" s="81"/>
      <c r="N238" s="75"/>
    </row>
    <row r="239" spans="1:14" ht="14.25" x14ac:dyDescent="0.45">
      <c r="A239"/>
      <c r="B239"/>
      <c r="C239"/>
      <c r="D239"/>
      <c r="E239"/>
      <c r="F239"/>
      <c r="G239"/>
      <c r="H239"/>
      <c r="I239"/>
      <c r="J239"/>
      <c r="L239" s="81"/>
      <c r="N239" s="75"/>
    </row>
    <row r="240" spans="1:14" ht="14.25" x14ac:dyDescent="0.45">
      <c r="A240"/>
      <c r="B240"/>
      <c r="C240"/>
      <c r="D240"/>
      <c r="E240"/>
      <c r="F240"/>
      <c r="G240"/>
      <c r="H240"/>
      <c r="I240"/>
      <c r="J240"/>
      <c r="L240" s="81"/>
      <c r="N240" s="75"/>
    </row>
    <row r="241" spans="1:14" ht="14.25" x14ac:dyDescent="0.45">
      <c r="A241"/>
      <c r="B241"/>
      <c r="C241"/>
      <c r="D241"/>
      <c r="E241"/>
      <c r="F241"/>
      <c r="G241"/>
      <c r="H241"/>
      <c r="I241"/>
      <c r="J241"/>
      <c r="L241" s="81"/>
      <c r="N241" s="75"/>
    </row>
    <row r="242" spans="1:14" ht="14.25" x14ac:dyDescent="0.45">
      <c r="A242"/>
      <c r="B242"/>
      <c r="C242"/>
      <c r="D242"/>
      <c r="E242"/>
      <c r="F242"/>
      <c r="G242"/>
      <c r="H242"/>
      <c r="I242"/>
      <c r="J242"/>
      <c r="L242" s="81"/>
      <c r="N242" s="75"/>
    </row>
    <row r="243" spans="1:14" ht="14.25" x14ac:dyDescent="0.45">
      <c r="A243"/>
      <c r="B243"/>
      <c r="C243"/>
      <c r="D243"/>
      <c r="E243"/>
      <c r="F243"/>
      <c r="G243"/>
      <c r="H243"/>
      <c r="I243"/>
      <c r="J243"/>
      <c r="L243" s="81"/>
      <c r="N243" s="75"/>
    </row>
    <row r="244" spans="1:14" ht="14.25" x14ac:dyDescent="0.45">
      <c r="A244"/>
      <c r="B244"/>
      <c r="C244"/>
      <c r="D244"/>
      <c r="E244"/>
      <c r="F244"/>
      <c r="G244"/>
      <c r="H244"/>
      <c r="I244"/>
      <c r="J244"/>
      <c r="L244" s="81"/>
      <c r="N244" s="75"/>
    </row>
    <row r="245" spans="1:14" ht="14.25" x14ac:dyDescent="0.45">
      <c r="A245"/>
      <c r="B245"/>
      <c r="C245"/>
      <c r="D245"/>
      <c r="E245"/>
      <c r="F245"/>
      <c r="G245"/>
      <c r="H245"/>
      <c r="I245"/>
      <c r="J245"/>
      <c r="L245" s="81"/>
      <c r="N245" s="75"/>
    </row>
    <row r="246" spans="1:14" ht="14.25" x14ac:dyDescent="0.45">
      <c r="A246"/>
      <c r="B246"/>
      <c r="C246"/>
      <c r="D246"/>
      <c r="E246"/>
      <c r="F246"/>
      <c r="G246"/>
      <c r="H246"/>
      <c r="I246"/>
      <c r="J246"/>
      <c r="L246" s="81"/>
      <c r="N246" s="75"/>
    </row>
    <row r="247" spans="1:14" ht="14.25" x14ac:dyDescent="0.45">
      <c r="A247"/>
      <c r="B247"/>
      <c r="C247"/>
      <c r="D247"/>
      <c r="E247"/>
      <c r="F247"/>
      <c r="G247"/>
      <c r="H247"/>
      <c r="I247"/>
      <c r="J247"/>
      <c r="L247" s="81"/>
      <c r="N247" s="75"/>
    </row>
    <row r="248" spans="1:14" ht="14.25" x14ac:dyDescent="0.45">
      <c r="A248"/>
      <c r="B248"/>
      <c r="C248"/>
      <c r="D248"/>
      <c r="E248"/>
      <c r="F248"/>
      <c r="G248"/>
      <c r="H248"/>
      <c r="I248"/>
      <c r="J248"/>
      <c r="L248" s="81"/>
      <c r="N248" s="75"/>
    </row>
    <row r="249" spans="1:14" ht="14.25" x14ac:dyDescent="0.45">
      <c r="A249"/>
      <c r="B249"/>
      <c r="C249"/>
      <c r="D249"/>
      <c r="E249"/>
      <c r="F249"/>
      <c r="G249"/>
      <c r="H249"/>
      <c r="I249"/>
      <c r="J249"/>
      <c r="L249" s="81"/>
      <c r="N249" s="75"/>
    </row>
    <row r="250" spans="1:14" ht="14.25" x14ac:dyDescent="0.45">
      <c r="A250"/>
      <c r="B250"/>
      <c r="C250"/>
      <c r="D250"/>
      <c r="E250"/>
      <c r="F250"/>
      <c r="G250"/>
      <c r="H250"/>
      <c r="I250"/>
      <c r="J250"/>
      <c r="L250" s="81"/>
      <c r="N250" s="75"/>
    </row>
    <row r="251" spans="1:14" ht="14.25" x14ac:dyDescent="0.45">
      <c r="A251"/>
      <c r="B251"/>
      <c r="C251"/>
      <c r="D251"/>
      <c r="E251"/>
      <c r="F251"/>
      <c r="G251"/>
      <c r="H251"/>
      <c r="I251"/>
      <c r="J251"/>
      <c r="L251" s="81"/>
      <c r="N251" s="75"/>
    </row>
    <row r="252" spans="1:14" ht="14.25" x14ac:dyDescent="0.45">
      <c r="A252"/>
      <c r="B252"/>
      <c r="C252"/>
      <c r="D252"/>
      <c r="E252"/>
      <c r="F252"/>
      <c r="G252"/>
      <c r="H252"/>
      <c r="I252"/>
      <c r="J252"/>
      <c r="L252" s="81"/>
      <c r="N252" s="75"/>
    </row>
    <row r="253" spans="1:14" ht="14.25" x14ac:dyDescent="0.45">
      <c r="A253"/>
      <c r="B253"/>
      <c r="C253"/>
      <c r="D253"/>
      <c r="E253"/>
      <c r="F253"/>
      <c r="G253"/>
      <c r="H253"/>
      <c r="I253"/>
      <c r="J253"/>
      <c r="L253" s="81"/>
      <c r="N253" s="75"/>
    </row>
    <row r="254" spans="1:14" ht="14.25" x14ac:dyDescent="0.45">
      <c r="A254"/>
      <c r="B254"/>
      <c r="C254"/>
      <c r="D254"/>
      <c r="E254"/>
      <c r="F254"/>
      <c r="G254"/>
      <c r="H254"/>
      <c r="I254"/>
      <c r="J254"/>
      <c r="L254" s="81"/>
      <c r="N254" s="75"/>
    </row>
    <row r="255" spans="1:14" ht="14.25" x14ac:dyDescent="0.45">
      <c r="A255"/>
      <c r="B255"/>
      <c r="C255"/>
      <c r="D255"/>
      <c r="E255"/>
      <c r="F255"/>
      <c r="G255"/>
      <c r="H255"/>
      <c r="I255"/>
      <c r="J255"/>
      <c r="L255" s="81"/>
      <c r="N255" s="75"/>
    </row>
    <row r="256" spans="1:14" ht="14.25" x14ac:dyDescent="0.45">
      <c r="A256"/>
      <c r="B256"/>
      <c r="C256"/>
      <c r="D256"/>
      <c r="E256"/>
      <c r="F256"/>
      <c r="G256"/>
      <c r="H256"/>
      <c r="I256"/>
      <c r="J256"/>
      <c r="L256" s="81"/>
      <c r="N256" s="75"/>
    </row>
    <row r="257" spans="1:14" ht="14.25" x14ac:dyDescent="0.45">
      <c r="A257"/>
      <c r="B257"/>
      <c r="C257"/>
      <c r="D257"/>
      <c r="E257"/>
      <c r="F257"/>
      <c r="G257"/>
      <c r="H257"/>
      <c r="I257"/>
      <c r="J257"/>
      <c r="L257" s="81"/>
      <c r="N257" s="75"/>
    </row>
    <row r="258" spans="1:14" ht="14.25" x14ac:dyDescent="0.45">
      <c r="A258"/>
      <c r="B258"/>
      <c r="C258"/>
      <c r="D258"/>
      <c r="E258"/>
      <c r="F258"/>
      <c r="G258"/>
      <c r="H258"/>
      <c r="I258"/>
      <c r="J258"/>
      <c r="L258" s="81"/>
      <c r="N258" s="75"/>
    </row>
    <row r="259" spans="1:14" ht="14.25" x14ac:dyDescent="0.45">
      <c r="A259"/>
      <c r="B259"/>
      <c r="C259"/>
      <c r="D259"/>
      <c r="E259"/>
      <c r="F259"/>
      <c r="G259"/>
      <c r="H259"/>
      <c r="I259"/>
      <c r="J259"/>
      <c r="L259" s="81"/>
      <c r="N259" s="75"/>
    </row>
    <row r="260" spans="1:14" ht="14.25" x14ac:dyDescent="0.45">
      <c r="A260"/>
      <c r="B260"/>
      <c r="C260"/>
      <c r="D260"/>
      <c r="E260"/>
      <c r="F260"/>
      <c r="G260"/>
      <c r="H260"/>
      <c r="I260"/>
      <c r="J260"/>
      <c r="L260" s="81"/>
      <c r="N260" s="75"/>
    </row>
    <row r="261" spans="1:14" ht="14.25" x14ac:dyDescent="0.45">
      <c r="A261"/>
      <c r="B261"/>
      <c r="C261"/>
      <c r="D261"/>
      <c r="E261"/>
      <c r="F261"/>
      <c r="G261"/>
      <c r="H261"/>
      <c r="I261"/>
      <c r="J261"/>
      <c r="L261" s="81"/>
      <c r="N261" s="75"/>
    </row>
    <row r="262" spans="1:14" ht="14.25" x14ac:dyDescent="0.45">
      <c r="A262"/>
      <c r="B262"/>
      <c r="C262"/>
      <c r="D262"/>
      <c r="E262"/>
      <c r="F262"/>
      <c r="G262"/>
      <c r="H262"/>
      <c r="I262"/>
      <c r="J262"/>
      <c r="L262" s="81"/>
      <c r="N262" s="75"/>
    </row>
    <row r="263" spans="1:14" ht="14.25" x14ac:dyDescent="0.45">
      <c r="A263"/>
      <c r="B263"/>
      <c r="C263"/>
      <c r="D263"/>
      <c r="E263"/>
      <c r="F263"/>
      <c r="G263"/>
      <c r="H263"/>
      <c r="I263"/>
      <c r="J263"/>
      <c r="L263" s="81"/>
      <c r="N263" s="75"/>
    </row>
    <row r="264" spans="1:14" ht="14.25" x14ac:dyDescent="0.45">
      <c r="A264"/>
      <c r="B264"/>
      <c r="C264"/>
      <c r="D264"/>
      <c r="E264"/>
      <c r="F264"/>
      <c r="G264"/>
      <c r="H264"/>
      <c r="I264"/>
      <c r="J264"/>
      <c r="L264" s="81"/>
      <c r="N264" s="75"/>
    </row>
    <row r="265" spans="1:14" ht="14.25" x14ac:dyDescent="0.45">
      <c r="A265"/>
      <c r="B265"/>
      <c r="C265"/>
      <c r="D265"/>
      <c r="E265"/>
      <c r="F265"/>
      <c r="G265"/>
      <c r="H265"/>
      <c r="I265"/>
      <c r="J265"/>
      <c r="L265" s="81"/>
      <c r="N265" s="75"/>
    </row>
    <row r="266" spans="1:14" ht="14.25" x14ac:dyDescent="0.45">
      <c r="A266"/>
      <c r="B266"/>
      <c r="C266"/>
      <c r="D266"/>
      <c r="E266"/>
      <c r="F266"/>
      <c r="G266"/>
      <c r="H266"/>
      <c r="I266"/>
      <c r="J266"/>
      <c r="L266" s="81"/>
      <c r="N266" s="75"/>
    </row>
    <row r="267" spans="1:14" ht="14.25" x14ac:dyDescent="0.45">
      <c r="A267"/>
      <c r="B267"/>
      <c r="C267"/>
      <c r="D267"/>
      <c r="E267"/>
      <c r="F267"/>
      <c r="G267"/>
      <c r="H267"/>
      <c r="I267"/>
      <c r="J267"/>
      <c r="L267" s="81"/>
      <c r="N267" s="75"/>
    </row>
    <row r="268" spans="1:14" ht="14.25" x14ac:dyDescent="0.45">
      <c r="A268"/>
      <c r="B268"/>
      <c r="C268"/>
      <c r="D268"/>
      <c r="E268"/>
      <c r="F268"/>
      <c r="G268"/>
      <c r="H268"/>
      <c r="I268"/>
      <c r="J268"/>
      <c r="L268" s="81"/>
      <c r="N268" s="75"/>
    </row>
    <row r="269" spans="1:14" ht="14.25" x14ac:dyDescent="0.45">
      <c r="A269"/>
      <c r="B269"/>
      <c r="C269"/>
      <c r="D269"/>
      <c r="E269"/>
      <c r="F269"/>
      <c r="G269"/>
      <c r="H269"/>
      <c r="I269"/>
      <c r="J269"/>
      <c r="L269" s="81"/>
      <c r="N269" s="75"/>
    </row>
    <row r="270" spans="1:14" x14ac:dyDescent="0.35">
      <c r="A270" s="81"/>
      <c r="B270" s="81"/>
      <c r="I270" s="217"/>
      <c r="J270" s="217"/>
      <c r="L270" s="81"/>
      <c r="N270" s="75"/>
    </row>
    <row r="271" spans="1:14" x14ac:dyDescent="0.35">
      <c r="A271" s="81"/>
      <c r="B271" s="81"/>
      <c r="I271" s="217"/>
      <c r="J271" s="217"/>
      <c r="L271" s="81"/>
      <c r="N271" s="75"/>
    </row>
    <row r="272" spans="1:14" x14ac:dyDescent="0.35">
      <c r="I272" s="217"/>
      <c r="J272" s="217"/>
      <c r="L272" s="81"/>
      <c r="N272" s="75"/>
    </row>
    <row r="273" spans="9:14" x14ac:dyDescent="0.35">
      <c r="I273" s="217"/>
      <c r="J273" s="217"/>
      <c r="L273" s="81"/>
      <c r="N273" s="75"/>
    </row>
    <row r="274" spans="9:14" x14ac:dyDescent="0.35">
      <c r="I274" s="217"/>
      <c r="J274" s="217"/>
      <c r="L274" s="81"/>
      <c r="N274" s="75"/>
    </row>
    <row r="275" spans="9:14" x14ac:dyDescent="0.35">
      <c r="I275" s="217"/>
      <c r="J275" s="217"/>
      <c r="L275" s="81"/>
      <c r="N275" s="75"/>
    </row>
    <row r="276" spans="9:14" x14ac:dyDescent="0.35">
      <c r="I276" s="217"/>
      <c r="J276" s="217"/>
      <c r="L276" s="81"/>
      <c r="N276" s="75"/>
    </row>
    <row r="277" spans="9:14" x14ac:dyDescent="0.35">
      <c r="I277" s="217"/>
      <c r="J277" s="217"/>
      <c r="L277" s="81"/>
      <c r="N277" s="75"/>
    </row>
    <row r="278" spans="9:14" x14ac:dyDescent="0.35">
      <c r="I278" s="217"/>
      <c r="J278" s="217"/>
      <c r="L278" s="81"/>
      <c r="N278" s="75"/>
    </row>
    <row r="279" spans="9:14" x14ac:dyDescent="0.35">
      <c r="I279" s="217"/>
      <c r="J279" s="217"/>
      <c r="L279" s="81"/>
      <c r="N279" s="75"/>
    </row>
    <row r="280" spans="9:14" x14ac:dyDescent="0.35">
      <c r="I280" s="217"/>
      <c r="J280" s="217"/>
      <c r="L280" s="81"/>
      <c r="N280" s="75"/>
    </row>
    <row r="281" spans="9:14" x14ac:dyDescent="0.35">
      <c r="I281" s="217"/>
      <c r="J281" s="217"/>
      <c r="L281" s="81"/>
      <c r="N281" s="75"/>
    </row>
    <row r="282" spans="9:14" x14ac:dyDescent="0.35">
      <c r="I282" s="217"/>
      <c r="J282" s="217"/>
      <c r="L282" s="81"/>
      <c r="N282" s="75"/>
    </row>
    <row r="283" spans="9:14" x14ac:dyDescent="0.35">
      <c r="I283" s="217"/>
      <c r="J283" s="217"/>
      <c r="L283" s="81"/>
      <c r="N283" s="75"/>
    </row>
    <row r="284" spans="9:14" x14ac:dyDescent="0.35">
      <c r="I284" s="217"/>
      <c r="J284" s="217"/>
      <c r="L284" s="81"/>
      <c r="N284" s="75"/>
    </row>
    <row r="285" spans="9:14" x14ac:dyDescent="0.35">
      <c r="I285" s="217"/>
      <c r="J285" s="217"/>
      <c r="L285" s="81"/>
      <c r="N285" s="75"/>
    </row>
    <row r="286" spans="9:14" x14ac:dyDescent="0.35">
      <c r="I286" s="217"/>
      <c r="J286" s="217"/>
      <c r="L286" s="81"/>
      <c r="N286" s="75"/>
    </row>
    <row r="287" spans="9:14" x14ac:dyDescent="0.35">
      <c r="I287" s="217"/>
      <c r="J287" s="217"/>
      <c r="L287" s="81"/>
      <c r="N287" s="75"/>
    </row>
    <row r="288" spans="9:14" x14ac:dyDescent="0.35">
      <c r="I288" s="217"/>
      <c r="J288" s="217"/>
      <c r="L288" s="81"/>
      <c r="N288" s="75"/>
    </row>
    <row r="289" spans="9:14" x14ac:dyDescent="0.35">
      <c r="I289" s="217"/>
      <c r="J289" s="217"/>
      <c r="L289" s="81"/>
    </row>
    <row r="290" spans="9:14" x14ac:dyDescent="0.35">
      <c r="I290" s="217"/>
      <c r="J290" s="217"/>
      <c r="L290" s="81"/>
    </row>
    <row r="291" spans="9:14" x14ac:dyDescent="0.35">
      <c r="I291" s="217"/>
      <c r="J291" s="217"/>
      <c r="L291" s="81"/>
    </row>
    <row r="292" spans="9:14" x14ac:dyDescent="0.35">
      <c r="I292" s="217"/>
      <c r="J292" s="217"/>
      <c r="L292" s="81"/>
    </row>
    <row r="293" spans="9:14" x14ac:dyDescent="0.35">
      <c r="I293" s="217"/>
      <c r="J293" s="217"/>
      <c r="L293" s="81"/>
    </row>
    <row r="294" spans="9:14" x14ac:dyDescent="0.35">
      <c r="I294" s="217"/>
      <c r="J294" s="217"/>
      <c r="L294" s="81"/>
    </row>
    <row r="295" spans="9:14" x14ac:dyDescent="0.35">
      <c r="I295" s="217"/>
      <c r="J295" s="217"/>
      <c r="L295" s="81"/>
    </row>
    <row r="296" spans="9:14" x14ac:dyDescent="0.35">
      <c r="I296" s="217"/>
      <c r="J296" s="217"/>
      <c r="L296" s="81"/>
    </row>
    <row r="297" spans="9:14" x14ac:dyDescent="0.35">
      <c r="I297" s="217"/>
      <c r="J297" s="217"/>
      <c r="L297" s="81"/>
    </row>
    <row r="298" spans="9:14" x14ac:dyDescent="0.35">
      <c r="I298" s="217"/>
      <c r="J298" s="217"/>
      <c r="L298" s="81"/>
      <c r="M298" s="81"/>
      <c r="N298" s="227"/>
    </row>
    <row r="299" spans="9:14" x14ac:dyDescent="0.35">
      <c r="I299" s="217"/>
      <c r="J299" s="217"/>
      <c r="L299" s="81"/>
      <c r="M299" s="81"/>
      <c r="N299" s="227"/>
    </row>
    <row r="300" spans="9:14" x14ac:dyDescent="0.35">
      <c r="I300" s="217"/>
      <c r="J300" s="217"/>
      <c r="L300" s="81"/>
      <c r="M300" s="81"/>
      <c r="N300" s="227"/>
    </row>
    <row r="301" spans="9:14" x14ac:dyDescent="0.35">
      <c r="I301" s="217"/>
      <c r="J301" s="217"/>
      <c r="L301" s="81"/>
      <c r="M301" s="81"/>
      <c r="N301" s="227"/>
    </row>
    <row r="302" spans="9:14" x14ac:dyDescent="0.35">
      <c r="I302" s="217"/>
      <c r="J302" s="217"/>
      <c r="L302" s="81"/>
      <c r="M302" s="81"/>
      <c r="N302" s="227"/>
    </row>
    <row r="303" spans="9:14" x14ac:dyDescent="0.35">
      <c r="I303" s="217"/>
      <c r="J303" s="217"/>
      <c r="L303" s="81"/>
      <c r="M303" s="81"/>
      <c r="N303" s="227"/>
    </row>
    <row r="304" spans="9:14" x14ac:dyDescent="0.35">
      <c r="I304" s="217"/>
      <c r="J304" s="217"/>
      <c r="L304" s="81"/>
      <c r="M304" s="81"/>
      <c r="N304" s="227"/>
    </row>
    <row r="305" spans="9:14" x14ac:dyDescent="0.35">
      <c r="I305" s="217"/>
      <c r="J305" s="217"/>
      <c r="L305" s="81"/>
      <c r="M305" s="81"/>
      <c r="N305" s="227"/>
    </row>
    <row r="306" spans="9:14" x14ac:dyDescent="0.35">
      <c r="I306" s="217"/>
      <c r="J306" s="217"/>
      <c r="L306" s="81"/>
      <c r="M306" s="81"/>
      <c r="N306" s="227"/>
    </row>
    <row r="307" spans="9:14" x14ac:dyDescent="0.35">
      <c r="I307" s="217"/>
      <c r="J307" s="217"/>
      <c r="L307" s="81"/>
      <c r="M307" s="81"/>
      <c r="N307" s="227"/>
    </row>
    <row r="308" spans="9:14" x14ac:dyDescent="0.35">
      <c r="I308" s="217"/>
      <c r="J308" s="217"/>
      <c r="L308" s="81"/>
      <c r="M308" s="81"/>
      <c r="N308" s="227"/>
    </row>
    <row r="309" spans="9:14" x14ac:dyDescent="0.35">
      <c r="I309" s="217"/>
      <c r="J309" s="217"/>
      <c r="L309" s="81"/>
      <c r="M309" s="81"/>
      <c r="N309" s="227"/>
    </row>
    <row r="310" spans="9:14" x14ac:dyDescent="0.35">
      <c r="I310" s="217"/>
      <c r="J310" s="217"/>
      <c r="L310" s="81"/>
      <c r="M310" s="81"/>
      <c r="N310" s="227"/>
    </row>
    <row r="311" spans="9:14" x14ac:dyDescent="0.35">
      <c r="I311" s="217"/>
      <c r="J311" s="217"/>
      <c r="L311" s="81"/>
      <c r="M311" s="81"/>
      <c r="N311" s="227"/>
    </row>
    <row r="312" spans="9:14" x14ac:dyDescent="0.35">
      <c r="I312" s="217"/>
      <c r="J312" s="217"/>
      <c r="L312" s="81"/>
      <c r="M312" s="81"/>
      <c r="N312" s="227"/>
    </row>
    <row r="313" spans="9:14" x14ac:dyDescent="0.35">
      <c r="I313" s="217"/>
      <c r="J313" s="217"/>
      <c r="L313" s="81"/>
      <c r="M313" s="81"/>
      <c r="N313" s="227"/>
    </row>
    <row r="314" spans="9:14" x14ac:dyDescent="0.35">
      <c r="I314" s="217"/>
      <c r="J314" s="217"/>
      <c r="L314" s="81"/>
      <c r="M314" s="81"/>
      <c r="N314" s="227"/>
    </row>
    <row r="315" spans="9:14" x14ac:dyDescent="0.35">
      <c r="I315" s="217"/>
      <c r="J315" s="217"/>
      <c r="L315" s="81"/>
      <c r="M315" s="81"/>
      <c r="N315" s="227"/>
    </row>
    <row r="316" spans="9:14" x14ac:dyDescent="0.35">
      <c r="I316" s="217"/>
      <c r="J316" s="217"/>
      <c r="L316" s="81"/>
      <c r="M316" s="81"/>
      <c r="N316" s="227"/>
    </row>
    <row r="317" spans="9:14" x14ac:dyDescent="0.35">
      <c r="I317" s="217"/>
      <c r="J317" s="217"/>
      <c r="L317" s="81"/>
      <c r="M317" s="81"/>
      <c r="N317" s="227"/>
    </row>
    <row r="318" spans="9:14" x14ac:dyDescent="0.35">
      <c r="I318" s="217"/>
      <c r="J318" s="217"/>
      <c r="L318" s="81"/>
      <c r="M318" s="81"/>
      <c r="N318" s="227"/>
    </row>
    <row r="319" spans="9:14" x14ac:dyDescent="0.35">
      <c r="I319" s="217"/>
      <c r="J319" s="217"/>
      <c r="L319" s="81"/>
      <c r="M319" s="81"/>
      <c r="N319" s="227"/>
    </row>
    <row r="320" spans="9:14" x14ac:dyDescent="0.35">
      <c r="I320" s="217"/>
      <c r="J320" s="217"/>
      <c r="L320" s="81"/>
      <c r="M320" s="81"/>
      <c r="N320" s="227"/>
    </row>
    <row r="321" spans="9:14" x14ac:dyDescent="0.35">
      <c r="I321" s="217"/>
      <c r="J321" s="217"/>
      <c r="L321" s="81"/>
      <c r="M321" s="81"/>
      <c r="N321" s="227"/>
    </row>
    <row r="322" spans="9:14" x14ac:dyDescent="0.35">
      <c r="I322" s="217"/>
      <c r="J322" s="217"/>
      <c r="L322" s="81"/>
      <c r="M322" s="81"/>
      <c r="N322" s="227"/>
    </row>
    <row r="323" spans="9:14" x14ac:dyDescent="0.35">
      <c r="I323" s="217"/>
      <c r="J323" s="217"/>
      <c r="L323" s="81"/>
      <c r="M323" s="81"/>
      <c r="N323" s="227"/>
    </row>
    <row r="324" spans="9:14" x14ac:dyDescent="0.35">
      <c r="I324" s="217"/>
      <c r="J324" s="217"/>
      <c r="L324" s="81"/>
      <c r="M324" s="81"/>
      <c r="N324" s="227"/>
    </row>
    <row r="325" spans="9:14" x14ac:dyDescent="0.35">
      <c r="I325" s="217"/>
      <c r="J325" s="217"/>
      <c r="L325" s="81"/>
      <c r="M325" s="81"/>
      <c r="N325" s="227"/>
    </row>
    <row r="326" spans="9:14" x14ac:dyDescent="0.35">
      <c r="I326" s="217"/>
      <c r="J326" s="217"/>
      <c r="L326" s="81"/>
      <c r="M326" s="81"/>
      <c r="N326" s="227"/>
    </row>
    <row r="327" spans="9:14" x14ac:dyDescent="0.35">
      <c r="I327" s="217"/>
      <c r="J327" s="217"/>
      <c r="L327" s="81"/>
      <c r="M327" s="81"/>
      <c r="N327" s="227"/>
    </row>
    <row r="328" spans="9:14" x14ac:dyDescent="0.35">
      <c r="I328" s="217"/>
      <c r="J328" s="217"/>
      <c r="L328" s="81"/>
      <c r="M328" s="81"/>
      <c r="N328" s="227"/>
    </row>
    <row r="329" spans="9:14" x14ac:dyDescent="0.35">
      <c r="I329" s="217"/>
      <c r="J329" s="217"/>
      <c r="L329" s="81"/>
      <c r="M329" s="81"/>
      <c r="N329" s="227"/>
    </row>
    <row r="330" spans="9:14" x14ac:dyDescent="0.35">
      <c r="L330" s="81"/>
      <c r="M330" s="81"/>
      <c r="N330" s="227"/>
    </row>
    <row r="331" spans="9:14" x14ac:dyDescent="0.35">
      <c r="L331" s="81"/>
      <c r="M331" s="81"/>
      <c r="N331" s="227"/>
    </row>
    <row r="332" spans="9:14" x14ac:dyDescent="0.35">
      <c r="L332" s="81"/>
      <c r="M332" s="81"/>
      <c r="N332" s="227"/>
    </row>
    <row r="333" spans="9:14" x14ac:dyDescent="0.35">
      <c r="L333" s="81"/>
      <c r="M333" s="81"/>
      <c r="N333" s="227"/>
    </row>
    <row r="334" spans="9:14" x14ac:dyDescent="0.35">
      <c r="L334" s="81"/>
      <c r="M334" s="81"/>
      <c r="N334" s="227"/>
    </row>
    <row r="335" spans="9:14" x14ac:dyDescent="0.35">
      <c r="L335" s="81"/>
      <c r="M335" s="81"/>
      <c r="N335" s="227"/>
    </row>
    <row r="336" spans="9:14" x14ac:dyDescent="0.35">
      <c r="L336" s="81"/>
      <c r="M336" s="81"/>
      <c r="N336" s="227"/>
    </row>
    <row r="337" spans="12:14" x14ac:dyDescent="0.35">
      <c r="L337" s="81"/>
      <c r="M337" s="81"/>
      <c r="N337" s="227"/>
    </row>
    <row r="338" spans="12:14" x14ac:dyDescent="0.35">
      <c r="L338" s="81"/>
      <c r="M338" s="81"/>
      <c r="N338" s="227"/>
    </row>
    <row r="339" spans="12:14" x14ac:dyDescent="0.35">
      <c r="L339" s="81"/>
      <c r="M339" s="81"/>
      <c r="N339" s="227"/>
    </row>
    <row r="340" spans="12:14" x14ac:dyDescent="0.35">
      <c r="L340" s="81"/>
      <c r="M340" s="81"/>
      <c r="N340" s="227"/>
    </row>
    <row r="341" spans="12:14" x14ac:dyDescent="0.35">
      <c r="L341" s="81"/>
      <c r="M341" s="81"/>
      <c r="N341" s="227"/>
    </row>
    <row r="342" spans="12:14" x14ac:dyDescent="0.35">
      <c r="L342" s="81"/>
      <c r="M342" s="81"/>
      <c r="N342" s="227"/>
    </row>
    <row r="343" spans="12:14" x14ac:dyDescent="0.35">
      <c r="L343" s="81"/>
      <c r="M343" s="81"/>
      <c r="N343" s="227"/>
    </row>
    <row r="344" spans="12:14" x14ac:dyDescent="0.35">
      <c r="L344" s="81"/>
      <c r="M344" s="81"/>
      <c r="N344" s="227"/>
    </row>
    <row r="345" spans="12:14" x14ac:dyDescent="0.35">
      <c r="L345" s="81"/>
      <c r="M345" s="81"/>
      <c r="N345" s="227"/>
    </row>
    <row r="346" spans="12:14" x14ac:dyDescent="0.35">
      <c r="L346" s="81"/>
      <c r="M346" s="81"/>
      <c r="N346" s="227"/>
    </row>
    <row r="347" spans="12:14" x14ac:dyDescent="0.35">
      <c r="L347" s="81"/>
      <c r="M347" s="81"/>
      <c r="N347" s="227"/>
    </row>
    <row r="348" spans="12:14" x14ac:dyDescent="0.35">
      <c r="L348" s="81"/>
      <c r="M348" s="81"/>
      <c r="N348" s="227"/>
    </row>
    <row r="349" spans="12:14" x14ac:dyDescent="0.35">
      <c r="L349" s="81"/>
      <c r="M349" s="81"/>
      <c r="N349" s="227"/>
    </row>
    <row r="350" spans="12:14" x14ac:dyDescent="0.35">
      <c r="L350" s="81"/>
      <c r="M350" s="81"/>
      <c r="N350" s="227"/>
    </row>
    <row r="351" spans="12:14" x14ac:dyDescent="0.35">
      <c r="L351" s="81"/>
      <c r="M351" s="81"/>
      <c r="N351" s="227"/>
    </row>
    <row r="352" spans="12:14" x14ac:dyDescent="0.35">
      <c r="L352" s="81"/>
      <c r="M352" s="81"/>
      <c r="N352" s="227"/>
    </row>
    <row r="353" spans="12:14" x14ac:dyDescent="0.35">
      <c r="L353" s="81"/>
      <c r="M353" s="81"/>
      <c r="N353" s="227"/>
    </row>
    <row r="354" spans="12:14" x14ac:dyDescent="0.35">
      <c r="L354" s="81"/>
      <c r="M354" s="81"/>
      <c r="N354" s="227"/>
    </row>
    <row r="355" spans="12:14" x14ac:dyDescent="0.35">
      <c r="L355" s="81"/>
      <c r="M355" s="81"/>
      <c r="N355" s="227"/>
    </row>
    <row r="356" spans="12:14" x14ac:dyDescent="0.35">
      <c r="L356" s="81"/>
      <c r="M356" s="81"/>
      <c r="N356" s="227"/>
    </row>
    <row r="357" spans="12:14" x14ac:dyDescent="0.35">
      <c r="L357" s="81"/>
      <c r="M357" s="81"/>
      <c r="N357" s="227"/>
    </row>
    <row r="358" spans="12:14" x14ac:dyDescent="0.35">
      <c r="L358" s="81"/>
      <c r="M358" s="81"/>
      <c r="N358" s="227"/>
    </row>
    <row r="359" spans="12:14" x14ac:dyDescent="0.35">
      <c r="L359" s="81"/>
      <c r="M359" s="81"/>
      <c r="N359" s="227"/>
    </row>
    <row r="360" spans="12:14" x14ac:dyDescent="0.35">
      <c r="L360" s="81"/>
      <c r="M360" s="81"/>
      <c r="N360" s="227"/>
    </row>
    <row r="361" spans="12:14" x14ac:dyDescent="0.35">
      <c r="L361" s="81"/>
      <c r="M361" s="81"/>
      <c r="N361" s="227"/>
    </row>
    <row r="362" spans="12:14" x14ac:dyDescent="0.35">
      <c r="L362" s="81"/>
      <c r="M362" s="81"/>
      <c r="N362" s="227"/>
    </row>
    <row r="363" spans="12:14" x14ac:dyDescent="0.35">
      <c r="L363" s="81"/>
      <c r="M363" s="81"/>
      <c r="N363" s="227"/>
    </row>
    <row r="364" spans="12:14" x14ac:dyDescent="0.35">
      <c r="L364" s="81"/>
      <c r="M364" s="81"/>
      <c r="N364" s="227"/>
    </row>
  </sheetData>
  <mergeCells count="27">
    <mergeCell ref="AN187:AO187"/>
    <mergeCell ref="AC151:AN151"/>
    <mergeCell ref="AC150:AN150"/>
    <mergeCell ref="AC3:AO3"/>
    <mergeCell ref="N4:R4"/>
    <mergeCell ref="N33:O33"/>
    <mergeCell ref="N27:O27"/>
    <mergeCell ref="N28:O28"/>
    <mergeCell ref="N29:O29"/>
    <mergeCell ref="N30:O30"/>
    <mergeCell ref="N31:O31"/>
    <mergeCell ref="N32:O32"/>
    <mergeCell ref="G5:L5"/>
    <mergeCell ref="I6:L6"/>
    <mergeCell ref="AH6:AL6"/>
    <mergeCell ref="N26:O26"/>
    <mergeCell ref="N15:O15"/>
    <mergeCell ref="N16:O16"/>
    <mergeCell ref="N17:O17"/>
    <mergeCell ref="N18:O18"/>
    <mergeCell ref="N19:O19"/>
    <mergeCell ref="N20:O20"/>
    <mergeCell ref="N21:O21"/>
    <mergeCell ref="N22:O22"/>
    <mergeCell ref="N23:O23"/>
    <mergeCell ref="N24:O24"/>
    <mergeCell ref="N25:O25"/>
  </mergeCells>
  <hyperlinks>
    <hyperlink ref="A214" r:id="rId1" xr:uid="{00000000-0004-0000-1000-000000000000}"/>
  </hyperlinks>
  <pageMargins left="0.7" right="0.7" top="0.75" bottom="0.75" header="0.3" footer="0.3"/>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T334"/>
  <sheetViews>
    <sheetView zoomScaleNormal="100" workbookViewId="0">
      <pane xSplit="1" ySplit="8" topLeftCell="B42" activePane="bottomRight" state="frozen"/>
      <selection pane="topRight" activeCell="B1" sqref="B1"/>
      <selection pane="bottomLeft" activeCell="A9" sqref="A9"/>
      <selection pane="bottomRight" activeCell="A2" sqref="A2"/>
    </sheetView>
  </sheetViews>
  <sheetFormatPr defaultColWidth="4.265625" defaultRowHeight="12.75" x14ac:dyDescent="0.35"/>
  <cols>
    <col min="1" max="1" width="15.19921875" style="75" customWidth="1"/>
    <col min="2" max="2" width="10.73046875" style="75" customWidth="1"/>
    <col min="3" max="3" width="12.265625" style="75" customWidth="1"/>
    <col min="4" max="4" width="9.73046875" style="75" customWidth="1"/>
    <col min="5" max="5" width="10.19921875" style="75" customWidth="1"/>
    <col min="6" max="6" width="11.73046875" style="75" customWidth="1"/>
    <col min="7" max="7" width="7.265625" style="75" customWidth="1"/>
    <col min="8" max="8" width="9.265625" style="75" customWidth="1"/>
    <col min="9" max="9" width="10.265625" style="75" customWidth="1"/>
    <col min="10" max="10" width="9.19921875" style="75" customWidth="1"/>
    <col min="11" max="11" width="8.19921875" style="75" customWidth="1"/>
    <col min="12" max="12" width="8" style="140" customWidth="1"/>
    <col min="13" max="13" width="1.73046875" style="75" customWidth="1"/>
    <col min="14" max="14" width="10.19921875" style="141" customWidth="1"/>
    <col min="15" max="15" width="16.53125" style="75" customWidth="1"/>
    <col min="16" max="16" width="13.73046875" style="75" customWidth="1"/>
    <col min="17" max="17" width="8.265625" style="75" customWidth="1"/>
    <col min="18" max="18" width="8.73046875" style="75" customWidth="1"/>
    <col min="19" max="19" width="7.796875" style="75" customWidth="1"/>
    <col min="20" max="20" width="1.265625" style="75" customWidth="1"/>
    <col min="21" max="21" width="10.19921875" style="75" customWidth="1"/>
    <col min="22" max="22" width="7.265625" style="75" customWidth="1"/>
    <col min="23" max="28" width="4.265625" style="75"/>
    <col min="29" max="29" width="9.796875" style="75" customWidth="1"/>
    <col min="30" max="30" width="6.46484375" style="75" customWidth="1"/>
    <col min="31" max="31" width="8.73046875" style="75" customWidth="1"/>
    <col min="32" max="33" width="9.19921875" style="75" customWidth="1"/>
    <col min="34" max="34" width="8.53125" style="75" customWidth="1"/>
    <col min="35" max="35" width="8.265625" style="75" customWidth="1"/>
    <col min="36" max="36" width="9.796875" style="75" customWidth="1"/>
    <col min="37" max="37" width="10" style="75" customWidth="1"/>
    <col min="38" max="38" width="9.53125" style="75" customWidth="1"/>
    <col min="39" max="256" width="4.265625" style="75"/>
    <col min="257" max="257" width="15.19921875" style="75" customWidth="1"/>
    <col min="258" max="258" width="10.73046875" style="75" customWidth="1"/>
    <col min="259" max="259" width="12.265625" style="75" customWidth="1"/>
    <col min="260" max="260" width="9.73046875" style="75" customWidth="1"/>
    <col min="261" max="261" width="10.19921875" style="75" customWidth="1"/>
    <col min="262" max="262" width="11.73046875" style="75" customWidth="1"/>
    <col min="263" max="263" width="7.265625" style="75" customWidth="1"/>
    <col min="264" max="264" width="9.265625" style="75" customWidth="1"/>
    <col min="265" max="265" width="10.265625" style="75" customWidth="1"/>
    <col min="266" max="266" width="9.19921875" style="75" customWidth="1"/>
    <col min="267" max="267" width="8.19921875" style="75" customWidth="1"/>
    <col min="268" max="268" width="8" style="75" customWidth="1"/>
    <col min="269" max="269" width="1.73046875" style="75" customWidth="1"/>
    <col min="270" max="270" width="10.19921875" style="75" customWidth="1"/>
    <col min="271" max="271" width="16.53125" style="75" customWidth="1"/>
    <col min="272" max="272" width="13.73046875" style="75" customWidth="1"/>
    <col min="273" max="273" width="8.265625" style="75" customWidth="1"/>
    <col min="274" max="274" width="8.73046875" style="75" customWidth="1"/>
    <col min="275" max="275" width="7.796875" style="75" customWidth="1"/>
    <col min="276" max="276" width="1.265625" style="75" customWidth="1"/>
    <col min="277" max="277" width="10.19921875" style="75" customWidth="1"/>
    <col min="278" max="278" width="7.265625" style="75" customWidth="1"/>
    <col min="279" max="512" width="4.265625" style="75"/>
    <col min="513" max="513" width="15.19921875" style="75" customWidth="1"/>
    <col min="514" max="514" width="10.73046875" style="75" customWidth="1"/>
    <col min="515" max="515" width="12.265625" style="75" customWidth="1"/>
    <col min="516" max="516" width="9.73046875" style="75" customWidth="1"/>
    <col min="517" max="517" width="10.19921875" style="75" customWidth="1"/>
    <col min="518" max="518" width="11.73046875" style="75" customWidth="1"/>
    <col min="519" max="519" width="7.265625" style="75" customWidth="1"/>
    <col min="520" max="520" width="9.265625" style="75" customWidth="1"/>
    <col min="521" max="521" width="10.265625" style="75" customWidth="1"/>
    <col min="522" max="522" width="9.19921875" style="75" customWidth="1"/>
    <col min="523" max="523" width="8.19921875" style="75" customWidth="1"/>
    <col min="524" max="524" width="8" style="75" customWidth="1"/>
    <col min="525" max="525" width="1.73046875" style="75" customWidth="1"/>
    <col min="526" max="526" width="10.19921875" style="75" customWidth="1"/>
    <col min="527" max="527" width="16.53125" style="75" customWidth="1"/>
    <col min="528" max="528" width="13.73046875" style="75" customWidth="1"/>
    <col min="529" max="529" width="8.265625" style="75" customWidth="1"/>
    <col min="530" max="530" width="8.73046875" style="75" customWidth="1"/>
    <col min="531" max="531" width="7.796875" style="75" customWidth="1"/>
    <col min="532" max="532" width="1.265625" style="75" customWidth="1"/>
    <col min="533" max="533" width="10.19921875" style="75" customWidth="1"/>
    <col min="534" max="534" width="7.265625" style="75" customWidth="1"/>
    <col min="535" max="768" width="4.265625" style="75"/>
    <col min="769" max="769" width="15.19921875" style="75" customWidth="1"/>
    <col min="770" max="770" width="10.73046875" style="75" customWidth="1"/>
    <col min="771" max="771" width="12.265625" style="75" customWidth="1"/>
    <col min="772" max="772" width="9.73046875" style="75" customWidth="1"/>
    <col min="773" max="773" width="10.19921875" style="75" customWidth="1"/>
    <col min="774" max="774" width="11.73046875" style="75" customWidth="1"/>
    <col min="775" max="775" width="7.265625" style="75" customWidth="1"/>
    <col min="776" max="776" width="9.265625" style="75" customWidth="1"/>
    <col min="777" max="777" width="10.265625" style="75" customWidth="1"/>
    <col min="778" max="778" width="9.19921875" style="75" customWidth="1"/>
    <col min="779" max="779" width="8.19921875" style="75" customWidth="1"/>
    <col min="780" max="780" width="8" style="75" customWidth="1"/>
    <col min="781" max="781" width="1.73046875" style="75" customWidth="1"/>
    <col min="782" max="782" width="10.19921875" style="75" customWidth="1"/>
    <col min="783" max="783" width="16.53125" style="75" customWidth="1"/>
    <col min="784" max="784" width="13.73046875" style="75" customWidth="1"/>
    <col min="785" max="785" width="8.265625" style="75" customWidth="1"/>
    <col min="786" max="786" width="8.73046875" style="75" customWidth="1"/>
    <col min="787" max="787" width="7.796875" style="75" customWidth="1"/>
    <col min="788" max="788" width="1.265625" style="75" customWidth="1"/>
    <col min="789" max="789" width="10.19921875" style="75" customWidth="1"/>
    <col min="790" max="790" width="7.265625" style="75" customWidth="1"/>
    <col min="791" max="1024" width="4.265625" style="75"/>
    <col min="1025" max="1025" width="15.19921875" style="75" customWidth="1"/>
    <col min="1026" max="1026" width="10.73046875" style="75" customWidth="1"/>
    <col min="1027" max="1027" width="12.265625" style="75" customWidth="1"/>
    <col min="1028" max="1028" width="9.73046875" style="75" customWidth="1"/>
    <col min="1029" max="1029" width="10.19921875" style="75" customWidth="1"/>
    <col min="1030" max="1030" width="11.73046875" style="75" customWidth="1"/>
    <col min="1031" max="1031" width="7.265625" style="75" customWidth="1"/>
    <col min="1032" max="1032" width="9.265625" style="75" customWidth="1"/>
    <col min="1033" max="1033" width="10.265625" style="75" customWidth="1"/>
    <col min="1034" max="1034" width="9.19921875" style="75" customWidth="1"/>
    <col min="1035" max="1035" width="8.19921875" style="75" customWidth="1"/>
    <col min="1036" max="1036" width="8" style="75" customWidth="1"/>
    <col min="1037" max="1037" width="1.73046875" style="75" customWidth="1"/>
    <col min="1038" max="1038" width="10.19921875" style="75" customWidth="1"/>
    <col min="1039" max="1039" width="16.53125" style="75" customWidth="1"/>
    <col min="1040" max="1040" width="13.73046875" style="75" customWidth="1"/>
    <col min="1041" max="1041" width="8.265625" style="75" customWidth="1"/>
    <col min="1042" max="1042" width="8.73046875" style="75" customWidth="1"/>
    <col min="1043" max="1043" width="7.796875" style="75" customWidth="1"/>
    <col min="1044" max="1044" width="1.265625" style="75" customWidth="1"/>
    <col min="1045" max="1045" width="10.19921875" style="75" customWidth="1"/>
    <col min="1046" max="1046" width="7.265625" style="75" customWidth="1"/>
    <col min="1047" max="1280" width="4.265625" style="75"/>
    <col min="1281" max="1281" width="15.19921875" style="75" customWidth="1"/>
    <col min="1282" max="1282" width="10.73046875" style="75" customWidth="1"/>
    <col min="1283" max="1283" width="12.265625" style="75" customWidth="1"/>
    <col min="1284" max="1284" width="9.73046875" style="75" customWidth="1"/>
    <col min="1285" max="1285" width="10.19921875" style="75" customWidth="1"/>
    <col min="1286" max="1286" width="11.73046875" style="75" customWidth="1"/>
    <col min="1287" max="1287" width="7.265625" style="75" customWidth="1"/>
    <col min="1288" max="1288" width="9.265625" style="75" customWidth="1"/>
    <col min="1289" max="1289" width="10.265625" style="75" customWidth="1"/>
    <col min="1290" max="1290" width="9.19921875" style="75" customWidth="1"/>
    <col min="1291" max="1291" width="8.19921875" style="75" customWidth="1"/>
    <col min="1292" max="1292" width="8" style="75" customWidth="1"/>
    <col min="1293" max="1293" width="1.73046875" style="75" customWidth="1"/>
    <col min="1294" max="1294" width="10.19921875" style="75" customWidth="1"/>
    <col min="1295" max="1295" width="16.53125" style="75" customWidth="1"/>
    <col min="1296" max="1296" width="13.73046875" style="75" customWidth="1"/>
    <col min="1297" max="1297" width="8.265625" style="75" customWidth="1"/>
    <col min="1298" max="1298" width="8.73046875" style="75" customWidth="1"/>
    <col min="1299" max="1299" width="7.796875" style="75" customWidth="1"/>
    <col min="1300" max="1300" width="1.265625" style="75" customWidth="1"/>
    <col min="1301" max="1301" width="10.19921875" style="75" customWidth="1"/>
    <col min="1302" max="1302" width="7.265625" style="75" customWidth="1"/>
    <col min="1303" max="1536" width="4.265625" style="75"/>
    <col min="1537" max="1537" width="15.19921875" style="75" customWidth="1"/>
    <col min="1538" max="1538" width="10.73046875" style="75" customWidth="1"/>
    <col min="1539" max="1539" width="12.265625" style="75" customWidth="1"/>
    <col min="1540" max="1540" width="9.73046875" style="75" customWidth="1"/>
    <col min="1541" max="1541" width="10.19921875" style="75" customWidth="1"/>
    <col min="1542" max="1542" width="11.73046875" style="75" customWidth="1"/>
    <col min="1543" max="1543" width="7.265625" style="75" customWidth="1"/>
    <col min="1544" max="1544" width="9.265625" style="75" customWidth="1"/>
    <col min="1545" max="1545" width="10.265625" style="75" customWidth="1"/>
    <col min="1546" max="1546" width="9.19921875" style="75" customWidth="1"/>
    <col min="1547" max="1547" width="8.19921875" style="75" customWidth="1"/>
    <col min="1548" max="1548" width="8" style="75" customWidth="1"/>
    <col min="1549" max="1549" width="1.73046875" style="75" customWidth="1"/>
    <col min="1550" max="1550" width="10.19921875" style="75" customWidth="1"/>
    <col min="1551" max="1551" width="16.53125" style="75" customWidth="1"/>
    <col min="1552" max="1552" width="13.73046875" style="75" customWidth="1"/>
    <col min="1553" max="1553" width="8.265625" style="75" customWidth="1"/>
    <col min="1554" max="1554" width="8.73046875" style="75" customWidth="1"/>
    <col min="1555" max="1555" width="7.796875" style="75" customWidth="1"/>
    <col min="1556" max="1556" width="1.265625" style="75" customWidth="1"/>
    <col min="1557" max="1557" width="10.19921875" style="75" customWidth="1"/>
    <col min="1558" max="1558" width="7.265625" style="75" customWidth="1"/>
    <col min="1559" max="1792" width="4.265625" style="75"/>
    <col min="1793" max="1793" width="15.19921875" style="75" customWidth="1"/>
    <col min="1794" max="1794" width="10.73046875" style="75" customWidth="1"/>
    <col min="1795" max="1795" width="12.265625" style="75" customWidth="1"/>
    <col min="1796" max="1796" width="9.73046875" style="75" customWidth="1"/>
    <col min="1797" max="1797" width="10.19921875" style="75" customWidth="1"/>
    <col min="1798" max="1798" width="11.73046875" style="75" customWidth="1"/>
    <col min="1799" max="1799" width="7.265625" style="75" customWidth="1"/>
    <col min="1800" max="1800" width="9.265625" style="75" customWidth="1"/>
    <col min="1801" max="1801" width="10.265625" style="75" customWidth="1"/>
    <col min="1802" max="1802" width="9.19921875" style="75" customWidth="1"/>
    <col min="1803" max="1803" width="8.19921875" style="75" customWidth="1"/>
    <col min="1804" max="1804" width="8" style="75" customWidth="1"/>
    <col min="1805" max="1805" width="1.73046875" style="75" customWidth="1"/>
    <col min="1806" max="1806" width="10.19921875" style="75" customWidth="1"/>
    <col min="1807" max="1807" width="16.53125" style="75" customWidth="1"/>
    <col min="1808" max="1808" width="13.73046875" style="75" customWidth="1"/>
    <col min="1809" max="1809" width="8.265625" style="75" customWidth="1"/>
    <col min="1810" max="1810" width="8.73046875" style="75" customWidth="1"/>
    <col min="1811" max="1811" width="7.796875" style="75" customWidth="1"/>
    <col min="1812" max="1812" width="1.265625" style="75" customWidth="1"/>
    <col min="1813" max="1813" width="10.19921875" style="75" customWidth="1"/>
    <col min="1814" max="1814" width="7.265625" style="75" customWidth="1"/>
    <col min="1815" max="2048" width="4.265625" style="75"/>
    <col min="2049" max="2049" width="15.19921875" style="75" customWidth="1"/>
    <col min="2050" max="2050" width="10.73046875" style="75" customWidth="1"/>
    <col min="2051" max="2051" width="12.265625" style="75" customWidth="1"/>
    <col min="2052" max="2052" width="9.73046875" style="75" customWidth="1"/>
    <col min="2053" max="2053" width="10.19921875" style="75" customWidth="1"/>
    <col min="2054" max="2054" width="11.73046875" style="75" customWidth="1"/>
    <col min="2055" max="2055" width="7.265625" style="75" customWidth="1"/>
    <col min="2056" max="2056" width="9.265625" style="75" customWidth="1"/>
    <col min="2057" max="2057" width="10.265625" style="75" customWidth="1"/>
    <col min="2058" max="2058" width="9.19921875" style="75" customWidth="1"/>
    <col min="2059" max="2059" width="8.19921875" style="75" customWidth="1"/>
    <col min="2060" max="2060" width="8" style="75" customWidth="1"/>
    <col min="2061" max="2061" width="1.73046875" style="75" customWidth="1"/>
    <col min="2062" max="2062" width="10.19921875" style="75" customWidth="1"/>
    <col min="2063" max="2063" width="16.53125" style="75" customWidth="1"/>
    <col min="2064" max="2064" width="13.73046875" style="75" customWidth="1"/>
    <col min="2065" max="2065" width="8.265625" style="75" customWidth="1"/>
    <col min="2066" max="2066" width="8.73046875" style="75" customWidth="1"/>
    <col min="2067" max="2067" width="7.796875" style="75" customWidth="1"/>
    <col min="2068" max="2068" width="1.265625" style="75" customWidth="1"/>
    <col min="2069" max="2069" width="10.19921875" style="75" customWidth="1"/>
    <col min="2070" max="2070" width="7.265625" style="75" customWidth="1"/>
    <col min="2071" max="2304" width="4.265625" style="75"/>
    <col min="2305" max="2305" width="15.19921875" style="75" customWidth="1"/>
    <col min="2306" max="2306" width="10.73046875" style="75" customWidth="1"/>
    <col min="2307" max="2307" width="12.265625" style="75" customWidth="1"/>
    <col min="2308" max="2308" width="9.73046875" style="75" customWidth="1"/>
    <col min="2309" max="2309" width="10.19921875" style="75" customWidth="1"/>
    <col min="2310" max="2310" width="11.73046875" style="75" customWidth="1"/>
    <col min="2311" max="2311" width="7.265625" style="75" customWidth="1"/>
    <col min="2312" max="2312" width="9.265625" style="75" customWidth="1"/>
    <col min="2313" max="2313" width="10.265625" style="75" customWidth="1"/>
    <col min="2314" max="2314" width="9.19921875" style="75" customWidth="1"/>
    <col min="2315" max="2315" width="8.19921875" style="75" customWidth="1"/>
    <col min="2316" max="2316" width="8" style="75" customWidth="1"/>
    <col min="2317" max="2317" width="1.73046875" style="75" customWidth="1"/>
    <col min="2318" max="2318" width="10.19921875" style="75" customWidth="1"/>
    <col min="2319" max="2319" width="16.53125" style="75" customWidth="1"/>
    <col min="2320" max="2320" width="13.73046875" style="75" customWidth="1"/>
    <col min="2321" max="2321" width="8.265625" style="75" customWidth="1"/>
    <col min="2322" max="2322" width="8.73046875" style="75" customWidth="1"/>
    <col min="2323" max="2323" width="7.796875" style="75" customWidth="1"/>
    <col min="2324" max="2324" width="1.265625" style="75" customWidth="1"/>
    <col min="2325" max="2325" width="10.19921875" style="75" customWidth="1"/>
    <col min="2326" max="2326" width="7.265625" style="75" customWidth="1"/>
    <col min="2327" max="2560" width="4.265625" style="75"/>
    <col min="2561" max="2561" width="15.19921875" style="75" customWidth="1"/>
    <col min="2562" max="2562" width="10.73046875" style="75" customWidth="1"/>
    <col min="2563" max="2563" width="12.265625" style="75" customWidth="1"/>
    <col min="2564" max="2564" width="9.73046875" style="75" customWidth="1"/>
    <col min="2565" max="2565" width="10.19921875" style="75" customWidth="1"/>
    <col min="2566" max="2566" width="11.73046875" style="75" customWidth="1"/>
    <col min="2567" max="2567" width="7.265625" style="75" customWidth="1"/>
    <col min="2568" max="2568" width="9.265625" style="75" customWidth="1"/>
    <col min="2569" max="2569" width="10.265625" style="75" customWidth="1"/>
    <col min="2570" max="2570" width="9.19921875" style="75" customWidth="1"/>
    <col min="2571" max="2571" width="8.19921875" style="75" customWidth="1"/>
    <col min="2572" max="2572" width="8" style="75" customWidth="1"/>
    <col min="2573" max="2573" width="1.73046875" style="75" customWidth="1"/>
    <col min="2574" max="2574" width="10.19921875" style="75" customWidth="1"/>
    <col min="2575" max="2575" width="16.53125" style="75" customWidth="1"/>
    <col min="2576" max="2576" width="13.73046875" style="75" customWidth="1"/>
    <col min="2577" max="2577" width="8.265625" style="75" customWidth="1"/>
    <col min="2578" max="2578" width="8.73046875" style="75" customWidth="1"/>
    <col min="2579" max="2579" width="7.796875" style="75" customWidth="1"/>
    <col min="2580" max="2580" width="1.265625" style="75" customWidth="1"/>
    <col min="2581" max="2581" width="10.19921875" style="75" customWidth="1"/>
    <col min="2582" max="2582" width="7.265625" style="75" customWidth="1"/>
    <col min="2583" max="2816" width="4.265625" style="75"/>
    <col min="2817" max="2817" width="15.19921875" style="75" customWidth="1"/>
    <col min="2818" max="2818" width="10.73046875" style="75" customWidth="1"/>
    <col min="2819" max="2819" width="12.265625" style="75" customWidth="1"/>
    <col min="2820" max="2820" width="9.73046875" style="75" customWidth="1"/>
    <col min="2821" max="2821" width="10.19921875" style="75" customWidth="1"/>
    <col min="2822" max="2822" width="11.73046875" style="75" customWidth="1"/>
    <col min="2823" max="2823" width="7.265625" style="75" customWidth="1"/>
    <col min="2824" max="2824" width="9.265625" style="75" customWidth="1"/>
    <col min="2825" max="2825" width="10.265625" style="75" customWidth="1"/>
    <col min="2826" max="2826" width="9.19921875" style="75" customWidth="1"/>
    <col min="2827" max="2827" width="8.19921875" style="75" customWidth="1"/>
    <col min="2828" max="2828" width="8" style="75" customWidth="1"/>
    <col min="2829" max="2829" width="1.73046875" style="75" customWidth="1"/>
    <col min="2830" max="2830" width="10.19921875" style="75" customWidth="1"/>
    <col min="2831" max="2831" width="16.53125" style="75" customWidth="1"/>
    <col min="2832" max="2832" width="13.73046875" style="75" customWidth="1"/>
    <col min="2833" max="2833" width="8.265625" style="75" customWidth="1"/>
    <col min="2834" max="2834" width="8.73046875" style="75" customWidth="1"/>
    <col min="2835" max="2835" width="7.796875" style="75" customWidth="1"/>
    <col min="2836" max="2836" width="1.265625" style="75" customWidth="1"/>
    <col min="2837" max="2837" width="10.19921875" style="75" customWidth="1"/>
    <col min="2838" max="2838" width="7.265625" style="75" customWidth="1"/>
    <col min="2839" max="3072" width="4.265625" style="75"/>
    <col min="3073" max="3073" width="15.19921875" style="75" customWidth="1"/>
    <col min="3074" max="3074" width="10.73046875" style="75" customWidth="1"/>
    <col min="3075" max="3075" width="12.265625" style="75" customWidth="1"/>
    <col min="3076" max="3076" width="9.73046875" style="75" customWidth="1"/>
    <col min="3077" max="3077" width="10.19921875" style="75" customWidth="1"/>
    <col min="3078" max="3078" width="11.73046875" style="75" customWidth="1"/>
    <col min="3079" max="3079" width="7.265625" style="75" customWidth="1"/>
    <col min="3080" max="3080" width="9.265625" style="75" customWidth="1"/>
    <col min="3081" max="3081" width="10.265625" style="75" customWidth="1"/>
    <col min="3082" max="3082" width="9.19921875" style="75" customWidth="1"/>
    <col min="3083" max="3083" width="8.19921875" style="75" customWidth="1"/>
    <col min="3084" max="3084" width="8" style="75" customWidth="1"/>
    <col min="3085" max="3085" width="1.73046875" style="75" customWidth="1"/>
    <col min="3086" max="3086" width="10.19921875" style="75" customWidth="1"/>
    <col min="3087" max="3087" width="16.53125" style="75" customWidth="1"/>
    <col min="3088" max="3088" width="13.73046875" style="75" customWidth="1"/>
    <col min="3089" max="3089" width="8.265625" style="75" customWidth="1"/>
    <col min="3090" max="3090" width="8.73046875" style="75" customWidth="1"/>
    <col min="3091" max="3091" width="7.796875" style="75" customWidth="1"/>
    <col min="3092" max="3092" width="1.265625" style="75" customWidth="1"/>
    <col min="3093" max="3093" width="10.19921875" style="75" customWidth="1"/>
    <col min="3094" max="3094" width="7.265625" style="75" customWidth="1"/>
    <col min="3095" max="3328" width="4.265625" style="75"/>
    <col min="3329" max="3329" width="15.19921875" style="75" customWidth="1"/>
    <col min="3330" max="3330" width="10.73046875" style="75" customWidth="1"/>
    <col min="3331" max="3331" width="12.265625" style="75" customWidth="1"/>
    <col min="3332" max="3332" width="9.73046875" style="75" customWidth="1"/>
    <col min="3333" max="3333" width="10.19921875" style="75" customWidth="1"/>
    <col min="3334" max="3334" width="11.73046875" style="75" customWidth="1"/>
    <col min="3335" max="3335" width="7.265625" style="75" customWidth="1"/>
    <col min="3336" max="3336" width="9.265625" style="75" customWidth="1"/>
    <col min="3337" max="3337" width="10.265625" style="75" customWidth="1"/>
    <col min="3338" max="3338" width="9.19921875" style="75" customWidth="1"/>
    <col min="3339" max="3339" width="8.19921875" style="75" customWidth="1"/>
    <col min="3340" max="3340" width="8" style="75" customWidth="1"/>
    <col min="3341" max="3341" width="1.73046875" style="75" customWidth="1"/>
    <col min="3342" max="3342" width="10.19921875" style="75" customWidth="1"/>
    <col min="3343" max="3343" width="16.53125" style="75" customWidth="1"/>
    <col min="3344" max="3344" width="13.73046875" style="75" customWidth="1"/>
    <col min="3345" max="3345" width="8.265625" style="75" customWidth="1"/>
    <col min="3346" max="3346" width="8.73046875" style="75" customWidth="1"/>
    <col min="3347" max="3347" width="7.796875" style="75" customWidth="1"/>
    <col min="3348" max="3348" width="1.265625" style="75" customWidth="1"/>
    <col min="3349" max="3349" width="10.19921875" style="75" customWidth="1"/>
    <col min="3350" max="3350" width="7.265625" style="75" customWidth="1"/>
    <col min="3351" max="3584" width="4.265625" style="75"/>
    <col min="3585" max="3585" width="15.19921875" style="75" customWidth="1"/>
    <col min="3586" max="3586" width="10.73046875" style="75" customWidth="1"/>
    <col min="3587" max="3587" width="12.265625" style="75" customWidth="1"/>
    <col min="3588" max="3588" width="9.73046875" style="75" customWidth="1"/>
    <col min="3589" max="3589" width="10.19921875" style="75" customWidth="1"/>
    <col min="3590" max="3590" width="11.73046875" style="75" customWidth="1"/>
    <col min="3591" max="3591" width="7.265625" style="75" customWidth="1"/>
    <col min="3592" max="3592" width="9.265625" style="75" customWidth="1"/>
    <col min="3593" max="3593" width="10.265625" style="75" customWidth="1"/>
    <col min="3594" max="3594" width="9.19921875" style="75" customWidth="1"/>
    <col min="3595" max="3595" width="8.19921875" style="75" customWidth="1"/>
    <col min="3596" max="3596" width="8" style="75" customWidth="1"/>
    <col min="3597" max="3597" width="1.73046875" style="75" customWidth="1"/>
    <col min="3598" max="3598" width="10.19921875" style="75" customWidth="1"/>
    <col min="3599" max="3599" width="16.53125" style="75" customWidth="1"/>
    <col min="3600" max="3600" width="13.73046875" style="75" customWidth="1"/>
    <col min="3601" max="3601" width="8.265625" style="75" customWidth="1"/>
    <col min="3602" max="3602" width="8.73046875" style="75" customWidth="1"/>
    <col min="3603" max="3603" width="7.796875" style="75" customWidth="1"/>
    <col min="3604" max="3604" width="1.265625" style="75" customWidth="1"/>
    <col min="3605" max="3605" width="10.19921875" style="75" customWidth="1"/>
    <col min="3606" max="3606" width="7.265625" style="75" customWidth="1"/>
    <col min="3607" max="3840" width="4.265625" style="75"/>
    <col min="3841" max="3841" width="15.19921875" style="75" customWidth="1"/>
    <col min="3842" max="3842" width="10.73046875" style="75" customWidth="1"/>
    <col min="3843" max="3843" width="12.265625" style="75" customWidth="1"/>
    <col min="3844" max="3844" width="9.73046875" style="75" customWidth="1"/>
    <col min="3845" max="3845" width="10.19921875" style="75" customWidth="1"/>
    <col min="3846" max="3846" width="11.73046875" style="75" customWidth="1"/>
    <col min="3847" max="3847" width="7.265625" style="75" customWidth="1"/>
    <col min="3848" max="3848" width="9.265625" style="75" customWidth="1"/>
    <col min="3849" max="3849" width="10.265625" style="75" customWidth="1"/>
    <col min="3850" max="3850" width="9.19921875" style="75" customWidth="1"/>
    <col min="3851" max="3851" width="8.19921875" style="75" customWidth="1"/>
    <col min="3852" max="3852" width="8" style="75" customWidth="1"/>
    <col min="3853" max="3853" width="1.73046875" style="75" customWidth="1"/>
    <col min="3854" max="3854" width="10.19921875" style="75" customWidth="1"/>
    <col min="3855" max="3855" width="16.53125" style="75" customWidth="1"/>
    <col min="3856" max="3856" width="13.73046875" style="75" customWidth="1"/>
    <col min="3857" max="3857" width="8.265625" style="75" customWidth="1"/>
    <col min="3858" max="3858" width="8.73046875" style="75" customWidth="1"/>
    <col min="3859" max="3859" width="7.796875" style="75" customWidth="1"/>
    <col min="3860" max="3860" width="1.265625" style="75" customWidth="1"/>
    <col min="3861" max="3861" width="10.19921875" style="75" customWidth="1"/>
    <col min="3862" max="3862" width="7.265625" style="75" customWidth="1"/>
    <col min="3863" max="4096" width="4.265625" style="75"/>
    <col min="4097" max="4097" width="15.19921875" style="75" customWidth="1"/>
    <col min="4098" max="4098" width="10.73046875" style="75" customWidth="1"/>
    <col min="4099" max="4099" width="12.265625" style="75" customWidth="1"/>
    <col min="4100" max="4100" width="9.73046875" style="75" customWidth="1"/>
    <col min="4101" max="4101" width="10.19921875" style="75" customWidth="1"/>
    <col min="4102" max="4102" width="11.73046875" style="75" customWidth="1"/>
    <col min="4103" max="4103" width="7.265625" style="75" customWidth="1"/>
    <col min="4104" max="4104" width="9.265625" style="75" customWidth="1"/>
    <col min="4105" max="4105" width="10.265625" style="75" customWidth="1"/>
    <col min="4106" max="4106" width="9.19921875" style="75" customWidth="1"/>
    <col min="4107" max="4107" width="8.19921875" style="75" customWidth="1"/>
    <col min="4108" max="4108" width="8" style="75" customWidth="1"/>
    <col min="4109" max="4109" width="1.73046875" style="75" customWidth="1"/>
    <col min="4110" max="4110" width="10.19921875" style="75" customWidth="1"/>
    <col min="4111" max="4111" width="16.53125" style="75" customWidth="1"/>
    <col min="4112" max="4112" width="13.73046875" style="75" customWidth="1"/>
    <col min="4113" max="4113" width="8.265625" style="75" customWidth="1"/>
    <col min="4114" max="4114" width="8.73046875" style="75" customWidth="1"/>
    <col min="4115" max="4115" width="7.796875" style="75" customWidth="1"/>
    <col min="4116" max="4116" width="1.265625" style="75" customWidth="1"/>
    <col min="4117" max="4117" width="10.19921875" style="75" customWidth="1"/>
    <col min="4118" max="4118" width="7.265625" style="75" customWidth="1"/>
    <col min="4119" max="4352" width="4.265625" style="75"/>
    <col min="4353" max="4353" width="15.19921875" style="75" customWidth="1"/>
    <col min="4354" max="4354" width="10.73046875" style="75" customWidth="1"/>
    <col min="4355" max="4355" width="12.265625" style="75" customWidth="1"/>
    <col min="4356" max="4356" width="9.73046875" style="75" customWidth="1"/>
    <col min="4357" max="4357" width="10.19921875" style="75" customWidth="1"/>
    <col min="4358" max="4358" width="11.73046875" style="75" customWidth="1"/>
    <col min="4359" max="4359" width="7.265625" style="75" customWidth="1"/>
    <col min="4360" max="4360" width="9.265625" style="75" customWidth="1"/>
    <col min="4361" max="4361" width="10.265625" style="75" customWidth="1"/>
    <col min="4362" max="4362" width="9.19921875" style="75" customWidth="1"/>
    <col min="4363" max="4363" width="8.19921875" style="75" customWidth="1"/>
    <col min="4364" max="4364" width="8" style="75" customWidth="1"/>
    <col min="4365" max="4365" width="1.73046875" style="75" customWidth="1"/>
    <col min="4366" max="4366" width="10.19921875" style="75" customWidth="1"/>
    <col min="4367" max="4367" width="16.53125" style="75" customWidth="1"/>
    <col min="4368" max="4368" width="13.73046875" style="75" customWidth="1"/>
    <col min="4369" max="4369" width="8.265625" style="75" customWidth="1"/>
    <col min="4370" max="4370" width="8.73046875" style="75" customWidth="1"/>
    <col min="4371" max="4371" width="7.796875" style="75" customWidth="1"/>
    <col min="4372" max="4372" width="1.265625" style="75" customWidth="1"/>
    <col min="4373" max="4373" width="10.19921875" style="75" customWidth="1"/>
    <col min="4374" max="4374" width="7.265625" style="75" customWidth="1"/>
    <col min="4375" max="4608" width="4.265625" style="75"/>
    <col min="4609" max="4609" width="15.19921875" style="75" customWidth="1"/>
    <col min="4610" max="4610" width="10.73046875" style="75" customWidth="1"/>
    <col min="4611" max="4611" width="12.265625" style="75" customWidth="1"/>
    <col min="4612" max="4612" width="9.73046875" style="75" customWidth="1"/>
    <col min="4613" max="4613" width="10.19921875" style="75" customWidth="1"/>
    <col min="4614" max="4614" width="11.73046875" style="75" customWidth="1"/>
    <col min="4615" max="4615" width="7.265625" style="75" customWidth="1"/>
    <col min="4616" max="4616" width="9.265625" style="75" customWidth="1"/>
    <col min="4617" max="4617" width="10.265625" style="75" customWidth="1"/>
    <col min="4618" max="4618" width="9.19921875" style="75" customWidth="1"/>
    <col min="4619" max="4619" width="8.19921875" style="75" customWidth="1"/>
    <col min="4620" max="4620" width="8" style="75" customWidth="1"/>
    <col min="4621" max="4621" width="1.73046875" style="75" customWidth="1"/>
    <col min="4622" max="4622" width="10.19921875" style="75" customWidth="1"/>
    <col min="4623" max="4623" width="16.53125" style="75" customWidth="1"/>
    <col min="4624" max="4624" width="13.73046875" style="75" customWidth="1"/>
    <col min="4625" max="4625" width="8.265625" style="75" customWidth="1"/>
    <col min="4626" max="4626" width="8.73046875" style="75" customWidth="1"/>
    <col min="4627" max="4627" width="7.796875" style="75" customWidth="1"/>
    <col min="4628" max="4628" width="1.265625" style="75" customWidth="1"/>
    <col min="4629" max="4629" width="10.19921875" style="75" customWidth="1"/>
    <col min="4630" max="4630" width="7.265625" style="75" customWidth="1"/>
    <col min="4631" max="4864" width="4.265625" style="75"/>
    <col min="4865" max="4865" width="15.19921875" style="75" customWidth="1"/>
    <col min="4866" max="4866" width="10.73046875" style="75" customWidth="1"/>
    <col min="4867" max="4867" width="12.265625" style="75" customWidth="1"/>
    <col min="4868" max="4868" width="9.73046875" style="75" customWidth="1"/>
    <col min="4869" max="4869" width="10.19921875" style="75" customWidth="1"/>
    <col min="4870" max="4870" width="11.73046875" style="75" customWidth="1"/>
    <col min="4871" max="4871" width="7.265625" style="75" customWidth="1"/>
    <col min="4872" max="4872" width="9.265625" style="75" customWidth="1"/>
    <col min="4873" max="4873" width="10.265625" style="75" customWidth="1"/>
    <col min="4874" max="4874" width="9.19921875" style="75" customWidth="1"/>
    <col min="4875" max="4875" width="8.19921875" style="75" customWidth="1"/>
    <col min="4876" max="4876" width="8" style="75" customWidth="1"/>
    <col min="4877" max="4877" width="1.73046875" style="75" customWidth="1"/>
    <col min="4878" max="4878" width="10.19921875" style="75" customWidth="1"/>
    <col min="4879" max="4879" width="16.53125" style="75" customWidth="1"/>
    <col min="4880" max="4880" width="13.73046875" style="75" customWidth="1"/>
    <col min="4881" max="4881" width="8.265625" style="75" customWidth="1"/>
    <col min="4882" max="4882" width="8.73046875" style="75" customWidth="1"/>
    <col min="4883" max="4883" width="7.796875" style="75" customWidth="1"/>
    <col min="4884" max="4884" width="1.265625" style="75" customWidth="1"/>
    <col min="4885" max="4885" width="10.19921875" style="75" customWidth="1"/>
    <col min="4886" max="4886" width="7.265625" style="75" customWidth="1"/>
    <col min="4887" max="5120" width="4.265625" style="75"/>
    <col min="5121" max="5121" width="15.19921875" style="75" customWidth="1"/>
    <col min="5122" max="5122" width="10.73046875" style="75" customWidth="1"/>
    <col min="5123" max="5123" width="12.265625" style="75" customWidth="1"/>
    <col min="5124" max="5124" width="9.73046875" style="75" customWidth="1"/>
    <col min="5125" max="5125" width="10.19921875" style="75" customWidth="1"/>
    <col min="5126" max="5126" width="11.73046875" style="75" customWidth="1"/>
    <col min="5127" max="5127" width="7.265625" style="75" customWidth="1"/>
    <col min="5128" max="5128" width="9.265625" style="75" customWidth="1"/>
    <col min="5129" max="5129" width="10.265625" style="75" customWidth="1"/>
    <col min="5130" max="5130" width="9.19921875" style="75" customWidth="1"/>
    <col min="5131" max="5131" width="8.19921875" style="75" customWidth="1"/>
    <col min="5132" max="5132" width="8" style="75" customWidth="1"/>
    <col min="5133" max="5133" width="1.73046875" style="75" customWidth="1"/>
    <col min="5134" max="5134" width="10.19921875" style="75" customWidth="1"/>
    <col min="5135" max="5135" width="16.53125" style="75" customWidth="1"/>
    <col min="5136" max="5136" width="13.73046875" style="75" customWidth="1"/>
    <col min="5137" max="5137" width="8.265625" style="75" customWidth="1"/>
    <col min="5138" max="5138" width="8.73046875" style="75" customWidth="1"/>
    <col min="5139" max="5139" width="7.796875" style="75" customWidth="1"/>
    <col min="5140" max="5140" width="1.265625" style="75" customWidth="1"/>
    <col min="5141" max="5141" width="10.19921875" style="75" customWidth="1"/>
    <col min="5142" max="5142" width="7.265625" style="75" customWidth="1"/>
    <col min="5143" max="5376" width="4.265625" style="75"/>
    <col min="5377" max="5377" width="15.19921875" style="75" customWidth="1"/>
    <col min="5378" max="5378" width="10.73046875" style="75" customWidth="1"/>
    <col min="5379" max="5379" width="12.265625" style="75" customWidth="1"/>
    <col min="5380" max="5380" width="9.73046875" style="75" customWidth="1"/>
    <col min="5381" max="5381" width="10.19921875" style="75" customWidth="1"/>
    <col min="5382" max="5382" width="11.73046875" style="75" customWidth="1"/>
    <col min="5383" max="5383" width="7.265625" style="75" customWidth="1"/>
    <col min="5384" max="5384" width="9.265625" style="75" customWidth="1"/>
    <col min="5385" max="5385" width="10.265625" style="75" customWidth="1"/>
    <col min="5386" max="5386" width="9.19921875" style="75" customWidth="1"/>
    <col min="5387" max="5387" width="8.19921875" style="75" customWidth="1"/>
    <col min="5388" max="5388" width="8" style="75" customWidth="1"/>
    <col min="5389" max="5389" width="1.73046875" style="75" customWidth="1"/>
    <col min="5390" max="5390" width="10.19921875" style="75" customWidth="1"/>
    <col min="5391" max="5391" width="16.53125" style="75" customWidth="1"/>
    <col min="5392" max="5392" width="13.73046875" style="75" customWidth="1"/>
    <col min="5393" max="5393" width="8.265625" style="75" customWidth="1"/>
    <col min="5394" max="5394" width="8.73046875" style="75" customWidth="1"/>
    <col min="5395" max="5395" width="7.796875" style="75" customWidth="1"/>
    <col min="5396" max="5396" width="1.265625" style="75" customWidth="1"/>
    <col min="5397" max="5397" width="10.19921875" style="75" customWidth="1"/>
    <col min="5398" max="5398" width="7.265625" style="75" customWidth="1"/>
    <col min="5399" max="5632" width="4.265625" style="75"/>
    <col min="5633" max="5633" width="15.19921875" style="75" customWidth="1"/>
    <col min="5634" max="5634" width="10.73046875" style="75" customWidth="1"/>
    <col min="5635" max="5635" width="12.265625" style="75" customWidth="1"/>
    <col min="5636" max="5636" width="9.73046875" style="75" customWidth="1"/>
    <col min="5637" max="5637" width="10.19921875" style="75" customWidth="1"/>
    <col min="5638" max="5638" width="11.73046875" style="75" customWidth="1"/>
    <col min="5639" max="5639" width="7.265625" style="75" customWidth="1"/>
    <col min="5640" max="5640" width="9.265625" style="75" customWidth="1"/>
    <col min="5641" max="5641" width="10.265625" style="75" customWidth="1"/>
    <col min="5642" max="5642" width="9.19921875" style="75" customWidth="1"/>
    <col min="5643" max="5643" width="8.19921875" style="75" customWidth="1"/>
    <col min="5644" max="5644" width="8" style="75" customWidth="1"/>
    <col min="5645" max="5645" width="1.73046875" style="75" customWidth="1"/>
    <col min="5646" max="5646" width="10.19921875" style="75" customWidth="1"/>
    <col min="5647" max="5647" width="16.53125" style="75" customWidth="1"/>
    <col min="5648" max="5648" width="13.73046875" style="75" customWidth="1"/>
    <col min="5649" max="5649" width="8.265625" style="75" customWidth="1"/>
    <col min="5650" max="5650" width="8.73046875" style="75" customWidth="1"/>
    <col min="5651" max="5651" width="7.796875" style="75" customWidth="1"/>
    <col min="5652" max="5652" width="1.265625" style="75" customWidth="1"/>
    <col min="5653" max="5653" width="10.19921875" style="75" customWidth="1"/>
    <col min="5654" max="5654" width="7.265625" style="75" customWidth="1"/>
    <col min="5655" max="5888" width="4.265625" style="75"/>
    <col min="5889" max="5889" width="15.19921875" style="75" customWidth="1"/>
    <col min="5890" max="5890" width="10.73046875" style="75" customWidth="1"/>
    <col min="5891" max="5891" width="12.265625" style="75" customWidth="1"/>
    <col min="5892" max="5892" width="9.73046875" style="75" customWidth="1"/>
    <col min="5893" max="5893" width="10.19921875" style="75" customWidth="1"/>
    <col min="5894" max="5894" width="11.73046875" style="75" customWidth="1"/>
    <col min="5895" max="5895" width="7.265625" style="75" customWidth="1"/>
    <col min="5896" max="5896" width="9.265625" style="75" customWidth="1"/>
    <col min="5897" max="5897" width="10.265625" style="75" customWidth="1"/>
    <col min="5898" max="5898" width="9.19921875" style="75" customWidth="1"/>
    <col min="5899" max="5899" width="8.19921875" style="75" customWidth="1"/>
    <col min="5900" max="5900" width="8" style="75" customWidth="1"/>
    <col min="5901" max="5901" width="1.73046875" style="75" customWidth="1"/>
    <col min="5902" max="5902" width="10.19921875" style="75" customWidth="1"/>
    <col min="5903" max="5903" width="16.53125" style="75" customWidth="1"/>
    <col min="5904" max="5904" width="13.73046875" style="75" customWidth="1"/>
    <col min="5905" max="5905" width="8.265625" style="75" customWidth="1"/>
    <col min="5906" max="5906" width="8.73046875" style="75" customWidth="1"/>
    <col min="5907" max="5907" width="7.796875" style="75" customWidth="1"/>
    <col min="5908" max="5908" width="1.265625" style="75" customWidth="1"/>
    <col min="5909" max="5909" width="10.19921875" style="75" customWidth="1"/>
    <col min="5910" max="5910" width="7.265625" style="75" customWidth="1"/>
    <col min="5911" max="6144" width="4.265625" style="75"/>
    <col min="6145" max="6145" width="15.19921875" style="75" customWidth="1"/>
    <col min="6146" max="6146" width="10.73046875" style="75" customWidth="1"/>
    <col min="6147" max="6147" width="12.265625" style="75" customWidth="1"/>
    <col min="6148" max="6148" width="9.73046875" style="75" customWidth="1"/>
    <col min="6149" max="6149" width="10.19921875" style="75" customWidth="1"/>
    <col min="6150" max="6150" width="11.73046875" style="75" customWidth="1"/>
    <col min="6151" max="6151" width="7.265625" style="75" customWidth="1"/>
    <col min="6152" max="6152" width="9.265625" style="75" customWidth="1"/>
    <col min="6153" max="6153" width="10.265625" style="75" customWidth="1"/>
    <col min="6154" max="6154" width="9.19921875" style="75" customWidth="1"/>
    <col min="6155" max="6155" width="8.19921875" style="75" customWidth="1"/>
    <col min="6156" max="6156" width="8" style="75" customWidth="1"/>
    <col min="6157" max="6157" width="1.73046875" style="75" customWidth="1"/>
    <col min="6158" max="6158" width="10.19921875" style="75" customWidth="1"/>
    <col min="6159" max="6159" width="16.53125" style="75" customWidth="1"/>
    <col min="6160" max="6160" width="13.73046875" style="75" customWidth="1"/>
    <col min="6161" max="6161" width="8.265625" style="75" customWidth="1"/>
    <col min="6162" max="6162" width="8.73046875" style="75" customWidth="1"/>
    <col min="6163" max="6163" width="7.796875" style="75" customWidth="1"/>
    <col min="6164" max="6164" width="1.265625" style="75" customWidth="1"/>
    <col min="6165" max="6165" width="10.19921875" style="75" customWidth="1"/>
    <col min="6166" max="6166" width="7.265625" style="75" customWidth="1"/>
    <col min="6167" max="6400" width="4.265625" style="75"/>
    <col min="6401" max="6401" width="15.19921875" style="75" customWidth="1"/>
    <col min="6402" max="6402" width="10.73046875" style="75" customWidth="1"/>
    <col min="6403" max="6403" width="12.265625" style="75" customWidth="1"/>
    <col min="6404" max="6404" width="9.73046875" style="75" customWidth="1"/>
    <col min="6405" max="6405" width="10.19921875" style="75" customWidth="1"/>
    <col min="6406" max="6406" width="11.73046875" style="75" customWidth="1"/>
    <col min="6407" max="6407" width="7.265625" style="75" customWidth="1"/>
    <col min="6408" max="6408" width="9.265625" style="75" customWidth="1"/>
    <col min="6409" max="6409" width="10.265625" style="75" customWidth="1"/>
    <col min="6410" max="6410" width="9.19921875" style="75" customWidth="1"/>
    <col min="6411" max="6411" width="8.19921875" style="75" customWidth="1"/>
    <col min="6412" max="6412" width="8" style="75" customWidth="1"/>
    <col min="6413" max="6413" width="1.73046875" style="75" customWidth="1"/>
    <col min="6414" max="6414" width="10.19921875" style="75" customWidth="1"/>
    <col min="6415" max="6415" width="16.53125" style="75" customWidth="1"/>
    <col min="6416" max="6416" width="13.73046875" style="75" customWidth="1"/>
    <col min="6417" max="6417" width="8.265625" style="75" customWidth="1"/>
    <col min="6418" max="6418" width="8.73046875" style="75" customWidth="1"/>
    <col min="6419" max="6419" width="7.796875" style="75" customWidth="1"/>
    <col min="6420" max="6420" width="1.265625" style="75" customWidth="1"/>
    <col min="6421" max="6421" width="10.19921875" style="75" customWidth="1"/>
    <col min="6422" max="6422" width="7.265625" style="75" customWidth="1"/>
    <col min="6423" max="6656" width="4.265625" style="75"/>
    <col min="6657" max="6657" width="15.19921875" style="75" customWidth="1"/>
    <col min="6658" max="6658" width="10.73046875" style="75" customWidth="1"/>
    <col min="6659" max="6659" width="12.265625" style="75" customWidth="1"/>
    <col min="6660" max="6660" width="9.73046875" style="75" customWidth="1"/>
    <col min="6661" max="6661" width="10.19921875" style="75" customWidth="1"/>
    <col min="6662" max="6662" width="11.73046875" style="75" customWidth="1"/>
    <col min="6663" max="6663" width="7.265625" style="75" customWidth="1"/>
    <col min="6664" max="6664" width="9.265625" style="75" customWidth="1"/>
    <col min="6665" max="6665" width="10.265625" style="75" customWidth="1"/>
    <col min="6666" max="6666" width="9.19921875" style="75" customWidth="1"/>
    <col min="6667" max="6667" width="8.19921875" style="75" customWidth="1"/>
    <col min="6668" max="6668" width="8" style="75" customWidth="1"/>
    <col min="6669" max="6669" width="1.73046875" style="75" customWidth="1"/>
    <col min="6670" max="6670" width="10.19921875" style="75" customWidth="1"/>
    <col min="6671" max="6671" width="16.53125" style="75" customWidth="1"/>
    <col min="6672" max="6672" width="13.73046875" style="75" customWidth="1"/>
    <col min="6673" max="6673" width="8.265625" style="75" customWidth="1"/>
    <col min="6674" max="6674" width="8.73046875" style="75" customWidth="1"/>
    <col min="6675" max="6675" width="7.796875" style="75" customWidth="1"/>
    <col min="6676" max="6676" width="1.265625" style="75" customWidth="1"/>
    <col min="6677" max="6677" width="10.19921875" style="75" customWidth="1"/>
    <col min="6678" max="6678" width="7.265625" style="75" customWidth="1"/>
    <col min="6679" max="6912" width="4.265625" style="75"/>
    <col min="6913" max="6913" width="15.19921875" style="75" customWidth="1"/>
    <col min="6914" max="6914" width="10.73046875" style="75" customWidth="1"/>
    <col min="6915" max="6915" width="12.265625" style="75" customWidth="1"/>
    <col min="6916" max="6916" width="9.73046875" style="75" customWidth="1"/>
    <col min="6917" max="6917" width="10.19921875" style="75" customWidth="1"/>
    <col min="6918" max="6918" width="11.73046875" style="75" customWidth="1"/>
    <col min="6919" max="6919" width="7.265625" style="75" customWidth="1"/>
    <col min="6920" max="6920" width="9.265625" style="75" customWidth="1"/>
    <col min="6921" max="6921" width="10.265625" style="75" customWidth="1"/>
    <col min="6922" max="6922" width="9.19921875" style="75" customWidth="1"/>
    <col min="6923" max="6923" width="8.19921875" style="75" customWidth="1"/>
    <col min="6924" max="6924" width="8" style="75" customWidth="1"/>
    <col min="6925" max="6925" width="1.73046875" style="75" customWidth="1"/>
    <col min="6926" max="6926" width="10.19921875" style="75" customWidth="1"/>
    <col min="6927" max="6927" width="16.53125" style="75" customWidth="1"/>
    <col min="6928" max="6928" width="13.73046875" style="75" customWidth="1"/>
    <col min="6929" max="6929" width="8.265625" style="75" customWidth="1"/>
    <col min="6930" max="6930" width="8.73046875" style="75" customWidth="1"/>
    <col min="6931" max="6931" width="7.796875" style="75" customWidth="1"/>
    <col min="6932" max="6932" width="1.265625" style="75" customWidth="1"/>
    <col min="6933" max="6933" width="10.19921875" style="75" customWidth="1"/>
    <col min="6934" max="6934" width="7.265625" style="75" customWidth="1"/>
    <col min="6935" max="7168" width="4.265625" style="75"/>
    <col min="7169" max="7169" width="15.19921875" style="75" customWidth="1"/>
    <col min="7170" max="7170" width="10.73046875" style="75" customWidth="1"/>
    <col min="7171" max="7171" width="12.265625" style="75" customWidth="1"/>
    <col min="7172" max="7172" width="9.73046875" style="75" customWidth="1"/>
    <col min="7173" max="7173" width="10.19921875" style="75" customWidth="1"/>
    <col min="7174" max="7174" width="11.73046875" style="75" customWidth="1"/>
    <col min="7175" max="7175" width="7.265625" style="75" customWidth="1"/>
    <col min="7176" max="7176" width="9.265625" style="75" customWidth="1"/>
    <col min="7177" max="7177" width="10.265625" style="75" customWidth="1"/>
    <col min="7178" max="7178" width="9.19921875" style="75" customWidth="1"/>
    <col min="7179" max="7179" width="8.19921875" style="75" customWidth="1"/>
    <col min="7180" max="7180" width="8" style="75" customWidth="1"/>
    <col min="7181" max="7181" width="1.73046875" style="75" customWidth="1"/>
    <col min="7182" max="7182" width="10.19921875" style="75" customWidth="1"/>
    <col min="7183" max="7183" width="16.53125" style="75" customWidth="1"/>
    <col min="7184" max="7184" width="13.73046875" style="75" customWidth="1"/>
    <col min="7185" max="7185" width="8.265625" style="75" customWidth="1"/>
    <col min="7186" max="7186" width="8.73046875" style="75" customWidth="1"/>
    <col min="7187" max="7187" width="7.796875" style="75" customWidth="1"/>
    <col min="7188" max="7188" width="1.265625" style="75" customWidth="1"/>
    <col min="7189" max="7189" width="10.19921875" style="75" customWidth="1"/>
    <col min="7190" max="7190" width="7.265625" style="75" customWidth="1"/>
    <col min="7191" max="7424" width="4.265625" style="75"/>
    <col min="7425" max="7425" width="15.19921875" style="75" customWidth="1"/>
    <col min="7426" max="7426" width="10.73046875" style="75" customWidth="1"/>
    <col min="7427" max="7427" width="12.265625" style="75" customWidth="1"/>
    <col min="7428" max="7428" width="9.73046875" style="75" customWidth="1"/>
    <col min="7429" max="7429" width="10.19921875" style="75" customWidth="1"/>
    <col min="7430" max="7430" width="11.73046875" style="75" customWidth="1"/>
    <col min="7431" max="7431" width="7.265625" style="75" customWidth="1"/>
    <col min="7432" max="7432" width="9.265625" style="75" customWidth="1"/>
    <col min="7433" max="7433" width="10.265625" style="75" customWidth="1"/>
    <col min="7434" max="7434" width="9.19921875" style="75" customWidth="1"/>
    <col min="7435" max="7435" width="8.19921875" style="75" customWidth="1"/>
    <col min="7436" max="7436" width="8" style="75" customWidth="1"/>
    <col min="7437" max="7437" width="1.73046875" style="75" customWidth="1"/>
    <col min="7438" max="7438" width="10.19921875" style="75" customWidth="1"/>
    <col min="7439" max="7439" width="16.53125" style="75" customWidth="1"/>
    <col min="7440" max="7440" width="13.73046875" style="75" customWidth="1"/>
    <col min="7441" max="7441" width="8.265625" style="75" customWidth="1"/>
    <col min="7442" max="7442" width="8.73046875" style="75" customWidth="1"/>
    <col min="7443" max="7443" width="7.796875" style="75" customWidth="1"/>
    <col min="7444" max="7444" width="1.265625" style="75" customWidth="1"/>
    <col min="7445" max="7445" width="10.19921875" style="75" customWidth="1"/>
    <col min="7446" max="7446" width="7.265625" style="75" customWidth="1"/>
    <col min="7447" max="7680" width="4.265625" style="75"/>
    <col min="7681" max="7681" width="15.19921875" style="75" customWidth="1"/>
    <col min="7682" max="7682" width="10.73046875" style="75" customWidth="1"/>
    <col min="7683" max="7683" width="12.265625" style="75" customWidth="1"/>
    <col min="7684" max="7684" width="9.73046875" style="75" customWidth="1"/>
    <col min="7685" max="7685" width="10.19921875" style="75" customWidth="1"/>
    <col min="7686" max="7686" width="11.73046875" style="75" customWidth="1"/>
    <col min="7687" max="7687" width="7.265625" style="75" customWidth="1"/>
    <col min="7688" max="7688" width="9.265625" style="75" customWidth="1"/>
    <col min="7689" max="7689" width="10.265625" style="75" customWidth="1"/>
    <col min="7690" max="7690" width="9.19921875" style="75" customWidth="1"/>
    <col min="7691" max="7691" width="8.19921875" style="75" customWidth="1"/>
    <col min="7692" max="7692" width="8" style="75" customWidth="1"/>
    <col min="7693" max="7693" width="1.73046875" style="75" customWidth="1"/>
    <col min="7694" max="7694" width="10.19921875" style="75" customWidth="1"/>
    <col min="7695" max="7695" width="16.53125" style="75" customWidth="1"/>
    <col min="7696" max="7696" width="13.73046875" style="75" customWidth="1"/>
    <col min="7697" max="7697" width="8.265625" style="75" customWidth="1"/>
    <col min="7698" max="7698" width="8.73046875" style="75" customWidth="1"/>
    <col min="7699" max="7699" width="7.796875" style="75" customWidth="1"/>
    <col min="7700" max="7700" width="1.265625" style="75" customWidth="1"/>
    <col min="7701" max="7701" width="10.19921875" style="75" customWidth="1"/>
    <col min="7702" max="7702" width="7.265625" style="75" customWidth="1"/>
    <col min="7703" max="7936" width="4.265625" style="75"/>
    <col min="7937" max="7937" width="15.19921875" style="75" customWidth="1"/>
    <col min="7938" max="7938" width="10.73046875" style="75" customWidth="1"/>
    <col min="7939" max="7939" width="12.265625" style="75" customWidth="1"/>
    <col min="7940" max="7940" width="9.73046875" style="75" customWidth="1"/>
    <col min="7941" max="7941" width="10.19921875" style="75" customWidth="1"/>
    <col min="7942" max="7942" width="11.73046875" style="75" customWidth="1"/>
    <col min="7943" max="7943" width="7.265625" style="75" customWidth="1"/>
    <col min="7944" max="7944" width="9.265625" style="75" customWidth="1"/>
    <col min="7945" max="7945" width="10.265625" style="75" customWidth="1"/>
    <col min="7946" max="7946" width="9.19921875" style="75" customWidth="1"/>
    <col min="7947" max="7947" width="8.19921875" style="75" customWidth="1"/>
    <col min="7948" max="7948" width="8" style="75" customWidth="1"/>
    <col min="7949" max="7949" width="1.73046875" style="75" customWidth="1"/>
    <col min="7950" max="7950" width="10.19921875" style="75" customWidth="1"/>
    <col min="7951" max="7951" width="16.53125" style="75" customWidth="1"/>
    <col min="7952" max="7952" width="13.73046875" style="75" customWidth="1"/>
    <col min="7953" max="7953" width="8.265625" style="75" customWidth="1"/>
    <col min="7954" max="7954" width="8.73046875" style="75" customWidth="1"/>
    <col min="7955" max="7955" width="7.796875" style="75" customWidth="1"/>
    <col min="7956" max="7956" width="1.265625" style="75" customWidth="1"/>
    <col min="7957" max="7957" width="10.19921875" style="75" customWidth="1"/>
    <col min="7958" max="7958" width="7.265625" style="75" customWidth="1"/>
    <col min="7959" max="8192" width="4.265625" style="75"/>
    <col min="8193" max="8193" width="15.19921875" style="75" customWidth="1"/>
    <col min="8194" max="8194" width="10.73046875" style="75" customWidth="1"/>
    <col min="8195" max="8195" width="12.265625" style="75" customWidth="1"/>
    <col min="8196" max="8196" width="9.73046875" style="75" customWidth="1"/>
    <col min="8197" max="8197" width="10.19921875" style="75" customWidth="1"/>
    <col min="8198" max="8198" width="11.73046875" style="75" customWidth="1"/>
    <col min="8199" max="8199" width="7.265625" style="75" customWidth="1"/>
    <col min="8200" max="8200" width="9.265625" style="75" customWidth="1"/>
    <col min="8201" max="8201" width="10.265625" style="75" customWidth="1"/>
    <col min="8202" max="8202" width="9.19921875" style="75" customWidth="1"/>
    <col min="8203" max="8203" width="8.19921875" style="75" customWidth="1"/>
    <col min="8204" max="8204" width="8" style="75" customWidth="1"/>
    <col min="8205" max="8205" width="1.73046875" style="75" customWidth="1"/>
    <col min="8206" max="8206" width="10.19921875" style="75" customWidth="1"/>
    <col min="8207" max="8207" width="16.53125" style="75" customWidth="1"/>
    <col min="8208" max="8208" width="13.73046875" style="75" customWidth="1"/>
    <col min="8209" max="8209" width="8.265625" style="75" customWidth="1"/>
    <col min="8210" max="8210" width="8.73046875" style="75" customWidth="1"/>
    <col min="8211" max="8211" width="7.796875" style="75" customWidth="1"/>
    <col min="8212" max="8212" width="1.265625" style="75" customWidth="1"/>
    <col min="8213" max="8213" width="10.19921875" style="75" customWidth="1"/>
    <col min="8214" max="8214" width="7.265625" style="75" customWidth="1"/>
    <col min="8215" max="8448" width="4.265625" style="75"/>
    <col min="8449" max="8449" width="15.19921875" style="75" customWidth="1"/>
    <col min="8450" max="8450" width="10.73046875" style="75" customWidth="1"/>
    <col min="8451" max="8451" width="12.265625" style="75" customWidth="1"/>
    <col min="8452" max="8452" width="9.73046875" style="75" customWidth="1"/>
    <col min="8453" max="8453" width="10.19921875" style="75" customWidth="1"/>
    <col min="8454" max="8454" width="11.73046875" style="75" customWidth="1"/>
    <col min="8455" max="8455" width="7.265625" style="75" customWidth="1"/>
    <col min="8456" max="8456" width="9.265625" style="75" customWidth="1"/>
    <col min="8457" max="8457" width="10.265625" style="75" customWidth="1"/>
    <col min="8458" max="8458" width="9.19921875" style="75" customWidth="1"/>
    <col min="8459" max="8459" width="8.19921875" style="75" customWidth="1"/>
    <col min="8460" max="8460" width="8" style="75" customWidth="1"/>
    <col min="8461" max="8461" width="1.73046875" style="75" customWidth="1"/>
    <col min="8462" max="8462" width="10.19921875" style="75" customWidth="1"/>
    <col min="8463" max="8463" width="16.53125" style="75" customWidth="1"/>
    <col min="8464" max="8464" width="13.73046875" style="75" customWidth="1"/>
    <col min="8465" max="8465" width="8.265625" style="75" customWidth="1"/>
    <col min="8466" max="8466" width="8.73046875" style="75" customWidth="1"/>
    <col min="8467" max="8467" width="7.796875" style="75" customWidth="1"/>
    <col min="8468" max="8468" width="1.265625" style="75" customWidth="1"/>
    <col min="8469" max="8469" width="10.19921875" style="75" customWidth="1"/>
    <col min="8470" max="8470" width="7.265625" style="75" customWidth="1"/>
    <col min="8471" max="8704" width="4.265625" style="75"/>
    <col min="8705" max="8705" width="15.19921875" style="75" customWidth="1"/>
    <col min="8706" max="8706" width="10.73046875" style="75" customWidth="1"/>
    <col min="8707" max="8707" width="12.265625" style="75" customWidth="1"/>
    <col min="8708" max="8708" width="9.73046875" style="75" customWidth="1"/>
    <col min="8709" max="8709" width="10.19921875" style="75" customWidth="1"/>
    <col min="8710" max="8710" width="11.73046875" style="75" customWidth="1"/>
    <col min="8711" max="8711" width="7.265625" style="75" customWidth="1"/>
    <col min="8712" max="8712" width="9.265625" style="75" customWidth="1"/>
    <col min="8713" max="8713" width="10.265625" style="75" customWidth="1"/>
    <col min="8714" max="8714" width="9.19921875" style="75" customWidth="1"/>
    <col min="8715" max="8715" width="8.19921875" style="75" customWidth="1"/>
    <col min="8716" max="8716" width="8" style="75" customWidth="1"/>
    <col min="8717" max="8717" width="1.73046875" style="75" customWidth="1"/>
    <col min="8718" max="8718" width="10.19921875" style="75" customWidth="1"/>
    <col min="8719" max="8719" width="16.53125" style="75" customWidth="1"/>
    <col min="8720" max="8720" width="13.73046875" style="75" customWidth="1"/>
    <col min="8721" max="8721" width="8.265625" style="75" customWidth="1"/>
    <col min="8722" max="8722" width="8.73046875" style="75" customWidth="1"/>
    <col min="8723" max="8723" width="7.796875" style="75" customWidth="1"/>
    <col min="8724" max="8724" width="1.265625" style="75" customWidth="1"/>
    <col min="8725" max="8725" width="10.19921875" style="75" customWidth="1"/>
    <col min="8726" max="8726" width="7.265625" style="75" customWidth="1"/>
    <col min="8727" max="8960" width="4.265625" style="75"/>
    <col min="8961" max="8961" width="15.19921875" style="75" customWidth="1"/>
    <col min="8962" max="8962" width="10.73046875" style="75" customWidth="1"/>
    <col min="8963" max="8963" width="12.265625" style="75" customWidth="1"/>
    <col min="8964" max="8964" width="9.73046875" style="75" customWidth="1"/>
    <col min="8965" max="8965" width="10.19921875" style="75" customWidth="1"/>
    <col min="8966" max="8966" width="11.73046875" style="75" customWidth="1"/>
    <col min="8967" max="8967" width="7.265625" style="75" customWidth="1"/>
    <col min="8968" max="8968" width="9.265625" style="75" customWidth="1"/>
    <col min="8969" max="8969" width="10.265625" style="75" customWidth="1"/>
    <col min="8970" max="8970" width="9.19921875" style="75" customWidth="1"/>
    <col min="8971" max="8971" width="8.19921875" style="75" customWidth="1"/>
    <col min="8972" max="8972" width="8" style="75" customWidth="1"/>
    <col min="8973" max="8973" width="1.73046875" style="75" customWidth="1"/>
    <col min="8974" max="8974" width="10.19921875" style="75" customWidth="1"/>
    <col min="8975" max="8975" width="16.53125" style="75" customWidth="1"/>
    <col min="8976" max="8976" width="13.73046875" style="75" customWidth="1"/>
    <col min="8977" max="8977" width="8.265625" style="75" customWidth="1"/>
    <col min="8978" max="8978" width="8.73046875" style="75" customWidth="1"/>
    <col min="8979" max="8979" width="7.796875" style="75" customWidth="1"/>
    <col min="8980" max="8980" width="1.265625" style="75" customWidth="1"/>
    <col min="8981" max="8981" width="10.19921875" style="75" customWidth="1"/>
    <col min="8982" max="8982" width="7.265625" style="75" customWidth="1"/>
    <col min="8983" max="9216" width="4.265625" style="75"/>
    <col min="9217" max="9217" width="15.19921875" style="75" customWidth="1"/>
    <col min="9218" max="9218" width="10.73046875" style="75" customWidth="1"/>
    <col min="9219" max="9219" width="12.265625" style="75" customWidth="1"/>
    <col min="9220" max="9220" width="9.73046875" style="75" customWidth="1"/>
    <col min="9221" max="9221" width="10.19921875" style="75" customWidth="1"/>
    <col min="9222" max="9222" width="11.73046875" style="75" customWidth="1"/>
    <col min="9223" max="9223" width="7.265625" style="75" customWidth="1"/>
    <col min="9224" max="9224" width="9.265625" style="75" customWidth="1"/>
    <col min="9225" max="9225" width="10.265625" style="75" customWidth="1"/>
    <col min="9226" max="9226" width="9.19921875" style="75" customWidth="1"/>
    <col min="9227" max="9227" width="8.19921875" style="75" customWidth="1"/>
    <col min="9228" max="9228" width="8" style="75" customWidth="1"/>
    <col min="9229" max="9229" width="1.73046875" style="75" customWidth="1"/>
    <col min="9230" max="9230" width="10.19921875" style="75" customWidth="1"/>
    <col min="9231" max="9231" width="16.53125" style="75" customWidth="1"/>
    <col min="9232" max="9232" width="13.73046875" style="75" customWidth="1"/>
    <col min="9233" max="9233" width="8.265625" style="75" customWidth="1"/>
    <col min="9234" max="9234" width="8.73046875" style="75" customWidth="1"/>
    <col min="9235" max="9235" width="7.796875" style="75" customWidth="1"/>
    <col min="9236" max="9236" width="1.265625" style="75" customWidth="1"/>
    <col min="9237" max="9237" width="10.19921875" style="75" customWidth="1"/>
    <col min="9238" max="9238" width="7.265625" style="75" customWidth="1"/>
    <col min="9239" max="9472" width="4.265625" style="75"/>
    <col min="9473" max="9473" width="15.19921875" style="75" customWidth="1"/>
    <col min="9474" max="9474" width="10.73046875" style="75" customWidth="1"/>
    <col min="9475" max="9475" width="12.265625" style="75" customWidth="1"/>
    <col min="9476" max="9476" width="9.73046875" style="75" customWidth="1"/>
    <col min="9477" max="9477" width="10.19921875" style="75" customWidth="1"/>
    <col min="9478" max="9478" width="11.73046875" style="75" customWidth="1"/>
    <col min="9479" max="9479" width="7.265625" style="75" customWidth="1"/>
    <col min="9480" max="9480" width="9.265625" style="75" customWidth="1"/>
    <col min="9481" max="9481" width="10.265625" style="75" customWidth="1"/>
    <col min="9482" max="9482" width="9.19921875" style="75" customWidth="1"/>
    <col min="9483" max="9483" width="8.19921875" style="75" customWidth="1"/>
    <col min="9484" max="9484" width="8" style="75" customWidth="1"/>
    <col min="9485" max="9485" width="1.73046875" style="75" customWidth="1"/>
    <col min="9486" max="9486" width="10.19921875" style="75" customWidth="1"/>
    <col min="9487" max="9487" width="16.53125" style="75" customWidth="1"/>
    <col min="9488" max="9488" width="13.73046875" style="75" customWidth="1"/>
    <col min="9489" max="9489" width="8.265625" style="75" customWidth="1"/>
    <col min="9490" max="9490" width="8.73046875" style="75" customWidth="1"/>
    <col min="9491" max="9491" width="7.796875" style="75" customWidth="1"/>
    <col min="9492" max="9492" width="1.265625" style="75" customWidth="1"/>
    <col min="9493" max="9493" width="10.19921875" style="75" customWidth="1"/>
    <col min="9494" max="9494" width="7.265625" style="75" customWidth="1"/>
    <col min="9495" max="9728" width="4.265625" style="75"/>
    <col min="9729" max="9729" width="15.19921875" style="75" customWidth="1"/>
    <col min="9730" max="9730" width="10.73046875" style="75" customWidth="1"/>
    <col min="9731" max="9731" width="12.265625" style="75" customWidth="1"/>
    <col min="9732" max="9732" width="9.73046875" style="75" customWidth="1"/>
    <col min="9733" max="9733" width="10.19921875" style="75" customWidth="1"/>
    <col min="9734" max="9734" width="11.73046875" style="75" customWidth="1"/>
    <col min="9735" max="9735" width="7.265625" style="75" customWidth="1"/>
    <col min="9736" max="9736" width="9.265625" style="75" customWidth="1"/>
    <col min="9737" max="9737" width="10.265625" style="75" customWidth="1"/>
    <col min="9738" max="9738" width="9.19921875" style="75" customWidth="1"/>
    <col min="9739" max="9739" width="8.19921875" style="75" customWidth="1"/>
    <col min="9740" max="9740" width="8" style="75" customWidth="1"/>
    <col min="9741" max="9741" width="1.73046875" style="75" customWidth="1"/>
    <col min="9742" max="9742" width="10.19921875" style="75" customWidth="1"/>
    <col min="9743" max="9743" width="16.53125" style="75" customWidth="1"/>
    <col min="9744" max="9744" width="13.73046875" style="75" customWidth="1"/>
    <col min="9745" max="9745" width="8.265625" style="75" customWidth="1"/>
    <col min="9746" max="9746" width="8.73046875" style="75" customWidth="1"/>
    <col min="9747" max="9747" width="7.796875" style="75" customWidth="1"/>
    <col min="9748" max="9748" width="1.265625" style="75" customWidth="1"/>
    <col min="9749" max="9749" width="10.19921875" style="75" customWidth="1"/>
    <col min="9750" max="9750" width="7.265625" style="75" customWidth="1"/>
    <col min="9751" max="9984" width="4.265625" style="75"/>
    <col min="9985" max="9985" width="15.19921875" style="75" customWidth="1"/>
    <col min="9986" max="9986" width="10.73046875" style="75" customWidth="1"/>
    <col min="9987" max="9987" width="12.265625" style="75" customWidth="1"/>
    <col min="9988" max="9988" width="9.73046875" style="75" customWidth="1"/>
    <col min="9989" max="9989" width="10.19921875" style="75" customWidth="1"/>
    <col min="9990" max="9990" width="11.73046875" style="75" customWidth="1"/>
    <col min="9991" max="9991" width="7.265625" style="75" customWidth="1"/>
    <col min="9992" max="9992" width="9.265625" style="75" customWidth="1"/>
    <col min="9993" max="9993" width="10.265625" style="75" customWidth="1"/>
    <col min="9994" max="9994" width="9.19921875" style="75" customWidth="1"/>
    <col min="9995" max="9995" width="8.19921875" style="75" customWidth="1"/>
    <col min="9996" max="9996" width="8" style="75" customWidth="1"/>
    <col min="9997" max="9997" width="1.73046875" style="75" customWidth="1"/>
    <col min="9998" max="9998" width="10.19921875" style="75" customWidth="1"/>
    <col min="9999" max="9999" width="16.53125" style="75" customWidth="1"/>
    <col min="10000" max="10000" width="13.73046875" style="75" customWidth="1"/>
    <col min="10001" max="10001" width="8.265625" style="75" customWidth="1"/>
    <col min="10002" max="10002" width="8.73046875" style="75" customWidth="1"/>
    <col min="10003" max="10003" width="7.796875" style="75" customWidth="1"/>
    <col min="10004" max="10004" width="1.265625" style="75" customWidth="1"/>
    <col min="10005" max="10005" width="10.19921875" style="75" customWidth="1"/>
    <col min="10006" max="10006" width="7.265625" style="75" customWidth="1"/>
    <col min="10007" max="10240" width="4.265625" style="75"/>
    <col min="10241" max="10241" width="15.19921875" style="75" customWidth="1"/>
    <col min="10242" max="10242" width="10.73046875" style="75" customWidth="1"/>
    <col min="10243" max="10243" width="12.265625" style="75" customWidth="1"/>
    <col min="10244" max="10244" width="9.73046875" style="75" customWidth="1"/>
    <col min="10245" max="10245" width="10.19921875" style="75" customWidth="1"/>
    <col min="10246" max="10246" width="11.73046875" style="75" customWidth="1"/>
    <col min="10247" max="10247" width="7.265625" style="75" customWidth="1"/>
    <col min="10248" max="10248" width="9.265625" style="75" customWidth="1"/>
    <col min="10249" max="10249" width="10.265625" style="75" customWidth="1"/>
    <col min="10250" max="10250" width="9.19921875" style="75" customWidth="1"/>
    <col min="10251" max="10251" width="8.19921875" style="75" customWidth="1"/>
    <col min="10252" max="10252" width="8" style="75" customWidth="1"/>
    <col min="10253" max="10253" width="1.73046875" style="75" customWidth="1"/>
    <col min="10254" max="10254" width="10.19921875" style="75" customWidth="1"/>
    <col min="10255" max="10255" width="16.53125" style="75" customWidth="1"/>
    <col min="10256" max="10256" width="13.73046875" style="75" customWidth="1"/>
    <col min="10257" max="10257" width="8.265625" style="75" customWidth="1"/>
    <col min="10258" max="10258" width="8.73046875" style="75" customWidth="1"/>
    <col min="10259" max="10259" width="7.796875" style="75" customWidth="1"/>
    <col min="10260" max="10260" width="1.265625" style="75" customWidth="1"/>
    <col min="10261" max="10261" width="10.19921875" style="75" customWidth="1"/>
    <col min="10262" max="10262" width="7.265625" style="75" customWidth="1"/>
    <col min="10263" max="10496" width="4.265625" style="75"/>
    <col min="10497" max="10497" width="15.19921875" style="75" customWidth="1"/>
    <col min="10498" max="10498" width="10.73046875" style="75" customWidth="1"/>
    <col min="10499" max="10499" width="12.265625" style="75" customWidth="1"/>
    <col min="10500" max="10500" width="9.73046875" style="75" customWidth="1"/>
    <col min="10501" max="10501" width="10.19921875" style="75" customWidth="1"/>
    <col min="10502" max="10502" width="11.73046875" style="75" customWidth="1"/>
    <col min="10503" max="10503" width="7.265625" style="75" customWidth="1"/>
    <col min="10504" max="10504" width="9.265625" style="75" customWidth="1"/>
    <col min="10505" max="10505" width="10.265625" style="75" customWidth="1"/>
    <col min="10506" max="10506" width="9.19921875" style="75" customWidth="1"/>
    <col min="10507" max="10507" width="8.19921875" style="75" customWidth="1"/>
    <col min="10508" max="10508" width="8" style="75" customWidth="1"/>
    <col min="10509" max="10509" width="1.73046875" style="75" customWidth="1"/>
    <col min="10510" max="10510" width="10.19921875" style="75" customWidth="1"/>
    <col min="10511" max="10511" width="16.53125" style="75" customWidth="1"/>
    <col min="10512" max="10512" width="13.73046875" style="75" customWidth="1"/>
    <col min="10513" max="10513" width="8.265625" style="75" customWidth="1"/>
    <col min="10514" max="10514" width="8.73046875" style="75" customWidth="1"/>
    <col min="10515" max="10515" width="7.796875" style="75" customWidth="1"/>
    <col min="10516" max="10516" width="1.265625" style="75" customWidth="1"/>
    <col min="10517" max="10517" width="10.19921875" style="75" customWidth="1"/>
    <col min="10518" max="10518" width="7.265625" style="75" customWidth="1"/>
    <col min="10519" max="10752" width="4.265625" style="75"/>
    <col min="10753" max="10753" width="15.19921875" style="75" customWidth="1"/>
    <col min="10754" max="10754" width="10.73046875" style="75" customWidth="1"/>
    <col min="10755" max="10755" width="12.265625" style="75" customWidth="1"/>
    <col min="10756" max="10756" width="9.73046875" style="75" customWidth="1"/>
    <col min="10757" max="10757" width="10.19921875" style="75" customWidth="1"/>
    <col min="10758" max="10758" width="11.73046875" style="75" customWidth="1"/>
    <col min="10759" max="10759" width="7.265625" style="75" customWidth="1"/>
    <col min="10760" max="10760" width="9.265625" style="75" customWidth="1"/>
    <col min="10761" max="10761" width="10.265625" style="75" customWidth="1"/>
    <col min="10762" max="10762" width="9.19921875" style="75" customWidth="1"/>
    <col min="10763" max="10763" width="8.19921875" style="75" customWidth="1"/>
    <col min="10764" max="10764" width="8" style="75" customWidth="1"/>
    <col min="10765" max="10765" width="1.73046875" style="75" customWidth="1"/>
    <col min="10766" max="10766" width="10.19921875" style="75" customWidth="1"/>
    <col min="10767" max="10767" width="16.53125" style="75" customWidth="1"/>
    <col min="10768" max="10768" width="13.73046875" style="75" customWidth="1"/>
    <col min="10769" max="10769" width="8.265625" style="75" customWidth="1"/>
    <col min="10770" max="10770" width="8.73046875" style="75" customWidth="1"/>
    <col min="10771" max="10771" width="7.796875" style="75" customWidth="1"/>
    <col min="10772" max="10772" width="1.265625" style="75" customWidth="1"/>
    <col min="10773" max="10773" width="10.19921875" style="75" customWidth="1"/>
    <col min="10774" max="10774" width="7.265625" style="75" customWidth="1"/>
    <col min="10775" max="11008" width="4.265625" style="75"/>
    <col min="11009" max="11009" width="15.19921875" style="75" customWidth="1"/>
    <col min="11010" max="11010" width="10.73046875" style="75" customWidth="1"/>
    <col min="11011" max="11011" width="12.265625" style="75" customWidth="1"/>
    <col min="11012" max="11012" width="9.73046875" style="75" customWidth="1"/>
    <col min="11013" max="11013" width="10.19921875" style="75" customWidth="1"/>
    <col min="11014" max="11014" width="11.73046875" style="75" customWidth="1"/>
    <col min="11015" max="11015" width="7.265625" style="75" customWidth="1"/>
    <col min="11016" max="11016" width="9.265625" style="75" customWidth="1"/>
    <col min="11017" max="11017" width="10.265625" style="75" customWidth="1"/>
    <col min="11018" max="11018" width="9.19921875" style="75" customWidth="1"/>
    <col min="11019" max="11019" width="8.19921875" style="75" customWidth="1"/>
    <col min="11020" max="11020" width="8" style="75" customWidth="1"/>
    <col min="11021" max="11021" width="1.73046875" style="75" customWidth="1"/>
    <col min="11022" max="11022" width="10.19921875" style="75" customWidth="1"/>
    <col min="11023" max="11023" width="16.53125" style="75" customWidth="1"/>
    <col min="11024" max="11024" width="13.73046875" style="75" customWidth="1"/>
    <col min="11025" max="11025" width="8.265625" style="75" customWidth="1"/>
    <col min="11026" max="11026" width="8.73046875" style="75" customWidth="1"/>
    <col min="11027" max="11027" width="7.796875" style="75" customWidth="1"/>
    <col min="11028" max="11028" width="1.265625" style="75" customWidth="1"/>
    <col min="11029" max="11029" width="10.19921875" style="75" customWidth="1"/>
    <col min="11030" max="11030" width="7.265625" style="75" customWidth="1"/>
    <col min="11031" max="11264" width="4.265625" style="75"/>
    <col min="11265" max="11265" width="15.19921875" style="75" customWidth="1"/>
    <col min="11266" max="11266" width="10.73046875" style="75" customWidth="1"/>
    <col min="11267" max="11267" width="12.265625" style="75" customWidth="1"/>
    <col min="11268" max="11268" width="9.73046875" style="75" customWidth="1"/>
    <col min="11269" max="11269" width="10.19921875" style="75" customWidth="1"/>
    <col min="11270" max="11270" width="11.73046875" style="75" customWidth="1"/>
    <col min="11271" max="11271" width="7.265625" style="75" customWidth="1"/>
    <col min="11272" max="11272" width="9.265625" style="75" customWidth="1"/>
    <col min="11273" max="11273" width="10.265625" style="75" customWidth="1"/>
    <col min="11274" max="11274" width="9.19921875" style="75" customWidth="1"/>
    <col min="11275" max="11275" width="8.19921875" style="75" customWidth="1"/>
    <col min="11276" max="11276" width="8" style="75" customWidth="1"/>
    <col min="11277" max="11277" width="1.73046875" style="75" customWidth="1"/>
    <col min="11278" max="11278" width="10.19921875" style="75" customWidth="1"/>
    <col min="11279" max="11279" width="16.53125" style="75" customWidth="1"/>
    <col min="11280" max="11280" width="13.73046875" style="75" customWidth="1"/>
    <col min="11281" max="11281" width="8.265625" style="75" customWidth="1"/>
    <col min="11282" max="11282" width="8.73046875" style="75" customWidth="1"/>
    <col min="11283" max="11283" width="7.796875" style="75" customWidth="1"/>
    <col min="11284" max="11284" width="1.265625" style="75" customWidth="1"/>
    <col min="11285" max="11285" width="10.19921875" style="75" customWidth="1"/>
    <col min="11286" max="11286" width="7.265625" style="75" customWidth="1"/>
    <col min="11287" max="11520" width="4.265625" style="75"/>
    <col min="11521" max="11521" width="15.19921875" style="75" customWidth="1"/>
    <col min="11522" max="11522" width="10.73046875" style="75" customWidth="1"/>
    <col min="11523" max="11523" width="12.265625" style="75" customWidth="1"/>
    <col min="11524" max="11524" width="9.73046875" style="75" customWidth="1"/>
    <col min="11525" max="11525" width="10.19921875" style="75" customWidth="1"/>
    <col min="11526" max="11526" width="11.73046875" style="75" customWidth="1"/>
    <col min="11527" max="11527" width="7.265625" style="75" customWidth="1"/>
    <col min="11528" max="11528" width="9.265625" style="75" customWidth="1"/>
    <col min="11529" max="11529" width="10.265625" style="75" customWidth="1"/>
    <col min="11530" max="11530" width="9.19921875" style="75" customWidth="1"/>
    <col min="11531" max="11531" width="8.19921875" style="75" customWidth="1"/>
    <col min="11532" max="11532" width="8" style="75" customWidth="1"/>
    <col min="11533" max="11533" width="1.73046875" style="75" customWidth="1"/>
    <col min="11534" max="11534" width="10.19921875" style="75" customWidth="1"/>
    <col min="11535" max="11535" width="16.53125" style="75" customWidth="1"/>
    <col min="11536" max="11536" width="13.73046875" style="75" customWidth="1"/>
    <col min="11537" max="11537" width="8.265625" style="75" customWidth="1"/>
    <col min="11538" max="11538" width="8.73046875" style="75" customWidth="1"/>
    <col min="11539" max="11539" width="7.796875" style="75" customWidth="1"/>
    <col min="11540" max="11540" width="1.265625" style="75" customWidth="1"/>
    <col min="11541" max="11541" width="10.19921875" style="75" customWidth="1"/>
    <col min="11542" max="11542" width="7.265625" style="75" customWidth="1"/>
    <col min="11543" max="11776" width="4.265625" style="75"/>
    <col min="11777" max="11777" width="15.19921875" style="75" customWidth="1"/>
    <col min="11778" max="11778" width="10.73046875" style="75" customWidth="1"/>
    <col min="11779" max="11779" width="12.265625" style="75" customWidth="1"/>
    <col min="11780" max="11780" width="9.73046875" style="75" customWidth="1"/>
    <col min="11781" max="11781" width="10.19921875" style="75" customWidth="1"/>
    <col min="11782" max="11782" width="11.73046875" style="75" customWidth="1"/>
    <col min="11783" max="11783" width="7.265625" style="75" customWidth="1"/>
    <col min="11784" max="11784" width="9.265625" style="75" customWidth="1"/>
    <col min="11785" max="11785" width="10.265625" style="75" customWidth="1"/>
    <col min="11786" max="11786" width="9.19921875" style="75" customWidth="1"/>
    <col min="11787" max="11787" width="8.19921875" style="75" customWidth="1"/>
    <col min="11788" max="11788" width="8" style="75" customWidth="1"/>
    <col min="11789" max="11789" width="1.73046875" style="75" customWidth="1"/>
    <col min="11790" max="11790" width="10.19921875" style="75" customWidth="1"/>
    <col min="11791" max="11791" width="16.53125" style="75" customWidth="1"/>
    <col min="11792" max="11792" width="13.73046875" style="75" customWidth="1"/>
    <col min="11793" max="11793" width="8.265625" style="75" customWidth="1"/>
    <col min="11794" max="11794" width="8.73046875" style="75" customWidth="1"/>
    <col min="11795" max="11795" width="7.796875" style="75" customWidth="1"/>
    <col min="11796" max="11796" width="1.265625" style="75" customWidth="1"/>
    <col min="11797" max="11797" width="10.19921875" style="75" customWidth="1"/>
    <col min="11798" max="11798" width="7.265625" style="75" customWidth="1"/>
    <col min="11799" max="12032" width="4.265625" style="75"/>
    <col min="12033" max="12033" width="15.19921875" style="75" customWidth="1"/>
    <col min="12034" max="12034" width="10.73046875" style="75" customWidth="1"/>
    <col min="12035" max="12035" width="12.265625" style="75" customWidth="1"/>
    <col min="12036" max="12036" width="9.73046875" style="75" customWidth="1"/>
    <col min="12037" max="12037" width="10.19921875" style="75" customWidth="1"/>
    <col min="12038" max="12038" width="11.73046875" style="75" customWidth="1"/>
    <col min="12039" max="12039" width="7.265625" style="75" customWidth="1"/>
    <col min="12040" max="12040" width="9.265625" style="75" customWidth="1"/>
    <col min="12041" max="12041" width="10.265625" style="75" customWidth="1"/>
    <col min="12042" max="12042" width="9.19921875" style="75" customWidth="1"/>
    <col min="12043" max="12043" width="8.19921875" style="75" customWidth="1"/>
    <col min="12044" max="12044" width="8" style="75" customWidth="1"/>
    <col min="12045" max="12045" width="1.73046875" style="75" customWidth="1"/>
    <col min="12046" max="12046" width="10.19921875" style="75" customWidth="1"/>
    <col min="12047" max="12047" width="16.53125" style="75" customWidth="1"/>
    <col min="12048" max="12048" width="13.73046875" style="75" customWidth="1"/>
    <col min="12049" max="12049" width="8.265625" style="75" customWidth="1"/>
    <col min="12050" max="12050" width="8.73046875" style="75" customWidth="1"/>
    <col min="12051" max="12051" width="7.796875" style="75" customWidth="1"/>
    <col min="12052" max="12052" width="1.265625" style="75" customWidth="1"/>
    <col min="12053" max="12053" width="10.19921875" style="75" customWidth="1"/>
    <col min="12054" max="12054" width="7.265625" style="75" customWidth="1"/>
    <col min="12055" max="12288" width="4.265625" style="75"/>
    <col min="12289" max="12289" width="15.19921875" style="75" customWidth="1"/>
    <col min="12290" max="12290" width="10.73046875" style="75" customWidth="1"/>
    <col min="12291" max="12291" width="12.265625" style="75" customWidth="1"/>
    <col min="12292" max="12292" width="9.73046875" style="75" customWidth="1"/>
    <col min="12293" max="12293" width="10.19921875" style="75" customWidth="1"/>
    <col min="12294" max="12294" width="11.73046875" style="75" customWidth="1"/>
    <col min="12295" max="12295" width="7.265625" style="75" customWidth="1"/>
    <col min="12296" max="12296" width="9.265625" style="75" customWidth="1"/>
    <col min="12297" max="12297" width="10.265625" style="75" customWidth="1"/>
    <col min="12298" max="12298" width="9.19921875" style="75" customWidth="1"/>
    <col min="12299" max="12299" width="8.19921875" style="75" customWidth="1"/>
    <col min="12300" max="12300" width="8" style="75" customWidth="1"/>
    <col min="12301" max="12301" width="1.73046875" style="75" customWidth="1"/>
    <col min="12302" max="12302" width="10.19921875" style="75" customWidth="1"/>
    <col min="12303" max="12303" width="16.53125" style="75" customWidth="1"/>
    <col min="12304" max="12304" width="13.73046875" style="75" customWidth="1"/>
    <col min="12305" max="12305" width="8.265625" style="75" customWidth="1"/>
    <col min="12306" max="12306" width="8.73046875" style="75" customWidth="1"/>
    <col min="12307" max="12307" width="7.796875" style="75" customWidth="1"/>
    <col min="12308" max="12308" width="1.265625" style="75" customWidth="1"/>
    <col min="12309" max="12309" width="10.19921875" style="75" customWidth="1"/>
    <col min="12310" max="12310" width="7.265625" style="75" customWidth="1"/>
    <col min="12311" max="12544" width="4.265625" style="75"/>
    <col min="12545" max="12545" width="15.19921875" style="75" customWidth="1"/>
    <col min="12546" max="12546" width="10.73046875" style="75" customWidth="1"/>
    <col min="12547" max="12547" width="12.265625" style="75" customWidth="1"/>
    <col min="12548" max="12548" width="9.73046875" style="75" customWidth="1"/>
    <col min="12549" max="12549" width="10.19921875" style="75" customWidth="1"/>
    <col min="12550" max="12550" width="11.73046875" style="75" customWidth="1"/>
    <col min="12551" max="12551" width="7.265625" style="75" customWidth="1"/>
    <col min="12552" max="12552" width="9.265625" style="75" customWidth="1"/>
    <col min="12553" max="12553" width="10.265625" style="75" customWidth="1"/>
    <col min="12554" max="12554" width="9.19921875" style="75" customWidth="1"/>
    <col min="12555" max="12555" width="8.19921875" style="75" customWidth="1"/>
    <col min="12556" max="12556" width="8" style="75" customWidth="1"/>
    <col min="12557" max="12557" width="1.73046875" style="75" customWidth="1"/>
    <col min="12558" max="12558" width="10.19921875" style="75" customWidth="1"/>
    <col min="12559" max="12559" width="16.53125" style="75" customWidth="1"/>
    <col min="12560" max="12560" width="13.73046875" style="75" customWidth="1"/>
    <col min="12561" max="12561" width="8.265625" style="75" customWidth="1"/>
    <col min="12562" max="12562" width="8.73046875" style="75" customWidth="1"/>
    <col min="12563" max="12563" width="7.796875" style="75" customWidth="1"/>
    <col min="12564" max="12564" width="1.265625" style="75" customWidth="1"/>
    <col min="12565" max="12565" width="10.19921875" style="75" customWidth="1"/>
    <col min="12566" max="12566" width="7.265625" style="75" customWidth="1"/>
    <col min="12567" max="12800" width="4.265625" style="75"/>
    <col min="12801" max="12801" width="15.19921875" style="75" customWidth="1"/>
    <col min="12802" max="12802" width="10.73046875" style="75" customWidth="1"/>
    <col min="12803" max="12803" width="12.265625" style="75" customWidth="1"/>
    <col min="12804" max="12804" width="9.73046875" style="75" customWidth="1"/>
    <col min="12805" max="12805" width="10.19921875" style="75" customWidth="1"/>
    <col min="12806" max="12806" width="11.73046875" style="75" customWidth="1"/>
    <col min="12807" max="12807" width="7.265625" style="75" customWidth="1"/>
    <col min="12808" max="12808" width="9.265625" style="75" customWidth="1"/>
    <col min="12809" max="12809" width="10.265625" style="75" customWidth="1"/>
    <col min="12810" max="12810" width="9.19921875" style="75" customWidth="1"/>
    <col min="12811" max="12811" width="8.19921875" style="75" customWidth="1"/>
    <col min="12812" max="12812" width="8" style="75" customWidth="1"/>
    <col min="12813" max="12813" width="1.73046875" style="75" customWidth="1"/>
    <col min="12814" max="12814" width="10.19921875" style="75" customWidth="1"/>
    <col min="12815" max="12815" width="16.53125" style="75" customWidth="1"/>
    <col min="12816" max="12816" width="13.73046875" style="75" customWidth="1"/>
    <col min="12817" max="12817" width="8.265625" style="75" customWidth="1"/>
    <col min="12818" max="12818" width="8.73046875" style="75" customWidth="1"/>
    <col min="12819" max="12819" width="7.796875" style="75" customWidth="1"/>
    <col min="12820" max="12820" width="1.265625" style="75" customWidth="1"/>
    <col min="12821" max="12821" width="10.19921875" style="75" customWidth="1"/>
    <col min="12822" max="12822" width="7.265625" style="75" customWidth="1"/>
    <col min="12823" max="13056" width="4.265625" style="75"/>
    <col min="13057" max="13057" width="15.19921875" style="75" customWidth="1"/>
    <col min="13058" max="13058" width="10.73046875" style="75" customWidth="1"/>
    <col min="13059" max="13059" width="12.265625" style="75" customWidth="1"/>
    <col min="13060" max="13060" width="9.73046875" style="75" customWidth="1"/>
    <col min="13061" max="13061" width="10.19921875" style="75" customWidth="1"/>
    <col min="13062" max="13062" width="11.73046875" style="75" customWidth="1"/>
    <col min="13063" max="13063" width="7.265625" style="75" customWidth="1"/>
    <col min="13064" max="13064" width="9.265625" style="75" customWidth="1"/>
    <col min="13065" max="13065" width="10.265625" style="75" customWidth="1"/>
    <col min="13066" max="13066" width="9.19921875" style="75" customWidth="1"/>
    <col min="13067" max="13067" width="8.19921875" style="75" customWidth="1"/>
    <col min="13068" max="13068" width="8" style="75" customWidth="1"/>
    <col min="13069" max="13069" width="1.73046875" style="75" customWidth="1"/>
    <col min="13070" max="13070" width="10.19921875" style="75" customWidth="1"/>
    <col min="13071" max="13071" width="16.53125" style="75" customWidth="1"/>
    <col min="13072" max="13072" width="13.73046875" style="75" customWidth="1"/>
    <col min="13073" max="13073" width="8.265625" style="75" customWidth="1"/>
    <col min="13074" max="13074" width="8.73046875" style="75" customWidth="1"/>
    <col min="13075" max="13075" width="7.796875" style="75" customWidth="1"/>
    <col min="13076" max="13076" width="1.265625" style="75" customWidth="1"/>
    <col min="13077" max="13077" width="10.19921875" style="75" customWidth="1"/>
    <col min="13078" max="13078" width="7.265625" style="75" customWidth="1"/>
    <col min="13079" max="13312" width="4.265625" style="75"/>
    <col min="13313" max="13313" width="15.19921875" style="75" customWidth="1"/>
    <col min="13314" max="13314" width="10.73046875" style="75" customWidth="1"/>
    <col min="13315" max="13315" width="12.265625" style="75" customWidth="1"/>
    <col min="13316" max="13316" width="9.73046875" style="75" customWidth="1"/>
    <col min="13317" max="13317" width="10.19921875" style="75" customWidth="1"/>
    <col min="13318" max="13318" width="11.73046875" style="75" customWidth="1"/>
    <col min="13319" max="13319" width="7.265625" style="75" customWidth="1"/>
    <col min="13320" max="13320" width="9.265625" style="75" customWidth="1"/>
    <col min="13321" max="13321" width="10.265625" style="75" customWidth="1"/>
    <col min="13322" max="13322" width="9.19921875" style="75" customWidth="1"/>
    <col min="13323" max="13323" width="8.19921875" style="75" customWidth="1"/>
    <col min="13324" max="13324" width="8" style="75" customWidth="1"/>
    <col min="13325" max="13325" width="1.73046875" style="75" customWidth="1"/>
    <col min="13326" max="13326" width="10.19921875" style="75" customWidth="1"/>
    <col min="13327" max="13327" width="16.53125" style="75" customWidth="1"/>
    <col min="13328" max="13328" width="13.73046875" style="75" customWidth="1"/>
    <col min="13329" max="13329" width="8.265625" style="75" customWidth="1"/>
    <col min="13330" max="13330" width="8.73046875" style="75" customWidth="1"/>
    <col min="13331" max="13331" width="7.796875" style="75" customWidth="1"/>
    <col min="13332" max="13332" width="1.265625" style="75" customWidth="1"/>
    <col min="13333" max="13333" width="10.19921875" style="75" customWidth="1"/>
    <col min="13334" max="13334" width="7.265625" style="75" customWidth="1"/>
    <col min="13335" max="13568" width="4.265625" style="75"/>
    <col min="13569" max="13569" width="15.19921875" style="75" customWidth="1"/>
    <col min="13570" max="13570" width="10.73046875" style="75" customWidth="1"/>
    <col min="13571" max="13571" width="12.265625" style="75" customWidth="1"/>
    <col min="13572" max="13572" width="9.73046875" style="75" customWidth="1"/>
    <col min="13573" max="13573" width="10.19921875" style="75" customWidth="1"/>
    <col min="13574" max="13574" width="11.73046875" style="75" customWidth="1"/>
    <col min="13575" max="13575" width="7.265625" style="75" customWidth="1"/>
    <col min="13576" max="13576" width="9.265625" style="75" customWidth="1"/>
    <col min="13577" max="13577" width="10.265625" style="75" customWidth="1"/>
    <col min="13578" max="13578" width="9.19921875" style="75" customWidth="1"/>
    <col min="13579" max="13579" width="8.19921875" style="75" customWidth="1"/>
    <col min="13580" max="13580" width="8" style="75" customWidth="1"/>
    <col min="13581" max="13581" width="1.73046875" style="75" customWidth="1"/>
    <col min="13582" max="13582" width="10.19921875" style="75" customWidth="1"/>
    <col min="13583" max="13583" width="16.53125" style="75" customWidth="1"/>
    <col min="13584" max="13584" width="13.73046875" style="75" customWidth="1"/>
    <col min="13585" max="13585" width="8.265625" style="75" customWidth="1"/>
    <col min="13586" max="13586" width="8.73046875" style="75" customWidth="1"/>
    <col min="13587" max="13587" width="7.796875" style="75" customWidth="1"/>
    <col min="13588" max="13588" width="1.265625" style="75" customWidth="1"/>
    <col min="13589" max="13589" width="10.19921875" style="75" customWidth="1"/>
    <col min="13590" max="13590" width="7.265625" style="75" customWidth="1"/>
    <col min="13591" max="13824" width="4.265625" style="75"/>
    <col min="13825" max="13825" width="15.19921875" style="75" customWidth="1"/>
    <col min="13826" max="13826" width="10.73046875" style="75" customWidth="1"/>
    <col min="13827" max="13827" width="12.265625" style="75" customWidth="1"/>
    <col min="13828" max="13828" width="9.73046875" style="75" customWidth="1"/>
    <col min="13829" max="13829" width="10.19921875" style="75" customWidth="1"/>
    <col min="13830" max="13830" width="11.73046875" style="75" customWidth="1"/>
    <col min="13831" max="13831" width="7.265625" style="75" customWidth="1"/>
    <col min="13832" max="13832" width="9.265625" style="75" customWidth="1"/>
    <col min="13833" max="13833" width="10.265625" style="75" customWidth="1"/>
    <col min="13834" max="13834" width="9.19921875" style="75" customWidth="1"/>
    <col min="13835" max="13835" width="8.19921875" style="75" customWidth="1"/>
    <col min="13836" max="13836" width="8" style="75" customWidth="1"/>
    <col min="13837" max="13837" width="1.73046875" style="75" customWidth="1"/>
    <col min="13838" max="13838" width="10.19921875" style="75" customWidth="1"/>
    <col min="13839" max="13839" width="16.53125" style="75" customWidth="1"/>
    <col min="13840" max="13840" width="13.73046875" style="75" customWidth="1"/>
    <col min="13841" max="13841" width="8.265625" style="75" customWidth="1"/>
    <col min="13842" max="13842" width="8.73046875" style="75" customWidth="1"/>
    <col min="13843" max="13843" width="7.796875" style="75" customWidth="1"/>
    <col min="13844" max="13844" width="1.265625" style="75" customWidth="1"/>
    <col min="13845" max="13845" width="10.19921875" style="75" customWidth="1"/>
    <col min="13846" max="13846" width="7.265625" style="75" customWidth="1"/>
    <col min="13847" max="14080" width="4.265625" style="75"/>
    <col min="14081" max="14081" width="15.19921875" style="75" customWidth="1"/>
    <col min="14082" max="14082" width="10.73046875" style="75" customWidth="1"/>
    <col min="14083" max="14083" width="12.265625" style="75" customWidth="1"/>
    <col min="14084" max="14084" width="9.73046875" style="75" customWidth="1"/>
    <col min="14085" max="14085" width="10.19921875" style="75" customWidth="1"/>
    <col min="14086" max="14086" width="11.73046875" style="75" customWidth="1"/>
    <col min="14087" max="14087" width="7.265625" style="75" customWidth="1"/>
    <col min="14088" max="14088" width="9.265625" style="75" customWidth="1"/>
    <col min="14089" max="14089" width="10.265625" style="75" customWidth="1"/>
    <col min="14090" max="14090" width="9.19921875" style="75" customWidth="1"/>
    <col min="14091" max="14091" width="8.19921875" style="75" customWidth="1"/>
    <col min="14092" max="14092" width="8" style="75" customWidth="1"/>
    <col min="14093" max="14093" width="1.73046875" style="75" customWidth="1"/>
    <col min="14094" max="14094" width="10.19921875" style="75" customWidth="1"/>
    <col min="14095" max="14095" width="16.53125" style="75" customWidth="1"/>
    <col min="14096" max="14096" width="13.73046875" style="75" customWidth="1"/>
    <col min="14097" max="14097" width="8.265625" style="75" customWidth="1"/>
    <col min="14098" max="14098" width="8.73046875" style="75" customWidth="1"/>
    <col min="14099" max="14099" width="7.796875" style="75" customWidth="1"/>
    <col min="14100" max="14100" width="1.265625" style="75" customWidth="1"/>
    <col min="14101" max="14101" width="10.19921875" style="75" customWidth="1"/>
    <col min="14102" max="14102" width="7.265625" style="75" customWidth="1"/>
    <col min="14103" max="14336" width="4.265625" style="75"/>
    <col min="14337" max="14337" width="15.19921875" style="75" customWidth="1"/>
    <col min="14338" max="14338" width="10.73046875" style="75" customWidth="1"/>
    <col min="14339" max="14339" width="12.265625" style="75" customWidth="1"/>
    <col min="14340" max="14340" width="9.73046875" style="75" customWidth="1"/>
    <col min="14341" max="14341" width="10.19921875" style="75" customWidth="1"/>
    <col min="14342" max="14342" width="11.73046875" style="75" customWidth="1"/>
    <col min="14343" max="14343" width="7.265625" style="75" customWidth="1"/>
    <col min="14344" max="14344" width="9.265625" style="75" customWidth="1"/>
    <col min="14345" max="14345" width="10.265625" style="75" customWidth="1"/>
    <col min="14346" max="14346" width="9.19921875" style="75" customWidth="1"/>
    <col min="14347" max="14347" width="8.19921875" style="75" customWidth="1"/>
    <col min="14348" max="14348" width="8" style="75" customWidth="1"/>
    <col min="14349" max="14349" width="1.73046875" style="75" customWidth="1"/>
    <col min="14350" max="14350" width="10.19921875" style="75" customWidth="1"/>
    <col min="14351" max="14351" width="16.53125" style="75" customWidth="1"/>
    <col min="14352" max="14352" width="13.73046875" style="75" customWidth="1"/>
    <col min="14353" max="14353" width="8.265625" style="75" customWidth="1"/>
    <col min="14354" max="14354" width="8.73046875" style="75" customWidth="1"/>
    <col min="14355" max="14355" width="7.796875" style="75" customWidth="1"/>
    <col min="14356" max="14356" width="1.265625" style="75" customWidth="1"/>
    <col min="14357" max="14357" width="10.19921875" style="75" customWidth="1"/>
    <col min="14358" max="14358" width="7.265625" style="75" customWidth="1"/>
    <col min="14359" max="14592" width="4.265625" style="75"/>
    <col min="14593" max="14593" width="15.19921875" style="75" customWidth="1"/>
    <col min="14594" max="14594" width="10.73046875" style="75" customWidth="1"/>
    <col min="14595" max="14595" width="12.265625" style="75" customWidth="1"/>
    <col min="14596" max="14596" width="9.73046875" style="75" customWidth="1"/>
    <col min="14597" max="14597" width="10.19921875" style="75" customWidth="1"/>
    <col min="14598" max="14598" width="11.73046875" style="75" customWidth="1"/>
    <col min="14599" max="14599" width="7.265625" style="75" customWidth="1"/>
    <col min="14600" max="14600" width="9.265625" style="75" customWidth="1"/>
    <col min="14601" max="14601" width="10.265625" style="75" customWidth="1"/>
    <col min="14602" max="14602" width="9.19921875" style="75" customWidth="1"/>
    <col min="14603" max="14603" width="8.19921875" style="75" customWidth="1"/>
    <col min="14604" max="14604" width="8" style="75" customWidth="1"/>
    <col min="14605" max="14605" width="1.73046875" style="75" customWidth="1"/>
    <col min="14606" max="14606" width="10.19921875" style="75" customWidth="1"/>
    <col min="14607" max="14607" width="16.53125" style="75" customWidth="1"/>
    <col min="14608" max="14608" width="13.73046875" style="75" customWidth="1"/>
    <col min="14609" max="14609" width="8.265625" style="75" customWidth="1"/>
    <col min="14610" max="14610" width="8.73046875" style="75" customWidth="1"/>
    <col min="14611" max="14611" width="7.796875" style="75" customWidth="1"/>
    <col min="14612" max="14612" width="1.265625" style="75" customWidth="1"/>
    <col min="14613" max="14613" width="10.19921875" style="75" customWidth="1"/>
    <col min="14614" max="14614" width="7.265625" style="75" customWidth="1"/>
    <col min="14615" max="14848" width="4.265625" style="75"/>
    <col min="14849" max="14849" width="15.19921875" style="75" customWidth="1"/>
    <col min="14850" max="14850" width="10.73046875" style="75" customWidth="1"/>
    <col min="14851" max="14851" width="12.265625" style="75" customWidth="1"/>
    <col min="14852" max="14852" width="9.73046875" style="75" customWidth="1"/>
    <col min="14853" max="14853" width="10.19921875" style="75" customWidth="1"/>
    <col min="14854" max="14854" width="11.73046875" style="75" customWidth="1"/>
    <col min="14855" max="14855" width="7.265625" style="75" customWidth="1"/>
    <col min="14856" max="14856" width="9.265625" style="75" customWidth="1"/>
    <col min="14857" max="14857" width="10.265625" style="75" customWidth="1"/>
    <col min="14858" max="14858" width="9.19921875" style="75" customWidth="1"/>
    <col min="14859" max="14859" width="8.19921875" style="75" customWidth="1"/>
    <col min="14860" max="14860" width="8" style="75" customWidth="1"/>
    <col min="14861" max="14861" width="1.73046875" style="75" customWidth="1"/>
    <col min="14862" max="14862" width="10.19921875" style="75" customWidth="1"/>
    <col min="14863" max="14863" width="16.53125" style="75" customWidth="1"/>
    <col min="14864" max="14864" width="13.73046875" style="75" customWidth="1"/>
    <col min="14865" max="14865" width="8.265625" style="75" customWidth="1"/>
    <col min="14866" max="14866" width="8.73046875" style="75" customWidth="1"/>
    <col min="14867" max="14867" width="7.796875" style="75" customWidth="1"/>
    <col min="14868" max="14868" width="1.265625" style="75" customWidth="1"/>
    <col min="14869" max="14869" width="10.19921875" style="75" customWidth="1"/>
    <col min="14870" max="14870" width="7.265625" style="75" customWidth="1"/>
    <col min="14871" max="15104" width="4.265625" style="75"/>
    <col min="15105" max="15105" width="15.19921875" style="75" customWidth="1"/>
    <col min="15106" max="15106" width="10.73046875" style="75" customWidth="1"/>
    <col min="15107" max="15107" width="12.265625" style="75" customWidth="1"/>
    <col min="15108" max="15108" width="9.73046875" style="75" customWidth="1"/>
    <col min="15109" max="15109" width="10.19921875" style="75" customWidth="1"/>
    <col min="15110" max="15110" width="11.73046875" style="75" customWidth="1"/>
    <col min="15111" max="15111" width="7.265625" style="75" customWidth="1"/>
    <col min="15112" max="15112" width="9.265625" style="75" customWidth="1"/>
    <col min="15113" max="15113" width="10.265625" style="75" customWidth="1"/>
    <col min="15114" max="15114" width="9.19921875" style="75" customWidth="1"/>
    <col min="15115" max="15115" width="8.19921875" style="75" customWidth="1"/>
    <col min="15116" max="15116" width="8" style="75" customWidth="1"/>
    <col min="15117" max="15117" width="1.73046875" style="75" customWidth="1"/>
    <col min="15118" max="15118" width="10.19921875" style="75" customWidth="1"/>
    <col min="15119" max="15119" width="16.53125" style="75" customWidth="1"/>
    <col min="15120" max="15120" width="13.73046875" style="75" customWidth="1"/>
    <col min="15121" max="15121" width="8.265625" style="75" customWidth="1"/>
    <col min="15122" max="15122" width="8.73046875" style="75" customWidth="1"/>
    <col min="15123" max="15123" width="7.796875" style="75" customWidth="1"/>
    <col min="15124" max="15124" width="1.265625" style="75" customWidth="1"/>
    <col min="15125" max="15125" width="10.19921875" style="75" customWidth="1"/>
    <col min="15126" max="15126" width="7.265625" style="75" customWidth="1"/>
    <col min="15127" max="15360" width="4.265625" style="75"/>
    <col min="15361" max="15361" width="15.19921875" style="75" customWidth="1"/>
    <col min="15362" max="15362" width="10.73046875" style="75" customWidth="1"/>
    <col min="15363" max="15363" width="12.265625" style="75" customWidth="1"/>
    <col min="15364" max="15364" width="9.73046875" style="75" customWidth="1"/>
    <col min="15365" max="15365" width="10.19921875" style="75" customWidth="1"/>
    <col min="15366" max="15366" width="11.73046875" style="75" customWidth="1"/>
    <col min="15367" max="15367" width="7.265625" style="75" customWidth="1"/>
    <col min="15368" max="15368" width="9.265625" style="75" customWidth="1"/>
    <col min="15369" max="15369" width="10.265625" style="75" customWidth="1"/>
    <col min="15370" max="15370" width="9.19921875" style="75" customWidth="1"/>
    <col min="15371" max="15371" width="8.19921875" style="75" customWidth="1"/>
    <col min="15372" max="15372" width="8" style="75" customWidth="1"/>
    <col min="15373" max="15373" width="1.73046875" style="75" customWidth="1"/>
    <col min="15374" max="15374" width="10.19921875" style="75" customWidth="1"/>
    <col min="15375" max="15375" width="16.53125" style="75" customWidth="1"/>
    <col min="15376" max="15376" width="13.73046875" style="75" customWidth="1"/>
    <col min="15377" max="15377" width="8.265625" style="75" customWidth="1"/>
    <col min="15378" max="15378" width="8.73046875" style="75" customWidth="1"/>
    <col min="15379" max="15379" width="7.796875" style="75" customWidth="1"/>
    <col min="15380" max="15380" width="1.265625" style="75" customWidth="1"/>
    <col min="15381" max="15381" width="10.19921875" style="75" customWidth="1"/>
    <col min="15382" max="15382" width="7.265625" style="75" customWidth="1"/>
    <col min="15383" max="15616" width="4.265625" style="75"/>
    <col min="15617" max="15617" width="15.19921875" style="75" customWidth="1"/>
    <col min="15618" max="15618" width="10.73046875" style="75" customWidth="1"/>
    <col min="15619" max="15619" width="12.265625" style="75" customWidth="1"/>
    <col min="15620" max="15620" width="9.73046875" style="75" customWidth="1"/>
    <col min="15621" max="15621" width="10.19921875" style="75" customWidth="1"/>
    <col min="15622" max="15622" width="11.73046875" style="75" customWidth="1"/>
    <col min="15623" max="15623" width="7.265625" style="75" customWidth="1"/>
    <col min="15624" max="15624" width="9.265625" style="75" customWidth="1"/>
    <col min="15625" max="15625" width="10.265625" style="75" customWidth="1"/>
    <col min="15626" max="15626" width="9.19921875" style="75" customWidth="1"/>
    <col min="15627" max="15627" width="8.19921875" style="75" customWidth="1"/>
    <col min="15628" max="15628" width="8" style="75" customWidth="1"/>
    <col min="15629" max="15629" width="1.73046875" style="75" customWidth="1"/>
    <col min="15630" max="15630" width="10.19921875" style="75" customWidth="1"/>
    <col min="15631" max="15631" width="16.53125" style="75" customWidth="1"/>
    <col min="15632" max="15632" width="13.73046875" style="75" customWidth="1"/>
    <col min="15633" max="15633" width="8.265625" style="75" customWidth="1"/>
    <col min="15634" max="15634" width="8.73046875" style="75" customWidth="1"/>
    <col min="15635" max="15635" width="7.796875" style="75" customWidth="1"/>
    <col min="15636" max="15636" width="1.265625" style="75" customWidth="1"/>
    <col min="15637" max="15637" width="10.19921875" style="75" customWidth="1"/>
    <col min="15638" max="15638" width="7.265625" style="75" customWidth="1"/>
    <col min="15639" max="15872" width="4.265625" style="75"/>
    <col min="15873" max="15873" width="15.19921875" style="75" customWidth="1"/>
    <col min="15874" max="15874" width="10.73046875" style="75" customWidth="1"/>
    <col min="15875" max="15875" width="12.265625" style="75" customWidth="1"/>
    <col min="15876" max="15876" width="9.73046875" style="75" customWidth="1"/>
    <col min="15877" max="15877" width="10.19921875" style="75" customWidth="1"/>
    <col min="15878" max="15878" width="11.73046875" style="75" customWidth="1"/>
    <col min="15879" max="15879" width="7.265625" style="75" customWidth="1"/>
    <col min="15880" max="15880" width="9.265625" style="75" customWidth="1"/>
    <col min="15881" max="15881" width="10.265625" style="75" customWidth="1"/>
    <col min="15882" max="15882" width="9.19921875" style="75" customWidth="1"/>
    <col min="15883" max="15883" width="8.19921875" style="75" customWidth="1"/>
    <col min="15884" max="15884" width="8" style="75" customWidth="1"/>
    <col min="15885" max="15885" width="1.73046875" style="75" customWidth="1"/>
    <col min="15886" max="15886" width="10.19921875" style="75" customWidth="1"/>
    <col min="15887" max="15887" width="16.53125" style="75" customWidth="1"/>
    <col min="15888" max="15888" width="13.73046875" style="75" customWidth="1"/>
    <col min="15889" max="15889" width="8.265625" style="75" customWidth="1"/>
    <col min="15890" max="15890" width="8.73046875" style="75" customWidth="1"/>
    <col min="15891" max="15891" width="7.796875" style="75" customWidth="1"/>
    <col min="15892" max="15892" width="1.265625" style="75" customWidth="1"/>
    <col min="15893" max="15893" width="10.19921875" style="75" customWidth="1"/>
    <col min="15894" max="15894" width="7.265625" style="75" customWidth="1"/>
    <col min="15895" max="16128" width="4.265625" style="75"/>
    <col min="16129" max="16129" width="15.19921875" style="75" customWidth="1"/>
    <col min="16130" max="16130" width="10.73046875" style="75" customWidth="1"/>
    <col min="16131" max="16131" width="12.265625" style="75" customWidth="1"/>
    <col min="16132" max="16132" width="9.73046875" style="75" customWidth="1"/>
    <col min="16133" max="16133" width="10.19921875" style="75" customWidth="1"/>
    <col min="16134" max="16134" width="11.73046875" style="75" customWidth="1"/>
    <col min="16135" max="16135" width="7.265625" style="75" customWidth="1"/>
    <col min="16136" max="16136" width="9.265625" style="75" customWidth="1"/>
    <col min="16137" max="16137" width="10.265625" style="75" customWidth="1"/>
    <col min="16138" max="16138" width="9.19921875" style="75" customWidth="1"/>
    <col min="16139" max="16139" width="8.19921875" style="75" customWidth="1"/>
    <col min="16140" max="16140" width="8" style="75" customWidth="1"/>
    <col min="16141" max="16141" width="1.73046875" style="75" customWidth="1"/>
    <col min="16142" max="16142" width="10.19921875" style="75" customWidth="1"/>
    <col min="16143" max="16143" width="16.53125" style="75" customWidth="1"/>
    <col min="16144" max="16144" width="13.73046875" style="75" customWidth="1"/>
    <col min="16145" max="16145" width="8.265625" style="75" customWidth="1"/>
    <col min="16146" max="16146" width="8.73046875" style="75" customWidth="1"/>
    <col min="16147" max="16147" width="7.796875" style="75" customWidth="1"/>
    <col min="16148" max="16148" width="1.265625" style="75" customWidth="1"/>
    <col min="16149" max="16149" width="10.19921875" style="75" customWidth="1"/>
    <col min="16150" max="16150" width="7.265625" style="75" customWidth="1"/>
    <col min="16151" max="16384" width="4.265625" style="75"/>
  </cols>
  <sheetData>
    <row r="1" spans="1:46" ht="20.25" customHeight="1" x14ac:dyDescent="0.5">
      <c r="A1" s="971" t="s">
        <v>2506</v>
      </c>
      <c r="E1"/>
      <c r="F1" s="139"/>
      <c r="AC1" s="228"/>
      <c r="AD1" s="228"/>
      <c r="AE1" s="228"/>
      <c r="AF1" s="228"/>
      <c r="AG1" s="229" t="s">
        <v>626</v>
      </c>
      <c r="AH1" s="230"/>
      <c r="AI1" s="228"/>
      <c r="AJ1" s="228"/>
      <c r="AK1" s="231"/>
      <c r="AL1" s="231"/>
      <c r="AM1" s="228"/>
    </row>
    <row r="2" spans="1:46" ht="14.25" x14ac:dyDescent="0.45">
      <c r="A2" s="142"/>
      <c r="AC2" s="138"/>
      <c r="AD2" s="138"/>
      <c r="AE2" s="138"/>
      <c r="AF2" s="138"/>
      <c r="AG2" s="176"/>
      <c r="AH2" s="176"/>
      <c r="AI2" s="176"/>
      <c r="AJ2" s="176"/>
      <c r="AK2" s="176"/>
      <c r="AL2" s="176"/>
      <c r="AM2" s="158"/>
    </row>
    <row r="3" spans="1:46" ht="17.649999999999999" x14ac:dyDescent="0.5">
      <c r="B3" s="926" t="s">
        <v>992</v>
      </c>
      <c r="C3" s="926" t="s">
        <v>2359</v>
      </c>
      <c r="D3" s="1194"/>
      <c r="E3" s="1194"/>
      <c r="F3" s="1194"/>
      <c r="G3" s="1194"/>
      <c r="H3" s="1194"/>
      <c r="I3" s="1194"/>
      <c r="J3" s="1194"/>
      <c r="K3" s="1194"/>
      <c r="L3" s="1195"/>
      <c r="N3" s="629" t="s">
        <v>627</v>
      </c>
      <c r="O3" s="256"/>
      <c r="P3" s="256"/>
      <c r="Q3" s="256"/>
      <c r="R3" s="256"/>
      <c r="S3" s="256"/>
      <c r="T3" s="256"/>
      <c r="U3" s="256"/>
      <c r="V3" s="256"/>
      <c r="AC3" s="1459" t="s">
        <v>737</v>
      </c>
      <c r="AD3" s="1459"/>
      <c r="AE3" s="1459"/>
      <c r="AF3" s="1459"/>
      <c r="AG3" s="1459"/>
      <c r="AH3" s="1459"/>
      <c r="AI3" s="1459"/>
      <c r="AJ3" s="1459"/>
      <c r="AK3" s="1459"/>
      <c r="AL3" s="1459"/>
      <c r="AM3" s="1459"/>
    </row>
    <row r="4" spans="1:46" ht="17.25" customHeight="1" x14ac:dyDescent="0.4">
      <c r="A4" s="145"/>
      <c r="B4" s="145"/>
      <c r="C4" s="508" t="s">
        <v>2360</v>
      </c>
      <c r="D4" s="145"/>
      <c r="E4" s="145"/>
      <c r="F4" s="145"/>
      <c r="G4" s="145"/>
      <c r="H4" s="145"/>
      <c r="I4" s="145"/>
      <c r="J4" s="145"/>
      <c r="K4" s="145"/>
      <c r="L4" s="146" t="s">
        <v>628</v>
      </c>
      <c r="N4" s="1460" t="s">
        <v>629</v>
      </c>
      <c r="O4" s="1460"/>
      <c r="P4" s="1460"/>
      <c r="Q4" s="1460"/>
      <c r="R4" s="1460"/>
      <c r="S4" s="147" t="s">
        <v>628</v>
      </c>
      <c r="T4" s="81"/>
      <c r="U4" s="145" t="s">
        <v>231</v>
      </c>
      <c r="AC4" s="139"/>
      <c r="AD4" s="139"/>
      <c r="AE4" s="228"/>
      <c r="AF4" s="158"/>
      <c r="AG4" s="158"/>
      <c r="AH4" s="158"/>
      <c r="AI4" s="228"/>
      <c r="AJ4" s="254" t="s">
        <v>810</v>
      </c>
      <c r="AK4" s="255"/>
      <c r="AL4" s="255"/>
      <c r="AM4" s="255"/>
      <c r="AN4" s="256"/>
      <c r="AO4" s="256"/>
      <c r="AP4" s="256"/>
      <c r="AQ4" s="256"/>
      <c r="AR4" s="256"/>
      <c r="AS4" s="256"/>
      <c r="AT4" s="256"/>
    </row>
    <row r="5" spans="1:46" ht="13.5" thickBot="1" x14ac:dyDescent="0.45">
      <c r="A5" s="148"/>
      <c r="B5" s="44"/>
      <c r="C5" s="44"/>
      <c r="D5" s="44"/>
      <c r="E5" s="44"/>
      <c r="F5" s="149"/>
      <c r="G5" s="1449" t="s">
        <v>630</v>
      </c>
      <c r="H5" s="1449"/>
      <c r="I5" s="1449"/>
      <c r="J5" s="1449"/>
      <c r="K5" s="1449"/>
      <c r="L5" s="1450"/>
      <c r="N5" s="150" t="s">
        <v>631</v>
      </c>
      <c r="O5" s="151" t="s">
        <v>632</v>
      </c>
      <c r="P5" s="151" t="s">
        <v>633</v>
      </c>
      <c r="Q5" s="151" t="s">
        <v>634</v>
      </c>
      <c r="R5" s="151" t="s">
        <v>635</v>
      </c>
      <c r="S5" s="152" t="s">
        <v>211</v>
      </c>
      <c r="T5" s="81"/>
      <c r="U5" s="153" t="s">
        <v>636</v>
      </c>
      <c r="V5" s="154"/>
      <c r="AC5" s="232"/>
      <c r="AD5" s="233"/>
      <c r="AE5" s="233"/>
      <c r="AF5" s="233"/>
      <c r="AG5" s="233"/>
      <c r="AH5" s="233"/>
      <c r="AI5" s="158"/>
      <c r="AJ5" s="234" t="s">
        <v>738</v>
      </c>
      <c r="AK5" s="234"/>
      <c r="AL5" s="233"/>
      <c r="AM5" s="233"/>
    </row>
    <row r="6" spans="1:46" s="158" customFormat="1" ht="13.5" thickTop="1" x14ac:dyDescent="0.4">
      <c r="A6" s="155"/>
      <c r="B6" s="156" t="s">
        <v>13</v>
      </c>
      <c r="C6" s="156" t="s">
        <v>637</v>
      </c>
      <c r="D6" s="156" t="s">
        <v>638</v>
      </c>
      <c r="E6" s="156" t="s">
        <v>13</v>
      </c>
      <c r="F6" s="157" t="s">
        <v>639</v>
      </c>
      <c r="G6" s="157" t="s">
        <v>211</v>
      </c>
      <c r="H6" s="157" t="s">
        <v>180</v>
      </c>
      <c r="I6" s="1451" t="s">
        <v>640</v>
      </c>
      <c r="J6" s="1452"/>
      <c r="K6" s="1452"/>
      <c r="L6" s="1453"/>
      <c r="N6" s="159" t="s">
        <v>641</v>
      </c>
      <c r="O6" s="157" t="s">
        <v>642</v>
      </c>
      <c r="P6" s="157" t="s">
        <v>643</v>
      </c>
      <c r="Q6" s="157" t="s">
        <v>644</v>
      </c>
      <c r="R6" s="149"/>
      <c r="S6" s="160"/>
      <c r="U6" s="155" t="s">
        <v>645</v>
      </c>
      <c r="V6" s="161"/>
      <c r="AC6" s="161"/>
      <c r="AD6" s="157" t="s">
        <v>211</v>
      </c>
      <c r="AE6" s="157" t="s">
        <v>739</v>
      </c>
      <c r="AF6" s="157" t="s">
        <v>740</v>
      </c>
      <c r="AG6" s="157" t="s">
        <v>741</v>
      </c>
      <c r="AH6" s="1454" t="s">
        <v>13</v>
      </c>
      <c r="AI6" s="1454"/>
      <c r="AJ6" s="1454"/>
      <c r="AK6" s="157" t="s">
        <v>195</v>
      </c>
      <c r="AL6" s="157" t="s">
        <v>22</v>
      </c>
      <c r="AM6" s="176"/>
    </row>
    <row r="7" spans="1:46" s="158" customFormat="1" ht="13.15" x14ac:dyDescent="0.4">
      <c r="A7" s="155"/>
      <c r="B7" s="156" t="s">
        <v>646</v>
      </c>
      <c r="C7" s="156" t="s">
        <v>647</v>
      </c>
      <c r="D7" s="156" t="s">
        <v>214</v>
      </c>
      <c r="E7" s="156" t="s">
        <v>648</v>
      </c>
      <c r="F7" s="157" t="s">
        <v>649</v>
      </c>
      <c r="G7" s="157"/>
      <c r="H7" s="157" t="s">
        <v>650</v>
      </c>
      <c r="I7" s="162" t="s">
        <v>172</v>
      </c>
      <c r="J7" s="157" t="s">
        <v>17</v>
      </c>
      <c r="K7" s="157" t="s">
        <v>22</v>
      </c>
      <c r="L7" s="163" t="s">
        <v>211</v>
      </c>
      <c r="N7" s="159" t="s">
        <v>651</v>
      </c>
      <c r="O7" s="157" t="s">
        <v>652</v>
      </c>
      <c r="P7" s="157" t="s">
        <v>651</v>
      </c>
      <c r="Q7" s="149"/>
      <c r="R7" s="149"/>
      <c r="S7" s="160"/>
      <c r="U7" s="155" t="s">
        <v>653</v>
      </c>
      <c r="V7" s="161"/>
      <c r="AC7" s="161"/>
      <c r="AD7" s="157" t="s">
        <v>742</v>
      </c>
      <c r="AE7" s="157"/>
      <c r="AF7" s="157"/>
      <c r="AG7" s="157" t="s">
        <v>743</v>
      </c>
      <c r="AH7" s="157" t="s">
        <v>744</v>
      </c>
      <c r="AI7" s="157" t="s">
        <v>745</v>
      </c>
      <c r="AJ7" s="157" t="s">
        <v>746</v>
      </c>
      <c r="AK7" s="157" t="s">
        <v>747</v>
      </c>
      <c r="AL7" s="157" t="s">
        <v>748</v>
      </c>
      <c r="AM7" s="176"/>
    </row>
    <row r="8" spans="1:46" s="158" customFormat="1" ht="13.15" x14ac:dyDescent="0.4">
      <c r="A8" s="164"/>
      <c r="B8" s="165" t="s">
        <v>654</v>
      </c>
      <c r="C8" s="165" t="s">
        <v>655</v>
      </c>
      <c r="D8" s="166" t="s">
        <v>27</v>
      </c>
      <c r="E8" s="165"/>
      <c r="F8" s="165" t="s">
        <v>656</v>
      </c>
      <c r="G8" s="165"/>
      <c r="H8" s="167"/>
      <c r="I8" s="168"/>
      <c r="J8" s="165"/>
      <c r="K8" s="166" t="s">
        <v>29</v>
      </c>
      <c r="L8" s="167"/>
      <c r="N8" s="169"/>
      <c r="O8" s="165" t="s">
        <v>651</v>
      </c>
      <c r="P8" s="165"/>
      <c r="Q8" s="170"/>
      <c r="R8" s="170"/>
      <c r="S8" s="171"/>
      <c r="U8" s="172" t="s">
        <v>31</v>
      </c>
      <c r="V8" s="173"/>
      <c r="AC8" s="173"/>
      <c r="AD8" s="165" t="s">
        <v>749</v>
      </c>
      <c r="AE8" s="165"/>
      <c r="AF8" s="165"/>
      <c r="AG8" s="165"/>
      <c r="AH8" s="165"/>
      <c r="AI8" s="165" t="s">
        <v>750</v>
      </c>
      <c r="AJ8" s="165" t="s">
        <v>751</v>
      </c>
      <c r="AK8" s="165" t="s">
        <v>752</v>
      </c>
      <c r="AL8" s="165"/>
      <c r="AM8" s="228"/>
    </row>
    <row r="9" spans="1:46" s="158" customFormat="1" ht="13.15" x14ac:dyDescent="0.4">
      <c r="A9" s="155"/>
      <c r="B9" s="157"/>
      <c r="C9" s="157"/>
      <c r="D9" s="612"/>
      <c r="E9" s="157"/>
      <c r="F9" s="157"/>
      <c r="G9" s="157"/>
      <c r="H9" s="157"/>
      <c r="I9" s="157"/>
      <c r="J9" s="157"/>
      <c r="K9" s="612"/>
      <c r="L9" s="163"/>
      <c r="N9" s="159"/>
      <c r="O9" s="157"/>
      <c r="P9" s="157"/>
      <c r="Q9" s="149"/>
      <c r="R9" s="149"/>
      <c r="S9" s="160"/>
      <c r="U9" s="613"/>
      <c r="V9" s="161"/>
      <c r="AC9" s="161"/>
      <c r="AD9" s="157"/>
      <c r="AE9" s="157"/>
      <c r="AF9" s="157"/>
      <c r="AG9" s="157"/>
      <c r="AH9" s="157"/>
      <c r="AI9" s="157"/>
      <c r="AJ9" s="157"/>
      <c r="AK9" s="157"/>
      <c r="AL9" s="157"/>
      <c r="AM9" s="176"/>
    </row>
    <row r="10" spans="1:46" s="158" customFormat="1" ht="14.25" x14ac:dyDescent="0.45">
      <c r="A10" s="614">
        <v>1920</v>
      </c>
      <c r="B10" s="175">
        <f>E10-D10-C10</f>
        <v>3.9760000000000004</v>
      </c>
      <c r="C10" s="176">
        <f>89/1000</f>
        <v>8.8999999999999996E-2</v>
      </c>
      <c r="D10" s="177">
        <v>0</v>
      </c>
      <c r="E10" s="176">
        <f>4065/1000</f>
        <v>4.0650000000000004</v>
      </c>
      <c r="F10" s="176"/>
      <c r="G10" s="15"/>
      <c r="H10" s="15"/>
      <c r="I10" s="15"/>
      <c r="J10" s="15"/>
      <c r="K10" s="15"/>
      <c r="L10" s="178"/>
      <c r="N10" s="179">
        <f>297/1000</f>
        <v>0.29699999999999999</v>
      </c>
      <c r="O10" s="175">
        <f>398/1000</f>
        <v>0.39800000000000002</v>
      </c>
      <c r="P10" s="175">
        <f>2545/1000</f>
        <v>2.5449999999999999</v>
      </c>
      <c r="Q10" s="180">
        <f>48/1000</f>
        <v>4.8000000000000001E-2</v>
      </c>
      <c r="R10" s="180">
        <f>419/1000</f>
        <v>0.41899999999999998</v>
      </c>
      <c r="S10" s="181">
        <f>3707/1000</f>
        <v>3.7069999999999999</v>
      </c>
      <c r="T10" s="182"/>
      <c r="U10" s="183">
        <v>850</v>
      </c>
      <c r="V10" s="184">
        <v>1920</v>
      </c>
      <c r="AC10" s="174">
        <v>1920</v>
      </c>
      <c r="AD10" s="175">
        <f>SUM(AE10:AK10)</f>
        <v>3.6825881033040004</v>
      </c>
      <c r="AE10" s="175">
        <f>(6348*1.016*23.8*0.023885)/1000</f>
        <v>3.6663407739840004</v>
      </c>
      <c r="AF10" s="175">
        <f>((6+9)*1.016*41.8*0.023885)/1000</f>
        <v>1.5215509319999999E-2</v>
      </c>
      <c r="AG10" s="177">
        <v>0</v>
      </c>
      <c r="AH10" s="177">
        <v>0</v>
      </c>
      <c r="AI10" s="193">
        <f>12*0.085985/1000</f>
        <v>1.0318200000000001E-3</v>
      </c>
      <c r="AJ10" s="193"/>
      <c r="AK10" s="235">
        <f t="shared" ref="AK10:AK19" si="0">(0*1.016*27*0.023885)/1000</f>
        <v>0</v>
      </c>
      <c r="AL10" s="185"/>
      <c r="AM10" s="176"/>
    </row>
    <row r="11" spans="1:46" s="158" customFormat="1" ht="14.25" x14ac:dyDescent="0.45">
      <c r="A11" s="614">
        <v>1921</v>
      </c>
      <c r="B11" s="175">
        <f t="shared" ref="B11:B49" si="1">E11-D11-C11</f>
        <v>3.605</v>
      </c>
      <c r="C11" s="176">
        <f>59/1000</f>
        <v>5.8999999999999997E-2</v>
      </c>
      <c r="D11" s="177">
        <v>0</v>
      </c>
      <c r="E11" s="176">
        <f>3664/1000</f>
        <v>3.6640000000000001</v>
      </c>
      <c r="F11" s="176"/>
      <c r="G11" s="15"/>
      <c r="H11" s="15"/>
      <c r="I11" s="15"/>
      <c r="J11" s="15"/>
      <c r="K11" s="15"/>
      <c r="L11" s="178"/>
      <c r="N11" s="179">
        <f>316/1000</f>
        <v>0.316</v>
      </c>
      <c r="O11" s="175">
        <f>403/1000</f>
        <v>0.40300000000000002</v>
      </c>
      <c r="P11" s="175">
        <f>2081/1000</f>
        <v>2.081</v>
      </c>
      <c r="Q11" s="180">
        <f>51/1000</f>
        <v>5.0999999999999997E-2</v>
      </c>
      <c r="R11" s="180">
        <f>391/1000</f>
        <v>0.39100000000000001</v>
      </c>
      <c r="S11" s="181">
        <f>3242/1000</f>
        <v>3.242</v>
      </c>
      <c r="U11" s="183">
        <v>1000</v>
      </c>
      <c r="V11" s="184">
        <v>1921</v>
      </c>
      <c r="AC11" s="174">
        <v>1921</v>
      </c>
      <c r="AD11" s="175">
        <f>SUM(AE11:AL11)</f>
        <v>3.1895986480239999</v>
      </c>
      <c r="AE11" s="175">
        <f>(5363*1.016*23.8*0.023885)/1000</f>
        <v>3.097445742104</v>
      </c>
      <c r="AF11" s="175">
        <f>((75+15)*1.016*41.8*0.023885)/1000</f>
        <v>9.1293055919999991E-2</v>
      </c>
      <c r="AG11" s="177">
        <v>0</v>
      </c>
      <c r="AH11" s="177">
        <v>0</v>
      </c>
      <c r="AI11" s="193">
        <f>10*0.085985/1000</f>
        <v>8.5985E-4</v>
      </c>
      <c r="AJ11" s="193"/>
      <c r="AK11" s="235">
        <f t="shared" si="0"/>
        <v>0</v>
      </c>
      <c r="AL11" s="185"/>
      <c r="AM11" s="176"/>
    </row>
    <row r="12" spans="1:46" s="158" customFormat="1" ht="14.25" x14ac:dyDescent="0.45">
      <c r="A12" s="614">
        <v>1922</v>
      </c>
      <c r="B12" s="175">
        <f t="shared" si="1"/>
        <v>4.226</v>
      </c>
      <c r="C12" s="176">
        <f>150/1000</f>
        <v>0.15</v>
      </c>
      <c r="D12" s="177">
        <v>0</v>
      </c>
      <c r="E12" s="176">
        <f>4376/1000</f>
        <v>4.3760000000000003</v>
      </c>
      <c r="F12" s="176"/>
      <c r="G12" s="15"/>
      <c r="H12" s="15"/>
      <c r="I12" s="15"/>
      <c r="J12" s="15"/>
      <c r="K12" s="15"/>
      <c r="L12" s="178"/>
      <c r="N12" s="179">
        <f>370/1000</f>
        <v>0.37</v>
      </c>
      <c r="O12" s="175">
        <f>460/1000</f>
        <v>0.46</v>
      </c>
      <c r="P12" s="175">
        <f>2456/1000</f>
        <v>2.456</v>
      </c>
      <c r="Q12" s="180">
        <f>58/1000</f>
        <v>5.8000000000000003E-2</v>
      </c>
      <c r="R12" s="180">
        <f>415/1000</f>
        <v>0.41499999999999998</v>
      </c>
      <c r="S12" s="181">
        <f>3759/1000</f>
        <v>3.7589999999999999</v>
      </c>
      <c r="U12" s="183">
        <v>1200</v>
      </c>
      <c r="V12" s="184">
        <v>1922</v>
      </c>
      <c r="AC12" s="174">
        <v>1922</v>
      </c>
      <c r="AD12" s="175">
        <f t="shared" ref="AD12:AD54" si="2">SUM(AE12:AL12)</f>
        <v>3.2100752776320003</v>
      </c>
      <c r="AE12" s="175">
        <f>(5481*1.016*23.8*0.023885)/1000</f>
        <v>3.1655976342480003</v>
      </c>
      <c r="AF12" s="175">
        <f>((32+11)*1.016*41.8*0.023885)/1000</f>
        <v>4.3617793384E-2</v>
      </c>
      <c r="AG12" s="177">
        <v>0</v>
      </c>
      <c r="AH12" s="177">
        <v>0</v>
      </c>
      <c r="AI12" s="193">
        <f>10*0.085985/1000</f>
        <v>8.5985E-4</v>
      </c>
      <c r="AJ12" s="193"/>
      <c r="AK12" s="235">
        <f t="shared" si="0"/>
        <v>0</v>
      </c>
      <c r="AL12" s="185"/>
      <c r="AM12" s="176"/>
    </row>
    <row r="13" spans="1:46" s="158" customFormat="1" ht="14.25" x14ac:dyDescent="0.45">
      <c r="A13" s="614">
        <v>1923</v>
      </c>
      <c r="B13" s="175">
        <f t="shared" si="1"/>
        <v>4.9279999999999999</v>
      </c>
      <c r="C13" s="176">
        <f>249/1000</f>
        <v>0.249</v>
      </c>
      <c r="D13" s="177">
        <v>0</v>
      </c>
      <c r="E13" s="176">
        <f>5177/1000</f>
        <v>5.1769999999999996</v>
      </c>
      <c r="F13" s="176"/>
      <c r="G13" s="15"/>
      <c r="H13" s="15"/>
      <c r="I13" s="15"/>
      <c r="J13" s="15"/>
      <c r="K13" s="15"/>
      <c r="L13" s="178"/>
      <c r="N13" s="179">
        <f>453/1000</f>
        <v>0.45300000000000001</v>
      </c>
      <c r="O13" s="175">
        <f>543/1000</f>
        <v>0.54300000000000004</v>
      </c>
      <c r="P13" s="175">
        <f>2989/1000</f>
        <v>2.9889999999999999</v>
      </c>
      <c r="Q13" s="180">
        <f>67/1000</f>
        <v>6.7000000000000004E-2</v>
      </c>
      <c r="R13" s="180">
        <f>443/1000</f>
        <v>0.443</v>
      </c>
      <c r="S13" s="181">
        <f>4495/1000</f>
        <v>4.4950000000000001</v>
      </c>
      <c r="U13" s="183">
        <v>1400</v>
      </c>
      <c r="V13" s="184">
        <v>1923</v>
      </c>
      <c r="AC13" s="174">
        <v>1923</v>
      </c>
      <c r="AD13" s="175">
        <f t="shared" si="2"/>
        <v>3.6186961476799997</v>
      </c>
      <c r="AE13" s="175">
        <f>(6174*1.016*23.8*0.023885)/1000</f>
        <v>3.565845610992</v>
      </c>
      <c r="AF13" s="175">
        <f>((39+12)*1.016*41.8*0.023885)/1000</f>
        <v>5.1732731688000001E-2</v>
      </c>
      <c r="AG13" s="177">
        <v>0</v>
      </c>
      <c r="AH13" s="177">
        <v>0</v>
      </c>
      <c r="AI13" s="193">
        <f>13*0.085985/1000</f>
        <v>1.1178050000000001E-3</v>
      </c>
      <c r="AJ13" s="193"/>
      <c r="AK13" s="235">
        <f t="shared" si="0"/>
        <v>0</v>
      </c>
      <c r="AL13" s="185"/>
      <c r="AM13" s="176"/>
    </row>
    <row r="14" spans="1:46" s="158" customFormat="1" ht="14.25" x14ac:dyDescent="0.45">
      <c r="A14" s="614">
        <v>1924</v>
      </c>
      <c r="B14" s="175">
        <f t="shared" si="1"/>
        <v>5.6269999999999998</v>
      </c>
      <c r="C14" s="176">
        <f>272/1000</f>
        <v>0.27200000000000002</v>
      </c>
      <c r="D14" s="177">
        <v>0</v>
      </c>
      <c r="E14" s="176">
        <f>5899/1000</f>
        <v>5.899</v>
      </c>
      <c r="F14" s="176"/>
      <c r="G14" s="15"/>
      <c r="H14" s="15"/>
      <c r="I14" s="15"/>
      <c r="J14" s="15"/>
      <c r="K14" s="15"/>
      <c r="L14" s="178"/>
      <c r="N14" s="179">
        <f>543/1000</f>
        <v>0.54300000000000004</v>
      </c>
      <c r="O14" s="175">
        <f>626/1000</f>
        <v>0.626</v>
      </c>
      <c r="P14" s="175">
        <f>3435/1000</f>
        <v>3.4350000000000001</v>
      </c>
      <c r="Q14" s="180">
        <f>78/1000</f>
        <v>7.8E-2</v>
      </c>
      <c r="R14" s="180">
        <f>486/1000</f>
        <v>0.48599999999999999</v>
      </c>
      <c r="S14" s="181">
        <f>5168/1000</f>
        <v>5.1680000000000001</v>
      </c>
      <c r="U14" s="183">
        <v>1600</v>
      </c>
      <c r="V14" s="184">
        <v>1924</v>
      </c>
      <c r="AC14" s="174">
        <v>1924</v>
      </c>
      <c r="AD14" s="175">
        <f t="shared" si="2"/>
        <v>3.9011534296640002</v>
      </c>
      <c r="AE14" s="175">
        <f>(6661*1.016*23.8*0.023885)/1000</f>
        <v>3.8471165556880003</v>
      </c>
      <c r="AF14" s="175">
        <f>((37+15)*1.016*41.8*0.023885)/1000</f>
        <v>5.2747098975999995E-2</v>
      </c>
      <c r="AG14" s="177">
        <v>0</v>
      </c>
      <c r="AH14" s="177">
        <v>0</v>
      </c>
      <c r="AI14" s="193">
        <f>15*0.085985/1000</f>
        <v>1.2897750000000002E-3</v>
      </c>
      <c r="AJ14" s="193"/>
      <c r="AK14" s="235">
        <f t="shared" si="0"/>
        <v>0</v>
      </c>
      <c r="AL14" s="185"/>
      <c r="AM14" s="176"/>
    </row>
    <row r="15" spans="1:46" s="158" customFormat="1" ht="14.25" x14ac:dyDescent="0.45">
      <c r="A15" s="614">
        <v>1925</v>
      </c>
      <c r="B15" s="175">
        <f t="shared" si="1"/>
        <v>6.1840000000000002</v>
      </c>
      <c r="C15" s="176">
        <f>308/1000</f>
        <v>0.308</v>
      </c>
      <c r="D15" s="177">
        <v>0</v>
      </c>
      <c r="E15" s="176">
        <f>6492/1000</f>
        <v>6.492</v>
      </c>
      <c r="F15" s="176"/>
      <c r="G15" s="15"/>
      <c r="H15" s="15"/>
      <c r="I15" s="15"/>
      <c r="J15" s="15"/>
      <c r="K15" s="15"/>
      <c r="L15" s="178"/>
      <c r="N15" s="179">
        <f>635/1000</f>
        <v>0.63500000000000001</v>
      </c>
      <c r="O15" s="175">
        <f>699/1000</f>
        <v>0.69899999999999995</v>
      </c>
      <c r="P15" s="175">
        <f>3709/1000</f>
        <v>3.7090000000000001</v>
      </c>
      <c r="Q15" s="180">
        <f>90/1000</f>
        <v>0.09</v>
      </c>
      <c r="R15" s="180">
        <f>519/1000</f>
        <v>0.51900000000000002</v>
      </c>
      <c r="S15" s="181">
        <f>5652/1000</f>
        <v>5.6520000000000001</v>
      </c>
      <c r="U15" s="183">
        <v>1900</v>
      </c>
      <c r="V15" s="184">
        <v>1925</v>
      </c>
      <c r="AC15" s="174">
        <v>1925</v>
      </c>
      <c r="AD15" s="175">
        <f t="shared" si="2"/>
        <v>4.0810119127199993</v>
      </c>
      <c r="AE15" s="175">
        <f>(6997*1.016*23.8*0.023885)/1000</f>
        <v>4.0411761807759996</v>
      </c>
      <c r="AF15" s="175">
        <f>((22+16)*1.016*41.8*0.023885)/1000</f>
        <v>3.8545956943999996E-2</v>
      </c>
      <c r="AG15" s="177">
        <v>0</v>
      </c>
      <c r="AH15" s="177">
        <v>0</v>
      </c>
      <c r="AI15" s="193">
        <f>15*0.085985/1000</f>
        <v>1.2897750000000002E-3</v>
      </c>
      <c r="AJ15" s="193"/>
      <c r="AK15" s="235">
        <f t="shared" si="0"/>
        <v>0</v>
      </c>
      <c r="AL15" s="185"/>
      <c r="AM15" s="176"/>
    </row>
    <row r="16" spans="1:46" s="158" customFormat="1" ht="14.25" x14ac:dyDescent="0.45">
      <c r="A16" s="614">
        <v>1926</v>
      </c>
      <c r="B16" s="175">
        <f t="shared" si="1"/>
        <v>6.5259999999999998</v>
      </c>
      <c r="C16" s="176">
        <f>262/1000</f>
        <v>0.26200000000000001</v>
      </c>
      <c r="D16" s="177">
        <v>0</v>
      </c>
      <c r="E16" s="176">
        <f>6788/1000</f>
        <v>6.7880000000000003</v>
      </c>
      <c r="F16" s="176"/>
      <c r="G16" s="15"/>
      <c r="H16" s="15"/>
      <c r="I16" s="15"/>
      <c r="J16" s="15"/>
      <c r="K16" s="15"/>
      <c r="L16" s="178"/>
      <c r="N16" s="179">
        <f>754/1000</f>
        <v>0.754</v>
      </c>
      <c r="O16" s="175">
        <f>812/1000</f>
        <v>0.81200000000000006</v>
      </c>
      <c r="P16" s="175">
        <f>3592/1000</f>
        <v>3.5920000000000001</v>
      </c>
      <c r="Q16" s="180">
        <f>96/1000</f>
        <v>9.6000000000000002E-2</v>
      </c>
      <c r="R16" s="180">
        <f>563/1000</f>
        <v>0.56299999999999994</v>
      </c>
      <c r="S16" s="181">
        <f>5817/1000</f>
        <v>5.8170000000000002</v>
      </c>
      <c r="U16" s="183">
        <v>2200</v>
      </c>
      <c r="V16" s="184">
        <v>1926</v>
      </c>
      <c r="AC16" s="174">
        <v>1926</v>
      </c>
      <c r="AD16" s="175">
        <f t="shared" si="2"/>
        <v>4.1438881242800001</v>
      </c>
      <c r="AE16" s="175">
        <f>(7004*1.016*23.8*0.023885)/1000</f>
        <v>4.0452190896319999</v>
      </c>
      <c r="AF16" s="175">
        <f>((75+21)*1.016*41.8*0.023885)/1000</f>
        <v>9.7379259647999983E-2</v>
      </c>
      <c r="AG16" s="177">
        <v>0</v>
      </c>
      <c r="AH16" s="177">
        <v>0</v>
      </c>
      <c r="AI16" s="193">
        <f>15*0.085985/1000</f>
        <v>1.2897750000000002E-3</v>
      </c>
      <c r="AJ16" s="193"/>
      <c r="AK16" s="235">
        <f t="shared" si="0"/>
        <v>0</v>
      </c>
      <c r="AL16" s="185"/>
      <c r="AM16" s="176"/>
    </row>
    <row r="17" spans="1:39" s="158" customFormat="1" ht="14.25" x14ac:dyDescent="0.45">
      <c r="A17" s="614">
        <v>1927</v>
      </c>
      <c r="B17" s="175">
        <f t="shared" si="1"/>
        <v>7.9260000000000002</v>
      </c>
      <c r="C17" s="176">
        <f>176/1000</f>
        <v>0.17599999999999999</v>
      </c>
      <c r="D17" s="177">
        <v>0</v>
      </c>
      <c r="E17" s="176">
        <f>8102/1000</f>
        <v>8.1020000000000003</v>
      </c>
      <c r="F17" s="176"/>
      <c r="G17" s="15"/>
      <c r="H17" s="15"/>
      <c r="I17" s="15"/>
      <c r="J17" s="15"/>
      <c r="K17" s="15"/>
      <c r="L17" s="178"/>
      <c r="N17" s="179">
        <f>921/1000</f>
        <v>0.92100000000000004</v>
      </c>
      <c r="O17" s="175">
        <f>923/1000</f>
        <v>0.92300000000000004</v>
      </c>
      <c r="P17" s="175">
        <f>4375/1000</f>
        <v>4.375</v>
      </c>
      <c r="Q17" s="180">
        <f>113/1000</f>
        <v>0.113</v>
      </c>
      <c r="R17" s="180">
        <f>649/1000</f>
        <v>0.64900000000000002</v>
      </c>
      <c r="S17" s="181">
        <f>6981/1000</f>
        <v>6.9809999999999999</v>
      </c>
      <c r="U17" s="183">
        <v>2600</v>
      </c>
      <c r="V17" s="184">
        <v>1927</v>
      </c>
      <c r="AC17" s="174">
        <v>1927</v>
      </c>
      <c r="AD17" s="175">
        <f t="shared" si="2"/>
        <v>4.6287288060960003</v>
      </c>
      <c r="AE17" s="175">
        <f>(7957*1.016*23.8*0.023885)/1000</f>
        <v>4.5956322524560003</v>
      </c>
      <c r="AF17" s="175">
        <f>((9+21)*1.016*41.8*0.023885)/1000</f>
        <v>3.0431018639999998E-2</v>
      </c>
      <c r="AG17" s="177">
        <v>0</v>
      </c>
      <c r="AH17" s="177">
        <v>0</v>
      </c>
      <c r="AI17" s="193">
        <f>31*0.085985/1000</f>
        <v>2.6655350000000001E-3</v>
      </c>
      <c r="AJ17" s="193"/>
      <c r="AK17" s="235">
        <f t="shared" si="0"/>
        <v>0</v>
      </c>
      <c r="AL17" s="185"/>
      <c r="AM17" s="176"/>
    </row>
    <row r="18" spans="1:39" s="158" customFormat="1" ht="14.25" x14ac:dyDescent="0.45">
      <c r="A18" s="614">
        <v>1928</v>
      </c>
      <c r="B18" s="175">
        <f t="shared" si="1"/>
        <v>8.75</v>
      </c>
      <c r="C18" s="176">
        <f>229/1000</f>
        <v>0.22900000000000001</v>
      </c>
      <c r="D18" s="177">
        <v>0</v>
      </c>
      <c r="E18" s="176">
        <f>8979/1000</f>
        <v>8.9789999999999992</v>
      </c>
      <c r="F18" s="176"/>
      <c r="G18" s="15"/>
      <c r="H18" s="15"/>
      <c r="I18" s="15"/>
      <c r="J18" s="15"/>
      <c r="K18" s="15"/>
      <c r="L18" s="178"/>
      <c r="N18" s="179">
        <f>1098/1000</f>
        <v>1.0980000000000001</v>
      </c>
      <c r="O18" s="175">
        <f>1042/1000</f>
        <v>1.042</v>
      </c>
      <c r="P18" s="175">
        <f>4762/1000</f>
        <v>4.7619999999999996</v>
      </c>
      <c r="Q18" s="180">
        <f>126/1000</f>
        <v>0.126</v>
      </c>
      <c r="R18" s="180">
        <f>716/1000</f>
        <v>0.71599999999999997</v>
      </c>
      <c r="S18" s="181">
        <f>7744/1000</f>
        <v>7.7439999999999998</v>
      </c>
      <c r="U18" s="183">
        <v>3007</v>
      </c>
      <c r="V18" s="184">
        <v>1928</v>
      </c>
      <c r="AC18" s="174">
        <v>1928</v>
      </c>
      <c r="AD18" s="175">
        <f t="shared" si="2"/>
        <v>4.7934599053600007</v>
      </c>
      <c r="AE18" s="175">
        <f>(8229*1.016*23.8*0.023885)/1000</f>
        <v>4.7527281394320005</v>
      </c>
      <c r="AF18" s="175">
        <f>((6+25)*1.016*41.8*0.023885)/1000</f>
        <v>3.1445385928000003E-2</v>
      </c>
      <c r="AG18" s="177">
        <v>0</v>
      </c>
      <c r="AH18" s="177">
        <v>0</v>
      </c>
      <c r="AI18" s="193">
        <f>108*0.085985/1000</f>
        <v>9.2863800000000003E-3</v>
      </c>
      <c r="AJ18" s="193"/>
      <c r="AK18" s="235">
        <f t="shared" si="0"/>
        <v>0</v>
      </c>
      <c r="AL18" s="185"/>
      <c r="AM18" s="176"/>
    </row>
    <row r="19" spans="1:39" s="158" customFormat="1" ht="14.25" x14ac:dyDescent="0.45">
      <c r="A19" s="614">
        <v>1929</v>
      </c>
      <c r="B19" s="175">
        <f t="shared" si="1"/>
        <v>9.7569999999999997</v>
      </c>
      <c r="C19" s="176">
        <f>222/1000</f>
        <v>0.222</v>
      </c>
      <c r="D19" s="177">
        <v>0</v>
      </c>
      <c r="E19" s="176">
        <f>9979/1000</f>
        <v>9.9789999999999992</v>
      </c>
      <c r="F19" s="176"/>
      <c r="G19" s="15"/>
      <c r="H19" s="15"/>
      <c r="I19" s="15"/>
      <c r="J19" s="15"/>
      <c r="K19" s="15"/>
      <c r="L19" s="178"/>
      <c r="N19" s="179">
        <f>1311/1000</f>
        <v>1.3109999999999999</v>
      </c>
      <c r="O19" s="175">
        <f>1191/1000</f>
        <v>1.1910000000000001</v>
      </c>
      <c r="P19" s="175">
        <f>5318/1000</f>
        <v>5.3179999999999996</v>
      </c>
      <c r="Q19" s="180">
        <f>144/1000</f>
        <v>0.14399999999999999</v>
      </c>
      <c r="R19" s="180">
        <f>782/1000</f>
        <v>0.78200000000000003</v>
      </c>
      <c r="S19" s="181">
        <f>8746/1000</f>
        <v>8.7460000000000004</v>
      </c>
      <c r="U19" s="183">
        <v>3472</v>
      </c>
      <c r="V19" s="184">
        <v>1929</v>
      </c>
      <c r="AC19" s="174">
        <v>1929</v>
      </c>
      <c r="AD19" s="175">
        <f t="shared" si="2"/>
        <v>5.1741682426000013</v>
      </c>
      <c r="AE19" s="175">
        <f>(8884*1.016*23.8*0.023885)/1000</f>
        <v>5.1310288966720012</v>
      </c>
      <c r="AF19" s="175">
        <f>((5+26)*1.016*41.8*0.023885)/1000</f>
        <v>3.1445385928000003E-2</v>
      </c>
      <c r="AG19" s="177">
        <v>0</v>
      </c>
      <c r="AH19" s="177">
        <v>0</v>
      </c>
      <c r="AI19" s="193">
        <f>136*0.085985/1000</f>
        <v>1.169396E-2</v>
      </c>
      <c r="AJ19" s="193"/>
      <c r="AK19" s="235">
        <f t="shared" si="0"/>
        <v>0</v>
      </c>
      <c r="AL19" s="185"/>
      <c r="AM19" s="176"/>
    </row>
    <row r="20" spans="1:39" s="158" customFormat="1" ht="14.25" x14ac:dyDescent="0.45">
      <c r="A20" s="614">
        <v>1930</v>
      </c>
      <c r="B20" s="175">
        <f t="shared" si="1"/>
        <v>10.262</v>
      </c>
      <c r="C20" s="176">
        <f>213/1000</f>
        <v>0.21299999999999999</v>
      </c>
      <c r="D20" s="177">
        <v>0</v>
      </c>
      <c r="E20" s="176">
        <f>10475/1000</f>
        <v>10.475</v>
      </c>
      <c r="F20" s="176"/>
      <c r="G20" s="15"/>
      <c r="H20" s="15"/>
      <c r="I20" s="15"/>
      <c r="J20" s="15"/>
      <c r="K20" s="15"/>
      <c r="L20" s="178"/>
      <c r="N20" s="179">
        <f>1532/1000</f>
        <v>1.532</v>
      </c>
      <c r="O20" s="175">
        <f>1314/1000</f>
        <v>1.3140000000000001</v>
      </c>
      <c r="P20" s="175">
        <f>5355/1000</f>
        <v>5.3550000000000004</v>
      </c>
      <c r="Q20" s="180">
        <f>162/1000</f>
        <v>0.16200000000000001</v>
      </c>
      <c r="R20" s="180">
        <f>806/1000</f>
        <v>0.80600000000000005</v>
      </c>
      <c r="S20" s="181">
        <f>9169/1000</f>
        <v>9.1690000000000005</v>
      </c>
      <c r="U20" s="183">
        <v>4012</v>
      </c>
      <c r="V20" s="184">
        <v>1930</v>
      </c>
      <c r="AC20" s="174">
        <v>1930</v>
      </c>
      <c r="AD20" s="175">
        <f t="shared" si="2"/>
        <v>5.7846513849679999</v>
      </c>
      <c r="AE20" s="175">
        <f>((1156+8520)*1.016*23.8*0.023885)/1000</f>
        <v>5.588455155808</v>
      </c>
      <c r="AF20" s="175">
        <f>((0+30)*1.016*41.8*0.023885)/1000</f>
        <v>3.0431018639999998E-2</v>
      </c>
      <c r="AG20" s="177">
        <v>0</v>
      </c>
      <c r="AH20" s="177">
        <v>0</v>
      </c>
      <c r="AI20" s="193">
        <f>320*0.085985/1000</f>
        <v>2.75152E-2</v>
      </c>
      <c r="AJ20" s="193"/>
      <c r="AK20" s="175">
        <f>((26+185)*1.016*27*0.023885)/1000</f>
        <v>0.13825001051999999</v>
      </c>
      <c r="AL20" s="176"/>
      <c r="AM20" s="211"/>
    </row>
    <row r="21" spans="1:39" s="158" customFormat="1" ht="14.25" x14ac:dyDescent="0.45">
      <c r="A21" s="614">
        <v>1931</v>
      </c>
      <c r="B21" s="175">
        <f t="shared" si="1"/>
        <v>10.755000000000001</v>
      </c>
      <c r="C21" s="176">
        <f>158/1000</f>
        <v>0.158</v>
      </c>
      <c r="D21" s="177">
        <v>0</v>
      </c>
      <c r="E21" s="176">
        <f>10913/1000</f>
        <v>10.913</v>
      </c>
      <c r="F21" s="176"/>
      <c r="G21" s="15"/>
      <c r="H21" s="15"/>
      <c r="I21" s="15"/>
      <c r="J21" s="15"/>
      <c r="K21" s="15"/>
      <c r="L21" s="178"/>
      <c r="N21" s="179">
        <f>1776/1000</f>
        <v>1.776</v>
      </c>
      <c r="O21" s="175">
        <f>1439/1000</f>
        <v>1.4390000000000001</v>
      </c>
      <c r="P21" s="175">
        <f>5282/1000</f>
        <v>5.282</v>
      </c>
      <c r="Q21" s="180">
        <f>181/1000</f>
        <v>0.18099999999999999</v>
      </c>
      <c r="R21" s="180">
        <f>822/1000</f>
        <v>0.82199999999999995</v>
      </c>
      <c r="S21" s="181">
        <f>9500/1000</f>
        <v>9.5</v>
      </c>
      <c r="U21" s="183">
        <v>4646</v>
      </c>
      <c r="V21" s="184">
        <v>1931</v>
      </c>
      <c r="AC21" s="174">
        <v>1931</v>
      </c>
      <c r="AD21" s="175">
        <f t="shared" si="2"/>
        <v>5.7595774274240004</v>
      </c>
      <c r="AE21" s="175">
        <f>((1113+8499)*1.016*23.8*0.023885)/1000</f>
        <v>5.551491417696</v>
      </c>
      <c r="AF21" s="175">
        <f>((0+31)*1.016*41.8*0.023885)/1000</f>
        <v>3.1445385928000003E-2</v>
      </c>
      <c r="AG21" s="177">
        <v>0</v>
      </c>
      <c r="AH21" s="177">
        <v>0</v>
      </c>
      <c r="AI21" s="193">
        <f>416*0.085985/1000</f>
        <v>3.5769760000000005E-2</v>
      </c>
      <c r="AJ21" s="193"/>
      <c r="AK21" s="175">
        <f>((7+208)*1.016*27*0.023885)/1000</f>
        <v>0.1408708638</v>
      </c>
      <c r="AL21" s="176"/>
      <c r="AM21" s="211"/>
    </row>
    <row r="22" spans="1:39" s="158" customFormat="1" ht="14.25" x14ac:dyDescent="0.45">
      <c r="A22" s="614">
        <v>1932</v>
      </c>
      <c r="B22" s="175">
        <f t="shared" si="1"/>
        <v>11.535</v>
      </c>
      <c r="C22" s="176">
        <f>166/1000</f>
        <v>0.16600000000000001</v>
      </c>
      <c r="D22" s="177">
        <v>0</v>
      </c>
      <c r="E22" s="176">
        <f>11701/1000</f>
        <v>11.701000000000001</v>
      </c>
      <c r="F22" s="176"/>
      <c r="G22" s="15"/>
      <c r="H22" s="15"/>
      <c r="I22" s="15"/>
      <c r="J22" s="15"/>
      <c r="K22" s="15"/>
      <c r="L22" s="178"/>
      <c r="N22" s="179">
        <f>2027/1000</f>
        <v>2.0270000000000001</v>
      </c>
      <c r="O22" s="175">
        <f>1577/1000</f>
        <v>1.577</v>
      </c>
      <c r="P22" s="175">
        <f>5518/1000</f>
        <v>5.5179999999999998</v>
      </c>
      <c r="Q22" s="180">
        <f>199/1000</f>
        <v>0.19900000000000001</v>
      </c>
      <c r="R22" s="180">
        <f>855/1000</f>
        <v>0.85499999999999998</v>
      </c>
      <c r="S22" s="181">
        <f>10176/1000</f>
        <v>10.176</v>
      </c>
      <c r="U22" s="183">
        <v>5337</v>
      </c>
      <c r="V22" s="184">
        <v>1932</v>
      </c>
      <c r="AC22" s="174">
        <v>1932</v>
      </c>
      <c r="AD22" s="175">
        <f t="shared" si="2"/>
        <v>5.8963257257919999</v>
      </c>
      <c r="AE22" s="175">
        <f>((1004+8805)*1.016*23.8*0.023885)/1000</f>
        <v>5.6652704240719993</v>
      </c>
      <c r="AF22" s="175">
        <f>((0+35)*1.016*41.8*0.023885)/1000</f>
        <v>3.550285508E-2</v>
      </c>
      <c r="AG22" s="177">
        <v>0</v>
      </c>
      <c r="AH22" s="177">
        <v>0</v>
      </c>
      <c r="AI22" s="193">
        <f>354*0.085985/1000</f>
        <v>3.0438690000000001E-2</v>
      </c>
      <c r="AJ22" s="193"/>
      <c r="AK22" s="175">
        <f>((21+231)*1.016*27*0.023885)/1000</f>
        <v>0.16511375664</v>
      </c>
      <c r="AL22" s="176"/>
      <c r="AM22" s="176"/>
    </row>
    <row r="23" spans="1:39" s="158" customFormat="1" ht="14.25" x14ac:dyDescent="0.45">
      <c r="A23" s="614">
        <v>1933</v>
      </c>
      <c r="B23" s="175">
        <f t="shared" si="1"/>
        <v>12.781000000000001</v>
      </c>
      <c r="C23" s="176">
        <f>183/1000</f>
        <v>0.183</v>
      </c>
      <c r="D23" s="177">
        <v>0</v>
      </c>
      <c r="E23" s="176">
        <f>12964/1000</f>
        <v>12.964</v>
      </c>
      <c r="F23" s="176"/>
      <c r="G23" s="15"/>
      <c r="H23" s="15"/>
      <c r="I23" s="15"/>
      <c r="J23" s="15"/>
      <c r="K23" s="15"/>
      <c r="L23" s="178"/>
      <c r="N23" s="179">
        <f>2296/1000</f>
        <v>2.2959999999999998</v>
      </c>
      <c r="O23" s="175">
        <f>1741/1000</f>
        <v>1.7410000000000001</v>
      </c>
      <c r="P23" s="175">
        <f>6073/1000</f>
        <v>6.0730000000000004</v>
      </c>
      <c r="Q23" s="180">
        <f>216/1000</f>
        <v>0.216</v>
      </c>
      <c r="R23" s="180">
        <f>947/1000</f>
        <v>0.94699999999999995</v>
      </c>
      <c r="S23" s="181">
        <f>11273/1000</f>
        <v>11.273</v>
      </c>
      <c r="U23" s="183">
        <v>6109</v>
      </c>
      <c r="V23" s="184">
        <v>1933</v>
      </c>
      <c r="AC23" s="174">
        <v>1933</v>
      </c>
      <c r="AD23" s="175">
        <f t="shared" si="2"/>
        <v>6.1765716649360005</v>
      </c>
      <c r="AE23" s="175">
        <f>((959+9368)*1.016*23.8*0.023885)/1000</f>
        <v>5.9644456794160003</v>
      </c>
      <c r="AF23" s="175">
        <f>((0+30)*1.016*41.8*0.023885)/1000</f>
        <v>3.0431018639999998E-2</v>
      </c>
      <c r="AG23" s="177">
        <v>0</v>
      </c>
      <c r="AH23" s="177">
        <v>0</v>
      </c>
      <c r="AI23" s="193">
        <f>330*0.085985/1000</f>
        <v>2.8375050000000002E-2</v>
      </c>
      <c r="AJ23" s="193"/>
      <c r="AK23" s="175">
        <f>((7+227)*1.016*27*0.023885)/1000</f>
        <v>0.15331991687999999</v>
      </c>
      <c r="AL23" s="176"/>
      <c r="AM23" s="176"/>
    </row>
    <row r="24" spans="1:39" s="158" customFormat="1" ht="14.25" x14ac:dyDescent="0.45">
      <c r="A24" s="614">
        <v>1934</v>
      </c>
      <c r="B24" s="175">
        <f t="shared" si="1"/>
        <v>14.582000000000001</v>
      </c>
      <c r="C24" s="176">
        <f>187/1000</f>
        <v>0.187</v>
      </c>
      <c r="D24" s="177">
        <v>0</v>
      </c>
      <c r="E24" s="176">
        <f>14769/1000</f>
        <v>14.769</v>
      </c>
      <c r="F24" s="176"/>
      <c r="G24" s="15"/>
      <c r="H24" s="15"/>
      <c r="I24" s="15"/>
      <c r="J24" s="15"/>
      <c r="K24" s="15"/>
      <c r="L24" s="178"/>
      <c r="N24" s="179">
        <f>2647/1000</f>
        <v>2.6469999999999998</v>
      </c>
      <c r="O24" s="175">
        <f>1963/1000</f>
        <v>1.9630000000000001</v>
      </c>
      <c r="P24" s="175">
        <f>7060/1000</f>
        <v>7.06</v>
      </c>
      <c r="Q24" s="180">
        <f>240/1000</f>
        <v>0.24</v>
      </c>
      <c r="R24" s="180">
        <f>982/1000</f>
        <v>0.98199999999999998</v>
      </c>
      <c r="S24" s="181">
        <f>12892/1000</f>
        <v>12.891999999999999</v>
      </c>
      <c r="U24" s="183">
        <v>6903</v>
      </c>
      <c r="V24" s="184">
        <v>1934</v>
      </c>
      <c r="AC24" s="174">
        <v>1934</v>
      </c>
      <c r="AD24" s="175">
        <f t="shared" si="2"/>
        <v>6.647563208943998</v>
      </c>
      <c r="AE24" s="175">
        <f>((936+10234)*1.016*23.8*0.023885)/1000</f>
        <v>6.451327417359999</v>
      </c>
      <c r="AF24" s="175">
        <f>((0+23)*1.016*41.8*0.023885)/1000</f>
        <v>2.3330447624000002E-2</v>
      </c>
      <c r="AG24" s="177">
        <v>0</v>
      </c>
      <c r="AH24" s="177">
        <v>0</v>
      </c>
      <c r="AI24" s="193">
        <f>464*0.085985/1000</f>
        <v>3.9897040000000002E-2</v>
      </c>
      <c r="AJ24" s="193"/>
      <c r="AK24" s="175">
        <f>((8+195)*1.016*27*0.023885)/1000</f>
        <v>0.13300830396000002</v>
      </c>
      <c r="AL24" s="176"/>
      <c r="AM24" s="176"/>
    </row>
    <row r="25" spans="1:39" s="158" customFormat="1" ht="14.25" x14ac:dyDescent="0.45">
      <c r="A25" s="614">
        <v>1935</v>
      </c>
      <c r="B25" s="175">
        <f>E25-D25-C25</f>
        <v>16.596</v>
      </c>
      <c r="C25" s="176">
        <f>221/1000</f>
        <v>0.221</v>
      </c>
      <c r="D25" s="177">
        <v>0</v>
      </c>
      <c r="E25" s="176">
        <f>16817/1000</f>
        <v>16.817</v>
      </c>
      <c r="F25" s="176"/>
      <c r="G25" s="15"/>
      <c r="H25" s="15"/>
      <c r="I25" s="15"/>
      <c r="J25" s="15"/>
      <c r="K25" s="15"/>
      <c r="L25" s="178"/>
      <c r="N25" s="179">
        <f>3227/1000</f>
        <v>3.2269999999999999</v>
      </c>
      <c r="O25" s="175">
        <f>2257/1000</f>
        <v>2.2570000000000001</v>
      </c>
      <c r="P25" s="175">
        <f>7853/1000</f>
        <v>7.8529999999999998</v>
      </c>
      <c r="Q25" s="180">
        <f>268/1000</f>
        <v>0.26800000000000002</v>
      </c>
      <c r="R25" s="180">
        <f>1036/1000</f>
        <v>1.036</v>
      </c>
      <c r="S25" s="181">
        <f>14641/1000</f>
        <v>14.641</v>
      </c>
      <c r="U25" s="183">
        <v>7704</v>
      </c>
      <c r="V25" s="184">
        <v>1935</v>
      </c>
      <c r="AC25" s="174">
        <v>1935</v>
      </c>
      <c r="AD25" s="175">
        <f t="shared" si="2"/>
        <v>7.2597524512000007</v>
      </c>
      <c r="AE25" s="175">
        <f>((957+11279)*1.016*23.8*0.023885)/1000</f>
        <v>7.0670046802880009</v>
      </c>
      <c r="AF25" s="175">
        <f>((0+24)*1.016*41.8*0.023885)/1000</f>
        <v>2.4344814911999996E-2</v>
      </c>
      <c r="AG25" s="177">
        <v>0</v>
      </c>
      <c r="AH25" s="177">
        <v>0</v>
      </c>
      <c r="AI25" s="193">
        <f>625*0.085985/1000</f>
        <v>5.3740625E-2</v>
      </c>
      <c r="AJ25" s="193"/>
      <c r="AK25" s="175">
        <f>((7+168)*1.016*27*0.023885)/1000</f>
        <v>0.11466233100000001</v>
      </c>
      <c r="AL25" s="176"/>
      <c r="AM25" s="176"/>
    </row>
    <row r="26" spans="1:39" s="158" customFormat="1" ht="14.25" x14ac:dyDescent="0.45">
      <c r="A26" s="614">
        <v>1936</v>
      </c>
      <c r="B26" s="175">
        <f>E26-D26-C26</f>
        <v>19.167000000000002</v>
      </c>
      <c r="C26" s="176">
        <f>237/1000</f>
        <v>0.23699999999999999</v>
      </c>
      <c r="D26" s="177">
        <v>0</v>
      </c>
      <c r="E26" s="176">
        <f>19404/1000</f>
        <v>19.404</v>
      </c>
      <c r="F26" s="176"/>
      <c r="G26" s="15"/>
      <c r="H26" s="15"/>
      <c r="I26" s="15"/>
      <c r="J26" s="15"/>
      <c r="K26" s="15"/>
      <c r="L26" s="178"/>
      <c r="N26" s="179">
        <f>3964/1000</f>
        <v>3.964</v>
      </c>
      <c r="O26" s="175">
        <f>2619/1000</f>
        <v>2.6190000000000002</v>
      </c>
      <c r="P26" s="175">
        <f>8914/1000</f>
        <v>8.9139999999999997</v>
      </c>
      <c r="Q26" s="180">
        <f>298/1000</f>
        <v>0.29799999999999999</v>
      </c>
      <c r="R26" s="180">
        <f>1096/1000</f>
        <v>1.0960000000000001</v>
      </c>
      <c r="S26" s="181">
        <f>16891/1000</f>
        <v>16.890999999999998</v>
      </c>
      <c r="U26" s="183">
        <v>8557</v>
      </c>
      <c r="V26" s="184">
        <v>1936</v>
      </c>
      <c r="AC26" s="174">
        <v>1936</v>
      </c>
      <c r="AD26" s="175">
        <f t="shared" si="2"/>
        <v>8.0483856566960004</v>
      </c>
      <c r="AE26" s="175">
        <f>((960+12643)*1.016*23.8*0.023885)/1000</f>
        <v>7.8565270240240004</v>
      </c>
      <c r="AF26" s="175">
        <f>((0+24)*1.016*41.8*0.023885)/1000</f>
        <v>2.4344814911999996E-2</v>
      </c>
      <c r="AG26" s="177">
        <v>0</v>
      </c>
      <c r="AH26" s="177">
        <v>0</v>
      </c>
      <c r="AI26" s="193">
        <f>668*0.085985/1000</f>
        <v>5.7437980000000007E-2</v>
      </c>
      <c r="AJ26" s="193"/>
      <c r="AK26" s="175">
        <f>((7+161)*1.016*27*0.023885)/1000</f>
        <v>0.11007583776</v>
      </c>
      <c r="AL26" s="176"/>
      <c r="AM26" s="176"/>
    </row>
    <row r="27" spans="1:39" s="158" customFormat="1" ht="14.25" x14ac:dyDescent="0.45">
      <c r="A27" s="614">
        <v>1937</v>
      </c>
      <c r="B27" s="175">
        <f>E27-D27-C27</f>
        <v>21.672000000000001</v>
      </c>
      <c r="C27" s="176">
        <f>169/1000</f>
        <v>0.16900000000000001</v>
      </c>
      <c r="D27" s="177">
        <v>0</v>
      </c>
      <c r="E27" s="176">
        <f>21841/1000</f>
        <v>21.841000000000001</v>
      </c>
      <c r="F27" s="176"/>
      <c r="G27" s="15"/>
      <c r="H27" s="15"/>
      <c r="I27" s="15"/>
      <c r="J27" s="15"/>
      <c r="K27" s="15"/>
      <c r="L27" s="178"/>
      <c r="N27" s="179">
        <f>4687/1000</f>
        <v>4.6870000000000003</v>
      </c>
      <c r="O27" s="175">
        <f>2944/1000</f>
        <v>2.944</v>
      </c>
      <c r="P27" s="175">
        <f>10019/1000</f>
        <v>10.019</v>
      </c>
      <c r="Q27" s="180">
        <f>339/1000</f>
        <v>0.33900000000000002</v>
      </c>
      <c r="R27" s="180">
        <f>1180/1000</f>
        <v>1.18</v>
      </c>
      <c r="S27" s="181">
        <f>19169/1000</f>
        <v>19.169</v>
      </c>
      <c r="U27" s="183">
        <v>9358</v>
      </c>
      <c r="V27" s="184">
        <v>1937</v>
      </c>
      <c r="AC27" s="174">
        <v>1937</v>
      </c>
      <c r="AD27" s="175">
        <f t="shared" si="2"/>
        <v>8.7553187043760001</v>
      </c>
      <c r="AE27" s="175">
        <f>((933+13830)*1.016*23.8*0.023885)/1000</f>
        <v>8.5264947773040003</v>
      </c>
      <c r="AF27" s="175">
        <f>((0+24)*1.016*41.8*0.023885)/1000</f>
        <v>2.4344814911999996E-2</v>
      </c>
      <c r="AG27" s="177">
        <v>0</v>
      </c>
      <c r="AH27" s="177">
        <v>0</v>
      </c>
      <c r="AI27" s="193">
        <f>755*0.085985/1000</f>
        <v>6.4918675000000009E-2</v>
      </c>
      <c r="AJ27" s="193"/>
      <c r="AK27" s="175">
        <f>((12+201)*1.016*27*0.023885)/1000</f>
        <v>0.13956043716000002</v>
      </c>
      <c r="AL27" s="176"/>
      <c r="AM27" s="176"/>
    </row>
    <row r="28" spans="1:39" s="158" customFormat="1" ht="14.25" x14ac:dyDescent="0.45">
      <c r="A28" s="614">
        <v>1938</v>
      </c>
      <c r="B28" s="175">
        <f t="shared" si="1"/>
        <v>23.089000000000002</v>
      </c>
      <c r="C28" s="176">
        <f>249/1000</f>
        <v>0.249</v>
      </c>
      <c r="D28" s="177">
        <v>0</v>
      </c>
      <c r="E28" s="176">
        <f>23338/1000</f>
        <v>23.338000000000001</v>
      </c>
      <c r="F28" s="176"/>
      <c r="G28" s="15"/>
      <c r="H28" s="15"/>
      <c r="I28" s="15"/>
      <c r="J28" s="15"/>
      <c r="K28" s="15"/>
      <c r="L28" s="178"/>
      <c r="N28" s="179">
        <f>5361/1000</f>
        <v>5.3609999999999998</v>
      </c>
      <c r="O28" s="175">
        <f>3107/1000</f>
        <v>3.1070000000000002</v>
      </c>
      <c r="P28" s="175">
        <f>10320/1000</f>
        <v>10.32</v>
      </c>
      <c r="Q28" s="180">
        <f>367/1000</f>
        <v>0.36699999999999999</v>
      </c>
      <c r="R28" s="180">
        <f>1249/1000</f>
        <v>1.2490000000000001</v>
      </c>
      <c r="S28" s="181">
        <f>20404/1000</f>
        <v>20.404</v>
      </c>
      <c r="U28" s="183">
        <v>10113</v>
      </c>
      <c r="V28" s="184">
        <v>1938</v>
      </c>
      <c r="AC28" s="174">
        <v>1938</v>
      </c>
      <c r="AD28" s="175">
        <f t="shared" si="2"/>
        <v>8.846358919535998</v>
      </c>
      <c r="AE28" s="175">
        <f>((917+14010)*1.016*23.8*0.023885)/1000</f>
        <v>8.6212143562159991</v>
      </c>
      <c r="AF28" s="175">
        <f>((0+20)*1.016*41.8*0.023885)/1000</f>
        <v>2.0287345760000002E-2</v>
      </c>
      <c r="AG28" s="177">
        <v>0</v>
      </c>
      <c r="AH28" s="177">
        <v>0</v>
      </c>
      <c r="AI28" s="193">
        <f>988*0.085985/1000</f>
        <v>8.4953180000000003E-2</v>
      </c>
      <c r="AJ28" s="193"/>
      <c r="AK28" s="175">
        <f>((7+176)*1.016*27*0.023885)/1000</f>
        <v>0.11990403756</v>
      </c>
      <c r="AL28" s="176"/>
      <c r="AM28" s="176"/>
    </row>
    <row r="29" spans="1:39" s="158" customFormat="1" ht="14.25" x14ac:dyDescent="0.45">
      <c r="A29" s="614">
        <v>1939</v>
      </c>
      <c r="B29" s="175">
        <f t="shared" si="1"/>
        <v>25.018000000000001</v>
      </c>
      <c r="C29" s="176">
        <f>171/1000</f>
        <v>0.17100000000000001</v>
      </c>
      <c r="D29" s="177">
        <v>0</v>
      </c>
      <c r="E29" s="176">
        <f>25189/1000</f>
        <v>25.189</v>
      </c>
      <c r="F29" s="176"/>
      <c r="G29" s="15"/>
      <c r="H29" s="15"/>
      <c r="I29" s="15"/>
      <c r="J29" s="15"/>
      <c r="K29" s="15"/>
      <c r="L29" s="178"/>
      <c r="N29" s="179">
        <f>5936/1000</f>
        <v>5.9359999999999999</v>
      </c>
      <c r="O29" s="175">
        <f>3117/1000</f>
        <v>3.117</v>
      </c>
      <c r="P29" s="175">
        <f>11672/1000</f>
        <v>11.672000000000001</v>
      </c>
      <c r="Q29" s="180">
        <f>248/1000</f>
        <v>0.248</v>
      </c>
      <c r="R29" s="180">
        <f>1261/1000</f>
        <v>1.2609999999999999</v>
      </c>
      <c r="S29" s="181">
        <f>22234/1000</f>
        <v>22.234000000000002</v>
      </c>
      <c r="U29" s="183">
        <v>10559</v>
      </c>
      <c r="V29" s="184">
        <v>1939</v>
      </c>
      <c r="AC29" s="174">
        <v>1939</v>
      </c>
      <c r="AD29" s="175">
        <f t="shared" si="2"/>
        <v>9.4553030260719986</v>
      </c>
      <c r="AE29" s="175">
        <f>((893+15032)*1.016*23.8*0.023885)/1000</f>
        <v>9.1976176473999995</v>
      </c>
      <c r="AF29" s="175">
        <f>((0+19)*1.016*41.8*0.023885)/1000</f>
        <v>1.9272978471999998E-2</v>
      </c>
      <c r="AG29" s="177">
        <v>0</v>
      </c>
      <c r="AH29" s="177">
        <v>0</v>
      </c>
      <c r="AI29" s="193">
        <f>982*0.085985/1000</f>
        <v>8.4437270000000009E-2</v>
      </c>
      <c r="AJ29" s="193"/>
      <c r="AK29" s="175">
        <f>((8+227)*1.016*27*0.023885)/1000</f>
        <v>0.1539751302</v>
      </c>
      <c r="AL29" s="176"/>
      <c r="AM29" s="176"/>
    </row>
    <row r="30" spans="1:39" s="158" customFormat="1" ht="14.25" x14ac:dyDescent="0.45">
      <c r="A30" s="614">
        <v>1940</v>
      </c>
      <c r="B30" s="175">
        <f t="shared" si="1"/>
        <v>27.211000000000002</v>
      </c>
      <c r="C30" s="176">
        <f>116/1000</f>
        <v>0.11600000000000001</v>
      </c>
      <c r="D30" s="177">
        <v>0</v>
      </c>
      <c r="E30" s="176">
        <f>27327/1000</f>
        <v>27.327000000000002</v>
      </c>
      <c r="F30" s="176"/>
      <c r="G30" s="15"/>
      <c r="H30" s="15"/>
      <c r="I30" s="15"/>
      <c r="J30" s="15"/>
      <c r="K30" s="15"/>
      <c r="L30" s="178"/>
      <c r="N30" s="179">
        <f>6228/1000</f>
        <v>6.2279999999999998</v>
      </c>
      <c r="O30" s="175">
        <f>2997/1000</f>
        <v>2.9969999999999999</v>
      </c>
      <c r="P30" s="175">
        <f>13874/1000</f>
        <v>13.874000000000001</v>
      </c>
      <c r="Q30" s="180">
        <f>17/1000</f>
        <v>1.7000000000000001E-2</v>
      </c>
      <c r="R30" s="180">
        <f>1147/1000</f>
        <v>1.147</v>
      </c>
      <c r="S30" s="181">
        <f>24263/1000</f>
        <v>24.263000000000002</v>
      </c>
      <c r="U30" s="183">
        <v>10499</v>
      </c>
      <c r="V30" s="184">
        <v>1940</v>
      </c>
      <c r="AC30" s="174">
        <v>1940</v>
      </c>
      <c r="AD30" s="175">
        <f t="shared" si="2"/>
        <v>10.724944471744001</v>
      </c>
      <c r="AE30" s="175">
        <f>((842+17270)*1.016*23.8*0.023885)/1000</f>
        <v>10.460737885696002</v>
      </c>
      <c r="AF30" s="175">
        <f>((0+26)*1.016*41.8*0.023885)/1000</f>
        <v>2.6373549487999998E-2</v>
      </c>
      <c r="AG30" s="177">
        <v>0</v>
      </c>
      <c r="AH30" s="177">
        <v>0</v>
      </c>
      <c r="AI30" s="193">
        <f>800*0.085985/1000</f>
        <v>6.8788000000000016E-2</v>
      </c>
      <c r="AJ30" s="193"/>
      <c r="AK30" s="175">
        <f>((10+248)*1.016*27*0.023885)/1000</f>
        <v>0.16904503655999997</v>
      </c>
      <c r="AL30" s="176"/>
      <c r="AM30" s="176"/>
    </row>
    <row r="31" spans="1:39" s="158" customFormat="1" ht="14.25" x14ac:dyDescent="0.45">
      <c r="A31" s="614">
        <v>1941</v>
      </c>
      <c r="B31" s="175">
        <f t="shared" si="1"/>
        <v>30.594000000000001</v>
      </c>
      <c r="C31" s="176">
        <f>416/1000</f>
        <v>0.41599999999999998</v>
      </c>
      <c r="D31" s="177">
        <v>0</v>
      </c>
      <c r="E31" s="185">
        <f>31010/1000</f>
        <v>31.01</v>
      </c>
      <c r="F31" s="176"/>
      <c r="G31" s="15"/>
      <c r="H31" s="15"/>
      <c r="I31" s="15"/>
      <c r="J31" s="15"/>
      <c r="K31" s="15"/>
      <c r="L31" s="178"/>
      <c r="N31" s="179">
        <f>6637/1000</f>
        <v>6.6369999999999996</v>
      </c>
      <c r="O31" s="175">
        <f>3266/1000</f>
        <v>3.266</v>
      </c>
      <c r="P31" s="175">
        <f>16244/1000</f>
        <v>16.244</v>
      </c>
      <c r="Q31" s="180">
        <f>18/1000</f>
        <v>1.7999999999999999E-2</v>
      </c>
      <c r="R31" s="180">
        <f>1143/1000</f>
        <v>1.143</v>
      </c>
      <c r="S31" s="181">
        <f>27308/1000</f>
        <v>27.308</v>
      </c>
      <c r="U31" s="183">
        <v>10574</v>
      </c>
      <c r="V31" s="184">
        <v>1941</v>
      </c>
      <c r="AC31" s="174">
        <v>1941</v>
      </c>
      <c r="AD31" s="175">
        <f t="shared" si="2"/>
        <v>12.074330611239999</v>
      </c>
      <c r="AE31" s="175">
        <f>((884+19551)*1.016*23.8*0.023885)/1000</f>
        <v>11.80240606748</v>
      </c>
      <c r="AF31" s="175">
        <f>((0+20)*1.016*41.8*0.023885)/1000</f>
        <v>2.0287345760000002E-2</v>
      </c>
      <c r="AG31" s="177">
        <v>0</v>
      </c>
      <c r="AH31" s="177">
        <v>0</v>
      </c>
      <c r="AI31" s="193">
        <f>831*0.085985/1000</f>
        <v>7.1453534999999999E-2</v>
      </c>
      <c r="AJ31" s="193"/>
      <c r="AK31" s="175">
        <f>((8+267)*1.016*27*0.023885)/1000</f>
        <v>0.18018366299999999</v>
      </c>
      <c r="AL31" s="176"/>
      <c r="AM31" s="176"/>
    </row>
    <row r="32" spans="1:39" s="158" customFormat="1" ht="14.25" x14ac:dyDescent="0.45">
      <c r="A32" s="614">
        <v>1942</v>
      </c>
      <c r="B32" s="175">
        <f t="shared" si="1"/>
        <v>33.694000000000003</v>
      </c>
      <c r="C32" s="176">
        <f>147/1000</f>
        <v>0.14699999999999999</v>
      </c>
      <c r="D32" s="177">
        <v>0</v>
      </c>
      <c r="E32" s="176">
        <f>33841/1000</f>
        <v>33.841000000000001</v>
      </c>
      <c r="F32" s="176"/>
      <c r="G32" s="15"/>
      <c r="H32" s="15"/>
      <c r="I32" s="15"/>
      <c r="J32" s="15"/>
      <c r="K32" s="15"/>
      <c r="L32" s="178"/>
      <c r="N32" s="179">
        <f>6720/1000</f>
        <v>6.72</v>
      </c>
      <c r="O32" s="175">
        <f>3256/1000</f>
        <v>3.2559999999999998</v>
      </c>
      <c r="P32" s="175">
        <f>19142/1000</f>
        <v>19.141999999999999</v>
      </c>
      <c r="Q32" s="180">
        <f>20/1000</f>
        <v>0.02</v>
      </c>
      <c r="R32" s="180">
        <f>1148/1000</f>
        <v>1.1479999999999999</v>
      </c>
      <c r="S32" s="181">
        <f>30286/1000</f>
        <v>30.286000000000001</v>
      </c>
      <c r="U32" s="183">
        <v>10688</v>
      </c>
      <c r="V32" s="184">
        <v>1942</v>
      </c>
      <c r="AC32" s="174">
        <v>1942</v>
      </c>
      <c r="AD32" s="175">
        <f t="shared" si="2"/>
        <v>13.191986424048002</v>
      </c>
      <c r="AE32" s="175">
        <f>((923+21360)*1.016*23.8*0.023885)/1000</f>
        <v>12.869734005464002</v>
      </c>
      <c r="AF32" s="175">
        <f>((0+18)*1.016*41.8*0.023885)/1000</f>
        <v>1.8258611184E-2</v>
      </c>
      <c r="AG32" s="177">
        <v>0</v>
      </c>
      <c r="AH32" s="177">
        <v>0</v>
      </c>
      <c r="AI32" s="193">
        <f>1097*0.085985/1000</f>
        <v>9.4325545000000011E-2</v>
      </c>
      <c r="AJ32" s="193"/>
      <c r="AK32" s="175">
        <f>((10+310)*1.016*27*0.023885)/1000</f>
        <v>0.2096682624</v>
      </c>
      <c r="AL32" s="176"/>
      <c r="AM32" s="176"/>
    </row>
    <row r="33" spans="1:39" s="158" customFormat="1" ht="14.25" x14ac:dyDescent="0.45">
      <c r="A33" s="614">
        <v>1943</v>
      </c>
      <c r="B33" s="175">
        <f t="shared" si="1"/>
        <v>34.914999999999999</v>
      </c>
      <c r="C33" s="176">
        <f>181/1000</f>
        <v>0.18099999999999999</v>
      </c>
      <c r="D33" s="177">
        <v>0</v>
      </c>
      <c r="E33" s="176">
        <f>35096/1000</f>
        <v>35.095999999999997</v>
      </c>
      <c r="F33" s="176"/>
      <c r="G33" s="15"/>
      <c r="H33" s="15"/>
      <c r="I33" s="15"/>
      <c r="J33" s="15"/>
      <c r="K33" s="15"/>
      <c r="L33" s="178"/>
      <c r="N33" s="179">
        <f>6709/1000</f>
        <v>6.7089999999999996</v>
      </c>
      <c r="O33" s="175">
        <f>3062/1000</f>
        <v>3.0619999999999998</v>
      </c>
      <c r="P33" s="175">
        <f>20516/1000</f>
        <v>20.515999999999998</v>
      </c>
      <c r="Q33" s="180">
        <f>20/1000</f>
        <v>0.02</v>
      </c>
      <c r="R33" s="180">
        <f>1142/1000</f>
        <v>1.1419999999999999</v>
      </c>
      <c r="S33" s="181">
        <f>31449/1000</f>
        <v>31.449000000000002</v>
      </c>
      <c r="U33" s="183">
        <v>10786</v>
      </c>
      <c r="V33" s="184">
        <v>1943</v>
      </c>
      <c r="AC33" s="174">
        <v>1943</v>
      </c>
      <c r="AD33" s="175">
        <f t="shared" si="2"/>
        <v>13.389075505184</v>
      </c>
      <c r="AE33" s="175">
        <f>((920+21679)*1.016*23.8*0.023885)/1000</f>
        <v>13.052242462392</v>
      </c>
      <c r="AF33" s="175">
        <f>((0+14)*1.016*41.8*0.023885)/1000</f>
        <v>1.4201142031999998E-2</v>
      </c>
      <c r="AG33" s="177">
        <v>0</v>
      </c>
      <c r="AH33" s="177">
        <v>0</v>
      </c>
      <c r="AI33" s="193">
        <f>1329*0.085985/1000</f>
        <v>0.11427406500000001</v>
      </c>
      <c r="AJ33" s="193"/>
      <c r="AK33" s="175">
        <f>((12+306)*1.016*27*0.023885)/1000</f>
        <v>0.20835783576</v>
      </c>
      <c r="AL33" s="176"/>
      <c r="AM33" s="176"/>
    </row>
    <row r="34" spans="1:39" s="158" customFormat="1" ht="14.25" x14ac:dyDescent="0.45">
      <c r="A34" s="614">
        <v>1944</v>
      </c>
      <c r="B34" s="175">
        <f t="shared" si="1"/>
        <v>36.195</v>
      </c>
      <c r="C34" s="176">
        <f>390/1000</f>
        <v>0.39</v>
      </c>
      <c r="D34" s="177">
        <v>0</v>
      </c>
      <c r="E34" s="176">
        <f>36585/1000</f>
        <v>36.585000000000001</v>
      </c>
      <c r="F34" s="176"/>
      <c r="G34" s="15"/>
      <c r="H34" s="15"/>
      <c r="I34" s="15"/>
      <c r="J34" s="15"/>
      <c r="K34" s="15"/>
      <c r="L34" s="178"/>
      <c r="N34" s="179">
        <f>7835/1000</f>
        <v>7.835</v>
      </c>
      <c r="O34" s="175">
        <f>3510/1000</f>
        <v>3.51</v>
      </c>
      <c r="P34" s="175">
        <f>19976/1000</f>
        <v>19.975999999999999</v>
      </c>
      <c r="Q34" s="180">
        <f>29/1000</f>
        <v>2.9000000000000001E-2</v>
      </c>
      <c r="R34" s="180">
        <f>1169/1000</f>
        <v>1.169</v>
      </c>
      <c r="S34" s="181">
        <f>32519/1000</f>
        <v>32.518999999999998</v>
      </c>
      <c r="U34" s="183">
        <v>10829</v>
      </c>
      <c r="V34" s="184">
        <v>1944</v>
      </c>
      <c r="AC34" s="174">
        <v>1944</v>
      </c>
      <c r="AD34" s="175">
        <f t="shared" si="2"/>
        <v>14.244324974216001</v>
      </c>
      <c r="AE34" s="175">
        <f>((952+23122)*1.016*23.8*0.023885)/1000</f>
        <v>13.904141114192001</v>
      </c>
      <c r="AF34" s="175">
        <f>((0+18)*1.016*41.8*0.023885)/1000</f>
        <v>1.8258611184E-2</v>
      </c>
      <c r="AG34" s="177">
        <v>0</v>
      </c>
      <c r="AH34" s="177">
        <v>0</v>
      </c>
      <c r="AI34" s="193">
        <f>1176*0.085985/1000</f>
        <v>0.10111836</v>
      </c>
      <c r="AJ34" s="193"/>
      <c r="AK34" s="175">
        <f>((11+326)*1.016*27*0.023885)/1000</f>
        <v>0.22080688884000002</v>
      </c>
      <c r="AL34" s="176"/>
      <c r="AM34" s="176"/>
    </row>
    <row r="35" spans="1:39" s="158" customFormat="1" ht="14.25" x14ac:dyDescent="0.45">
      <c r="A35" s="614">
        <v>1945</v>
      </c>
      <c r="B35" s="175">
        <f t="shared" si="1"/>
        <v>35.148000000000003</v>
      </c>
      <c r="C35" s="176">
        <f>558/1000</f>
        <v>0.55800000000000005</v>
      </c>
      <c r="D35" s="177">
        <v>0</v>
      </c>
      <c r="E35" s="176">
        <f>35706/1000</f>
        <v>35.706000000000003</v>
      </c>
      <c r="F35" s="176"/>
      <c r="G35" s="15"/>
      <c r="H35" s="15"/>
      <c r="I35" s="15"/>
      <c r="J35" s="15"/>
      <c r="K35" s="15"/>
      <c r="L35" s="178"/>
      <c r="N35" s="179">
        <f>8805/1000</f>
        <v>8.8049999999999997</v>
      </c>
      <c r="O35" s="175">
        <f>3482/1000</f>
        <v>3.4820000000000002</v>
      </c>
      <c r="P35" s="175">
        <f>17679/1000</f>
        <v>17.678999999999998</v>
      </c>
      <c r="Q35" s="180">
        <f>161/1000</f>
        <v>0.161</v>
      </c>
      <c r="R35" s="180">
        <f>1236/1000</f>
        <v>1.236</v>
      </c>
      <c r="S35" s="181">
        <f>31363/1000</f>
        <v>31.363</v>
      </c>
      <c r="U35" s="183">
        <v>11006</v>
      </c>
      <c r="V35" s="184">
        <v>1945</v>
      </c>
      <c r="AC35" s="174">
        <v>1945</v>
      </c>
      <c r="AD35" s="175">
        <f t="shared" si="2"/>
        <v>13.903454260504002</v>
      </c>
      <c r="AE35" s="175">
        <f>((994+22499)*1.016*23.8*0.023885)/1000</f>
        <v>13.568579679144001</v>
      </c>
      <c r="AF35" s="175">
        <f>((0+20)*1.016*41.8*0.023885)/1000</f>
        <v>2.0287345760000002E-2</v>
      </c>
      <c r="AG35" s="177">
        <v>0</v>
      </c>
      <c r="AH35" s="177">
        <v>0</v>
      </c>
      <c r="AI35" s="193">
        <f>1144*0.085985/1000</f>
        <v>9.8366840000000011E-2</v>
      </c>
      <c r="AJ35" s="193"/>
      <c r="AK35" s="175">
        <f>((9+321)*1.016*27*0.023885)/1000</f>
        <v>0.2162203956</v>
      </c>
      <c r="AL35" s="176"/>
      <c r="AM35" s="176"/>
    </row>
    <row r="36" spans="1:39" s="158" customFormat="1" ht="14.25" x14ac:dyDescent="0.45">
      <c r="A36" s="614">
        <v>1946</v>
      </c>
      <c r="B36" s="175">
        <f t="shared" si="1"/>
        <v>38.931999999999995</v>
      </c>
      <c r="C36" s="176">
        <f>246/1000</f>
        <v>0.246</v>
      </c>
      <c r="D36" s="177">
        <v>0</v>
      </c>
      <c r="E36" s="176">
        <f>39178/1000</f>
        <v>39.177999999999997</v>
      </c>
      <c r="F36" s="176"/>
      <c r="G36" s="15"/>
      <c r="H36" s="15"/>
      <c r="I36" s="15"/>
      <c r="J36" s="15"/>
      <c r="K36" s="15"/>
      <c r="L36" s="178"/>
      <c r="N36" s="179">
        <f>11663/1000</f>
        <v>11.663</v>
      </c>
      <c r="O36" s="175">
        <f>3892/1000</f>
        <v>3.8919999999999999</v>
      </c>
      <c r="P36" s="175">
        <f>17632/1000</f>
        <v>17.632000000000001</v>
      </c>
      <c r="Q36" s="180">
        <f>242/1000</f>
        <v>0.24199999999999999</v>
      </c>
      <c r="R36" s="180">
        <f>1369/1000</f>
        <v>1.369</v>
      </c>
      <c r="S36" s="181">
        <f>34798/1000</f>
        <v>34.798000000000002</v>
      </c>
      <c r="U36" s="183">
        <v>11481</v>
      </c>
      <c r="V36" s="184">
        <v>1946</v>
      </c>
      <c r="AC36" s="174">
        <v>1946</v>
      </c>
      <c r="AD36" s="175">
        <f t="shared" si="2"/>
        <v>15.512703885760002</v>
      </c>
      <c r="AE36" s="175">
        <f>((1087+25114)*1.016*23.8*0.023885)/1000</f>
        <v>15.132607848008002</v>
      </c>
      <c r="AF36" s="175">
        <f>((0+34)*1.016*41.8*0.023885)/1000</f>
        <v>3.4488487791999992E-2</v>
      </c>
      <c r="AG36" s="177">
        <v>0</v>
      </c>
      <c r="AH36" s="177">
        <v>0</v>
      </c>
      <c r="AI36" s="193">
        <f>1139*0.085985/1000</f>
        <v>9.7936915000000013E-2</v>
      </c>
      <c r="AJ36" s="193"/>
      <c r="AK36" s="175">
        <f>((9+369)*1.016*27*0.023885)/1000</f>
        <v>0.24767063496</v>
      </c>
      <c r="AL36" s="176"/>
      <c r="AM36" s="176"/>
    </row>
    <row r="37" spans="1:39" s="158" customFormat="1" ht="14.25" x14ac:dyDescent="0.45">
      <c r="A37" s="614">
        <v>1947</v>
      </c>
      <c r="B37" s="175">
        <f t="shared" si="1"/>
        <v>40.171999999999997</v>
      </c>
      <c r="C37" s="176">
        <f>197/1000</f>
        <v>0.19700000000000001</v>
      </c>
      <c r="D37" s="177">
        <v>0</v>
      </c>
      <c r="E37" s="176">
        <f>40369/1000</f>
        <v>40.369</v>
      </c>
      <c r="F37" s="176"/>
      <c r="G37" s="15"/>
      <c r="H37" s="15"/>
      <c r="I37" s="15"/>
      <c r="J37" s="15"/>
      <c r="K37" s="15"/>
      <c r="L37" s="178"/>
      <c r="N37" s="179">
        <f>12728/1000</f>
        <v>12.728</v>
      </c>
      <c r="O37" s="175">
        <f>3973/1000</f>
        <v>3.9729999999999999</v>
      </c>
      <c r="P37" s="175">
        <f>17606/1000</f>
        <v>17.606000000000002</v>
      </c>
      <c r="Q37" s="180">
        <f>190/1000</f>
        <v>0.19</v>
      </c>
      <c r="R37" s="180">
        <f>1361/1000</f>
        <v>1.361</v>
      </c>
      <c r="S37" s="181">
        <f>35858/1000</f>
        <v>35.857999999999997</v>
      </c>
      <c r="U37" s="183">
        <v>11917</v>
      </c>
      <c r="V37" s="184">
        <v>1947</v>
      </c>
      <c r="AC37" s="174">
        <v>1947</v>
      </c>
      <c r="AD37" s="175">
        <f t="shared" si="2"/>
        <v>15.931788616336</v>
      </c>
      <c r="AE37" s="175">
        <f>((1019+26026)*1.016*23.8*0.023885)/1000</f>
        <v>15.62006714436</v>
      </c>
      <c r="AF37" s="175">
        <f>((20+47)*1.016*41.8*0.023885)/1000</f>
        <v>6.7962608295999996E-2</v>
      </c>
      <c r="AG37" s="177">
        <v>0</v>
      </c>
      <c r="AH37" s="177">
        <v>0</v>
      </c>
      <c r="AI37" s="193">
        <f>1128*0.085985/1000</f>
        <v>9.6991080000000007E-2</v>
      </c>
      <c r="AJ37" s="193"/>
      <c r="AK37" s="175">
        <f>((7+217)*1.016*27*0.023885)/1000</f>
        <v>0.14676778368000001</v>
      </c>
      <c r="AL37" s="176"/>
      <c r="AM37" s="176"/>
    </row>
    <row r="38" spans="1:39" s="158" customFormat="1" ht="14.25" x14ac:dyDescent="0.45">
      <c r="A38" s="614">
        <v>1948</v>
      </c>
      <c r="B38" s="175">
        <f t="shared" si="1"/>
        <v>43.403999999999996</v>
      </c>
      <c r="C38" s="176">
        <f>411/1000</f>
        <v>0.41099999999999998</v>
      </c>
      <c r="D38" s="177">
        <v>0</v>
      </c>
      <c r="E38" s="176">
        <f>43815/1000</f>
        <v>43.814999999999998</v>
      </c>
      <c r="F38" s="176"/>
      <c r="G38" s="15"/>
      <c r="H38" s="15"/>
      <c r="I38" s="15"/>
      <c r="J38" s="15"/>
      <c r="K38" s="15"/>
      <c r="L38" s="178"/>
      <c r="N38" s="179">
        <f>13576/1000</f>
        <v>13.576000000000001</v>
      </c>
      <c r="O38" s="175">
        <f>4469/1000</f>
        <v>4.4690000000000003</v>
      </c>
      <c r="P38" s="175">
        <f>19121/1000</f>
        <v>19.120999999999999</v>
      </c>
      <c r="Q38" s="180">
        <f>257/1000</f>
        <v>0.25700000000000001</v>
      </c>
      <c r="R38" s="180">
        <f>1398/1000</f>
        <v>1.3979999999999999</v>
      </c>
      <c r="S38" s="181">
        <f>38821/1000</f>
        <v>38.820999999999998</v>
      </c>
      <c r="U38" s="183">
        <v>12286</v>
      </c>
      <c r="V38" s="184">
        <v>1948</v>
      </c>
      <c r="AC38" s="174">
        <v>1948</v>
      </c>
      <c r="AD38" s="175">
        <f t="shared" si="2"/>
        <v>17.009580877143996</v>
      </c>
      <c r="AE38" s="175">
        <f>((1074+27641)*1.016*23.8*0.023885)/1000</f>
        <v>16.584589685719997</v>
      </c>
      <c r="AF38" s="175">
        <f>((29+44)*1.016*41.8*0.023885)/1000</f>
        <v>7.4048812024000002E-2</v>
      </c>
      <c r="AG38" s="177">
        <v>0</v>
      </c>
      <c r="AH38" s="177">
        <v>0</v>
      </c>
      <c r="AI38" s="193">
        <f>881*0.085985/1000</f>
        <v>7.5752785000000003E-2</v>
      </c>
      <c r="AJ38" s="193"/>
      <c r="AK38" s="175">
        <f>((8+412)*1.016*27*0.023885)/1000</f>
        <v>0.27518959440000001</v>
      </c>
      <c r="AL38" s="176"/>
      <c r="AM38" s="176"/>
    </row>
    <row r="39" spans="1:39" s="158" customFormat="1" ht="14.25" x14ac:dyDescent="0.45">
      <c r="A39" s="614">
        <v>1949</v>
      </c>
      <c r="B39" s="175">
        <f t="shared" si="1"/>
        <v>45.817999999999998</v>
      </c>
      <c r="C39" s="176">
        <f>423/1000</f>
        <v>0.42299999999999999</v>
      </c>
      <c r="D39" s="177">
        <v>0</v>
      </c>
      <c r="E39" s="176">
        <f>46241/1000</f>
        <v>46.241</v>
      </c>
      <c r="F39" s="176"/>
      <c r="G39" s="15"/>
      <c r="H39" s="15"/>
      <c r="I39" s="15"/>
      <c r="J39" s="15"/>
      <c r="K39" s="15"/>
      <c r="L39" s="178"/>
      <c r="N39" s="186">
        <f>13657/1000</f>
        <v>13.657</v>
      </c>
      <c r="O39" s="187">
        <f>5035/1000</f>
        <v>5.0350000000000001</v>
      </c>
      <c r="P39" s="187">
        <f>20445/1000</f>
        <v>20.445</v>
      </c>
      <c r="Q39" s="188">
        <f>335/1000</f>
        <v>0.33500000000000002</v>
      </c>
      <c r="R39" s="188">
        <f>1447/1000</f>
        <v>1.4470000000000001</v>
      </c>
      <c r="S39" s="189">
        <f>40919/1000</f>
        <v>40.918999999999997</v>
      </c>
      <c r="U39" s="183">
        <v>12742</v>
      </c>
      <c r="V39" s="184">
        <v>1949</v>
      </c>
      <c r="AC39" s="174">
        <v>1949</v>
      </c>
      <c r="AD39" s="175">
        <f t="shared" si="2"/>
        <v>17.915794066296002</v>
      </c>
      <c r="AE39" s="175">
        <f>((1085+28798)*1.016*23.8*0.023885)/1000</f>
        <v>17.259177906264</v>
      </c>
      <c r="AF39" s="175">
        <f>((35+54)*1.016*41.8*0.023885)/1000</f>
        <v>9.0278688632000004E-2</v>
      </c>
      <c r="AG39" s="177">
        <v>0</v>
      </c>
      <c r="AH39" s="177">
        <v>0</v>
      </c>
      <c r="AI39" s="193">
        <f>719*0.085985/1000</f>
        <v>6.1823215000000008E-2</v>
      </c>
      <c r="AJ39" s="193"/>
      <c r="AK39" s="175">
        <f>((8+762)*1.016*27*0.023885)/1000</f>
        <v>0.50451425640000003</v>
      </c>
      <c r="AL39" s="176"/>
      <c r="AM39" s="176"/>
    </row>
    <row r="40" spans="1:39" s="158" customFormat="1" ht="14.25" x14ac:dyDescent="0.45">
      <c r="A40" s="614">
        <v>1950</v>
      </c>
      <c r="B40" s="175">
        <f t="shared" si="1"/>
        <v>51.467000000000006</v>
      </c>
      <c r="C40" s="176">
        <f>410/1000</f>
        <v>0.41</v>
      </c>
      <c r="D40" s="177">
        <v>0</v>
      </c>
      <c r="E40" s="176">
        <f>51877/1000</f>
        <v>51.877000000000002</v>
      </c>
      <c r="F40" s="176"/>
      <c r="G40" s="15"/>
      <c r="H40" s="15"/>
      <c r="I40" s="15"/>
      <c r="J40" s="15"/>
      <c r="K40" s="15"/>
      <c r="L40" s="178"/>
      <c r="N40" s="179">
        <f>14911/1000</f>
        <v>14.911</v>
      </c>
      <c r="O40" s="190">
        <f>5765/1000</f>
        <v>5.7649999999999997</v>
      </c>
      <c r="P40" s="190">
        <f>22920/1000</f>
        <v>22.92</v>
      </c>
      <c r="Q40" s="191">
        <f>415/1000</f>
        <v>0.41499999999999998</v>
      </c>
      <c r="R40" s="191">
        <f>1463/1000</f>
        <v>1.4630000000000001</v>
      </c>
      <c r="S40" s="192">
        <f>45474/1000</f>
        <v>45.473999999999997</v>
      </c>
      <c r="U40" s="183">
        <v>13216</v>
      </c>
      <c r="V40" s="184">
        <v>1950</v>
      </c>
      <c r="AC40" s="174" t="s">
        <v>753</v>
      </c>
      <c r="AD40" s="175">
        <f t="shared" si="2"/>
        <v>19.05695901296</v>
      </c>
      <c r="AE40" s="175">
        <f>(31718*1.016*23.8*0.023885)/1000</f>
        <v>18.318997584944</v>
      </c>
      <c r="AF40" s="175">
        <f>((41+31)*1.016*41.8*0.023885)/1000</f>
        <v>7.3034444736000001E-2</v>
      </c>
      <c r="AG40" s="177">
        <v>0</v>
      </c>
      <c r="AH40" s="177">
        <v>0</v>
      </c>
      <c r="AI40" s="193">
        <f>1035*0.085985/1000</f>
        <v>8.8994475000000003E-2</v>
      </c>
      <c r="AJ40" s="193"/>
      <c r="AK40" s="175">
        <f>(879*1.016*27*0.023885)/1000</f>
        <v>0.57593250827999998</v>
      </c>
      <c r="AL40" s="176"/>
      <c r="AM40" s="176"/>
    </row>
    <row r="41" spans="1:39" s="158" customFormat="1" ht="14.25" x14ac:dyDescent="0.45">
      <c r="A41" s="614">
        <v>1951</v>
      </c>
      <c r="B41" s="175">
        <f t="shared" si="1"/>
        <v>56.193000000000005</v>
      </c>
      <c r="C41" s="176">
        <f>467/1000</f>
        <v>0.46700000000000003</v>
      </c>
      <c r="D41" s="180">
        <f>-2/1000</f>
        <v>-2E-3</v>
      </c>
      <c r="E41" s="176">
        <f>56658/1000</f>
        <v>56.658000000000001</v>
      </c>
      <c r="F41" s="176"/>
      <c r="G41" s="15"/>
      <c r="H41" s="15"/>
      <c r="I41" s="15"/>
      <c r="J41" s="15"/>
      <c r="K41" s="15"/>
      <c r="L41" s="178"/>
      <c r="N41" s="179">
        <f>16939/1000</f>
        <v>16.939</v>
      </c>
      <c r="O41" s="175">
        <f>6354/1000</f>
        <v>6.3540000000000001</v>
      </c>
      <c r="P41" s="175">
        <f>25350/1000</f>
        <v>25.35</v>
      </c>
      <c r="Q41" s="180">
        <f>441/1000</f>
        <v>0.441</v>
      </c>
      <c r="R41" s="180">
        <f>1429/1000</f>
        <v>1.429</v>
      </c>
      <c r="S41" s="181">
        <f>50513/1000</f>
        <v>50.512999999999998</v>
      </c>
      <c r="U41" s="183">
        <v>13655</v>
      </c>
      <c r="V41" s="184">
        <v>1951</v>
      </c>
      <c r="AC41" s="174">
        <v>1951</v>
      </c>
      <c r="AD41" s="175">
        <f t="shared" si="2"/>
        <v>20.471074601175999</v>
      </c>
      <c r="AE41" s="175">
        <f>(34180*1.016*23.8*0.023885)/1000</f>
        <v>19.740946385439997</v>
      </c>
      <c r="AF41" s="175">
        <f>((50+32)*1.016*41.8*0.023885)/1000</f>
        <v>8.3178117615999997E-2</v>
      </c>
      <c r="AG41" s="177">
        <v>0</v>
      </c>
      <c r="AH41" s="177">
        <v>0</v>
      </c>
      <c r="AI41" s="193">
        <f>1687*0.085985/1000</f>
        <v>0.14505669500000001</v>
      </c>
      <c r="AJ41" s="193"/>
      <c r="AK41" s="175">
        <f>(766*1.016*27*0.023885)/1000</f>
        <v>0.50189340311999997</v>
      </c>
      <c r="AL41" s="176"/>
      <c r="AM41" s="176"/>
    </row>
    <row r="42" spans="1:39" s="158" customFormat="1" ht="14.25" x14ac:dyDescent="0.45">
      <c r="A42" s="614">
        <v>1952</v>
      </c>
      <c r="B42" s="175">
        <f t="shared" si="1"/>
        <v>58.400000000000006</v>
      </c>
      <c r="C42" s="176">
        <f>418/1000</f>
        <v>0.41799999999999998</v>
      </c>
      <c r="D42" s="180">
        <f>-2/1000</f>
        <v>-2E-3</v>
      </c>
      <c r="E42" s="176">
        <f>58816/1000</f>
        <v>58.816000000000003</v>
      </c>
      <c r="F42" s="176"/>
      <c r="G42" s="15"/>
      <c r="H42" s="15"/>
      <c r="I42" s="15"/>
      <c r="J42" s="15"/>
      <c r="K42" s="15"/>
      <c r="L42" s="178"/>
      <c r="N42" s="179">
        <f>16869/1000</f>
        <v>16.869</v>
      </c>
      <c r="O42" s="175">
        <f>7115/1000</f>
        <v>7.1150000000000002</v>
      </c>
      <c r="P42" s="175">
        <f>26068/1000</f>
        <v>26.068000000000001</v>
      </c>
      <c r="Q42" s="180">
        <f>479/1000</f>
        <v>0.47899999999999998</v>
      </c>
      <c r="R42" s="180">
        <f>1419/1000</f>
        <v>1.419</v>
      </c>
      <c r="S42" s="181">
        <f>51950/1000</f>
        <v>51.95</v>
      </c>
      <c r="U42" s="183">
        <v>14054</v>
      </c>
      <c r="V42" s="184">
        <v>1952</v>
      </c>
      <c r="AC42" s="174">
        <v>1952</v>
      </c>
      <c r="AD42" s="175">
        <f t="shared" si="2"/>
        <v>20.680954257136005</v>
      </c>
      <c r="AE42" s="175">
        <f>(34462*1.016*23.8*0.023885)/1000</f>
        <v>19.903817856496005</v>
      </c>
      <c r="AF42" s="175">
        <f>((42+28)*1.016*41.8*0.023885)/1000</f>
        <v>7.1005710159999999E-2</v>
      </c>
      <c r="AG42" s="177">
        <v>0</v>
      </c>
      <c r="AH42" s="177">
        <v>0</v>
      </c>
      <c r="AI42" s="193">
        <f>1819*0.085985/1000</f>
        <v>0.15640671500000003</v>
      </c>
      <c r="AJ42" s="193"/>
      <c r="AK42" s="175">
        <f>(839*1.016*27*0.023885)/1000</f>
        <v>0.54972397548000007</v>
      </c>
      <c r="AL42" s="176"/>
      <c r="AM42" s="176"/>
    </row>
    <row r="43" spans="1:39" s="158" customFormat="1" ht="14.25" x14ac:dyDescent="0.45">
      <c r="A43" s="614">
        <v>1953</v>
      </c>
      <c r="B43" s="175">
        <f t="shared" si="1"/>
        <v>61.634999999999998</v>
      </c>
      <c r="C43" s="176">
        <f>322/1000</f>
        <v>0.32200000000000001</v>
      </c>
      <c r="D43" s="180">
        <f>-2/1000</f>
        <v>-2E-3</v>
      </c>
      <c r="E43" s="176">
        <f>61955/1000</f>
        <v>61.954999999999998</v>
      </c>
      <c r="F43" s="176"/>
      <c r="G43" s="15"/>
      <c r="H43" s="15"/>
      <c r="I43" s="15"/>
      <c r="J43" s="15"/>
      <c r="K43" s="15"/>
      <c r="L43" s="178"/>
      <c r="N43" s="179">
        <f>17691/1000</f>
        <v>17.690999999999999</v>
      </c>
      <c r="O43" s="175">
        <f>7948/1000</f>
        <v>7.9480000000000004</v>
      </c>
      <c r="P43" s="175">
        <f>28000/1000</f>
        <v>28</v>
      </c>
      <c r="Q43" s="180">
        <f>528/1000</f>
        <v>0.52800000000000002</v>
      </c>
      <c r="R43" s="180">
        <f>1401/1000</f>
        <v>1.401</v>
      </c>
      <c r="S43" s="181">
        <f>55568/1000</f>
        <v>55.567999999999998</v>
      </c>
      <c r="U43" s="183">
        <v>14565</v>
      </c>
      <c r="V43" s="184">
        <v>1953</v>
      </c>
      <c r="AC43" s="174">
        <v>1953</v>
      </c>
      <c r="AD43" s="175">
        <f t="shared" si="2"/>
        <v>21.412581427968004</v>
      </c>
      <c r="AE43" s="175">
        <f>(35599*1.016*23.8*0.023885)/1000</f>
        <v>20.560501766392004</v>
      </c>
      <c r="AF43" s="175">
        <f>((70+27)*1.016*41.8*0.023885)/1000</f>
        <v>9.8393626935999998E-2</v>
      </c>
      <c r="AG43" s="177">
        <v>0</v>
      </c>
      <c r="AH43" s="177">
        <v>0</v>
      </c>
      <c r="AI43" s="193">
        <f>1892*0.085985/1000</f>
        <v>0.16268362000000003</v>
      </c>
      <c r="AJ43" s="193"/>
      <c r="AK43" s="175">
        <f>(902*1.016*27*0.023885)/1000</f>
        <v>0.59100241464000003</v>
      </c>
      <c r="AL43" s="176"/>
      <c r="AM43" s="176"/>
    </row>
    <row r="44" spans="1:39" s="158" customFormat="1" ht="14.25" x14ac:dyDescent="0.45">
      <c r="A44" s="614">
        <v>1954</v>
      </c>
      <c r="B44" s="175">
        <f t="shared" si="1"/>
        <v>68.570000000000007</v>
      </c>
      <c r="C44" s="176">
        <f>353/1000</f>
        <v>0.35299999999999998</v>
      </c>
      <c r="D44" s="180">
        <f>-2/1000</f>
        <v>-2E-3</v>
      </c>
      <c r="E44" s="176">
        <f>68921/1000</f>
        <v>68.921000000000006</v>
      </c>
      <c r="F44" s="176"/>
      <c r="G44" s="15"/>
      <c r="H44" s="15"/>
      <c r="I44" s="15"/>
      <c r="J44" s="15"/>
      <c r="K44" s="15"/>
      <c r="L44" s="178"/>
      <c r="N44" s="179">
        <f>19075/1000</f>
        <v>19.074999999999999</v>
      </c>
      <c r="O44" s="175">
        <f>8746/1000</f>
        <v>8.7460000000000004</v>
      </c>
      <c r="P44" s="175">
        <f>31553/1000</f>
        <v>31.553000000000001</v>
      </c>
      <c r="Q44" s="180">
        <f>576/1000</f>
        <v>0.57599999999999996</v>
      </c>
      <c r="R44" s="180">
        <f>1451/1000</f>
        <v>1.4510000000000001</v>
      </c>
      <c r="S44" s="181">
        <f>61401/1000</f>
        <v>61.401000000000003</v>
      </c>
      <c r="U44" s="183">
        <v>15115</v>
      </c>
      <c r="V44" s="184">
        <v>1954</v>
      </c>
      <c r="AC44" s="174">
        <v>1954</v>
      </c>
      <c r="AD44" s="175">
        <f t="shared" si="2"/>
        <v>23.408868064304002</v>
      </c>
      <c r="AE44" s="175">
        <f>(38612*1.016*23.8*0.023885)/1000</f>
        <v>22.300685249696002</v>
      </c>
      <c r="AF44" s="175">
        <f>((153+23)*1.016*41.8*0.023885)/1000</f>
        <v>0.17852864268799998</v>
      </c>
      <c r="AG44" s="177">
        <v>0</v>
      </c>
      <c r="AH44" s="177">
        <v>0</v>
      </c>
      <c r="AI44" s="193">
        <f>2384*0.085985/1000</f>
        <v>0.20498824000000002</v>
      </c>
      <c r="AJ44" s="193"/>
      <c r="AK44" s="175">
        <f>(1106*1.016*27*0.023885)/1000</f>
        <v>0.72466593191999995</v>
      </c>
      <c r="AL44" s="176"/>
      <c r="AM44" s="176"/>
    </row>
    <row r="45" spans="1:39" s="158" customFormat="1" ht="14.25" x14ac:dyDescent="0.45">
      <c r="A45" s="614">
        <v>1955</v>
      </c>
      <c r="B45" s="175">
        <f t="shared" si="1"/>
        <v>75.328999999999994</v>
      </c>
      <c r="C45" s="176">
        <f>321/1000</f>
        <v>0.32100000000000001</v>
      </c>
      <c r="D45" s="180">
        <f>-2/1000</f>
        <v>-2E-3</v>
      </c>
      <c r="E45" s="176">
        <f>75648/1000</f>
        <v>75.647999999999996</v>
      </c>
      <c r="F45" s="176"/>
      <c r="G45" s="15"/>
      <c r="H45" s="15"/>
      <c r="I45" s="15"/>
      <c r="J45" s="15"/>
      <c r="K45" s="15"/>
      <c r="L45" s="178"/>
      <c r="N45" s="179">
        <f>21146/1000</f>
        <v>21.146000000000001</v>
      </c>
      <c r="O45" s="175">
        <f>9545/1000</f>
        <v>9.5449999999999999</v>
      </c>
      <c r="P45" s="175">
        <f>34635/1000</f>
        <v>34.634999999999998</v>
      </c>
      <c r="Q45" s="180">
        <f>627/1000</f>
        <v>0.627</v>
      </c>
      <c r="R45" s="180">
        <f>1470/1000</f>
        <v>1.47</v>
      </c>
      <c r="S45" s="181">
        <f>67423/1000</f>
        <v>67.423000000000002</v>
      </c>
      <c r="U45" s="183">
        <v>15628</v>
      </c>
      <c r="V45" s="184">
        <v>1955</v>
      </c>
      <c r="AC45" s="174">
        <v>1955</v>
      </c>
      <c r="AD45" s="175">
        <f t="shared" si="2"/>
        <v>25.232446772432002</v>
      </c>
      <c r="AE45" s="175">
        <f>(41892*1.016*23.8*0.023885)/1000</f>
        <v>24.195076827936003</v>
      </c>
      <c r="AF45" s="175">
        <f>((188+29)*1.016*41.8*0.023885)/1000</f>
        <v>0.22011770149600002</v>
      </c>
      <c r="AG45" s="177">
        <v>0</v>
      </c>
      <c r="AH45" s="177">
        <v>0</v>
      </c>
      <c r="AI45" s="193">
        <f>1694*0.085985/1000</f>
        <v>0.14565859</v>
      </c>
      <c r="AJ45" s="193"/>
      <c r="AK45" s="175">
        <f>(1025*1.016*27*0.023885)/1000</f>
        <v>0.67159365300000007</v>
      </c>
      <c r="AL45" s="176"/>
      <c r="AM45" s="176"/>
    </row>
    <row r="46" spans="1:39" s="158" customFormat="1" ht="14.25" x14ac:dyDescent="0.45">
      <c r="A46" s="614">
        <v>1956</v>
      </c>
      <c r="B46" s="175">
        <f t="shared" si="1"/>
        <v>81.915000000000006</v>
      </c>
      <c r="C46" s="176">
        <f>277/1000</f>
        <v>0.27700000000000002</v>
      </c>
      <c r="D46" s="180">
        <f>-1/1000</f>
        <v>-1E-3</v>
      </c>
      <c r="E46" s="176">
        <f>82191/1000</f>
        <v>82.191000000000003</v>
      </c>
      <c r="F46" s="176"/>
      <c r="G46" s="15"/>
      <c r="H46" s="15"/>
      <c r="I46" s="15"/>
      <c r="J46" s="15"/>
      <c r="K46" s="15"/>
      <c r="L46" s="178"/>
      <c r="N46" s="179">
        <f>23755/1000</f>
        <v>23.754999999999999</v>
      </c>
      <c r="O46" s="175">
        <f>10337/1000</f>
        <v>10.337</v>
      </c>
      <c r="P46" s="175">
        <f>37224/1000</f>
        <v>37.223999999999997</v>
      </c>
      <c r="Q46" s="180">
        <f>692/1000</f>
        <v>0.69199999999999995</v>
      </c>
      <c r="R46" s="180">
        <f>1512/1000</f>
        <v>1.512</v>
      </c>
      <c r="S46" s="181">
        <f>73520/1000</f>
        <v>73.52</v>
      </c>
      <c r="U46" s="183">
        <v>16074</v>
      </c>
      <c r="V46" s="184">
        <v>1956</v>
      </c>
      <c r="AC46" s="174">
        <v>1956</v>
      </c>
      <c r="AD46" s="175">
        <f t="shared" si="2"/>
        <v>27.05611272235782</v>
      </c>
      <c r="AE46" s="175">
        <f>(44800*1.016*23.8*0.023885)/1000</f>
        <v>25.874616678400002</v>
      </c>
      <c r="AF46" s="175">
        <f>((344+28)*1.016*41.8*0.023885)/1000</f>
        <v>0.37734463113599997</v>
      </c>
      <c r="AG46" s="177">
        <v>0</v>
      </c>
      <c r="AH46" s="193">
        <f>58*0.085985/1000/0.275</f>
        <v>1.8135018181818181E-2</v>
      </c>
      <c r="AI46" s="193">
        <f>2268*0.085985/1000</f>
        <v>0.19501398</v>
      </c>
      <c r="AJ46" s="193"/>
      <c r="AK46" s="175">
        <f>(902*1.016*27*0.023885)/1000</f>
        <v>0.59100241464000003</v>
      </c>
      <c r="AL46" s="176"/>
      <c r="AM46" s="176"/>
    </row>
    <row r="47" spans="1:39" s="158" customFormat="1" ht="14.25" x14ac:dyDescent="0.45">
      <c r="A47" s="614">
        <v>1957</v>
      </c>
      <c r="B47" s="175">
        <f t="shared" si="1"/>
        <v>85.499999999999986</v>
      </c>
      <c r="C47" s="176">
        <f>501/1000</f>
        <v>0.501</v>
      </c>
      <c r="D47" s="180">
        <f>-2/1000</f>
        <v>-2E-3</v>
      </c>
      <c r="E47" s="176">
        <f>85999/1000</f>
        <v>85.998999999999995</v>
      </c>
      <c r="F47" s="176"/>
      <c r="G47" s="15"/>
      <c r="H47" s="15"/>
      <c r="I47" s="15"/>
      <c r="J47" s="15"/>
      <c r="K47" s="15"/>
      <c r="L47" s="178"/>
      <c r="N47" s="179">
        <f>24850/1000</f>
        <v>24.85</v>
      </c>
      <c r="O47" s="175">
        <f>10733/1000</f>
        <v>10.733000000000001</v>
      </c>
      <c r="P47" s="175">
        <f>39348/1000</f>
        <v>39.347999999999999</v>
      </c>
      <c r="Q47" s="180">
        <f>742/1000</f>
        <v>0.74199999999999999</v>
      </c>
      <c r="R47" s="180">
        <f>1545/1000</f>
        <v>1.5449999999999999</v>
      </c>
      <c r="S47" s="181">
        <f>77218/1000</f>
        <v>77.218000000000004</v>
      </c>
      <c r="U47" s="183">
        <v>16472</v>
      </c>
      <c r="V47" s="184">
        <v>1957</v>
      </c>
      <c r="AC47" s="174">
        <v>1957</v>
      </c>
      <c r="AD47" s="175">
        <f t="shared" si="2"/>
        <v>27.860696079646548</v>
      </c>
      <c r="AE47" s="175">
        <f>(45600*1.016*23.8*0.023885)/1000</f>
        <v>26.336663404799999</v>
      </c>
      <c r="AF47" s="175">
        <f>((570+24)*1.016*41.8*0.023885)/1000</f>
        <v>0.60253416907199997</v>
      </c>
      <c r="AG47" s="177">
        <v>0</v>
      </c>
      <c r="AH47" s="193">
        <f>409*0.085985/1000/0.275</f>
        <v>0.12788314545454543</v>
      </c>
      <c r="AI47" s="193">
        <f>2745*0.085985/1000</f>
        <v>0.23602882500000003</v>
      </c>
      <c r="AJ47" s="193"/>
      <c r="AK47" s="175">
        <f>(851*1.016*27*0.023885)/1000</f>
        <v>0.55758653531999991</v>
      </c>
      <c r="AL47" s="176"/>
      <c r="AM47" s="176"/>
    </row>
    <row r="48" spans="1:39" s="158" customFormat="1" ht="14.25" x14ac:dyDescent="0.45">
      <c r="A48" s="614">
        <v>1958</v>
      </c>
      <c r="B48" s="175">
        <f t="shared" si="1"/>
        <v>92.689000000000007</v>
      </c>
      <c r="C48" s="176">
        <f>753/1000</f>
        <v>0.753</v>
      </c>
      <c r="D48" s="180">
        <f>-1/1000</f>
        <v>-1E-3</v>
      </c>
      <c r="E48" s="176">
        <f>93441/1000</f>
        <v>93.441000000000003</v>
      </c>
      <c r="F48" s="176"/>
      <c r="G48" s="15"/>
      <c r="H48" s="15"/>
      <c r="I48" s="15"/>
      <c r="J48" s="15"/>
      <c r="K48" s="15"/>
      <c r="L48" s="178"/>
      <c r="N48" s="179">
        <f>28227/1000</f>
        <v>28.227</v>
      </c>
      <c r="O48" s="175">
        <f>12057/1000</f>
        <v>12.057</v>
      </c>
      <c r="P48" s="175">
        <f>41241/1000</f>
        <v>41.241</v>
      </c>
      <c r="Q48" s="180">
        <f>793/1000</f>
        <v>0.79300000000000004</v>
      </c>
      <c r="R48" s="180">
        <f>1551/1000</f>
        <v>1.5509999999999999</v>
      </c>
      <c r="S48" s="181">
        <f>83869/1000</f>
        <v>83.869</v>
      </c>
      <c r="U48" s="183">
        <v>16824</v>
      </c>
      <c r="V48" s="184">
        <v>1958</v>
      </c>
      <c r="AC48" s="174">
        <v>1958</v>
      </c>
      <c r="AD48" s="175">
        <f t="shared" si="2"/>
        <v>29.768502811778184</v>
      </c>
      <c r="AE48" s="175">
        <f>(45330*1.016*23.8*0.023885)/1000</f>
        <v>26.180722634640002</v>
      </c>
      <c r="AF48" s="175">
        <f>((2536+29)*1.016*41.8*0.023885)/1000</f>
        <v>2.6018520937200003</v>
      </c>
      <c r="AG48" s="177">
        <v>0</v>
      </c>
      <c r="AH48" s="193">
        <f>305*0.085985/1000/0.275</f>
        <v>9.5365181818181807E-2</v>
      </c>
      <c r="AI48" s="193">
        <f>2699*0.085985/1000</f>
        <v>0.23207351500000001</v>
      </c>
      <c r="AJ48" s="193"/>
      <c r="AK48" s="175">
        <f>(1005*1.016*27*0.023885)/1000</f>
        <v>0.6584893866</v>
      </c>
      <c r="AL48" s="176"/>
      <c r="AM48" s="176"/>
    </row>
    <row r="49" spans="1:39" s="158" customFormat="1" ht="14.25" x14ac:dyDescent="0.45">
      <c r="A49" s="614">
        <v>1959</v>
      </c>
      <c r="B49" s="175">
        <f t="shared" si="1"/>
        <v>98.944000000000003</v>
      </c>
      <c r="C49" s="176">
        <f>1629/1000</f>
        <v>1.629</v>
      </c>
      <c r="D49" s="180">
        <f>-1/1000</f>
        <v>-1E-3</v>
      </c>
      <c r="E49" s="176">
        <f>100572/1000</f>
        <v>100.572</v>
      </c>
      <c r="F49" s="176"/>
      <c r="G49" s="15"/>
      <c r="H49" s="15"/>
      <c r="I49" s="15"/>
      <c r="J49" s="15"/>
      <c r="K49" s="15"/>
      <c r="L49" s="178"/>
      <c r="N49" s="186">
        <f>30487/1000</f>
        <v>30.486999999999998</v>
      </c>
      <c r="O49" s="187">
        <f>12837/1000</f>
        <v>12.837</v>
      </c>
      <c r="P49" s="187">
        <f>44695/1000</f>
        <v>44.695</v>
      </c>
      <c r="Q49" s="188">
        <f>855/1000</f>
        <v>0.85499999999999998</v>
      </c>
      <c r="R49" s="188">
        <f>1630/1000</f>
        <v>1.63</v>
      </c>
      <c r="S49" s="189">
        <f>90504/1000</f>
        <v>90.504000000000005</v>
      </c>
      <c r="U49" s="183">
        <v>17150</v>
      </c>
      <c r="V49" s="184">
        <v>1959</v>
      </c>
      <c r="AC49" s="174">
        <v>1959</v>
      </c>
      <c r="AD49" s="175">
        <f t="shared" si="2"/>
        <v>31.824549134718552</v>
      </c>
      <c r="AE49" s="175">
        <f>(45387*1.016*23.8*0.023885)/1000</f>
        <v>26.213643463896005</v>
      </c>
      <c r="AF49" s="175">
        <f>((4160+31)*1.016*41.8*0.023885)/1000</f>
        <v>4.251213304008</v>
      </c>
      <c r="AG49" s="177">
        <v>0</v>
      </c>
      <c r="AH49" s="193">
        <f>1201*0.085985/1000/0.275</f>
        <v>0.37551994545454542</v>
      </c>
      <c r="AI49" s="193">
        <f>2698*0.085985/1000</f>
        <v>0.23198753000000003</v>
      </c>
      <c r="AJ49" s="193"/>
      <c r="AK49" s="175">
        <f>(1148*1.016*27*0.023885)/1000</f>
        <v>0.75218489135999989</v>
      </c>
      <c r="AL49" s="176"/>
      <c r="AM49" s="176"/>
    </row>
    <row r="50" spans="1:39" s="158" customFormat="1" ht="13.15" x14ac:dyDescent="0.4">
      <c r="A50" s="614">
        <v>1960</v>
      </c>
      <c r="B50" s="193">
        <v>116.96</v>
      </c>
      <c r="C50" s="193">
        <v>0.15</v>
      </c>
      <c r="D50" s="180">
        <f>-1/1000</f>
        <v>-1E-3</v>
      </c>
      <c r="E50" s="193">
        <v>117.11</v>
      </c>
      <c r="F50" s="193">
        <v>12.07</v>
      </c>
      <c r="G50" s="193">
        <v>105.04</v>
      </c>
      <c r="H50" s="193">
        <v>6.25</v>
      </c>
      <c r="I50" s="193">
        <v>44.51</v>
      </c>
      <c r="J50" s="193">
        <v>33.68</v>
      </c>
      <c r="K50" s="193" t="s">
        <v>657</v>
      </c>
      <c r="L50" s="194">
        <f t="shared" ref="L50:L59" si="3">SUM(I50:K50)</f>
        <v>78.19</v>
      </c>
      <c r="N50" s="195">
        <f>35270/1000</f>
        <v>35.270000000000003</v>
      </c>
      <c r="O50" s="190">
        <f>14526/1000</f>
        <v>14.526</v>
      </c>
      <c r="P50" s="190">
        <f>49991/1000</f>
        <v>49.991</v>
      </c>
      <c r="Q50" s="191">
        <f>922/1000</f>
        <v>0.92200000000000004</v>
      </c>
      <c r="R50" s="191">
        <f>1654/1000</f>
        <v>1.6539999999999999</v>
      </c>
      <c r="S50" s="192">
        <f>102363/1000</f>
        <v>102.363</v>
      </c>
      <c r="U50" s="183">
        <v>17490</v>
      </c>
      <c r="V50" s="184">
        <v>1960</v>
      </c>
      <c r="AC50" s="174">
        <v>1960</v>
      </c>
      <c r="AD50" s="175">
        <f t="shared" si="2"/>
        <v>37.308577755000002</v>
      </c>
      <c r="AE50" s="193">
        <v>30.07</v>
      </c>
      <c r="AF50" s="193">
        <v>5.78</v>
      </c>
      <c r="AG50" s="177">
        <v>0</v>
      </c>
      <c r="AH50" s="193">
        <f>2079*0.085985/1000/0.275</f>
        <v>0.65004660000000003</v>
      </c>
      <c r="AI50" s="193">
        <f>3123*0.085985/1000</f>
        <v>0.26853115500000002</v>
      </c>
      <c r="AJ50" s="193"/>
      <c r="AK50" s="193">
        <v>0.54</v>
      </c>
      <c r="AL50" s="193"/>
      <c r="AM50" s="175"/>
    </row>
    <row r="51" spans="1:39" s="158" customFormat="1" ht="13.15" x14ac:dyDescent="0.4">
      <c r="A51" s="614">
        <v>1961</v>
      </c>
      <c r="B51" s="193">
        <f>E51-D51-C51</f>
        <v>120.06499999999998</v>
      </c>
      <c r="C51" s="176">
        <f>2757/1000</f>
        <v>2.7570000000000001</v>
      </c>
      <c r="D51" s="180">
        <f>1/1000</f>
        <v>1E-3</v>
      </c>
      <c r="E51" s="193">
        <f>122823/1000</f>
        <v>122.82299999999999</v>
      </c>
      <c r="F51" s="177">
        <v>0</v>
      </c>
      <c r="G51" s="177">
        <v>0</v>
      </c>
      <c r="H51" s="177">
        <v>0</v>
      </c>
      <c r="I51" s="177">
        <v>0</v>
      </c>
      <c r="J51" s="177">
        <v>0</v>
      </c>
      <c r="K51" s="177">
        <v>0</v>
      </c>
      <c r="L51" s="196">
        <v>0</v>
      </c>
      <c r="N51" s="179">
        <f>39968/1000</f>
        <v>39.968000000000004</v>
      </c>
      <c r="O51" s="175">
        <f>15809/1000</f>
        <v>15.808999999999999</v>
      </c>
      <c r="P51" s="175">
        <f>51740/1000</f>
        <v>51.74</v>
      </c>
      <c r="Q51" s="180">
        <f>994/1000</f>
        <v>0.99399999999999999</v>
      </c>
      <c r="R51" s="180">
        <f>1721/1000</f>
        <v>1.7210000000000001</v>
      </c>
      <c r="S51" s="181">
        <f>110232/1000</f>
        <v>110.232</v>
      </c>
      <c r="U51" s="183">
        <v>17816</v>
      </c>
      <c r="V51" s="184">
        <v>1961</v>
      </c>
      <c r="AC51" s="174">
        <v>1961</v>
      </c>
      <c r="AD51" s="175">
        <f t="shared" si="2"/>
        <v>40.232735459475272</v>
      </c>
      <c r="AE51" s="193">
        <f>(54777*1.016*24.8*0.023885)/1000</f>
        <v>32.966199138336002</v>
      </c>
      <c r="AF51" s="193">
        <f>(5523*1.016*41.8*0.023885)/1000</f>
        <v>5.6023505316239994</v>
      </c>
      <c r="AG51" s="177">
        <v>0</v>
      </c>
      <c r="AH51" s="193">
        <f>2399*0.085985/1000/0.275</f>
        <v>0.75010187272727269</v>
      </c>
      <c r="AI51" s="193">
        <f>3842*0.085985/1000</f>
        <v>0.33035437000000001</v>
      </c>
      <c r="AJ51" s="193"/>
      <c r="AK51" s="193">
        <f>(890.9*1.016*27*0.023885)/1000</f>
        <v>0.58372954678800004</v>
      </c>
      <c r="AL51" s="193"/>
      <c r="AM51" s="176"/>
    </row>
    <row r="52" spans="1:39" s="158" customFormat="1" ht="13.15" x14ac:dyDescent="0.4">
      <c r="A52" s="614">
        <v>1962</v>
      </c>
      <c r="B52" s="193">
        <f>E52-D52-C52</f>
        <v>132.77000000000001</v>
      </c>
      <c r="C52" s="176">
        <f>3158/1000</f>
        <v>3.1579999999999999</v>
      </c>
      <c r="D52" s="180">
        <f>87/1000</f>
        <v>8.6999999999999994E-2</v>
      </c>
      <c r="E52" s="193">
        <f>136015/1000</f>
        <v>136.01499999999999</v>
      </c>
      <c r="F52" s="177">
        <v>0</v>
      </c>
      <c r="G52" s="177">
        <v>0</v>
      </c>
      <c r="H52" s="177">
        <v>0</v>
      </c>
      <c r="I52" s="177">
        <v>0</v>
      </c>
      <c r="J52" s="177">
        <v>0</v>
      </c>
      <c r="K52" s="177">
        <v>0</v>
      </c>
      <c r="L52" s="196">
        <v>0</v>
      </c>
      <c r="N52" s="179">
        <f>47628/1000</f>
        <v>47.628</v>
      </c>
      <c r="O52" s="175">
        <f>18284/1000</f>
        <v>18.283999999999999</v>
      </c>
      <c r="P52" s="175">
        <f>53529/1000</f>
        <v>53.529000000000003</v>
      </c>
      <c r="Q52" s="180">
        <f>1060/1000</f>
        <v>1.06</v>
      </c>
      <c r="R52" s="180">
        <f>1856/1000</f>
        <v>1.8560000000000001</v>
      </c>
      <c r="S52" s="181">
        <f>122357/1000</f>
        <v>122.357</v>
      </c>
      <c r="U52" s="183">
        <v>18115</v>
      </c>
      <c r="V52" s="184">
        <v>1962</v>
      </c>
      <c r="AC52" s="174">
        <v>1962</v>
      </c>
      <c r="AD52" s="175">
        <f t="shared" si="2"/>
        <v>44.221819126603272</v>
      </c>
      <c r="AE52" s="193">
        <f>(60394*1.016*24.8*0.023885)/1000</f>
        <v>36.346653353792007</v>
      </c>
      <c r="AF52" s="193">
        <f>(5763*1.016*41.8*0.023885)/1000</f>
        <v>5.8457986807439992</v>
      </c>
      <c r="AG52" s="177">
        <v>0</v>
      </c>
      <c r="AH52" s="193">
        <f>3477*0.085985/1000/0.275</f>
        <v>1.0871630727272728</v>
      </c>
      <c r="AI52" s="193">
        <f>3913*0.085985/1000</f>
        <v>0.33645930500000004</v>
      </c>
      <c r="AJ52" s="193"/>
      <c r="AK52" s="193">
        <f>(924.5*1.016*27*0.023885)/1000</f>
        <v>0.6057447143400001</v>
      </c>
      <c r="AL52" s="193"/>
      <c r="AM52" s="176"/>
    </row>
    <row r="53" spans="1:39" s="158" customFormat="1" ht="13.15" x14ac:dyDescent="0.4">
      <c r="A53" s="614">
        <v>1963</v>
      </c>
      <c r="B53" s="193">
        <f>162652/1000</f>
        <v>162.65199999999999</v>
      </c>
      <c r="C53" s="176">
        <f>3350/1000</f>
        <v>3.35</v>
      </c>
      <c r="D53" s="185">
        <f>-15/1000</f>
        <v>-1.4999999999999999E-2</v>
      </c>
      <c r="E53" s="193">
        <f>147102/1000</f>
        <v>147.102</v>
      </c>
      <c r="F53" s="177">
        <v>0</v>
      </c>
      <c r="G53" s="177">
        <v>0</v>
      </c>
      <c r="H53" s="177">
        <v>0</v>
      </c>
      <c r="I53" s="177">
        <v>0</v>
      </c>
      <c r="J53" s="177">
        <v>0</v>
      </c>
      <c r="K53" s="177">
        <v>0</v>
      </c>
      <c r="L53" s="196">
        <v>0</v>
      </c>
      <c r="N53" s="179">
        <f>54475/1000</f>
        <v>54.475000000000001</v>
      </c>
      <c r="O53" s="175">
        <f>20263/1000</f>
        <v>20.263000000000002</v>
      </c>
      <c r="P53" s="175">
        <f>56106/1000</f>
        <v>56.106000000000002</v>
      </c>
      <c r="Q53" s="180">
        <f>1127/1000</f>
        <v>1.127</v>
      </c>
      <c r="R53" s="180">
        <f>1879/1000</f>
        <v>1.879</v>
      </c>
      <c r="S53" s="181">
        <f>133850/1000</f>
        <v>133.85</v>
      </c>
      <c r="U53" s="183">
        <v>18398</v>
      </c>
      <c r="V53" s="184">
        <v>1963</v>
      </c>
      <c r="AC53" s="174">
        <v>1963</v>
      </c>
      <c r="AD53" s="175">
        <f t="shared" si="2"/>
        <v>47.866743492217459</v>
      </c>
      <c r="AE53" s="193">
        <f>(66662*1.016*24.8*0.023885)/1000</f>
        <v>40.118896014016002</v>
      </c>
      <c r="AF53" s="193">
        <f>(5059*1.016*41.8*0.023885)/1000</f>
        <v>5.1316841099920003</v>
      </c>
      <c r="AG53" s="177">
        <v>0</v>
      </c>
      <c r="AH53" s="193">
        <f>5949*0.085985/1000/0.275</f>
        <v>1.8600900545454548</v>
      </c>
      <c r="AI53" s="193">
        <f>3648*0.085985/1000</f>
        <v>0.31367328000000005</v>
      </c>
      <c r="AJ53" s="193"/>
      <c r="AK53" s="193">
        <f>(675.2*1.016*27*0.023885)/1000</f>
        <v>0.4424000336640001</v>
      </c>
      <c r="AL53" s="193"/>
      <c r="AM53" s="176"/>
    </row>
    <row r="54" spans="1:39" s="158" customFormat="1" ht="13.15" x14ac:dyDescent="0.4">
      <c r="A54" s="614">
        <v>1964</v>
      </c>
      <c r="B54" s="193">
        <f>170951/1000</f>
        <v>170.95099999999999</v>
      </c>
      <c r="C54" s="176">
        <f>3180/1000</f>
        <v>3.18</v>
      </c>
      <c r="D54" s="185">
        <f>-211/1000</f>
        <v>-0.21099999999999999</v>
      </c>
      <c r="E54" s="193">
        <f>154534/1000</f>
        <v>154.53399999999999</v>
      </c>
      <c r="F54" s="177">
        <v>0</v>
      </c>
      <c r="G54" s="177">
        <v>0</v>
      </c>
      <c r="H54" s="177">
        <v>0</v>
      </c>
      <c r="I54" s="177">
        <v>0</v>
      </c>
      <c r="J54" s="177">
        <v>0</v>
      </c>
      <c r="K54" s="177">
        <v>0</v>
      </c>
      <c r="L54" s="196">
        <v>0</v>
      </c>
      <c r="N54" s="179">
        <f>54411/1000</f>
        <v>54.411000000000001</v>
      </c>
      <c r="O54" s="175">
        <f>21321/1000</f>
        <v>21.321000000000002</v>
      </c>
      <c r="P54" s="175">
        <f>61604/1000</f>
        <v>61.603999999999999</v>
      </c>
      <c r="Q54" s="180">
        <f>1191/1000</f>
        <v>1.1910000000000001</v>
      </c>
      <c r="R54" s="180">
        <f>1847/1000</f>
        <v>1.847</v>
      </c>
      <c r="S54" s="181">
        <f>140374/1000</f>
        <v>140.374</v>
      </c>
      <c r="U54" s="183">
        <v>18732</v>
      </c>
      <c r="V54" s="184">
        <v>1964</v>
      </c>
      <c r="AC54" s="174">
        <v>1964</v>
      </c>
      <c r="AD54" s="175">
        <f t="shared" si="2"/>
        <v>49.751938037263642</v>
      </c>
      <c r="AE54" s="193">
        <f>(67836*1.016*24.8*0.023885)/1000</f>
        <v>40.825439230848005</v>
      </c>
      <c r="AF54" s="193">
        <f>(5664*1.016*41.8*0.023885)/1000</f>
        <v>5.7453763192319993</v>
      </c>
      <c r="AG54" s="177">
        <v>0</v>
      </c>
      <c r="AH54" s="193">
        <f>7629*0.085985/1000/0.275</f>
        <v>2.3853802363636367</v>
      </c>
      <c r="AI54" s="193">
        <f>4008*0.085985/1000</f>
        <v>0.34462788</v>
      </c>
      <c r="AJ54" s="193"/>
      <c r="AK54" s="193">
        <f>(688.5*1.016*27*0.023885)/1000</f>
        <v>0.45111437082000005</v>
      </c>
      <c r="AL54" s="193"/>
      <c r="AM54" s="176"/>
    </row>
    <row r="55" spans="1:39" s="158" customFormat="1" ht="13.15" x14ac:dyDescent="0.4">
      <c r="A55" s="614">
        <v>1965</v>
      </c>
      <c r="B55" s="193">
        <v>169.57</v>
      </c>
      <c r="C55" s="193">
        <v>0.21</v>
      </c>
      <c r="D55" s="197" t="s">
        <v>658</v>
      </c>
      <c r="E55" s="193">
        <v>169.88</v>
      </c>
      <c r="F55" s="193">
        <v>15.17</v>
      </c>
      <c r="G55" s="193">
        <v>154.71</v>
      </c>
      <c r="H55" s="193">
        <v>7.55</v>
      </c>
      <c r="I55" s="193">
        <v>58.54</v>
      </c>
      <c r="J55" s="193">
        <v>57.23</v>
      </c>
      <c r="K55" s="193">
        <v>31.39</v>
      </c>
      <c r="L55" s="194">
        <f t="shared" si="3"/>
        <v>147.16</v>
      </c>
      <c r="N55" s="186">
        <f>59421/1000</f>
        <v>59.420999999999999</v>
      </c>
      <c r="O55" s="187">
        <f>23427/1000</f>
        <v>23.427</v>
      </c>
      <c r="P55" s="187">
        <f>65040/1000</f>
        <v>65.040000000000006</v>
      </c>
      <c r="Q55" s="188">
        <f>1260/1000</f>
        <v>1.26</v>
      </c>
      <c r="R55" s="188">
        <f>1923/1000</f>
        <v>1.923</v>
      </c>
      <c r="S55" s="189">
        <f>151071/1000</f>
        <v>151.071</v>
      </c>
      <c r="U55" s="183">
        <v>19060</v>
      </c>
      <c r="V55" s="184">
        <v>1965</v>
      </c>
      <c r="AC55" s="174">
        <v>1965</v>
      </c>
      <c r="AD55" s="193">
        <v>51.72</v>
      </c>
      <c r="AE55" s="193">
        <v>40.03</v>
      </c>
      <c r="AF55" s="193">
        <v>6.74</v>
      </c>
      <c r="AG55" s="177">
        <v>0</v>
      </c>
      <c r="AH55" s="193">
        <v>4.34</v>
      </c>
      <c r="AI55" s="193">
        <f>4612*0.085985/1000</f>
        <v>0.39656282000000004</v>
      </c>
      <c r="AJ55" s="193"/>
      <c r="AK55" s="193">
        <v>0.21</v>
      </c>
      <c r="AL55" s="193"/>
      <c r="AM55" s="176"/>
    </row>
    <row r="56" spans="1:39" s="158" customFormat="1" ht="13.15" x14ac:dyDescent="0.4">
      <c r="A56" s="614">
        <v>1966</v>
      </c>
      <c r="B56" s="193">
        <v>175.38</v>
      </c>
      <c r="C56" s="193">
        <v>0.22</v>
      </c>
      <c r="D56" s="193">
        <v>0.35</v>
      </c>
      <c r="E56" s="193">
        <v>175.95</v>
      </c>
      <c r="F56" s="193">
        <v>15.3</v>
      </c>
      <c r="G56" s="193">
        <v>160.65</v>
      </c>
      <c r="H56" s="193">
        <v>7.66</v>
      </c>
      <c r="I56" s="193">
        <v>60.11</v>
      </c>
      <c r="J56" s="193">
        <v>59.81</v>
      </c>
      <c r="K56" s="193">
        <v>33.07</v>
      </c>
      <c r="L56" s="194">
        <f t="shared" si="3"/>
        <v>152.99</v>
      </c>
      <c r="N56" s="182"/>
      <c r="U56" s="183">
        <v>19363</v>
      </c>
      <c r="V56" s="184">
        <v>1966</v>
      </c>
      <c r="AC56" s="174">
        <v>1966</v>
      </c>
      <c r="AD56" s="193">
        <v>54.41</v>
      </c>
      <c r="AE56" s="193">
        <v>40.090000000000003</v>
      </c>
      <c r="AF56" s="193">
        <v>7.81</v>
      </c>
      <c r="AG56" s="177">
        <v>0</v>
      </c>
      <c r="AH56" s="193">
        <v>5.8</v>
      </c>
      <c r="AI56" s="193">
        <v>0.39</v>
      </c>
      <c r="AJ56" s="193"/>
      <c r="AK56" s="193">
        <v>0.32</v>
      </c>
      <c r="AL56" s="193"/>
      <c r="AM56" s="176"/>
    </row>
    <row r="57" spans="1:39" s="158" customFormat="1" ht="13.15" x14ac:dyDescent="0.4">
      <c r="A57" s="614">
        <v>1967</v>
      </c>
      <c r="B57" s="193">
        <v>181.14</v>
      </c>
      <c r="C57" s="193">
        <v>0.21</v>
      </c>
      <c r="D57" s="197" t="s">
        <v>659</v>
      </c>
      <c r="E57" s="193">
        <v>181.51</v>
      </c>
      <c r="F57" s="193">
        <v>15.76</v>
      </c>
      <c r="G57" s="193">
        <v>165.75</v>
      </c>
      <c r="H57" s="193">
        <v>7.75</v>
      </c>
      <c r="I57" s="193">
        <v>60.91</v>
      </c>
      <c r="J57" s="193">
        <v>62.35</v>
      </c>
      <c r="K57" s="193">
        <v>34.74</v>
      </c>
      <c r="L57" s="194">
        <f t="shared" si="3"/>
        <v>158</v>
      </c>
      <c r="N57" s="182"/>
      <c r="O57" s="182"/>
      <c r="P57" s="182"/>
      <c r="Q57" s="182"/>
      <c r="R57" s="182"/>
      <c r="S57" s="182"/>
      <c r="U57" s="183">
        <v>19668</v>
      </c>
      <c r="V57" s="184">
        <v>1967</v>
      </c>
      <c r="AC57" s="174">
        <v>1967</v>
      </c>
      <c r="AD57" s="193">
        <v>55.05</v>
      </c>
      <c r="AE57" s="193">
        <v>39.61</v>
      </c>
      <c r="AF57" s="193">
        <v>7.92</v>
      </c>
      <c r="AG57" s="177">
        <v>0</v>
      </c>
      <c r="AH57" s="193">
        <v>6.68</v>
      </c>
      <c r="AI57" s="193">
        <v>0.42</v>
      </c>
      <c r="AJ57" s="193"/>
      <c r="AK57" s="193">
        <v>0.42</v>
      </c>
      <c r="AL57" s="193"/>
      <c r="AM57" s="176"/>
    </row>
    <row r="58" spans="1:39" s="158" customFormat="1" ht="13.15" x14ac:dyDescent="0.4">
      <c r="A58" s="614">
        <v>1968</v>
      </c>
      <c r="B58" s="193">
        <v>193.56</v>
      </c>
      <c r="C58" s="193">
        <v>0.2</v>
      </c>
      <c r="D58" s="197" t="s">
        <v>660</v>
      </c>
      <c r="E58" s="193">
        <v>194.49</v>
      </c>
      <c r="F58" s="193">
        <v>16.29</v>
      </c>
      <c r="G58" s="193">
        <v>178.2</v>
      </c>
      <c r="H58" s="193">
        <v>7.68</v>
      </c>
      <c r="I58" s="193">
        <v>66.150000000000006</v>
      </c>
      <c r="J58" s="193">
        <v>66.66</v>
      </c>
      <c r="K58" s="193">
        <v>37.71</v>
      </c>
      <c r="L58" s="194">
        <f t="shared" si="3"/>
        <v>170.52</v>
      </c>
      <c r="N58" s="182"/>
      <c r="O58" s="182"/>
      <c r="P58" s="182"/>
      <c r="Q58" s="182"/>
      <c r="R58" s="182"/>
      <c r="S58" s="182"/>
      <c r="U58" s="183">
        <v>19964</v>
      </c>
      <c r="V58" s="184">
        <v>1968</v>
      </c>
      <c r="AC58" s="174">
        <v>1968</v>
      </c>
      <c r="AD58" s="193">
        <v>58.22</v>
      </c>
      <c r="AE58" s="193">
        <v>43.33</v>
      </c>
      <c r="AF58" s="193">
        <v>6.85</v>
      </c>
      <c r="AG58" s="177">
        <v>0</v>
      </c>
      <c r="AH58" s="193">
        <v>7.51</v>
      </c>
      <c r="AI58" s="193">
        <v>0.32</v>
      </c>
      <c r="AJ58" s="193"/>
      <c r="AK58" s="193">
        <v>0.21</v>
      </c>
      <c r="AL58" s="193"/>
      <c r="AM58" s="176"/>
    </row>
    <row r="59" spans="1:39" s="158" customFormat="1" ht="13.15" x14ac:dyDescent="0.4">
      <c r="A59" s="614">
        <v>1969</v>
      </c>
      <c r="B59" s="193">
        <v>206.37</v>
      </c>
      <c r="C59" s="193">
        <v>0.2</v>
      </c>
      <c r="D59" s="197" t="s">
        <v>661</v>
      </c>
      <c r="E59" s="193">
        <v>207.15</v>
      </c>
      <c r="F59" s="193">
        <v>17.29</v>
      </c>
      <c r="G59" s="193">
        <v>189.86</v>
      </c>
      <c r="H59" s="193">
        <v>6.88</v>
      </c>
      <c r="I59" s="193">
        <v>70.34</v>
      </c>
      <c r="J59" s="193">
        <v>72.19</v>
      </c>
      <c r="K59" s="193">
        <v>40.450000000000003</v>
      </c>
      <c r="L59" s="194">
        <f t="shared" si="3"/>
        <v>182.98000000000002</v>
      </c>
      <c r="N59" s="182"/>
      <c r="U59" s="183">
        <v>20200</v>
      </c>
      <c r="V59" s="184">
        <v>1969</v>
      </c>
      <c r="AC59" s="174">
        <v>1969</v>
      </c>
      <c r="AD59" s="193">
        <v>62.04</v>
      </c>
      <c r="AE59" s="193">
        <v>44.74</v>
      </c>
      <c r="AF59" s="193">
        <v>8.89</v>
      </c>
      <c r="AG59" s="193">
        <v>0.11</v>
      </c>
      <c r="AH59" s="193">
        <v>7.91</v>
      </c>
      <c r="AI59" s="193">
        <v>0.28000000000000003</v>
      </c>
      <c r="AJ59" s="193"/>
      <c r="AK59" s="193">
        <v>0.11</v>
      </c>
      <c r="AL59" s="193"/>
      <c r="AM59" s="176"/>
    </row>
    <row r="60" spans="1:39" ht="13.15" x14ac:dyDescent="0.4">
      <c r="A60" s="614">
        <v>1970</v>
      </c>
      <c r="B60" s="177">
        <v>215.76</v>
      </c>
      <c r="C60" s="177">
        <v>0.19</v>
      </c>
      <c r="D60" s="177">
        <v>0.55000000000000004</v>
      </c>
      <c r="E60" s="177">
        <v>216.5</v>
      </c>
      <c r="F60" s="177">
        <v>17.5</v>
      </c>
      <c r="G60" s="177">
        <v>199</v>
      </c>
      <c r="H60" s="177">
        <v>6.59</v>
      </c>
      <c r="I60" s="177">
        <v>72.989999999999995</v>
      </c>
      <c r="J60" s="177">
        <v>77.040000000000006</v>
      </c>
      <c r="K60" s="177">
        <v>42.38</v>
      </c>
      <c r="L60" s="196">
        <v>192.41</v>
      </c>
      <c r="M60" s="158"/>
      <c r="N60" s="182"/>
      <c r="O60" s="158"/>
      <c r="P60" s="158"/>
      <c r="Q60" s="158"/>
      <c r="R60" s="158"/>
      <c r="S60" s="158"/>
      <c r="U60" s="198">
        <v>20425</v>
      </c>
      <c r="V60" s="199">
        <v>1970</v>
      </c>
      <c r="AC60" s="174">
        <v>1970</v>
      </c>
      <c r="AD60" s="177">
        <v>63.84</v>
      </c>
      <c r="AE60" s="177">
        <v>43.07</v>
      </c>
      <c r="AF60" s="177">
        <v>13.27</v>
      </c>
      <c r="AG60" s="177">
        <v>0.11</v>
      </c>
      <c r="AH60" s="177">
        <v>7</v>
      </c>
      <c r="AI60" s="177">
        <v>0.39</v>
      </c>
      <c r="AJ60" s="177"/>
      <c r="AK60" s="177">
        <v>0</v>
      </c>
      <c r="AL60" s="177"/>
      <c r="AM60" s="176"/>
    </row>
    <row r="61" spans="1:39" ht="13.15" x14ac:dyDescent="0.4">
      <c r="A61" s="614">
        <v>1971</v>
      </c>
      <c r="B61" s="177">
        <v>222.92</v>
      </c>
      <c r="C61" s="177">
        <v>0.53</v>
      </c>
      <c r="D61" s="177">
        <v>0.12</v>
      </c>
      <c r="E61" s="177">
        <v>223.57</v>
      </c>
      <c r="F61" s="177">
        <v>19.010000000000002</v>
      </c>
      <c r="G61" s="177">
        <v>204.56</v>
      </c>
      <c r="H61" s="177">
        <v>6.6</v>
      </c>
      <c r="I61" s="177">
        <v>73.430000000000007</v>
      </c>
      <c r="J61" s="177">
        <v>80.67</v>
      </c>
      <c r="K61" s="177">
        <v>43.86</v>
      </c>
      <c r="L61" s="196">
        <v>197.96</v>
      </c>
      <c r="M61" s="158"/>
      <c r="N61" s="182"/>
      <c r="O61" s="158"/>
      <c r="P61" s="158"/>
      <c r="Q61" s="158"/>
      <c r="R61" s="158"/>
      <c r="S61" s="158"/>
      <c r="U61" s="198">
        <v>20627</v>
      </c>
      <c r="V61" s="199">
        <v>1971</v>
      </c>
      <c r="AC61" s="174">
        <v>1971</v>
      </c>
      <c r="AD61" s="177">
        <v>66.459999999999994</v>
      </c>
      <c r="AE61" s="177">
        <v>42.42</v>
      </c>
      <c r="AF61" s="177">
        <v>15.63</v>
      </c>
      <c r="AG61" s="177">
        <v>0.64</v>
      </c>
      <c r="AH61" s="177">
        <v>7.37</v>
      </c>
      <c r="AI61" s="177">
        <v>0.28999999999999998</v>
      </c>
      <c r="AJ61" s="177"/>
      <c r="AK61" s="177">
        <v>0.11</v>
      </c>
      <c r="AL61" s="177"/>
      <c r="AM61" s="176"/>
    </row>
    <row r="62" spans="1:39" ht="13.15" x14ac:dyDescent="0.4">
      <c r="A62" s="614">
        <v>1972</v>
      </c>
      <c r="B62" s="177">
        <v>229.45</v>
      </c>
      <c r="C62" s="177">
        <v>0.53</v>
      </c>
      <c r="D62" s="177">
        <v>0.48</v>
      </c>
      <c r="E62" s="177">
        <v>230.46</v>
      </c>
      <c r="F62" s="177">
        <v>18.91</v>
      </c>
      <c r="G62" s="177">
        <v>211.55</v>
      </c>
      <c r="H62" s="177">
        <v>6.37</v>
      </c>
      <c r="I62" s="177">
        <v>73.16</v>
      </c>
      <c r="J62" s="177">
        <v>86.89</v>
      </c>
      <c r="K62" s="177">
        <v>45.13</v>
      </c>
      <c r="L62" s="196">
        <v>205.18</v>
      </c>
      <c r="M62" s="158"/>
      <c r="N62" s="182"/>
      <c r="O62" s="158"/>
      <c r="P62" s="158"/>
      <c r="Q62" s="158"/>
      <c r="R62" s="158"/>
      <c r="S62" s="158"/>
      <c r="U62" s="198">
        <v>20885</v>
      </c>
      <c r="V62" s="199">
        <v>1972</v>
      </c>
      <c r="AC62" s="174">
        <v>1972</v>
      </c>
      <c r="AD62" s="177">
        <v>68.37</v>
      </c>
      <c r="AE62" s="177">
        <v>38.47</v>
      </c>
      <c r="AF62" s="177">
        <v>20.13</v>
      </c>
      <c r="AG62" s="177">
        <v>1.61</v>
      </c>
      <c r="AH62" s="177">
        <v>7.87</v>
      </c>
      <c r="AI62" s="177">
        <v>0.28999999999999998</v>
      </c>
      <c r="AJ62" s="177"/>
      <c r="AK62" s="175" t="s">
        <v>100</v>
      </c>
      <c r="AL62" s="177"/>
      <c r="AM62" s="176"/>
    </row>
    <row r="63" spans="1:39" ht="13.15" x14ac:dyDescent="0.4">
      <c r="A63" s="614">
        <v>1973</v>
      </c>
      <c r="B63" s="177">
        <v>245.42</v>
      </c>
      <c r="C63" s="177">
        <v>0.59</v>
      </c>
      <c r="D63" s="177">
        <v>0.06</v>
      </c>
      <c r="E63" s="177">
        <v>246.07</v>
      </c>
      <c r="F63" s="177">
        <v>19.59</v>
      </c>
      <c r="G63" s="177">
        <v>226.48</v>
      </c>
      <c r="H63" s="177">
        <v>6.67</v>
      </c>
      <c r="I63" s="177">
        <v>80.069999999999993</v>
      </c>
      <c r="J63" s="177">
        <v>91.3</v>
      </c>
      <c r="K63" s="177">
        <v>48.44</v>
      </c>
      <c r="L63" s="196">
        <v>219.81</v>
      </c>
      <c r="M63" s="158"/>
      <c r="N63" s="182"/>
      <c r="O63" s="158"/>
      <c r="P63" s="158"/>
      <c r="Q63" s="158"/>
      <c r="R63" s="158"/>
      <c r="S63" s="158"/>
      <c r="U63" s="198">
        <v>21100</v>
      </c>
      <c r="V63" s="199">
        <v>1973</v>
      </c>
      <c r="AC63" s="174">
        <v>1973</v>
      </c>
      <c r="AD63" s="177">
        <v>70.930000000000007</v>
      </c>
      <c r="AE63" s="177">
        <v>44.3</v>
      </c>
      <c r="AF63" s="177">
        <v>18.09</v>
      </c>
      <c r="AG63" s="177">
        <v>0.64</v>
      </c>
      <c r="AH63" s="177">
        <v>7.46</v>
      </c>
      <c r="AI63" s="177">
        <v>0.33</v>
      </c>
      <c r="AJ63" s="177"/>
      <c r="AK63" s="177">
        <v>0.11</v>
      </c>
      <c r="AL63" s="177"/>
      <c r="AM63" s="176"/>
    </row>
    <row r="64" spans="1:39" ht="13.15" x14ac:dyDescent="0.4">
      <c r="A64" s="614">
        <v>1974</v>
      </c>
      <c r="B64" s="177">
        <v>237.21</v>
      </c>
      <c r="C64" s="177">
        <v>0.6</v>
      </c>
      <c r="D64" s="177">
        <v>0.05</v>
      </c>
      <c r="E64" s="177">
        <v>237.86</v>
      </c>
      <c r="F64" s="177">
        <v>18.22</v>
      </c>
      <c r="G64" s="177">
        <v>219.64</v>
      </c>
      <c r="H64" s="177">
        <v>6.12</v>
      </c>
      <c r="I64" s="177">
        <v>75.81</v>
      </c>
      <c r="J64" s="177">
        <v>92.63</v>
      </c>
      <c r="K64" s="177">
        <v>45.08</v>
      </c>
      <c r="L64" s="196">
        <v>213.52</v>
      </c>
      <c r="M64" s="158"/>
      <c r="N64" s="182"/>
      <c r="O64" s="158"/>
      <c r="P64" s="158"/>
      <c r="Q64" s="158"/>
      <c r="R64" s="158"/>
      <c r="S64" s="158"/>
      <c r="U64" s="198">
        <v>21286</v>
      </c>
      <c r="V64" s="199">
        <v>1974</v>
      </c>
      <c r="AC64" s="174">
        <v>1974</v>
      </c>
      <c r="AD64" s="177">
        <v>69.010000000000005</v>
      </c>
      <c r="AE64" s="177">
        <v>38.71</v>
      </c>
      <c r="AF64" s="177">
        <v>18.41</v>
      </c>
      <c r="AG64" s="177">
        <v>2.46</v>
      </c>
      <c r="AH64" s="177">
        <v>8.9700000000000006</v>
      </c>
      <c r="AI64" s="177">
        <v>0.35</v>
      </c>
      <c r="AJ64" s="177"/>
      <c r="AK64" s="177">
        <v>0.11</v>
      </c>
      <c r="AL64" s="177"/>
      <c r="AM64" s="176"/>
    </row>
    <row r="65" spans="1:39" ht="13.15" x14ac:dyDescent="0.4">
      <c r="A65" s="614">
        <v>1975</v>
      </c>
      <c r="B65" s="177">
        <v>237.76</v>
      </c>
      <c r="C65" s="177">
        <v>0.7</v>
      </c>
      <c r="D65" s="177">
        <v>0.08</v>
      </c>
      <c r="E65" s="177">
        <v>238.54</v>
      </c>
      <c r="F65" s="177">
        <v>19.47</v>
      </c>
      <c r="G65" s="177">
        <v>219.07</v>
      </c>
      <c r="H65" s="177">
        <v>6.29</v>
      </c>
      <c r="I65" s="177">
        <v>75.36</v>
      </c>
      <c r="J65" s="177">
        <v>89.21</v>
      </c>
      <c r="K65" s="177">
        <v>48.21</v>
      </c>
      <c r="L65" s="196">
        <v>212.78</v>
      </c>
      <c r="M65" s="158"/>
      <c r="N65" s="182"/>
      <c r="O65" s="158"/>
      <c r="P65" s="158"/>
      <c r="Q65" s="158"/>
      <c r="R65" s="158"/>
      <c r="S65" s="158"/>
      <c r="U65" s="198">
        <v>21520</v>
      </c>
      <c r="V65" s="199">
        <v>1975</v>
      </c>
      <c r="AC65" s="174">
        <v>1975</v>
      </c>
      <c r="AD65" s="177">
        <v>66.25</v>
      </c>
      <c r="AE65" s="177">
        <v>41.85</v>
      </c>
      <c r="AF65" s="177">
        <v>13.7</v>
      </c>
      <c r="AG65" s="177">
        <v>2.14</v>
      </c>
      <c r="AH65" s="177">
        <v>8.1199999999999992</v>
      </c>
      <c r="AI65" s="177">
        <v>0.33</v>
      </c>
      <c r="AJ65" s="177"/>
      <c r="AK65" s="177">
        <v>0.11</v>
      </c>
      <c r="AL65" s="177"/>
      <c r="AM65" s="176"/>
    </row>
    <row r="66" spans="1:39" ht="13.15" x14ac:dyDescent="0.4">
      <c r="A66" s="614">
        <v>1976</v>
      </c>
      <c r="B66" s="177">
        <v>240.22</v>
      </c>
      <c r="C66" s="177">
        <v>0.61</v>
      </c>
      <c r="D66" s="177">
        <v>-0.1</v>
      </c>
      <c r="E66" s="177">
        <v>240.73</v>
      </c>
      <c r="F66" s="177">
        <v>18.73</v>
      </c>
      <c r="G66" s="177">
        <v>222</v>
      </c>
      <c r="H66" s="177">
        <v>6.39</v>
      </c>
      <c r="I66" s="177">
        <v>80.84</v>
      </c>
      <c r="J66" s="177">
        <v>85.12</v>
      </c>
      <c r="K66" s="177">
        <v>49.65</v>
      </c>
      <c r="L66" s="196">
        <v>215.61</v>
      </c>
      <c r="M66" s="158"/>
      <c r="N66" s="182"/>
      <c r="O66" s="158"/>
      <c r="P66" s="158"/>
      <c r="Q66" s="158"/>
      <c r="R66" s="158"/>
      <c r="S66" s="158"/>
      <c r="U66" s="198">
        <v>21777</v>
      </c>
      <c r="V66" s="199">
        <v>1976</v>
      </c>
      <c r="AC66" s="174">
        <v>1976</v>
      </c>
      <c r="AD66" s="177">
        <v>66.97</v>
      </c>
      <c r="AE66" s="177">
        <v>44.49</v>
      </c>
      <c r="AF66" s="177">
        <v>10.92</v>
      </c>
      <c r="AG66" s="177">
        <v>1.61</v>
      </c>
      <c r="AH66" s="177">
        <v>9.56</v>
      </c>
      <c r="AI66" s="177">
        <v>0.39</v>
      </c>
      <c r="AJ66" s="177"/>
      <c r="AK66" s="177">
        <v>0</v>
      </c>
      <c r="AL66" s="177"/>
      <c r="AM66" s="176"/>
    </row>
    <row r="67" spans="1:39" ht="13.15" x14ac:dyDescent="0.4">
      <c r="A67" s="614">
        <v>1977</v>
      </c>
      <c r="B67" s="177">
        <v>246.82</v>
      </c>
      <c r="C67" s="177">
        <v>0.74</v>
      </c>
      <c r="D67" s="177">
        <v>0</v>
      </c>
      <c r="E67" s="177">
        <v>247.56</v>
      </c>
      <c r="F67" s="177">
        <v>20.76</v>
      </c>
      <c r="G67" s="177">
        <v>226.8</v>
      </c>
      <c r="H67" s="177">
        <v>6.41</v>
      </c>
      <c r="I67" s="177">
        <v>82.06</v>
      </c>
      <c r="J67" s="177">
        <v>85.9</v>
      </c>
      <c r="K67" s="177">
        <v>52.43</v>
      </c>
      <c r="L67" s="196">
        <v>220.39</v>
      </c>
      <c r="M67" s="158"/>
      <c r="N67" s="182"/>
      <c r="O67" s="158"/>
      <c r="P67" s="158"/>
      <c r="Q67" s="158"/>
      <c r="R67" s="158"/>
      <c r="S67" s="158"/>
      <c r="U67" s="198">
        <v>22029</v>
      </c>
      <c r="V67" s="199">
        <v>1977</v>
      </c>
      <c r="AC67" s="174">
        <v>1977</v>
      </c>
      <c r="AD67" s="177">
        <v>69.319999999999993</v>
      </c>
      <c r="AE67" s="177">
        <v>45.71</v>
      </c>
      <c r="AF67" s="177">
        <v>11.35</v>
      </c>
      <c r="AG67" s="177">
        <v>1.28</v>
      </c>
      <c r="AH67" s="177">
        <v>10.64</v>
      </c>
      <c r="AI67" s="177">
        <v>0.34</v>
      </c>
      <c r="AJ67" s="177"/>
      <c r="AK67" s="177">
        <v>0</v>
      </c>
      <c r="AL67" s="177"/>
      <c r="AM67" s="176"/>
    </row>
    <row r="68" spans="1:39" ht="13.15" x14ac:dyDescent="0.4">
      <c r="A68" s="614">
        <v>1978</v>
      </c>
      <c r="B68" s="177">
        <v>252.65</v>
      </c>
      <c r="C68" s="177">
        <v>0.66</v>
      </c>
      <c r="D68" s="177">
        <v>-0.08</v>
      </c>
      <c r="E68" s="177">
        <v>253.23</v>
      </c>
      <c r="F68" s="177">
        <v>21.81</v>
      </c>
      <c r="G68" s="177">
        <v>231.42</v>
      </c>
      <c r="H68" s="177">
        <v>6.52</v>
      </c>
      <c r="I68" s="177">
        <v>84</v>
      </c>
      <c r="J68" s="177">
        <v>85.8</v>
      </c>
      <c r="K68" s="177">
        <v>55.1</v>
      </c>
      <c r="L68" s="196">
        <v>224.9</v>
      </c>
      <c r="M68" s="158"/>
      <c r="N68" s="182"/>
      <c r="O68" s="158"/>
      <c r="P68" s="158"/>
      <c r="Q68" s="158"/>
      <c r="R68" s="158"/>
      <c r="S68" s="158"/>
      <c r="U68" s="198">
        <v>22297</v>
      </c>
      <c r="V68" s="199">
        <v>1978</v>
      </c>
      <c r="AC68" s="174">
        <v>1978</v>
      </c>
      <c r="AD68" s="177">
        <v>69.64</v>
      </c>
      <c r="AE68" s="177">
        <v>46.05</v>
      </c>
      <c r="AF68" s="177">
        <v>12.31</v>
      </c>
      <c r="AG68" s="177">
        <v>0.86</v>
      </c>
      <c r="AH68" s="177">
        <v>9.9600000000000009</v>
      </c>
      <c r="AI68" s="177">
        <v>0.35</v>
      </c>
      <c r="AJ68" s="177"/>
      <c r="AK68" s="177">
        <v>0.11</v>
      </c>
      <c r="AL68" s="177"/>
      <c r="AM68" s="176"/>
    </row>
    <row r="69" spans="1:39" ht="13.15" x14ac:dyDescent="0.4">
      <c r="A69" s="614">
        <v>1979</v>
      </c>
      <c r="B69" s="177">
        <v>264.33999999999997</v>
      </c>
      <c r="C69" s="177">
        <v>0.63</v>
      </c>
      <c r="D69" s="177">
        <v>0</v>
      </c>
      <c r="E69" s="177">
        <v>264.97000000000003</v>
      </c>
      <c r="F69" s="177">
        <v>22.97</v>
      </c>
      <c r="G69" s="177">
        <v>242</v>
      </c>
      <c r="H69" s="177">
        <v>6.78</v>
      </c>
      <c r="I69" s="177">
        <v>87.55</v>
      </c>
      <c r="J69" s="177">
        <v>89.67</v>
      </c>
      <c r="K69" s="177">
        <v>58</v>
      </c>
      <c r="L69" s="196">
        <v>235.22</v>
      </c>
      <c r="M69" s="158"/>
      <c r="N69" s="182"/>
      <c r="O69" s="158"/>
      <c r="P69" s="158"/>
      <c r="Q69" s="158"/>
      <c r="R69" s="158"/>
      <c r="S69" s="158"/>
      <c r="U69" s="198">
        <v>22531</v>
      </c>
      <c r="V69" s="199">
        <v>1979</v>
      </c>
      <c r="AC69" s="174">
        <v>1979</v>
      </c>
      <c r="AD69" s="177">
        <v>72.8</v>
      </c>
      <c r="AE69" s="177">
        <v>50.1</v>
      </c>
      <c r="AF69" s="177">
        <v>11.45</v>
      </c>
      <c r="AG69" s="177">
        <v>0.54</v>
      </c>
      <c r="AH69" s="177">
        <v>10.23</v>
      </c>
      <c r="AI69" s="177">
        <v>0.37</v>
      </c>
      <c r="AJ69" s="177"/>
      <c r="AK69" s="177">
        <v>0.11</v>
      </c>
      <c r="AL69" s="177"/>
      <c r="AM69" s="176"/>
    </row>
    <row r="70" spans="1:39" ht="13.15" x14ac:dyDescent="0.4">
      <c r="A70" s="614">
        <v>1980</v>
      </c>
      <c r="B70" s="177">
        <v>252.02</v>
      </c>
      <c r="C70" s="177">
        <v>0.61</v>
      </c>
      <c r="D70" s="177">
        <v>0</v>
      </c>
      <c r="E70" s="177">
        <v>252.63</v>
      </c>
      <c r="F70" s="177">
        <v>21.53</v>
      </c>
      <c r="G70" s="177">
        <v>231.11</v>
      </c>
      <c r="H70" s="177">
        <v>6.86</v>
      </c>
      <c r="I70" s="177">
        <v>79.73</v>
      </c>
      <c r="J70" s="177">
        <v>86.11</v>
      </c>
      <c r="K70" s="177">
        <v>58.41</v>
      </c>
      <c r="L70" s="196">
        <v>224.25</v>
      </c>
      <c r="M70" s="158"/>
      <c r="N70" s="182"/>
      <c r="O70" s="158"/>
      <c r="P70" s="158"/>
      <c r="Q70" s="158"/>
      <c r="R70" s="158"/>
      <c r="S70" s="158"/>
      <c r="U70" s="198">
        <v>22603</v>
      </c>
      <c r="V70" s="199">
        <v>1980</v>
      </c>
      <c r="AC70" s="174">
        <v>1980</v>
      </c>
      <c r="AD70" s="177">
        <v>69.459999999999994</v>
      </c>
      <c r="AE70" s="177">
        <v>51.01</v>
      </c>
      <c r="AF70" s="177">
        <v>7.67</v>
      </c>
      <c r="AG70" s="177">
        <v>0.42</v>
      </c>
      <c r="AH70" s="177">
        <v>9.91</v>
      </c>
      <c r="AI70" s="177">
        <v>0.34</v>
      </c>
      <c r="AJ70" s="177"/>
      <c r="AK70" s="177">
        <v>0.11</v>
      </c>
      <c r="AL70" s="177"/>
      <c r="AM70" s="176"/>
    </row>
    <row r="71" spans="1:39" ht="13.15" x14ac:dyDescent="0.4">
      <c r="A71" s="614">
        <v>1981</v>
      </c>
      <c r="B71" s="177">
        <v>246.6</v>
      </c>
      <c r="C71" s="177">
        <v>0.74</v>
      </c>
      <c r="D71" s="177">
        <v>0</v>
      </c>
      <c r="E71" s="177">
        <v>247.34</v>
      </c>
      <c r="F71" s="177">
        <v>20.13</v>
      </c>
      <c r="G71" s="177">
        <v>227.21</v>
      </c>
      <c r="H71" s="177">
        <v>6.86</v>
      </c>
      <c r="I71" s="177">
        <v>77.03</v>
      </c>
      <c r="J71" s="177">
        <v>84.44</v>
      </c>
      <c r="K71" s="177">
        <v>58.88</v>
      </c>
      <c r="L71" s="196">
        <v>220.35</v>
      </c>
      <c r="M71" s="158"/>
      <c r="N71" s="182"/>
      <c r="O71" s="158"/>
      <c r="P71" s="158"/>
      <c r="Q71" s="158"/>
      <c r="R71" s="158"/>
      <c r="S71" s="158"/>
      <c r="U71" s="198">
        <v>22789</v>
      </c>
      <c r="V71" s="199">
        <v>1981</v>
      </c>
      <c r="AC71" s="174">
        <v>1981</v>
      </c>
      <c r="AD71" s="177">
        <v>65.98</v>
      </c>
      <c r="AE71" s="177">
        <v>49.64</v>
      </c>
      <c r="AF71" s="177">
        <v>5.46</v>
      </c>
      <c r="AG71" s="177">
        <v>0.21</v>
      </c>
      <c r="AH71" s="177">
        <v>10.18</v>
      </c>
      <c r="AI71" s="177">
        <v>0.38</v>
      </c>
      <c r="AJ71" s="177"/>
      <c r="AK71" s="177">
        <v>0.11</v>
      </c>
      <c r="AL71" s="177"/>
      <c r="AM71" s="176"/>
    </row>
    <row r="72" spans="1:39" ht="13.15" x14ac:dyDescent="0.4">
      <c r="A72" s="614">
        <v>1982</v>
      </c>
      <c r="B72" s="177">
        <v>242.48</v>
      </c>
      <c r="C72" s="177">
        <v>0.82</v>
      </c>
      <c r="D72" s="177">
        <v>0</v>
      </c>
      <c r="E72" s="177">
        <v>243.3</v>
      </c>
      <c r="F72" s="177">
        <v>20.48</v>
      </c>
      <c r="G72" s="177">
        <v>222.82</v>
      </c>
      <c r="H72" s="177">
        <v>6.81</v>
      </c>
      <c r="I72" s="177">
        <v>73.91</v>
      </c>
      <c r="J72" s="177">
        <v>82.79</v>
      </c>
      <c r="K72" s="177">
        <v>59.31</v>
      </c>
      <c r="L72" s="196">
        <v>216.01</v>
      </c>
      <c r="M72" s="158"/>
      <c r="N72" s="182"/>
      <c r="O72" s="158"/>
      <c r="P72" s="158"/>
      <c r="Q72" s="158"/>
      <c r="R72" s="158"/>
      <c r="S72" s="158"/>
      <c r="U72" s="198">
        <v>22951</v>
      </c>
      <c r="V72" s="199">
        <v>1982</v>
      </c>
      <c r="AC72" s="174">
        <v>1982</v>
      </c>
      <c r="AD72" s="177">
        <v>65.98</v>
      </c>
      <c r="AE72" s="177">
        <v>46.75</v>
      </c>
      <c r="AF72" s="177">
        <v>6.64</v>
      </c>
      <c r="AG72" s="177">
        <v>0.21</v>
      </c>
      <c r="AH72" s="177">
        <v>11.88</v>
      </c>
      <c r="AI72" s="177">
        <v>0.39</v>
      </c>
      <c r="AJ72" s="177"/>
      <c r="AK72" s="177">
        <v>0.11</v>
      </c>
      <c r="AL72" s="177"/>
      <c r="AM72" s="176"/>
    </row>
    <row r="73" spans="1:39" ht="13.15" x14ac:dyDescent="0.4">
      <c r="A73" s="614">
        <v>1983</v>
      </c>
      <c r="B73" s="177">
        <v>246.15</v>
      </c>
      <c r="C73" s="177">
        <v>1.1499999999999999</v>
      </c>
      <c r="D73" s="177">
        <v>0</v>
      </c>
      <c r="E73" s="177">
        <v>247.3</v>
      </c>
      <c r="F73" s="177">
        <v>21.21</v>
      </c>
      <c r="G73" s="177">
        <v>226.09</v>
      </c>
      <c r="H73" s="177">
        <v>6.69</v>
      </c>
      <c r="I73" s="177">
        <v>74.17</v>
      </c>
      <c r="J73" s="177">
        <v>82.95</v>
      </c>
      <c r="K73" s="177">
        <v>62.28</v>
      </c>
      <c r="L73" s="196">
        <v>219.4</v>
      </c>
      <c r="M73" s="158"/>
      <c r="N73" s="182"/>
      <c r="O73" s="158"/>
      <c r="P73" s="158"/>
      <c r="Q73" s="158"/>
      <c r="R73" s="158"/>
      <c r="S73" s="158"/>
      <c r="U73" s="198">
        <v>23180</v>
      </c>
      <c r="V73" s="199">
        <v>1983</v>
      </c>
      <c r="AC73" s="174">
        <v>1983</v>
      </c>
      <c r="AD73" s="177">
        <v>66.37</v>
      </c>
      <c r="AE73" s="177">
        <v>47.16</v>
      </c>
      <c r="AF73" s="177">
        <v>5.14</v>
      </c>
      <c r="AG73" s="177">
        <v>0.21</v>
      </c>
      <c r="AH73" s="177">
        <v>13.47</v>
      </c>
      <c r="AI73" s="177">
        <v>0.39</v>
      </c>
      <c r="AJ73" s="177"/>
      <c r="AK73" s="177">
        <v>0</v>
      </c>
      <c r="AL73" s="177"/>
      <c r="AM73" s="176"/>
    </row>
    <row r="74" spans="1:39" ht="13.15" x14ac:dyDescent="0.4">
      <c r="A74" s="614">
        <v>1984</v>
      </c>
      <c r="B74" s="177">
        <v>251.47</v>
      </c>
      <c r="C74" s="177">
        <v>0.55000000000000004</v>
      </c>
      <c r="D74" s="177">
        <v>0</v>
      </c>
      <c r="E74" s="177">
        <v>252.02</v>
      </c>
      <c r="F74" s="177">
        <v>21.06</v>
      </c>
      <c r="G74" s="177">
        <v>230.96</v>
      </c>
      <c r="H74" s="177">
        <v>6.64</v>
      </c>
      <c r="I74" s="177">
        <v>78.64</v>
      </c>
      <c r="J74" s="177">
        <v>83.9</v>
      </c>
      <c r="K74" s="177">
        <v>61.78</v>
      </c>
      <c r="L74" s="196">
        <v>224.32</v>
      </c>
      <c r="M74" s="158"/>
      <c r="N74" s="182"/>
      <c r="O74" s="158"/>
      <c r="P74" s="158"/>
      <c r="Q74" s="158"/>
      <c r="R74" s="158"/>
      <c r="S74" s="158"/>
      <c r="U74" s="198">
        <v>23431</v>
      </c>
      <c r="V74" s="199">
        <v>1984</v>
      </c>
      <c r="AC74" s="174">
        <v>1984</v>
      </c>
      <c r="AD74" s="177">
        <v>69.180000000000007</v>
      </c>
      <c r="AE74" s="177">
        <v>31.07</v>
      </c>
      <c r="AF74" s="177">
        <v>22.8</v>
      </c>
      <c r="AG74" s="177">
        <v>0.42</v>
      </c>
      <c r="AH74" s="177">
        <v>14.5</v>
      </c>
      <c r="AI74" s="177">
        <v>0.39</v>
      </c>
      <c r="AJ74" s="177"/>
      <c r="AK74" s="177">
        <v>0</v>
      </c>
      <c r="AL74" s="177"/>
      <c r="AM74" s="176"/>
    </row>
    <row r="75" spans="1:39" ht="13.15" x14ac:dyDescent="0.4">
      <c r="A75" s="614">
        <v>1985</v>
      </c>
      <c r="B75" s="177">
        <v>263.56</v>
      </c>
      <c r="C75" s="177">
        <v>0.92</v>
      </c>
      <c r="D75" s="177">
        <v>0</v>
      </c>
      <c r="E75" s="177">
        <v>264.48</v>
      </c>
      <c r="F75" s="177">
        <v>22.63</v>
      </c>
      <c r="G75" s="177">
        <v>241.85</v>
      </c>
      <c r="H75" s="177">
        <v>7.76</v>
      </c>
      <c r="I75" s="177">
        <v>79.53</v>
      </c>
      <c r="J75" s="177">
        <v>88.23</v>
      </c>
      <c r="K75" s="177">
        <v>66.33</v>
      </c>
      <c r="L75" s="196">
        <v>234.09</v>
      </c>
      <c r="M75" s="158"/>
      <c r="N75" s="182"/>
      <c r="O75" s="158"/>
      <c r="P75" s="158"/>
      <c r="Q75" s="158"/>
      <c r="R75" s="158"/>
      <c r="S75" s="158"/>
      <c r="U75" s="198">
        <v>23665</v>
      </c>
      <c r="V75" s="199">
        <v>1985</v>
      </c>
      <c r="AC75" s="174">
        <v>1985</v>
      </c>
      <c r="AD75" s="177">
        <v>71.540000000000006</v>
      </c>
      <c r="AE75" s="177">
        <v>42.81</v>
      </c>
      <c r="AF75" s="177">
        <v>11.35</v>
      </c>
      <c r="AG75" s="177">
        <v>0.54</v>
      </c>
      <c r="AH75" s="177">
        <v>16.5</v>
      </c>
      <c r="AI75" s="177">
        <v>0.34</v>
      </c>
      <c r="AJ75" s="177"/>
      <c r="AK75" s="177">
        <v>0</v>
      </c>
      <c r="AL75" s="177"/>
      <c r="AM75" s="176"/>
    </row>
    <row r="76" spans="1:39" ht="13.5" thickBot="1" x14ac:dyDescent="0.45">
      <c r="A76" s="614" t="s">
        <v>1035</v>
      </c>
      <c r="B76" s="177">
        <v>278.48</v>
      </c>
      <c r="C76" s="177">
        <v>0</v>
      </c>
      <c r="D76" s="177">
        <v>4.26</v>
      </c>
      <c r="E76" s="177">
        <v>282.73</v>
      </c>
      <c r="F76" s="177">
        <v>22.91</v>
      </c>
      <c r="G76" s="177">
        <v>259.82</v>
      </c>
      <c r="H76" s="177">
        <v>9.51</v>
      </c>
      <c r="I76" s="177">
        <v>88.8</v>
      </c>
      <c r="J76" s="177">
        <v>91.83</v>
      </c>
      <c r="K76" s="177">
        <v>69.680000000000007</v>
      </c>
      <c r="L76" s="196">
        <v>250.31</v>
      </c>
      <c r="M76" s="158"/>
      <c r="N76" s="182"/>
      <c r="O76" s="158"/>
      <c r="P76" s="158"/>
      <c r="Q76" s="158"/>
      <c r="U76" s="202">
        <v>23915</v>
      </c>
      <c r="V76" s="199">
        <v>1986</v>
      </c>
      <c r="AC76" s="200" t="s">
        <v>754</v>
      </c>
      <c r="AD76" s="236">
        <v>70.5</v>
      </c>
      <c r="AE76" s="201">
        <v>50.37</v>
      </c>
      <c r="AF76" s="201">
        <v>5.14</v>
      </c>
      <c r="AG76" s="201">
        <v>0.19</v>
      </c>
      <c r="AH76" s="201">
        <v>14.44</v>
      </c>
      <c r="AI76" s="201">
        <v>0.36</v>
      </c>
      <c r="AJ76" s="201"/>
      <c r="AK76" s="201">
        <v>0</v>
      </c>
      <c r="AL76" s="201"/>
      <c r="AM76" s="237"/>
    </row>
    <row r="77" spans="1:39" ht="13.5" thickTop="1" x14ac:dyDescent="0.4">
      <c r="A77" s="614">
        <v>1987</v>
      </c>
      <c r="B77" s="177">
        <v>279.70999999999998</v>
      </c>
      <c r="C77" s="177">
        <v>0</v>
      </c>
      <c r="D77" s="177">
        <v>11.64</v>
      </c>
      <c r="E77" s="177">
        <v>291.33999999999997</v>
      </c>
      <c r="F77" s="177">
        <v>22.96</v>
      </c>
      <c r="G77" s="177">
        <v>268.38</v>
      </c>
      <c r="H77" s="177">
        <v>9.49</v>
      </c>
      <c r="I77" s="177">
        <v>93.14</v>
      </c>
      <c r="J77" s="177">
        <v>93.25</v>
      </c>
      <c r="K77" s="177">
        <v>72.5</v>
      </c>
      <c r="L77" s="196">
        <v>258.89</v>
      </c>
      <c r="M77" s="158"/>
      <c r="N77" s="182"/>
      <c r="O77" s="158"/>
      <c r="P77" s="158"/>
      <c r="Q77" s="158"/>
      <c r="R77" s="158"/>
      <c r="S77" s="158"/>
      <c r="U77" s="198">
        <v>24481</v>
      </c>
      <c r="V77" s="199">
        <v>1987</v>
      </c>
      <c r="AC77" s="174" t="s">
        <v>754</v>
      </c>
      <c r="AD77" s="177">
        <v>74.31</v>
      </c>
      <c r="AE77" s="177">
        <v>51.58</v>
      </c>
      <c r="AF77" s="177">
        <v>6.3</v>
      </c>
      <c r="AG77" s="177">
        <v>0.91</v>
      </c>
      <c r="AH77" s="177">
        <v>14.44</v>
      </c>
      <c r="AI77" s="177">
        <v>0.36</v>
      </c>
      <c r="AJ77" s="177">
        <v>0</v>
      </c>
      <c r="AK77" s="177">
        <v>0</v>
      </c>
      <c r="AL77" s="177">
        <v>0.72</v>
      </c>
      <c r="AM77" s="176"/>
    </row>
    <row r="78" spans="1:39" ht="13.15" x14ac:dyDescent="0.4">
      <c r="A78" s="614">
        <v>1988</v>
      </c>
      <c r="B78" s="177">
        <v>285.70999999999998</v>
      </c>
      <c r="C78" s="177">
        <v>0</v>
      </c>
      <c r="D78" s="177">
        <v>12.14</v>
      </c>
      <c r="E78" s="177">
        <v>297.85000000000002</v>
      </c>
      <c r="F78" s="177">
        <v>23.35</v>
      </c>
      <c r="G78" s="177">
        <v>274.5</v>
      </c>
      <c r="H78" s="177">
        <v>9.16</v>
      </c>
      <c r="I78" s="177">
        <v>97.14</v>
      </c>
      <c r="J78" s="177">
        <v>92.36</v>
      </c>
      <c r="K78" s="177">
        <v>75.84</v>
      </c>
      <c r="L78" s="196">
        <v>265.33999999999997</v>
      </c>
      <c r="M78" s="158"/>
      <c r="N78" s="182"/>
      <c r="O78" s="158"/>
      <c r="P78" s="158"/>
      <c r="Q78" s="158"/>
      <c r="R78" s="158"/>
      <c r="S78" s="158"/>
      <c r="U78" s="198">
        <v>24743</v>
      </c>
      <c r="V78" s="199">
        <v>1988</v>
      </c>
      <c r="AC78" s="174">
        <v>1988</v>
      </c>
      <c r="AD78" s="177">
        <v>75.569999999999993</v>
      </c>
      <c r="AE78" s="177">
        <v>49.83</v>
      </c>
      <c r="AF78" s="177">
        <v>7.01</v>
      </c>
      <c r="AG78" s="177">
        <v>0.97</v>
      </c>
      <c r="AH78" s="177">
        <v>16.57</v>
      </c>
      <c r="AI78" s="177">
        <v>0.42</v>
      </c>
      <c r="AJ78" s="177">
        <v>0</v>
      </c>
      <c r="AK78" s="177">
        <v>0</v>
      </c>
      <c r="AL78" s="177">
        <v>0.77</v>
      </c>
      <c r="AM78" s="176"/>
    </row>
    <row r="79" spans="1:39" ht="13.15" x14ac:dyDescent="0.4">
      <c r="A79" s="614">
        <v>1989</v>
      </c>
      <c r="B79" s="177">
        <v>291.75</v>
      </c>
      <c r="C79" s="177">
        <v>0</v>
      </c>
      <c r="D79" s="177">
        <v>12.63</v>
      </c>
      <c r="E79" s="177">
        <v>304.38</v>
      </c>
      <c r="F79" s="177">
        <v>24.98</v>
      </c>
      <c r="G79" s="177">
        <v>279.39999999999998</v>
      </c>
      <c r="H79" s="177">
        <v>9</v>
      </c>
      <c r="I79" s="177">
        <v>99.42</v>
      </c>
      <c r="J79" s="177">
        <v>92.27</v>
      </c>
      <c r="K79" s="177">
        <v>78.709999999999994</v>
      </c>
      <c r="L79" s="196">
        <v>270.39999999999998</v>
      </c>
      <c r="M79" s="158"/>
      <c r="N79" s="182"/>
      <c r="O79" s="158"/>
      <c r="P79" s="158"/>
      <c r="Q79" s="158"/>
      <c r="R79" s="158"/>
      <c r="S79" s="158"/>
      <c r="U79" s="198">
        <v>24990</v>
      </c>
      <c r="V79" s="199">
        <v>1989</v>
      </c>
      <c r="AC79" s="174">
        <v>1989</v>
      </c>
      <c r="AD79" s="177">
        <v>75.27</v>
      </c>
      <c r="AE79" s="177">
        <v>48.59</v>
      </c>
      <c r="AF79" s="177">
        <v>7.11</v>
      </c>
      <c r="AG79" s="177">
        <v>0.54</v>
      </c>
      <c r="AH79" s="177">
        <v>17.739999999999998</v>
      </c>
      <c r="AI79" s="177">
        <v>0.41</v>
      </c>
      <c r="AJ79" s="177">
        <v>0</v>
      </c>
      <c r="AK79" s="177">
        <v>0</v>
      </c>
      <c r="AL79" s="177">
        <v>0.88</v>
      </c>
      <c r="AM79" s="176"/>
    </row>
    <row r="80" spans="1:39" ht="13.15" x14ac:dyDescent="0.4">
      <c r="A80" s="614">
        <v>1990</v>
      </c>
      <c r="B80" s="177">
        <v>297.5</v>
      </c>
      <c r="C80" s="177">
        <v>0</v>
      </c>
      <c r="D80" s="177">
        <v>11.91</v>
      </c>
      <c r="E80" s="177">
        <v>309.41000000000003</v>
      </c>
      <c r="F80" s="177">
        <v>24.99</v>
      </c>
      <c r="G80" s="177">
        <v>284.42</v>
      </c>
      <c r="H80" s="177">
        <v>9.99</v>
      </c>
      <c r="I80" s="177">
        <v>100.64</v>
      </c>
      <c r="J80" s="177">
        <v>93.79</v>
      </c>
      <c r="K80" s="177">
        <v>80</v>
      </c>
      <c r="L80" s="196">
        <v>274.43</v>
      </c>
      <c r="M80" s="158"/>
      <c r="N80" s="182"/>
      <c r="O80" s="158"/>
      <c r="P80" s="158"/>
      <c r="Q80" s="158"/>
      <c r="R80" s="158"/>
      <c r="S80" s="158"/>
      <c r="U80" s="198">
        <v>25268</v>
      </c>
      <c r="V80" s="199">
        <v>1990</v>
      </c>
      <c r="AC80" s="174">
        <v>1990</v>
      </c>
      <c r="AD80" s="177">
        <v>76.34</v>
      </c>
      <c r="AE80" s="177">
        <v>49.84</v>
      </c>
      <c r="AF80" s="177">
        <v>8.4</v>
      </c>
      <c r="AG80" s="177">
        <v>0.56000000000000005</v>
      </c>
      <c r="AH80" s="177">
        <v>16.260000000000002</v>
      </c>
      <c r="AI80" s="177">
        <v>0.44</v>
      </c>
      <c r="AJ80" s="177">
        <v>0</v>
      </c>
      <c r="AK80" s="177">
        <v>0</v>
      </c>
      <c r="AL80" s="177">
        <v>0.84</v>
      </c>
      <c r="AM80" s="176"/>
    </row>
    <row r="81" spans="1:39" ht="13.15" x14ac:dyDescent="0.4">
      <c r="A81" s="614">
        <v>1991</v>
      </c>
      <c r="B81" s="177">
        <v>300.64999999999998</v>
      </c>
      <c r="C81" s="177">
        <v>0</v>
      </c>
      <c r="D81" s="177">
        <v>16.41</v>
      </c>
      <c r="E81" s="177">
        <v>317.06</v>
      </c>
      <c r="F81" s="177">
        <v>26.22</v>
      </c>
      <c r="G81" s="177">
        <v>290.83999999999997</v>
      </c>
      <c r="H81" s="177">
        <v>9.7899999999999991</v>
      </c>
      <c r="I81" s="177">
        <v>99.57</v>
      </c>
      <c r="J81" s="177">
        <v>98.1</v>
      </c>
      <c r="K81" s="177">
        <v>83.38</v>
      </c>
      <c r="L81" s="196">
        <v>281.05</v>
      </c>
      <c r="M81" s="158"/>
      <c r="N81" s="182"/>
      <c r="O81" s="158"/>
      <c r="P81" s="158"/>
      <c r="Q81" s="158"/>
      <c r="R81" s="158"/>
      <c r="S81" s="158"/>
      <c r="U81" s="198">
        <v>25503</v>
      </c>
      <c r="V81" s="199">
        <v>1991</v>
      </c>
      <c r="AC81" s="174">
        <v>1991</v>
      </c>
      <c r="AD81" s="177">
        <v>76.87</v>
      </c>
      <c r="AE81" s="177">
        <v>49.98</v>
      </c>
      <c r="AF81" s="177">
        <v>7.56</v>
      </c>
      <c r="AG81" s="177">
        <v>0.56999999999999995</v>
      </c>
      <c r="AH81" s="177">
        <v>17.43</v>
      </c>
      <c r="AI81" s="177">
        <v>0.39</v>
      </c>
      <c r="AJ81" s="177">
        <v>0</v>
      </c>
      <c r="AK81" s="177">
        <v>0</v>
      </c>
      <c r="AL81" s="177">
        <v>0.94</v>
      </c>
      <c r="AM81" s="176"/>
    </row>
    <row r="82" spans="1:39" ht="13.15" x14ac:dyDescent="0.4">
      <c r="A82" s="614">
        <v>1992</v>
      </c>
      <c r="B82" s="177">
        <v>298.55</v>
      </c>
      <c r="C82" s="177">
        <v>0</v>
      </c>
      <c r="D82" s="177">
        <v>16.690000000000001</v>
      </c>
      <c r="E82" s="177">
        <v>315.24</v>
      </c>
      <c r="F82" s="177">
        <v>23.79</v>
      </c>
      <c r="G82" s="177">
        <v>291.45</v>
      </c>
      <c r="H82" s="177">
        <v>9.98</v>
      </c>
      <c r="I82" s="177">
        <v>95.28</v>
      </c>
      <c r="J82" s="177">
        <v>99.48</v>
      </c>
      <c r="K82" s="177">
        <v>86.71</v>
      </c>
      <c r="L82" s="196">
        <v>281.47000000000003</v>
      </c>
      <c r="M82" s="158"/>
      <c r="N82" s="182"/>
      <c r="O82" s="158"/>
      <c r="P82" s="158"/>
      <c r="Q82" s="158"/>
      <c r="R82" s="158"/>
      <c r="S82" s="158"/>
      <c r="U82" s="198">
        <v>25648</v>
      </c>
      <c r="V82" s="199">
        <v>1992</v>
      </c>
      <c r="AC82" s="174">
        <v>1992</v>
      </c>
      <c r="AD82" s="177">
        <v>76.569999999999993</v>
      </c>
      <c r="AE82" s="177">
        <v>46.94</v>
      </c>
      <c r="AF82" s="177">
        <v>8.07</v>
      </c>
      <c r="AG82" s="177">
        <v>1.54</v>
      </c>
      <c r="AH82" s="177">
        <v>18.45</v>
      </c>
      <c r="AI82" s="177">
        <v>0.46</v>
      </c>
      <c r="AJ82" s="177">
        <v>0</v>
      </c>
      <c r="AK82" s="177">
        <v>0</v>
      </c>
      <c r="AL82" s="177">
        <v>1.0900000000000001</v>
      </c>
      <c r="AM82" s="176"/>
    </row>
    <row r="83" spans="1:39" ht="13.15" x14ac:dyDescent="0.4">
      <c r="A83" s="614">
        <v>1993</v>
      </c>
      <c r="B83" s="177">
        <v>301.87</v>
      </c>
      <c r="C83" s="177">
        <v>0</v>
      </c>
      <c r="D83" s="177">
        <v>16.72</v>
      </c>
      <c r="E83" s="177">
        <v>318.58999999999997</v>
      </c>
      <c r="F83" s="177">
        <v>22.84</v>
      </c>
      <c r="G83" s="177">
        <v>295.75</v>
      </c>
      <c r="H83" s="177">
        <v>9.6199999999999992</v>
      </c>
      <c r="I83" s="177">
        <v>96.84</v>
      </c>
      <c r="J83" s="177">
        <v>100.46</v>
      </c>
      <c r="K83" s="177">
        <v>88.83</v>
      </c>
      <c r="L83" s="196">
        <v>286.13</v>
      </c>
      <c r="M83" s="158"/>
      <c r="N83" s="182"/>
      <c r="O83" s="158"/>
      <c r="P83" s="158"/>
      <c r="Q83" s="158"/>
      <c r="R83" s="158"/>
      <c r="S83" s="158"/>
      <c r="U83" s="198">
        <v>25847</v>
      </c>
      <c r="V83" s="199">
        <v>1993</v>
      </c>
      <c r="AC83" s="174">
        <v>1993</v>
      </c>
      <c r="AD83" s="177">
        <v>75.400000000000006</v>
      </c>
      <c r="AE83" s="177">
        <v>39.61</v>
      </c>
      <c r="AF83" s="177">
        <v>5.78</v>
      </c>
      <c r="AG83" s="177">
        <v>7.04</v>
      </c>
      <c r="AH83" s="177">
        <v>21.58</v>
      </c>
      <c r="AI83" s="177">
        <v>0.37</v>
      </c>
      <c r="AJ83" s="177">
        <v>0</v>
      </c>
      <c r="AK83" s="177">
        <v>0</v>
      </c>
      <c r="AL83" s="177">
        <v>1.02</v>
      </c>
      <c r="AM83" s="176"/>
    </row>
    <row r="84" spans="1:39" ht="13.15" x14ac:dyDescent="0.4">
      <c r="A84" s="614">
        <v>1994</v>
      </c>
      <c r="B84" s="177">
        <v>306.94</v>
      </c>
      <c r="C84" s="177">
        <v>0</v>
      </c>
      <c r="D84" s="177">
        <v>16.89</v>
      </c>
      <c r="E84" s="177">
        <v>323.83</v>
      </c>
      <c r="F84" s="177">
        <v>31</v>
      </c>
      <c r="G84" s="177">
        <v>292.83</v>
      </c>
      <c r="H84" s="177">
        <v>7.52</v>
      </c>
      <c r="I84" s="177">
        <v>96.12</v>
      </c>
      <c r="J84" s="177">
        <v>101.41</v>
      </c>
      <c r="K84" s="177">
        <v>87.78</v>
      </c>
      <c r="L84" s="196">
        <v>285.31</v>
      </c>
      <c r="M84" s="158"/>
      <c r="N84" s="182"/>
      <c r="O84" s="158"/>
      <c r="P84" s="158"/>
      <c r="Q84" s="158"/>
      <c r="R84" s="158"/>
      <c r="S84" s="158"/>
      <c r="U84" s="198">
        <v>26048</v>
      </c>
      <c r="V84" s="199">
        <v>1994</v>
      </c>
      <c r="AC84" s="174">
        <v>1994</v>
      </c>
      <c r="AD84" s="177">
        <v>74.010000000000005</v>
      </c>
      <c r="AE84" s="177">
        <v>37.1</v>
      </c>
      <c r="AF84" s="177">
        <v>4.1100000000000003</v>
      </c>
      <c r="AG84" s="177">
        <v>10.1</v>
      </c>
      <c r="AH84" s="177">
        <v>21.2</v>
      </c>
      <c r="AI84" s="177">
        <v>0.44</v>
      </c>
      <c r="AJ84" s="177">
        <v>0</v>
      </c>
      <c r="AK84" s="177">
        <v>0</v>
      </c>
      <c r="AL84" s="177">
        <v>1.06</v>
      </c>
      <c r="AM84" s="176"/>
    </row>
    <row r="85" spans="1:39" ht="13.15" x14ac:dyDescent="0.4">
      <c r="A85" s="614">
        <v>1995</v>
      </c>
      <c r="B85" s="177">
        <v>317.63</v>
      </c>
      <c r="C85" s="177">
        <v>0</v>
      </c>
      <c r="D85" s="177">
        <v>16.61</v>
      </c>
      <c r="E85" s="177">
        <v>334.24</v>
      </c>
      <c r="F85" s="177">
        <v>30.32</v>
      </c>
      <c r="G85" s="177">
        <v>303.92</v>
      </c>
      <c r="H85" s="177">
        <v>8.07</v>
      </c>
      <c r="I85" s="177">
        <v>101.78</v>
      </c>
      <c r="J85" s="177">
        <v>102.21</v>
      </c>
      <c r="K85" s="177">
        <v>91.86</v>
      </c>
      <c r="L85" s="196">
        <v>295.85000000000002</v>
      </c>
      <c r="M85" s="158"/>
      <c r="N85" s="182"/>
      <c r="O85" s="158"/>
      <c r="P85" s="158"/>
      <c r="Q85" s="158"/>
      <c r="R85" s="158"/>
      <c r="S85" s="158"/>
      <c r="U85" s="198">
        <v>26220</v>
      </c>
      <c r="V85" s="199">
        <v>1995</v>
      </c>
      <c r="AC85" s="174">
        <v>1995</v>
      </c>
      <c r="AD85" s="177">
        <v>77.150000000000006</v>
      </c>
      <c r="AE85" s="177">
        <v>36.29</v>
      </c>
      <c r="AF85" s="177">
        <v>4.1500000000000004</v>
      </c>
      <c r="AG85" s="177">
        <v>13.27</v>
      </c>
      <c r="AH85" s="177">
        <v>21.25</v>
      </c>
      <c r="AI85" s="177">
        <v>0.4</v>
      </c>
      <c r="AJ85" s="177">
        <v>0</v>
      </c>
      <c r="AK85" s="177">
        <v>0</v>
      </c>
      <c r="AL85" s="177">
        <v>1.79</v>
      </c>
      <c r="AM85" s="176"/>
    </row>
    <row r="86" spans="1:39" ht="13.15" x14ac:dyDescent="0.4">
      <c r="A86" s="614">
        <v>1996</v>
      </c>
      <c r="B86" s="177">
        <v>332.35899999999998</v>
      </c>
      <c r="C86" s="177">
        <v>0</v>
      </c>
      <c r="D86" s="177">
        <v>16.754999999999999</v>
      </c>
      <c r="E86" s="177">
        <v>349.11399999999998</v>
      </c>
      <c r="F86" s="177">
        <v>29.335820378171377</v>
      </c>
      <c r="G86" s="177">
        <v>319.7781796218286</v>
      </c>
      <c r="H86" s="177">
        <v>9.2110000000000003</v>
      </c>
      <c r="I86" s="177">
        <v>107.63117962182857</v>
      </c>
      <c r="J86" s="177">
        <v>107.51300000000001</v>
      </c>
      <c r="K86" s="177">
        <v>95.423000000000002</v>
      </c>
      <c r="L86" s="196">
        <v>310.56717962182859</v>
      </c>
      <c r="M86" s="158"/>
      <c r="N86" s="182"/>
      <c r="O86" s="158"/>
      <c r="P86" s="158"/>
      <c r="Q86" s="158"/>
      <c r="R86" s="158"/>
      <c r="S86" s="158"/>
      <c r="U86" s="198">
        <v>26569</v>
      </c>
      <c r="V86" s="199">
        <v>1996</v>
      </c>
      <c r="AC86" s="174">
        <v>1996</v>
      </c>
      <c r="AD86" s="177">
        <v>79.554000000000016</v>
      </c>
      <c r="AE86" s="177">
        <v>33.664999999999999</v>
      </c>
      <c r="AF86" s="177">
        <v>3.871</v>
      </c>
      <c r="AG86" s="177">
        <v>17.363</v>
      </c>
      <c r="AH86" s="177">
        <v>22.18</v>
      </c>
      <c r="AI86" s="177">
        <v>0.29199999999999998</v>
      </c>
      <c r="AJ86" s="177">
        <v>4.2000000000000003E-2</v>
      </c>
      <c r="AK86" s="177" t="s">
        <v>100</v>
      </c>
      <c r="AL86" s="177">
        <v>2.141</v>
      </c>
      <c r="AM86" s="176"/>
    </row>
    <row r="87" spans="1:39" ht="13.15" x14ac:dyDescent="0.4">
      <c r="A87" s="614">
        <v>1997</v>
      </c>
      <c r="B87" s="177">
        <v>331.62900000000002</v>
      </c>
      <c r="C87" s="177">
        <v>0</v>
      </c>
      <c r="D87" s="177">
        <v>16.574000000000002</v>
      </c>
      <c r="E87" s="177">
        <v>348.20299999999997</v>
      </c>
      <c r="F87" s="177">
        <v>27.13799999999992</v>
      </c>
      <c r="G87" s="177">
        <v>321.065</v>
      </c>
      <c r="H87" s="177">
        <v>8.6240000000000006</v>
      </c>
      <c r="I87" s="177">
        <v>108.102</v>
      </c>
      <c r="J87" s="177">
        <v>104.455</v>
      </c>
      <c r="K87" s="177">
        <v>99.884</v>
      </c>
      <c r="L87" s="196">
        <v>312.44100000000003</v>
      </c>
      <c r="M87" s="158"/>
      <c r="N87" s="182"/>
      <c r="O87" s="158"/>
      <c r="P87" s="158"/>
      <c r="Q87" s="158"/>
      <c r="R87" s="158"/>
      <c r="S87" s="158"/>
      <c r="U87" s="198">
        <v>26960</v>
      </c>
      <c r="V87" s="199">
        <v>1997</v>
      </c>
      <c r="AC87" s="174">
        <v>1997</v>
      </c>
      <c r="AD87" s="177">
        <v>76.428000000000011</v>
      </c>
      <c r="AE87" s="177">
        <v>28.295000000000002</v>
      </c>
      <c r="AF87" s="177">
        <v>1.851</v>
      </c>
      <c r="AG87" s="177">
        <v>21.571999999999999</v>
      </c>
      <c r="AH87" s="177">
        <v>21.983000000000001</v>
      </c>
      <c r="AI87" s="177">
        <v>0.377</v>
      </c>
      <c r="AJ87" s="177">
        <v>5.7000000000000002E-2</v>
      </c>
      <c r="AK87" s="177" t="s">
        <v>100</v>
      </c>
      <c r="AL87" s="177">
        <v>2.2930000000000001</v>
      </c>
      <c r="AM87" s="177"/>
    </row>
    <row r="88" spans="1:39" ht="13.15" x14ac:dyDescent="0.4">
      <c r="A88" s="615">
        <v>1998</v>
      </c>
      <c r="B88" s="203">
        <v>342.7</v>
      </c>
      <c r="C88" s="177">
        <v>0</v>
      </c>
      <c r="D88" s="177">
        <v>12.468</v>
      </c>
      <c r="E88" s="177">
        <v>355.16800000000001</v>
      </c>
      <c r="F88" s="177">
        <v>29.817999999999984</v>
      </c>
      <c r="G88" s="177">
        <v>325.35000000000002</v>
      </c>
      <c r="H88" s="177">
        <v>8.4060000000000006</v>
      </c>
      <c r="I88" s="177">
        <v>108.44300000000001</v>
      </c>
      <c r="J88" s="177">
        <v>109.41</v>
      </c>
      <c r="K88" s="177">
        <v>99.090999999999994</v>
      </c>
      <c r="L88" s="196">
        <v>316.94400000000002</v>
      </c>
      <c r="M88" s="158"/>
      <c r="N88" s="182"/>
      <c r="O88" s="158"/>
      <c r="P88" s="158"/>
      <c r="Q88" s="158"/>
      <c r="R88" s="158"/>
      <c r="S88" s="158"/>
      <c r="U88" s="198">
        <v>26611</v>
      </c>
      <c r="V88" s="199">
        <v>1998</v>
      </c>
      <c r="AC88" s="174">
        <v>1998</v>
      </c>
      <c r="AD88" s="177">
        <v>81.135000000000005</v>
      </c>
      <c r="AE88" s="177">
        <v>29.939</v>
      </c>
      <c r="AF88" s="177">
        <v>1.6950000000000001</v>
      </c>
      <c r="AG88" s="177">
        <v>23.021000000000001</v>
      </c>
      <c r="AH88" s="177">
        <v>23.443000000000001</v>
      </c>
      <c r="AI88" s="177">
        <v>0.44</v>
      </c>
      <c r="AJ88" s="177">
        <v>7.4999999999999997E-2</v>
      </c>
      <c r="AK88" s="177" t="s">
        <v>100</v>
      </c>
      <c r="AL88" s="177">
        <v>2.5219999999999998</v>
      </c>
      <c r="AM88" s="177"/>
    </row>
    <row r="89" spans="1:39" ht="13.15" x14ac:dyDescent="0.4">
      <c r="A89" s="615">
        <v>1999</v>
      </c>
      <c r="B89" s="203">
        <v>347.67099999999999</v>
      </c>
      <c r="C89" s="177">
        <v>0</v>
      </c>
      <c r="D89" s="177">
        <v>14.244</v>
      </c>
      <c r="E89" s="177">
        <v>361.91500000000002</v>
      </c>
      <c r="F89" s="177">
        <v>29.862092500000017</v>
      </c>
      <c r="G89" s="177">
        <v>332.0529075</v>
      </c>
      <c r="H89" s="177">
        <v>8.036999999999999</v>
      </c>
      <c r="I89" s="177">
        <v>112.25</v>
      </c>
      <c r="J89" s="177">
        <v>110.30800000000001</v>
      </c>
      <c r="K89" s="177">
        <v>101.4579075</v>
      </c>
      <c r="L89" s="196">
        <v>324.01590750000003</v>
      </c>
      <c r="M89" s="158"/>
      <c r="N89" s="182"/>
      <c r="O89" s="158"/>
      <c r="P89" s="158"/>
      <c r="Q89" s="158"/>
      <c r="R89" s="158"/>
      <c r="S89" s="158"/>
      <c r="U89" s="198">
        <v>27125</v>
      </c>
      <c r="V89" s="199">
        <v>1999</v>
      </c>
      <c r="AC89" s="174">
        <v>1999</v>
      </c>
      <c r="AD89" s="177">
        <v>79.724000000000004</v>
      </c>
      <c r="AE89" s="177">
        <v>25.512</v>
      </c>
      <c r="AF89" s="177">
        <v>1.5409999999999999</v>
      </c>
      <c r="AG89" s="177">
        <v>27.132999999999999</v>
      </c>
      <c r="AH89" s="177">
        <v>22.216000000000001</v>
      </c>
      <c r="AI89" s="177">
        <v>0.45900000000000002</v>
      </c>
      <c r="AJ89" s="177">
        <v>7.2999999999999995E-2</v>
      </c>
      <c r="AK89" s="177" t="s">
        <v>100</v>
      </c>
      <c r="AL89" s="216">
        <v>2.79</v>
      </c>
      <c r="AM89" s="177"/>
    </row>
    <row r="90" spans="1:39" ht="13.15" x14ac:dyDescent="0.4">
      <c r="A90" s="615">
        <v>2000</v>
      </c>
      <c r="B90" s="203">
        <v>357.26600000000002</v>
      </c>
      <c r="C90" s="177">
        <v>0</v>
      </c>
      <c r="D90" s="177">
        <v>14.173999999999999</v>
      </c>
      <c r="E90" s="177">
        <v>371.44</v>
      </c>
      <c r="F90" s="177">
        <v>31.144000000000062</v>
      </c>
      <c r="G90" s="177">
        <v>340.29599999999994</v>
      </c>
      <c r="H90" s="177">
        <v>9.7030000000000012</v>
      </c>
      <c r="I90" s="177">
        <v>115.286</v>
      </c>
      <c r="J90" s="177">
        <v>111.842</v>
      </c>
      <c r="K90" s="177">
        <v>103.465</v>
      </c>
      <c r="L90" s="196">
        <v>330.59299999999996</v>
      </c>
      <c r="M90" s="158"/>
      <c r="N90" s="182"/>
      <c r="O90" s="158"/>
      <c r="P90" s="158"/>
      <c r="Q90" s="158"/>
      <c r="R90" s="158"/>
      <c r="S90" s="158"/>
      <c r="U90" s="198">
        <v>27125</v>
      </c>
      <c r="V90" s="199">
        <v>2000</v>
      </c>
      <c r="AC90" s="174">
        <v>2000</v>
      </c>
      <c r="AD90" s="177">
        <v>81.206000000000003</v>
      </c>
      <c r="AE90" s="177">
        <v>28.67</v>
      </c>
      <c r="AF90" s="177">
        <v>1.55</v>
      </c>
      <c r="AG90" s="177">
        <v>27.907</v>
      </c>
      <c r="AH90" s="177">
        <v>19.635000000000002</v>
      </c>
      <c r="AI90" s="177">
        <v>0.437</v>
      </c>
      <c r="AJ90" s="177">
        <v>8.1000000000000003E-2</v>
      </c>
      <c r="AK90" s="177" t="s">
        <v>100</v>
      </c>
      <c r="AL90" s="177">
        <v>2.9260000000000002</v>
      </c>
      <c r="AM90" s="177"/>
    </row>
    <row r="91" spans="1:39" ht="13.15" x14ac:dyDescent="0.4">
      <c r="A91" s="615">
        <v>2001</v>
      </c>
      <c r="B91" s="203">
        <v>364.17399999999998</v>
      </c>
      <c r="C91" s="177">
        <v>0</v>
      </c>
      <c r="D91" s="177">
        <v>10.398999999999999</v>
      </c>
      <c r="E91" s="177">
        <v>374.57299999999998</v>
      </c>
      <c r="F91" s="177">
        <v>32.06899999999996</v>
      </c>
      <c r="G91" s="177">
        <v>342.50400000000002</v>
      </c>
      <c r="H91" s="177">
        <v>8.625</v>
      </c>
      <c r="I91" s="177">
        <v>112.495</v>
      </c>
      <c r="J91" s="177">
        <v>115.337</v>
      </c>
      <c r="K91" s="177">
        <v>106.047</v>
      </c>
      <c r="L91" s="196">
        <v>333.87900000000002</v>
      </c>
      <c r="M91" s="158"/>
      <c r="N91" s="182"/>
      <c r="O91" s="158"/>
      <c r="P91" s="158"/>
      <c r="Q91" s="158"/>
      <c r="R91" s="158"/>
      <c r="S91" s="158"/>
      <c r="U91" s="198">
        <v>29068</v>
      </c>
      <c r="V91" s="199">
        <v>2001</v>
      </c>
      <c r="AC91" s="174">
        <v>2001</v>
      </c>
      <c r="AD91" s="177">
        <v>84.01</v>
      </c>
      <c r="AE91" s="177">
        <v>31.605</v>
      </c>
      <c r="AF91" s="177">
        <v>1.423</v>
      </c>
      <c r="AG91" s="177">
        <v>26.872</v>
      </c>
      <c r="AH91" s="177">
        <v>20.768000000000001</v>
      </c>
      <c r="AI91" s="177">
        <v>0.34899999999999998</v>
      </c>
      <c r="AJ91" s="177">
        <v>8.3000000000000004E-2</v>
      </c>
      <c r="AK91" s="177" t="s">
        <v>100</v>
      </c>
      <c r="AL91" s="177">
        <v>2.91</v>
      </c>
      <c r="AM91" s="177"/>
    </row>
    <row r="92" spans="1:39" ht="13.15" x14ac:dyDescent="0.4">
      <c r="A92" s="615">
        <v>2002</v>
      </c>
      <c r="B92" s="203">
        <v>366.65799999999996</v>
      </c>
      <c r="C92" s="177">
        <v>0</v>
      </c>
      <c r="D92" s="177">
        <v>8.4139999999999997</v>
      </c>
      <c r="E92" s="177">
        <v>375.072</v>
      </c>
      <c r="F92" s="177">
        <v>30.963000000000022</v>
      </c>
      <c r="G92" s="177">
        <v>344.10899999999998</v>
      </c>
      <c r="H92" s="177">
        <v>10.059641982066207</v>
      </c>
      <c r="I92" s="177">
        <v>110.81635801793379</v>
      </c>
      <c r="J92" s="177">
        <v>120.014</v>
      </c>
      <c r="K92" s="177">
        <v>103.21899999999999</v>
      </c>
      <c r="L92" s="196">
        <v>334.0493580179338</v>
      </c>
      <c r="M92" s="158"/>
      <c r="N92" s="182"/>
      <c r="O92" s="158"/>
      <c r="P92" s="158"/>
      <c r="Q92" s="158"/>
      <c r="R92" s="158"/>
      <c r="S92" s="158"/>
      <c r="U92" s="198">
        <v>29068</v>
      </c>
      <c r="V92" s="204">
        <v>2002</v>
      </c>
      <c r="AC92" s="174">
        <v>2002</v>
      </c>
      <c r="AD92" s="177">
        <v>82.995000000000019</v>
      </c>
      <c r="AE92" s="177">
        <v>29.626000000000001</v>
      </c>
      <c r="AF92" s="177">
        <v>1.288</v>
      </c>
      <c r="AG92" s="177">
        <v>28.327000000000002</v>
      </c>
      <c r="AH92" s="177">
        <v>20.100000000000001</v>
      </c>
      <c r="AI92" s="177">
        <v>0.41199999999999998</v>
      </c>
      <c r="AJ92" s="177">
        <v>0.108</v>
      </c>
      <c r="AK92" s="177" t="s">
        <v>100</v>
      </c>
      <c r="AL92" s="177">
        <v>3.1339999999999999</v>
      </c>
      <c r="AM92" s="177"/>
    </row>
    <row r="93" spans="1:39" ht="13.15" x14ac:dyDescent="0.4">
      <c r="A93" s="614">
        <v>2003</v>
      </c>
      <c r="B93" s="203">
        <v>376.52699999999999</v>
      </c>
      <c r="C93" s="177">
        <v>0</v>
      </c>
      <c r="D93" s="177">
        <v>2.16</v>
      </c>
      <c r="E93" s="177">
        <v>378.68700000000001</v>
      </c>
      <c r="F93" s="177">
        <v>32.069999999999993</v>
      </c>
      <c r="G93" s="177">
        <v>346.61700000000002</v>
      </c>
      <c r="H93" s="177">
        <v>9.7515770927932515</v>
      </c>
      <c r="I93" s="177">
        <v>109.92642290720676</v>
      </c>
      <c r="J93" s="177">
        <v>123.001</v>
      </c>
      <c r="K93" s="177">
        <v>103.938</v>
      </c>
      <c r="L93" s="196">
        <v>336.86542290720678</v>
      </c>
      <c r="M93" s="158"/>
      <c r="N93" s="182"/>
      <c r="O93" s="158"/>
      <c r="P93" s="158"/>
      <c r="Q93" s="158"/>
      <c r="R93" s="158"/>
      <c r="S93" s="158"/>
      <c r="U93" s="198">
        <f>25814+2433</f>
        <v>28247</v>
      </c>
      <c r="V93" s="199">
        <v>2003</v>
      </c>
      <c r="AC93" s="174">
        <v>2003</v>
      </c>
      <c r="AD93" s="203">
        <v>85.947000000000003</v>
      </c>
      <c r="AE93" s="177">
        <v>32.542000000000002</v>
      </c>
      <c r="AF93" s="177">
        <v>1.1919999999999999</v>
      </c>
      <c r="AG93" s="177">
        <v>27.853000000000002</v>
      </c>
      <c r="AH93" s="177">
        <v>20.041</v>
      </c>
      <c r="AI93" s="177">
        <v>0.27800000000000002</v>
      </c>
      <c r="AJ93" s="177">
        <v>0.111</v>
      </c>
      <c r="AK93" s="177" t="s">
        <v>100</v>
      </c>
      <c r="AL93" s="177">
        <v>3.9299999999999997</v>
      </c>
      <c r="AM93" s="177"/>
    </row>
    <row r="94" spans="1:39" ht="13.15" x14ac:dyDescent="0.4">
      <c r="A94" s="616">
        <v>2004</v>
      </c>
      <c r="B94" s="177">
        <v>373.399</v>
      </c>
      <c r="C94" s="177">
        <v>0</v>
      </c>
      <c r="D94" s="177">
        <v>7.49</v>
      </c>
      <c r="E94" s="177">
        <v>380.88900000000001</v>
      </c>
      <c r="F94" s="177">
        <v>33.175000000000011</v>
      </c>
      <c r="G94" s="177">
        <v>347.714</v>
      </c>
      <c r="H94" s="177">
        <v>8.1423641905928417</v>
      </c>
      <c r="I94" s="177">
        <v>112.09163580940715</v>
      </c>
      <c r="J94" s="177">
        <v>124.2</v>
      </c>
      <c r="K94" s="177">
        <v>103.28</v>
      </c>
      <c r="L94" s="196">
        <v>339.57163580940716</v>
      </c>
      <c r="M94" s="158"/>
      <c r="N94" s="182"/>
      <c r="O94" s="158"/>
      <c r="P94" s="158"/>
      <c r="Q94" s="158"/>
      <c r="R94" s="158"/>
      <c r="S94" s="158"/>
      <c r="U94" s="183">
        <f>25902+2477</f>
        <v>28379</v>
      </c>
      <c r="V94" s="199">
        <v>2004</v>
      </c>
      <c r="AC94" s="174">
        <v>2004</v>
      </c>
      <c r="AD94" s="177">
        <v>84.569000000000003</v>
      </c>
      <c r="AE94" s="177">
        <v>31.312000000000001</v>
      </c>
      <c r="AF94" s="177">
        <v>1.1000000000000001</v>
      </c>
      <c r="AG94" s="177">
        <v>29.254000000000001</v>
      </c>
      <c r="AH94" s="177">
        <v>18.164000000000001</v>
      </c>
      <c r="AI94" s="177">
        <v>0.41799999999999998</v>
      </c>
      <c r="AJ94" s="177">
        <v>0.16700000000000001</v>
      </c>
      <c r="AK94" s="177" t="s">
        <v>100</v>
      </c>
      <c r="AL94" s="177">
        <v>4.1539999999999999</v>
      </c>
      <c r="AM94" s="177"/>
    </row>
    <row r="95" spans="1:39" ht="13.15" x14ac:dyDescent="0.4">
      <c r="A95" s="616">
        <v>2005</v>
      </c>
      <c r="B95" s="177">
        <v>376.78</v>
      </c>
      <c r="C95" s="177">
        <v>0</v>
      </c>
      <c r="D95" s="177">
        <v>8.3209999999999997</v>
      </c>
      <c r="E95" s="177">
        <v>385.101</v>
      </c>
      <c r="F95" s="177">
        <v>27.901999999999987</v>
      </c>
      <c r="G95" s="177">
        <v>357.19900000000001</v>
      </c>
      <c r="H95" s="177">
        <v>7.8497254631429083</v>
      </c>
      <c r="I95" s="177">
        <v>116.69927453685709</v>
      </c>
      <c r="J95" s="177">
        <v>125.711</v>
      </c>
      <c r="K95" s="177">
        <v>106.93899999999999</v>
      </c>
      <c r="L95" s="196">
        <v>349.34927453685708</v>
      </c>
      <c r="M95" s="158"/>
      <c r="N95" s="182"/>
      <c r="O95" s="158"/>
      <c r="P95" s="158"/>
      <c r="Q95" s="158"/>
      <c r="R95" s="158"/>
      <c r="S95" s="158"/>
      <c r="U95" s="183">
        <f>25930+2568</f>
        <v>28498</v>
      </c>
      <c r="V95" s="199">
        <v>2005</v>
      </c>
      <c r="AC95" s="174">
        <v>2005</v>
      </c>
      <c r="AD95" s="177">
        <v>86.675000000000011</v>
      </c>
      <c r="AE95" s="177">
        <v>32.575000000000003</v>
      </c>
      <c r="AF95" s="177">
        <v>1.3049999999999999</v>
      </c>
      <c r="AG95" s="177">
        <v>28.516999999999999</v>
      </c>
      <c r="AH95" s="177">
        <v>18.372</v>
      </c>
      <c r="AI95" s="177">
        <v>0.42299999999999999</v>
      </c>
      <c r="AJ95" s="177">
        <v>0.25</v>
      </c>
      <c r="AK95" s="177" t="s">
        <v>100</v>
      </c>
      <c r="AL95" s="177">
        <v>5.2329999999999997</v>
      </c>
      <c r="AM95" s="177"/>
    </row>
    <row r="96" spans="1:39" ht="13.15" x14ac:dyDescent="0.4">
      <c r="A96" s="616">
        <v>2006</v>
      </c>
      <c r="B96" s="177">
        <v>373.86099999999999</v>
      </c>
      <c r="C96" s="177">
        <v>0</v>
      </c>
      <c r="D96" s="177">
        <v>7.5170000000000003</v>
      </c>
      <c r="E96" s="177">
        <v>381.37799999999999</v>
      </c>
      <c r="F96" s="177">
        <v>27.514999999999986</v>
      </c>
      <c r="G96" s="177">
        <v>353.863</v>
      </c>
      <c r="H96" s="177">
        <v>7.997398940542281</v>
      </c>
      <c r="I96" s="177">
        <v>115.53260105945772</v>
      </c>
      <c r="J96" s="177">
        <v>124.70399999999999</v>
      </c>
      <c r="K96" s="177">
        <v>105.629</v>
      </c>
      <c r="L96" s="196">
        <v>345.86560105945773</v>
      </c>
      <c r="M96" s="158"/>
      <c r="N96" s="182"/>
      <c r="O96" s="158"/>
      <c r="P96" s="158"/>
      <c r="Q96" s="158"/>
      <c r="R96" s="158"/>
      <c r="S96" s="158"/>
      <c r="U96" s="183">
        <f>26434+2441</f>
        <v>28875</v>
      </c>
      <c r="V96" s="199">
        <v>2006</v>
      </c>
      <c r="AC96" s="174">
        <v>2006</v>
      </c>
      <c r="AD96" s="177">
        <v>87.063000000000002</v>
      </c>
      <c r="AE96" s="177">
        <v>35.942999999999998</v>
      </c>
      <c r="AF96" s="177">
        <v>1.4330000000000001</v>
      </c>
      <c r="AG96" s="177">
        <v>26.776</v>
      </c>
      <c r="AH96" s="177">
        <v>17.131</v>
      </c>
      <c r="AI96" s="177">
        <v>0.39500000000000002</v>
      </c>
      <c r="AJ96" s="177">
        <v>0.36399999999999999</v>
      </c>
      <c r="AK96" s="177" t="s">
        <v>100</v>
      </c>
      <c r="AL96" s="177">
        <v>5.0209999999999999</v>
      </c>
      <c r="AM96" s="177"/>
    </row>
    <row r="97" spans="1:39" ht="13.15" x14ac:dyDescent="0.4">
      <c r="A97" s="616">
        <v>2007</v>
      </c>
      <c r="B97" s="203">
        <v>374.06400000000002</v>
      </c>
      <c r="C97" s="177">
        <v>0</v>
      </c>
      <c r="D97" s="177">
        <v>5.2149999999999999</v>
      </c>
      <c r="E97" s="177">
        <v>379.279</v>
      </c>
      <c r="F97" s="177">
        <v>27.829999999999984</v>
      </c>
      <c r="G97" s="177">
        <v>351.44900000000001</v>
      </c>
      <c r="H97" s="177">
        <v>9.1862512624189527</v>
      </c>
      <c r="I97" s="177">
        <v>113.40574873758105</v>
      </c>
      <c r="J97" s="177">
        <v>123.07599999999999</v>
      </c>
      <c r="K97" s="177">
        <v>105.78100000000001</v>
      </c>
      <c r="L97" s="196">
        <v>342.26274873758103</v>
      </c>
      <c r="M97" s="158"/>
      <c r="N97" s="182"/>
      <c r="O97" s="158"/>
      <c r="P97" s="158"/>
      <c r="Q97" s="158"/>
      <c r="R97" s="158"/>
      <c r="S97" s="158"/>
      <c r="U97" s="183">
        <f>26670+2435</f>
        <v>29105</v>
      </c>
      <c r="V97" s="199">
        <v>2007</v>
      </c>
      <c r="AC97" s="174">
        <v>2007</v>
      </c>
      <c r="AD97" s="177">
        <v>84.284000000000006</v>
      </c>
      <c r="AE97" s="177">
        <v>32.92</v>
      </c>
      <c r="AF97" s="177">
        <v>1.1599999999999999</v>
      </c>
      <c r="AG97" s="177">
        <v>30.6</v>
      </c>
      <c r="AH97" s="177">
        <v>14.037000000000001</v>
      </c>
      <c r="AI97" s="177">
        <v>0.437</v>
      </c>
      <c r="AJ97" s="177">
        <v>0.45500000000000002</v>
      </c>
      <c r="AK97" s="177" t="s">
        <v>100</v>
      </c>
      <c r="AL97" s="177">
        <v>4.6749999999999998</v>
      </c>
      <c r="AM97" s="177"/>
    </row>
    <row r="98" spans="1:39" ht="13.15" x14ac:dyDescent="0.4">
      <c r="A98" s="616">
        <v>2008</v>
      </c>
      <c r="B98" s="177">
        <v>367.17998658756744</v>
      </c>
      <c r="C98" s="177">
        <v>0</v>
      </c>
      <c r="D98" s="177">
        <v>11.022101659016826</v>
      </c>
      <c r="E98" s="177">
        <v>378.20208824658425</v>
      </c>
      <c r="F98" s="177">
        <v>28.103088246584264</v>
      </c>
      <c r="G98" s="177">
        <v>349.53161080447069</v>
      </c>
      <c r="H98" s="177">
        <v>7.7094997034225203</v>
      </c>
      <c r="I98" s="177">
        <v>114.15090713070066</v>
      </c>
      <c r="J98" s="177">
        <v>119.79999999999998</v>
      </c>
      <c r="K98" s="177">
        <v>107.87120397034751</v>
      </c>
      <c r="L98" s="196">
        <v>341.82211110104816</v>
      </c>
      <c r="M98" s="158"/>
      <c r="N98" s="182"/>
      <c r="O98" s="158"/>
      <c r="P98" s="158"/>
      <c r="Q98" s="158"/>
      <c r="R98" s="158"/>
      <c r="S98" s="158"/>
      <c r="U98" s="183">
        <f>26805+2407</f>
        <v>29212</v>
      </c>
      <c r="V98" s="199">
        <v>2008</v>
      </c>
      <c r="AC98" s="174">
        <v>2008</v>
      </c>
      <c r="AD98" s="177">
        <v>81.575999999999993</v>
      </c>
      <c r="AE98" s="177">
        <v>29.960999999999999</v>
      </c>
      <c r="AF98" s="177">
        <v>1.5820000000000001</v>
      </c>
      <c r="AG98" s="177">
        <v>32.4</v>
      </c>
      <c r="AH98" s="177">
        <v>11.91</v>
      </c>
      <c r="AI98" s="177">
        <v>0.442</v>
      </c>
      <c r="AJ98" s="177">
        <v>0.61399999999999999</v>
      </c>
      <c r="AK98" s="177" t="s">
        <v>100</v>
      </c>
      <c r="AL98" s="177">
        <v>4.6669999999999998</v>
      </c>
      <c r="AM98" s="177"/>
    </row>
    <row r="99" spans="1:39" ht="13.15" x14ac:dyDescent="0.4">
      <c r="A99" s="616">
        <v>2009</v>
      </c>
      <c r="B99" s="203">
        <v>355.30583825398833</v>
      </c>
      <c r="C99" s="177">
        <v>0</v>
      </c>
      <c r="D99" s="177">
        <v>2.8608092699318037</v>
      </c>
      <c r="E99" s="177">
        <v>358.16664752392012</v>
      </c>
      <c r="F99" s="177">
        <v>28.146647523920137</v>
      </c>
      <c r="G99" s="177">
        <v>329.41616448062859</v>
      </c>
      <c r="H99" s="177">
        <v>7.6681015729860338</v>
      </c>
      <c r="I99" s="177">
        <v>99.737984526683377</v>
      </c>
      <c r="J99" s="177">
        <v>118.54079334272313</v>
      </c>
      <c r="K99" s="177">
        <v>103.46928503823607</v>
      </c>
      <c r="L99" s="196">
        <v>321.74806290764258</v>
      </c>
      <c r="M99" s="158"/>
      <c r="N99" s="182"/>
      <c r="O99" s="158"/>
      <c r="P99" s="158"/>
      <c r="Q99" s="158"/>
      <c r="R99" s="158"/>
      <c r="S99" s="158"/>
      <c r="U99" s="183">
        <f>26987+2378</f>
        <v>29365</v>
      </c>
      <c r="V99" s="199">
        <v>2009</v>
      </c>
      <c r="AC99" s="174">
        <v>2009</v>
      </c>
      <c r="AD99" s="177">
        <v>78.42</v>
      </c>
      <c r="AE99" s="177">
        <v>24.661999999999999</v>
      </c>
      <c r="AF99" s="177">
        <v>1.5129999999999999</v>
      </c>
      <c r="AG99" s="177">
        <v>30.895</v>
      </c>
      <c r="AH99" s="177">
        <v>15.23</v>
      </c>
      <c r="AI99" s="177">
        <v>0.45</v>
      </c>
      <c r="AJ99" s="177">
        <v>0.8</v>
      </c>
      <c r="AK99" s="177" t="s">
        <v>100</v>
      </c>
      <c r="AL99" s="177">
        <v>4.87</v>
      </c>
      <c r="AM99" s="177"/>
    </row>
    <row r="100" spans="1:39" ht="13.15" x14ac:dyDescent="0.4">
      <c r="A100" s="616">
        <v>2010</v>
      </c>
      <c r="B100" s="203">
        <v>361.73401283653669</v>
      </c>
      <c r="C100" s="177">
        <v>0</v>
      </c>
      <c r="D100" s="177">
        <v>2.6634084573440777</v>
      </c>
      <c r="E100" s="177">
        <v>364.39742129388071</v>
      </c>
      <c r="F100" s="177">
        <v>26.886139576402741</v>
      </c>
      <c r="G100" s="177">
        <v>337.51128171747797</v>
      </c>
      <c r="H100" s="177">
        <v>8.2531024037313863</v>
      </c>
      <c r="I100" s="177">
        <v>104.95839178283407</v>
      </c>
      <c r="J100" s="177">
        <v>118.83195263410775</v>
      </c>
      <c r="K100" s="177">
        <v>105.46783489680477</v>
      </c>
      <c r="L100" s="196">
        <v>329.25817931374661</v>
      </c>
      <c r="M100" s="158"/>
      <c r="N100" s="182"/>
      <c r="O100" s="158"/>
      <c r="P100" s="158"/>
      <c r="Q100" s="158"/>
      <c r="R100" s="158"/>
      <c r="S100" s="158"/>
      <c r="U100" s="183">
        <v>29591</v>
      </c>
      <c r="V100" s="199">
        <f>A100</f>
        <v>2010</v>
      </c>
      <c r="AC100" s="174">
        <v>2010</v>
      </c>
      <c r="AD100" s="177">
        <v>79.41</v>
      </c>
      <c r="AE100" s="177">
        <v>25.56</v>
      </c>
      <c r="AF100" s="177">
        <v>1.18</v>
      </c>
      <c r="AG100" s="177">
        <v>32.43</v>
      </c>
      <c r="AH100" s="177">
        <v>13.93</v>
      </c>
      <c r="AI100" s="177">
        <v>0.31</v>
      </c>
      <c r="AJ100" s="177">
        <v>0.89</v>
      </c>
      <c r="AK100" s="177" t="s">
        <v>100</v>
      </c>
      <c r="AL100" s="177">
        <v>5.1100000000000003</v>
      </c>
      <c r="AM100" s="177"/>
    </row>
    <row r="101" spans="1:39" s="81" customFormat="1" ht="13.15" x14ac:dyDescent="0.4">
      <c r="A101" s="616">
        <v>2011</v>
      </c>
      <c r="B101" s="177">
        <v>347.68750030216455</v>
      </c>
      <c r="C101" s="177">
        <v>0</v>
      </c>
      <c r="D101" s="177">
        <v>6.2218967980458126</v>
      </c>
      <c r="E101" s="177">
        <v>353.9093971002103</v>
      </c>
      <c r="F101" s="177">
        <v>27.990325990739677</v>
      </c>
      <c r="G101" s="177">
        <v>325.91907110947062</v>
      </c>
      <c r="H101" s="177">
        <v>7.665896181573971</v>
      </c>
      <c r="I101" s="177">
        <v>102.79588669814831</v>
      </c>
      <c r="J101" s="177">
        <v>111.58641761428098</v>
      </c>
      <c r="K101" s="177">
        <v>103.87087061546734</v>
      </c>
      <c r="L101" s="196">
        <v>318.25317492789662</v>
      </c>
      <c r="M101" s="176"/>
      <c r="N101" s="175"/>
      <c r="O101" s="176"/>
      <c r="P101" s="176"/>
      <c r="Q101" s="176"/>
      <c r="R101" s="176"/>
      <c r="S101" s="176"/>
      <c r="U101" s="183">
        <v>29687</v>
      </c>
      <c r="V101" s="199">
        <f t="shared" ref="V101:V106" si="4">A101</f>
        <v>2011</v>
      </c>
      <c r="AC101" s="174">
        <v>2011</v>
      </c>
      <c r="AD101" s="177">
        <v>76.52</v>
      </c>
      <c r="AE101" s="177">
        <v>26.03</v>
      </c>
      <c r="AF101" s="177">
        <v>0.78</v>
      </c>
      <c r="AG101" s="177">
        <v>26.58</v>
      </c>
      <c r="AH101" s="177">
        <v>15.63</v>
      </c>
      <c r="AI101" s="177">
        <v>0.49</v>
      </c>
      <c r="AJ101" s="177">
        <v>1.39</v>
      </c>
      <c r="AK101" s="177" t="s">
        <v>100</v>
      </c>
      <c r="AL101" s="177">
        <v>5.62</v>
      </c>
      <c r="AM101" s="177"/>
    </row>
    <row r="102" spans="1:39" s="81" customFormat="1" ht="13.15" x14ac:dyDescent="0.4">
      <c r="A102" s="616">
        <v>2012</v>
      </c>
      <c r="B102" s="177">
        <v>341.91240691484899</v>
      </c>
      <c r="C102" s="177">
        <v>0</v>
      </c>
      <c r="D102" s="177">
        <v>11.863935920999987</v>
      </c>
      <c r="E102" s="177">
        <v>353.77634283584899</v>
      </c>
      <c r="F102" s="177">
        <v>28.294464938848591</v>
      </c>
      <c r="G102" s="177">
        <v>325.4818778970004</v>
      </c>
      <c r="H102" s="177">
        <v>6.7250170884556679</v>
      </c>
      <c r="I102" s="177">
        <v>98.941135807560087</v>
      </c>
      <c r="J102" s="177">
        <v>114.66262542679949</v>
      </c>
      <c r="K102" s="177">
        <v>105.15309957418515</v>
      </c>
      <c r="L102" s="196">
        <v>318.75686080854473</v>
      </c>
      <c r="M102" s="176"/>
      <c r="N102" s="175"/>
      <c r="O102" s="176"/>
      <c r="P102" s="176"/>
      <c r="Q102" s="176"/>
      <c r="R102" s="176"/>
      <c r="S102" s="176"/>
      <c r="U102" s="205">
        <v>29808</v>
      </c>
      <c r="V102" s="199">
        <f t="shared" si="4"/>
        <v>2012</v>
      </c>
      <c r="AC102" s="174">
        <v>2012</v>
      </c>
      <c r="AD102" s="177">
        <v>77.239999999999981</v>
      </c>
      <c r="AE102" s="177">
        <v>34.33</v>
      </c>
      <c r="AF102" s="177">
        <v>0.73</v>
      </c>
      <c r="AG102" s="177">
        <v>18.62</v>
      </c>
      <c r="AH102" s="177">
        <v>15.21</v>
      </c>
      <c r="AI102" s="177">
        <v>0.46</v>
      </c>
      <c r="AJ102" s="177">
        <v>1.82</v>
      </c>
      <c r="AK102" s="177" t="s">
        <v>100</v>
      </c>
      <c r="AL102" s="177">
        <v>6.07</v>
      </c>
      <c r="AM102" s="177"/>
    </row>
    <row r="103" spans="1:39" s="81" customFormat="1" ht="13.15" x14ac:dyDescent="0.4">
      <c r="A103" s="616">
        <v>2013</v>
      </c>
      <c r="B103" s="177">
        <v>336.50416436439099</v>
      </c>
      <c r="C103" s="177">
        <v>0</v>
      </c>
      <c r="D103" s="177">
        <v>14.430889886500005</v>
      </c>
      <c r="E103" s="177">
        <v>350.93505425089103</v>
      </c>
      <c r="F103" s="177">
        <v>26.550207919646084</v>
      </c>
      <c r="G103" s="177">
        <v>324.38484633124494</v>
      </c>
      <c r="H103" s="177">
        <v>7.5411218888507268</v>
      </c>
      <c r="I103" s="177">
        <v>97.553173513596107</v>
      </c>
      <c r="J103" s="177">
        <v>113.41247237181817</v>
      </c>
      <c r="K103" s="177">
        <v>105.8780785569799</v>
      </c>
      <c r="L103" s="196">
        <v>316.8437244423942</v>
      </c>
      <c r="M103" s="176"/>
      <c r="N103" s="175"/>
      <c r="O103" s="176"/>
      <c r="P103" s="176"/>
      <c r="Q103" s="176"/>
      <c r="R103" s="176"/>
      <c r="S103" s="176"/>
      <c r="U103" s="205">
        <v>29925</v>
      </c>
      <c r="V103" s="199">
        <f t="shared" si="4"/>
        <v>2013</v>
      </c>
      <c r="AC103" s="174">
        <v>2013</v>
      </c>
      <c r="AD103" s="177">
        <v>74.52000000000001</v>
      </c>
      <c r="AE103" s="177">
        <v>31.33</v>
      </c>
      <c r="AF103" s="177">
        <v>0.59</v>
      </c>
      <c r="AG103" s="177">
        <v>17.7</v>
      </c>
      <c r="AH103" s="177">
        <v>15.44</v>
      </c>
      <c r="AI103" s="177">
        <v>0.4</v>
      </c>
      <c r="AJ103" s="177">
        <v>2.61</v>
      </c>
      <c r="AK103" s="177" t="s">
        <v>100</v>
      </c>
      <c r="AL103" s="177">
        <v>6.45</v>
      </c>
      <c r="AM103" s="177"/>
    </row>
    <row r="104" spans="1:39" s="81" customFormat="1" ht="13.15" x14ac:dyDescent="0.4">
      <c r="A104" s="616">
        <v>2014</v>
      </c>
      <c r="B104" s="177">
        <v>317.73297250503532</v>
      </c>
      <c r="C104" s="177">
        <v>0</v>
      </c>
      <c r="D104" s="177">
        <v>20.519788353500026</v>
      </c>
      <c r="E104" s="177">
        <v>338.2527608585354</v>
      </c>
      <c r="F104" s="177">
        <v>27.44832391648896</v>
      </c>
      <c r="G104" s="177">
        <v>310.80443694204644</v>
      </c>
      <c r="H104" s="177">
        <v>7.4576499000420071</v>
      </c>
      <c r="I104" s="177">
        <v>93.565807256448807</v>
      </c>
      <c r="J104" s="177">
        <v>108.07609974809642</v>
      </c>
      <c r="K104" s="177">
        <v>101.7048800374592</v>
      </c>
      <c r="L104" s="196">
        <v>303.34678704200445</v>
      </c>
      <c r="M104" s="176"/>
      <c r="N104" s="175"/>
      <c r="O104" s="176"/>
      <c r="P104" s="176"/>
      <c r="Q104" s="176"/>
      <c r="R104" s="176"/>
      <c r="S104" s="176"/>
      <c r="U104" s="205">
        <v>30189.732</v>
      </c>
      <c r="V104" s="199">
        <f t="shared" si="4"/>
        <v>2014</v>
      </c>
      <c r="AC104" s="174">
        <v>2014</v>
      </c>
      <c r="AD104" s="177">
        <v>68.48</v>
      </c>
      <c r="AE104" s="177">
        <v>24.01</v>
      </c>
      <c r="AF104" s="177">
        <v>0.55000000000000004</v>
      </c>
      <c r="AG104" s="177">
        <v>18.73</v>
      </c>
      <c r="AH104" s="177">
        <v>13.85</v>
      </c>
      <c r="AI104" s="177">
        <v>0.51</v>
      </c>
      <c r="AJ104" s="177">
        <v>3.1</v>
      </c>
      <c r="AK104" s="177" t="s">
        <v>100</v>
      </c>
      <c r="AL104" s="177">
        <v>7.73</v>
      </c>
      <c r="AM104" s="177"/>
    </row>
    <row r="105" spans="1:39" s="81" customFormat="1" ht="13.15" x14ac:dyDescent="0.4">
      <c r="A105" s="616">
        <v>2015</v>
      </c>
      <c r="B105" s="177">
        <v>318.51293495719887</v>
      </c>
      <c r="C105" s="177">
        <v>0</v>
      </c>
      <c r="D105" s="177">
        <v>21.105558818000006</v>
      </c>
      <c r="E105" s="177">
        <v>339.61849377519889</v>
      </c>
      <c r="F105" s="177">
        <v>28.195732879669038</v>
      </c>
      <c r="G105" s="177">
        <v>311.42276089552985</v>
      </c>
      <c r="H105" s="177">
        <v>7.5313834674564442</v>
      </c>
      <c r="I105" s="177">
        <v>93.349754369600092</v>
      </c>
      <c r="J105" s="177">
        <v>107.76384778252712</v>
      </c>
      <c r="K105" s="177">
        <v>102.77777527594614</v>
      </c>
      <c r="L105" s="196">
        <v>303.89137742807338</v>
      </c>
      <c r="M105" s="176"/>
      <c r="N105" s="175"/>
      <c r="O105" s="176"/>
      <c r="P105" s="176"/>
      <c r="Q105" s="176"/>
      <c r="R105" s="176"/>
      <c r="S105" s="176"/>
      <c r="U105" s="205">
        <v>30382</v>
      </c>
      <c r="V105" s="199">
        <f t="shared" si="4"/>
        <v>2015</v>
      </c>
      <c r="AC105" s="174">
        <v>2015</v>
      </c>
      <c r="AD105" s="177">
        <v>66.72</v>
      </c>
      <c r="AE105" s="177">
        <v>18.34</v>
      </c>
      <c r="AF105" s="177">
        <v>0.61</v>
      </c>
      <c r="AG105" s="177">
        <v>18.28</v>
      </c>
      <c r="AH105" s="177">
        <v>15.48</v>
      </c>
      <c r="AI105" s="177">
        <v>0.54</v>
      </c>
      <c r="AJ105" s="177">
        <v>4.1100000000000003</v>
      </c>
      <c r="AK105" s="177" t="s">
        <v>100</v>
      </c>
      <c r="AL105" s="177">
        <v>9.36</v>
      </c>
      <c r="AM105" s="177"/>
    </row>
    <row r="106" spans="1:39" s="81" customFormat="1" ht="13.15" x14ac:dyDescent="0.4">
      <c r="A106" s="616">
        <v>2016</v>
      </c>
      <c r="B106" s="177">
        <v>319.90747919652472</v>
      </c>
      <c r="C106" s="177">
        <v>0</v>
      </c>
      <c r="D106" s="177">
        <v>17.745057307999993</v>
      </c>
      <c r="E106" s="177">
        <v>337.65253650452462</v>
      </c>
      <c r="F106" s="177">
        <v>26.108220830906816</v>
      </c>
      <c r="G106" s="177">
        <v>311.5443156736178</v>
      </c>
      <c r="H106" s="177">
        <v>7.2634714171682191</v>
      </c>
      <c r="I106" s="177">
        <v>93.563454785247288</v>
      </c>
      <c r="J106" s="177">
        <v>108.02504338198162</v>
      </c>
      <c r="K106" s="177">
        <v>102.69234608922069</v>
      </c>
      <c r="L106" s="196">
        <v>304.2808442564496</v>
      </c>
      <c r="M106" s="176"/>
      <c r="N106" s="175"/>
      <c r="O106" s="176"/>
      <c r="P106" s="176"/>
      <c r="Q106" s="176"/>
      <c r="R106" s="176"/>
      <c r="S106" s="176"/>
      <c r="U106" s="205">
        <v>30589</v>
      </c>
      <c r="V106" s="199">
        <f t="shared" si="4"/>
        <v>2016</v>
      </c>
      <c r="AC106" s="174">
        <v>2016</v>
      </c>
      <c r="AD106" s="177">
        <v>63.68</v>
      </c>
      <c r="AE106" s="177">
        <v>7.53</v>
      </c>
      <c r="AF106" s="177">
        <v>0.57999999999999996</v>
      </c>
      <c r="AG106" s="177">
        <v>25.63</v>
      </c>
      <c r="AH106" s="177">
        <v>15.41</v>
      </c>
      <c r="AI106" s="177">
        <v>0.46</v>
      </c>
      <c r="AJ106" s="177">
        <v>4.09</v>
      </c>
      <c r="AK106" s="177" t="s">
        <v>100</v>
      </c>
      <c r="AL106" s="177">
        <v>9.9600000000000009</v>
      </c>
      <c r="AM106" s="177"/>
    </row>
    <row r="107" spans="1:39" s="81" customFormat="1" ht="13.15" x14ac:dyDescent="0.4">
      <c r="A107" s="616">
        <v>2017</v>
      </c>
      <c r="B107" s="177">
        <v>318.84114211533091</v>
      </c>
      <c r="C107" s="177">
        <v>0</v>
      </c>
      <c r="D107" s="177">
        <v>14.759930941826864</v>
      </c>
      <c r="E107" s="177">
        <v>333.60107305715775</v>
      </c>
      <c r="F107" s="177">
        <v>26.584722005093624</v>
      </c>
      <c r="G107" s="177">
        <v>307.01635105206412</v>
      </c>
      <c r="H107" s="177">
        <v>7.14364029761221</v>
      </c>
      <c r="I107" s="177">
        <v>92.531828749346147</v>
      </c>
      <c r="J107" s="177">
        <v>105.36790073945924</v>
      </c>
      <c r="K107" s="177">
        <v>101.97298126564652</v>
      </c>
      <c r="L107" s="196">
        <v>299.87271075445193</v>
      </c>
      <c r="M107" s="176"/>
      <c r="N107" s="175"/>
      <c r="O107" s="176"/>
      <c r="P107" s="176"/>
      <c r="Q107" s="176"/>
      <c r="R107" s="176"/>
      <c r="S107" s="176"/>
      <c r="U107" s="206">
        <v>30822</v>
      </c>
      <c r="V107" s="207">
        <v>2017</v>
      </c>
      <c r="AC107" s="174">
        <v>2017</v>
      </c>
      <c r="AD107" s="177">
        <v>61</v>
      </c>
      <c r="AE107" s="177">
        <v>5.55</v>
      </c>
      <c r="AF107" s="177">
        <v>0.54</v>
      </c>
      <c r="AG107" s="177">
        <v>24.6</v>
      </c>
      <c r="AH107" s="177">
        <v>15.12</v>
      </c>
      <c r="AI107" s="177">
        <v>0.51</v>
      </c>
      <c r="AJ107" s="177">
        <v>5.25</v>
      </c>
      <c r="AK107" s="177" t="s">
        <v>100</v>
      </c>
      <c r="AL107" s="177">
        <v>9.23</v>
      </c>
      <c r="AM107" s="177"/>
    </row>
    <row r="108" spans="1:39" ht="13.15" x14ac:dyDescent="0.4">
      <c r="A108" s="617">
        <v>2018</v>
      </c>
      <c r="B108" s="208">
        <v>314.07617896720291</v>
      </c>
      <c r="C108" s="208">
        <v>0</v>
      </c>
      <c r="D108" s="208">
        <v>19.107650939999999</v>
      </c>
      <c r="E108" s="208">
        <v>333.18382990720289</v>
      </c>
      <c r="F108" s="208">
        <v>26.382989583803408</v>
      </c>
      <c r="G108" s="208">
        <v>306.80084032339948</v>
      </c>
      <c r="H108" s="208">
        <v>6.9393819647398214</v>
      </c>
      <c r="I108" s="208">
        <v>93.236866747387509</v>
      </c>
      <c r="J108" s="208">
        <v>105.06454676977907</v>
      </c>
      <c r="K108" s="208">
        <v>101.5600448414931</v>
      </c>
      <c r="L108" s="209">
        <v>299.86145835865966</v>
      </c>
      <c r="M108" s="158"/>
      <c r="N108" s="182"/>
      <c r="O108" s="158"/>
      <c r="P108" s="158"/>
      <c r="Q108" s="158"/>
      <c r="R108" s="158"/>
      <c r="S108" s="158"/>
      <c r="AC108" s="238">
        <v>2018</v>
      </c>
      <c r="AD108" s="239">
        <v>59.870000000000005</v>
      </c>
      <c r="AE108" s="208">
        <v>4.24</v>
      </c>
      <c r="AF108" s="208">
        <v>0.49</v>
      </c>
      <c r="AG108" s="208">
        <v>23.51</v>
      </c>
      <c r="AH108" s="208">
        <v>14.06</v>
      </c>
      <c r="AI108" s="208">
        <v>0.47</v>
      </c>
      <c r="AJ108" s="208">
        <v>6</v>
      </c>
      <c r="AK108" s="208" t="s">
        <v>100</v>
      </c>
      <c r="AL108" s="208">
        <v>11.1</v>
      </c>
      <c r="AM108" s="208"/>
    </row>
    <row r="109" spans="1:39" hidden="1" x14ac:dyDescent="0.35">
      <c r="B109" s="210" t="s">
        <v>662</v>
      </c>
      <c r="D109" s="210" t="s">
        <v>662</v>
      </c>
      <c r="E109" s="210" t="s">
        <v>662</v>
      </c>
      <c r="F109" s="210" t="s">
        <v>662</v>
      </c>
      <c r="G109" s="210" t="s">
        <v>662</v>
      </c>
      <c r="H109" s="210" t="s">
        <v>662</v>
      </c>
      <c r="I109" s="210" t="s">
        <v>662</v>
      </c>
      <c r="J109" s="210" t="s">
        <v>662</v>
      </c>
      <c r="K109" s="210" t="s">
        <v>662</v>
      </c>
      <c r="L109" s="210" t="s">
        <v>662</v>
      </c>
      <c r="U109" s="211"/>
      <c r="V109" s="212"/>
      <c r="AC109" s="176"/>
      <c r="AD109" s="240"/>
      <c r="AE109" s="240"/>
      <c r="AF109" s="240"/>
      <c r="AG109" s="240"/>
      <c r="AH109" s="240"/>
      <c r="AI109" s="240"/>
      <c r="AJ109" s="193"/>
      <c r="AK109" s="20"/>
      <c r="AL109" s="193"/>
      <c r="AM109" s="177"/>
    </row>
    <row r="110" spans="1:39" ht="13.15" x14ac:dyDescent="0.4">
      <c r="B110" s="213"/>
      <c r="D110" s="213"/>
      <c r="E110" s="213"/>
      <c r="F110" s="213"/>
      <c r="G110" s="213"/>
      <c r="H110" s="213"/>
      <c r="I110" s="213"/>
      <c r="J110" s="213"/>
      <c r="K110" s="213"/>
      <c r="L110" s="213"/>
      <c r="U110" s="214" t="s">
        <v>663</v>
      </c>
      <c r="V110" s="212"/>
      <c r="AC110" s="215" t="s">
        <v>755</v>
      </c>
      <c r="AD110" s="241"/>
      <c r="AE110" s="241"/>
      <c r="AF110" s="241"/>
      <c r="AG110" s="241"/>
      <c r="AH110" s="242"/>
      <c r="AI110" s="242"/>
      <c r="AJ110" s="242"/>
      <c r="AK110" s="241"/>
      <c r="AL110" s="243"/>
      <c r="AM110" s="242"/>
    </row>
    <row r="111" spans="1:39" ht="13.15" x14ac:dyDescent="0.4">
      <c r="A111" s="215" t="s">
        <v>664</v>
      </c>
      <c r="K111" s="216"/>
      <c r="L111" s="81"/>
      <c r="U111" s="217"/>
      <c r="AC111" s="244" t="s">
        <v>756</v>
      </c>
      <c r="AD111" s="245"/>
      <c r="AE111" s="245"/>
      <c r="AF111" s="245"/>
      <c r="AG111" s="241"/>
      <c r="AH111" s="242"/>
      <c r="AI111" s="242"/>
      <c r="AJ111" s="242"/>
      <c r="AK111" s="241"/>
      <c r="AL111" s="241"/>
      <c r="AM111" s="242"/>
    </row>
    <row r="112" spans="1:39" x14ac:dyDescent="0.35">
      <c r="A112" s="218" t="s">
        <v>665</v>
      </c>
      <c r="B112" s="219"/>
      <c r="C112" s="219"/>
      <c r="D112" s="219"/>
      <c r="E112" s="219"/>
      <c r="F112" s="219"/>
      <c r="L112" s="81"/>
      <c r="U112" s="217"/>
      <c r="AC112" s="244" t="s">
        <v>757</v>
      </c>
      <c r="AD112" s="245"/>
      <c r="AE112" s="245"/>
      <c r="AF112" s="245"/>
      <c r="AG112" s="241"/>
      <c r="AH112" s="242"/>
      <c r="AI112" s="242"/>
      <c r="AJ112" s="242"/>
      <c r="AK112" s="241"/>
      <c r="AL112" s="241"/>
      <c r="AM112" s="242"/>
    </row>
    <row r="113" spans="1:39" x14ac:dyDescent="0.35">
      <c r="A113" s="218" t="s">
        <v>666</v>
      </c>
      <c r="B113" s="219"/>
      <c r="C113" s="219"/>
      <c r="D113" s="219"/>
      <c r="E113" s="219"/>
      <c r="F113" s="219"/>
      <c r="L113" s="81"/>
      <c r="AC113" s="244" t="s">
        <v>758</v>
      </c>
      <c r="AD113" s="245"/>
      <c r="AE113" s="245"/>
      <c r="AF113" s="245"/>
      <c r="AG113" s="241"/>
      <c r="AH113" s="242"/>
      <c r="AI113" s="242"/>
      <c r="AJ113" s="242"/>
      <c r="AK113" s="241"/>
      <c r="AL113" s="241"/>
      <c r="AM113" s="241"/>
    </row>
    <row r="114" spans="1:39" x14ac:dyDescent="0.35">
      <c r="A114" s="218" t="s">
        <v>667</v>
      </c>
      <c r="B114" s="219"/>
      <c r="C114" s="219"/>
      <c r="D114" s="219"/>
      <c r="E114" s="219"/>
      <c r="F114" s="219"/>
      <c r="L114" s="81"/>
      <c r="AC114" s="244" t="s">
        <v>759</v>
      </c>
      <c r="AD114" s="245"/>
      <c r="AE114" s="245"/>
      <c r="AF114" s="245"/>
      <c r="AG114" s="241"/>
      <c r="AH114" s="242"/>
      <c r="AI114" s="242"/>
      <c r="AJ114" s="242"/>
      <c r="AK114" s="241"/>
      <c r="AL114" s="241"/>
      <c r="AM114" s="241"/>
    </row>
    <row r="115" spans="1:39" x14ac:dyDescent="0.35">
      <c r="A115" s="218" t="s">
        <v>668</v>
      </c>
      <c r="B115" s="219"/>
      <c r="C115" s="219"/>
      <c r="D115" s="219"/>
      <c r="E115" s="219"/>
      <c r="F115" s="219"/>
      <c r="L115" s="75"/>
      <c r="N115" s="75"/>
      <c r="AC115" s="244" t="s">
        <v>760</v>
      </c>
      <c r="AD115" s="245"/>
      <c r="AE115" s="245"/>
      <c r="AF115" s="245"/>
      <c r="AG115" s="241"/>
      <c r="AH115" s="242"/>
      <c r="AI115" s="242"/>
      <c r="AJ115" s="242"/>
      <c r="AK115" s="241"/>
      <c r="AL115" s="241"/>
      <c r="AM115" s="241"/>
    </row>
    <row r="116" spans="1:39" x14ac:dyDescent="0.35">
      <c r="A116" s="218" t="s">
        <v>669</v>
      </c>
      <c r="B116" s="219"/>
      <c r="C116" s="219"/>
      <c r="D116" s="219"/>
      <c r="E116" s="219"/>
      <c r="F116" s="219"/>
      <c r="L116" s="75"/>
      <c r="N116" s="75"/>
      <c r="AC116" s="218" t="s">
        <v>761</v>
      </c>
      <c r="AD116" s="245"/>
      <c r="AE116" s="245"/>
      <c r="AF116" s="245"/>
      <c r="AG116" s="241"/>
      <c r="AH116" s="242"/>
      <c r="AI116" s="242"/>
      <c r="AJ116" s="242"/>
      <c r="AK116" s="241"/>
      <c r="AL116" s="241"/>
      <c r="AM116" s="241"/>
    </row>
    <row r="117" spans="1:39" x14ac:dyDescent="0.35">
      <c r="A117" s="218" t="s">
        <v>670</v>
      </c>
      <c r="B117" s="219"/>
      <c r="C117" s="219"/>
      <c r="D117" s="219"/>
      <c r="E117" s="219"/>
      <c r="F117" s="219"/>
      <c r="L117" s="81"/>
      <c r="AC117" s="218" t="s">
        <v>762</v>
      </c>
      <c r="AD117" s="245"/>
      <c r="AE117" s="245"/>
      <c r="AF117" s="245"/>
      <c r="AG117" s="241"/>
      <c r="AH117" s="242"/>
      <c r="AI117" s="242"/>
      <c r="AJ117" s="242"/>
      <c r="AK117" s="241"/>
      <c r="AL117" s="241"/>
      <c r="AM117" s="241"/>
    </row>
    <row r="118" spans="1:39" x14ac:dyDescent="0.35">
      <c r="A118" s="218" t="s">
        <v>671</v>
      </c>
      <c r="B118" s="219"/>
      <c r="C118" s="219"/>
      <c r="D118" s="219"/>
      <c r="E118" s="219"/>
      <c r="F118" s="219"/>
      <c r="L118" s="81"/>
      <c r="AC118" s="218" t="s">
        <v>763</v>
      </c>
      <c r="AD118" s="245"/>
      <c r="AE118" s="245"/>
      <c r="AF118" s="245"/>
      <c r="AG118" s="241"/>
      <c r="AH118" s="241"/>
      <c r="AI118" s="241"/>
      <c r="AJ118" s="241"/>
      <c r="AK118" s="241"/>
      <c r="AL118" s="241"/>
      <c r="AM118" s="241"/>
    </row>
    <row r="119" spans="1:39" x14ac:dyDescent="0.35">
      <c r="A119" s="218" t="s">
        <v>672</v>
      </c>
      <c r="B119" s="219"/>
      <c r="C119" s="219"/>
      <c r="D119" s="219"/>
      <c r="E119" s="219"/>
      <c r="F119" s="219"/>
      <c r="L119" s="81"/>
      <c r="AC119" s="244" t="s">
        <v>764</v>
      </c>
      <c r="AD119" s="245"/>
      <c r="AE119" s="245"/>
      <c r="AF119" s="245"/>
      <c r="AG119" s="241"/>
      <c r="AH119" s="241"/>
      <c r="AI119" s="241"/>
      <c r="AJ119" s="241"/>
      <c r="AK119" s="241"/>
      <c r="AL119" s="241"/>
      <c r="AM119" s="241"/>
    </row>
    <row r="120" spans="1:39" x14ac:dyDescent="0.35">
      <c r="A120" s="218" t="s">
        <v>673</v>
      </c>
      <c r="B120" s="219"/>
      <c r="C120" s="219"/>
      <c r="D120" s="219"/>
      <c r="E120" s="219"/>
      <c r="F120" s="219"/>
      <c r="L120" s="81"/>
      <c r="AC120" s="1458" t="s">
        <v>765</v>
      </c>
      <c r="AD120" s="1458"/>
      <c r="AE120" s="1458"/>
      <c r="AF120" s="1458"/>
      <c r="AG120" s="1458"/>
      <c r="AH120" s="1458"/>
      <c r="AI120" s="1458"/>
      <c r="AJ120" s="1458"/>
      <c r="AK120" s="1458"/>
      <c r="AL120" s="1458"/>
      <c r="AM120" s="246"/>
    </row>
    <row r="121" spans="1:39" x14ac:dyDescent="0.35">
      <c r="A121" s="50"/>
      <c r="H121" s="139"/>
      <c r="I121" s="139"/>
      <c r="L121" s="81"/>
      <c r="AC121" s="1458" t="s">
        <v>766</v>
      </c>
      <c r="AD121" s="1458"/>
      <c r="AE121" s="1458"/>
      <c r="AF121" s="1458"/>
      <c r="AG121" s="1458"/>
      <c r="AH121" s="1458"/>
      <c r="AI121" s="1458"/>
      <c r="AJ121" s="1458"/>
      <c r="AK121" s="1458"/>
      <c r="AL121" s="1458"/>
      <c r="AM121" s="246"/>
    </row>
    <row r="122" spans="1:39" ht="13.15" x14ac:dyDescent="0.4">
      <c r="A122" s="215" t="s">
        <v>674</v>
      </c>
      <c r="H122" s="139"/>
      <c r="I122" s="139"/>
      <c r="L122" s="81"/>
      <c r="AC122" s="246"/>
      <c r="AD122" s="246"/>
      <c r="AE122" s="246"/>
      <c r="AF122" s="246"/>
      <c r="AG122" s="246"/>
      <c r="AH122" s="246"/>
      <c r="AI122" s="246"/>
      <c r="AJ122" s="246"/>
      <c r="AK122" s="246"/>
      <c r="AL122" s="246"/>
      <c r="AM122" s="246"/>
    </row>
    <row r="123" spans="1:39" ht="13.15" x14ac:dyDescent="0.4">
      <c r="A123" s="75" t="s">
        <v>675</v>
      </c>
      <c r="L123" s="81"/>
      <c r="AC123" s="215" t="s">
        <v>674</v>
      </c>
      <c r="AD123" s="241"/>
      <c r="AE123" s="241"/>
      <c r="AF123" s="241"/>
      <c r="AG123" s="241"/>
      <c r="AH123" s="247"/>
      <c r="AI123" s="241"/>
      <c r="AJ123" s="241"/>
      <c r="AK123" s="247"/>
      <c r="AL123" s="247"/>
      <c r="AM123" s="241"/>
    </row>
    <row r="124" spans="1:39" x14ac:dyDescent="0.35">
      <c r="A124" s="75" t="s">
        <v>676</v>
      </c>
      <c r="L124" s="81"/>
      <c r="AC124" s="139" t="s">
        <v>767</v>
      </c>
      <c r="AD124" s="241"/>
      <c r="AE124" s="241"/>
      <c r="AF124" s="241"/>
      <c r="AG124" s="241"/>
      <c r="AH124" s="247"/>
      <c r="AI124" s="241"/>
      <c r="AJ124" s="241"/>
      <c r="AK124" s="247"/>
      <c r="AL124" s="247"/>
      <c r="AM124" s="241"/>
    </row>
    <row r="125" spans="1:39" ht="14.25" x14ac:dyDescent="0.45">
      <c r="A125" s="75" t="s">
        <v>677</v>
      </c>
      <c r="B125"/>
      <c r="C125"/>
      <c r="D125"/>
      <c r="E125"/>
      <c r="F125"/>
      <c r="G125"/>
      <c r="H125"/>
      <c r="I125"/>
      <c r="J125"/>
      <c r="K125" s="81"/>
      <c r="L125" s="81"/>
      <c r="AC125" s="139" t="s">
        <v>768</v>
      </c>
      <c r="AD125" s="241"/>
      <c r="AE125" s="241"/>
      <c r="AF125" s="241"/>
      <c r="AG125" s="241"/>
      <c r="AH125" s="241"/>
      <c r="AI125" s="241"/>
      <c r="AJ125" s="241"/>
      <c r="AK125" s="241"/>
      <c r="AL125" s="241"/>
      <c r="AM125" s="241"/>
    </row>
    <row r="126" spans="1:39" ht="14.25" x14ac:dyDescent="0.45">
      <c r="A126" s="75" t="s">
        <v>678</v>
      </c>
      <c r="B126"/>
      <c r="C126"/>
      <c r="D126"/>
      <c r="E126"/>
      <c r="F126"/>
      <c r="K126" s="81"/>
      <c r="L126" s="75"/>
      <c r="AC126" s="248" t="s">
        <v>769</v>
      </c>
      <c r="AD126" s="55"/>
      <c r="AE126" s="55"/>
      <c r="AF126" s="55"/>
      <c r="AG126" s="55"/>
      <c r="AH126" s="55"/>
      <c r="AI126" s="55"/>
      <c r="AJ126" s="55"/>
      <c r="AK126" s="55"/>
      <c r="AL126" s="241"/>
      <c r="AM126" s="241"/>
    </row>
    <row r="127" spans="1:39" ht="14.25" x14ac:dyDescent="0.45">
      <c r="A127" s="75" t="s">
        <v>679</v>
      </c>
      <c r="B127"/>
      <c r="C127"/>
      <c r="D127"/>
      <c r="E127"/>
      <c r="F127"/>
      <c r="K127" s="220"/>
      <c r="L127" s="75"/>
      <c r="AC127" s="248" t="s">
        <v>770</v>
      </c>
      <c r="AD127" s="55"/>
      <c r="AE127" s="55"/>
      <c r="AF127" s="55"/>
      <c r="AG127" s="55"/>
      <c r="AH127" s="55"/>
      <c r="AI127" s="55"/>
      <c r="AJ127" s="55"/>
      <c r="AK127" s="55"/>
      <c r="AL127" s="241"/>
      <c r="AM127" s="241"/>
    </row>
    <row r="128" spans="1:39" s="50" customFormat="1" x14ac:dyDescent="0.35">
      <c r="A128" s="75" t="s">
        <v>680</v>
      </c>
      <c r="B128" s="55"/>
      <c r="C128" s="55"/>
      <c r="D128" s="55"/>
      <c r="E128" s="55"/>
      <c r="F128" s="55"/>
      <c r="G128" s="55"/>
      <c r="H128" s="55"/>
      <c r="I128" s="55"/>
      <c r="J128" s="55"/>
      <c r="K128" s="221"/>
      <c r="N128" s="222"/>
      <c r="U128" s="75"/>
      <c r="V128" s="75"/>
      <c r="AC128" s="248" t="s">
        <v>771</v>
      </c>
      <c r="AD128" s="55"/>
      <c r="AE128" s="55"/>
      <c r="AF128" s="55"/>
      <c r="AG128" s="55"/>
      <c r="AH128" s="55"/>
      <c r="AI128" s="55"/>
      <c r="AJ128" s="55"/>
      <c r="AK128" s="55"/>
      <c r="AL128" s="241"/>
      <c r="AM128" s="241"/>
    </row>
    <row r="129" spans="1:39" ht="14.25" x14ac:dyDescent="0.45">
      <c r="A129" s="75" t="s">
        <v>681</v>
      </c>
      <c r="B129"/>
      <c r="C129"/>
      <c r="D129"/>
      <c r="E129"/>
      <c r="F129"/>
      <c r="G129"/>
      <c r="H129"/>
      <c r="I129"/>
      <c r="J129"/>
      <c r="K129" s="223"/>
      <c r="L129" s="75"/>
      <c r="U129" s="50"/>
      <c r="V129" s="50"/>
      <c r="AC129" s="248" t="s">
        <v>772</v>
      </c>
      <c r="AD129" s="55"/>
      <c r="AE129" s="55"/>
      <c r="AF129" s="55"/>
      <c r="AG129" s="55"/>
      <c r="AH129" s="55"/>
      <c r="AI129" s="55"/>
      <c r="AJ129" s="55"/>
      <c r="AK129" s="55"/>
      <c r="AL129" s="241"/>
      <c r="AM129" s="241"/>
    </row>
    <row r="130" spans="1:39" ht="14.25" x14ac:dyDescent="0.45">
      <c r="A130" s="75" t="s">
        <v>682</v>
      </c>
      <c r="B130"/>
      <c r="C130"/>
      <c r="D130"/>
      <c r="E130"/>
      <c r="F130"/>
      <c r="G130"/>
      <c r="H130"/>
      <c r="I130"/>
      <c r="J130"/>
      <c r="K130" s="223"/>
      <c r="L130" s="75"/>
      <c r="AC130" s="248" t="s">
        <v>773</v>
      </c>
      <c r="AD130" s="55"/>
      <c r="AE130" s="55"/>
      <c r="AF130" s="55"/>
      <c r="AG130" s="55"/>
      <c r="AH130" s="55"/>
      <c r="AI130" s="55"/>
      <c r="AJ130" s="55"/>
      <c r="AK130" s="55"/>
      <c r="AL130" s="241"/>
      <c r="AM130" s="241"/>
    </row>
    <row r="131" spans="1:39" ht="14.25" x14ac:dyDescent="0.45">
      <c r="A131" s="75" t="s">
        <v>683</v>
      </c>
      <c r="B131"/>
      <c r="C131"/>
      <c r="D131"/>
      <c r="E131"/>
      <c r="F131"/>
      <c r="G131"/>
      <c r="H131"/>
      <c r="I131"/>
      <c r="J131"/>
      <c r="L131" s="75"/>
      <c r="AC131" s="248" t="s">
        <v>774</v>
      </c>
      <c r="AD131" s="55"/>
      <c r="AE131" s="55"/>
      <c r="AF131" s="55"/>
      <c r="AG131" s="55"/>
      <c r="AH131" s="55"/>
      <c r="AI131" s="55"/>
      <c r="AJ131" s="55"/>
      <c r="AK131" s="55"/>
      <c r="AL131" s="241"/>
      <c r="AM131" s="241"/>
    </row>
    <row r="132" spans="1:39" ht="14.25" x14ac:dyDescent="0.45">
      <c r="A132" s="75" t="s">
        <v>684</v>
      </c>
      <c r="B132"/>
      <c r="C132"/>
      <c r="D132"/>
      <c r="E132"/>
      <c r="F132"/>
      <c r="G132"/>
      <c r="H132"/>
      <c r="I132"/>
      <c r="J132"/>
      <c r="K132" s="217"/>
      <c r="L132" s="75"/>
      <c r="AC132" s="248" t="s">
        <v>775</v>
      </c>
      <c r="AD132" s="55"/>
      <c r="AE132" s="55"/>
      <c r="AF132" s="55"/>
      <c r="AG132" s="55"/>
      <c r="AH132" s="55"/>
      <c r="AI132" s="55"/>
      <c r="AJ132" s="55"/>
      <c r="AK132" s="55"/>
      <c r="AL132" s="241"/>
      <c r="AM132" s="241"/>
    </row>
    <row r="133" spans="1:39" s="50" customFormat="1" x14ac:dyDescent="0.35">
      <c r="A133" s="75" t="s">
        <v>685</v>
      </c>
      <c r="B133" s="55"/>
      <c r="C133" s="55"/>
      <c r="D133" s="55"/>
      <c r="E133" s="55"/>
      <c r="F133" s="55"/>
      <c r="G133" s="55"/>
      <c r="H133" s="55"/>
      <c r="I133" s="55"/>
      <c r="J133" s="55"/>
      <c r="K133" s="224"/>
      <c r="N133" s="222"/>
      <c r="U133" s="75"/>
      <c r="V133" s="75"/>
      <c r="AC133" s="248" t="s">
        <v>776</v>
      </c>
      <c r="AD133" s="55"/>
      <c r="AE133" s="55"/>
      <c r="AF133" s="55"/>
      <c r="AG133" s="55"/>
      <c r="AH133" s="55"/>
      <c r="AI133" s="55"/>
      <c r="AJ133" s="55"/>
      <c r="AK133" s="55"/>
      <c r="AL133" s="241"/>
      <c r="AM133" s="241"/>
    </row>
    <row r="134" spans="1:39" ht="14.25" x14ac:dyDescent="0.45">
      <c r="A134" s="75" t="s">
        <v>686</v>
      </c>
      <c r="B134"/>
      <c r="C134"/>
      <c r="D134"/>
      <c r="E134"/>
      <c r="F134"/>
      <c r="G134"/>
      <c r="H134"/>
      <c r="I134"/>
      <c r="J134"/>
      <c r="K134" s="217"/>
      <c r="L134" s="75"/>
      <c r="U134" s="50"/>
      <c r="V134" s="50"/>
      <c r="AC134" s="139" t="s">
        <v>777</v>
      </c>
      <c r="AD134" s="55"/>
      <c r="AE134" s="55"/>
      <c r="AF134" s="55"/>
      <c r="AG134" s="55"/>
      <c r="AH134" s="55"/>
      <c r="AI134" s="55"/>
      <c r="AJ134" s="55"/>
      <c r="AK134" s="55"/>
      <c r="AL134" s="241"/>
      <c r="AM134" s="241"/>
    </row>
    <row r="135" spans="1:39" ht="14.25" x14ac:dyDescent="0.45">
      <c r="A135" s="75" t="s">
        <v>687</v>
      </c>
      <c r="B135"/>
      <c r="C135"/>
      <c r="D135"/>
      <c r="E135"/>
      <c r="F135"/>
      <c r="G135"/>
      <c r="H135"/>
      <c r="I135"/>
      <c r="J135"/>
      <c r="K135" s="217"/>
      <c r="L135" s="75"/>
      <c r="AC135" s="248" t="s">
        <v>778</v>
      </c>
      <c r="AD135" s="55"/>
      <c r="AE135" s="55"/>
      <c r="AF135" s="55"/>
      <c r="AG135" s="55"/>
      <c r="AH135" s="55"/>
      <c r="AI135" s="55"/>
      <c r="AJ135" s="55"/>
      <c r="AK135" s="55"/>
      <c r="AL135" s="241"/>
      <c r="AM135" s="241"/>
    </row>
    <row r="136" spans="1:39" ht="14.25" x14ac:dyDescent="0.45">
      <c r="A136" s="75" t="s">
        <v>688</v>
      </c>
      <c r="B136"/>
      <c r="C136"/>
      <c r="D136"/>
      <c r="E136"/>
      <c r="F136"/>
      <c r="G136"/>
      <c r="H136"/>
      <c r="I136"/>
      <c r="J136"/>
      <c r="K136" s="217"/>
      <c r="L136" s="75"/>
      <c r="AC136" s="248" t="s">
        <v>779</v>
      </c>
      <c r="AD136" s="55"/>
      <c r="AE136" s="55"/>
      <c r="AF136" s="55"/>
      <c r="AG136" s="55"/>
      <c r="AH136" s="55"/>
      <c r="AI136" s="55"/>
      <c r="AJ136" s="55"/>
      <c r="AK136" s="55"/>
      <c r="AL136" s="241"/>
      <c r="AM136" s="241"/>
    </row>
    <row r="137" spans="1:39" s="50" customFormat="1" x14ac:dyDescent="0.35">
      <c r="A137" s="75" t="s">
        <v>689</v>
      </c>
      <c r="B137" s="55"/>
      <c r="C137" s="55"/>
      <c r="D137" s="55"/>
      <c r="E137" s="55"/>
      <c r="F137" s="55"/>
      <c r="G137" s="55"/>
      <c r="H137" s="55"/>
      <c r="I137" s="55"/>
      <c r="J137" s="55"/>
      <c r="K137" s="224"/>
      <c r="N137" s="222"/>
      <c r="U137" s="75"/>
      <c r="V137" s="75"/>
      <c r="AC137" s="248" t="s">
        <v>780</v>
      </c>
      <c r="AD137" s="55"/>
      <c r="AE137" s="55"/>
      <c r="AF137" s="55"/>
      <c r="AG137" s="55"/>
      <c r="AH137" s="55"/>
      <c r="AI137" s="55"/>
      <c r="AJ137" s="55"/>
      <c r="AK137" s="55"/>
      <c r="AL137" s="241"/>
      <c r="AM137" s="241"/>
    </row>
    <row r="138" spans="1:39" ht="14.25" x14ac:dyDescent="0.45">
      <c r="A138" s="75" t="s">
        <v>690</v>
      </c>
      <c r="B138"/>
      <c r="C138"/>
      <c r="D138"/>
      <c r="E138"/>
      <c r="F138"/>
      <c r="G138"/>
      <c r="H138"/>
      <c r="I138"/>
      <c r="J138"/>
      <c r="K138" s="217"/>
      <c r="L138" s="75"/>
      <c r="U138" s="50"/>
      <c r="V138" s="50"/>
      <c r="AC138" s="248" t="s">
        <v>781</v>
      </c>
      <c r="AD138" s="55"/>
      <c r="AE138" s="55"/>
      <c r="AF138" s="55"/>
      <c r="AG138" s="55"/>
      <c r="AH138" s="55"/>
      <c r="AI138" s="55"/>
      <c r="AJ138" s="55"/>
      <c r="AK138" s="55"/>
      <c r="AL138" s="241"/>
      <c r="AM138" s="241"/>
    </row>
    <row r="139" spans="1:39" ht="14.25" x14ac:dyDescent="0.45">
      <c r="A139" s="75" t="s">
        <v>691</v>
      </c>
      <c r="B139"/>
      <c r="C139"/>
      <c r="D139"/>
      <c r="E139"/>
      <c r="F139"/>
      <c r="G139"/>
      <c r="H139"/>
      <c r="I139"/>
      <c r="J139"/>
      <c r="K139" s="217"/>
      <c r="L139" s="75"/>
      <c r="AC139" s="248" t="s">
        <v>782</v>
      </c>
      <c r="AD139" s="55"/>
      <c r="AE139" s="55"/>
      <c r="AF139" s="55"/>
      <c r="AG139" s="55"/>
      <c r="AH139" s="55"/>
      <c r="AI139" s="55"/>
      <c r="AJ139" s="55"/>
      <c r="AK139" s="55"/>
      <c r="AL139" s="241"/>
      <c r="AM139" s="241"/>
    </row>
    <row r="140" spans="1:39" ht="14.25" x14ac:dyDescent="0.45">
      <c r="A140" s="75" t="s">
        <v>692</v>
      </c>
      <c r="B140"/>
      <c r="C140"/>
      <c r="D140"/>
      <c r="E140"/>
      <c r="F140"/>
      <c r="G140"/>
      <c r="H140"/>
      <c r="I140"/>
      <c r="J140"/>
      <c r="K140" s="217"/>
      <c r="L140" s="75"/>
      <c r="AC140" s="248" t="s">
        <v>783</v>
      </c>
      <c r="AD140" s="55"/>
      <c r="AE140" s="55"/>
      <c r="AF140" s="55"/>
      <c r="AG140" s="55"/>
      <c r="AH140" s="55"/>
      <c r="AI140" s="55"/>
      <c r="AJ140" s="55"/>
      <c r="AK140" s="55"/>
      <c r="AL140" s="241"/>
      <c r="AM140" s="241"/>
    </row>
    <row r="141" spans="1:39" ht="14.25" x14ac:dyDescent="0.45">
      <c r="A141" s="75" t="s">
        <v>693</v>
      </c>
      <c r="B141"/>
      <c r="C141"/>
      <c r="D141"/>
      <c r="E141"/>
      <c r="F141"/>
      <c r="G141"/>
      <c r="H141"/>
      <c r="I141"/>
      <c r="J141"/>
      <c r="K141" s="217"/>
      <c r="L141" s="75"/>
      <c r="AC141" s="248" t="s">
        <v>784</v>
      </c>
      <c r="AD141" s="55"/>
      <c r="AE141" s="55"/>
      <c r="AF141" s="55"/>
      <c r="AG141" s="55"/>
      <c r="AH141" s="55"/>
      <c r="AI141" s="55"/>
      <c r="AJ141" s="55"/>
      <c r="AK141" s="55"/>
      <c r="AL141" s="241"/>
      <c r="AM141" s="241"/>
    </row>
    <row r="142" spans="1:39" ht="14.25" x14ac:dyDescent="0.45">
      <c r="A142" s="75" t="s">
        <v>694</v>
      </c>
      <c r="B142"/>
      <c r="C142"/>
      <c r="D142"/>
      <c r="E142"/>
      <c r="F142"/>
      <c r="G142"/>
      <c r="H142"/>
      <c r="I142"/>
      <c r="J142"/>
      <c r="K142" s="217"/>
      <c r="L142" s="75"/>
      <c r="AC142" s="248" t="s">
        <v>785</v>
      </c>
      <c r="AD142" s="55"/>
      <c r="AE142" s="55"/>
      <c r="AF142" s="55"/>
      <c r="AG142" s="55"/>
      <c r="AH142" s="55"/>
      <c r="AI142" s="55"/>
      <c r="AJ142" s="55"/>
      <c r="AK142" s="55"/>
      <c r="AL142" s="241"/>
      <c r="AM142" s="241"/>
    </row>
    <row r="143" spans="1:39" ht="14.25" x14ac:dyDescent="0.45">
      <c r="A143" s="75" t="s">
        <v>695</v>
      </c>
      <c r="B143"/>
      <c r="C143"/>
      <c r="D143"/>
      <c r="E143"/>
      <c r="F143"/>
      <c r="G143"/>
      <c r="H143"/>
      <c r="I143"/>
      <c r="J143"/>
      <c r="K143" s="217"/>
      <c r="L143" s="75"/>
      <c r="AC143" s="248" t="s">
        <v>786</v>
      </c>
      <c r="AD143" s="55"/>
      <c r="AE143" s="55"/>
      <c r="AF143" s="55"/>
      <c r="AG143" s="55"/>
      <c r="AH143" s="55"/>
      <c r="AI143" s="55"/>
      <c r="AJ143" s="55"/>
      <c r="AK143" s="55"/>
      <c r="AL143" s="241"/>
      <c r="AM143" s="241"/>
    </row>
    <row r="144" spans="1:39" s="50" customFormat="1" x14ac:dyDescent="0.35">
      <c r="A144" s="75" t="s">
        <v>696</v>
      </c>
      <c r="B144" s="55"/>
      <c r="C144" s="55"/>
      <c r="D144" s="55"/>
      <c r="E144" s="55"/>
      <c r="F144" s="55"/>
      <c r="G144" s="55"/>
      <c r="H144" s="55"/>
      <c r="I144" s="55"/>
      <c r="J144" s="55"/>
      <c r="K144" s="224"/>
      <c r="N144" s="222"/>
      <c r="U144" s="75"/>
      <c r="V144" s="75"/>
      <c r="AC144" s="248" t="s">
        <v>787</v>
      </c>
      <c r="AD144" s="55"/>
      <c r="AE144" s="55"/>
      <c r="AF144" s="55"/>
      <c r="AG144" s="55"/>
      <c r="AH144" s="55"/>
      <c r="AI144" s="55"/>
      <c r="AJ144" s="55"/>
      <c r="AK144" s="55"/>
      <c r="AL144" s="241"/>
      <c r="AM144" s="241"/>
    </row>
    <row r="145" spans="1:39" ht="14.25" x14ac:dyDescent="0.45">
      <c r="A145" s="75" t="s">
        <v>697</v>
      </c>
      <c r="B145"/>
      <c r="C145"/>
      <c r="D145"/>
      <c r="E145"/>
      <c r="F145"/>
      <c r="G145"/>
      <c r="H145"/>
      <c r="I145"/>
      <c r="J145"/>
      <c r="K145" s="217"/>
      <c r="L145" s="75"/>
      <c r="U145" s="50"/>
      <c r="V145" s="50"/>
      <c r="AC145" s="248" t="s">
        <v>788</v>
      </c>
      <c r="AD145" s="55"/>
      <c r="AE145" s="55"/>
      <c r="AF145" s="55"/>
      <c r="AG145" s="55"/>
      <c r="AH145" s="55"/>
      <c r="AI145" s="55"/>
      <c r="AJ145" s="55"/>
      <c r="AK145" s="55"/>
      <c r="AL145" s="241"/>
      <c r="AM145" s="241"/>
    </row>
    <row r="146" spans="1:39" s="50" customFormat="1" x14ac:dyDescent="0.35">
      <c r="A146" s="75" t="s">
        <v>698</v>
      </c>
      <c r="B146" s="55"/>
      <c r="C146" s="55"/>
      <c r="D146" s="55"/>
      <c r="E146" s="55"/>
      <c r="F146" s="55"/>
      <c r="G146" s="55"/>
      <c r="H146" s="55"/>
      <c r="I146" s="55"/>
      <c r="J146" s="55"/>
      <c r="K146" s="224"/>
      <c r="N146" s="222"/>
      <c r="U146" s="75"/>
      <c r="V146" s="75"/>
      <c r="AC146" s="248" t="s">
        <v>789</v>
      </c>
      <c r="AD146" s="55"/>
      <c r="AE146" s="55"/>
      <c r="AF146" s="55"/>
      <c r="AG146" s="55"/>
      <c r="AH146" s="241"/>
      <c r="AI146" s="55"/>
      <c r="AJ146" s="55"/>
      <c r="AK146" s="55"/>
      <c r="AL146" s="241"/>
      <c r="AM146" s="241"/>
    </row>
    <row r="147" spans="1:39" ht="14.25" x14ac:dyDescent="0.45">
      <c r="A147" s="75" t="s">
        <v>699</v>
      </c>
      <c r="B147"/>
      <c r="C147"/>
      <c r="D147"/>
      <c r="E147"/>
      <c r="F147"/>
      <c r="G147"/>
      <c r="H147"/>
      <c r="I147"/>
      <c r="J147"/>
      <c r="K147" s="217"/>
      <c r="L147" s="75"/>
      <c r="U147" s="50"/>
      <c r="V147" s="50"/>
      <c r="AC147" s="248" t="s">
        <v>790</v>
      </c>
      <c r="AD147" s="55"/>
      <c r="AE147" s="55"/>
      <c r="AF147" s="55"/>
      <c r="AG147" s="55"/>
      <c r="AH147" s="55"/>
      <c r="AI147" s="55"/>
      <c r="AJ147" s="55"/>
      <c r="AK147" s="55"/>
      <c r="AL147" s="241"/>
      <c r="AM147" s="241"/>
    </row>
    <row r="148" spans="1:39" s="50" customFormat="1" x14ac:dyDescent="0.35">
      <c r="A148" s="75" t="s">
        <v>700</v>
      </c>
      <c r="B148" s="55"/>
      <c r="C148" s="55"/>
      <c r="D148" s="55"/>
      <c r="E148" s="55"/>
      <c r="F148" s="55"/>
      <c r="G148" s="55"/>
      <c r="H148" s="55"/>
      <c r="I148" s="55"/>
      <c r="J148" s="55"/>
      <c r="K148" s="224"/>
      <c r="N148" s="222"/>
      <c r="U148" s="75"/>
      <c r="V148" s="75"/>
      <c r="AC148" s="248" t="s">
        <v>791</v>
      </c>
      <c r="AD148" s="55"/>
      <c r="AE148" s="55"/>
      <c r="AF148" s="55"/>
      <c r="AG148" s="55"/>
      <c r="AH148" s="55"/>
      <c r="AI148" s="55"/>
      <c r="AJ148" s="55"/>
      <c r="AK148" s="55"/>
      <c r="AL148" s="241"/>
      <c r="AM148" s="241"/>
    </row>
    <row r="149" spans="1:39" ht="14.25" x14ac:dyDescent="0.45">
      <c r="A149" s="75" t="s">
        <v>701</v>
      </c>
      <c r="B149"/>
      <c r="C149"/>
      <c r="D149"/>
      <c r="E149"/>
      <c r="F149"/>
      <c r="G149"/>
      <c r="H149"/>
      <c r="I149"/>
      <c r="J149"/>
      <c r="K149" s="217"/>
      <c r="L149" s="75"/>
      <c r="U149" s="50"/>
      <c r="V149" s="50"/>
      <c r="AC149" s="248" t="s">
        <v>792</v>
      </c>
      <c r="AD149" s="55"/>
      <c r="AE149" s="55"/>
      <c r="AF149" s="55"/>
      <c r="AG149" s="55"/>
      <c r="AH149" s="55"/>
      <c r="AI149" s="55"/>
      <c r="AJ149" s="55"/>
      <c r="AK149" s="55"/>
      <c r="AL149" s="241"/>
      <c r="AM149" s="241"/>
    </row>
    <row r="150" spans="1:39" s="50" customFormat="1" x14ac:dyDescent="0.35">
      <c r="A150" s="75" t="s">
        <v>702</v>
      </c>
      <c r="B150" s="55"/>
      <c r="C150" s="55"/>
      <c r="D150" s="55"/>
      <c r="E150" s="55"/>
      <c r="F150" s="55"/>
      <c r="G150" s="55"/>
      <c r="H150" s="55"/>
      <c r="I150" s="55"/>
      <c r="J150" s="55"/>
      <c r="K150" s="224"/>
      <c r="N150" s="222"/>
      <c r="U150" s="75"/>
      <c r="V150" s="75"/>
      <c r="AC150" s="248" t="s">
        <v>793</v>
      </c>
      <c r="AD150" s="55"/>
      <c r="AE150" s="55"/>
      <c r="AF150" s="55"/>
      <c r="AG150" s="55"/>
      <c r="AH150" s="55"/>
      <c r="AI150" s="55"/>
      <c r="AJ150" s="55"/>
      <c r="AK150" s="55"/>
      <c r="AL150" s="249"/>
      <c r="AM150" s="241"/>
    </row>
    <row r="151" spans="1:39" ht="14.25" x14ac:dyDescent="0.45">
      <c r="A151" s="75" t="s">
        <v>703</v>
      </c>
      <c r="B151"/>
      <c r="C151"/>
      <c r="D151"/>
      <c r="E151"/>
      <c r="F151"/>
      <c r="G151"/>
      <c r="H151"/>
      <c r="I151"/>
      <c r="J151"/>
      <c r="K151" s="217"/>
      <c r="L151" s="75"/>
      <c r="U151" s="50"/>
      <c r="V151" s="50"/>
      <c r="AC151" s="248" t="s">
        <v>794</v>
      </c>
      <c r="AD151" s="55"/>
      <c r="AE151" s="55"/>
      <c r="AF151" s="55"/>
      <c r="AG151" s="55"/>
      <c r="AH151" s="55"/>
      <c r="AI151" s="55"/>
      <c r="AJ151" s="55"/>
      <c r="AK151" s="55"/>
      <c r="AL151" s="241"/>
      <c r="AM151" s="241"/>
    </row>
    <row r="152" spans="1:39" s="50" customFormat="1" x14ac:dyDescent="0.35">
      <c r="A152" s="75" t="s">
        <v>704</v>
      </c>
      <c r="B152" s="55"/>
      <c r="C152" s="55"/>
      <c r="D152" s="55"/>
      <c r="E152" s="55"/>
      <c r="F152" s="55"/>
      <c r="G152" s="55"/>
      <c r="H152" s="55"/>
      <c r="I152" s="55"/>
      <c r="J152" s="55"/>
      <c r="K152" s="224"/>
      <c r="N152" s="222"/>
      <c r="U152" s="75"/>
      <c r="V152" s="75"/>
      <c r="AC152" s="248" t="s">
        <v>795</v>
      </c>
      <c r="AD152" s="55"/>
      <c r="AE152" s="55"/>
      <c r="AF152" s="55"/>
      <c r="AG152" s="55"/>
      <c r="AH152" s="55"/>
      <c r="AI152" s="55"/>
      <c r="AJ152" s="55"/>
      <c r="AK152" s="55"/>
      <c r="AL152" s="241"/>
      <c r="AM152" s="241"/>
    </row>
    <row r="153" spans="1:39" ht="14.25" x14ac:dyDescent="0.45">
      <c r="A153" s="75" t="s">
        <v>705</v>
      </c>
      <c r="B153"/>
      <c r="C153"/>
      <c r="D153"/>
      <c r="E153"/>
      <c r="F153"/>
      <c r="G153"/>
      <c r="H153"/>
      <c r="I153"/>
      <c r="J153"/>
      <c r="K153" s="217"/>
      <c r="L153" s="75"/>
      <c r="U153" s="50"/>
      <c r="V153" s="50"/>
      <c r="AC153" s="248" t="s">
        <v>796</v>
      </c>
      <c r="AD153" s="55"/>
      <c r="AE153" s="55"/>
      <c r="AF153" s="55"/>
      <c r="AG153" s="55"/>
      <c r="AH153" s="55"/>
      <c r="AI153" s="55"/>
      <c r="AJ153" s="55"/>
      <c r="AK153" s="55"/>
      <c r="AL153" s="250"/>
      <c r="AM153" s="250"/>
    </row>
    <row r="154" spans="1:39" s="50" customFormat="1" x14ac:dyDescent="0.35">
      <c r="A154" s="75" t="s">
        <v>706</v>
      </c>
      <c r="B154" s="55"/>
      <c r="C154" s="55"/>
      <c r="D154" s="55"/>
      <c r="E154" s="55"/>
      <c r="F154" s="55"/>
      <c r="G154" s="55"/>
      <c r="H154" s="55"/>
      <c r="I154" s="55"/>
      <c r="J154" s="55"/>
      <c r="K154" s="224"/>
      <c r="N154" s="222"/>
      <c r="U154" s="75"/>
      <c r="V154" s="75"/>
      <c r="AC154" s="248" t="s">
        <v>797</v>
      </c>
      <c r="AD154" s="55"/>
      <c r="AE154" s="55"/>
      <c r="AF154" s="55"/>
      <c r="AG154" s="55"/>
      <c r="AH154" s="55"/>
      <c r="AI154" s="55"/>
      <c r="AJ154" s="55"/>
      <c r="AK154" s="55"/>
      <c r="AL154" s="250"/>
      <c r="AM154" s="250"/>
    </row>
    <row r="155" spans="1:39" ht="14.25" x14ac:dyDescent="0.45">
      <c r="A155" s="75" t="s">
        <v>707</v>
      </c>
      <c r="B155"/>
      <c r="C155"/>
      <c r="D155"/>
      <c r="E155"/>
      <c r="F155"/>
      <c r="G155"/>
      <c r="H155"/>
      <c r="I155"/>
      <c r="J155"/>
      <c r="K155" s="217"/>
      <c r="L155" s="75"/>
      <c r="U155" s="50"/>
      <c r="V155" s="50"/>
      <c r="AC155" s="248" t="s">
        <v>798</v>
      </c>
      <c r="AD155" s="55"/>
      <c r="AE155" s="55"/>
      <c r="AF155" s="55"/>
      <c r="AG155" s="55"/>
      <c r="AH155" s="55"/>
      <c r="AI155" s="55"/>
      <c r="AJ155" s="55"/>
      <c r="AK155" s="55"/>
      <c r="AL155" s="250"/>
      <c r="AM155" s="250"/>
    </row>
    <row r="156" spans="1:39" s="50" customFormat="1" x14ac:dyDescent="0.35">
      <c r="A156" s="75" t="s">
        <v>708</v>
      </c>
      <c r="B156" s="55"/>
      <c r="C156" s="55"/>
      <c r="D156" s="55"/>
      <c r="E156" s="55"/>
      <c r="F156" s="55"/>
      <c r="G156" s="55"/>
      <c r="H156" s="55"/>
      <c r="I156" s="55"/>
      <c r="J156" s="55"/>
      <c r="K156" s="224"/>
      <c r="N156" s="222"/>
      <c r="U156" s="75"/>
      <c r="V156" s="75"/>
      <c r="AC156" s="139" t="s">
        <v>799</v>
      </c>
      <c r="AD156" s="55"/>
      <c r="AE156" s="55"/>
      <c r="AF156" s="55"/>
      <c r="AG156" s="55"/>
      <c r="AH156" s="55"/>
      <c r="AI156" s="55"/>
      <c r="AJ156" s="55"/>
      <c r="AK156" s="55"/>
      <c r="AL156" s="241"/>
      <c r="AM156" s="241"/>
    </row>
    <row r="157" spans="1:39" ht="14.25" x14ac:dyDescent="0.45">
      <c r="A157" s="75" t="s">
        <v>709</v>
      </c>
      <c r="B157"/>
      <c r="C157"/>
      <c r="D157"/>
      <c r="E157"/>
      <c r="F157"/>
      <c r="G157"/>
      <c r="H157"/>
      <c r="I157"/>
      <c r="J157"/>
      <c r="K157" s="217"/>
      <c r="L157" s="75"/>
      <c r="U157" s="50"/>
      <c r="V157" s="50"/>
      <c r="AC157" s="248" t="s">
        <v>800</v>
      </c>
      <c r="AD157" s="55"/>
      <c r="AE157" s="55"/>
      <c r="AF157" s="55"/>
      <c r="AG157" s="55"/>
      <c r="AH157" s="55"/>
      <c r="AI157" s="55"/>
      <c r="AJ157" s="55"/>
      <c r="AK157" s="55"/>
      <c r="AL157" s="1457"/>
      <c r="AM157" s="1457"/>
    </row>
    <row r="158" spans="1:39" s="50" customFormat="1" x14ac:dyDescent="0.35">
      <c r="A158" s="75" t="s">
        <v>710</v>
      </c>
      <c r="B158" s="55"/>
      <c r="C158" s="55"/>
      <c r="D158" s="55"/>
      <c r="E158" s="55"/>
      <c r="F158" s="55"/>
      <c r="G158" s="55"/>
      <c r="H158" s="55"/>
      <c r="I158" s="55"/>
      <c r="J158" s="55"/>
      <c r="K158" s="224"/>
      <c r="N158" s="222"/>
      <c r="U158" s="75"/>
      <c r="V158" s="75"/>
      <c r="AC158" s="248" t="s">
        <v>801</v>
      </c>
      <c r="AD158" s="55"/>
      <c r="AE158" s="55"/>
      <c r="AF158" s="55"/>
      <c r="AG158" s="55"/>
      <c r="AH158" s="55"/>
      <c r="AI158" s="55"/>
      <c r="AJ158" s="55"/>
      <c r="AK158" s="55"/>
      <c r="AL158" s="250"/>
      <c r="AM158" s="250"/>
    </row>
    <row r="159" spans="1:39" ht="14.25" x14ac:dyDescent="0.45">
      <c r="A159" s="138" t="s">
        <v>711</v>
      </c>
      <c r="B159"/>
      <c r="C159"/>
      <c r="D159"/>
      <c r="E159"/>
      <c r="F159"/>
      <c r="G159"/>
      <c r="H159"/>
      <c r="I159"/>
      <c r="J159"/>
      <c r="K159" s="217"/>
      <c r="L159" s="75"/>
      <c r="U159" s="50"/>
      <c r="V159" s="50"/>
      <c r="AC159" s="248" t="s">
        <v>802</v>
      </c>
      <c r="AD159" s="55"/>
      <c r="AE159" s="55"/>
      <c r="AF159" s="55"/>
      <c r="AG159" s="55"/>
      <c r="AH159" s="55"/>
      <c r="AI159" s="55"/>
      <c r="AJ159" s="55"/>
      <c r="AK159" s="55"/>
      <c r="AL159" s="251"/>
      <c r="AM159" s="251"/>
    </row>
    <row r="160" spans="1:39" ht="14.25" x14ac:dyDescent="0.45">
      <c r="A160" s="138" t="s">
        <v>712</v>
      </c>
      <c r="B160"/>
      <c r="C160"/>
      <c r="D160"/>
      <c r="E160"/>
      <c r="F160"/>
      <c r="G160"/>
      <c r="H160"/>
      <c r="I160"/>
      <c r="J160"/>
      <c r="K160" s="217"/>
      <c r="L160" s="75"/>
      <c r="AC160" s="248" t="s">
        <v>803</v>
      </c>
      <c r="AD160" s="55"/>
      <c r="AE160" s="55"/>
      <c r="AF160" s="55"/>
      <c r="AG160" s="55"/>
      <c r="AH160" s="55"/>
      <c r="AI160" s="55"/>
      <c r="AJ160" s="55"/>
      <c r="AK160" s="55"/>
      <c r="AL160" s="252"/>
      <c r="AM160" s="252"/>
    </row>
    <row r="161" spans="1:39" ht="14.25" x14ac:dyDescent="0.45">
      <c r="A161" s="138" t="s">
        <v>713</v>
      </c>
      <c r="B161"/>
      <c r="C161"/>
      <c r="D161"/>
      <c r="E161"/>
      <c r="F161"/>
      <c r="G161"/>
      <c r="H161"/>
      <c r="I161"/>
      <c r="J161"/>
      <c r="K161" s="217"/>
      <c r="L161" s="75"/>
      <c r="AC161" s="248" t="s">
        <v>804</v>
      </c>
      <c r="AD161" s="55"/>
      <c r="AE161" s="55"/>
      <c r="AF161" s="55"/>
      <c r="AG161" s="55"/>
      <c r="AH161" s="55"/>
      <c r="AI161" s="55"/>
      <c r="AJ161" s="55"/>
      <c r="AK161" s="55"/>
      <c r="AL161" s="252"/>
      <c r="AM161" s="252"/>
    </row>
    <row r="162" spans="1:39" ht="14.25" x14ac:dyDescent="0.45">
      <c r="A162" s="225" t="s">
        <v>714</v>
      </c>
      <c r="B162"/>
      <c r="C162"/>
      <c r="D162"/>
      <c r="E162"/>
      <c r="F162"/>
      <c r="G162"/>
      <c r="H162"/>
      <c r="I162"/>
      <c r="J162"/>
      <c r="L162" s="81"/>
      <c r="AC162" s="248" t="s">
        <v>805</v>
      </c>
      <c r="AD162" s="55"/>
      <c r="AE162" s="55"/>
      <c r="AF162" s="55"/>
      <c r="AG162" s="55"/>
      <c r="AH162" s="55"/>
      <c r="AI162" s="55"/>
      <c r="AJ162" s="55"/>
      <c r="AK162" s="55"/>
      <c r="AL162" s="252"/>
      <c r="AM162" s="252"/>
    </row>
    <row r="163" spans="1:39" ht="14.25" x14ac:dyDescent="0.45">
      <c r="A163" s="138" t="s">
        <v>715</v>
      </c>
      <c r="B163"/>
      <c r="C163"/>
      <c r="D163"/>
      <c r="E163"/>
      <c r="F163"/>
      <c r="G163"/>
      <c r="H163"/>
      <c r="I163"/>
      <c r="J163"/>
      <c r="L163" s="81"/>
      <c r="AC163" s="248" t="s">
        <v>806</v>
      </c>
      <c r="AD163" s="55"/>
      <c r="AE163" s="55"/>
      <c r="AF163" s="55"/>
      <c r="AG163" s="55"/>
      <c r="AH163" s="55"/>
      <c r="AI163" s="55"/>
      <c r="AJ163" s="55"/>
      <c r="AK163" s="55"/>
      <c r="AL163" s="252"/>
      <c r="AM163" s="252"/>
    </row>
    <row r="164" spans="1:39" ht="14.25" x14ac:dyDescent="0.45">
      <c r="A164" s="138" t="s">
        <v>716</v>
      </c>
      <c r="B164"/>
      <c r="C164"/>
      <c r="D164"/>
      <c r="E164"/>
      <c r="F164"/>
      <c r="G164"/>
      <c r="H164"/>
      <c r="I164"/>
      <c r="J164"/>
      <c r="L164" s="81"/>
      <c r="AC164" s="248" t="s">
        <v>807</v>
      </c>
      <c r="AD164" s="55"/>
      <c r="AE164" s="55"/>
      <c r="AF164" s="55"/>
      <c r="AG164" s="55"/>
      <c r="AH164" s="55"/>
      <c r="AI164" s="55"/>
      <c r="AJ164" s="55"/>
      <c r="AK164" s="55"/>
      <c r="AL164" s="252"/>
      <c r="AM164" s="252"/>
    </row>
    <row r="165" spans="1:39" ht="14.25" x14ac:dyDescent="0.45">
      <c r="A165" s="138" t="s">
        <v>717</v>
      </c>
      <c r="B165"/>
      <c r="C165"/>
      <c r="D165"/>
      <c r="E165"/>
      <c r="F165"/>
      <c r="G165"/>
      <c r="H165"/>
      <c r="I165"/>
      <c r="J165"/>
      <c r="L165" s="81"/>
      <c r="AC165" s="139" t="s">
        <v>808</v>
      </c>
      <c r="AD165" s="55"/>
      <c r="AE165" s="55"/>
      <c r="AF165" s="55"/>
      <c r="AG165" s="55"/>
      <c r="AH165" s="55"/>
      <c r="AI165" s="55"/>
      <c r="AJ165" s="55"/>
      <c r="AK165" s="55"/>
      <c r="AL165" s="252"/>
      <c r="AM165" s="252"/>
    </row>
    <row r="166" spans="1:39" ht="14.25" x14ac:dyDescent="0.45">
      <c r="A166" s="138" t="s">
        <v>718</v>
      </c>
      <c r="B166"/>
      <c r="C166"/>
      <c r="D166"/>
      <c r="E166"/>
      <c r="F166"/>
      <c r="G166"/>
      <c r="H166"/>
      <c r="I166"/>
      <c r="J166"/>
      <c r="L166" s="81"/>
      <c r="AC166" s="248" t="s">
        <v>809</v>
      </c>
      <c r="AD166" s="55"/>
      <c r="AE166" s="55"/>
      <c r="AF166" s="55"/>
      <c r="AG166" s="55"/>
      <c r="AH166" s="55"/>
      <c r="AI166" s="55"/>
      <c r="AJ166" s="55"/>
      <c r="AK166" s="55"/>
      <c r="AL166" s="252"/>
      <c r="AM166" s="252"/>
    </row>
    <row r="167" spans="1:39" ht="14.25" x14ac:dyDescent="0.45">
      <c r="A167" s="138" t="s">
        <v>719</v>
      </c>
      <c r="B167"/>
      <c r="C167"/>
      <c r="D167"/>
      <c r="E167"/>
      <c r="F167"/>
      <c r="G167"/>
      <c r="H167"/>
      <c r="I167"/>
      <c r="J167"/>
      <c r="L167" s="81"/>
      <c r="AC167" s="55"/>
      <c r="AD167" s="55"/>
      <c r="AE167" s="55"/>
      <c r="AF167" s="55"/>
      <c r="AG167" s="55"/>
      <c r="AH167" s="55"/>
      <c r="AI167" s="55"/>
      <c r="AJ167" s="55"/>
      <c r="AK167" s="55"/>
      <c r="AL167" s="252"/>
      <c r="AM167" s="252"/>
    </row>
    <row r="168" spans="1:39" ht="14.25" x14ac:dyDescent="0.45">
      <c r="A168" s="138" t="s">
        <v>720</v>
      </c>
      <c r="B168"/>
      <c r="C168"/>
      <c r="D168"/>
      <c r="E168"/>
      <c r="F168"/>
      <c r="G168"/>
      <c r="H168"/>
      <c r="I168"/>
      <c r="J168"/>
      <c r="L168" s="81"/>
      <c r="AC168" s="55"/>
      <c r="AD168" s="55"/>
      <c r="AE168" s="55"/>
      <c r="AF168" s="55"/>
      <c r="AG168" s="55"/>
      <c r="AH168" s="55"/>
      <c r="AI168" s="55"/>
      <c r="AJ168" s="55"/>
      <c r="AK168" s="55"/>
      <c r="AL168" s="252"/>
      <c r="AM168" s="252"/>
    </row>
    <row r="169" spans="1:39" ht="14.25" x14ac:dyDescent="0.45">
      <c r="A169" s="138" t="s">
        <v>721</v>
      </c>
      <c r="B169"/>
      <c r="C169"/>
      <c r="D169"/>
      <c r="E169"/>
      <c r="F169"/>
      <c r="G169"/>
      <c r="H169"/>
      <c r="I169"/>
      <c r="J169"/>
      <c r="L169" s="81"/>
      <c r="AC169" s="55"/>
      <c r="AD169" s="55"/>
      <c r="AE169" s="55"/>
      <c r="AF169" s="55"/>
      <c r="AG169" s="55"/>
      <c r="AH169" s="55"/>
      <c r="AI169" s="55"/>
      <c r="AJ169" s="55"/>
      <c r="AK169" s="55"/>
      <c r="AL169" s="252"/>
      <c r="AM169" s="252"/>
    </row>
    <row r="170" spans="1:39" ht="14.25" x14ac:dyDescent="0.45">
      <c r="A170" s="138" t="s">
        <v>722</v>
      </c>
      <c r="B170"/>
      <c r="C170"/>
      <c r="D170"/>
      <c r="E170"/>
      <c r="F170"/>
      <c r="G170"/>
      <c r="H170"/>
      <c r="I170"/>
      <c r="J170"/>
      <c r="L170" s="81"/>
      <c r="AC170" s="55"/>
      <c r="AD170" s="55"/>
      <c r="AE170" s="55"/>
      <c r="AF170" s="55"/>
      <c r="AG170" s="55"/>
      <c r="AH170" s="55"/>
      <c r="AI170" s="55"/>
      <c r="AJ170" s="55"/>
      <c r="AK170" s="55"/>
      <c r="AL170" s="252"/>
      <c r="AM170" s="252"/>
    </row>
    <row r="171" spans="1:39" ht="14.25" x14ac:dyDescent="0.45">
      <c r="A171" s="138" t="s">
        <v>723</v>
      </c>
      <c r="B171"/>
      <c r="C171"/>
      <c r="D171"/>
      <c r="E171"/>
      <c r="F171"/>
      <c r="G171"/>
      <c r="H171"/>
      <c r="I171"/>
      <c r="J171"/>
      <c r="L171" s="81"/>
      <c r="AC171" s="55"/>
      <c r="AD171" s="55"/>
      <c r="AE171" s="55"/>
      <c r="AF171" s="55"/>
      <c r="AG171" s="55"/>
      <c r="AH171" s="55"/>
      <c r="AI171" s="55"/>
      <c r="AJ171" s="55"/>
      <c r="AK171" s="55"/>
      <c r="AL171" s="252"/>
      <c r="AM171" s="252"/>
    </row>
    <row r="172" spans="1:39" ht="14.25" x14ac:dyDescent="0.45">
      <c r="A172" s="138" t="s">
        <v>724</v>
      </c>
      <c r="B172"/>
      <c r="C172"/>
      <c r="D172"/>
      <c r="E172"/>
      <c r="F172"/>
      <c r="G172"/>
      <c r="H172"/>
      <c r="I172"/>
      <c r="J172"/>
      <c r="L172" s="81"/>
      <c r="AC172" s="55"/>
      <c r="AD172" s="55"/>
      <c r="AE172" s="55"/>
      <c r="AF172" s="55"/>
      <c r="AG172" s="55"/>
      <c r="AH172" s="55"/>
      <c r="AI172" s="55"/>
      <c r="AJ172" s="55"/>
      <c r="AK172" s="55"/>
      <c r="AL172" s="252"/>
      <c r="AM172" s="252"/>
    </row>
    <row r="173" spans="1:39" ht="14.25" x14ac:dyDescent="0.45">
      <c r="A173" s="138" t="s">
        <v>725</v>
      </c>
      <c r="B173"/>
      <c r="C173"/>
      <c r="D173"/>
      <c r="E173"/>
      <c r="F173"/>
      <c r="G173"/>
      <c r="H173"/>
      <c r="I173"/>
      <c r="J173"/>
      <c r="L173" s="81"/>
      <c r="AC173" s="55"/>
      <c r="AD173" s="55"/>
      <c r="AE173" s="55"/>
      <c r="AF173" s="55"/>
      <c r="AG173" s="55"/>
      <c r="AH173" s="55"/>
      <c r="AI173" s="55"/>
      <c r="AJ173" s="55"/>
      <c r="AK173" s="55"/>
      <c r="AL173" s="253"/>
      <c r="AM173" s="253"/>
    </row>
    <row r="174" spans="1:39" ht="14.25" x14ac:dyDescent="0.45">
      <c r="A174" s="138" t="s">
        <v>726</v>
      </c>
      <c r="B174"/>
      <c r="C174"/>
      <c r="D174"/>
      <c r="E174"/>
      <c r="F174"/>
      <c r="G174"/>
      <c r="H174"/>
      <c r="I174"/>
      <c r="J174"/>
      <c r="L174" s="81"/>
      <c r="AC174" s="55"/>
      <c r="AD174" s="55"/>
      <c r="AE174" s="55"/>
      <c r="AF174" s="55"/>
      <c r="AG174" s="55"/>
      <c r="AH174" s="55"/>
      <c r="AI174" s="55"/>
      <c r="AJ174" s="55"/>
      <c r="AK174" s="55"/>
      <c r="AL174" s="252"/>
      <c r="AM174" s="252"/>
    </row>
    <row r="175" spans="1:39" ht="14.25" x14ac:dyDescent="0.45">
      <c r="A175" s="138" t="s">
        <v>727</v>
      </c>
      <c r="B175"/>
      <c r="C175"/>
      <c r="D175"/>
      <c r="E175"/>
      <c r="F175"/>
      <c r="G175"/>
      <c r="H175"/>
      <c r="I175"/>
      <c r="J175"/>
      <c r="L175" s="81"/>
      <c r="AC175" s="55"/>
      <c r="AD175" s="55"/>
      <c r="AE175" s="55"/>
      <c r="AF175" s="55"/>
      <c r="AG175" s="55"/>
      <c r="AH175" s="55"/>
      <c r="AI175" s="55"/>
      <c r="AJ175" s="55"/>
      <c r="AK175" s="55"/>
      <c r="AL175" s="252"/>
      <c r="AM175" s="252"/>
    </row>
    <row r="176" spans="1:39" ht="14.25" x14ac:dyDescent="0.45">
      <c r="A176" s="138" t="s">
        <v>728</v>
      </c>
      <c r="B176"/>
      <c r="C176"/>
      <c r="D176"/>
      <c r="E176"/>
      <c r="F176"/>
      <c r="G176"/>
      <c r="H176"/>
      <c r="I176"/>
      <c r="J176"/>
      <c r="L176" s="81"/>
    </row>
    <row r="177" spans="1:12" ht="14.25" x14ac:dyDescent="0.45">
      <c r="A177" s="138" t="s">
        <v>729</v>
      </c>
      <c r="B177"/>
      <c r="C177"/>
      <c r="D177"/>
      <c r="E177"/>
      <c r="F177"/>
      <c r="G177"/>
      <c r="H177"/>
      <c r="I177"/>
      <c r="J177"/>
      <c r="L177" s="81"/>
    </row>
    <row r="178" spans="1:12" ht="14.25" x14ac:dyDescent="0.45">
      <c r="A178" s="138" t="s">
        <v>730</v>
      </c>
      <c r="B178"/>
      <c r="C178"/>
      <c r="D178"/>
      <c r="E178"/>
      <c r="F178"/>
      <c r="G178"/>
      <c r="H178"/>
      <c r="I178"/>
      <c r="J178"/>
      <c r="L178" s="81"/>
    </row>
    <row r="179" spans="1:12" ht="14.25" x14ac:dyDescent="0.45">
      <c r="A179" t="s">
        <v>731</v>
      </c>
      <c r="B179"/>
      <c r="C179"/>
      <c r="D179"/>
      <c r="E179"/>
      <c r="F179"/>
      <c r="G179"/>
      <c r="H179"/>
      <c r="I179"/>
      <c r="J179"/>
      <c r="L179" s="81"/>
    </row>
    <row r="180" spans="1:12" ht="14.25" x14ac:dyDescent="0.45">
      <c r="A180" t="s">
        <v>732</v>
      </c>
      <c r="B180"/>
      <c r="C180"/>
      <c r="D180"/>
      <c r="E180"/>
      <c r="F180"/>
      <c r="G180"/>
      <c r="H180"/>
      <c r="I180"/>
      <c r="J180"/>
      <c r="L180" s="81"/>
    </row>
    <row r="181" spans="1:12" ht="14.25" x14ac:dyDescent="0.45">
      <c r="A181" t="s">
        <v>733</v>
      </c>
      <c r="B181"/>
      <c r="C181"/>
      <c r="D181"/>
      <c r="E181"/>
      <c r="F181"/>
      <c r="G181"/>
      <c r="H181"/>
      <c r="I181"/>
      <c r="J181"/>
      <c r="L181" s="81"/>
    </row>
    <row r="182" spans="1:12" ht="14.25" x14ac:dyDescent="0.45">
      <c r="A182" t="s">
        <v>734</v>
      </c>
      <c r="B182"/>
      <c r="C182"/>
      <c r="D182"/>
      <c r="E182"/>
      <c r="F182"/>
      <c r="G182"/>
      <c r="H182"/>
      <c r="I182"/>
      <c r="J182"/>
      <c r="L182" s="81"/>
    </row>
    <row r="183" spans="1:12" ht="14.25" x14ac:dyDescent="0.45">
      <c r="A183" t="s">
        <v>735</v>
      </c>
      <c r="B183"/>
      <c r="C183"/>
      <c r="D183"/>
      <c r="E183"/>
      <c r="F183"/>
      <c r="G183"/>
      <c r="H183"/>
      <c r="I183"/>
      <c r="J183"/>
      <c r="L183" s="81"/>
    </row>
    <row r="184" spans="1:12" ht="14.25" x14ac:dyDescent="0.45">
      <c r="A184" s="226" t="s">
        <v>736</v>
      </c>
      <c r="B184"/>
      <c r="C184"/>
      <c r="D184"/>
      <c r="E184"/>
      <c r="F184"/>
      <c r="G184"/>
      <c r="H184"/>
      <c r="I184"/>
      <c r="J184"/>
      <c r="L184" s="81"/>
    </row>
    <row r="185" spans="1:12" ht="14.25" x14ac:dyDescent="0.45">
      <c r="A185"/>
      <c r="B185"/>
      <c r="C185"/>
      <c r="D185"/>
      <c r="E185"/>
      <c r="F185"/>
      <c r="G185"/>
      <c r="H185"/>
      <c r="I185"/>
      <c r="J185"/>
      <c r="L185" s="81"/>
    </row>
    <row r="186" spans="1:12" ht="14.25" x14ac:dyDescent="0.45">
      <c r="A186"/>
      <c r="B186"/>
      <c r="C186"/>
      <c r="D186"/>
      <c r="E186"/>
      <c r="F186"/>
      <c r="G186"/>
      <c r="H186"/>
      <c r="I186"/>
      <c r="J186"/>
      <c r="L186" s="81"/>
    </row>
    <row r="187" spans="1:12" ht="14.25" x14ac:dyDescent="0.45">
      <c r="A187"/>
      <c r="B187"/>
      <c r="C187"/>
      <c r="D187"/>
      <c r="E187"/>
      <c r="F187"/>
      <c r="G187"/>
      <c r="H187"/>
      <c r="I187"/>
      <c r="J187"/>
      <c r="L187" s="81"/>
    </row>
    <row r="188" spans="1:12" ht="14.25" x14ac:dyDescent="0.45">
      <c r="A188"/>
      <c r="B188"/>
      <c r="C188"/>
      <c r="D188"/>
      <c r="E188"/>
      <c r="F188"/>
      <c r="G188"/>
      <c r="H188"/>
      <c r="I188"/>
      <c r="J188"/>
      <c r="L188" s="81"/>
    </row>
    <row r="189" spans="1:12" ht="14.25" x14ac:dyDescent="0.45">
      <c r="A189"/>
      <c r="B189"/>
      <c r="C189"/>
      <c r="D189"/>
      <c r="E189"/>
      <c r="F189"/>
      <c r="G189"/>
      <c r="H189"/>
      <c r="I189"/>
      <c r="J189"/>
      <c r="L189" s="81"/>
    </row>
    <row r="190" spans="1:12" ht="14.25" x14ac:dyDescent="0.45">
      <c r="A190"/>
      <c r="B190"/>
      <c r="C190"/>
      <c r="D190"/>
      <c r="E190"/>
      <c r="F190"/>
      <c r="G190"/>
      <c r="H190"/>
      <c r="I190"/>
      <c r="J190"/>
      <c r="L190" s="81"/>
    </row>
    <row r="191" spans="1:12" ht="14.25" x14ac:dyDescent="0.45">
      <c r="A191"/>
      <c r="B191"/>
      <c r="C191"/>
      <c r="D191"/>
      <c r="E191"/>
      <c r="F191"/>
      <c r="G191"/>
      <c r="H191"/>
      <c r="I191"/>
      <c r="J191"/>
      <c r="L191" s="81"/>
    </row>
    <row r="192" spans="1:12" ht="14.25" x14ac:dyDescent="0.45">
      <c r="A192"/>
      <c r="B192"/>
      <c r="C192"/>
      <c r="D192"/>
      <c r="E192"/>
      <c r="F192"/>
      <c r="G192"/>
      <c r="H192"/>
      <c r="I192"/>
      <c r="J192"/>
      <c r="L192" s="81"/>
    </row>
    <row r="193" spans="1:12" ht="14.25" x14ac:dyDescent="0.45">
      <c r="A193"/>
      <c r="B193"/>
      <c r="C193"/>
      <c r="D193"/>
      <c r="E193"/>
      <c r="F193"/>
      <c r="G193"/>
      <c r="H193"/>
      <c r="I193"/>
      <c r="J193"/>
      <c r="L193" s="81"/>
    </row>
    <row r="194" spans="1:12" ht="14.25" x14ac:dyDescent="0.45">
      <c r="A194"/>
      <c r="B194"/>
      <c r="C194"/>
      <c r="D194"/>
      <c r="E194"/>
      <c r="F194"/>
      <c r="G194"/>
      <c r="H194"/>
      <c r="I194"/>
      <c r="J194"/>
      <c r="L194" s="81"/>
    </row>
    <row r="195" spans="1:12" ht="14.25" x14ac:dyDescent="0.45">
      <c r="A195"/>
      <c r="B195"/>
      <c r="C195"/>
      <c r="D195"/>
      <c r="E195"/>
      <c r="F195"/>
      <c r="G195"/>
      <c r="H195"/>
      <c r="I195"/>
      <c r="J195"/>
      <c r="L195" s="81"/>
    </row>
    <row r="196" spans="1:12" ht="14.25" x14ac:dyDescent="0.45">
      <c r="A196"/>
      <c r="B196"/>
      <c r="C196"/>
      <c r="D196"/>
      <c r="E196"/>
      <c r="F196"/>
      <c r="G196"/>
      <c r="H196"/>
      <c r="I196"/>
      <c r="J196"/>
      <c r="L196" s="81"/>
    </row>
    <row r="197" spans="1:12" ht="14.25" x14ac:dyDescent="0.45">
      <c r="A197"/>
      <c r="B197"/>
      <c r="C197"/>
      <c r="D197"/>
      <c r="E197"/>
      <c r="F197"/>
      <c r="G197"/>
      <c r="H197"/>
      <c r="I197"/>
      <c r="J197"/>
      <c r="L197" s="81"/>
    </row>
    <row r="198" spans="1:12" ht="14.25" x14ac:dyDescent="0.45">
      <c r="A198"/>
      <c r="B198"/>
      <c r="C198"/>
      <c r="D198"/>
      <c r="E198"/>
      <c r="F198"/>
      <c r="G198"/>
      <c r="H198"/>
      <c r="I198"/>
      <c r="J198"/>
      <c r="L198" s="81"/>
    </row>
    <row r="199" spans="1:12" ht="14.25" x14ac:dyDescent="0.45">
      <c r="A199"/>
      <c r="B199"/>
      <c r="C199"/>
      <c r="D199"/>
      <c r="E199"/>
      <c r="F199"/>
      <c r="G199"/>
      <c r="H199"/>
      <c r="I199"/>
      <c r="J199"/>
      <c r="L199" s="81"/>
    </row>
    <row r="200" spans="1:12" ht="14.25" x14ac:dyDescent="0.45">
      <c r="A200"/>
      <c r="B200"/>
      <c r="C200"/>
      <c r="D200"/>
      <c r="E200"/>
      <c r="F200"/>
      <c r="G200"/>
      <c r="H200"/>
      <c r="I200"/>
      <c r="J200"/>
      <c r="L200" s="81"/>
    </row>
    <row r="201" spans="1:12" ht="14.25" x14ac:dyDescent="0.45">
      <c r="A201"/>
      <c r="B201"/>
      <c r="C201"/>
      <c r="D201"/>
      <c r="E201"/>
      <c r="F201"/>
      <c r="G201"/>
      <c r="H201"/>
      <c r="I201"/>
      <c r="J201"/>
      <c r="L201" s="81"/>
    </row>
    <row r="202" spans="1:12" ht="14.25" x14ac:dyDescent="0.45">
      <c r="A202"/>
      <c r="B202"/>
      <c r="C202"/>
      <c r="D202"/>
      <c r="E202"/>
      <c r="F202"/>
      <c r="G202"/>
      <c r="H202"/>
      <c r="I202"/>
      <c r="J202"/>
      <c r="L202" s="81"/>
    </row>
    <row r="203" spans="1:12" ht="14.25" x14ac:dyDescent="0.45">
      <c r="A203"/>
      <c r="B203"/>
      <c r="C203"/>
      <c r="D203"/>
      <c r="E203"/>
      <c r="F203"/>
      <c r="G203"/>
      <c r="H203"/>
      <c r="I203"/>
      <c r="J203"/>
      <c r="L203" s="81"/>
    </row>
    <row r="204" spans="1:12" ht="14.25" x14ac:dyDescent="0.45">
      <c r="A204"/>
      <c r="B204"/>
      <c r="C204"/>
      <c r="D204"/>
      <c r="E204"/>
      <c r="F204"/>
      <c r="G204"/>
      <c r="H204"/>
      <c r="I204"/>
      <c r="J204"/>
      <c r="L204" s="81"/>
    </row>
    <row r="205" spans="1:12" ht="14.25" x14ac:dyDescent="0.45">
      <c r="A205"/>
      <c r="B205"/>
      <c r="C205"/>
      <c r="D205"/>
      <c r="E205"/>
      <c r="F205"/>
      <c r="G205"/>
      <c r="H205"/>
      <c r="I205"/>
      <c r="J205"/>
      <c r="L205" s="81"/>
    </row>
    <row r="206" spans="1:12" ht="14.25" x14ac:dyDescent="0.45">
      <c r="A206"/>
      <c r="B206"/>
      <c r="C206"/>
      <c r="D206"/>
      <c r="E206"/>
      <c r="F206"/>
      <c r="G206"/>
      <c r="H206"/>
      <c r="I206"/>
      <c r="J206"/>
      <c r="L206" s="81"/>
    </row>
    <row r="207" spans="1:12" ht="14.25" x14ac:dyDescent="0.45">
      <c r="A207"/>
      <c r="B207"/>
      <c r="C207"/>
      <c r="D207"/>
      <c r="E207"/>
      <c r="F207"/>
      <c r="G207"/>
      <c r="H207"/>
      <c r="I207"/>
      <c r="J207"/>
      <c r="L207" s="81"/>
    </row>
    <row r="208" spans="1:12" ht="14.25" x14ac:dyDescent="0.45">
      <c r="A208"/>
      <c r="B208"/>
      <c r="C208"/>
      <c r="D208"/>
      <c r="E208"/>
      <c r="F208"/>
      <c r="G208"/>
      <c r="H208"/>
      <c r="I208"/>
      <c r="J208"/>
      <c r="L208" s="81"/>
    </row>
    <row r="209" spans="1:12" ht="14.25" x14ac:dyDescent="0.45">
      <c r="A209"/>
      <c r="B209"/>
      <c r="C209"/>
      <c r="D209"/>
      <c r="E209"/>
      <c r="F209"/>
      <c r="G209"/>
      <c r="H209"/>
      <c r="I209"/>
      <c r="J209"/>
      <c r="L209" s="81"/>
    </row>
    <row r="210" spans="1:12" ht="14.25" x14ac:dyDescent="0.45">
      <c r="A210"/>
      <c r="B210"/>
      <c r="C210"/>
      <c r="D210"/>
      <c r="E210"/>
      <c r="F210"/>
      <c r="G210"/>
      <c r="H210"/>
      <c r="I210"/>
      <c r="J210"/>
      <c r="L210" s="81"/>
    </row>
    <row r="211" spans="1:12" ht="14.25" x14ac:dyDescent="0.45">
      <c r="A211"/>
      <c r="B211"/>
      <c r="C211"/>
      <c r="D211"/>
      <c r="E211"/>
      <c r="F211"/>
      <c r="G211"/>
      <c r="H211"/>
      <c r="I211"/>
      <c r="J211"/>
      <c r="L211" s="81"/>
    </row>
    <row r="212" spans="1:12" ht="14.25" x14ac:dyDescent="0.45">
      <c r="A212"/>
      <c r="B212"/>
      <c r="C212"/>
      <c r="D212"/>
      <c r="E212"/>
      <c r="F212"/>
      <c r="G212"/>
      <c r="H212"/>
      <c r="I212"/>
      <c r="J212"/>
      <c r="L212" s="81"/>
    </row>
    <row r="213" spans="1:12" ht="14.25" x14ac:dyDescent="0.45">
      <c r="A213"/>
      <c r="B213"/>
      <c r="C213"/>
      <c r="D213"/>
      <c r="E213"/>
      <c r="F213"/>
      <c r="G213"/>
      <c r="H213"/>
      <c r="I213"/>
      <c r="J213"/>
      <c r="L213" s="81"/>
    </row>
    <row r="214" spans="1:12" ht="14.25" x14ac:dyDescent="0.45">
      <c r="A214"/>
      <c r="B214"/>
      <c r="C214"/>
      <c r="D214"/>
      <c r="E214"/>
      <c r="F214"/>
      <c r="G214"/>
      <c r="H214"/>
      <c r="I214"/>
      <c r="J214"/>
      <c r="L214" s="81"/>
    </row>
    <row r="215" spans="1:12" ht="14.25" x14ac:dyDescent="0.45">
      <c r="A215"/>
      <c r="B215"/>
      <c r="C215"/>
      <c r="D215"/>
      <c r="E215"/>
      <c r="F215"/>
      <c r="G215"/>
      <c r="H215"/>
      <c r="I215"/>
      <c r="J215"/>
      <c r="L215" s="81"/>
    </row>
    <row r="216" spans="1:12" ht="14.25" x14ac:dyDescent="0.45">
      <c r="A216"/>
      <c r="B216"/>
      <c r="C216"/>
      <c r="D216"/>
      <c r="E216"/>
      <c r="F216"/>
      <c r="G216"/>
      <c r="H216"/>
      <c r="I216"/>
      <c r="J216"/>
      <c r="L216" s="81"/>
    </row>
    <row r="217" spans="1:12" ht="14.25" x14ac:dyDescent="0.45">
      <c r="A217"/>
      <c r="B217"/>
      <c r="C217"/>
      <c r="D217"/>
      <c r="E217"/>
      <c r="F217"/>
      <c r="G217"/>
      <c r="H217"/>
      <c r="I217"/>
      <c r="J217"/>
      <c r="L217" s="81"/>
    </row>
    <row r="218" spans="1:12" ht="14.25" x14ac:dyDescent="0.45">
      <c r="A218"/>
      <c r="B218"/>
      <c r="C218"/>
      <c r="D218"/>
      <c r="E218"/>
      <c r="F218"/>
      <c r="G218"/>
      <c r="H218"/>
      <c r="I218"/>
      <c r="J218"/>
      <c r="L218" s="81"/>
    </row>
    <row r="219" spans="1:12" ht="14.25" x14ac:dyDescent="0.45">
      <c r="A219"/>
      <c r="B219"/>
      <c r="C219"/>
      <c r="D219"/>
      <c r="E219"/>
      <c r="F219"/>
      <c r="G219"/>
      <c r="H219"/>
      <c r="I219"/>
      <c r="J219"/>
      <c r="L219" s="81"/>
    </row>
    <row r="220" spans="1:12" ht="14.25" x14ac:dyDescent="0.45">
      <c r="A220"/>
      <c r="B220"/>
      <c r="C220"/>
      <c r="D220"/>
      <c r="E220"/>
      <c r="F220"/>
      <c r="G220"/>
      <c r="H220"/>
      <c r="I220"/>
      <c r="J220"/>
      <c r="L220" s="81"/>
    </row>
    <row r="221" spans="1:12" ht="14.25" x14ac:dyDescent="0.45">
      <c r="A221"/>
      <c r="B221"/>
      <c r="C221"/>
      <c r="D221"/>
      <c r="E221"/>
      <c r="F221"/>
      <c r="G221"/>
      <c r="H221"/>
      <c r="I221"/>
      <c r="J221"/>
      <c r="L221" s="81"/>
    </row>
    <row r="222" spans="1:12" ht="14.25" x14ac:dyDescent="0.45">
      <c r="A222"/>
      <c r="B222"/>
      <c r="C222"/>
      <c r="D222"/>
      <c r="E222"/>
      <c r="F222"/>
      <c r="G222"/>
      <c r="H222"/>
      <c r="I222"/>
      <c r="J222"/>
      <c r="L222" s="81"/>
    </row>
    <row r="223" spans="1:12" ht="14.25" x14ac:dyDescent="0.45">
      <c r="A223"/>
      <c r="B223"/>
      <c r="C223"/>
      <c r="D223"/>
      <c r="E223"/>
      <c r="F223"/>
      <c r="G223"/>
      <c r="H223"/>
      <c r="I223"/>
      <c r="J223"/>
      <c r="L223" s="81"/>
    </row>
    <row r="224" spans="1:12" ht="14.25" x14ac:dyDescent="0.45">
      <c r="A224"/>
      <c r="B224"/>
      <c r="C224"/>
      <c r="D224"/>
      <c r="E224"/>
      <c r="F224"/>
      <c r="G224"/>
      <c r="H224"/>
      <c r="I224"/>
      <c r="J224"/>
      <c r="L224" s="81"/>
    </row>
    <row r="225" spans="1:12" ht="14.25" x14ac:dyDescent="0.45">
      <c r="A225"/>
      <c r="B225"/>
      <c r="C225"/>
      <c r="D225"/>
      <c r="E225"/>
      <c r="F225"/>
      <c r="G225"/>
      <c r="H225"/>
      <c r="I225"/>
      <c r="J225"/>
      <c r="L225" s="81"/>
    </row>
    <row r="226" spans="1:12" ht="14.25" x14ac:dyDescent="0.45">
      <c r="A226"/>
      <c r="B226"/>
      <c r="C226"/>
      <c r="D226"/>
      <c r="E226"/>
      <c r="F226"/>
      <c r="G226"/>
      <c r="H226"/>
      <c r="I226"/>
      <c r="J226"/>
      <c r="L226" s="81"/>
    </row>
    <row r="227" spans="1:12" ht="14.25" x14ac:dyDescent="0.45">
      <c r="A227"/>
      <c r="B227"/>
      <c r="C227"/>
      <c r="D227"/>
      <c r="E227"/>
      <c r="F227"/>
      <c r="G227"/>
      <c r="H227"/>
      <c r="I227"/>
      <c r="J227"/>
      <c r="L227" s="81"/>
    </row>
    <row r="228" spans="1:12" ht="14.25" x14ac:dyDescent="0.45">
      <c r="A228"/>
      <c r="B228"/>
      <c r="C228"/>
      <c r="D228"/>
      <c r="E228"/>
      <c r="F228"/>
      <c r="G228"/>
      <c r="H228"/>
      <c r="I228"/>
      <c r="J228"/>
      <c r="L228" s="81"/>
    </row>
    <row r="229" spans="1:12" ht="14.25" x14ac:dyDescent="0.45">
      <c r="A229"/>
      <c r="B229"/>
      <c r="C229"/>
      <c r="D229"/>
      <c r="E229"/>
      <c r="F229"/>
      <c r="G229"/>
      <c r="H229"/>
      <c r="I229"/>
      <c r="J229"/>
      <c r="L229" s="81"/>
    </row>
    <row r="230" spans="1:12" ht="14.25" x14ac:dyDescent="0.45">
      <c r="A230"/>
      <c r="B230"/>
      <c r="C230"/>
      <c r="D230"/>
      <c r="E230"/>
      <c r="F230"/>
      <c r="G230"/>
      <c r="H230"/>
      <c r="I230"/>
      <c r="J230"/>
      <c r="L230" s="81"/>
    </row>
    <row r="231" spans="1:12" ht="14.25" x14ac:dyDescent="0.45">
      <c r="A231"/>
      <c r="B231"/>
      <c r="C231"/>
      <c r="D231"/>
      <c r="E231"/>
      <c r="F231"/>
      <c r="G231"/>
      <c r="H231"/>
      <c r="I231"/>
      <c r="J231"/>
      <c r="L231" s="81"/>
    </row>
    <row r="232" spans="1:12" ht="14.25" x14ac:dyDescent="0.45">
      <c r="A232"/>
      <c r="B232"/>
      <c r="C232"/>
      <c r="D232"/>
      <c r="E232"/>
      <c r="F232"/>
      <c r="G232"/>
      <c r="H232"/>
      <c r="I232"/>
      <c r="J232"/>
      <c r="L232" s="81"/>
    </row>
    <row r="233" spans="1:12" ht="14.25" x14ac:dyDescent="0.45">
      <c r="A233"/>
      <c r="B233"/>
      <c r="C233"/>
      <c r="D233"/>
      <c r="E233"/>
      <c r="F233"/>
      <c r="G233"/>
      <c r="H233"/>
      <c r="I233"/>
      <c r="J233"/>
      <c r="L233" s="81"/>
    </row>
    <row r="234" spans="1:12" ht="14.25" x14ac:dyDescent="0.45">
      <c r="A234"/>
      <c r="B234"/>
      <c r="C234"/>
      <c r="D234"/>
      <c r="E234"/>
      <c r="F234"/>
      <c r="G234"/>
      <c r="H234"/>
      <c r="I234"/>
      <c r="J234"/>
      <c r="L234" s="81"/>
    </row>
    <row r="235" spans="1:12" ht="14.25" x14ac:dyDescent="0.45">
      <c r="A235"/>
      <c r="B235"/>
      <c r="C235"/>
      <c r="D235"/>
      <c r="E235"/>
      <c r="F235"/>
      <c r="G235"/>
      <c r="H235"/>
      <c r="I235"/>
      <c r="J235"/>
      <c r="L235" s="81"/>
    </row>
    <row r="236" spans="1:12" ht="14.25" x14ac:dyDescent="0.45">
      <c r="A236"/>
      <c r="B236"/>
      <c r="C236"/>
      <c r="D236"/>
      <c r="E236"/>
      <c r="F236"/>
      <c r="G236"/>
      <c r="H236"/>
      <c r="I236"/>
      <c r="J236"/>
      <c r="L236" s="81"/>
    </row>
    <row r="237" spans="1:12" ht="14.25" x14ac:dyDescent="0.45">
      <c r="A237"/>
      <c r="B237"/>
      <c r="C237"/>
      <c r="D237"/>
      <c r="E237"/>
      <c r="F237"/>
      <c r="G237"/>
      <c r="H237"/>
      <c r="I237"/>
      <c r="J237"/>
      <c r="L237" s="81"/>
    </row>
    <row r="238" spans="1:12" ht="14.25" x14ac:dyDescent="0.45">
      <c r="A238"/>
      <c r="B238"/>
      <c r="C238"/>
      <c r="D238"/>
      <c r="E238"/>
      <c r="F238"/>
      <c r="G238"/>
      <c r="H238"/>
      <c r="I238"/>
      <c r="J238"/>
      <c r="L238" s="81"/>
    </row>
    <row r="239" spans="1:12" ht="14.25" x14ac:dyDescent="0.45">
      <c r="A239"/>
      <c r="B239"/>
      <c r="C239"/>
      <c r="D239"/>
      <c r="E239"/>
      <c r="F239"/>
      <c r="G239"/>
      <c r="H239"/>
      <c r="I239"/>
      <c r="J239"/>
      <c r="L239" s="81"/>
    </row>
    <row r="240" spans="1:12" x14ac:dyDescent="0.35">
      <c r="A240" s="81"/>
      <c r="B240" s="81"/>
      <c r="I240" s="217"/>
      <c r="J240" s="217"/>
      <c r="L240" s="81"/>
    </row>
    <row r="241" spans="1:12" x14ac:dyDescent="0.35">
      <c r="A241" s="81"/>
      <c r="B241" s="81"/>
      <c r="I241" s="217"/>
      <c r="J241" s="217"/>
      <c r="L241" s="81"/>
    </row>
    <row r="242" spans="1:12" x14ac:dyDescent="0.35">
      <c r="I242" s="217"/>
      <c r="J242" s="217"/>
      <c r="L242" s="81"/>
    </row>
    <row r="243" spans="1:12" x14ac:dyDescent="0.35">
      <c r="I243" s="217"/>
      <c r="J243" s="217"/>
      <c r="L243" s="81"/>
    </row>
    <row r="244" spans="1:12" x14ac:dyDescent="0.35">
      <c r="I244" s="217"/>
      <c r="J244" s="217"/>
      <c r="L244" s="81"/>
    </row>
    <row r="245" spans="1:12" x14ac:dyDescent="0.35">
      <c r="I245" s="217"/>
      <c r="J245" s="217"/>
      <c r="L245" s="81"/>
    </row>
    <row r="246" spans="1:12" x14ac:dyDescent="0.35">
      <c r="I246" s="217"/>
      <c r="J246" s="217"/>
      <c r="L246" s="81"/>
    </row>
    <row r="247" spans="1:12" x14ac:dyDescent="0.35">
      <c r="I247" s="217"/>
      <c r="J247" s="217"/>
      <c r="L247" s="81"/>
    </row>
    <row r="248" spans="1:12" x14ac:dyDescent="0.35">
      <c r="I248" s="217"/>
      <c r="J248" s="217"/>
      <c r="L248" s="81"/>
    </row>
    <row r="249" spans="1:12" x14ac:dyDescent="0.35">
      <c r="I249" s="217"/>
      <c r="J249" s="217"/>
      <c r="L249" s="81"/>
    </row>
    <row r="250" spans="1:12" x14ac:dyDescent="0.35">
      <c r="I250" s="217"/>
      <c r="J250" s="217"/>
      <c r="L250" s="81"/>
    </row>
    <row r="251" spans="1:12" x14ac:dyDescent="0.35">
      <c r="I251" s="217"/>
      <c r="J251" s="217"/>
      <c r="L251" s="81"/>
    </row>
    <row r="252" spans="1:12" x14ac:dyDescent="0.35">
      <c r="I252" s="217"/>
      <c r="J252" s="217"/>
      <c r="L252" s="81"/>
    </row>
    <row r="253" spans="1:12" x14ac:dyDescent="0.35">
      <c r="I253" s="217"/>
      <c r="J253" s="217"/>
      <c r="L253" s="81"/>
    </row>
    <row r="254" spans="1:12" x14ac:dyDescent="0.35">
      <c r="I254" s="217"/>
      <c r="J254" s="217"/>
      <c r="L254" s="81"/>
    </row>
    <row r="255" spans="1:12" x14ac:dyDescent="0.35">
      <c r="I255" s="217"/>
      <c r="J255" s="217"/>
      <c r="L255" s="81"/>
    </row>
    <row r="256" spans="1:12" x14ac:dyDescent="0.35">
      <c r="I256" s="217"/>
      <c r="J256" s="217"/>
      <c r="L256" s="81"/>
    </row>
    <row r="257" spans="9:14" x14ac:dyDescent="0.35">
      <c r="I257" s="217"/>
      <c r="J257" s="217"/>
      <c r="L257" s="81"/>
    </row>
    <row r="258" spans="9:14" x14ac:dyDescent="0.35">
      <c r="I258" s="217"/>
      <c r="J258" s="217"/>
      <c r="L258" s="81"/>
    </row>
    <row r="259" spans="9:14" x14ac:dyDescent="0.35">
      <c r="I259" s="217"/>
      <c r="J259" s="217"/>
      <c r="L259" s="81"/>
    </row>
    <row r="260" spans="9:14" x14ac:dyDescent="0.35">
      <c r="I260" s="217"/>
      <c r="J260" s="217"/>
      <c r="L260" s="81"/>
    </row>
    <row r="261" spans="9:14" x14ac:dyDescent="0.35">
      <c r="I261" s="217"/>
      <c r="J261" s="217"/>
      <c r="L261" s="81"/>
    </row>
    <row r="262" spans="9:14" x14ac:dyDescent="0.35">
      <c r="I262" s="217"/>
      <c r="J262" s="217"/>
      <c r="L262" s="81"/>
    </row>
    <row r="263" spans="9:14" x14ac:dyDescent="0.35">
      <c r="I263" s="217"/>
      <c r="J263" s="217"/>
      <c r="L263" s="81"/>
    </row>
    <row r="264" spans="9:14" x14ac:dyDescent="0.35">
      <c r="I264" s="217"/>
      <c r="J264" s="217"/>
      <c r="L264" s="81"/>
    </row>
    <row r="265" spans="9:14" x14ac:dyDescent="0.35">
      <c r="I265" s="217"/>
      <c r="J265" s="217"/>
      <c r="L265" s="81"/>
    </row>
    <row r="266" spans="9:14" x14ac:dyDescent="0.35">
      <c r="I266" s="217"/>
      <c r="J266" s="217"/>
      <c r="L266" s="81"/>
    </row>
    <row r="267" spans="9:14" x14ac:dyDescent="0.35">
      <c r="I267" s="217"/>
      <c r="J267" s="217"/>
      <c r="L267" s="81"/>
    </row>
    <row r="268" spans="9:14" x14ac:dyDescent="0.35">
      <c r="I268" s="217"/>
      <c r="J268" s="217"/>
      <c r="L268" s="81"/>
      <c r="M268" s="81"/>
      <c r="N268" s="227"/>
    </row>
    <row r="269" spans="9:14" x14ac:dyDescent="0.35">
      <c r="I269" s="217"/>
      <c r="J269" s="217"/>
      <c r="L269" s="81"/>
      <c r="M269" s="81"/>
      <c r="N269" s="227"/>
    </row>
    <row r="270" spans="9:14" x14ac:dyDescent="0.35">
      <c r="I270" s="217"/>
      <c r="J270" s="217"/>
      <c r="L270" s="81"/>
      <c r="M270" s="81"/>
      <c r="N270" s="227"/>
    </row>
    <row r="271" spans="9:14" x14ac:dyDescent="0.35">
      <c r="I271" s="217"/>
      <c r="J271" s="217"/>
      <c r="L271" s="81"/>
      <c r="M271" s="81"/>
      <c r="N271" s="227"/>
    </row>
    <row r="272" spans="9:14" x14ac:dyDescent="0.35">
      <c r="I272" s="217"/>
      <c r="J272" s="217"/>
      <c r="L272" s="81"/>
      <c r="M272" s="81"/>
      <c r="N272" s="227"/>
    </row>
    <row r="273" spans="9:14" x14ac:dyDescent="0.35">
      <c r="I273" s="217"/>
      <c r="J273" s="217"/>
      <c r="L273" s="81"/>
      <c r="M273" s="81"/>
      <c r="N273" s="227"/>
    </row>
    <row r="274" spans="9:14" x14ac:dyDescent="0.35">
      <c r="I274" s="217"/>
      <c r="J274" s="217"/>
      <c r="L274" s="81"/>
      <c r="M274" s="81"/>
      <c r="N274" s="227"/>
    </row>
    <row r="275" spans="9:14" x14ac:dyDescent="0.35">
      <c r="I275" s="217"/>
      <c r="J275" s="217"/>
      <c r="L275" s="81"/>
      <c r="M275" s="81"/>
      <c r="N275" s="227"/>
    </row>
    <row r="276" spans="9:14" x14ac:dyDescent="0.35">
      <c r="I276" s="217"/>
      <c r="J276" s="217"/>
      <c r="L276" s="81"/>
      <c r="M276" s="81"/>
      <c r="N276" s="227"/>
    </row>
    <row r="277" spans="9:14" x14ac:dyDescent="0.35">
      <c r="I277" s="217"/>
      <c r="J277" s="217"/>
      <c r="L277" s="81"/>
      <c r="M277" s="81"/>
      <c r="N277" s="227"/>
    </row>
    <row r="278" spans="9:14" x14ac:dyDescent="0.35">
      <c r="I278" s="217"/>
      <c r="J278" s="217"/>
      <c r="L278" s="81"/>
      <c r="M278" s="81"/>
      <c r="N278" s="227"/>
    </row>
    <row r="279" spans="9:14" x14ac:dyDescent="0.35">
      <c r="I279" s="217"/>
      <c r="J279" s="217"/>
      <c r="L279" s="81"/>
      <c r="M279" s="81"/>
      <c r="N279" s="227"/>
    </row>
    <row r="280" spans="9:14" x14ac:dyDescent="0.35">
      <c r="I280" s="217"/>
      <c r="J280" s="217"/>
      <c r="L280" s="81"/>
      <c r="M280" s="81"/>
      <c r="N280" s="227"/>
    </row>
    <row r="281" spans="9:14" x14ac:dyDescent="0.35">
      <c r="I281" s="217"/>
      <c r="J281" s="217"/>
      <c r="L281" s="81"/>
      <c r="M281" s="81"/>
      <c r="N281" s="227"/>
    </row>
    <row r="282" spans="9:14" x14ac:dyDescent="0.35">
      <c r="I282" s="217"/>
      <c r="J282" s="217"/>
      <c r="L282" s="81"/>
      <c r="M282" s="81"/>
      <c r="N282" s="227"/>
    </row>
    <row r="283" spans="9:14" x14ac:dyDescent="0.35">
      <c r="I283" s="217"/>
      <c r="J283" s="217"/>
      <c r="L283" s="81"/>
      <c r="M283" s="81"/>
      <c r="N283" s="227"/>
    </row>
    <row r="284" spans="9:14" x14ac:dyDescent="0.35">
      <c r="I284" s="217"/>
      <c r="J284" s="217"/>
      <c r="L284" s="81"/>
      <c r="M284" s="81"/>
      <c r="N284" s="227"/>
    </row>
    <row r="285" spans="9:14" x14ac:dyDescent="0.35">
      <c r="I285" s="217"/>
      <c r="J285" s="217"/>
      <c r="L285" s="81"/>
      <c r="M285" s="81"/>
      <c r="N285" s="227"/>
    </row>
    <row r="286" spans="9:14" x14ac:dyDescent="0.35">
      <c r="I286" s="217"/>
      <c r="J286" s="217"/>
      <c r="L286" s="81"/>
      <c r="M286" s="81"/>
      <c r="N286" s="227"/>
    </row>
    <row r="287" spans="9:14" x14ac:dyDescent="0.35">
      <c r="I287" s="217"/>
      <c r="J287" s="217"/>
      <c r="L287" s="81"/>
      <c r="M287" s="81"/>
      <c r="N287" s="227"/>
    </row>
    <row r="288" spans="9:14" x14ac:dyDescent="0.35">
      <c r="I288" s="217"/>
      <c r="J288" s="217"/>
      <c r="L288" s="81"/>
      <c r="M288" s="81"/>
      <c r="N288" s="227"/>
    </row>
    <row r="289" spans="9:14" x14ac:dyDescent="0.35">
      <c r="I289" s="217"/>
      <c r="J289" s="217"/>
      <c r="L289" s="81"/>
      <c r="M289" s="81"/>
      <c r="N289" s="227"/>
    </row>
    <row r="290" spans="9:14" x14ac:dyDescent="0.35">
      <c r="I290" s="217"/>
      <c r="J290" s="217"/>
      <c r="L290" s="81"/>
      <c r="M290" s="81"/>
      <c r="N290" s="227"/>
    </row>
    <row r="291" spans="9:14" x14ac:dyDescent="0.35">
      <c r="I291" s="217"/>
      <c r="J291" s="217"/>
      <c r="L291" s="81"/>
      <c r="M291" s="81"/>
      <c r="N291" s="227"/>
    </row>
    <row r="292" spans="9:14" x14ac:dyDescent="0.35">
      <c r="I292" s="217"/>
      <c r="J292" s="217"/>
      <c r="L292" s="81"/>
      <c r="M292" s="81"/>
      <c r="N292" s="227"/>
    </row>
    <row r="293" spans="9:14" x14ac:dyDescent="0.35">
      <c r="I293" s="217"/>
      <c r="J293" s="217"/>
      <c r="L293" s="81"/>
      <c r="M293" s="81"/>
      <c r="N293" s="227"/>
    </row>
    <row r="294" spans="9:14" x14ac:dyDescent="0.35">
      <c r="I294" s="217"/>
      <c r="J294" s="217"/>
      <c r="L294" s="81"/>
      <c r="M294" s="81"/>
      <c r="N294" s="227"/>
    </row>
    <row r="295" spans="9:14" x14ac:dyDescent="0.35">
      <c r="I295" s="217"/>
      <c r="J295" s="217"/>
      <c r="L295" s="81"/>
      <c r="M295" s="81"/>
      <c r="N295" s="227"/>
    </row>
    <row r="296" spans="9:14" x14ac:dyDescent="0.35">
      <c r="I296" s="217"/>
      <c r="J296" s="217"/>
      <c r="L296" s="81"/>
      <c r="M296" s="81"/>
      <c r="N296" s="227"/>
    </row>
    <row r="297" spans="9:14" x14ac:dyDescent="0.35">
      <c r="I297" s="217"/>
      <c r="J297" s="217"/>
      <c r="L297" s="81"/>
      <c r="M297" s="81"/>
      <c r="N297" s="227"/>
    </row>
    <row r="298" spans="9:14" x14ac:dyDescent="0.35">
      <c r="I298" s="217"/>
      <c r="J298" s="217"/>
      <c r="L298" s="81"/>
      <c r="M298" s="81"/>
      <c r="N298" s="227"/>
    </row>
    <row r="299" spans="9:14" x14ac:dyDescent="0.35">
      <c r="I299" s="217"/>
      <c r="J299" s="217"/>
      <c r="L299" s="81"/>
      <c r="M299" s="81"/>
      <c r="N299" s="227"/>
    </row>
    <row r="300" spans="9:14" x14ac:dyDescent="0.35">
      <c r="L300" s="81"/>
      <c r="M300" s="81"/>
      <c r="N300" s="227"/>
    </row>
    <row r="301" spans="9:14" x14ac:dyDescent="0.35">
      <c r="L301" s="81"/>
      <c r="M301" s="81"/>
      <c r="N301" s="227"/>
    </row>
    <row r="302" spans="9:14" x14ac:dyDescent="0.35">
      <c r="L302" s="81"/>
      <c r="M302" s="81"/>
      <c r="N302" s="227"/>
    </row>
    <row r="303" spans="9:14" x14ac:dyDescent="0.35">
      <c r="L303" s="81"/>
      <c r="M303" s="81"/>
      <c r="N303" s="227"/>
    </row>
    <row r="304" spans="9:14" x14ac:dyDescent="0.35">
      <c r="L304" s="81"/>
      <c r="M304" s="81"/>
      <c r="N304" s="227"/>
    </row>
    <row r="305" spans="12:14" x14ac:dyDescent="0.35">
      <c r="L305" s="81"/>
      <c r="M305" s="81"/>
      <c r="N305" s="227"/>
    </row>
    <row r="306" spans="12:14" x14ac:dyDescent="0.35">
      <c r="L306" s="81"/>
      <c r="M306" s="81"/>
      <c r="N306" s="227"/>
    </row>
    <row r="307" spans="12:14" x14ac:dyDescent="0.35">
      <c r="L307" s="81"/>
      <c r="M307" s="81"/>
      <c r="N307" s="227"/>
    </row>
    <row r="308" spans="12:14" x14ac:dyDescent="0.35">
      <c r="L308" s="81"/>
      <c r="M308" s="81"/>
      <c r="N308" s="227"/>
    </row>
    <row r="309" spans="12:14" x14ac:dyDescent="0.35">
      <c r="L309" s="81"/>
      <c r="M309" s="81"/>
      <c r="N309" s="227"/>
    </row>
    <row r="310" spans="12:14" x14ac:dyDescent="0.35">
      <c r="L310" s="81"/>
      <c r="M310" s="81"/>
      <c r="N310" s="227"/>
    </row>
    <row r="311" spans="12:14" x14ac:dyDescent="0.35">
      <c r="L311" s="81"/>
      <c r="M311" s="81"/>
      <c r="N311" s="227"/>
    </row>
    <row r="312" spans="12:14" x14ac:dyDescent="0.35">
      <c r="L312" s="81"/>
      <c r="M312" s="81"/>
      <c r="N312" s="227"/>
    </row>
    <row r="313" spans="12:14" x14ac:dyDescent="0.35">
      <c r="L313" s="81"/>
      <c r="M313" s="81"/>
      <c r="N313" s="227"/>
    </row>
    <row r="314" spans="12:14" x14ac:dyDescent="0.35">
      <c r="L314" s="81"/>
      <c r="M314" s="81"/>
      <c r="N314" s="227"/>
    </row>
    <row r="315" spans="12:14" x14ac:dyDescent="0.35">
      <c r="L315" s="81"/>
      <c r="M315" s="81"/>
      <c r="N315" s="227"/>
    </row>
    <row r="316" spans="12:14" x14ac:dyDescent="0.35">
      <c r="L316" s="81"/>
      <c r="M316" s="81"/>
      <c r="N316" s="227"/>
    </row>
    <row r="317" spans="12:14" x14ac:dyDescent="0.35">
      <c r="L317" s="81"/>
      <c r="M317" s="81"/>
      <c r="N317" s="227"/>
    </row>
    <row r="318" spans="12:14" x14ac:dyDescent="0.35">
      <c r="L318" s="81"/>
      <c r="M318" s="81"/>
      <c r="N318" s="227"/>
    </row>
    <row r="319" spans="12:14" x14ac:dyDescent="0.35">
      <c r="L319" s="81"/>
      <c r="M319" s="81"/>
      <c r="N319" s="227"/>
    </row>
    <row r="320" spans="12:14" x14ac:dyDescent="0.35">
      <c r="L320" s="81"/>
      <c r="M320" s="81"/>
      <c r="N320" s="227"/>
    </row>
    <row r="321" spans="12:14" x14ac:dyDescent="0.35">
      <c r="L321" s="81"/>
      <c r="M321" s="81"/>
      <c r="N321" s="227"/>
    </row>
    <row r="322" spans="12:14" x14ac:dyDescent="0.35">
      <c r="L322" s="81"/>
      <c r="M322" s="81"/>
      <c r="N322" s="227"/>
    </row>
    <row r="323" spans="12:14" x14ac:dyDescent="0.35">
      <c r="L323" s="81"/>
      <c r="M323" s="81"/>
      <c r="N323" s="227"/>
    </row>
    <row r="324" spans="12:14" x14ac:dyDescent="0.35">
      <c r="L324" s="81"/>
      <c r="M324" s="81"/>
      <c r="N324" s="227"/>
    </row>
    <row r="325" spans="12:14" x14ac:dyDescent="0.35">
      <c r="L325" s="81"/>
      <c r="M325" s="81"/>
      <c r="N325" s="227"/>
    </row>
    <row r="326" spans="12:14" x14ac:dyDescent="0.35">
      <c r="L326" s="81"/>
      <c r="M326" s="81"/>
      <c r="N326" s="227"/>
    </row>
    <row r="327" spans="12:14" x14ac:dyDescent="0.35">
      <c r="L327" s="81"/>
      <c r="M327" s="81"/>
      <c r="N327" s="227"/>
    </row>
    <row r="328" spans="12:14" x14ac:dyDescent="0.35">
      <c r="L328" s="81"/>
      <c r="M328" s="81"/>
      <c r="N328" s="227"/>
    </row>
    <row r="329" spans="12:14" x14ac:dyDescent="0.35">
      <c r="L329" s="81"/>
      <c r="M329" s="81"/>
      <c r="N329" s="227"/>
    </row>
    <row r="330" spans="12:14" x14ac:dyDescent="0.35">
      <c r="L330" s="81"/>
      <c r="M330" s="81"/>
      <c r="N330" s="227"/>
    </row>
    <row r="331" spans="12:14" x14ac:dyDescent="0.35">
      <c r="L331" s="81"/>
      <c r="M331" s="81"/>
      <c r="N331" s="227"/>
    </row>
    <row r="332" spans="12:14" x14ac:dyDescent="0.35">
      <c r="L332" s="81"/>
      <c r="M332" s="81"/>
      <c r="N332" s="227"/>
    </row>
    <row r="333" spans="12:14" x14ac:dyDescent="0.35">
      <c r="L333" s="81"/>
      <c r="M333" s="81"/>
      <c r="N333" s="227"/>
    </row>
    <row r="334" spans="12:14" x14ac:dyDescent="0.35">
      <c r="L334" s="81"/>
      <c r="M334" s="81"/>
      <c r="N334" s="227"/>
    </row>
  </sheetData>
  <mergeCells count="8">
    <mergeCell ref="AC120:AL120"/>
    <mergeCell ref="AC121:AL121"/>
    <mergeCell ref="AL157:AM157"/>
    <mergeCell ref="N4:R4"/>
    <mergeCell ref="G5:L5"/>
    <mergeCell ref="I6:L6"/>
    <mergeCell ref="AC3:AM3"/>
    <mergeCell ref="AH6:AJ6"/>
  </mergeCells>
  <hyperlinks>
    <hyperlink ref="A184" r:id="rId1" xr:uid="{00000000-0004-0000-1100-000000000000}"/>
    <hyperlink ref="C4" r:id="rId2" xr:uid="{00000000-0004-0000-1100-000001000000}"/>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364"/>
  <sheetViews>
    <sheetView zoomScaleNormal="100" workbookViewId="0">
      <pane xSplit="1" ySplit="8" topLeftCell="B36" activePane="bottomRight" state="frozen"/>
      <selection pane="topRight" activeCell="B1" sqref="B1"/>
      <selection pane="bottomLeft" activeCell="A9" sqref="A9"/>
      <selection pane="bottomRight" activeCell="A2" sqref="A2"/>
    </sheetView>
  </sheetViews>
  <sheetFormatPr defaultColWidth="4.265625" defaultRowHeight="12.75" x14ac:dyDescent="0.35"/>
  <cols>
    <col min="1" max="1" width="15.19921875" style="75" customWidth="1"/>
    <col min="2" max="2" width="10.73046875" style="75" customWidth="1"/>
    <col min="3" max="3" width="12.265625" style="75" customWidth="1"/>
    <col min="4" max="4" width="9.73046875" style="75" customWidth="1"/>
    <col min="5" max="5" width="10.19921875" style="75" customWidth="1"/>
    <col min="6" max="6" width="11.73046875" style="75" customWidth="1"/>
    <col min="7" max="7" width="9.796875" style="75" customWidth="1"/>
    <col min="8" max="8" width="9.265625" style="75" customWidth="1"/>
    <col min="9" max="9" width="10.265625" style="75" customWidth="1"/>
    <col min="10" max="10" width="12.19921875" style="75" customWidth="1"/>
    <col min="11" max="11" width="8.19921875" style="75" customWidth="1"/>
    <col min="12" max="12" width="8" style="140" customWidth="1"/>
    <col min="13" max="13" width="1.73046875" style="75" customWidth="1"/>
    <col min="14" max="14" width="13.796875" style="141" customWidth="1"/>
    <col min="15" max="15" width="16.53125" style="75" customWidth="1"/>
    <col min="16" max="16" width="13.73046875" style="75" customWidth="1"/>
    <col min="17" max="17" width="10.796875" style="75" customWidth="1"/>
    <col min="18" max="18" width="8.73046875" style="75" customWidth="1"/>
    <col min="19" max="19" width="7.796875" style="75" customWidth="1"/>
    <col min="20" max="20" width="1.265625" style="75" customWidth="1"/>
    <col min="21" max="21" width="10.19921875" style="75" customWidth="1"/>
    <col min="22" max="22" width="7.265625" style="75" customWidth="1"/>
    <col min="23" max="28" width="4.265625" style="75"/>
    <col min="29" max="29" width="9.796875" style="75" customWidth="1"/>
    <col min="30" max="30" width="6.46484375" style="75" customWidth="1"/>
    <col min="31" max="31" width="8.73046875" style="75" customWidth="1"/>
    <col min="32" max="33" width="9.19921875" style="75" customWidth="1"/>
    <col min="34" max="34" width="8.53125" style="75" customWidth="1"/>
    <col min="35" max="36" width="13.73046875" style="75" customWidth="1"/>
    <col min="37" max="37" width="9.796875" style="75" customWidth="1"/>
    <col min="38" max="38" width="10" style="75" customWidth="1"/>
    <col min="39" max="39" width="9.53125" style="75" customWidth="1"/>
    <col min="40" max="257" width="4.265625" style="75"/>
    <col min="258" max="258" width="15.19921875" style="75" customWidth="1"/>
    <col min="259" max="259" width="10.73046875" style="75" customWidth="1"/>
    <col min="260" max="260" width="12.265625" style="75" customWidth="1"/>
    <col min="261" max="261" width="9.73046875" style="75" customWidth="1"/>
    <col min="262" max="262" width="10.19921875" style="75" customWidth="1"/>
    <col min="263" max="263" width="11.73046875" style="75" customWidth="1"/>
    <col min="264" max="264" width="7.265625" style="75" customWidth="1"/>
    <col min="265" max="265" width="9.265625" style="75" customWidth="1"/>
    <col min="266" max="266" width="10.265625" style="75" customWidth="1"/>
    <col min="267" max="267" width="9.19921875" style="75" customWidth="1"/>
    <col min="268" max="268" width="8.19921875" style="75" customWidth="1"/>
    <col min="269" max="269" width="8" style="75" customWidth="1"/>
    <col min="270" max="270" width="1.73046875" style="75" customWidth="1"/>
    <col min="271" max="271" width="10.19921875" style="75" customWidth="1"/>
    <col min="272" max="272" width="16.53125" style="75" customWidth="1"/>
    <col min="273" max="273" width="13.73046875" style="75" customWidth="1"/>
    <col min="274" max="274" width="8.265625" style="75" customWidth="1"/>
    <col min="275" max="275" width="8.73046875" style="75" customWidth="1"/>
    <col min="276" max="276" width="7.796875" style="75" customWidth="1"/>
    <col min="277" max="277" width="1.265625" style="75" customWidth="1"/>
    <col min="278" max="278" width="10.19921875" style="75" customWidth="1"/>
    <col min="279" max="279" width="7.265625" style="75" customWidth="1"/>
    <col min="280" max="513" width="4.265625" style="75"/>
    <col min="514" max="514" width="15.19921875" style="75" customWidth="1"/>
    <col min="515" max="515" width="10.73046875" style="75" customWidth="1"/>
    <col min="516" max="516" width="12.265625" style="75" customWidth="1"/>
    <col min="517" max="517" width="9.73046875" style="75" customWidth="1"/>
    <col min="518" max="518" width="10.19921875" style="75" customWidth="1"/>
    <col min="519" max="519" width="11.73046875" style="75" customWidth="1"/>
    <col min="520" max="520" width="7.265625" style="75" customWidth="1"/>
    <col min="521" max="521" width="9.265625" style="75" customWidth="1"/>
    <col min="522" max="522" width="10.265625" style="75" customWidth="1"/>
    <col min="523" max="523" width="9.19921875" style="75" customWidth="1"/>
    <col min="524" max="524" width="8.19921875" style="75" customWidth="1"/>
    <col min="525" max="525" width="8" style="75" customWidth="1"/>
    <col min="526" max="526" width="1.73046875" style="75" customWidth="1"/>
    <col min="527" max="527" width="10.19921875" style="75" customWidth="1"/>
    <col min="528" max="528" width="16.53125" style="75" customWidth="1"/>
    <col min="529" max="529" width="13.73046875" style="75" customWidth="1"/>
    <col min="530" max="530" width="8.265625" style="75" customWidth="1"/>
    <col min="531" max="531" width="8.73046875" style="75" customWidth="1"/>
    <col min="532" max="532" width="7.796875" style="75" customWidth="1"/>
    <col min="533" max="533" width="1.265625" style="75" customWidth="1"/>
    <col min="534" max="534" width="10.19921875" style="75" customWidth="1"/>
    <col min="535" max="535" width="7.265625" style="75" customWidth="1"/>
    <col min="536" max="769" width="4.265625" style="75"/>
    <col min="770" max="770" width="15.19921875" style="75" customWidth="1"/>
    <col min="771" max="771" width="10.73046875" style="75" customWidth="1"/>
    <col min="772" max="772" width="12.265625" style="75" customWidth="1"/>
    <col min="773" max="773" width="9.73046875" style="75" customWidth="1"/>
    <col min="774" max="774" width="10.19921875" style="75" customWidth="1"/>
    <col min="775" max="775" width="11.73046875" style="75" customWidth="1"/>
    <col min="776" max="776" width="7.265625" style="75" customWidth="1"/>
    <col min="777" max="777" width="9.265625" style="75" customWidth="1"/>
    <col min="778" max="778" width="10.265625" style="75" customWidth="1"/>
    <col min="779" max="779" width="9.19921875" style="75" customWidth="1"/>
    <col min="780" max="780" width="8.19921875" style="75" customWidth="1"/>
    <col min="781" max="781" width="8" style="75" customWidth="1"/>
    <col min="782" max="782" width="1.73046875" style="75" customWidth="1"/>
    <col min="783" max="783" width="10.19921875" style="75" customWidth="1"/>
    <col min="784" max="784" width="16.53125" style="75" customWidth="1"/>
    <col min="785" max="785" width="13.73046875" style="75" customWidth="1"/>
    <col min="786" max="786" width="8.265625" style="75" customWidth="1"/>
    <col min="787" max="787" width="8.73046875" style="75" customWidth="1"/>
    <col min="788" max="788" width="7.796875" style="75" customWidth="1"/>
    <col min="789" max="789" width="1.265625" style="75" customWidth="1"/>
    <col min="790" max="790" width="10.19921875" style="75" customWidth="1"/>
    <col min="791" max="791" width="7.265625" style="75" customWidth="1"/>
    <col min="792" max="1025" width="4.265625" style="75"/>
    <col min="1026" max="1026" width="15.19921875" style="75" customWidth="1"/>
    <col min="1027" max="1027" width="10.73046875" style="75" customWidth="1"/>
    <col min="1028" max="1028" width="12.265625" style="75" customWidth="1"/>
    <col min="1029" max="1029" width="9.73046875" style="75" customWidth="1"/>
    <col min="1030" max="1030" width="10.19921875" style="75" customWidth="1"/>
    <col min="1031" max="1031" width="11.73046875" style="75" customWidth="1"/>
    <col min="1032" max="1032" width="7.265625" style="75" customWidth="1"/>
    <col min="1033" max="1033" width="9.265625" style="75" customWidth="1"/>
    <col min="1034" max="1034" width="10.265625" style="75" customWidth="1"/>
    <col min="1035" max="1035" width="9.19921875" style="75" customWidth="1"/>
    <col min="1036" max="1036" width="8.19921875" style="75" customWidth="1"/>
    <col min="1037" max="1037" width="8" style="75" customWidth="1"/>
    <col min="1038" max="1038" width="1.73046875" style="75" customWidth="1"/>
    <col min="1039" max="1039" width="10.19921875" style="75" customWidth="1"/>
    <col min="1040" max="1040" width="16.53125" style="75" customWidth="1"/>
    <col min="1041" max="1041" width="13.73046875" style="75" customWidth="1"/>
    <col min="1042" max="1042" width="8.265625" style="75" customWidth="1"/>
    <col min="1043" max="1043" width="8.73046875" style="75" customWidth="1"/>
    <col min="1044" max="1044" width="7.796875" style="75" customWidth="1"/>
    <col min="1045" max="1045" width="1.265625" style="75" customWidth="1"/>
    <col min="1046" max="1046" width="10.19921875" style="75" customWidth="1"/>
    <col min="1047" max="1047" width="7.265625" style="75" customWidth="1"/>
    <col min="1048" max="1281" width="4.265625" style="75"/>
    <col min="1282" max="1282" width="15.19921875" style="75" customWidth="1"/>
    <col min="1283" max="1283" width="10.73046875" style="75" customWidth="1"/>
    <col min="1284" max="1284" width="12.265625" style="75" customWidth="1"/>
    <col min="1285" max="1285" width="9.73046875" style="75" customWidth="1"/>
    <col min="1286" max="1286" width="10.19921875" style="75" customWidth="1"/>
    <col min="1287" max="1287" width="11.73046875" style="75" customWidth="1"/>
    <col min="1288" max="1288" width="7.265625" style="75" customWidth="1"/>
    <col min="1289" max="1289" width="9.265625" style="75" customWidth="1"/>
    <col min="1290" max="1290" width="10.265625" style="75" customWidth="1"/>
    <col min="1291" max="1291" width="9.19921875" style="75" customWidth="1"/>
    <col min="1292" max="1292" width="8.19921875" style="75" customWidth="1"/>
    <col min="1293" max="1293" width="8" style="75" customWidth="1"/>
    <col min="1294" max="1294" width="1.73046875" style="75" customWidth="1"/>
    <col min="1295" max="1295" width="10.19921875" style="75" customWidth="1"/>
    <col min="1296" max="1296" width="16.53125" style="75" customWidth="1"/>
    <col min="1297" max="1297" width="13.73046875" style="75" customWidth="1"/>
    <col min="1298" max="1298" width="8.265625" style="75" customWidth="1"/>
    <col min="1299" max="1299" width="8.73046875" style="75" customWidth="1"/>
    <col min="1300" max="1300" width="7.796875" style="75" customWidth="1"/>
    <col min="1301" max="1301" width="1.265625" style="75" customWidth="1"/>
    <col min="1302" max="1302" width="10.19921875" style="75" customWidth="1"/>
    <col min="1303" max="1303" width="7.265625" style="75" customWidth="1"/>
    <col min="1304" max="1537" width="4.265625" style="75"/>
    <col min="1538" max="1538" width="15.19921875" style="75" customWidth="1"/>
    <col min="1539" max="1539" width="10.73046875" style="75" customWidth="1"/>
    <col min="1540" max="1540" width="12.265625" style="75" customWidth="1"/>
    <col min="1541" max="1541" width="9.73046875" style="75" customWidth="1"/>
    <col min="1542" max="1542" width="10.19921875" style="75" customWidth="1"/>
    <col min="1543" max="1543" width="11.73046875" style="75" customWidth="1"/>
    <col min="1544" max="1544" width="7.265625" style="75" customWidth="1"/>
    <col min="1545" max="1545" width="9.265625" style="75" customWidth="1"/>
    <col min="1546" max="1546" width="10.265625" style="75" customWidth="1"/>
    <col min="1547" max="1547" width="9.19921875" style="75" customWidth="1"/>
    <col min="1548" max="1548" width="8.19921875" style="75" customWidth="1"/>
    <col min="1549" max="1549" width="8" style="75" customWidth="1"/>
    <col min="1550" max="1550" width="1.73046875" style="75" customWidth="1"/>
    <col min="1551" max="1551" width="10.19921875" style="75" customWidth="1"/>
    <col min="1552" max="1552" width="16.53125" style="75" customWidth="1"/>
    <col min="1553" max="1553" width="13.73046875" style="75" customWidth="1"/>
    <col min="1554" max="1554" width="8.265625" style="75" customWidth="1"/>
    <col min="1555" max="1555" width="8.73046875" style="75" customWidth="1"/>
    <col min="1556" max="1556" width="7.796875" style="75" customWidth="1"/>
    <col min="1557" max="1557" width="1.265625" style="75" customWidth="1"/>
    <col min="1558" max="1558" width="10.19921875" style="75" customWidth="1"/>
    <col min="1559" max="1559" width="7.265625" style="75" customWidth="1"/>
    <col min="1560" max="1793" width="4.265625" style="75"/>
    <col min="1794" max="1794" width="15.19921875" style="75" customWidth="1"/>
    <col min="1795" max="1795" width="10.73046875" style="75" customWidth="1"/>
    <col min="1796" max="1796" width="12.265625" style="75" customWidth="1"/>
    <col min="1797" max="1797" width="9.73046875" style="75" customWidth="1"/>
    <col min="1798" max="1798" width="10.19921875" style="75" customWidth="1"/>
    <col min="1799" max="1799" width="11.73046875" style="75" customWidth="1"/>
    <col min="1800" max="1800" width="7.265625" style="75" customWidth="1"/>
    <col min="1801" max="1801" width="9.265625" style="75" customWidth="1"/>
    <col min="1802" max="1802" width="10.265625" style="75" customWidth="1"/>
    <col min="1803" max="1803" width="9.19921875" style="75" customWidth="1"/>
    <col min="1804" max="1804" width="8.19921875" style="75" customWidth="1"/>
    <col min="1805" max="1805" width="8" style="75" customWidth="1"/>
    <col min="1806" max="1806" width="1.73046875" style="75" customWidth="1"/>
    <col min="1807" max="1807" width="10.19921875" style="75" customWidth="1"/>
    <col min="1808" max="1808" width="16.53125" style="75" customWidth="1"/>
    <col min="1809" max="1809" width="13.73046875" style="75" customWidth="1"/>
    <col min="1810" max="1810" width="8.265625" style="75" customWidth="1"/>
    <col min="1811" max="1811" width="8.73046875" style="75" customWidth="1"/>
    <col min="1812" max="1812" width="7.796875" style="75" customWidth="1"/>
    <col min="1813" max="1813" width="1.265625" style="75" customWidth="1"/>
    <col min="1814" max="1814" width="10.19921875" style="75" customWidth="1"/>
    <col min="1815" max="1815" width="7.265625" style="75" customWidth="1"/>
    <col min="1816" max="2049" width="4.265625" style="75"/>
    <col min="2050" max="2050" width="15.19921875" style="75" customWidth="1"/>
    <col min="2051" max="2051" width="10.73046875" style="75" customWidth="1"/>
    <col min="2052" max="2052" width="12.265625" style="75" customWidth="1"/>
    <col min="2053" max="2053" width="9.73046875" style="75" customWidth="1"/>
    <col min="2054" max="2054" width="10.19921875" style="75" customWidth="1"/>
    <col min="2055" max="2055" width="11.73046875" style="75" customWidth="1"/>
    <col min="2056" max="2056" width="7.265625" style="75" customWidth="1"/>
    <col min="2057" max="2057" width="9.265625" style="75" customWidth="1"/>
    <col min="2058" max="2058" width="10.265625" style="75" customWidth="1"/>
    <col min="2059" max="2059" width="9.19921875" style="75" customWidth="1"/>
    <col min="2060" max="2060" width="8.19921875" style="75" customWidth="1"/>
    <col min="2061" max="2061" width="8" style="75" customWidth="1"/>
    <col min="2062" max="2062" width="1.73046875" style="75" customWidth="1"/>
    <col min="2063" max="2063" width="10.19921875" style="75" customWidth="1"/>
    <col min="2064" max="2064" width="16.53125" style="75" customWidth="1"/>
    <col min="2065" max="2065" width="13.73046875" style="75" customWidth="1"/>
    <col min="2066" max="2066" width="8.265625" style="75" customWidth="1"/>
    <col min="2067" max="2067" width="8.73046875" style="75" customWidth="1"/>
    <col min="2068" max="2068" width="7.796875" style="75" customWidth="1"/>
    <col min="2069" max="2069" width="1.265625" style="75" customWidth="1"/>
    <col min="2070" max="2070" width="10.19921875" style="75" customWidth="1"/>
    <col min="2071" max="2071" width="7.265625" style="75" customWidth="1"/>
    <col min="2072" max="2305" width="4.265625" style="75"/>
    <col min="2306" max="2306" width="15.19921875" style="75" customWidth="1"/>
    <col min="2307" max="2307" width="10.73046875" style="75" customWidth="1"/>
    <col min="2308" max="2308" width="12.265625" style="75" customWidth="1"/>
    <col min="2309" max="2309" width="9.73046875" style="75" customWidth="1"/>
    <col min="2310" max="2310" width="10.19921875" style="75" customWidth="1"/>
    <col min="2311" max="2311" width="11.73046875" style="75" customWidth="1"/>
    <col min="2312" max="2312" width="7.265625" style="75" customWidth="1"/>
    <col min="2313" max="2313" width="9.265625" style="75" customWidth="1"/>
    <col min="2314" max="2314" width="10.265625" style="75" customWidth="1"/>
    <col min="2315" max="2315" width="9.19921875" style="75" customWidth="1"/>
    <col min="2316" max="2316" width="8.19921875" style="75" customWidth="1"/>
    <col min="2317" max="2317" width="8" style="75" customWidth="1"/>
    <col min="2318" max="2318" width="1.73046875" style="75" customWidth="1"/>
    <col min="2319" max="2319" width="10.19921875" style="75" customWidth="1"/>
    <col min="2320" max="2320" width="16.53125" style="75" customWidth="1"/>
    <col min="2321" max="2321" width="13.73046875" style="75" customWidth="1"/>
    <col min="2322" max="2322" width="8.265625" style="75" customWidth="1"/>
    <col min="2323" max="2323" width="8.73046875" style="75" customWidth="1"/>
    <col min="2324" max="2324" width="7.796875" style="75" customWidth="1"/>
    <col min="2325" max="2325" width="1.265625" style="75" customWidth="1"/>
    <col min="2326" max="2326" width="10.19921875" style="75" customWidth="1"/>
    <col min="2327" max="2327" width="7.265625" style="75" customWidth="1"/>
    <col min="2328" max="2561" width="4.265625" style="75"/>
    <col min="2562" max="2562" width="15.19921875" style="75" customWidth="1"/>
    <col min="2563" max="2563" width="10.73046875" style="75" customWidth="1"/>
    <col min="2564" max="2564" width="12.265625" style="75" customWidth="1"/>
    <col min="2565" max="2565" width="9.73046875" style="75" customWidth="1"/>
    <col min="2566" max="2566" width="10.19921875" style="75" customWidth="1"/>
    <col min="2567" max="2567" width="11.73046875" style="75" customWidth="1"/>
    <col min="2568" max="2568" width="7.265625" style="75" customWidth="1"/>
    <col min="2569" max="2569" width="9.265625" style="75" customWidth="1"/>
    <col min="2570" max="2570" width="10.265625" style="75" customWidth="1"/>
    <col min="2571" max="2571" width="9.19921875" style="75" customWidth="1"/>
    <col min="2572" max="2572" width="8.19921875" style="75" customWidth="1"/>
    <col min="2573" max="2573" width="8" style="75" customWidth="1"/>
    <col min="2574" max="2574" width="1.73046875" style="75" customWidth="1"/>
    <col min="2575" max="2575" width="10.19921875" style="75" customWidth="1"/>
    <col min="2576" max="2576" width="16.53125" style="75" customWidth="1"/>
    <col min="2577" max="2577" width="13.73046875" style="75" customWidth="1"/>
    <col min="2578" max="2578" width="8.265625" style="75" customWidth="1"/>
    <col min="2579" max="2579" width="8.73046875" style="75" customWidth="1"/>
    <col min="2580" max="2580" width="7.796875" style="75" customWidth="1"/>
    <col min="2581" max="2581" width="1.265625" style="75" customWidth="1"/>
    <col min="2582" max="2582" width="10.19921875" style="75" customWidth="1"/>
    <col min="2583" max="2583" width="7.265625" style="75" customWidth="1"/>
    <col min="2584" max="2817" width="4.265625" style="75"/>
    <col min="2818" max="2818" width="15.19921875" style="75" customWidth="1"/>
    <col min="2819" max="2819" width="10.73046875" style="75" customWidth="1"/>
    <col min="2820" max="2820" width="12.265625" style="75" customWidth="1"/>
    <col min="2821" max="2821" width="9.73046875" style="75" customWidth="1"/>
    <col min="2822" max="2822" width="10.19921875" style="75" customWidth="1"/>
    <col min="2823" max="2823" width="11.73046875" style="75" customWidth="1"/>
    <col min="2824" max="2824" width="7.265625" style="75" customWidth="1"/>
    <col min="2825" max="2825" width="9.265625" style="75" customWidth="1"/>
    <col min="2826" max="2826" width="10.265625" style="75" customWidth="1"/>
    <col min="2827" max="2827" width="9.19921875" style="75" customWidth="1"/>
    <col min="2828" max="2828" width="8.19921875" style="75" customWidth="1"/>
    <col min="2829" max="2829" width="8" style="75" customWidth="1"/>
    <col min="2830" max="2830" width="1.73046875" style="75" customWidth="1"/>
    <col min="2831" max="2831" width="10.19921875" style="75" customWidth="1"/>
    <col min="2832" max="2832" width="16.53125" style="75" customWidth="1"/>
    <col min="2833" max="2833" width="13.73046875" style="75" customWidth="1"/>
    <col min="2834" max="2834" width="8.265625" style="75" customWidth="1"/>
    <col min="2835" max="2835" width="8.73046875" style="75" customWidth="1"/>
    <col min="2836" max="2836" width="7.796875" style="75" customWidth="1"/>
    <col min="2837" max="2837" width="1.265625" style="75" customWidth="1"/>
    <col min="2838" max="2838" width="10.19921875" style="75" customWidth="1"/>
    <col min="2839" max="2839" width="7.265625" style="75" customWidth="1"/>
    <col min="2840" max="3073" width="4.265625" style="75"/>
    <col min="3074" max="3074" width="15.19921875" style="75" customWidth="1"/>
    <col min="3075" max="3075" width="10.73046875" style="75" customWidth="1"/>
    <col min="3076" max="3076" width="12.265625" style="75" customWidth="1"/>
    <col min="3077" max="3077" width="9.73046875" style="75" customWidth="1"/>
    <col min="3078" max="3078" width="10.19921875" style="75" customWidth="1"/>
    <col min="3079" max="3079" width="11.73046875" style="75" customWidth="1"/>
    <col min="3080" max="3080" width="7.265625" style="75" customWidth="1"/>
    <col min="3081" max="3081" width="9.265625" style="75" customWidth="1"/>
    <col min="3082" max="3082" width="10.265625" style="75" customWidth="1"/>
    <col min="3083" max="3083" width="9.19921875" style="75" customWidth="1"/>
    <col min="3084" max="3084" width="8.19921875" style="75" customWidth="1"/>
    <col min="3085" max="3085" width="8" style="75" customWidth="1"/>
    <col min="3086" max="3086" width="1.73046875" style="75" customWidth="1"/>
    <col min="3087" max="3087" width="10.19921875" style="75" customWidth="1"/>
    <col min="3088" max="3088" width="16.53125" style="75" customWidth="1"/>
    <col min="3089" max="3089" width="13.73046875" style="75" customWidth="1"/>
    <col min="3090" max="3090" width="8.265625" style="75" customWidth="1"/>
    <col min="3091" max="3091" width="8.73046875" style="75" customWidth="1"/>
    <col min="3092" max="3092" width="7.796875" style="75" customWidth="1"/>
    <col min="3093" max="3093" width="1.265625" style="75" customWidth="1"/>
    <col min="3094" max="3094" width="10.19921875" style="75" customWidth="1"/>
    <col min="3095" max="3095" width="7.265625" style="75" customWidth="1"/>
    <col min="3096" max="3329" width="4.265625" style="75"/>
    <col min="3330" max="3330" width="15.19921875" style="75" customWidth="1"/>
    <col min="3331" max="3331" width="10.73046875" style="75" customWidth="1"/>
    <col min="3332" max="3332" width="12.265625" style="75" customWidth="1"/>
    <col min="3333" max="3333" width="9.73046875" style="75" customWidth="1"/>
    <col min="3334" max="3334" width="10.19921875" style="75" customWidth="1"/>
    <col min="3335" max="3335" width="11.73046875" style="75" customWidth="1"/>
    <col min="3336" max="3336" width="7.265625" style="75" customWidth="1"/>
    <col min="3337" max="3337" width="9.265625" style="75" customWidth="1"/>
    <col min="3338" max="3338" width="10.265625" style="75" customWidth="1"/>
    <col min="3339" max="3339" width="9.19921875" style="75" customWidth="1"/>
    <col min="3340" max="3340" width="8.19921875" style="75" customWidth="1"/>
    <col min="3341" max="3341" width="8" style="75" customWidth="1"/>
    <col min="3342" max="3342" width="1.73046875" style="75" customWidth="1"/>
    <col min="3343" max="3343" width="10.19921875" style="75" customWidth="1"/>
    <col min="3344" max="3344" width="16.53125" style="75" customWidth="1"/>
    <col min="3345" max="3345" width="13.73046875" style="75" customWidth="1"/>
    <col min="3346" max="3346" width="8.265625" style="75" customWidth="1"/>
    <col min="3347" max="3347" width="8.73046875" style="75" customWidth="1"/>
    <col min="3348" max="3348" width="7.796875" style="75" customWidth="1"/>
    <col min="3349" max="3349" width="1.265625" style="75" customWidth="1"/>
    <col min="3350" max="3350" width="10.19921875" style="75" customWidth="1"/>
    <col min="3351" max="3351" width="7.265625" style="75" customWidth="1"/>
    <col min="3352" max="3585" width="4.265625" style="75"/>
    <col min="3586" max="3586" width="15.19921875" style="75" customWidth="1"/>
    <col min="3587" max="3587" width="10.73046875" style="75" customWidth="1"/>
    <col min="3588" max="3588" width="12.265625" style="75" customWidth="1"/>
    <col min="3589" max="3589" width="9.73046875" style="75" customWidth="1"/>
    <col min="3590" max="3590" width="10.19921875" style="75" customWidth="1"/>
    <col min="3591" max="3591" width="11.73046875" style="75" customWidth="1"/>
    <col min="3592" max="3592" width="7.265625" style="75" customWidth="1"/>
    <col min="3593" max="3593" width="9.265625" style="75" customWidth="1"/>
    <col min="3594" max="3594" width="10.265625" style="75" customWidth="1"/>
    <col min="3595" max="3595" width="9.19921875" style="75" customWidth="1"/>
    <col min="3596" max="3596" width="8.19921875" style="75" customWidth="1"/>
    <col min="3597" max="3597" width="8" style="75" customWidth="1"/>
    <col min="3598" max="3598" width="1.73046875" style="75" customWidth="1"/>
    <col min="3599" max="3599" width="10.19921875" style="75" customWidth="1"/>
    <col min="3600" max="3600" width="16.53125" style="75" customWidth="1"/>
    <col min="3601" max="3601" width="13.73046875" style="75" customWidth="1"/>
    <col min="3602" max="3602" width="8.265625" style="75" customWidth="1"/>
    <col min="3603" max="3603" width="8.73046875" style="75" customWidth="1"/>
    <col min="3604" max="3604" width="7.796875" style="75" customWidth="1"/>
    <col min="3605" max="3605" width="1.265625" style="75" customWidth="1"/>
    <col min="3606" max="3606" width="10.19921875" style="75" customWidth="1"/>
    <col min="3607" max="3607" width="7.265625" style="75" customWidth="1"/>
    <col min="3608" max="3841" width="4.265625" style="75"/>
    <col min="3842" max="3842" width="15.19921875" style="75" customWidth="1"/>
    <col min="3843" max="3843" width="10.73046875" style="75" customWidth="1"/>
    <col min="3844" max="3844" width="12.265625" style="75" customWidth="1"/>
    <col min="3845" max="3845" width="9.73046875" style="75" customWidth="1"/>
    <col min="3846" max="3846" width="10.19921875" style="75" customWidth="1"/>
    <col min="3847" max="3847" width="11.73046875" style="75" customWidth="1"/>
    <col min="3848" max="3848" width="7.265625" style="75" customWidth="1"/>
    <col min="3849" max="3849" width="9.265625" style="75" customWidth="1"/>
    <col min="3850" max="3850" width="10.265625" style="75" customWidth="1"/>
    <col min="3851" max="3851" width="9.19921875" style="75" customWidth="1"/>
    <col min="3852" max="3852" width="8.19921875" style="75" customWidth="1"/>
    <col min="3853" max="3853" width="8" style="75" customWidth="1"/>
    <col min="3854" max="3854" width="1.73046875" style="75" customWidth="1"/>
    <col min="3855" max="3855" width="10.19921875" style="75" customWidth="1"/>
    <col min="3856" max="3856" width="16.53125" style="75" customWidth="1"/>
    <col min="3857" max="3857" width="13.73046875" style="75" customWidth="1"/>
    <col min="3858" max="3858" width="8.265625" style="75" customWidth="1"/>
    <col min="3859" max="3859" width="8.73046875" style="75" customWidth="1"/>
    <col min="3860" max="3860" width="7.796875" style="75" customWidth="1"/>
    <col min="3861" max="3861" width="1.265625" style="75" customWidth="1"/>
    <col min="3862" max="3862" width="10.19921875" style="75" customWidth="1"/>
    <col min="3863" max="3863" width="7.265625" style="75" customWidth="1"/>
    <col min="3864" max="4097" width="4.265625" style="75"/>
    <col min="4098" max="4098" width="15.19921875" style="75" customWidth="1"/>
    <col min="4099" max="4099" width="10.73046875" style="75" customWidth="1"/>
    <col min="4100" max="4100" width="12.265625" style="75" customWidth="1"/>
    <col min="4101" max="4101" width="9.73046875" style="75" customWidth="1"/>
    <col min="4102" max="4102" width="10.19921875" style="75" customWidth="1"/>
    <col min="4103" max="4103" width="11.73046875" style="75" customWidth="1"/>
    <col min="4104" max="4104" width="7.265625" style="75" customWidth="1"/>
    <col min="4105" max="4105" width="9.265625" style="75" customWidth="1"/>
    <col min="4106" max="4106" width="10.265625" style="75" customWidth="1"/>
    <col min="4107" max="4107" width="9.19921875" style="75" customWidth="1"/>
    <col min="4108" max="4108" width="8.19921875" style="75" customWidth="1"/>
    <col min="4109" max="4109" width="8" style="75" customWidth="1"/>
    <col min="4110" max="4110" width="1.73046875" style="75" customWidth="1"/>
    <col min="4111" max="4111" width="10.19921875" style="75" customWidth="1"/>
    <col min="4112" max="4112" width="16.53125" style="75" customWidth="1"/>
    <col min="4113" max="4113" width="13.73046875" style="75" customWidth="1"/>
    <col min="4114" max="4114" width="8.265625" style="75" customWidth="1"/>
    <col min="4115" max="4115" width="8.73046875" style="75" customWidth="1"/>
    <col min="4116" max="4116" width="7.796875" style="75" customWidth="1"/>
    <col min="4117" max="4117" width="1.265625" style="75" customWidth="1"/>
    <col min="4118" max="4118" width="10.19921875" style="75" customWidth="1"/>
    <col min="4119" max="4119" width="7.265625" style="75" customWidth="1"/>
    <col min="4120" max="4353" width="4.265625" style="75"/>
    <col min="4354" max="4354" width="15.19921875" style="75" customWidth="1"/>
    <col min="4355" max="4355" width="10.73046875" style="75" customWidth="1"/>
    <col min="4356" max="4356" width="12.265625" style="75" customWidth="1"/>
    <col min="4357" max="4357" width="9.73046875" style="75" customWidth="1"/>
    <col min="4358" max="4358" width="10.19921875" style="75" customWidth="1"/>
    <col min="4359" max="4359" width="11.73046875" style="75" customWidth="1"/>
    <col min="4360" max="4360" width="7.265625" style="75" customWidth="1"/>
    <col min="4361" max="4361" width="9.265625" style="75" customWidth="1"/>
    <col min="4362" max="4362" width="10.265625" style="75" customWidth="1"/>
    <col min="4363" max="4363" width="9.19921875" style="75" customWidth="1"/>
    <col min="4364" max="4364" width="8.19921875" style="75" customWidth="1"/>
    <col min="4365" max="4365" width="8" style="75" customWidth="1"/>
    <col min="4366" max="4366" width="1.73046875" style="75" customWidth="1"/>
    <col min="4367" max="4367" width="10.19921875" style="75" customWidth="1"/>
    <col min="4368" max="4368" width="16.53125" style="75" customWidth="1"/>
    <col min="4369" max="4369" width="13.73046875" style="75" customWidth="1"/>
    <col min="4370" max="4370" width="8.265625" style="75" customWidth="1"/>
    <col min="4371" max="4371" width="8.73046875" style="75" customWidth="1"/>
    <col min="4372" max="4372" width="7.796875" style="75" customWidth="1"/>
    <col min="4373" max="4373" width="1.265625" style="75" customWidth="1"/>
    <col min="4374" max="4374" width="10.19921875" style="75" customWidth="1"/>
    <col min="4375" max="4375" width="7.265625" style="75" customWidth="1"/>
    <col min="4376" max="4609" width="4.265625" style="75"/>
    <col min="4610" max="4610" width="15.19921875" style="75" customWidth="1"/>
    <col min="4611" max="4611" width="10.73046875" style="75" customWidth="1"/>
    <col min="4612" max="4612" width="12.265625" style="75" customWidth="1"/>
    <col min="4613" max="4613" width="9.73046875" style="75" customWidth="1"/>
    <col min="4614" max="4614" width="10.19921875" style="75" customWidth="1"/>
    <col min="4615" max="4615" width="11.73046875" style="75" customWidth="1"/>
    <col min="4616" max="4616" width="7.265625" style="75" customWidth="1"/>
    <col min="4617" max="4617" width="9.265625" style="75" customWidth="1"/>
    <col min="4618" max="4618" width="10.265625" style="75" customWidth="1"/>
    <col min="4619" max="4619" width="9.19921875" style="75" customWidth="1"/>
    <col min="4620" max="4620" width="8.19921875" style="75" customWidth="1"/>
    <col min="4621" max="4621" width="8" style="75" customWidth="1"/>
    <col min="4622" max="4622" width="1.73046875" style="75" customWidth="1"/>
    <col min="4623" max="4623" width="10.19921875" style="75" customWidth="1"/>
    <col min="4624" max="4624" width="16.53125" style="75" customWidth="1"/>
    <col min="4625" max="4625" width="13.73046875" style="75" customWidth="1"/>
    <col min="4626" max="4626" width="8.265625" style="75" customWidth="1"/>
    <col min="4627" max="4627" width="8.73046875" style="75" customWidth="1"/>
    <col min="4628" max="4628" width="7.796875" style="75" customWidth="1"/>
    <col min="4629" max="4629" width="1.265625" style="75" customWidth="1"/>
    <col min="4630" max="4630" width="10.19921875" style="75" customWidth="1"/>
    <col min="4631" max="4631" width="7.265625" style="75" customWidth="1"/>
    <col min="4632" max="4865" width="4.265625" style="75"/>
    <col min="4866" max="4866" width="15.19921875" style="75" customWidth="1"/>
    <col min="4867" max="4867" width="10.73046875" style="75" customWidth="1"/>
    <col min="4868" max="4868" width="12.265625" style="75" customWidth="1"/>
    <col min="4869" max="4869" width="9.73046875" style="75" customWidth="1"/>
    <col min="4870" max="4870" width="10.19921875" style="75" customWidth="1"/>
    <col min="4871" max="4871" width="11.73046875" style="75" customWidth="1"/>
    <col min="4872" max="4872" width="7.265625" style="75" customWidth="1"/>
    <col min="4873" max="4873" width="9.265625" style="75" customWidth="1"/>
    <col min="4874" max="4874" width="10.265625" style="75" customWidth="1"/>
    <col min="4875" max="4875" width="9.19921875" style="75" customWidth="1"/>
    <col min="4876" max="4876" width="8.19921875" style="75" customWidth="1"/>
    <col min="4877" max="4877" width="8" style="75" customWidth="1"/>
    <col min="4878" max="4878" width="1.73046875" style="75" customWidth="1"/>
    <col min="4879" max="4879" width="10.19921875" style="75" customWidth="1"/>
    <col min="4880" max="4880" width="16.53125" style="75" customWidth="1"/>
    <col min="4881" max="4881" width="13.73046875" style="75" customWidth="1"/>
    <col min="4882" max="4882" width="8.265625" style="75" customWidth="1"/>
    <col min="4883" max="4883" width="8.73046875" style="75" customWidth="1"/>
    <col min="4884" max="4884" width="7.796875" style="75" customWidth="1"/>
    <col min="4885" max="4885" width="1.265625" style="75" customWidth="1"/>
    <col min="4886" max="4886" width="10.19921875" style="75" customWidth="1"/>
    <col min="4887" max="4887" width="7.265625" style="75" customWidth="1"/>
    <col min="4888" max="5121" width="4.265625" style="75"/>
    <col min="5122" max="5122" width="15.19921875" style="75" customWidth="1"/>
    <col min="5123" max="5123" width="10.73046875" style="75" customWidth="1"/>
    <col min="5124" max="5124" width="12.265625" style="75" customWidth="1"/>
    <col min="5125" max="5125" width="9.73046875" style="75" customWidth="1"/>
    <col min="5126" max="5126" width="10.19921875" style="75" customWidth="1"/>
    <col min="5127" max="5127" width="11.73046875" style="75" customWidth="1"/>
    <col min="5128" max="5128" width="7.265625" style="75" customWidth="1"/>
    <col min="5129" max="5129" width="9.265625" style="75" customWidth="1"/>
    <col min="5130" max="5130" width="10.265625" style="75" customWidth="1"/>
    <col min="5131" max="5131" width="9.19921875" style="75" customWidth="1"/>
    <col min="5132" max="5132" width="8.19921875" style="75" customWidth="1"/>
    <col min="5133" max="5133" width="8" style="75" customWidth="1"/>
    <col min="5134" max="5134" width="1.73046875" style="75" customWidth="1"/>
    <col min="5135" max="5135" width="10.19921875" style="75" customWidth="1"/>
    <col min="5136" max="5136" width="16.53125" style="75" customWidth="1"/>
    <col min="5137" max="5137" width="13.73046875" style="75" customWidth="1"/>
    <col min="5138" max="5138" width="8.265625" style="75" customWidth="1"/>
    <col min="5139" max="5139" width="8.73046875" style="75" customWidth="1"/>
    <col min="5140" max="5140" width="7.796875" style="75" customWidth="1"/>
    <col min="5141" max="5141" width="1.265625" style="75" customWidth="1"/>
    <col min="5142" max="5142" width="10.19921875" style="75" customWidth="1"/>
    <col min="5143" max="5143" width="7.265625" style="75" customWidth="1"/>
    <col min="5144" max="5377" width="4.265625" style="75"/>
    <col min="5378" max="5378" width="15.19921875" style="75" customWidth="1"/>
    <col min="5379" max="5379" width="10.73046875" style="75" customWidth="1"/>
    <col min="5380" max="5380" width="12.265625" style="75" customWidth="1"/>
    <col min="5381" max="5381" width="9.73046875" style="75" customWidth="1"/>
    <col min="5382" max="5382" width="10.19921875" style="75" customWidth="1"/>
    <col min="5383" max="5383" width="11.73046875" style="75" customWidth="1"/>
    <col min="5384" max="5384" width="7.265625" style="75" customWidth="1"/>
    <col min="5385" max="5385" width="9.265625" style="75" customWidth="1"/>
    <col min="5386" max="5386" width="10.265625" style="75" customWidth="1"/>
    <col min="5387" max="5387" width="9.19921875" style="75" customWidth="1"/>
    <col min="5388" max="5388" width="8.19921875" style="75" customWidth="1"/>
    <col min="5389" max="5389" width="8" style="75" customWidth="1"/>
    <col min="5390" max="5390" width="1.73046875" style="75" customWidth="1"/>
    <col min="5391" max="5391" width="10.19921875" style="75" customWidth="1"/>
    <col min="5392" max="5392" width="16.53125" style="75" customWidth="1"/>
    <col min="5393" max="5393" width="13.73046875" style="75" customWidth="1"/>
    <col min="5394" max="5394" width="8.265625" style="75" customWidth="1"/>
    <col min="5395" max="5395" width="8.73046875" style="75" customWidth="1"/>
    <col min="5396" max="5396" width="7.796875" style="75" customWidth="1"/>
    <col min="5397" max="5397" width="1.265625" style="75" customWidth="1"/>
    <col min="5398" max="5398" width="10.19921875" style="75" customWidth="1"/>
    <col min="5399" max="5399" width="7.265625" style="75" customWidth="1"/>
    <col min="5400" max="5633" width="4.265625" style="75"/>
    <col min="5634" max="5634" width="15.19921875" style="75" customWidth="1"/>
    <col min="5635" max="5635" width="10.73046875" style="75" customWidth="1"/>
    <col min="5636" max="5636" width="12.265625" style="75" customWidth="1"/>
    <col min="5637" max="5637" width="9.73046875" style="75" customWidth="1"/>
    <col min="5638" max="5638" width="10.19921875" style="75" customWidth="1"/>
    <col min="5639" max="5639" width="11.73046875" style="75" customWidth="1"/>
    <col min="5640" max="5640" width="7.265625" style="75" customWidth="1"/>
    <col min="5641" max="5641" width="9.265625" style="75" customWidth="1"/>
    <col min="5642" max="5642" width="10.265625" style="75" customWidth="1"/>
    <col min="5643" max="5643" width="9.19921875" style="75" customWidth="1"/>
    <col min="5644" max="5644" width="8.19921875" style="75" customWidth="1"/>
    <col min="5645" max="5645" width="8" style="75" customWidth="1"/>
    <col min="5646" max="5646" width="1.73046875" style="75" customWidth="1"/>
    <col min="5647" max="5647" width="10.19921875" style="75" customWidth="1"/>
    <col min="5648" max="5648" width="16.53125" style="75" customWidth="1"/>
    <col min="5649" max="5649" width="13.73046875" style="75" customWidth="1"/>
    <col min="5650" max="5650" width="8.265625" style="75" customWidth="1"/>
    <col min="5651" max="5651" width="8.73046875" style="75" customWidth="1"/>
    <col min="5652" max="5652" width="7.796875" style="75" customWidth="1"/>
    <col min="5653" max="5653" width="1.265625" style="75" customWidth="1"/>
    <col min="5654" max="5654" width="10.19921875" style="75" customWidth="1"/>
    <col min="5655" max="5655" width="7.265625" style="75" customWidth="1"/>
    <col min="5656" max="5889" width="4.265625" style="75"/>
    <col min="5890" max="5890" width="15.19921875" style="75" customWidth="1"/>
    <col min="5891" max="5891" width="10.73046875" style="75" customWidth="1"/>
    <col min="5892" max="5892" width="12.265625" style="75" customWidth="1"/>
    <col min="5893" max="5893" width="9.73046875" style="75" customWidth="1"/>
    <col min="5894" max="5894" width="10.19921875" style="75" customWidth="1"/>
    <col min="5895" max="5895" width="11.73046875" style="75" customWidth="1"/>
    <col min="5896" max="5896" width="7.265625" style="75" customWidth="1"/>
    <col min="5897" max="5897" width="9.265625" style="75" customWidth="1"/>
    <col min="5898" max="5898" width="10.265625" style="75" customWidth="1"/>
    <col min="5899" max="5899" width="9.19921875" style="75" customWidth="1"/>
    <col min="5900" max="5900" width="8.19921875" style="75" customWidth="1"/>
    <col min="5901" max="5901" width="8" style="75" customWidth="1"/>
    <col min="5902" max="5902" width="1.73046875" style="75" customWidth="1"/>
    <col min="5903" max="5903" width="10.19921875" style="75" customWidth="1"/>
    <col min="5904" max="5904" width="16.53125" style="75" customWidth="1"/>
    <col min="5905" max="5905" width="13.73046875" style="75" customWidth="1"/>
    <col min="5906" max="5906" width="8.265625" style="75" customWidth="1"/>
    <col min="5907" max="5907" width="8.73046875" style="75" customWidth="1"/>
    <col min="5908" max="5908" width="7.796875" style="75" customWidth="1"/>
    <col min="5909" max="5909" width="1.265625" style="75" customWidth="1"/>
    <col min="5910" max="5910" width="10.19921875" style="75" customWidth="1"/>
    <col min="5911" max="5911" width="7.265625" style="75" customWidth="1"/>
    <col min="5912" max="6145" width="4.265625" style="75"/>
    <col min="6146" max="6146" width="15.19921875" style="75" customWidth="1"/>
    <col min="6147" max="6147" width="10.73046875" style="75" customWidth="1"/>
    <col min="6148" max="6148" width="12.265625" style="75" customWidth="1"/>
    <col min="6149" max="6149" width="9.73046875" style="75" customWidth="1"/>
    <col min="6150" max="6150" width="10.19921875" style="75" customWidth="1"/>
    <col min="6151" max="6151" width="11.73046875" style="75" customWidth="1"/>
    <col min="6152" max="6152" width="7.265625" style="75" customWidth="1"/>
    <col min="6153" max="6153" width="9.265625" style="75" customWidth="1"/>
    <col min="6154" max="6154" width="10.265625" style="75" customWidth="1"/>
    <col min="6155" max="6155" width="9.19921875" style="75" customWidth="1"/>
    <col min="6156" max="6156" width="8.19921875" style="75" customWidth="1"/>
    <col min="6157" max="6157" width="8" style="75" customWidth="1"/>
    <col min="6158" max="6158" width="1.73046875" style="75" customWidth="1"/>
    <col min="6159" max="6159" width="10.19921875" style="75" customWidth="1"/>
    <col min="6160" max="6160" width="16.53125" style="75" customWidth="1"/>
    <col min="6161" max="6161" width="13.73046875" style="75" customWidth="1"/>
    <col min="6162" max="6162" width="8.265625" style="75" customWidth="1"/>
    <col min="6163" max="6163" width="8.73046875" style="75" customWidth="1"/>
    <col min="6164" max="6164" width="7.796875" style="75" customWidth="1"/>
    <col min="6165" max="6165" width="1.265625" style="75" customWidth="1"/>
    <col min="6166" max="6166" width="10.19921875" style="75" customWidth="1"/>
    <col min="6167" max="6167" width="7.265625" style="75" customWidth="1"/>
    <col min="6168" max="6401" width="4.265625" style="75"/>
    <col min="6402" max="6402" width="15.19921875" style="75" customWidth="1"/>
    <col min="6403" max="6403" width="10.73046875" style="75" customWidth="1"/>
    <col min="6404" max="6404" width="12.265625" style="75" customWidth="1"/>
    <col min="6405" max="6405" width="9.73046875" style="75" customWidth="1"/>
    <col min="6406" max="6406" width="10.19921875" style="75" customWidth="1"/>
    <col min="6407" max="6407" width="11.73046875" style="75" customWidth="1"/>
    <col min="6408" max="6408" width="7.265625" style="75" customWidth="1"/>
    <col min="6409" max="6409" width="9.265625" style="75" customWidth="1"/>
    <col min="6410" max="6410" width="10.265625" style="75" customWidth="1"/>
    <col min="6411" max="6411" width="9.19921875" style="75" customWidth="1"/>
    <col min="6412" max="6412" width="8.19921875" style="75" customWidth="1"/>
    <col min="6413" max="6413" width="8" style="75" customWidth="1"/>
    <col min="6414" max="6414" width="1.73046875" style="75" customWidth="1"/>
    <col min="6415" max="6415" width="10.19921875" style="75" customWidth="1"/>
    <col min="6416" max="6416" width="16.53125" style="75" customWidth="1"/>
    <col min="6417" max="6417" width="13.73046875" style="75" customWidth="1"/>
    <col min="6418" max="6418" width="8.265625" style="75" customWidth="1"/>
    <col min="6419" max="6419" width="8.73046875" style="75" customWidth="1"/>
    <col min="6420" max="6420" width="7.796875" style="75" customWidth="1"/>
    <col min="6421" max="6421" width="1.265625" style="75" customWidth="1"/>
    <col min="6422" max="6422" width="10.19921875" style="75" customWidth="1"/>
    <col min="6423" max="6423" width="7.265625" style="75" customWidth="1"/>
    <col min="6424" max="6657" width="4.265625" style="75"/>
    <col min="6658" max="6658" width="15.19921875" style="75" customWidth="1"/>
    <col min="6659" max="6659" width="10.73046875" style="75" customWidth="1"/>
    <col min="6660" max="6660" width="12.265625" style="75" customWidth="1"/>
    <col min="6661" max="6661" width="9.73046875" style="75" customWidth="1"/>
    <col min="6662" max="6662" width="10.19921875" style="75" customWidth="1"/>
    <col min="6663" max="6663" width="11.73046875" style="75" customWidth="1"/>
    <col min="6664" max="6664" width="7.265625" style="75" customWidth="1"/>
    <col min="6665" max="6665" width="9.265625" style="75" customWidth="1"/>
    <col min="6666" max="6666" width="10.265625" style="75" customWidth="1"/>
    <col min="6667" max="6667" width="9.19921875" style="75" customWidth="1"/>
    <col min="6668" max="6668" width="8.19921875" style="75" customWidth="1"/>
    <col min="6669" max="6669" width="8" style="75" customWidth="1"/>
    <col min="6670" max="6670" width="1.73046875" style="75" customWidth="1"/>
    <col min="6671" max="6671" width="10.19921875" style="75" customWidth="1"/>
    <col min="6672" max="6672" width="16.53125" style="75" customWidth="1"/>
    <col min="6673" max="6673" width="13.73046875" style="75" customWidth="1"/>
    <col min="6674" max="6674" width="8.265625" style="75" customWidth="1"/>
    <col min="6675" max="6675" width="8.73046875" style="75" customWidth="1"/>
    <col min="6676" max="6676" width="7.796875" style="75" customWidth="1"/>
    <col min="6677" max="6677" width="1.265625" style="75" customWidth="1"/>
    <col min="6678" max="6678" width="10.19921875" style="75" customWidth="1"/>
    <col min="6679" max="6679" width="7.265625" style="75" customWidth="1"/>
    <col min="6680" max="6913" width="4.265625" style="75"/>
    <col min="6914" max="6914" width="15.19921875" style="75" customWidth="1"/>
    <col min="6915" max="6915" width="10.73046875" style="75" customWidth="1"/>
    <col min="6916" max="6916" width="12.265625" style="75" customWidth="1"/>
    <col min="6917" max="6917" width="9.73046875" style="75" customWidth="1"/>
    <col min="6918" max="6918" width="10.19921875" style="75" customWidth="1"/>
    <col min="6919" max="6919" width="11.73046875" style="75" customWidth="1"/>
    <col min="6920" max="6920" width="7.265625" style="75" customWidth="1"/>
    <col min="6921" max="6921" width="9.265625" style="75" customWidth="1"/>
    <col min="6922" max="6922" width="10.265625" style="75" customWidth="1"/>
    <col min="6923" max="6923" width="9.19921875" style="75" customWidth="1"/>
    <col min="6924" max="6924" width="8.19921875" style="75" customWidth="1"/>
    <col min="6925" max="6925" width="8" style="75" customWidth="1"/>
    <col min="6926" max="6926" width="1.73046875" style="75" customWidth="1"/>
    <col min="6927" max="6927" width="10.19921875" style="75" customWidth="1"/>
    <col min="6928" max="6928" width="16.53125" style="75" customWidth="1"/>
    <col min="6929" max="6929" width="13.73046875" style="75" customWidth="1"/>
    <col min="6930" max="6930" width="8.265625" style="75" customWidth="1"/>
    <col min="6931" max="6931" width="8.73046875" style="75" customWidth="1"/>
    <col min="6932" max="6932" width="7.796875" style="75" customWidth="1"/>
    <col min="6933" max="6933" width="1.265625" style="75" customWidth="1"/>
    <col min="6934" max="6934" width="10.19921875" style="75" customWidth="1"/>
    <col min="6935" max="6935" width="7.265625" style="75" customWidth="1"/>
    <col min="6936" max="7169" width="4.265625" style="75"/>
    <col min="7170" max="7170" width="15.19921875" style="75" customWidth="1"/>
    <col min="7171" max="7171" width="10.73046875" style="75" customWidth="1"/>
    <col min="7172" max="7172" width="12.265625" style="75" customWidth="1"/>
    <col min="7173" max="7173" width="9.73046875" style="75" customWidth="1"/>
    <col min="7174" max="7174" width="10.19921875" style="75" customWidth="1"/>
    <col min="7175" max="7175" width="11.73046875" style="75" customWidth="1"/>
    <col min="7176" max="7176" width="7.265625" style="75" customWidth="1"/>
    <col min="7177" max="7177" width="9.265625" style="75" customWidth="1"/>
    <col min="7178" max="7178" width="10.265625" style="75" customWidth="1"/>
    <col min="7179" max="7179" width="9.19921875" style="75" customWidth="1"/>
    <col min="7180" max="7180" width="8.19921875" style="75" customWidth="1"/>
    <col min="7181" max="7181" width="8" style="75" customWidth="1"/>
    <col min="7182" max="7182" width="1.73046875" style="75" customWidth="1"/>
    <col min="7183" max="7183" width="10.19921875" style="75" customWidth="1"/>
    <col min="7184" max="7184" width="16.53125" style="75" customWidth="1"/>
    <col min="7185" max="7185" width="13.73046875" style="75" customWidth="1"/>
    <col min="7186" max="7186" width="8.265625" style="75" customWidth="1"/>
    <col min="7187" max="7187" width="8.73046875" style="75" customWidth="1"/>
    <col min="7188" max="7188" width="7.796875" style="75" customWidth="1"/>
    <col min="7189" max="7189" width="1.265625" style="75" customWidth="1"/>
    <col min="7190" max="7190" width="10.19921875" style="75" customWidth="1"/>
    <col min="7191" max="7191" width="7.265625" style="75" customWidth="1"/>
    <col min="7192" max="7425" width="4.265625" style="75"/>
    <col min="7426" max="7426" width="15.19921875" style="75" customWidth="1"/>
    <col min="7427" max="7427" width="10.73046875" style="75" customWidth="1"/>
    <col min="7428" max="7428" width="12.265625" style="75" customWidth="1"/>
    <col min="7429" max="7429" width="9.73046875" style="75" customWidth="1"/>
    <col min="7430" max="7430" width="10.19921875" style="75" customWidth="1"/>
    <col min="7431" max="7431" width="11.73046875" style="75" customWidth="1"/>
    <col min="7432" max="7432" width="7.265625" style="75" customWidth="1"/>
    <col min="7433" max="7433" width="9.265625" style="75" customWidth="1"/>
    <col min="7434" max="7434" width="10.265625" style="75" customWidth="1"/>
    <col min="7435" max="7435" width="9.19921875" style="75" customWidth="1"/>
    <col min="7436" max="7436" width="8.19921875" style="75" customWidth="1"/>
    <col min="7437" max="7437" width="8" style="75" customWidth="1"/>
    <col min="7438" max="7438" width="1.73046875" style="75" customWidth="1"/>
    <col min="7439" max="7439" width="10.19921875" style="75" customWidth="1"/>
    <col min="7440" max="7440" width="16.53125" style="75" customWidth="1"/>
    <col min="7441" max="7441" width="13.73046875" style="75" customWidth="1"/>
    <col min="7442" max="7442" width="8.265625" style="75" customWidth="1"/>
    <col min="7443" max="7443" width="8.73046875" style="75" customWidth="1"/>
    <col min="7444" max="7444" width="7.796875" style="75" customWidth="1"/>
    <col min="7445" max="7445" width="1.265625" style="75" customWidth="1"/>
    <col min="7446" max="7446" width="10.19921875" style="75" customWidth="1"/>
    <col min="7447" max="7447" width="7.265625" style="75" customWidth="1"/>
    <col min="7448" max="7681" width="4.265625" style="75"/>
    <col min="7682" max="7682" width="15.19921875" style="75" customWidth="1"/>
    <col min="7683" max="7683" width="10.73046875" style="75" customWidth="1"/>
    <col min="7684" max="7684" width="12.265625" style="75" customWidth="1"/>
    <col min="7685" max="7685" width="9.73046875" style="75" customWidth="1"/>
    <col min="7686" max="7686" width="10.19921875" style="75" customWidth="1"/>
    <col min="7687" max="7687" width="11.73046875" style="75" customWidth="1"/>
    <col min="7688" max="7688" width="7.265625" style="75" customWidth="1"/>
    <col min="7689" max="7689" width="9.265625" style="75" customWidth="1"/>
    <col min="7690" max="7690" width="10.265625" style="75" customWidth="1"/>
    <col min="7691" max="7691" width="9.19921875" style="75" customWidth="1"/>
    <col min="7692" max="7692" width="8.19921875" style="75" customWidth="1"/>
    <col min="7693" max="7693" width="8" style="75" customWidth="1"/>
    <col min="7694" max="7694" width="1.73046875" style="75" customWidth="1"/>
    <col min="7695" max="7695" width="10.19921875" style="75" customWidth="1"/>
    <col min="7696" max="7696" width="16.53125" style="75" customWidth="1"/>
    <col min="7697" max="7697" width="13.73046875" style="75" customWidth="1"/>
    <col min="7698" max="7698" width="8.265625" style="75" customWidth="1"/>
    <col min="7699" max="7699" width="8.73046875" style="75" customWidth="1"/>
    <col min="7700" max="7700" width="7.796875" style="75" customWidth="1"/>
    <col min="7701" max="7701" width="1.265625" style="75" customWidth="1"/>
    <col min="7702" max="7702" width="10.19921875" style="75" customWidth="1"/>
    <col min="7703" max="7703" width="7.265625" style="75" customWidth="1"/>
    <col min="7704" max="7937" width="4.265625" style="75"/>
    <col min="7938" max="7938" width="15.19921875" style="75" customWidth="1"/>
    <col min="7939" max="7939" width="10.73046875" style="75" customWidth="1"/>
    <col min="7940" max="7940" width="12.265625" style="75" customWidth="1"/>
    <col min="7941" max="7941" width="9.73046875" style="75" customWidth="1"/>
    <col min="7942" max="7942" width="10.19921875" style="75" customWidth="1"/>
    <col min="7943" max="7943" width="11.73046875" style="75" customWidth="1"/>
    <col min="7944" max="7944" width="7.265625" style="75" customWidth="1"/>
    <col min="7945" max="7945" width="9.265625" style="75" customWidth="1"/>
    <col min="7946" max="7946" width="10.265625" style="75" customWidth="1"/>
    <col min="7947" max="7947" width="9.19921875" style="75" customWidth="1"/>
    <col min="7948" max="7948" width="8.19921875" style="75" customWidth="1"/>
    <col min="7949" max="7949" width="8" style="75" customWidth="1"/>
    <col min="7950" max="7950" width="1.73046875" style="75" customWidth="1"/>
    <col min="7951" max="7951" width="10.19921875" style="75" customWidth="1"/>
    <col min="7952" max="7952" width="16.53125" style="75" customWidth="1"/>
    <col min="7953" max="7953" width="13.73046875" style="75" customWidth="1"/>
    <col min="7954" max="7954" width="8.265625" style="75" customWidth="1"/>
    <col min="7955" max="7955" width="8.73046875" style="75" customWidth="1"/>
    <col min="7956" max="7956" width="7.796875" style="75" customWidth="1"/>
    <col min="7957" max="7957" width="1.265625" style="75" customWidth="1"/>
    <col min="7958" max="7958" width="10.19921875" style="75" customWidth="1"/>
    <col min="7959" max="7959" width="7.265625" style="75" customWidth="1"/>
    <col min="7960" max="8193" width="4.265625" style="75"/>
    <col min="8194" max="8194" width="15.19921875" style="75" customWidth="1"/>
    <col min="8195" max="8195" width="10.73046875" style="75" customWidth="1"/>
    <col min="8196" max="8196" width="12.265625" style="75" customWidth="1"/>
    <col min="8197" max="8197" width="9.73046875" style="75" customWidth="1"/>
    <col min="8198" max="8198" width="10.19921875" style="75" customWidth="1"/>
    <col min="8199" max="8199" width="11.73046875" style="75" customWidth="1"/>
    <col min="8200" max="8200" width="7.265625" style="75" customWidth="1"/>
    <col min="8201" max="8201" width="9.265625" style="75" customWidth="1"/>
    <col min="8202" max="8202" width="10.265625" style="75" customWidth="1"/>
    <col min="8203" max="8203" width="9.19921875" style="75" customWidth="1"/>
    <col min="8204" max="8204" width="8.19921875" style="75" customWidth="1"/>
    <col min="8205" max="8205" width="8" style="75" customWidth="1"/>
    <col min="8206" max="8206" width="1.73046875" style="75" customWidth="1"/>
    <col min="8207" max="8207" width="10.19921875" style="75" customWidth="1"/>
    <col min="8208" max="8208" width="16.53125" style="75" customWidth="1"/>
    <col min="8209" max="8209" width="13.73046875" style="75" customWidth="1"/>
    <col min="8210" max="8210" width="8.265625" style="75" customWidth="1"/>
    <col min="8211" max="8211" width="8.73046875" style="75" customWidth="1"/>
    <col min="8212" max="8212" width="7.796875" style="75" customWidth="1"/>
    <col min="8213" max="8213" width="1.265625" style="75" customWidth="1"/>
    <col min="8214" max="8214" width="10.19921875" style="75" customWidth="1"/>
    <col min="8215" max="8215" width="7.265625" style="75" customWidth="1"/>
    <col min="8216" max="8449" width="4.265625" style="75"/>
    <col min="8450" max="8450" width="15.19921875" style="75" customWidth="1"/>
    <col min="8451" max="8451" width="10.73046875" style="75" customWidth="1"/>
    <col min="8452" max="8452" width="12.265625" style="75" customWidth="1"/>
    <col min="8453" max="8453" width="9.73046875" style="75" customWidth="1"/>
    <col min="8454" max="8454" width="10.19921875" style="75" customWidth="1"/>
    <col min="8455" max="8455" width="11.73046875" style="75" customWidth="1"/>
    <col min="8456" max="8456" width="7.265625" style="75" customWidth="1"/>
    <col min="8457" max="8457" width="9.265625" style="75" customWidth="1"/>
    <col min="8458" max="8458" width="10.265625" style="75" customWidth="1"/>
    <col min="8459" max="8459" width="9.19921875" style="75" customWidth="1"/>
    <col min="8460" max="8460" width="8.19921875" style="75" customWidth="1"/>
    <col min="8461" max="8461" width="8" style="75" customWidth="1"/>
    <col min="8462" max="8462" width="1.73046875" style="75" customWidth="1"/>
    <col min="8463" max="8463" width="10.19921875" style="75" customWidth="1"/>
    <col min="8464" max="8464" width="16.53125" style="75" customWidth="1"/>
    <col min="8465" max="8465" width="13.73046875" style="75" customWidth="1"/>
    <col min="8466" max="8466" width="8.265625" style="75" customWidth="1"/>
    <col min="8467" max="8467" width="8.73046875" style="75" customWidth="1"/>
    <col min="8468" max="8468" width="7.796875" style="75" customWidth="1"/>
    <col min="8469" max="8469" width="1.265625" style="75" customWidth="1"/>
    <col min="8470" max="8470" width="10.19921875" style="75" customWidth="1"/>
    <col min="8471" max="8471" width="7.265625" style="75" customWidth="1"/>
    <col min="8472" max="8705" width="4.265625" style="75"/>
    <col min="8706" max="8706" width="15.19921875" style="75" customWidth="1"/>
    <col min="8707" max="8707" width="10.73046875" style="75" customWidth="1"/>
    <col min="8708" max="8708" width="12.265625" style="75" customWidth="1"/>
    <col min="8709" max="8709" width="9.73046875" style="75" customWidth="1"/>
    <col min="8710" max="8710" width="10.19921875" style="75" customWidth="1"/>
    <col min="8711" max="8711" width="11.73046875" style="75" customWidth="1"/>
    <col min="8712" max="8712" width="7.265625" style="75" customWidth="1"/>
    <col min="8713" max="8713" width="9.265625" style="75" customWidth="1"/>
    <col min="8714" max="8714" width="10.265625" style="75" customWidth="1"/>
    <col min="8715" max="8715" width="9.19921875" style="75" customWidth="1"/>
    <col min="8716" max="8716" width="8.19921875" style="75" customWidth="1"/>
    <col min="8717" max="8717" width="8" style="75" customWidth="1"/>
    <col min="8718" max="8718" width="1.73046875" style="75" customWidth="1"/>
    <col min="8719" max="8719" width="10.19921875" style="75" customWidth="1"/>
    <col min="8720" max="8720" width="16.53125" style="75" customWidth="1"/>
    <col min="8721" max="8721" width="13.73046875" style="75" customWidth="1"/>
    <col min="8722" max="8722" width="8.265625" style="75" customWidth="1"/>
    <col min="8723" max="8723" width="8.73046875" style="75" customWidth="1"/>
    <col min="8724" max="8724" width="7.796875" style="75" customWidth="1"/>
    <col min="8725" max="8725" width="1.265625" style="75" customWidth="1"/>
    <col min="8726" max="8726" width="10.19921875" style="75" customWidth="1"/>
    <col min="8727" max="8727" width="7.265625" style="75" customWidth="1"/>
    <col min="8728" max="8961" width="4.265625" style="75"/>
    <col min="8962" max="8962" width="15.19921875" style="75" customWidth="1"/>
    <col min="8963" max="8963" width="10.73046875" style="75" customWidth="1"/>
    <col min="8964" max="8964" width="12.265625" style="75" customWidth="1"/>
    <col min="8965" max="8965" width="9.73046875" style="75" customWidth="1"/>
    <col min="8966" max="8966" width="10.19921875" style="75" customWidth="1"/>
    <col min="8967" max="8967" width="11.73046875" style="75" customWidth="1"/>
    <col min="8968" max="8968" width="7.265625" style="75" customWidth="1"/>
    <col min="8969" max="8969" width="9.265625" style="75" customWidth="1"/>
    <col min="8970" max="8970" width="10.265625" style="75" customWidth="1"/>
    <col min="8971" max="8971" width="9.19921875" style="75" customWidth="1"/>
    <col min="8972" max="8972" width="8.19921875" style="75" customWidth="1"/>
    <col min="8973" max="8973" width="8" style="75" customWidth="1"/>
    <col min="8974" max="8974" width="1.73046875" style="75" customWidth="1"/>
    <col min="8975" max="8975" width="10.19921875" style="75" customWidth="1"/>
    <col min="8976" max="8976" width="16.53125" style="75" customWidth="1"/>
    <col min="8977" max="8977" width="13.73046875" style="75" customWidth="1"/>
    <col min="8978" max="8978" width="8.265625" style="75" customWidth="1"/>
    <col min="8979" max="8979" width="8.73046875" style="75" customWidth="1"/>
    <col min="8980" max="8980" width="7.796875" style="75" customWidth="1"/>
    <col min="8981" max="8981" width="1.265625" style="75" customWidth="1"/>
    <col min="8982" max="8982" width="10.19921875" style="75" customWidth="1"/>
    <col min="8983" max="8983" width="7.265625" style="75" customWidth="1"/>
    <col min="8984" max="9217" width="4.265625" style="75"/>
    <col min="9218" max="9218" width="15.19921875" style="75" customWidth="1"/>
    <col min="9219" max="9219" width="10.73046875" style="75" customWidth="1"/>
    <col min="9220" max="9220" width="12.265625" style="75" customWidth="1"/>
    <col min="9221" max="9221" width="9.73046875" style="75" customWidth="1"/>
    <col min="9222" max="9222" width="10.19921875" style="75" customWidth="1"/>
    <col min="9223" max="9223" width="11.73046875" style="75" customWidth="1"/>
    <col min="9224" max="9224" width="7.265625" style="75" customWidth="1"/>
    <col min="9225" max="9225" width="9.265625" style="75" customWidth="1"/>
    <col min="9226" max="9226" width="10.265625" style="75" customWidth="1"/>
    <col min="9227" max="9227" width="9.19921875" style="75" customWidth="1"/>
    <col min="9228" max="9228" width="8.19921875" style="75" customWidth="1"/>
    <col min="9229" max="9229" width="8" style="75" customWidth="1"/>
    <col min="9230" max="9230" width="1.73046875" style="75" customWidth="1"/>
    <col min="9231" max="9231" width="10.19921875" style="75" customWidth="1"/>
    <col min="9232" max="9232" width="16.53125" style="75" customWidth="1"/>
    <col min="9233" max="9233" width="13.73046875" style="75" customWidth="1"/>
    <col min="9234" max="9234" width="8.265625" style="75" customWidth="1"/>
    <col min="9235" max="9235" width="8.73046875" style="75" customWidth="1"/>
    <col min="9236" max="9236" width="7.796875" style="75" customWidth="1"/>
    <col min="9237" max="9237" width="1.265625" style="75" customWidth="1"/>
    <col min="9238" max="9238" width="10.19921875" style="75" customWidth="1"/>
    <col min="9239" max="9239" width="7.265625" style="75" customWidth="1"/>
    <col min="9240" max="9473" width="4.265625" style="75"/>
    <col min="9474" max="9474" width="15.19921875" style="75" customWidth="1"/>
    <col min="9475" max="9475" width="10.73046875" style="75" customWidth="1"/>
    <col min="9476" max="9476" width="12.265625" style="75" customWidth="1"/>
    <col min="9477" max="9477" width="9.73046875" style="75" customWidth="1"/>
    <col min="9478" max="9478" width="10.19921875" style="75" customWidth="1"/>
    <col min="9479" max="9479" width="11.73046875" style="75" customWidth="1"/>
    <col min="9480" max="9480" width="7.265625" style="75" customWidth="1"/>
    <col min="9481" max="9481" width="9.265625" style="75" customWidth="1"/>
    <col min="9482" max="9482" width="10.265625" style="75" customWidth="1"/>
    <col min="9483" max="9483" width="9.19921875" style="75" customWidth="1"/>
    <col min="9484" max="9484" width="8.19921875" style="75" customWidth="1"/>
    <col min="9485" max="9485" width="8" style="75" customWidth="1"/>
    <col min="9486" max="9486" width="1.73046875" style="75" customWidth="1"/>
    <col min="9487" max="9487" width="10.19921875" style="75" customWidth="1"/>
    <col min="9488" max="9488" width="16.53125" style="75" customWidth="1"/>
    <col min="9489" max="9489" width="13.73046875" style="75" customWidth="1"/>
    <col min="9490" max="9490" width="8.265625" style="75" customWidth="1"/>
    <col min="9491" max="9491" width="8.73046875" style="75" customWidth="1"/>
    <col min="9492" max="9492" width="7.796875" style="75" customWidth="1"/>
    <col min="9493" max="9493" width="1.265625" style="75" customWidth="1"/>
    <col min="9494" max="9494" width="10.19921875" style="75" customWidth="1"/>
    <col min="9495" max="9495" width="7.265625" style="75" customWidth="1"/>
    <col min="9496" max="9729" width="4.265625" style="75"/>
    <col min="9730" max="9730" width="15.19921875" style="75" customWidth="1"/>
    <col min="9731" max="9731" width="10.73046875" style="75" customWidth="1"/>
    <col min="9732" max="9732" width="12.265625" style="75" customWidth="1"/>
    <col min="9733" max="9733" width="9.73046875" style="75" customWidth="1"/>
    <col min="9734" max="9734" width="10.19921875" style="75" customWidth="1"/>
    <col min="9735" max="9735" width="11.73046875" style="75" customWidth="1"/>
    <col min="9736" max="9736" width="7.265625" style="75" customWidth="1"/>
    <col min="9737" max="9737" width="9.265625" style="75" customWidth="1"/>
    <col min="9738" max="9738" width="10.265625" style="75" customWidth="1"/>
    <col min="9739" max="9739" width="9.19921875" style="75" customWidth="1"/>
    <col min="9740" max="9740" width="8.19921875" style="75" customWidth="1"/>
    <col min="9741" max="9741" width="8" style="75" customWidth="1"/>
    <col min="9742" max="9742" width="1.73046875" style="75" customWidth="1"/>
    <col min="9743" max="9743" width="10.19921875" style="75" customWidth="1"/>
    <col min="9744" max="9744" width="16.53125" style="75" customWidth="1"/>
    <col min="9745" max="9745" width="13.73046875" style="75" customWidth="1"/>
    <col min="9746" max="9746" width="8.265625" style="75" customWidth="1"/>
    <col min="9747" max="9747" width="8.73046875" style="75" customWidth="1"/>
    <col min="9748" max="9748" width="7.796875" style="75" customWidth="1"/>
    <col min="9749" max="9749" width="1.265625" style="75" customWidth="1"/>
    <col min="9750" max="9750" width="10.19921875" style="75" customWidth="1"/>
    <col min="9751" max="9751" width="7.265625" style="75" customWidth="1"/>
    <col min="9752" max="9985" width="4.265625" style="75"/>
    <col min="9986" max="9986" width="15.19921875" style="75" customWidth="1"/>
    <col min="9987" max="9987" width="10.73046875" style="75" customWidth="1"/>
    <col min="9988" max="9988" width="12.265625" style="75" customWidth="1"/>
    <col min="9989" max="9989" width="9.73046875" style="75" customWidth="1"/>
    <col min="9990" max="9990" width="10.19921875" style="75" customWidth="1"/>
    <col min="9991" max="9991" width="11.73046875" style="75" customWidth="1"/>
    <col min="9992" max="9992" width="7.265625" style="75" customWidth="1"/>
    <col min="9993" max="9993" width="9.265625" style="75" customWidth="1"/>
    <col min="9994" max="9994" width="10.265625" style="75" customWidth="1"/>
    <col min="9995" max="9995" width="9.19921875" style="75" customWidth="1"/>
    <col min="9996" max="9996" width="8.19921875" style="75" customWidth="1"/>
    <col min="9997" max="9997" width="8" style="75" customWidth="1"/>
    <col min="9998" max="9998" width="1.73046875" style="75" customWidth="1"/>
    <col min="9999" max="9999" width="10.19921875" style="75" customWidth="1"/>
    <col min="10000" max="10000" width="16.53125" style="75" customWidth="1"/>
    <col min="10001" max="10001" width="13.73046875" style="75" customWidth="1"/>
    <col min="10002" max="10002" width="8.265625" style="75" customWidth="1"/>
    <col min="10003" max="10003" width="8.73046875" style="75" customWidth="1"/>
    <col min="10004" max="10004" width="7.796875" style="75" customWidth="1"/>
    <col min="10005" max="10005" width="1.265625" style="75" customWidth="1"/>
    <col min="10006" max="10006" width="10.19921875" style="75" customWidth="1"/>
    <col min="10007" max="10007" width="7.265625" style="75" customWidth="1"/>
    <col min="10008" max="10241" width="4.265625" style="75"/>
    <col min="10242" max="10242" width="15.19921875" style="75" customWidth="1"/>
    <col min="10243" max="10243" width="10.73046875" style="75" customWidth="1"/>
    <col min="10244" max="10244" width="12.265625" style="75" customWidth="1"/>
    <col min="10245" max="10245" width="9.73046875" style="75" customWidth="1"/>
    <col min="10246" max="10246" width="10.19921875" style="75" customWidth="1"/>
    <col min="10247" max="10247" width="11.73046875" style="75" customWidth="1"/>
    <col min="10248" max="10248" width="7.265625" style="75" customWidth="1"/>
    <col min="10249" max="10249" width="9.265625" style="75" customWidth="1"/>
    <col min="10250" max="10250" width="10.265625" style="75" customWidth="1"/>
    <col min="10251" max="10251" width="9.19921875" style="75" customWidth="1"/>
    <col min="10252" max="10252" width="8.19921875" style="75" customWidth="1"/>
    <col min="10253" max="10253" width="8" style="75" customWidth="1"/>
    <col min="10254" max="10254" width="1.73046875" style="75" customWidth="1"/>
    <col min="10255" max="10255" width="10.19921875" style="75" customWidth="1"/>
    <col min="10256" max="10256" width="16.53125" style="75" customWidth="1"/>
    <col min="10257" max="10257" width="13.73046875" style="75" customWidth="1"/>
    <col min="10258" max="10258" width="8.265625" style="75" customWidth="1"/>
    <col min="10259" max="10259" width="8.73046875" style="75" customWidth="1"/>
    <col min="10260" max="10260" width="7.796875" style="75" customWidth="1"/>
    <col min="10261" max="10261" width="1.265625" style="75" customWidth="1"/>
    <col min="10262" max="10262" width="10.19921875" style="75" customWidth="1"/>
    <col min="10263" max="10263" width="7.265625" style="75" customWidth="1"/>
    <col min="10264" max="10497" width="4.265625" style="75"/>
    <col min="10498" max="10498" width="15.19921875" style="75" customWidth="1"/>
    <col min="10499" max="10499" width="10.73046875" style="75" customWidth="1"/>
    <col min="10500" max="10500" width="12.265625" style="75" customWidth="1"/>
    <col min="10501" max="10501" width="9.73046875" style="75" customWidth="1"/>
    <col min="10502" max="10502" width="10.19921875" style="75" customWidth="1"/>
    <col min="10503" max="10503" width="11.73046875" style="75" customWidth="1"/>
    <col min="10504" max="10504" width="7.265625" style="75" customWidth="1"/>
    <col min="10505" max="10505" width="9.265625" style="75" customWidth="1"/>
    <col min="10506" max="10506" width="10.265625" style="75" customWidth="1"/>
    <col min="10507" max="10507" width="9.19921875" style="75" customWidth="1"/>
    <col min="10508" max="10508" width="8.19921875" style="75" customWidth="1"/>
    <col min="10509" max="10509" width="8" style="75" customWidth="1"/>
    <col min="10510" max="10510" width="1.73046875" style="75" customWidth="1"/>
    <col min="10511" max="10511" width="10.19921875" style="75" customWidth="1"/>
    <col min="10512" max="10512" width="16.53125" style="75" customWidth="1"/>
    <col min="10513" max="10513" width="13.73046875" style="75" customWidth="1"/>
    <col min="10514" max="10514" width="8.265625" style="75" customWidth="1"/>
    <col min="10515" max="10515" width="8.73046875" style="75" customWidth="1"/>
    <col min="10516" max="10516" width="7.796875" style="75" customWidth="1"/>
    <col min="10517" max="10517" width="1.265625" style="75" customWidth="1"/>
    <col min="10518" max="10518" width="10.19921875" style="75" customWidth="1"/>
    <col min="10519" max="10519" width="7.265625" style="75" customWidth="1"/>
    <col min="10520" max="10753" width="4.265625" style="75"/>
    <col min="10754" max="10754" width="15.19921875" style="75" customWidth="1"/>
    <col min="10755" max="10755" width="10.73046875" style="75" customWidth="1"/>
    <col min="10756" max="10756" width="12.265625" style="75" customWidth="1"/>
    <col min="10757" max="10757" width="9.73046875" style="75" customWidth="1"/>
    <col min="10758" max="10758" width="10.19921875" style="75" customWidth="1"/>
    <col min="10759" max="10759" width="11.73046875" style="75" customWidth="1"/>
    <col min="10760" max="10760" width="7.265625" style="75" customWidth="1"/>
    <col min="10761" max="10761" width="9.265625" style="75" customWidth="1"/>
    <col min="10762" max="10762" width="10.265625" style="75" customWidth="1"/>
    <col min="10763" max="10763" width="9.19921875" style="75" customWidth="1"/>
    <col min="10764" max="10764" width="8.19921875" style="75" customWidth="1"/>
    <col min="10765" max="10765" width="8" style="75" customWidth="1"/>
    <col min="10766" max="10766" width="1.73046875" style="75" customWidth="1"/>
    <col min="10767" max="10767" width="10.19921875" style="75" customWidth="1"/>
    <col min="10768" max="10768" width="16.53125" style="75" customWidth="1"/>
    <col min="10769" max="10769" width="13.73046875" style="75" customWidth="1"/>
    <col min="10770" max="10770" width="8.265625" style="75" customWidth="1"/>
    <col min="10771" max="10771" width="8.73046875" style="75" customWidth="1"/>
    <col min="10772" max="10772" width="7.796875" style="75" customWidth="1"/>
    <col min="10773" max="10773" width="1.265625" style="75" customWidth="1"/>
    <col min="10774" max="10774" width="10.19921875" style="75" customWidth="1"/>
    <col min="10775" max="10775" width="7.265625" style="75" customWidth="1"/>
    <col min="10776" max="11009" width="4.265625" style="75"/>
    <col min="11010" max="11010" width="15.19921875" style="75" customWidth="1"/>
    <col min="11011" max="11011" width="10.73046875" style="75" customWidth="1"/>
    <col min="11012" max="11012" width="12.265625" style="75" customWidth="1"/>
    <col min="11013" max="11013" width="9.73046875" style="75" customWidth="1"/>
    <col min="11014" max="11014" width="10.19921875" style="75" customWidth="1"/>
    <col min="11015" max="11015" width="11.73046875" style="75" customWidth="1"/>
    <col min="11016" max="11016" width="7.265625" style="75" customWidth="1"/>
    <col min="11017" max="11017" width="9.265625" style="75" customWidth="1"/>
    <col min="11018" max="11018" width="10.265625" style="75" customWidth="1"/>
    <col min="11019" max="11019" width="9.19921875" style="75" customWidth="1"/>
    <col min="11020" max="11020" width="8.19921875" style="75" customWidth="1"/>
    <col min="11021" max="11021" width="8" style="75" customWidth="1"/>
    <col min="11022" max="11022" width="1.73046875" style="75" customWidth="1"/>
    <col min="11023" max="11023" width="10.19921875" style="75" customWidth="1"/>
    <col min="11024" max="11024" width="16.53125" style="75" customWidth="1"/>
    <col min="11025" max="11025" width="13.73046875" style="75" customWidth="1"/>
    <col min="11026" max="11026" width="8.265625" style="75" customWidth="1"/>
    <col min="11027" max="11027" width="8.73046875" style="75" customWidth="1"/>
    <col min="11028" max="11028" width="7.796875" style="75" customWidth="1"/>
    <col min="11029" max="11029" width="1.265625" style="75" customWidth="1"/>
    <col min="11030" max="11030" width="10.19921875" style="75" customWidth="1"/>
    <col min="11031" max="11031" width="7.265625" style="75" customWidth="1"/>
    <col min="11032" max="11265" width="4.265625" style="75"/>
    <col min="11266" max="11266" width="15.19921875" style="75" customWidth="1"/>
    <col min="11267" max="11267" width="10.73046875" style="75" customWidth="1"/>
    <col min="11268" max="11268" width="12.265625" style="75" customWidth="1"/>
    <col min="11269" max="11269" width="9.73046875" style="75" customWidth="1"/>
    <col min="11270" max="11270" width="10.19921875" style="75" customWidth="1"/>
    <col min="11271" max="11271" width="11.73046875" style="75" customWidth="1"/>
    <col min="11272" max="11272" width="7.265625" style="75" customWidth="1"/>
    <col min="11273" max="11273" width="9.265625" style="75" customWidth="1"/>
    <col min="11274" max="11274" width="10.265625" style="75" customWidth="1"/>
    <col min="11275" max="11275" width="9.19921875" style="75" customWidth="1"/>
    <col min="11276" max="11276" width="8.19921875" style="75" customWidth="1"/>
    <col min="11277" max="11277" width="8" style="75" customWidth="1"/>
    <col min="11278" max="11278" width="1.73046875" style="75" customWidth="1"/>
    <col min="11279" max="11279" width="10.19921875" style="75" customWidth="1"/>
    <col min="11280" max="11280" width="16.53125" style="75" customWidth="1"/>
    <col min="11281" max="11281" width="13.73046875" style="75" customWidth="1"/>
    <col min="11282" max="11282" width="8.265625" style="75" customWidth="1"/>
    <col min="11283" max="11283" width="8.73046875" style="75" customWidth="1"/>
    <col min="11284" max="11284" width="7.796875" style="75" customWidth="1"/>
    <col min="11285" max="11285" width="1.265625" style="75" customWidth="1"/>
    <col min="11286" max="11286" width="10.19921875" style="75" customWidth="1"/>
    <col min="11287" max="11287" width="7.265625" style="75" customWidth="1"/>
    <col min="11288" max="11521" width="4.265625" style="75"/>
    <col min="11522" max="11522" width="15.19921875" style="75" customWidth="1"/>
    <col min="11523" max="11523" width="10.73046875" style="75" customWidth="1"/>
    <col min="11524" max="11524" width="12.265625" style="75" customWidth="1"/>
    <col min="11525" max="11525" width="9.73046875" style="75" customWidth="1"/>
    <col min="11526" max="11526" width="10.19921875" style="75" customWidth="1"/>
    <col min="11527" max="11527" width="11.73046875" style="75" customWidth="1"/>
    <col min="11528" max="11528" width="7.265625" style="75" customWidth="1"/>
    <col min="11529" max="11529" width="9.265625" style="75" customWidth="1"/>
    <col min="11530" max="11530" width="10.265625" style="75" customWidth="1"/>
    <col min="11531" max="11531" width="9.19921875" style="75" customWidth="1"/>
    <col min="11532" max="11532" width="8.19921875" style="75" customWidth="1"/>
    <col min="11533" max="11533" width="8" style="75" customWidth="1"/>
    <col min="11534" max="11534" width="1.73046875" style="75" customWidth="1"/>
    <col min="11535" max="11535" width="10.19921875" style="75" customWidth="1"/>
    <col min="11536" max="11536" width="16.53125" style="75" customWidth="1"/>
    <col min="11537" max="11537" width="13.73046875" style="75" customWidth="1"/>
    <col min="11538" max="11538" width="8.265625" style="75" customWidth="1"/>
    <col min="11539" max="11539" width="8.73046875" style="75" customWidth="1"/>
    <col min="11540" max="11540" width="7.796875" style="75" customWidth="1"/>
    <col min="11541" max="11541" width="1.265625" style="75" customWidth="1"/>
    <col min="11542" max="11542" width="10.19921875" style="75" customWidth="1"/>
    <col min="11543" max="11543" width="7.265625" style="75" customWidth="1"/>
    <col min="11544" max="11777" width="4.265625" style="75"/>
    <col min="11778" max="11778" width="15.19921875" style="75" customWidth="1"/>
    <col min="11779" max="11779" width="10.73046875" style="75" customWidth="1"/>
    <col min="11780" max="11780" width="12.265625" style="75" customWidth="1"/>
    <col min="11781" max="11781" width="9.73046875" style="75" customWidth="1"/>
    <col min="11782" max="11782" width="10.19921875" style="75" customWidth="1"/>
    <col min="11783" max="11783" width="11.73046875" style="75" customWidth="1"/>
    <col min="11784" max="11784" width="7.265625" style="75" customWidth="1"/>
    <col min="11785" max="11785" width="9.265625" style="75" customWidth="1"/>
    <col min="11786" max="11786" width="10.265625" style="75" customWidth="1"/>
    <col min="11787" max="11787" width="9.19921875" style="75" customWidth="1"/>
    <col min="11788" max="11788" width="8.19921875" style="75" customWidth="1"/>
    <col min="11789" max="11789" width="8" style="75" customWidth="1"/>
    <col min="11790" max="11790" width="1.73046875" style="75" customWidth="1"/>
    <col min="11791" max="11791" width="10.19921875" style="75" customWidth="1"/>
    <col min="11792" max="11792" width="16.53125" style="75" customWidth="1"/>
    <col min="11793" max="11793" width="13.73046875" style="75" customWidth="1"/>
    <col min="11794" max="11794" width="8.265625" style="75" customWidth="1"/>
    <col min="11795" max="11795" width="8.73046875" style="75" customWidth="1"/>
    <col min="11796" max="11796" width="7.796875" style="75" customWidth="1"/>
    <col min="11797" max="11797" width="1.265625" style="75" customWidth="1"/>
    <col min="11798" max="11798" width="10.19921875" style="75" customWidth="1"/>
    <col min="11799" max="11799" width="7.265625" style="75" customWidth="1"/>
    <col min="11800" max="12033" width="4.265625" style="75"/>
    <col min="12034" max="12034" width="15.19921875" style="75" customWidth="1"/>
    <col min="12035" max="12035" width="10.73046875" style="75" customWidth="1"/>
    <col min="12036" max="12036" width="12.265625" style="75" customWidth="1"/>
    <col min="12037" max="12037" width="9.73046875" style="75" customWidth="1"/>
    <col min="12038" max="12038" width="10.19921875" style="75" customWidth="1"/>
    <col min="12039" max="12039" width="11.73046875" style="75" customWidth="1"/>
    <col min="12040" max="12040" width="7.265625" style="75" customWidth="1"/>
    <col min="12041" max="12041" width="9.265625" style="75" customWidth="1"/>
    <col min="12042" max="12042" width="10.265625" style="75" customWidth="1"/>
    <col min="12043" max="12043" width="9.19921875" style="75" customWidth="1"/>
    <col min="12044" max="12044" width="8.19921875" style="75" customWidth="1"/>
    <col min="12045" max="12045" width="8" style="75" customWidth="1"/>
    <col min="12046" max="12046" width="1.73046875" style="75" customWidth="1"/>
    <col min="12047" max="12047" width="10.19921875" style="75" customWidth="1"/>
    <col min="12048" max="12048" width="16.53125" style="75" customWidth="1"/>
    <col min="12049" max="12049" width="13.73046875" style="75" customWidth="1"/>
    <col min="12050" max="12050" width="8.265625" style="75" customWidth="1"/>
    <col min="12051" max="12051" width="8.73046875" style="75" customWidth="1"/>
    <col min="12052" max="12052" width="7.796875" style="75" customWidth="1"/>
    <col min="12053" max="12053" width="1.265625" style="75" customWidth="1"/>
    <col min="12054" max="12054" width="10.19921875" style="75" customWidth="1"/>
    <col min="12055" max="12055" width="7.265625" style="75" customWidth="1"/>
    <col min="12056" max="12289" width="4.265625" style="75"/>
    <col min="12290" max="12290" width="15.19921875" style="75" customWidth="1"/>
    <col min="12291" max="12291" width="10.73046875" style="75" customWidth="1"/>
    <col min="12292" max="12292" width="12.265625" style="75" customWidth="1"/>
    <col min="12293" max="12293" width="9.73046875" style="75" customWidth="1"/>
    <col min="12294" max="12294" width="10.19921875" style="75" customWidth="1"/>
    <col min="12295" max="12295" width="11.73046875" style="75" customWidth="1"/>
    <col min="12296" max="12296" width="7.265625" style="75" customWidth="1"/>
    <col min="12297" max="12297" width="9.265625" style="75" customWidth="1"/>
    <col min="12298" max="12298" width="10.265625" style="75" customWidth="1"/>
    <col min="12299" max="12299" width="9.19921875" style="75" customWidth="1"/>
    <col min="12300" max="12300" width="8.19921875" style="75" customWidth="1"/>
    <col min="12301" max="12301" width="8" style="75" customWidth="1"/>
    <col min="12302" max="12302" width="1.73046875" style="75" customWidth="1"/>
    <col min="12303" max="12303" width="10.19921875" style="75" customWidth="1"/>
    <col min="12304" max="12304" width="16.53125" style="75" customWidth="1"/>
    <col min="12305" max="12305" width="13.73046875" style="75" customWidth="1"/>
    <col min="12306" max="12306" width="8.265625" style="75" customWidth="1"/>
    <col min="12307" max="12307" width="8.73046875" style="75" customWidth="1"/>
    <col min="12308" max="12308" width="7.796875" style="75" customWidth="1"/>
    <col min="12309" max="12309" width="1.265625" style="75" customWidth="1"/>
    <col min="12310" max="12310" width="10.19921875" style="75" customWidth="1"/>
    <col min="12311" max="12311" width="7.265625" style="75" customWidth="1"/>
    <col min="12312" max="12545" width="4.265625" style="75"/>
    <col min="12546" max="12546" width="15.19921875" style="75" customWidth="1"/>
    <col min="12547" max="12547" width="10.73046875" style="75" customWidth="1"/>
    <col min="12548" max="12548" width="12.265625" style="75" customWidth="1"/>
    <col min="12549" max="12549" width="9.73046875" style="75" customWidth="1"/>
    <col min="12550" max="12550" width="10.19921875" style="75" customWidth="1"/>
    <col min="12551" max="12551" width="11.73046875" style="75" customWidth="1"/>
    <col min="12552" max="12552" width="7.265625" style="75" customWidth="1"/>
    <col min="12553" max="12553" width="9.265625" style="75" customWidth="1"/>
    <col min="12554" max="12554" width="10.265625" style="75" customWidth="1"/>
    <col min="12555" max="12555" width="9.19921875" style="75" customWidth="1"/>
    <col min="12556" max="12556" width="8.19921875" style="75" customWidth="1"/>
    <col min="12557" max="12557" width="8" style="75" customWidth="1"/>
    <col min="12558" max="12558" width="1.73046875" style="75" customWidth="1"/>
    <col min="12559" max="12559" width="10.19921875" style="75" customWidth="1"/>
    <col min="12560" max="12560" width="16.53125" style="75" customWidth="1"/>
    <col min="12561" max="12561" width="13.73046875" style="75" customWidth="1"/>
    <col min="12562" max="12562" width="8.265625" style="75" customWidth="1"/>
    <col min="12563" max="12563" width="8.73046875" style="75" customWidth="1"/>
    <col min="12564" max="12564" width="7.796875" style="75" customWidth="1"/>
    <col min="12565" max="12565" width="1.265625" style="75" customWidth="1"/>
    <col min="12566" max="12566" width="10.19921875" style="75" customWidth="1"/>
    <col min="12567" max="12567" width="7.265625" style="75" customWidth="1"/>
    <col min="12568" max="12801" width="4.265625" style="75"/>
    <col min="12802" max="12802" width="15.19921875" style="75" customWidth="1"/>
    <col min="12803" max="12803" width="10.73046875" style="75" customWidth="1"/>
    <col min="12804" max="12804" width="12.265625" style="75" customWidth="1"/>
    <col min="12805" max="12805" width="9.73046875" style="75" customWidth="1"/>
    <col min="12806" max="12806" width="10.19921875" style="75" customWidth="1"/>
    <col min="12807" max="12807" width="11.73046875" style="75" customWidth="1"/>
    <col min="12808" max="12808" width="7.265625" style="75" customWidth="1"/>
    <col min="12809" max="12809" width="9.265625" style="75" customWidth="1"/>
    <col min="12810" max="12810" width="10.265625" style="75" customWidth="1"/>
    <col min="12811" max="12811" width="9.19921875" style="75" customWidth="1"/>
    <col min="12812" max="12812" width="8.19921875" style="75" customWidth="1"/>
    <col min="12813" max="12813" width="8" style="75" customWidth="1"/>
    <col min="12814" max="12814" width="1.73046875" style="75" customWidth="1"/>
    <col min="12815" max="12815" width="10.19921875" style="75" customWidth="1"/>
    <col min="12816" max="12816" width="16.53125" style="75" customWidth="1"/>
    <col min="12817" max="12817" width="13.73046875" style="75" customWidth="1"/>
    <col min="12818" max="12818" width="8.265625" style="75" customWidth="1"/>
    <col min="12819" max="12819" width="8.73046875" style="75" customWidth="1"/>
    <col min="12820" max="12820" width="7.796875" style="75" customWidth="1"/>
    <col min="12821" max="12821" width="1.265625" style="75" customWidth="1"/>
    <col min="12822" max="12822" width="10.19921875" style="75" customWidth="1"/>
    <col min="12823" max="12823" width="7.265625" style="75" customWidth="1"/>
    <col min="12824" max="13057" width="4.265625" style="75"/>
    <col min="13058" max="13058" width="15.19921875" style="75" customWidth="1"/>
    <col min="13059" max="13059" width="10.73046875" style="75" customWidth="1"/>
    <col min="13060" max="13060" width="12.265625" style="75" customWidth="1"/>
    <col min="13061" max="13061" width="9.73046875" style="75" customWidth="1"/>
    <col min="13062" max="13062" width="10.19921875" style="75" customWidth="1"/>
    <col min="13063" max="13063" width="11.73046875" style="75" customWidth="1"/>
    <col min="13064" max="13064" width="7.265625" style="75" customWidth="1"/>
    <col min="13065" max="13065" width="9.265625" style="75" customWidth="1"/>
    <col min="13066" max="13066" width="10.265625" style="75" customWidth="1"/>
    <col min="13067" max="13067" width="9.19921875" style="75" customWidth="1"/>
    <col min="13068" max="13068" width="8.19921875" style="75" customWidth="1"/>
    <col min="13069" max="13069" width="8" style="75" customWidth="1"/>
    <col min="13070" max="13070" width="1.73046875" style="75" customWidth="1"/>
    <col min="13071" max="13071" width="10.19921875" style="75" customWidth="1"/>
    <col min="13072" max="13072" width="16.53125" style="75" customWidth="1"/>
    <col min="13073" max="13073" width="13.73046875" style="75" customWidth="1"/>
    <col min="13074" max="13074" width="8.265625" style="75" customWidth="1"/>
    <col min="13075" max="13075" width="8.73046875" style="75" customWidth="1"/>
    <col min="13076" max="13076" width="7.796875" style="75" customWidth="1"/>
    <col min="13077" max="13077" width="1.265625" style="75" customWidth="1"/>
    <col min="13078" max="13078" width="10.19921875" style="75" customWidth="1"/>
    <col min="13079" max="13079" width="7.265625" style="75" customWidth="1"/>
    <col min="13080" max="13313" width="4.265625" style="75"/>
    <col min="13314" max="13314" width="15.19921875" style="75" customWidth="1"/>
    <col min="13315" max="13315" width="10.73046875" style="75" customWidth="1"/>
    <col min="13316" max="13316" width="12.265625" style="75" customWidth="1"/>
    <col min="13317" max="13317" width="9.73046875" style="75" customWidth="1"/>
    <col min="13318" max="13318" width="10.19921875" style="75" customWidth="1"/>
    <col min="13319" max="13319" width="11.73046875" style="75" customWidth="1"/>
    <col min="13320" max="13320" width="7.265625" style="75" customWidth="1"/>
    <col min="13321" max="13321" width="9.265625" style="75" customWidth="1"/>
    <col min="13322" max="13322" width="10.265625" style="75" customWidth="1"/>
    <col min="13323" max="13323" width="9.19921875" style="75" customWidth="1"/>
    <col min="13324" max="13324" width="8.19921875" style="75" customWidth="1"/>
    <col min="13325" max="13325" width="8" style="75" customWidth="1"/>
    <col min="13326" max="13326" width="1.73046875" style="75" customWidth="1"/>
    <col min="13327" max="13327" width="10.19921875" style="75" customWidth="1"/>
    <col min="13328" max="13328" width="16.53125" style="75" customWidth="1"/>
    <col min="13329" max="13329" width="13.73046875" style="75" customWidth="1"/>
    <col min="13330" max="13330" width="8.265625" style="75" customWidth="1"/>
    <col min="13331" max="13331" width="8.73046875" style="75" customWidth="1"/>
    <col min="13332" max="13332" width="7.796875" style="75" customWidth="1"/>
    <col min="13333" max="13333" width="1.265625" style="75" customWidth="1"/>
    <col min="13334" max="13334" width="10.19921875" style="75" customWidth="1"/>
    <col min="13335" max="13335" width="7.265625" style="75" customWidth="1"/>
    <col min="13336" max="13569" width="4.265625" style="75"/>
    <col min="13570" max="13570" width="15.19921875" style="75" customWidth="1"/>
    <col min="13571" max="13571" width="10.73046875" style="75" customWidth="1"/>
    <col min="13572" max="13572" width="12.265625" style="75" customWidth="1"/>
    <col min="13573" max="13573" width="9.73046875" style="75" customWidth="1"/>
    <col min="13574" max="13574" width="10.19921875" style="75" customWidth="1"/>
    <col min="13575" max="13575" width="11.73046875" style="75" customWidth="1"/>
    <col min="13576" max="13576" width="7.265625" style="75" customWidth="1"/>
    <col min="13577" max="13577" width="9.265625" style="75" customWidth="1"/>
    <col min="13578" max="13578" width="10.265625" style="75" customWidth="1"/>
    <col min="13579" max="13579" width="9.19921875" style="75" customWidth="1"/>
    <col min="13580" max="13580" width="8.19921875" style="75" customWidth="1"/>
    <col min="13581" max="13581" width="8" style="75" customWidth="1"/>
    <col min="13582" max="13582" width="1.73046875" style="75" customWidth="1"/>
    <col min="13583" max="13583" width="10.19921875" style="75" customWidth="1"/>
    <col min="13584" max="13584" width="16.53125" style="75" customWidth="1"/>
    <col min="13585" max="13585" width="13.73046875" style="75" customWidth="1"/>
    <col min="13586" max="13586" width="8.265625" style="75" customWidth="1"/>
    <col min="13587" max="13587" width="8.73046875" style="75" customWidth="1"/>
    <col min="13588" max="13588" width="7.796875" style="75" customWidth="1"/>
    <col min="13589" max="13589" width="1.265625" style="75" customWidth="1"/>
    <col min="13590" max="13590" width="10.19921875" style="75" customWidth="1"/>
    <col min="13591" max="13591" width="7.265625" style="75" customWidth="1"/>
    <col min="13592" max="13825" width="4.265625" style="75"/>
    <col min="13826" max="13826" width="15.19921875" style="75" customWidth="1"/>
    <col min="13827" max="13827" width="10.73046875" style="75" customWidth="1"/>
    <col min="13828" max="13828" width="12.265625" style="75" customWidth="1"/>
    <col min="13829" max="13829" width="9.73046875" style="75" customWidth="1"/>
    <col min="13830" max="13830" width="10.19921875" style="75" customWidth="1"/>
    <col min="13831" max="13831" width="11.73046875" style="75" customWidth="1"/>
    <col min="13832" max="13832" width="7.265625" style="75" customWidth="1"/>
    <col min="13833" max="13833" width="9.265625" style="75" customWidth="1"/>
    <col min="13834" max="13834" width="10.265625" style="75" customWidth="1"/>
    <col min="13835" max="13835" width="9.19921875" style="75" customWidth="1"/>
    <col min="13836" max="13836" width="8.19921875" style="75" customWidth="1"/>
    <col min="13837" max="13837" width="8" style="75" customWidth="1"/>
    <col min="13838" max="13838" width="1.73046875" style="75" customWidth="1"/>
    <col min="13839" max="13839" width="10.19921875" style="75" customWidth="1"/>
    <col min="13840" max="13840" width="16.53125" style="75" customWidth="1"/>
    <col min="13841" max="13841" width="13.73046875" style="75" customWidth="1"/>
    <col min="13842" max="13842" width="8.265625" style="75" customWidth="1"/>
    <col min="13843" max="13843" width="8.73046875" style="75" customWidth="1"/>
    <col min="13844" max="13844" width="7.796875" style="75" customWidth="1"/>
    <col min="13845" max="13845" width="1.265625" style="75" customWidth="1"/>
    <col min="13846" max="13846" width="10.19921875" style="75" customWidth="1"/>
    <col min="13847" max="13847" width="7.265625" style="75" customWidth="1"/>
    <col min="13848" max="14081" width="4.265625" style="75"/>
    <col min="14082" max="14082" width="15.19921875" style="75" customWidth="1"/>
    <col min="14083" max="14083" width="10.73046875" style="75" customWidth="1"/>
    <col min="14084" max="14084" width="12.265625" style="75" customWidth="1"/>
    <col min="14085" max="14085" width="9.73046875" style="75" customWidth="1"/>
    <col min="14086" max="14086" width="10.19921875" style="75" customWidth="1"/>
    <col min="14087" max="14087" width="11.73046875" style="75" customWidth="1"/>
    <col min="14088" max="14088" width="7.265625" style="75" customWidth="1"/>
    <col min="14089" max="14089" width="9.265625" style="75" customWidth="1"/>
    <col min="14090" max="14090" width="10.265625" style="75" customWidth="1"/>
    <col min="14091" max="14091" width="9.19921875" style="75" customWidth="1"/>
    <col min="14092" max="14092" width="8.19921875" style="75" customWidth="1"/>
    <col min="14093" max="14093" width="8" style="75" customWidth="1"/>
    <col min="14094" max="14094" width="1.73046875" style="75" customWidth="1"/>
    <col min="14095" max="14095" width="10.19921875" style="75" customWidth="1"/>
    <col min="14096" max="14096" width="16.53125" style="75" customWidth="1"/>
    <col min="14097" max="14097" width="13.73046875" style="75" customWidth="1"/>
    <col min="14098" max="14098" width="8.265625" style="75" customWidth="1"/>
    <col min="14099" max="14099" width="8.73046875" style="75" customWidth="1"/>
    <col min="14100" max="14100" width="7.796875" style="75" customWidth="1"/>
    <col min="14101" max="14101" width="1.265625" style="75" customWidth="1"/>
    <col min="14102" max="14102" width="10.19921875" style="75" customWidth="1"/>
    <col min="14103" max="14103" width="7.265625" style="75" customWidth="1"/>
    <col min="14104" max="14337" width="4.265625" style="75"/>
    <col min="14338" max="14338" width="15.19921875" style="75" customWidth="1"/>
    <col min="14339" max="14339" width="10.73046875" style="75" customWidth="1"/>
    <col min="14340" max="14340" width="12.265625" style="75" customWidth="1"/>
    <col min="14341" max="14341" width="9.73046875" style="75" customWidth="1"/>
    <col min="14342" max="14342" width="10.19921875" style="75" customWidth="1"/>
    <col min="14343" max="14343" width="11.73046875" style="75" customWidth="1"/>
    <col min="14344" max="14344" width="7.265625" style="75" customWidth="1"/>
    <col min="14345" max="14345" width="9.265625" style="75" customWidth="1"/>
    <col min="14346" max="14346" width="10.265625" style="75" customWidth="1"/>
    <col min="14347" max="14347" width="9.19921875" style="75" customWidth="1"/>
    <col min="14348" max="14348" width="8.19921875" style="75" customWidth="1"/>
    <col min="14349" max="14349" width="8" style="75" customWidth="1"/>
    <col min="14350" max="14350" width="1.73046875" style="75" customWidth="1"/>
    <col min="14351" max="14351" width="10.19921875" style="75" customWidth="1"/>
    <col min="14352" max="14352" width="16.53125" style="75" customWidth="1"/>
    <col min="14353" max="14353" width="13.73046875" style="75" customWidth="1"/>
    <col min="14354" max="14354" width="8.265625" style="75" customWidth="1"/>
    <col min="14355" max="14355" width="8.73046875" style="75" customWidth="1"/>
    <col min="14356" max="14356" width="7.796875" style="75" customWidth="1"/>
    <col min="14357" max="14357" width="1.265625" style="75" customWidth="1"/>
    <col min="14358" max="14358" width="10.19921875" style="75" customWidth="1"/>
    <col min="14359" max="14359" width="7.265625" style="75" customWidth="1"/>
    <col min="14360" max="14593" width="4.265625" style="75"/>
    <col min="14594" max="14594" width="15.19921875" style="75" customWidth="1"/>
    <col min="14595" max="14595" width="10.73046875" style="75" customWidth="1"/>
    <col min="14596" max="14596" width="12.265625" style="75" customWidth="1"/>
    <col min="14597" max="14597" width="9.73046875" style="75" customWidth="1"/>
    <col min="14598" max="14598" width="10.19921875" style="75" customWidth="1"/>
    <col min="14599" max="14599" width="11.73046875" style="75" customWidth="1"/>
    <col min="14600" max="14600" width="7.265625" style="75" customWidth="1"/>
    <col min="14601" max="14601" width="9.265625" style="75" customWidth="1"/>
    <col min="14602" max="14602" width="10.265625" style="75" customWidth="1"/>
    <col min="14603" max="14603" width="9.19921875" style="75" customWidth="1"/>
    <col min="14604" max="14604" width="8.19921875" style="75" customWidth="1"/>
    <col min="14605" max="14605" width="8" style="75" customWidth="1"/>
    <col min="14606" max="14606" width="1.73046875" style="75" customWidth="1"/>
    <col min="14607" max="14607" width="10.19921875" style="75" customWidth="1"/>
    <col min="14608" max="14608" width="16.53125" style="75" customWidth="1"/>
    <col min="14609" max="14609" width="13.73046875" style="75" customWidth="1"/>
    <col min="14610" max="14610" width="8.265625" style="75" customWidth="1"/>
    <col min="14611" max="14611" width="8.73046875" style="75" customWidth="1"/>
    <col min="14612" max="14612" width="7.796875" style="75" customWidth="1"/>
    <col min="14613" max="14613" width="1.265625" style="75" customWidth="1"/>
    <col min="14614" max="14614" width="10.19921875" style="75" customWidth="1"/>
    <col min="14615" max="14615" width="7.265625" style="75" customWidth="1"/>
    <col min="14616" max="14849" width="4.265625" style="75"/>
    <col min="14850" max="14850" width="15.19921875" style="75" customWidth="1"/>
    <col min="14851" max="14851" width="10.73046875" style="75" customWidth="1"/>
    <col min="14852" max="14852" width="12.265625" style="75" customWidth="1"/>
    <col min="14853" max="14853" width="9.73046875" style="75" customWidth="1"/>
    <col min="14854" max="14854" width="10.19921875" style="75" customWidth="1"/>
    <col min="14855" max="14855" width="11.73046875" style="75" customWidth="1"/>
    <col min="14856" max="14856" width="7.265625" style="75" customWidth="1"/>
    <col min="14857" max="14857" width="9.265625" style="75" customWidth="1"/>
    <col min="14858" max="14858" width="10.265625" style="75" customWidth="1"/>
    <col min="14859" max="14859" width="9.19921875" style="75" customWidth="1"/>
    <col min="14860" max="14860" width="8.19921875" style="75" customWidth="1"/>
    <col min="14861" max="14861" width="8" style="75" customWidth="1"/>
    <col min="14862" max="14862" width="1.73046875" style="75" customWidth="1"/>
    <col min="14863" max="14863" width="10.19921875" style="75" customWidth="1"/>
    <col min="14864" max="14864" width="16.53125" style="75" customWidth="1"/>
    <col min="14865" max="14865" width="13.73046875" style="75" customWidth="1"/>
    <col min="14866" max="14866" width="8.265625" style="75" customWidth="1"/>
    <col min="14867" max="14867" width="8.73046875" style="75" customWidth="1"/>
    <col min="14868" max="14868" width="7.796875" style="75" customWidth="1"/>
    <col min="14869" max="14869" width="1.265625" style="75" customWidth="1"/>
    <col min="14870" max="14870" width="10.19921875" style="75" customWidth="1"/>
    <col min="14871" max="14871" width="7.265625" style="75" customWidth="1"/>
    <col min="14872" max="15105" width="4.265625" style="75"/>
    <col min="15106" max="15106" width="15.19921875" style="75" customWidth="1"/>
    <col min="15107" max="15107" width="10.73046875" style="75" customWidth="1"/>
    <col min="15108" max="15108" width="12.265625" style="75" customWidth="1"/>
    <col min="15109" max="15109" width="9.73046875" style="75" customWidth="1"/>
    <col min="15110" max="15110" width="10.19921875" style="75" customWidth="1"/>
    <col min="15111" max="15111" width="11.73046875" style="75" customWidth="1"/>
    <col min="15112" max="15112" width="7.265625" style="75" customWidth="1"/>
    <col min="15113" max="15113" width="9.265625" style="75" customWidth="1"/>
    <col min="15114" max="15114" width="10.265625" style="75" customWidth="1"/>
    <col min="15115" max="15115" width="9.19921875" style="75" customWidth="1"/>
    <col min="15116" max="15116" width="8.19921875" style="75" customWidth="1"/>
    <col min="15117" max="15117" width="8" style="75" customWidth="1"/>
    <col min="15118" max="15118" width="1.73046875" style="75" customWidth="1"/>
    <col min="15119" max="15119" width="10.19921875" style="75" customWidth="1"/>
    <col min="15120" max="15120" width="16.53125" style="75" customWidth="1"/>
    <col min="15121" max="15121" width="13.73046875" style="75" customWidth="1"/>
    <col min="15122" max="15122" width="8.265625" style="75" customWidth="1"/>
    <col min="15123" max="15123" width="8.73046875" style="75" customWidth="1"/>
    <col min="15124" max="15124" width="7.796875" style="75" customWidth="1"/>
    <col min="15125" max="15125" width="1.265625" style="75" customWidth="1"/>
    <col min="15126" max="15126" width="10.19921875" style="75" customWidth="1"/>
    <col min="15127" max="15127" width="7.265625" style="75" customWidth="1"/>
    <col min="15128" max="15361" width="4.265625" style="75"/>
    <col min="15362" max="15362" width="15.19921875" style="75" customWidth="1"/>
    <col min="15363" max="15363" width="10.73046875" style="75" customWidth="1"/>
    <col min="15364" max="15364" width="12.265625" style="75" customWidth="1"/>
    <col min="15365" max="15365" width="9.73046875" style="75" customWidth="1"/>
    <col min="15366" max="15366" width="10.19921875" style="75" customWidth="1"/>
    <col min="15367" max="15367" width="11.73046875" style="75" customWidth="1"/>
    <col min="15368" max="15368" width="7.265625" style="75" customWidth="1"/>
    <col min="15369" max="15369" width="9.265625" style="75" customWidth="1"/>
    <col min="15370" max="15370" width="10.265625" style="75" customWidth="1"/>
    <col min="15371" max="15371" width="9.19921875" style="75" customWidth="1"/>
    <col min="15372" max="15372" width="8.19921875" style="75" customWidth="1"/>
    <col min="15373" max="15373" width="8" style="75" customWidth="1"/>
    <col min="15374" max="15374" width="1.73046875" style="75" customWidth="1"/>
    <col min="15375" max="15375" width="10.19921875" style="75" customWidth="1"/>
    <col min="15376" max="15376" width="16.53125" style="75" customWidth="1"/>
    <col min="15377" max="15377" width="13.73046875" style="75" customWidth="1"/>
    <col min="15378" max="15378" width="8.265625" style="75" customWidth="1"/>
    <col min="15379" max="15379" width="8.73046875" style="75" customWidth="1"/>
    <col min="15380" max="15380" width="7.796875" style="75" customWidth="1"/>
    <col min="15381" max="15381" width="1.265625" style="75" customWidth="1"/>
    <col min="15382" max="15382" width="10.19921875" style="75" customWidth="1"/>
    <col min="15383" max="15383" width="7.265625" style="75" customWidth="1"/>
    <col min="15384" max="15617" width="4.265625" style="75"/>
    <col min="15618" max="15618" width="15.19921875" style="75" customWidth="1"/>
    <col min="15619" max="15619" width="10.73046875" style="75" customWidth="1"/>
    <col min="15620" max="15620" width="12.265625" style="75" customWidth="1"/>
    <col min="15621" max="15621" width="9.73046875" style="75" customWidth="1"/>
    <col min="15622" max="15622" width="10.19921875" style="75" customWidth="1"/>
    <col min="15623" max="15623" width="11.73046875" style="75" customWidth="1"/>
    <col min="15624" max="15624" width="7.265625" style="75" customWidth="1"/>
    <col min="15625" max="15625" width="9.265625" style="75" customWidth="1"/>
    <col min="15626" max="15626" width="10.265625" style="75" customWidth="1"/>
    <col min="15627" max="15627" width="9.19921875" style="75" customWidth="1"/>
    <col min="15628" max="15628" width="8.19921875" style="75" customWidth="1"/>
    <col min="15629" max="15629" width="8" style="75" customWidth="1"/>
    <col min="15630" max="15630" width="1.73046875" style="75" customWidth="1"/>
    <col min="15631" max="15631" width="10.19921875" style="75" customWidth="1"/>
    <col min="15632" max="15632" width="16.53125" style="75" customWidth="1"/>
    <col min="15633" max="15633" width="13.73046875" style="75" customWidth="1"/>
    <col min="15634" max="15634" width="8.265625" style="75" customWidth="1"/>
    <col min="15635" max="15635" width="8.73046875" style="75" customWidth="1"/>
    <col min="15636" max="15636" width="7.796875" style="75" customWidth="1"/>
    <col min="15637" max="15637" width="1.265625" style="75" customWidth="1"/>
    <col min="15638" max="15638" width="10.19921875" style="75" customWidth="1"/>
    <col min="15639" max="15639" width="7.265625" style="75" customWidth="1"/>
    <col min="15640" max="15873" width="4.265625" style="75"/>
    <col min="15874" max="15874" width="15.19921875" style="75" customWidth="1"/>
    <col min="15875" max="15875" width="10.73046875" style="75" customWidth="1"/>
    <col min="15876" max="15876" width="12.265625" style="75" customWidth="1"/>
    <col min="15877" max="15877" width="9.73046875" style="75" customWidth="1"/>
    <col min="15878" max="15878" width="10.19921875" style="75" customWidth="1"/>
    <col min="15879" max="15879" width="11.73046875" style="75" customWidth="1"/>
    <col min="15880" max="15880" width="7.265625" style="75" customWidth="1"/>
    <col min="15881" max="15881" width="9.265625" style="75" customWidth="1"/>
    <col min="15882" max="15882" width="10.265625" style="75" customWidth="1"/>
    <col min="15883" max="15883" width="9.19921875" style="75" customWidth="1"/>
    <col min="15884" max="15884" width="8.19921875" style="75" customWidth="1"/>
    <col min="15885" max="15885" width="8" style="75" customWidth="1"/>
    <col min="15886" max="15886" width="1.73046875" style="75" customWidth="1"/>
    <col min="15887" max="15887" width="10.19921875" style="75" customWidth="1"/>
    <col min="15888" max="15888" width="16.53125" style="75" customWidth="1"/>
    <col min="15889" max="15889" width="13.73046875" style="75" customWidth="1"/>
    <col min="15890" max="15890" width="8.265625" style="75" customWidth="1"/>
    <col min="15891" max="15891" width="8.73046875" style="75" customWidth="1"/>
    <col min="15892" max="15892" width="7.796875" style="75" customWidth="1"/>
    <col min="15893" max="15893" width="1.265625" style="75" customWidth="1"/>
    <col min="15894" max="15894" width="10.19921875" style="75" customWidth="1"/>
    <col min="15895" max="15895" width="7.265625" style="75" customWidth="1"/>
    <col min="15896" max="16129" width="4.265625" style="75"/>
    <col min="16130" max="16130" width="15.19921875" style="75" customWidth="1"/>
    <col min="16131" max="16131" width="10.73046875" style="75" customWidth="1"/>
    <col min="16132" max="16132" width="12.265625" style="75" customWidth="1"/>
    <col min="16133" max="16133" width="9.73046875" style="75" customWidth="1"/>
    <col min="16134" max="16134" width="10.19921875" style="75" customWidth="1"/>
    <col min="16135" max="16135" width="11.73046875" style="75" customWidth="1"/>
    <col min="16136" max="16136" width="7.265625" style="75" customWidth="1"/>
    <col min="16137" max="16137" width="9.265625" style="75" customWidth="1"/>
    <col min="16138" max="16138" width="10.265625" style="75" customWidth="1"/>
    <col min="16139" max="16139" width="9.19921875" style="75" customWidth="1"/>
    <col min="16140" max="16140" width="8.19921875" style="75" customWidth="1"/>
    <col min="16141" max="16141" width="8" style="75" customWidth="1"/>
    <col min="16142" max="16142" width="1.73046875" style="75" customWidth="1"/>
    <col min="16143" max="16143" width="10.19921875" style="75" customWidth="1"/>
    <col min="16144" max="16144" width="16.53125" style="75" customWidth="1"/>
    <col min="16145" max="16145" width="13.73046875" style="75" customWidth="1"/>
    <col min="16146" max="16146" width="8.265625" style="75" customWidth="1"/>
    <col min="16147" max="16147" width="8.73046875" style="75" customWidth="1"/>
    <col min="16148" max="16148" width="7.796875" style="75" customWidth="1"/>
    <col min="16149" max="16149" width="1.265625" style="75" customWidth="1"/>
    <col min="16150" max="16150" width="10.19921875" style="75" customWidth="1"/>
    <col min="16151" max="16151" width="7.265625" style="75" customWidth="1"/>
    <col min="16152" max="16384" width="4.265625" style="75"/>
  </cols>
  <sheetData>
    <row r="1" spans="1:47" ht="20.25" customHeight="1" x14ac:dyDescent="0.5">
      <c r="A1" s="971" t="s">
        <v>2506</v>
      </c>
      <c r="D1" s="138"/>
      <c r="E1"/>
      <c r="F1" s="139"/>
      <c r="AC1" s="228"/>
      <c r="AD1" s="228"/>
      <c r="AE1" s="228"/>
      <c r="AF1" s="228"/>
      <c r="AG1" s="229" t="s">
        <v>626</v>
      </c>
      <c r="AH1" s="230"/>
      <c r="AI1" s="228"/>
      <c r="AJ1" s="228"/>
      <c r="AK1" s="228"/>
      <c r="AL1" s="231"/>
      <c r="AM1" s="231"/>
      <c r="AN1" s="228"/>
    </row>
    <row r="2" spans="1:47" ht="15.4" x14ac:dyDescent="0.45">
      <c r="A2" s="142"/>
      <c r="B2" s="1197"/>
      <c r="C2" s="1197"/>
      <c r="D2" s="1197"/>
      <c r="E2" s="1197"/>
      <c r="AC2" s="138"/>
      <c r="AD2" s="138"/>
      <c r="AE2" s="138"/>
      <c r="AF2" s="138"/>
      <c r="AG2" s="176"/>
      <c r="AH2" s="176"/>
      <c r="AI2" s="176"/>
      <c r="AJ2" s="176"/>
      <c r="AK2" s="176"/>
      <c r="AL2" s="176"/>
      <c r="AM2" s="176"/>
      <c r="AN2" s="158"/>
    </row>
    <row r="3" spans="1:47" ht="15" customHeight="1" x14ac:dyDescent="0.5">
      <c r="B3" s="1136" t="s">
        <v>992</v>
      </c>
      <c r="C3" s="1136" t="s">
        <v>2359</v>
      </c>
      <c r="D3" s="1198"/>
      <c r="E3" s="1198"/>
      <c r="F3" s="1194"/>
      <c r="G3" s="1194"/>
      <c r="H3" s="1194"/>
      <c r="I3" s="1194"/>
      <c r="J3" s="1194"/>
      <c r="K3" s="1194"/>
      <c r="L3" s="1195"/>
      <c r="N3" s="143" t="s">
        <v>627</v>
      </c>
      <c r="O3" s="144"/>
      <c r="P3" s="144"/>
      <c r="Q3" s="144"/>
      <c r="R3" s="144"/>
      <c r="S3" s="144"/>
      <c r="T3" s="144"/>
      <c r="U3" s="144"/>
      <c r="V3" s="144"/>
      <c r="AC3" s="1459" t="s">
        <v>737</v>
      </c>
      <c r="AD3" s="1459"/>
      <c r="AE3" s="1459"/>
      <c r="AF3" s="1459"/>
      <c r="AG3" s="1459"/>
      <c r="AH3" s="1459"/>
      <c r="AI3" s="1459"/>
      <c r="AJ3" s="1459"/>
      <c r="AK3" s="1459"/>
      <c r="AL3" s="1459"/>
      <c r="AM3" s="1459"/>
      <c r="AN3" s="1459"/>
    </row>
    <row r="4" spans="1:47" ht="18.75" customHeight="1" x14ac:dyDescent="0.4">
      <c r="A4" s="145"/>
      <c r="B4" s="1199"/>
      <c r="C4" s="1178" t="s">
        <v>2360</v>
      </c>
      <c r="D4" s="1199"/>
      <c r="E4" s="1199"/>
      <c r="F4" s="145"/>
      <c r="G4" s="145"/>
      <c r="H4" s="145"/>
      <c r="I4" s="145"/>
      <c r="J4" s="145"/>
      <c r="K4" s="145"/>
      <c r="L4" s="146" t="s">
        <v>628</v>
      </c>
      <c r="N4" s="1460" t="s">
        <v>629</v>
      </c>
      <c r="O4" s="1460"/>
      <c r="P4" s="1460"/>
      <c r="Q4" s="1460"/>
      <c r="R4" s="1460"/>
      <c r="S4" s="147" t="s">
        <v>628</v>
      </c>
      <c r="T4" s="81"/>
      <c r="U4" s="145" t="s">
        <v>231</v>
      </c>
      <c r="AC4" s="139"/>
      <c r="AD4" s="139"/>
      <c r="AE4" s="228"/>
      <c r="AF4" s="158"/>
      <c r="AG4" s="158"/>
      <c r="AH4" s="158"/>
      <c r="AI4" s="228"/>
      <c r="AJ4" s="228"/>
      <c r="AK4" s="254"/>
      <c r="AL4" s="255"/>
      <c r="AM4" s="255"/>
      <c r="AN4" s="255"/>
      <c r="AO4" s="256"/>
      <c r="AP4" s="256"/>
      <c r="AQ4" s="256"/>
      <c r="AR4" s="256"/>
      <c r="AS4" s="256"/>
      <c r="AT4" s="256"/>
      <c r="AU4" s="256"/>
    </row>
    <row r="5" spans="1:47" ht="13.5" thickBot="1" x14ac:dyDescent="0.45">
      <c r="A5" s="148"/>
      <c r="B5" s="44"/>
      <c r="C5" s="44"/>
      <c r="D5" s="44"/>
      <c r="E5" s="44"/>
      <c r="F5" s="149"/>
      <c r="G5" s="1449" t="s">
        <v>630</v>
      </c>
      <c r="H5" s="1449"/>
      <c r="I5" s="1449"/>
      <c r="J5" s="1449"/>
      <c r="K5" s="1449"/>
      <c r="L5" s="1450"/>
      <c r="N5" s="150" t="s">
        <v>631</v>
      </c>
      <c r="O5" s="151" t="s">
        <v>632</v>
      </c>
      <c r="P5" s="151" t="s">
        <v>633</v>
      </c>
      <c r="Q5" s="625" t="s">
        <v>634</v>
      </c>
      <c r="R5" s="151" t="s">
        <v>635</v>
      </c>
      <c r="S5" s="152" t="s">
        <v>211</v>
      </c>
      <c r="T5" s="81"/>
      <c r="U5" s="153" t="s">
        <v>636</v>
      </c>
      <c r="V5" s="154"/>
      <c r="AC5" s="232"/>
      <c r="AD5" s="233"/>
      <c r="AE5" s="233"/>
      <c r="AF5" s="233"/>
      <c r="AG5" s="233"/>
      <c r="AH5" s="233"/>
      <c r="AI5" s="158"/>
      <c r="AJ5" s="158"/>
      <c r="AK5" s="234" t="s">
        <v>738</v>
      </c>
      <c r="AL5" s="234"/>
      <c r="AM5" s="233"/>
      <c r="AN5" s="233"/>
    </row>
    <row r="6" spans="1:47" s="158" customFormat="1" ht="13.5" thickTop="1" x14ac:dyDescent="0.4">
      <c r="A6" s="155"/>
      <c r="B6" s="156" t="s">
        <v>13</v>
      </c>
      <c r="C6" s="156" t="s">
        <v>637</v>
      </c>
      <c r="D6" s="156" t="s">
        <v>638</v>
      </c>
      <c r="E6" s="156" t="s">
        <v>13</v>
      </c>
      <c r="F6" s="157" t="s">
        <v>639</v>
      </c>
      <c r="G6" s="157" t="s">
        <v>211</v>
      </c>
      <c r="H6" s="157" t="s">
        <v>180</v>
      </c>
      <c r="I6" s="1451" t="s">
        <v>640</v>
      </c>
      <c r="J6" s="1452"/>
      <c r="K6" s="1452"/>
      <c r="L6" s="1453"/>
      <c r="N6" s="159" t="s">
        <v>641</v>
      </c>
      <c r="O6" s="157" t="s">
        <v>642</v>
      </c>
      <c r="P6" s="157" t="s">
        <v>643</v>
      </c>
      <c r="Q6" s="14" t="s">
        <v>644</v>
      </c>
      <c r="R6" s="149"/>
      <c r="S6" s="160"/>
      <c r="U6" s="155" t="s">
        <v>645</v>
      </c>
      <c r="V6" s="161"/>
      <c r="AC6" s="161"/>
      <c r="AD6" s="157" t="s">
        <v>211</v>
      </c>
      <c r="AE6" s="157" t="s">
        <v>739</v>
      </c>
      <c r="AF6" s="157" t="s">
        <v>740</v>
      </c>
      <c r="AG6" s="157" t="s">
        <v>741</v>
      </c>
      <c r="AH6" s="1454" t="s">
        <v>13</v>
      </c>
      <c r="AI6" s="1454"/>
      <c r="AJ6" s="1454"/>
      <c r="AK6" s="1454"/>
      <c r="AL6" s="157" t="s">
        <v>195</v>
      </c>
      <c r="AM6" s="157" t="s">
        <v>22</v>
      </c>
      <c r="AN6" s="176"/>
    </row>
    <row r="7" spans="1:47" s="158" customFormat="1" ht="13.15" x14ac:dyDescent="0.4">
      <c r="A7" s="155"/>
      <c r="B7" s="156" t="s">
        <v>646</v>
      </c>
      <c r="C7" s="156" t="s">
        <v>647</v>
      </c>
      <c r="D7" s="156" t="s">
        <v>214</v>
      </c>
      <c r="E7" s="156" t="s">
        <v>648</v>
      </c>
      <c r="F7" s="157" t="s">
        <v>649</v>
      </c>
      <c r="G7" s="157"/>
      <c r="H7" s="157" t="s">
        <v>650</v>
      </c>
      <c r="I7" s="162" t="s">
        <v>172</v>
      </c>
      <c r="J7" s="157" t="s">
        <v>17</v>
      </c>
      <c r="K7" s="157" t="s">
        <v>22</v>
      </c>
      <c r="L7" s="163" t="s">
        <v>211</v>
      </c>
      <c r="N7" s="159" t="s">
        <v>651</v>
      </c>
      <c r="O7" s="157" t="s">
        <v>652</v>
      </c>
      <c r="P7" s="157" t="s">
        <v>651</v>
      </c>
      <c r="Q7" s="149"/>
      <c r="R7" s="149"/>
      <c r="S7" s="160"/>
      <c r="U7" s="155" t="s">
        <v>653</v>
      </c>
      <c r="V7" s="161"/>
      <c r="AC7" s="161"/>
      <c r="AD7" s="157" t="s">
        <v>742</v>
      </c>
      <c r="AE7" s="157"/>
      <c r="AF7" s="157"/>
      <c r="AG7" s="157" t="s">
        <v>743</v>
      </c>
      <c r="AH7" s="157" t="s">
        <v>744</v>
      </c>
      <c r="AI7" s="157" t="s">
        <v>745</v>
      </c>
      <c r="AJ7" s="157" t="s">
        <v>746</v>
      </c>
      <c r="AK7" s="157" t="s">
        <v>1038</v>
      </c>
      <c r="AL7" s="157" t="s">
        <v>747</v>
      </c>
      <c r="AM7" s="157" t="s">
        <v>748</v>
      </c>
      <c r="AN7" s="176"/>
    </row>
    <row r="8" spans="1:47" s="158" customFormat="1" ht="13.15" x14ac:dyDescent="0.4">
      <c r="A8" s="164"/>
      <c r="B8" s="165" t="s">
        <v>654</v>
      </c>
      <c r="C8" s="165" t="s">
        <v>655</v>
      </c>
      <c r="D8" s="166" t="s">
        <v>27</v>
      </c>
      <c r="E8" s="165"/>
      <c r="F8" s="165" t="s">
        <v>656</v>
      </c>
      <c r="G8" s="165"/>
      <c r="H8" s="167"/>
      <c r="I8" s="168"/>
      <c r="J8" s="165"/>
      <c r="K8" s="166" t="s">
        <v>29</v>
      </c>
      <c r="L8" s="167"/>
      <c r="N8" s="169"/>
      <c r="O8" s="165" t="s">
        <v>651</v>
      </c>
      <c r="P8" s="165"/>
      <c r="Q8" s="170"/>
      <c r="R8" s="170"/>
      <c r="S8" s="171"/>
      <c r="U8" s="172" t="s">
        <v>31</v>
      </c>
      <c r="V8" s="173"/>
      <c r="AC8" s="173"/>
      <c r="AD8" s="165" t="s">
        <v>749</v>
      </c>
      <c r="AE8" s="165"/>
      <c r="AF8" s="165"/>
      <c r="AG8" s="165"/>
      <c r="AH8" s="165"/>
      <c r="AI8" s="165" t="s">
        <v>750</v>
      </c>
      <c r="AJ8" s="165"/>
      <c r="AK8" s="165"/>
      <c r="AL8" s="165" t="s">
        <v>752</v>
      </c>
      <c r="AM8" s="165"/>
      <c r="AN8" s="228"/>
    </row>
    <row r="9" spans="1:47" s="158" customFormat="1" ht="13.15" x14ac:dyDescent="0.4">
      <c r="A9" s="155"/>
      <c r="B9" s="157"/>
      <c r="C9" s="157"/>
      <c r="D9" s="612"/>
      <c r="E9" s="157"/>
      <c r="F9" s="157"/>
      <c r="G9" s="157"/>
      <c r="H9" s="157"/>
      <c r="I9" s="157"/>
      <c r="J9" s="157"/>
      <c r="K9" s="612"/>
      <c r="L9" s="163"/>
      <c r="N9" s="159"/>
      <c r="O9" s="157"/>
      <c r="P9" s="157"/>
      <c r="Q9" s="149"/>
      <c r="R9" s="149"/>
      <c r="S9" s="160"/>
      <c r="U9" s="613"/>
      <c r="V9" s="161"/>
      <c r="AC9" s="161"/>
      <c r="AD9" s="157"/>
      <c r="AE9" s="157"/>
      <c r="AF9" s="157"/>
      <c r="AG9" s="157"/>
      <c r="AH9" s="157"/>
      <c r="AI9" s="157"/>
      <c r="AJ9" s="157"/>
      <c r="AK9" s="157"/>
      <c r="AL9" s="157"/>
      <c r="AM9" s="157"/>
      <c r="AN9" s="176"/>
    </row>
    <row r="10" spans="1:47" s="158" customFormat="1" ht="13.15" x14ac:dyDescent="0.4">
      <c r="A10" s="614">
        <v>1890</v>
      </c>
      <c r="B10" s="176"/>
      <c r="C10" s="176"/>
      <c r="D10" s="197"/>
      <c r="E10" s="176"/>
      <c r="F10" s="176"/>
      <c r="G10" s="176"/>
      <c r="H10" s="176"/>
      <c r="I10" s="176"/>
      <c r="J10" s="176"/>
      <c r="K10" s="197"/>
      <c r="L10" s="620"/>
      <c r="N10" s="159"/>
      <c r="O10" s="157"/>
      <c r="P10" s="157"/>
      <c r="Q10" s="149"/>
      <c r="R10" s="149"/>
      <c r="S10" s="160"/>
      <c r="U10" s="613"/>
      <c r="V10" s="161"/>
      <c r="AC10" s="174">
        <v>1890</v>
      </c>
      <c r="AD10" s="157"/>
      <c r="AE10" s="157"/>
      <c r="AF10" s="157"/>
      <c r="AG10" s="157"/>
      <c r="AH10" s="157"/>
      <c r="AI10" s="157"/>
      <c r="AJ10" s="157"/>
      <c r="AK10" s="157"/>
      <c r="AL10" s="157"/>
      <c r="AM10" s="157"/>
      <c r="AN10" s="176"/>
    </row>
    <row r="11" spans="1:47" s="158" customFormat="1" ht="13.15" x14ac:dyDescent="0.4">
      <c r="A11" s="614">
        <v>1891</v>
      </c>
      <c r="B11" s="176"/>
      <c r="C11" s="176"/>
      <c r="D11" s="197"/>
      <c r="E11" s="176"/>
      <c r="F11" s="176"/>
      <c r="G11" s="176"/>
      <c r="H11" s="176"/>
      <c r="I11" s="176"/>
      <c r="J11" s="176"/>
      <c r="K11" s="197"/>
      <c r="L11" s="620"/>
      <c r="N11" s="159"/>
      <c r="O11" s="157"/>
      <c r="P11" s="157"/>
      <c r="Q11" s="149"/>
      <c r="R11" s="149"/>
      <c r="S11" s="160"/>
      <c r="U11" s="613"/>
      <c r="V11" s="161"/>
      <c r="AC11" s="174">
        <v>1891</v>
      </c>
      <c r="AD11" s="157"/>
      <c r="AE11" s="157"/>
      <c r="AF11" s="157"/>
      <c r="AG11" s="157"/>
      <c r="AH11" s="157"/>
      <c r="AI11" s="157"/>
      <c r="AJ11" s="157"/>
      <c r="AK11" s="157"/>
      <c r="AL11" s="157"/>
      <c r="AM11" s="157"/>
      <c r="AN11" s="176"/>
    </row>
    <row r="12" spans="1:47" s="158" customFormat="1" ht="13.15" x14ac:dyDescent="0.4">
      <c r="A12" s="614">
        <v>1892</v>
      </c>
      <c r="B12" s="176"/>
      <c r="C12" s="176"/>
      <c r="D12" s="197"/>
      <c r="E12" s="176"/>
      <c r="F12" s="176"/>
      <c r="G12" s="176"/>
      <c r="H12" s="176"/>
      <c r="I12" s="176"/>
      <c r="J12" s="176"/>
      <c r="K12" s="197"/>
      <c r="L12" s="620"/>
      <c r="N12" s="159"/>
      <c r="O12" s="157"/>
      <c r="P12" s="175"/>
      <c r="Q12" s="149"/>
      <c r="R12" s="149"/>
      <c r="S12" s="160"/>
      <c r="U12" s="613"/>
      <c r="V12" s="161"/>
      <c r="AC12" s="174">
        <v>1892</v>
      </c>
      <c r="AD12" s="157"/>
      <c r="AE12" s="157"/>
      <c r="AF12" s="157"/>
      <c r="AG12" s="157"/>
      <c r="AH12" s="157"/>
      <c r="AI12" s="157"/>
      <c r="AJ12" s="157"/>
      <c r="AK12" s="157"/>
      <c r="AL12" s="157"/>
      <c r="AM12" s="157"/>
      <c r="AN12" s="176"/>
    </row>
    <row r="13" spans="1:47" s="158" customFormat="1" ht="13.15" x14ac:dyDescent="0.4">
      <c r="A13" s="614">
        <v>1893</v>
      </c>
      <c r="B13" s="176"/>
      <c r="C13" s="176"/>
      <c r="D13" s="197"/>
      <c r="E13" s="176"/>
      <c r="F13" s="176"/>
      <c r="G13" s="176"/>
      <c r="H13" s="176"/>
      <c r="I13" s="176"/>
      <c r="J13" s="176"/>
      <c r="K13" s="197"/>
      <c r="L13" s="620"/>
      <c r="N13" s="159"/>
      <c r="O13" s="157"/>
      <c r="P13" s="175"/>
      <c r="Q13" s="149"/>
      <c r="R13" s="149"/>
      <c r="S13" s="160"/>
      <c r="U13" s="613"/>
      <c r="V13" s="161"/>
      <c r="AC13" s="174">
        <v>1893</v>
      </c>
      <c r="AD13" s="157"/>
      <c r="AE13" s="157"/>
      <c r="AF13" s="157"/>
      <c r="AG13" s="157"/>
      <c r="AH13" s="157"/>
      <c r="AI13" s="157"/>
      <c r="AJ13" s="157"/>
      <c r="AK13" s="157"/>
      <c r="AL13" s="157"/>
      <c r="AM13" s="157"/>
      <c r="AN13" s="176"/>
    </row>
    <row r="14" spans="1:47" s="158" customFormat="1" ht="13.15" x14ac:dyDescent="0.4">
      <c r="A14" s="614">
        <v>1894</v>
      </c>
      <c r="B14" s="176"/>
      <c r="C14" s="176"/>
      <c r="D14" s="197"/>
      <c r="E14" s="176"/>
      <c r="F14" s="176"/>
      <c r="G14" s="176"/>
      <c r="H14" s="176"/>
      <c r="I14" s="176"/>
      <c r="J14" s="176"/>
      <c r="K14" s="197"/>
      <c r="L14" s="620"/>
      <c r="N14" s="159"/>
      <c r="O14" s="157"/>
      <c r="P14" s="175"/>
      <c r="Q14" s="149"/>
      <c r="R14" s="149"/>
      <c r="S14" s="160"/>
      <c r="U14" s="613"/>
      <c r="V14" s="161"/>
      <c r="AC14" s="174">
        <v>1894</v>
      </c>
      <c r="AD14" s="157"/>
      <c r="AE14" s="157"/>
      <c r="AF14" s="157"/>
      <c r="AG14" s="157"/>
      <c r="AH14" s="157"/>
      <c r="AI14" s="157"/>
      <c r="AJ14" s="157"/>
      <c r="AK14" s="157"/>
      <c r="AL14" s="157"/>
      <c r="AM14" s="157"/>
      <c r="AN14" s="176"/>
    </row>
    <row r="15" spans="1:47" s="158" customFormat="1" ht="15" customHeight="1" x14ac:dyDescent="0.45">
      <c r="A15" s="614">
        <v>1895</v>
      </c>
      <c r="B15" s="176"/>
      <c r="C15" s="176"/>
      <c r="D15" s="197"/>
      <c r="E15" s="176"/>
      <c r="F15" s="176"/>
      <c r="G15" s="622">
        <f t="shared" ref="G15:G38" si="0">S15</f>
        <v>3.78E-2</v>
      </c>
      <c r="H15" s="176"/>
      <c r="I15" s="626"/>
      <c r="J15" s="623"/>
      <c r="K15" s="197"/>
      <c r="L15" s="620"/>
      <c r="N15" s="1455">
        <v>3.78E-2</v>
      </c>
      <c r="O15" s="1456"/>
      <c r="P15" s="621">
        <v>0</v>
      </c>
      <c r="R15" s="621">
        <v>0</v>
      </c>
      <c r="S15" s="624">
        <v>3.78E-2</v>
      </c>
      <c r="U15" s="613"/>
      <c r="V15" s="161"/>
      <c r="AC15" s="174">
        <v>1895</v>
      </c>
      <c r="AD15" s="175">
        <f t="shared" ref="AD15:AD39" si="1">SUM(AE15:AL15)</f>
        <v>5.8799999999999998E-2</v>
      </c>
      <c r="AE15" s="193">
        <f>'1.3.4 Coal3'!F205*Units!C$20</f>
        <v>5.8799999999999998E-2</v>
      </c>
      <c r="AF15" s="157"/>
      <c r="AG15" s="157"/>
      <c r="AH15" s="157"/>
      <c r="AI15" s="157"/>
      <c r="AJ15" s="157"/>
      <c r="AK15" s="157"/>
      <c r="AL15" s="157"/>
      <c r="AM15" s="157"/>
      <c r="AN15" s="176"/>
    </row>
    <row r="16" spans="1:47" s="158" customFormat="1" ht="14.25" x14ac:dyDescent="0.45">
      <c r="A16" s="614">
        <v>1896</v>
      </c>
      <c r="B16" s="176"/>
      <c r="C16" s="176"/>
      <c r="D16" s="197"/>
      <c r="E16" s="176"/>
      <c r="F16" s="176"/>
      <c r="G16" s="622">
        <f t="shared" si="0"/>
        <v>5.2299999999999999E-2</v>
      </c>
      <c r="H16" s="176"/>
      <c r="I16" s="626"/>
      <c r="J16" s="623"/>
      <c r="K16" s="197"/>
      <c r="L16" s="620"/>
      <c r="N16" s="1455">
        <v>5.2299999999999999E-2</v>
      </c>
      <c r="O16" s="1456"/>
      <c r="P16" s="621">
        <v>0</v>
      </c>
      <c r="R16" s="621">
        <v>0</v>
      </c>
      <c r="S16" s="624">
        <v>5.2299999999999999E-2</v>
      </c>
      <c r="U16" s="613"/>
      <c r="V16" s="161"/>
      <c r="AC16" s="174">
        <v>1896</v>
      </c>
      <c r="AD16" s="175">
        <f t="shared" si="1"/>
        <v>0.27195000000000003</v>
      </c>
      <c r="AE16" s="193">
        <f>'1.3.4 Coal3'!F206*Units!C$20</f>
        <v>0.27195000000000003</v>
      </c>
      <c r="AF16" s="157"/>
      <c r="AG16" s="157"/>
      <c r="AH16" s="157"/>
      <c r="AI16" s="157"/>
      <c r="AJ16" s="157"/>
      <c r="AK16" s="157"/>
      <c r="AL16" s="157"/>
      <c r="AM16" s="157"/>
      <c r="AN16" s="176"/>
    </row>
    <row r="17" spans="1:40" s="158" customFormat="1" ht="14.25" x14ac:dyDescent="0.45">
      <c r="A17" s="614">
        <v>1897</v>
      </c>
      <c r="B17" s="176"/>
      <c r="C17" s="176"/>
      <c r="D17" s="197"/>
      <c r="E17" s="176"/>
      <c r="F17" s="176"/>
      <c r="G17" s="622">
        <f t="shared" si="0"/>
        <v>7.1300000000000002E-2</v>
      </c>
      <c r="H17" s="176"/>
      <c r="I17" s="626"/>
      <c r="J17" s="623"/>
      <c r="K17" s="197"/>
      <c r="L17" s="620"/>
      <c r="N17" s="1455">
        <v>7.0099999999999996E-2</v>
      </c>
      <c r="O17" s="1456"/>
      <c r="P17" s="621">
        <v>1.1999999999999999E-3</v>
      </c>
      <c r="R17" s="621">
        <v>0</v>
      </c>
      <c r="S17" s="624">
        <v>7.1300000000000002E-2</v>
      </c>
      <c r="U17" s="613"/>
      <c r="V17" s="161"/>
      <c r="AC17" s="174">
        <v>1897</v>
      </c>
      <c r="AD17" s="175">
        <f t="shared" si="1"/>
        <v>0.48509999999999992</v>
      </c>
      <c r="AE17" s="193">
        <f>'1.3.4 Coal3'!F207*Units!C$20</f>
        <v>0.48509999999999992</v>
      </c>
      <c r="AF17" s="157"/>
      <c r="AG17" s="157"/>
      <c r="AH17" s="157"/>
      <c r="AI17" s="157"/>
      <c r="AJ17" s="157"/>
      <c r="AK17" s="157"/>
      <c r="AL17" s="157"/>
      <c r="AM17" s="157"/>
      <c r="AN17" s="176"/>
    </row>
    <row r="18" spans="1:40" s="158" customFormat="1" ht="14.25" x14ac:dyDescent="0.45">
      <c r="A18" s="614">
        <v>1898</v>
      </c>
      <c r="B18" s="176"/>
      <c r="C18" s="176"/>
      <c r="D18" s="197"/>
      <c r="E18" s="176"/>
      <c r="F18" s="176"/>
      <c r="G18" s="622">
        <f t="shared" si="0"/>
        <v>9.2899999999999996E-2</v>
      </c>
      <c r="H18" s="176"/>
      <c r="I18" s="626"/>
      <c r="J18" s="623"/>
      <c r="K18" s="197"/>
      <c r="L18" s="620"/>
      <c r="N18" s="1455">
        <v>8.8499999999999995E-2</v>
      </c>
      <c r="O18" s="1456"/>
      <c r="P18" s="621">
        <v>3.8E-3</v>
      </c>
      <c r="R18" s="621">
        <v>5.9999999999999995E-4</v>
      </c>
      <c r="S18" s="624">
        <v>9.2899999999999996E-2</v>
      </c>
      <c r="U18" s="613"/>
      <c r="V18" s="161"/>
      <c r="AC18" s="174">
        <v>1898</v>
      </c>
      <c r="AD18" s="175">
        <f t="shared" si="1"/>
        <v>0.69824999999999993</v>
      </c>
      <c r="AE18" s="193">
        <f>'1.3.4 Coal3'!F208*Units!C$20</f>
        <v>0.69824999999999993</v>
      </c>
      <c r="AF18" s="157"/>
      <c r="AG18" s="157"/>
      <c r="AH18" s="157"/>
      <c r="AI18" s="157"/>
      <c r="AJ18" s="157"/>
      <c r="AK18" s="157"/>
      <c r="AL18" s="157"/>
      <c r="AM18" s="157"/>
      <c r="AN18" s="176"/>
    </row>
    <row r="19" spans="1:40" s="158" customFormat="1" ht="14.25" x14ac:dyDescent="0.45">
      <c r="A19" s="614">
        <v>1899</v>
      </c>
      <c r="B19" s="176"/>
      <c r="C19" s="176"/>
      <c r="D19" s="197"/>
      <c r="E19" s="176"/>
      <c r="F19" s="176"/>
      <c r="G19" s="622">
        <f t="shared" si="0"/>
        <v>0.13159999999999999</v>
      </c>
      <c r="H19" s="176"/>
      <c r="I19" s="626"/>
      <c r="J19" s="623"/>
      <c r="K19" s="197"/>
      <c r="L19" s="620"/>
      <c r="N19" s="1455">
        <v>0.124</v>
      </c>
      <c r="O19" s="1456"/>
      <c r="P19" s="621">
        <v>4.4000000000000003E-3</v>
      </c>
      <c r="R19" s="621">
        <v>3.2000000000000002E-3</v>
      </c>
      <c r="S19" s="624">
        <v>0.13159999999999999</v>
      </c>
      <c r="U19" s="613"/>
      <c r="V19" s="161"/>
      <c r="AC19" s="174">
        <v>1899</v>
      </c>
      <c r="AD19" s="175">
        <f t="shared" si="1"/>
        <v>0.91139999999999999</v>
      </c>
      <c r="AE19" s="193">
        <f>'1.3.4 Coal3'!F209*Units!C$20</f>
        <v>0.91139999999999999</v>
      </c>
      <c r="AF19" s="157"/>
      <c r="AG19" s="157"/>
      <c r="AH19" s="157"/>
      <c r="AI19" s="157"/>
      <c r="AJ19" s="157"/>
      <c r="AK19" s="157"/>
      <c r="AL19" s="157"/>
      <c r="AM19" s="157"/>
      <c r="AN19" s="176"/>
    </row>
    <row r="20" spans="1:40" s="158" customFormat="1" ht="14.25" x14ac:dyDescent="0.45">
      <c r="A20" s="614">
        <v>1900</v>
      </c>
      <c r="B20" s="176"/>
      <c r="C20" s="176"/>
      <c r="D20" s="197"/>
      <c r="E20" s="176"/>
      <c r="F20" s="176"/>
      <c r="G20" s="622">
        <f t="shared" si="0"/>
        <v>0.1804</v>
      </c>
      <c r="H20" s="176"/>
      <c r="I20" s="626"/>
      <c r="J20" s="623"/>
      <c r="K20" s="197"/>
      <c r="L20" s="620"/>
      <c r="N20" s="1455">
        <v>0.15280000000000002</v>
      </c>
      <c r="O20" s="1456"/>
      <c r="P20" s="621">
        <v>1.1900000000000001E-2</v>
      </c>
      <c r="R20" s="621">
        <v>1.5699999999999999E-2</v>
      </c>
      <c r="S20" s="624">
        <v>0.1804</v>
      </c>
      <c r="U20" s="613"/>
      <c r="V20" s="161"/>
      <c r="AC20" s="174">
        <v>1900</v>
      </c>
      <c r="AD20" s="175">
        <f t="shared" si="1"/>
        <v>1.1245499999999999</v>
      </c>
      <c r="AE20" s="193">
        <f>'1.3.4 Coal3'!F210*Units!C$20</f>
        <v>1.1245499999999999</v>
      </c>
      <c r="AF20" s="157"/>
      <c r="AG20" s="157"/>
      <c r="AH20" s="157"/>
      <c r="AI20" s="157"/>
      <c r="AJ20" s="157"/>
      <c r="AK20" s="157"/>
      <c r="AL20" s="157"/>
      <c r="AM20" s="157"/>
      <c r="AN20" s="176"/>
    </row>
    <row r="21" spans="1:40" s="158" customFormat="1" ht="14.25" x14ac:dyDescent="0.45">
      <c r="A21" s="614">
        <v>1901</v>
      </c>
      <c r="B21" s="176"/>
      <c r="C21" s="176"/>
      <c r="D21" s="197"/>
      <c r="E21" s="176"/>
      <c r="F21" s="176"/>
      <c r="G21" s="622">
        <f t="shared" si="0"/>
        <v>0.24330000000000002</v>
      </c>
      <c r="H21" s="176"/>
      <c r="I21" s="626"/>
      <c r="J21" s="623"/>
      <c r="K21" s="197"/>
      <c r="L21" s="620"/>
      <c r="N21" s="1455">
        <v>0.18959999999999999</v>
      </c>
      <c r="O21" s="1456"/>
      <c r="P21" s="621">
        <v>1.84E-2</v>
      </c>
      <c r="R21" s="621">
        <v>3.5299999999999998E-2</v>
      </c>
      <c r="S21" s="624">
        <v>0.24330000000000002</v>
      </c>
      <c r="U21" s="613"/>
      <c r="V21" s="161"/>
      <c r="AC21" s="174">
        <v>1901</v>
      </c>
      <c r="AD21" s="175">
        <f t="shared" si="1"/>
        <v>1.3376999999999999</v>
      </c>
      <c r="AE21" s="193">
        <f>'1.3.4 Coal3'!F211*Units!C$20</f>
        <v>1.3376999999999999</v>
      </c>
      <c r="AF21" s="157"/>
      <c r="AG21" s="157"/>
      <c r="AH21" s="157"/>
      <c r="AI21" s="157"/>
      <c r="AJ21" s="157"/>
      <c r="AK21" s="157"/>
      <c r="AL21" s="157"/>
      <c r="AM21" s="157"/>
      <c r="AN21" s="176"/>
    </row>
    <row r="22" spans="1:40" s="158" customFormat="1" ht="14.25" x14ac:dyDescent="0.45">
      <c r="A22" s="614">
        <v>1902</v>
      </c>
      <c r="B22" s="176"/>
      <c r="C22" s="176"/>
      <c r="D22" s="197"/>
      <c r="E22" s="176"/>
      <c r="F22" s="176"/>
      <c r="G22" s="622">
        <f t="shared" si="0"/>
        <v>0.33879999999999993</v>
      </c>
      <c r="H22" s="176"/>
      <c r="I22" s="626"/>
      <c r="J22" s="623"/>
      <c r="K22" s="197"/>
      <c r="L22" s="620"/>
      <c r="N22" s="1455">
        <v>0.24359999999999998</v>
      </c>
      <c r="O22" s="1456"/>
      <c r="P22" s="621">
        <v>2.86E-2</v>
      </c>
      <c r="R22" s="621">
        <v>6.6599999999999993E-2</v>
      </c>
      <c r="S22" s="624">
        <v>0.33879999999999993</v>
      </c>
      <c r="U22" s="613"/>
      <c r="V22" s="161"/>
      <c r="AC22" s="174">
        <v>1902</v>
      </c>
      <c r="AD22" s="175">
        <f t="shared" si="1"/>
        <v>1.5508499999999998</v>
      </c>
      <c r="AE22" s="193">
        <f>'1.3.4 Coal3'!F212*Units!C$20</f>
        <v>1.5508499999999998</v>
      </c>
      <c r="AF22" s="157"/>
      <c r="AG22" s="157"/>
      <c r="AH22" s="157"/>
      <c r="AI22" s="157"/>
      <c r="AJ22" s="157"/>
      <c r="AK22" s="157"/>
      <c r="AL22" s="157"/>
      <c r="AM22" s="157"/>
      <c r="AN22" s="176"/>
    </row>
    <row r="23" spans="1:40" s="158" customFormat="1" ht="14.25" x14ac:dyDescent="0.45">
      <c r="A23" s="614">
        <v>1903</v>
      </c>
      <c r="B23" s="176"/>
      <c r="C23" s="176"/>
      <c r="D23" s="197"/>
      <c r="E23" s="176"/>
      <c r="F23" s="176"/>
      <c r="G23" s="622">
        <f t="shared" si="0"/>
        <v>0.43310000000000004</v>
      </c>
      <c r="H23" s="176"/>
      <c r="I23" s="626"/>
      <c r="J23" s="623"/>
      <c r="K23" s="197"/>
      <c r="L23" s="620"/>
      <c r="N23" s="1455">
        <v>0.28029999999999999</v>
      </c>
      <c r="O23" s="1456"/>
      <c r="P23" s="621">
        <v>4.9399999999999999E-2</v>
      </c>
      <c r="R23" s="621">
        <v>0.10340000000000001</v>
      </c>
      <c r="S23" s="624">
        <v>0.43310000000000004</v>
      </c>
      <c r="U23" s="613"/>
      <c r="V23" s="161"/>
      <c r="AC23" s="174">
        <v>1903</v>
      </c>
      <c r="AD23" s="175">
        <f t="shared" si="1"/>
        <v>1.7639999999999998</v>
      </c>
      <c r="AE23" s="193">
        <f>'1.3.4 Coal3'!F213*Units!C$20</f>
        <v>1.7639999999999998</v>
      </c>
      <c r="AF23" s="157"/>
      <c r="AG23" s="157"/>
      <c r="AH23" s="157"/>
      <c r="AI23" s="157"/>
      <c r="AJ23" s="157"/>
      <c r="AK23" s="157"/>
      <c r="AL23" s="157"/>
      <c r="AM23" s="157"/>
      <c r="AN23" s="176"/>
    </row>
    <row r="24" spans="1:40" s="158" customFormat="1" ht="14.25" x14ac:dyDescent="0.45">
      <c r="A24" s="614">
        <v>1904</v>
      </c>
      <c r="B24" s="176"/>
      <c r="C24" s="176"/>
      <c r="D24" s="197"/>
      <c r="E24" s="176"/>
      <c r="F24" s="176"/>
      <c r="G24" s="622">
        <f t="shared" si="0"/>
        <v>0.55349999999999999</v>
      </c>
      <c r="H24" s="176"/>
      <c r="I24" s="626"/>
      <c r="J24" s="623"/>
      <c r="K24" s="197"/>
      <c r="L24" s="620"/>
      <c r="N24" s="1455">
        <v>0.3634</v>
      </c>
      <c r="O24" s="1456"/>
      <c r="P24" s="621">
        <v>7.6200000000000004E-2</v>
      </c>
      <c r="R24" s="621">
        <v>0.1139</v>
      </c>
      <c r="S24" s="624">
        <v>0.55349999999999999</v>
      </c>
      <c r="U24" s="613"/>
      <c r="V24" s="161"/>
      <c r="AC24" s="174">
        <v>1904</v>
      </c>
      <c r="AD24" s="813">
        <f t="shared" si="1"/>
        <v>1.8815999999999999</v>
      </c>
      <c r="AE24" s="812">
        <f>'1.3.4 Coal3'!F214*Units!C$20</f>
        <v>1.8815999999999999</v>
      </c>
      <c r="AF24" s="157"/>
      <c r="AG24" s="157"/>
      <c r="AH24" s="157"/>
      <c r="AI24" s="157"/>
      <c r="AJ24" s="157"/>
      <c r="AK24" s="157"/>
      <c r="AL24" s="157"/>
      <c r="AM24" s="157"/>
      <c r="AN24" s="176"/>
    </row>
    <row r="25" spans="1:40" s="158" customFormat="1" ht="14.25" x14ac:dyDescent="0.45">
      <c r="A25" s="614">
        <v>1905</v>
      </c>
      <c r="B25" s="176"/>
      <c r="C25" s="176"/>
      <c r="D25" s="197"/>
      <c r="E25" s="176"/>
      <c r="F25" s="176"/>
      <c r="G25" s="622">
        <f t="shared" si="0"/>
        <v>0.64460000000000006</v>
      </c>
      <c r="H25" s="176"/>
      <c r="I25" s="626"/>
      <c r="J25" s="623"/>
      <c r="K25" s="197"/>
      <c r="L25" s="620"/>
      <c r="N25" s="1455">
        <v>0.35199999999999998</v>
      </c>
      <c r="O25" s="1456"/>
      <c r="P25" s="621">
        <v>0.1163</v>
      </c>
      <c r="R25" s="621">
        <v>0.17630000000000001</v>
      </c>
      <c r="S25" s="624">
        <v>0.64460000000000006</v>
      </c>
      <c r="U25" s="613"/>
      <c r="V25" s="161"/>
      <c r="AC25" s="174">
        <v>1905</v>
      </c>
      <c r="AD25" s="813">
        <f t="shared" si="1"/>
        <v>1.9992000000000001</v>
      </c>
      <c r="AE25" s="812">
        <f>'1.3.4 Coal3'!F215*Units!C$20</f>
        <v>1.9992000000000001</v>
      </c>
      <c r="AF25" s="157"/>
      <c r="AG25" s="157"/>
      <c r="AH25" s="157"/>
      <c r="AI25" s="157"/>
      <c r="AJ25" s="157"/>
      <c r="AK25" s="157"/>
      <c r="AL25" s="157"/>
      <c r="AM25" s="157"/>
      <c r="AN25" s="176"/>
    </row>
    <row r="26" spans="1:40" s="158" customFormat="1" ht="14.25" x14ac:dyDescent="0.45">
      <c r="A26" s="614">
        <v>1906</v>
      </c>
      <c r="B26" s="176"/>
      <c r="C26" s="176"/>
      <c r="D26" s="197"/>
      <c r="E26" s="176"/>
      <c r="F26" s="176"/>
      <c r="G26" s="622">
        <f t="shared" si="0"/>
        <v>0.77590000000000015</v>
      </c>
      <c r="H26" s="176"/>
      <c r="I26" s="626"/>
      <c r="J26" s="623"/>
      <c r="K26" s="197"/>
      <c r="L26" s="620"/>
      <c r="N26" s="1455">
        <v>0.40189999999999998</v>
      </c>
      <c r="O26" s="1456"/>
      <c r="P26" s="621">
        <v>0.18230000000000002</v>
      </c>
      <c r="R26" s="621">
        <v>0.19169999999999998</v>
      </c>
      <c r="S26" s="624">
        <v>0.77590000000000015</v>
      </c>
      <c r="U26" s="613"/>
      <c r="V26" s="161"/>
      <c r="AC26" s="174">
        <v>1906</v>
      </c>
      <c r="AD26" s="813">
        <f t="shared" si="1"/>
        <v>2.1168</v>
      </c>
      <c r="AE26" s="812">
        <f>'1.3.4 Coal3'!F216*Units!C$20</f>
        <v>2.1168</v>
      </c>
      <c r="AF26" s="157"/>
      <c r="AG26" s="157"/>
      <c r="AH26" s="157"/>
      <c r="AI26" s="157"/>
      <c r="AJ26" s="157"/>
      <c r="AK26" s="157"/>
      <c r="AL26" s="157"/>
      <c r="AM26" s="157"/>
      <c r="AN26" s="176"/>
    </row>
    <row r="27" spans="1:40" s="158" customFormat="1" ht="14.25" x14ac:dyDescent="0.45">
      <c r="A27" s="614">
        <v>1907</v>
      </c>
      <c r="B27" s="176"/>
      <c r="C27" s="176"/>
      <c r="D27" s="197"/>
      <c r="E27" s="176"/>
      <c r="F27" s="176"/>
      <c r="G27" s="622">
        <f t="shared" si="0"/>
        <v>0.95599999999999996</v>
      </c>
      <c r="H27" s="176"/>
      <c r="I27" s="626"/>
      <c r="J27" s="623"/>
      <c r="K27" s="197"/>
      <c r="L27" s="620"/>
      <c r="N27" s="1455">
        <v>0.41599999999999998</v>
      </c>
      <c r="O27" s="1456"/>
      <c r="P27" s="621">
        <v>0.31589999999999996</v>
      </c>
      <c r="R27" s="621">
        <v>0.22409999999999999</v>
      </c>
      <c r="S27" s="624">
        <v>0.95599999999999996</v>
      </c>
      <c r="U27" s="613"/>
      <c r="V27" s="161"/>
      <c r="AC27" s="174">
        <v>1907</v>
      </c>
      <c r="AD27" s="813">
        <f t="shared" si="1"/>
        <v>2.2344000000000004</v>
      </c>
      <c r="AE27" s="812">
        <f>'1.3.4 Coal3'!F217*Units!C$20</f>
        <v>2.2344000000000004</v>
      </c>
      <c r="AF27" s="157"/>
      <c r="AG27" s="157"/>
      <c r="AH27" s="157"/>
      <c r="AI27" s="157"/>
      <c r="AJ27" s="157"/>
      <c r="AK27" s="157"/>
      <c r="AL27" s="157"/>
      <c r="AM27" s="157"/>
      <c r="AN27" s="176"/>
    </row>
    <row r="28" spans="1:40" s="158" customFormat="1" ht="14.25" x14ac:dyDescent="0.45">
      <c r="A28" s="614">
        <v>1908</v>
      </c>
      <c r="B28" s="176"/>
      <c r="C28" s="176"/>
      <c r="D28" s="197"/>
      <c r="E28" s="176"/>
      <c r="F28" s="176"/>
      <c r="G28" s="622">
        <f t="shared" si="0"/>
        <v>1.0356000000000001</v>
      </c>
      <c r="H28" s="176"/>
      <c r="I28" s="626"/>
      <c r="J28" s="623"/>
      <c r="K28" s="197"/>
      <c r="L28" s="620"/>
      <c r="N28" s="1455">
        <v>0.44239999999999996</v>
      </c>
      <c r="O28" s="1456"/>
      <c r="P28" s="621">
        <v>0.36880000000000002</v>
      </c>
      <c r="R28" s="621">
        <v>0.22440000000000002</v>
      </c>
      <c r="S28" s="624">
        <v>1.0356000000000001</v>
      </c>
      <c r="U28" s="613"/>
      <c r="V28" s="161"/>
      <c r="AC28" s="174">
        <v>1908</v>
      </c>
      <c r="AD28" s="813">
        <f t="shared" si="1"/>
        <v>2.3520000000000003</v>
      </c>
      <c r="AE28" s="812">
        <f>'1.3.4 Coal3'!F218*Units!C$20</f>
        <v>2.3520000000000003</v>
      </c>
      <c r="AF28" s="157"/>
      <c r="AG28" s="157"/>
      <c r="AH28" s="157"/>
      <c r="AI28" s="157"/>
      <c r="AJ28" s="157"/>
      <c r="AK28" s="157"/>
      <c r="AL28" s="157"/>
      <c r="AM28" s="157"/>
      <c r="AN28" s="176"/>
    </row>
    <row r="29" spans="1:40" s="158" customFormat="1" ht="14.25" x14ac:dyDescent="0.45">
      <c r="A29" s="614">
        <v>1909</v>
      </c>
      <c r="B29" s="176"/>
      <c r="C29" s="176"/>
      <c r="D29" s="197"/>
      <c r="E29" s="176"/>
      <c r="F29" s="176"/>
      <c r="G29" s="622">
        <f t="shared" si="0"/>
        <v>1.1231</v>
      </c>
      <c r="H29" s="176"/>
      <c r="I29" s="626"/>
      <c r="J29" s="623"/>
      <c r="K29" s="197"/>
      <c r="L29" s="620"/>
      <c r="N29" s="1455">
        <v>0.4173</v>
      </c>
      <c r="O29" s="1456"/>
      <c r="P29" s="621">
        <v>0.47549999999999998</v>
      </c>
      <c r="R29" s="621">
        <v>0.2303</v>
      </c>
      <c r="S29" s="624">
        <v>1.1231</v>
      </c>
      <c r="U29" s="613"/>
      <c r="V29" s="161"/>
      <c r="AC29" s="174">
        <v>1909</v>
      </c>
      <c r="AD29" s="813">
        <f t="shared" si="1"/>
        <v>2.4696000000000007</v>
      </c>
      <c r="AE29" s="812">
        <f>'1.3.4 Coal3'!F219*Units!C$20</f>
        <v>2.4696000000000007</v>
      </c>
      <c r="AF29" s="157"/>
      <c r="AG29" s="157"/>
      <c r="AH29" s="157"/>
      <c r="AI29" s="157"/>
      <c r="AJ29" s="157"/>
      <c r="AK29" s="157"/>
      <c r="AL29" s="157"/>
      <c r="AM29" s="157"/>
      <c r="AN29" s="176"/>
    </row>
    <row r="30" spans="1:40" s="158" customFormat="1" ht="14.25" x14ac:dyDescent="0.45">
      <c r="A30" s="614">
        <v>1910</v>
      </c>
      <c r="B30" s="176"/>
      <c r="C30" s="176"/>
      <c r="D30" s="197"/>
      <c r="E30" s="176"/>
      <c r="F30" s="176"/>
      <c r="G30" s="622">
        <f t="shared" si="0"/>
        <v>1.2735999999999998</v>
      </c>
      <c r="H30" s="176"/>
      <c r="I30" s="626"/>
      <c r="J30" s="623"/>
      <c r="K30" s="197"/>
      <c r="L30" s="620"/>
      <c r="N30" s="1455">
        <v>0.4829</v>
      </c>
      <c r="O30" s="1456"/>
      <c r="P30" s="621">
        <v>0.56279999999999997</v>
      </c>
      <c r="R30" s="621">
        <v>0.22790000000000002</v>
      </c>
      <c r="S30" s="624">
        <v>1.2735999999999998</v>
      </c>
      <c r="U30" s="613"/>
      <c r="V30" s="161"/>
      <c r="AC30" s="174">
        <v>1910</v>
      </c>
      <c r="AD30" s="813">
        <f t="shared" si="1"/>
        <v>2.5872000000000006</v>
      </c>
      <c r="AE30" s="812">
        <f>'1.3.4 Coal3'!F220*Units!C$20</f>
        <v>2.5872000000000006</v>
      </c>
      <c r="AF30" s="157"/>
      <c r="AG30" s="157"/>
      <c r="AH30" s="157"/>
      <c r="AI30" s="157"/>
      <c r="AJ30" s="157"/>
      <c r="AK30" s="157"/>
      <c r="AL30" s="157"/>
      <c r="AM30" s="157"/>
      <c r="AN30" s="176"/>
    </row>
    <row r="31" spans="1:40" s="158" customFormat="1" ht="14.25" x14ac:dyDescent="0.45">
      <c r="A31" s="614">
        <v>1911</v>
      </c>
      <c r="B31" s="176"/>
      <c r="C31" s="176"/>
      <c r="D31" s="197"/>
      <c r="E31" s="176"/>
      <c r="F31" s="176"/>
      <c r="G31" s="622">
        <f t="shared" si="0"/>
        <v>1.4056000000000002</v>
      </c>
      <c r="H31" s="176"/>
      <c r="I31" s="626"/>
      <c r="J31" s="623"/>
      <c r="K31" s="197"/>
      <c r="L31" s="620"/>
      <c r="N31" s="1455">
        <v>0.437</v>
      </c>
      <c r="O31" s="1456"/>
      <c r="P31" s="621">
        <v>0.68140000000000001</v>
      </c>
      <c r="R31" s="621">
        <v>0.28720000000000001</v>
      </c>
      <c r="S31" s="624">
        <v>1.4056000000000002</v>
      </c>
      <c r="U31" s="613"/>
      <c r="V31" s="161"/>
      <c r="AC31" s="174">
        <v>1911</v>
      </c>
      <c r="AD31" s="813">
        <f t="shared" si="1"/>
        <v>2.7048000000000005</v>
      </c>
      <c r="AE31" s="812">
        <f>'1.3.4 Coal3'!F221*Units!C$20</f>
        <v>2.7048000000000005</v>
      </c>
      <c r="AF31" s="157"/>
      <c r="AG31" s="157"/>
      <c r="AH31" s="157"/>
      <c r="AI31" s="157"/>
      <c r="AJ31" s="157"/>
      <c r="AK31" s="157"/>
      <c r="AL31" s="157"/>
      <c r="AM31" s="157"/>
      <c r="AN31" s="176"/>
    </row>
    <row r="32" spans="1:40" s="158" customFormat="1" ht="14.25" x14ac:dyDescent="0.45">
      <c r="A32" s="614">
        <v>1912</v>
      </c>
      <c r="B32" s="176"/>
      <c r="C32" s="176"/>
      <c r="D32" s="197"/>
      <c r="E32" s="176"/>
      <c r="F32" s="176"/>
      <c r="G32" s="622">
        <f t="shared" si="0"/>
        <v>1.6288000000000002</v>
      </c>
      <c r="H32" s="176"/>
      <c r="I32" s="626"/>
      <c r="J32" s="623"/>
      <c r="K32" s="197"/>
      <c r="L32" s="620"/>
      <c r="N32" s="1455">
        <v>0.50729999999999997</v>
      </c>
      <c r="O32" s="1456"/>
      <c r="P32" s="621">
        <v>0.84439999999999993</v>
      </c>
      <c r="R32" s="621">
        <v>0.27710000000000001</v>
      </c>
      <c r="S32" s="624">
        <v>1.6288000000000002</v>
      </c>
      <c r="U32" s="613"/>
      <c r="V32" s="161"/>
      <c r="AC32" s="174">
        <v>1912</v>
      </c>
      <c r="AD32" s="813">
        <f t="shared" si="1"/>
        <v>2.8224000000000009</v>
      </c>
      <c r="AE32" s="812">
        <f>'1.3.4 Coal3'!F222*Units!C$20</f>
        <v>2.8224000000000009</v>
      </c>
      <c r="AF32" s="157"/>
      <c r="AG32" s="157"/>
      <c r="AH32" s="157"/>
      <c r="AI32" s="157"/>
      <c r="AJ32" s="157"/>
      <c r="AK32" s="157"/>
      <c r="AL32" s="157"/>
      <c r="AM32" s="157"/>
      <c r="AN32" s="176"/>
    </row>
    <row r="33" spans="1:40" s="158" customFormat="1" ht="14.25" x14ac:dyDescent="0.45">
      <c r="A33" s="614">
        <v>1913</v>
      </c>
      <c r="B33" s="176"/>
      <c r="C33" s="176"/>
      <c r="D33" s="197"/>
      <c r="E33" s="176"/>
      <c r="F33" s="176"/>
      <c r="G33" s="622">
        <f t="shared" si="0"/>
        <v>1.9758</v>
      </c>
      <c r="H33" s="176"/>
      <c r="I33" s="626"/>
      <c r="J33" s="623"/>
      <c r="K33" s="197"/>
      <c r="L33" s="620"/>
      <c r="N33" s="1455">
        <v>0.69579999999999997</v>
      </c>
      <c r="O33" s="1456"/>
      <c r="P33" s="621">
        <v>1</v>
      </c>
      <c r="R33" s="621">
        <v>0.28000000000000003</v>
      </c>
      <c r="S33" s="624">
        <v>1.9758</v>
      </c>
      <c r="U33" s="613"/>
      <c r="V33" s="161"/>
      <c r="AC33" s="174">
        <v>1913</v>
      </c>
      <c r="AD33" s="175">
        <f t="shared" si="1"/>
        <v>2.94</v>
      </c>
      <c r="AE33" s="193">
        <f>'1.3.4 Coal3'!F223*Units!C$20</f>
        <v>2.94</v>
      </c>
      <c r="AF33" s="157"/>
      <c r="AG33" s="157"/>
      <c r="AH33" s="157"/>
      <c r="AI33" s="157"/>
      <c r="AJ33" s="157"/>
      <c r="AK33" s="157"/>
      <c r="AL33" s="157"/>
      <c r="AM33" s="157"/>
      <c r="AN33" s="176"/>
    </row>
    <row r="34" spans="1:40" s="158" customFormat="1" ht="14.25" x14ac:dyDescent="0.45">
      <c r="A34" s="614">
        <v>1914</v>
      </c>
      <c r="B34" s="176"/>
      <c r="C34" s="176"/>
      <c r="D34" s="197"/>
      <c r="E34" s="176"/>
      <c r="F34" s="176"/>
      <c r="G34" s="622">
        <f t="shared" si="0"/>
        <v>1.9639000000000002</v>
      </c>
      <c r="H34" s="176"/>
      <c r="I34" s="626"/>
      <c r="J34" s="176"/>
      <c r="K34" s="197"/>
      <c r="L34" s="620"/>
      <c r="N34" s="159"/>
      <c r="O34" s="157"/>
      <c r="P34" s="175"/>
      <c r="Q34" s="149"/>
      <c r="R34" s="175"/>
      <c r="S34" s="624">
        <v>1.9639000000000002</v>
      </c>
      <c r="U34" s="613"/>
      <c r="V34" s="161"/>
      <c r="AC34" s="174">
        <v>1914</v>
      </c>
      <c r="AD34" s="175">
        <f t="shared" si="1"/>
        <v>0</v>
      </c>
      <c r="AE34" s="193">
        <f>'1.3.4 Coal3'!F224*Units!C$20</f>
        <v>0</v>
      </c>
      <c r="AF34" s="157"/>
      <c r="AG34" s="157"/>
      <c r="AH34" s="157"/>
      <c r="AI34" s="157"/>
      <c r="AJ34" s="157"/>
      <c r="AK34" s="157"/>
      <c r="AL34" s="157"/>
      <c r="AM34" s="157"/>
      <c r="AN34" s="176"/>
    </row>
    <row r="35" spans="1:40" s="158" customFormat="1" ht="14.25" x14ac:dyDescent="0.45">
      <c r="A35" s="614">
        <v>1915</v>
      </c>
      <c r="B35" s="176"/>
      <c r="C35" s="176"/>
      <c r="D35" s="197"/>
      <c r="E35" s="176"/>
      <c r="F35" s="176"/>
      <c r="G35" s="622">
        <f t="shared" si="0"/>
        <v>2.3198000000000003</v>
      </c>
      <c r="H35" s="176"/>
      <c r="I35" s="626"/>
      <c r="J35" s="176"/>
      <c r="K35" s="197"/>
      <c r="L35" s="620"/>
      <c r="N35" s="159"/>
      <c r="O35" s="157"/>
      <c r="P35" s="175"/>
      <c r="Q35" s="149"/>
      <c r="R35" s="175"/>
      <c r="S35" s="624">
        <v>2.3198000000000003</v>
      </c>
      <c r="U35" s="613"/>
      <c r="V35" s="161"/>
      <c r="AC35" s="174">
        <v>1915</v>
      </c>
      <c r="AD35" s="175">
        <f t="shared" si="1"/>
        <v>0</v>
      </c>
      <c r="AE35" s="193">
        <f>'1.3.4 Coal3'!F225*Units!C$20</f>
        <v>0</v>
      </c>
      <c r="AF35" s="157"/>
      <c r="AG35" s="157"/>
      <c r="AH35" s="157"/>
      <c r="AI35" s="157"/>
      <c r="AJ35" s="157"/>
      <c r="AK35" s="157"/>
      <c r="AL35" s="157"/>
      <c r="AM35" s="157"/>
      <c r="AN35" s="176"/>
    </row>
    <row r="36" spans="1:40" s="158" customFormat="1" ht="14.25" x14ac:dyDescent="0.45">
      <c r="A36" s="614">
        <v>1916</v>
      </c>
      <c r="B36" s="176"/>
      <c r="C36" s="176"/>
      <c r="D36" s="197"/>
      <c r="E36" s="176"/>
      <c r="F36" s="176"/>
      <c r="G36" s="622">
        <f t="shared" si="0"/>
        <v>2.7441</v>
      </c>
      <c r="H36" s="176"/>
      <c r="I36" s="626"/>
      <c r="J36" s="176"/>
      <c r="K36" s="197"/>
      <c r="L36" s="620"/>
      <c r="N36" s="159"/>
      <c r="O36" s="157"/>
      <c r="P36" s="175"/>
      <c r="Q36" s="149"/>
      <c r="R36" s="175"/>
      <c r="S36" s="624">
        <v>2.7441</v>
      </c>
      <c r="U36" s="613"/>
      <c r="V36" s="161"/>
      <c r="AC36" s="174">
        <v>1916</v>
      </c>
      <c r="AD36" s="175">
        <f t="shared" si="1"/>
        <v>0</v>
      </c>
      <c r="AE36" s="193">
        <f>'1.3.4 Coal3'!F226*Units!C$20</f>
        <v>0</v>
      </c>
      <c r="AF36" s="157"/>
      <c r="AG36" s="157"/>
      <c r="AH36" s="157"/>
      <c r="AI36" s="157"/>
      <c r="AJ36" s="157"/>
      <c r="AK36" s="157"/>
      <c r="AL36" s="157"/>
      <c r="AM36" s="157"/>
      <c r="AN36" s="176"/>
    </row>
    <row r="37" spans="1:40" s="158" customFormat="1" ht="14.25" x14ac:dyDescent="0.45">
      <c r="A37" s="614">
        <v>1917</v>
      </c>
      <c r="B37" s="176"/>
      <c r="C37" s="176"/>
      <c r="D37" s="197"/>
      <c r="E37" s="176"/>
      <c r="F37" s="176"/>
      <c r="G37" s="622">
        <f t="shared" si="0"/>
        <v>3.1486999999999998</v>
      </c>
      <c r="H37" s="176"/>
      <c r="I37" s="626"/>
      <c r="J37" s="176"/>
      <c r="K37" s="197"/>
      <c r="L37" s="620"/>
      <c r="N37" s="159"/>
      <c r="O37" s="157"/>
      <c r="P37" s="175"/>
      <c r="Q37" s="149"/>
      <c r="R37" s="175"/>
      <c r="S37" s="624">
        <v>3.1486999999999998</v>
      </c>
      <c r="U37" s="613"/>
      <c r="V37" s="161"/>
      <c r="AC37" s="174">
        <v>1917</v>
      </c>
      <c r="AD37" s="175">
        <f t="shared" si="1"/>
        <v>0</v>
      </c>
      <c r="AE37" s="193">
        <f>'1.3.4 Coal3'!F227*Units!C$20</f>
        <v>0</v>
      </c>
      <c r="AF37" s="157"/>
      <c r="AG37" s="157"/>
      <c r="AH37" s="157"/>
      <c r="AI37" s="157"/>
      <c r="AJ37" s="157"/>
      <c r="AK37" s="157"/>
      <c r="AL37" s="157"/>
      <c r="AM37" s="157"/>
      <c r="AN37" s="176"/>
    </row>
    <row r="38" spans="1:40" s="158" customFormat="1" ht="14.25" x14ac:dyDescent="0.45">
      <c r="A38" s="614">
        <v>1918</v>
      </c>
      <c r="B38" s="176"/>
      <c r="C38" s="176"/>
      <c r="D38" s="197"/>
      <c r="E38" s="176"/>
      <c r="F38" s="176"/>
      <c r="G38" s="622">
        <f t="shared" si="0"/>
        <v>3.5695999999999999</v>
      </c>
      <c r="H38" s="176"/>
      <c r="I38" s="626"/>
      <c r="J38" s="176"/>
      <c r="K38" s="197"/>
      <c r="L38" s="620"/>
      <c r="N38" s="159"/>
      <c r="O38" s="157"/>
      <c r="P38" s="175"/>
      <c r="Q38" s="149"/>
      <c r="R38" s="175"/>
      <c r="S38" s="624">
        <v>3.5695999999999999</v>
      </c>
      <c r="U38" s="613"/>
      <c r="V38" s="161"/>
      <c r="AC38" s="174">
        <v>1918</v>
      </c>
      <c r="AD38" s="175">
        <f t="shared" si="1"/>
        <v>0</v>
      </c>
      <c r="AE38" s="193">
        <f>'1.3.4 Coal3'!F228*Units!C$20</f>
        <v>0</v>
      </c>
      <c r="AF38" s="157"/>
      <c r="AG38" s="157"/>
      <c r="AH38" s="157"/>
      <c r="AI38" s="157"/>
      <c r="AJ38" s="157"/>
      <c r="AK38" s="157"/>
      <c r="AL38" s="157"/>
      <c r="AM38" s="157"/>
      <c r="AN38" s="176"/>
    </row>
    <row r="39" spans="1:40" s="158" customFormat="1" ht="14.25" x14ac:dyDescent="0.45">
      <c r="A39" s="614">
        <v>1919</v>
      </c>
      <c r="B39" s="176"/>
      <c r="C39" s="176"/>
      <c r="D39" s="197"/>
      <c r="E39" s="176"/>
      <c r="F39" s="176"/>
      <c r="G39" s="622">
        <f>S39</f>
        <v>3.5776999999999997</v>
      </c>
      <c r="H39" s="176"/>
      <c r="I39" s="626"/>
      <c r="K39" s="197"/>
      <c r="L39" s="620"/>
      <c r="N39" s="159"/>
      <c r="O39" s="157"/>
      <c r="P39" s="175"/>
      <c r="Q39" s="175"/>
      <c r="R39" s="175"/>
      <c r="S39" s="624">
        <v>3.5776999999999997</v>
      </c>
      <c r="U39" s="613"/>
      <c r="V39" s="161"/>
      <c r="AC39" s="174">
        <v>1919</v>
      </c>
      <c r="AD39" s="175">
        <f t="shared" si="1"/>
        <v>0</v>
      </c>
      <c r="AE39" s="193">
        <f>'1.3.4 Coal3'!F229*Units!C$20</f>
        <v>0</v>
      </c>
      <c r="AF39" s="157"/>
      <c r="AG39" s="157"/>
      <c r="AH39" s="157"/>
      <c r="AI39" s="157"/>
      <c r="AJ39" s="157"/>
      <c r="AK39" s="157"/>
      <c r="AL39" s="157"/>
      <c r="AM39" s="157"/>
      <c r="AN39" s="176"/>
    </row>
    <row r="40" spans="1:40" s="158" customFormat="1" ht="14.25" x14ac:dyDescent="0.45">
      <c r="A40" s="614">
        <v>1920</v>
      </c>
      <c r="B40" s="175">
        <f>E40-D40-C40</f>
        <v>3.9760000000000004</v>
      </c>
      <c r="C40" s="176">
        <f>89/1000</f>
        <v>8.8999999999999996E-2</v>
      </c>
      <c r="D40" s="177">
        <v>0</v>
      </c>
      <c r="E40" s="176">
        <f>4065/1000</f>
        <v>4.0650000000000004</v>
      </c>
      <c r="F40" s="176"/>
      <c r="G40" s="622">
        <f t="shared" ref="G40:G79" si="2">S40</f>
        <v>3.7069999999999999</v>
      </c>
      <c r="H40" s="15"/>
      <c r="I40" s="626">
        <f t="shared" ref="I40:I78" si="3">P40</f>
        <v>2.5449999999999999</v>
      </c>
      <c r="J40" s="15"/>
      <c r="K40" s="15"/>
      <c r="L40" s="618"/>
      <c r="N40" s="179">
        <f>297/1000</f>
        <v>0.29699999999999999</v>
      </c>
      <c r="O40" s="175">
        <f>398/1000</f>
        <v>0.39800000000000002</v>
      </c>
      <c r="P40" s="175">
        <f>2545/1000</f>
        <v>2.5449999999999999</v>
      </c>
      <c r="Q40" s="180">
        <f>48/1000</f>
        <v>4.8000000000000001E-2</v>
      </c>
      <c r="R40" s="180">
        <f>419/1000</f>
        <v>0.41899999999999998</v>
      </c>
      <c r="S40" s="181">
        <f>3707/1000</f>
        <v>3.7069999999999999</v>
      </c>
      <c r="T40" s="182"/>
      <c r="U40" s="183">
        <v>850</v>
      </c>
      <c r="V40" s="184">
        <v>1920</v>
      </c>
      <c r="AC40" s="174">
        <v>1920</v>
      </c>
      <c r="AD40" s="175">
        <f>SUM(AE40:AL40)</f>
        <v>3.6825881033040004</v>
      </c>
      <c r="AE40" s="175">
        <f>(6348*1.016*23.8*0.023885)/1000</f>
        <v>3.6663407739840004</v>
      </c>
      <c r="AF40" s="175">
        <f>((6+9)*1.016*41.8*0.023885)/1000</f>
        <v>1.5215509319999999E-2</v>
      </c>
      <c r="AG40" s="177">
        <v>0</v>
      </c>
      <c r="AH40" s="177">
        <v>0</v>
      </c>
      <c r="AI40" s="193">
        <f>12*0.085985/1000</f>
        <v>1.0318200000000001E-3</v>
      </c>
      <c r="AJ40" s="193"/>
      <c r="AK40" s="193"/>
      <c r="AL40" s="235">
        <f t="shared" ref="AL40:AL49" si="4">(0*1.016*27*0.023885)/1000</f>
        <v>0</v>
      </c>
      <c r="AM40" s="185"/>
      <c r="AN40" s="176"/>
    </row>
    <row r="41" spans="1:40" s="158" customFormat="1" ht="14.25" x14ac:dyDescent="0.45">
      <c r="A41" s="614">
        <v>1921</v>
      </c>
      <c r="B41" s="175">
        <f t="shared" ref="B41:B79" si="5">E41-D41-C41</f>
        <v>3.605</v>
      </c>
      <c r="C41" s="176">
        <f>59/1000</f>
        <v>5.8999999999999997E-2</v>
      </c>
      <c r="D41" s="177">
        <v>0</v>
      </c>
      <c r="E41" s="176">
        <f>3664/1000</f>
        <v>3.6640000000000001</v>
      </c>
      <c r="F41" s="176"/>
      <c r="G41" s="622">
        <f t="shared" si="2"/>
        <v>3.242</v>
      </c>
      <c r="H41" s="15"/>
      <c r="I41" s="626">
        <f t="shared" si="3"/>
        <v>2.081</v>
      </c>
      <c r="J41" s="15"/>
      <c r="K41" s="15"/>
      <c r="L41" s="618"/>
      <c r="N41" s="179">
        <f>316/1000</f>
        <v>0.316</v>
      </c>
      <c r="O41" s="175">
        <f>403/1000</f>
        <v>0.40300000000000002</v>
      </c>
      <c r="P41" s="175">
        <f>2081/1000</f>
        <v>2.081</v>
      </c>
      <c r="Q41" s="180">
        <f>51/1000</f>
        <v>5.0999999999999997E-2</v>
      </c>
      <c r="R41" s="180">
        <f>391/1000</f>
        <v>0.39100000000000001</v>
      </c>
      <c r="S41" s="181">
        <f>3242/1000</f>
        <v>3.242</v>
      </c>
      <c r="U41" s="183">
        <v>1000</v>
      </c>
      <c r="V41" s="184">
        <v>1921</v>
      </c>
      <c r="AC41" s="174">
        <v>1921</v>
      </c>
      <c r="AD41" s="175">
        <f t="shared" ref="AD41:AD84" si="6">SUM(AE41:AM41)</f>
        <v>3.1895986480239999</v>
      </c>
      <c r="AE41" s="175">
        <f>(5363*1.016*23.8*0.023885)/1000</f>
        <v>3.097445742104</v>
      </c>
      <c r="AF41" s="175">
        <f>((75+15)*1.016*41.8*0.023885)/1000</f>
        <v>9.1293055919999991E-2</v>
      </c>
      <c r="AG41" s="177">
        <v>0</v>
      </c>
      <c r="AH41" s="177">
        <v>0</v>
      </c>
      <c r="AI41" s="193">
        <f>10*0.085985/1000</f>
        <v>8.5985E-4</v>
      </c>
      <c r="AJ41" s="193"/>
      <c r="AK41" s="193"/>
      <c r="AL41" s="235">
        <f t="shared" si="4"/>
        <v>0</v>
      </c>
      <c r="AM41" s="185"/>
      <c r="AN41" s="176"/>
    </row>
    <row r="42" spans="1:40" s="158" customFormat="1" ht="14.25" x14ac:dyDescent="0.45">
      <c r="A42" s="614">
        <v>1922</v>
      </c>
      <c r="B42" s="175">
        <f t="shared" si="5"/>
        <v>4.226</v>
      </c>
      <c r="C42" s="176">
        <f>150/1000</f>
        <v>0.15</v>
      </c>
      <c r="D42" s="177">
        <v>0</v>
      </c>
      <c r="E42" s="176">
        <f>4376/1000</f>
        <v>4.3760000000000003</v>
      </c>
      <c r="F42" s="176"/>
      <c r="G42" s="622">
        <f t="shared" si="2"/>
        <v>3.7589999999999999</v>
      </c>
      <c r="H42" s="15"/>
      <c r="I42" s="626">
        <f t="shared" si="3"/>
        <v>2.456</v>
      </c>
      <c r="J42" s="15"/>
      <c r="K42" s="15"/>
      <c r="L42" s="618"/>
      <c r="N42" s="179">
        <f>370/1000</f>
        <v>0.37</v>
      </c>
      <c r="O42" s="175">
        <f>460/1000</f>
        <v>0.46</v>
      </c>
      <c r="P42" s="175">
        <f>2456/1000</f>
        <v>2.456</v>
      </c>
      <c r="Q42" s="180">
        <f>58/1000</f>
        <v>5.8000000000000003E-2</v>
      </c>
      <c r="R42" s="180">
        <f>415/1000</f>
        <v>0.41499999999999998</v>
      </c>
      <c r="S42" s="181">
        <f>3759/1000</f>
        <v>3.7589999999999999</v>
      </c>
      <c r="U42" s="183">
        <v>1200</v>
      </c>
      <c r="V42" s="184">
        <v>1922</v>
      </c>
      <c r="AC42" s="174">
        <v>1922</v>
      </c>
      <c r="AD42" s="175">
        <f t="shared" si="6"/>
        <v>3.2100752776320003</v>
      </c>
      <c r="AE42" s="175">
        <f>(5481*1.016*23.8*0.023885)/1000</f>
        <v>3.1655976342480003</v>
      </c>
      <c r="AF42" s="175">
        <f>((32+11)*1.016*41.8*0.023885)/1000</f>
        <v>4.3617793384E-2</v>
      </c>
      <c r="AG42" s="177">
        <v>0</v>
      </c>
      <c r="AH42" s="177">
        <v>0</v>
      </c>
      <c r="AI42" s="193">
        <f>10*0.085985/1000</f>
        <v>8.5985E-4</v>
      </c>
      <c r="AJ42" s="193"/>
      <c r="AK42" s="193"/>
      <c r="AL42" s="235">
        <f t="shared" si="4"/>
        <v>0</v>
      </c>
      <c r="AM42" s="185"/>
      <c r="AN42" s="176"/>
    </row>
    <row r="43" spans="1:40" s="158" customFormat="1" ht="14.25" x14ac:dyDescent="0.45">
      <c r="A43" s="614">
        <v>1923</v>
      </c>
      <c r="B43" s="175">
        <f t="shared" si="5"/>
        <v>4.9279999999999999</v>
      </c>
      <c r="C43" s="176">
        <f>249/1000</f>
        <v>0.249</v>
      </c>
      <c r="D43" s="177">
        <v>0</v>
      </c>
      <c r="E43" s="176">
        <f>5177/1000</f>
        <v>5.1769999999999996</v>
      </c>
      <c r="F43" s="176"/>
      <c r="G43" s="622">
        <f t="shared" si="2"/>
        <v>4.4950000000000001</v>
      </c>
      <c r="H43" s="15"/>
      <c r="I43" s="626">
        <f t="shared" si="3"/>
        <v>2.9889999999999999</v>
      </c>
      <c r="J43" s="15"/>
      <c r="K43" s="15"/>
      <c r="L43" s="618"/>
      <c r="N43" s="179">
        <f>453/1000</f>
        <v>0.45300000000000001</v>
      </c>
      <c r="O43" s="175">
        <f>543/1000</f>
        <v>0.54300000000000004</v>
      </c>
      <c r="P43" s="175">
        <f>2989/1000</f>
        <v>2.9889999999999999</v>
      </c>
      <c r="Q43" s="180">
        <f>67/1000</f>
        <v>6.7000000000000004E-2</v>
      </c>
      <c r="R43" s="180">
        <f>443/1000</f>
        <v>0.443</v>
      </c>
      <c r="S43" s="181">
        <f>4495/1000</f>
        <v>4.4950000000000001</v>
      </c>
      <c r="U43" s="183">
        <v>1400</v>
      </c>
      <c r="V43" s="184">
        <v>1923</v>
      </c>
      <c r="AC43" s="174">
        <v>1923</v>
      </c>
      <c r="AD43" s="175">
        <f t="shared" si="6"/>
        <v>3.6186961476799997</v>
      </c>
      <c r="AE43" s="175">
        <f>(6174*1.016*23.8*0.023885)/1000</f>
        <v>3.565845610992</v>
      </c>
      <c r="AF43" s="175">
        <f>((39+12)*1.016*41.8*0.023885)/1000</f>
        <v>5.1732731688000001E-2</v>
      </c>
      <c r="AG43" s="177">
        <v>0</v>
      </c>
      <c r="AH43" s="177">
        <v>0</v>
      </c>
      <c r="AI43" s="193">
        <f>13*0.085985/1000</f>
        <v>1.1178050000000001E-3</v>
      </c>
      <c r="AJ43" s="193"/>
      <c r="AK43" s="193"/>
      <c r="AL43" s="235">
        <f t="shared" si="4"/>
        <v>0</v>
      </c>
      <c r="AM43" s="185"/>
      <c r="AN43" s="176"/>
    </row>
    <row r="44" spans="1:40" s="158" customFormat="1" ht="14.25" x14ac:dyDescent="0.45">
      <c r="A44" s="614">
        <v>1924</v>
      </c>
      <c r="B44" s="175">
        <f t="shared" si="5"/>
        <v>5.6269999999999998</v>
      </c>
      <c r="C44" s="176">
        <f>272/1000</f>
        <v>0.27200000000000002</v>
      </c>
      <c r="D44" s="177">
        <v>0</v>
      </c>
      <c r="E44" s="176">
        <f>5899/1000</f>
        <v>5.899</v>
      </c>
      <c r="F44" s="176"/>
      <c r="G44" s="622">
        <f t="shared" si="2"/>
        <v>5.1680000000000001</v>
      </c>
      <c r="H44" s="15"/>
      <c r="I44" s="626">
        <f t="shared" si="3"/>
        <v>3.4350000000000001</v>
      </c>
      <c r="J44" s="15"/>
      <c r="K44" s="15"/>
      <c r="L44" s="618"/>
      <c r="N44" s="179">
        <f>543/1000</f>
        <v>0.54300000000000004</v>
      </c>
      <c r="O44" s="175">
        <f>626/1000</f>
        <v>0.626</v>
      </c>
      <c r="P44" s="175">
        <f>3435/1000</f>
        <v>3.4350000000000001</v>
      </c>
      <c r="Q44" s="180">
        <f>78/1000</f>
        <v>7.8E-2</v>
      </c>
      <c r="R44" s="180">
        <f>486/1000</f>
        <v>0.48599999999999999</v>
      </c>
      <c r="S44" s="181">
        <f>5168/1000</f>
        <v>5.1680000000000001</v>
      </c>
      <c r="U44" s="183">
        <v>1600</v>
      </c>
      <c r="V44" s="184">
        <v>1924</v>
      </c>
      <c r="AC44" s="174">
        <v>1924</v>
      </c>
      <c r="AD44" s="175">
        <f t="shared" si="6"/>
        <v>3.9011534296640002</v>
      </c>
      <c r="AE44" s="175">
        <f>(6661*1.016*23.8*0.023885)/1000</f>
        <v>3.8471165556880003</v>
      </c>
      <c r="AF44" s="175">
        <f>((37+15)*1.016*41.8*0.023885)/1000</f>
        <v>5.2747098975999995E-2</v>
      </c>
      <c r="AG44" s="177">
        <v>0</v>
      </c>
      <c r="AH44" s="177">
        <v>0</v>
      </c>
      <c r="AI44" s="193">
        <f>15*0.085985/1000</f>
        <v>1.2897750000000002E-3</v>
      </c>
      <c r="AJ44" s="193"/>
      <c r="AK44" s="193"/>
      <c r="AL44" s="235">
        <f t="shared" si="4"/>
        <v>0</v>
      </c>
      <c r="AM44" s="185"/>
      <c r="AN44" s="176"/>
    </row>
    <row r="45" spans="1:40" s="158" customFormat="1" ht="14.25" x14ac:dyDescent="0.45">
      <c r="A45" s="614">
        <v>1925</v>
      </c>
      <c r="B45" s="175">
        <f t="shared" si="5"/>
        <v>6.1840000000000002</v>
      </c>
      <c r="C45" s="176">
        <f>308/1000</f>
        <v>0.308</v>
      </c>
      <c r="D45" s="177">
        <v>0</v>
      </c>
      <c r="E45" s="176">
        <f>6492/1000</f>
        <v>6.492</v>
      </c>
      <c r="F45" s="176"/>
      <c r="G45" s="622">
        <f t="shared" si="2"/>
        <v>5.6520000000000001</v>
      </c>
      <c r="H45" s="15"/>
      <c r="I45" s="626">
        <f t="shared" si="3"/>
        <v>3.7090000000000001</v>
      </c>
      <c r="J45" s="15"/>
      <c r="K45" s="15"/>
      <c r="L45" s="618"/>
      <c r="N45" s="179">
        <f>635/1000</f>
        <v>0.63500000000000001</v>
      </c>
      <c r="O45" s="175">
        <f>699/1000</f>
        <v>0.69899999999999995</v>
      </c>
      <c r="P45" s="175">
        <f>3709/1000</f>
        <v>3.7090000000000001</v>
      </c>
      <c r="Q45" s="180">
        <f>90/1000</f>
        <v>0.09</v>
      </c>
      <c r="R45" s="180">
        <f>519/1000</f>
        <v>0.51900000000000002</v>
      </c>
      <c r="S45" s="181">
        <f>5652/1000</f>
        <v>5.6520000000000001</v>
      </c>
      <c r="U45" s="183">
        <v>1900</v>
      </c>
      <c r="V45" s="184">
        <v>1925</v>
      </c>
      <c r="AC45" s="174">
        <v>1925</v>
      </c>
      <c r="AD45" s="175">
        <f t="shared" si="6"/>
        <v>4.0810119127199993</v>
      </c>
      <c r="AE45" s="175">
        <f>(6997*1.016*23.8*0.023885)/1000</f>
        <v>4.0411761807759996</v>
      </c>
      <c r="AF45" s="175">
        <f>((22+16)*1.016*41.8*0.023885)/1000</f>
        <v>3.8545956943999996E-2</v>
      </c>
      <c r="AG45" s="177">
        <v>0</v>
      </c>
      <c r="AH45" s="177">
        <v>0</v>
      </c>
      <c r="AI45" s="193">
        <f>15*0.085985/1000</f>
        <v>1.2897750000000002E-3</v>
      </c>
      <c r="AJ45" s="193"/>
      <c r="AK45" s="193"/>
      <c r="AL45" s="235">
        <f t="shared" si="4"/>
        <v>0</v>
      </c>
      <c r="AM45" s="185"/>
      <c r="AN45" s="176"/>
    </row>
    <row r="46" spans="1:40" s="158" customFormat="1" ht="14.25" x14ac:dyDescent="0.45">
      <c r="A46" s="614">
        <v>1926</v>
      </c>
      <c r="B46" s="175">
        <f t="shared" si="5"/>
        <v>6.5259999999999998</v>
      </c>
      <c r="C46" s="176">
        <f>262/1000</f>
        <v>0.26200000000000001</v>
      </c>
      <c r="D46" s="177">
        <v>0</v>
      </c>
      <c r="E46" s="176">
        <f>6788/1000</f>
        <v>6.7880000000000003</v>
      </c>
      <c r="F46" s="176"/>
      <c r="G46" s="622">
        <f t="shared" si="2"/>
        <v>5.8170000000000002</v>
      </c>
      <c r="H46" s="15"/>
      <c r="I46" s="626">
        <f t="shared" si="3"/>
        <v>3.5920000000000001</v>
      </c>
      <c r="J46" s="15"/>
      <c r="K46" s="15"/>
      <c r="L46" s="618"/>
      <c r="N46" s="179">
        <f>754/1000</f>
        <v>0.754</v>
      </c>
      <c r="O46" s="175">
        <f>812/1000</f>
        <v>0.81200000000000006</v>
      </c>
      <c r="P46" s="175">
        <f>3592/1000</f>
        <v>3.5920000000000001</v>
      </c>
      <c r="Q46" s="180">
        <f>96/1000</f>
        <v>9.6000000000000002E-2</v>
      </c>
      <c r="R46" s="180">
        <f>563/1000</f>
        <v>0.56299999999999994</v>
      </c>
      <c r="S46" s="181">
        <f>5817/1000</f>
        <v>5.8170000000000002</v>
      </c>
      <c r="U46" s="183">
        <v>2200</v>
      </c>
      <c r="V46" s="184">
        <v>1926</v>
      </c>
      <c r="AC46" s="174">
        <v>1926</v>
      </c>
      <c r="AD46" s="175">
        <f t="shared" si="6"/>
        <v>4.1438881242800001</v>
      </c>
      <c r="AE46" s="175">
        <f>(7004*1.016*23.8*0.023885)/1000</f>
        <v>4.0452190896319999</v>
      </c>
      <c r="AF46" s="175">
        <f>((75+21)*1.016*41.8*0.023885)/1000</f>
        <v>9.7379259647999983E-2</v>
      </c>
      <c r="AG46" s="177">
        <v>0</v>
      </c>
      <c r="AH46" s="177">
        <v>0</v>
      </c>
      <c r="AI46" s="193">
        <f>15*0.085985/1000</f>
        <v>1.2897750000000002E-3</v>
      </c>
      <c r="AJ46" s="193"/>
      <c r="AK46" s="193"/>
      <c r="AL46" s="235">
        <f t="shared" si="4"/>
        <v>0</v>
      </c>
      <c r="AM46" s="185"/>
      <c r="AN46" s="176"/>
    </row>
    <row r="47" spans="1:40" s="158" customFormat="1" ht="14.25" x14ac:dyDescent="0.45">
      <c r="A47" s="614">
        <v>1927</v>
      </c>
      <c r="B47" s="175">
        <f t="shared" si="5"/>
        <v>7.9260000000000002</v>
      </c>
      <c r="C47" s="176">
        <f>176/1000</f>
        <v>0.17599999999999999</v>
      </c>
      <c r="D47" s="177">
        <v>0</v>
      </c>
      <c r="E47" s="176">
        <f>8102/1000</f>
        <v>8.1020000000000003</v>
      </c>
      <c r="F47" s="176"/>
      <c r="G47" s="622">
        <f t="shared" si="2"/>
        <v>6.9809999999999999</v>
      </c>
      <c r="H47" s="15"/>
      <c r="I47" s="626">
        <f t="shared" si="3"/>
        <v>4.375</v>
      </c>
      <c r="J47" s="15"/>
      <c r="K47" s="15"/>
      <c r="L47" s="618"/>
      <c r="N47" s="179">
        <f>921/1000</f>
        <v>0.92100000000000004</v>
      </c>
      <c r="O47" s="175">
        <f>923/1000</f>
        <v>0.92300000000000004</v>
      </c>
      <c r="P47" s="175">
        <f>4375/1000</f>
        <v>4.375</v>
      </c>
      <c r="Q47" s="180">
        <f>113/1000</f>
        <v>0.113</v>
      </c>
      <c r="R47" s="180">
        <f>649/1000</f>
        <v>0.64900000000000002</v>
      </c>
      <c r="S47" s="181">
        <f>6981/1000</f>
        <v>6.9809999999999999</v>
      </c>
      <c r="U47" s="183">
        <v>2600</v>
      </c>
      <c r="V47" s="184">
        <v>1927</v>
      </c>
      <c r="AC47" s="174">
        <v>1927</v>
      </c>
      <c r="AD47" s="175">
        <f t="shared" si="6"/>
        <v>4.6287288060960003</v>
      </c>
      <c r="AE47" s="175">
        <f>(7957*1.016*23.8*0.023885)/1000</f>
        <v>4.5956322524560003</v>
      </c>
      <c r="AF47" s="175">
        <f>((9+21)*1.016*41.8*0.023885)/1000</f>
        <v>3.0431018639999998E-2</v>
      </c>
      <c r="AG47" s="177">
        <v>0</v>
      </c>
      <c r="AH47" s="177">
        <v>0</v>
      </c>
      <c r="AI47" s="193">
        <f>31*0.085985/1000</f>
        <v>2.6655350000000001E-3</v>
      </c>
      <c r="AJ47" s="193"/>
      <c r="AK47" s="193"/>
      <c r="AL47" s="235">
        <f t="shared" si="4"/>
        <v>0</v>
      </c>
      <c r="AM47" s="185"/>
      <c r="AN47" s="176"/>
    </row>
    <row r="48" spans="1:40" s="158" customFormat="1" ht="14.25" x14ac:dyDescent="0.45">
      <c r="A48" s="614">
        <v>1928</v>
      </c>
      <c r="B48" s="175">
        <f t="shared" si="5"/>
        <v>8.75</v>
      </c>
      <c r="C48" s="176">
        <f>229/1000</f>
        <v>0.22900000000000001</v>
      </c>
      <c r="D48" s="177">
        <v>0</v>
      </c>
      <c r="E48" s="176">
        <f>8979/1000</f>
        <v>8.9789999999999992</v>
      </c>
      <c r="F48" s="176"/>
      <c r="G48" s="622">
        <f t="shared" si="2"/>
        <v>7.7439999999999998</v>
      </c>
      <c r="H48" s="15"/>
      <c r="I48" s="626">
        <f t="shared" si="3"/>
        <v>4.7619999999999996</v>
      </c>
      <c r="J48" s="15"/>
      <c r="K48" s="15"/>
      <c r="L48" s="618"/>
      <c r="N48" s="179">
        <f>1098/1000</f>
        <v>1.0980000000000001</v>
      </c>
      <c r="O48" s="175">
        <f>1042/1000</f>
        <v>1.042</v>
      </c>
      <c r="P48" s="175">
        <f>4762/1000</f>
        <v>4.7619999999999996</v>
      </c>
      <c r="Q48" s="180">
        <f>126/1000</f>
        <v>0.126</v>
      </c>
      <c r="R48" s="180">
        <f>716/1000</f>
        <v>0.71599999999999997</v>
      </c>
      <c r="S48" s="181">
        <f>7744/1000</f>
        <v>7.7439999999999998</v>
      </c>
      <c r="U48" s="183">
        <v>3007</v>
      </c>
      <c r="V48" s="184">
        <v>1928</v>
      </c>
      <c r="AC48" s="174">
        <v>1928</v>
      </c>
      <c r="AD48" s="175">
        <f t="shared" si="6"/>
        <v>4.7934599053600007</v>
      </c>
      <c r="AE48" s="175">
        <f>(8229*1.016*23.8*0.023885)/1000</f>
        <v>4.7527281394320005</v>
      </c>
      <c r="AF48" s="175">
        <f>((6+25)*1.016*41.8*0.023885)/1000</f>
        <v>3.1445385928000003E-2</v>
      </c>
      <c r="AG48" s="177">
        <v>0</v>
      </c>
      <c r="AH48" s="177">
        <v>0</v>
      </c>
      <c r="AI48" s="193">
        <f>108*0.085985/1000</f>
        <v>9.2863800000000003E-3</v>
      </c>
      <c r="AJ48" s="193"/>
      <c r="AK48" s="193"/>
      <c r="AL48" s="235">
        <f t="shared" si="4"/>
        <v>0</v>
      </c>
      <c r="AM48" s="185"/>
      <c r="AN48" s="176"/>
    </row>
    <row r="49" spans="1:40" s="158" customFormat="1" ht="14.25" x14ac:dyDescent="0.45">
      <c r="A49" s="614">
        <v>1929</v>
      </c>
      <c r="B49" s="175">
        <f t="shared" si="5"/>
        <v>9.7569999999999997</v>
      </c>
      <c r="C49" s="176">
        <f>222/1000</f>
        <v>0.222</v>
      </c>
      <c r="D49" s="177">
        <v>0</v>
      </c>
      <c r="E49" s="176">
        <f>9979/1000</f>
        <v>9.9789999999999992</v>
      </c>
      <c r="F49" s="176"/>
      <c r="G49" s="622">
        <f t="shared" si="2"/>
        <v>8.7460000000000004</v>
      </c>
      <c r="H49" s="15"/>
      <c r="I49" s="626">
        <f t="shared" si="3"/>
        <v>5.3179999999999996</v>
      </c>
      <c r="J49" s="15"/>
      <c r="K49" s="15"/>
      <c r="L49" s="618"/>
      <c r="N49" s="179">
        <f>1311/1000</f>
        <v>1.3109999999999999</v>
      </c>
      <c r="O49" s="175">
        <f>1191/1000</f>
        <v>1.1910000000000001</v>
      </c>
      <c r="P49" s="175">
        <f>5318/1000</f>
        <v>5.3179999999999996</v>
      </c>
      <c r="Q49" s="180">
        <f>144/1000</f>
        <v>0.14399999999999999</v>
      </c>
      <c r="R49" s="180">
        <f>782/1000</f>
        <v>0.78200000000000003</v>
      </c>
      <c r="S49" s="181">
        <f>8746/1000</f>
        <v>8.7460000000000004</v>
      </c>
      <c r="U49" s="183">
        <v>3472</v>
      </c>
      <c r="V49" s="184">
        <v>1929</v>
      </c>
      <c r="AC49" s="174">
        <v>1929</v>
      </c>
      <c r="AD49" s="175">
        <f t="shared" si="6"/>
        <v>5.1741682426000013</v>
      </c>
      <c r="AE49" s="175">
        <f>(8884*1.016*23.8*0.023885)/1000</f>
        <v>5.1310288966720012</v>
      </c>
      <c r="AF49" s="175">
        <f>((5+26)*1.016*41.8*0.023885)/1000</f>
        <v>3.1445385928000003E-2</v>
      </c>
      <c r="AG49" s="177">
        <v>0</v>
      </c>
      <c r="AH49" s="177">
        <v>0</v>
      </c>
      <c r="AI49" s="193">
        <f>136*0.085985/1000</f>
        <v>1.169396E-2</v>
      </c>
      <c r="AJ49" s="193"/>
      <c r="AK49" s="193"/>
      <c r="AL49" s="235">
        <f t="shared" si="4"/>
        <v>0</v>
      </c>
      <c r="AM49" s="185"/>
      <c r="AN49" s="176"/>
    </row>
    <row r="50" spans="1:40" s="158" customFormat="1" ht="14.25" x14ac:dyDescent="0.45">
      <c r="A50" s="614">
        <v>1930</v>
      </c>
      <c r="B50" s="175">
        <f t="shared" si="5"/>
        <v>10.262</v>
      </c>
      <c r="C50" s="176">
        <f>213/1000</f>
        <v>0.21299999999999999</v>
      </c>
      <c r="D50" s="177">
        <v>0</v>
      </c>
      <c r="E50" s="176">
        <f>10475/1000</f>
        <v>10.475</v>
      </c>
      <c r="F50" s="176"/>
      <c r="G50" s="622">
        <f t="shared" si="2"/>
        <v>9.1690000000000005</v>
      </c>
      <c r="H50" s="15"/>
      <c r="I50" s="626">
        <f t="shared" si="3"/>
        <v>5.3550000000000004</v>
      </c>
      <c r="J50" s="15"/>
      <c r="K50" s="15"/>
      <c r="L50" s="618"/>
      <c r="N50" s="179">
        <f>1532/1000</f>
        <v>1.532</v>
      </c>
      <c r="O50" s="175">
        <f>1314/1000</f>
        <v>1.3140000000000001</v>
      </c>
      <c r="P50" s="175">
        <f>5355/1000</f>
        <v>5.3550000000000004</v>
      </c>
      <c r="Q50" s="180">
        <f>162/1000</f>
        <v>0.16200000000000001</v>
      </c>
      <c r="R50" s="180">
        <f>806/1000</f>
        <v>0.80600000000000005</v>
      </c>
      <c r="S50" s="181">
        <f>9169/1000</f>
        <v>9.1690000000000005</v>
      </c>
      <c r="U50" s="183">
        <v>4012</v>
      </c>
      <c r="V50" s="184">
        <v>1930</v>
      </c>
      <c r="AC50" s="174">
        <v>1930</v>
      </c>
      <c r="AD50" s="175">
        <f t="shared" si="6"/>
        <v>5.7846513849679999</v>
      </c>
      <c r="AE50" s="175">
        <f>((1156+8520)*1.016*23.8*0.023885)/1000</f>
        <v>5.588455155808</v>
      </c>
      <c r="AF50" s="175">
        <f>((0+30)*1.016*41.8*0.023885)/1000</f>
        <v>3.0431018639999998E-2</v>
      </c>
      <c r="AG50" s="177">
        <v>0</v>
      </c>
      <c r="AH50" s="177">
        <v>0</v>
      </c>
      <c r="AI50" s="193">
        <f>320*0.085985/1000</f>
        <v>2.75152E-2</v>
      </c>
      <c r="AJ50" s="193"/>
      <c r="AK50" s="193"/>
      <c r="AL50" s="175">
        <f>((26+185)*1.016*27*0.023885)/1000</f>
        <v>0.13825001051999999</v>
      </c>
      <c r="AM50" s="176"/>
      <c r="AN50" s="211"/>
    </row>
    <row r="51" spans="1:40" s="158" customFormat="1" ht="14.25" x14ac:dyDescent="0.45">
      <c r="A51" s="614">
        <v>1931</v>
      </c>
      <c r="B51" s="175">
        <f t="shared" si="5"/>
        <v>10.755000000000001</v>
      </c>
      <c r="C51" s="176">
        <f>158/1000</f>
        <v>0.158</v>
      </c>
      <c r="D51" s="177">
        <v>0</v>
      </c>
      <c r="E51" s="176">
        <f>10913/1000</f>
        <v>10.913</v>
      </c>
      <c r="F51" s="176"/>
      <c r="G51" s="622">
        <f t="shared" si="2"/>
        <v>9.5</v>
      </c>
      <c r="H51" s="15"/>
      <c r="I51" s="626">
        <f t="shared" si="3"/>
        <v>5.282</v>
      </c>
      <c r="J51" s="15"/>
      <c r="K51" s="15"/>
      <c r="L51" s="618"/>
      <c r="N51" s="179">
        <f>1776/1000</f>
        <v>1.776</v>
      </c>
      <c r="O51" s="175">
        <f>1439/1000</f>
        <v>1.4390000000000001</v>
      </c>
      <c r="P51" s="175">
        <f>5282/1000</f>
        <v>5.282</v>
      </c>
      <c r="Q51" s="180">
        <f>181/1000</f>
        <v>0.18099999999999999</v>
      </c>
      <c r="R51" s="180">
        <f>822/1000</f>
        <v>0.82199999999999995</v>
      </c>
      <c r="S51" s="181">
        <f>9500/1000</f>
        <v>9.5</v>
      </c>
      <c r="U51" s="183">
        <v>4646</v>
      </c>
      <c r="V51" s="184">
        <v>1931</v>
      </c>
      <c r="AC51" s="174">
        <v>1931</v>
      </c>
      <c r="AD51" s="175">
        <f t="shared" si="6"/>
        <v>5.7595774274240004</v>
      </c>
      <c r="AE51" s="175">
        <f>((1113+8499)*1.016*23.8*0.023885)/1000</f>
        <v>5.551491417696</v>
      </c>
      <c r="AF51" s="175">
        <f>((0+31)*1.016*41.8*0.023885)/1000</f>
        <v>3.1445385928000003E-2</v>
      </c>
      <c r="AG51" s="177">
        <v>0</v>
      </c>
      <c r="AH51" s="177">
        <v>0</v>
      </c>
      <c r="AI51" s="193">
        <f>416*0.085985/1000</f>
        <v>3.5769760000000005E-2</v>
      </c>
      <c r="AJ51" s="193"/>
      <c r="AK51" s="193"/>
      <c r="AL51" s="175">
        <f>((7+208)*1.016*27*0.023885)/1000</f>
        <v>0.1408708638</v>
      </c>
      <c r="AM51" s="176"/>
      <c r="AN51" s="211"/>
    </row>
    <row r="52" spans="1:40" s="158" customFormat="1" ht="14.25" x14ac:dyDescent="0.45">
      <c r="A52" s="614">
        <v>1932</v>
      </c>
      <c r="B52" s="175">
        <f t="shared" si="5"/>
        <v>11.535</v>
      </c>
      <c r="C52" s="176">
        <f>166/1000</f>
        <v>0.16600000000000001</v>
      </c>
      <c r="D52" s="177">
        <v>0</v>
      </c>
      <c r="E52" s="176">
        <f>11701/1000</f>
        <v>11.701000000000001</v>
      </c>
      <c r="F52" s="176"/>
      <c r="G52" s="622">
        <f t="shared" si="2"/>
        <v>10.176</v>
      </c>
      <c r="H52" s="15"/>
      <c r="I52" s="626">
        <f t="shared" si="3"/>
        <v>5.5179999999999998</v>
      </c>
      <c r="J52" s="15"/>
      <c r="K52" s="15"/>
      <c r="L52" s="618"/>
      <c r="N52" s="179">
        <f>2027/1000</f>
        <v>2.0270000000000001</v>
      </c>
      <c r="O52" s="175">
        <f>1577/1000</f>
        <v>1.577</v>
      </c>
      <c r="P52" s="175">
        <f>5518/1000</f>
        <v>5.5179999999999998</v>
      </c>
      <c r="Q52" s="180">
        <f>199/1000</f>
        <v>0.19900000000000001</v>
      </c>
      <c r="R52" s="180">
        <f>855/1000</f>
        <v>0.85499999999999998</v>
      </c>
      <c r="S52" s="181">
        <f>10176/1000</f>
        <v>10.176</v>
      </c>
      <c r="U52" s="183">
        <v>5337</v>
      </c>
      <c r="V52" s="184">
        <v>1932</v>
      </c>
      <c r="AC52" s="174">
        <v>1932</v>
      </c>
      <c r="AD52" s="175">
        <f t="shared" si="6"/>
        <v>5.8963257257919999</v>
      </c>
      <c r="AE52" s="175">
        <f>((1004+8805)*1.016*23.8*0.023885)/1000</f>
        <v>5.6652704240719993</v>
      </c>
      <c r="AF52" s="175">
        <f>((0+35)*1.016*41.8*0.023885)/1000</f>
        <v>3.550285508E-2</v>
      </c>
      <c r="AG52" s="177">
        <v>0</v>
      </c>
      <c r="AH52" s="177">
        <v>0</v>
      </c>
      <c r="AI52" s="193">
        <f>354*0.085985/1000</f>
        <v>3.0438690000000001E-2</v>
      </c>
      <c r="AJ52" s="193"/>
      <c r="AK52" s="193"/>
      <c r="AL52" s="175">
        <f>((21+231)*1.016*27*0.023885)/1000</f>
        <v>0.16511375664</v>
      </c>
      <c r="AM52" s="176"/>
      <c r="AN52" s="176"/>
    </row>
    <row r="53" spans="1:40" s="158" customFormat="1" ht="14.25" x14ac:dyDescent="0.45">
      <c r="A53" s="614">
        <v>1933</v>
      </c>
      <c r="B53" s="175">
        <f t="shared" si="5"/>
        <v>12.781000000000001</v>
      </c>
      <c r="C53" s="176">
        <f>183/1000</f>
        <v>0.183</v>
      </c>
      <c r="D53" s="177">
        <v>0</v>
      </c>
      <c r="E53" s="176">
        <f>12964/1000</f>
        <v>12.964</v>
      </c>
      <c r="F53" s="176"/>
      <c r="G53" s="622">
        <f t="shared" si="2"/>
        <v>11.273</v>
      </c>
      <c r="H53" s="15"/>
      <c r="I53" s="626">
        <f t="shared" si="3"/>
        <v>6.0730000000000004</v>
      </c>
      <c r="J53" s="15"/>
      <c r="K53" s="15"/>
      <c r="L53" s="618"/>
      <c r="N53" s="179">
        <f>2296/1000</f>
        <v>2.2959999999999998</v>
      </c>
      <c r="O53" s="175">
        <f>1741/1000</f>
        <v>1.7410000000000001</v>
      </c>
      <c r="P53" s="175">
        <f>6073/1000</f>
        <v>6.0730000000000004</v>
      </c>
      <c r="Q53" s="180">
        <f>216/1000</f>
        <v>0.216</v>
      </c>
      <c r="R53" s="180">
        <f>947/1000</f>
        <v>0.94699999999999995</v>
      </c>
      <c r="S53" s="181">
        <f>11273/1000</f>
        <v>11.273</v>
      </c>
      <c r="U53" s="183">
        <v>6109</v>
      </c>
      <c r="V53" s="184">
        <v>1933</v>
      </c>
      <c r="AC53" s="174">
        <v>1933</v>
      </c>
      <c r="AD53" s="175">
        <f t="shared" si="6"/>
        <v>6.1765716649360005</v>
      </c>
      <c r="AE53" s="175">
        <f>((959+9368)*1.016*23.8*0.023885)/1000</f>
        <v>5.9644456794160003</v>
      </c>
      <c r="AF53" s="175">
        <f>((0+30)*1.016*41.8*0.023885)/1000</f>
        <v>3.0431018639999998E-2</v>
      </c>
      <c r="AG53" s="177">
        <v>0</v>
      </c>
      <c r="AH53" s="177">
        <v>0</v>
      </c>
      <c r="AI53" s="193">
        <f>330*0.085985/1000</f>
        <v>2.8375050000000002E-2</v>
      </c>
      <c r="AJ53" s="193"/>
      <c r="AK53" s="193"/>
      <c r="AL53" s="175">
        <f>((7+227)*1.016*27*0.023885)/1000</f>
        <v>0.15331991687999999</v>
      </c>
      <c r="AM53" s="176"/>
      <c r="AN53" s="176"/>
    </row>
    <row r="54" spans="1:40" s="158" customFormat="1" ht="14.25" x14ac:dyDescent="0.45">
      <c r="A54" s="614">
        <v>1934</v>
      </c>
      <c r="B54" s="175">
        <f t="shared" si="5"/>
        <v>14.582000000000001</v>
      </c>
      <c r="C54" s="176">
        <f>187/1000</f>
        <v>0.187</v>
      </c>
      <c r="D54" s="177">
        <v>0</v>
      </c>
      <c r="E54" s="176">
        <f>14769/1000</f>
        <v>14.769</v>
      </c>
      <c r="F54" s="176"/>
      <c r="G54" s="622">
        <f t="shared" si="2"/>
        <v>12.891999999999999</v>
      </c>
      <c r="H54" s="15"/>
      <c r="I54" s="626">
        <f t="shared" si="3"/>
        <v>7.06</v>
      </c>
      <c r="J54" s="15"/>
      <c r="K54" s="15"/>
      <c r="L54" s="618"/>
      <c r="N54" s="179">
        <f>2647/1000</f>
        <v>2.6469999999999998</v>
      </c>
      <c r="O54" s="175">
        <f>1963/1000</f>
        <v>1.9630000000000001</v>
      </c>
      <c r="P54" s="175">
        <f>7060/1000</f>
        <v>7.06</v>
      </c>
      <c r="Q54" s="180">
        <f>240/1000</f>
        <v>0.24</v>
      </c>
      <c r="R54" s="180">
        <f>982/1000</f>
        <v>0.98199999999999998</v>
      </c>
      <c r="S54" s="181">
        <f>12892/1000</f>
        <v>12.891999999999999</v>
      </c>
      <c r="U54" s="183">
        <v>6903</v>
      </c>
      <c r="V54" s="184">
        <v>1934</v>
      </c>
      <c r="AC54" s="174">
        <v>1934</v>
      </c>
      <c r="AD54" s="175">
        <f t="shared" si="6"/>
        <v>6.647563208943998</v>
      </c>
      <c r="AE54" s="175">
        <f>((936+10234)*1.016*23.8*0.023885)/1000</f>
        <v>6.451327417359999</v>
      </c>
      <c r="AF54" s="175">
        <f>((0+23)*1.016*41.8*0.023885)/1000</f>
        <v>2.3330447624000002E-2</v>
      </c>
      <c r="AG54" s="177">
        <v>0</v>
      </c>
      <c r="AH54" s="177">
        <v>0</v>
      </c>
      <c r="AI54" s="193">
        <f>464*0.085985/1000</f>
        <v>3.9897040000000002E-2</v>
      </c>
      <c r="AJ54" s="193"/>
      <c r="AK54" s="193"/>
      <c r="AL54" s="175">
        <f>((8+195)*1.016*27*0.023885)/1000</f>
        <v>0.13300830396000002</v>
      </c>
      <c r="AM54" s="176"/>
      <c r="AN54" s="176"/>
    </row>
    <row r="55" spans="1:40" s="158" customFormat="1" ht="14.25" x14ac:dyDescent="0.45">
      <c r="A55" s="614">
        <v>1935</v>
      </c>
      <c r="B55" s="175">
        <f>E55-D55-C55</f>
        <v>16.596</v>
      </c>
      <c r="C55" s="176">
        <f>221/1000</f>
        <v>0.221</v>
      </c>
      <c r="D55" s="177">
        <v>0</v>
      </c>
      <c r="E55" s="176">
        <f>16817/1000</f>
        <v>16.817</v>
      </c>
      <c r="F55" s="176"/>
      <c r="G55" s="622">
        <f t="shared" si="2"/>
        <v>14.641</v>
      </c>
      <c r="H55" s="15"/>
      <c r="I55" s="626">
        <f t="shared" si="3"/>
        <v>7.8529999999999998</v>
      </c>
      <c r="J55" s="15"/>
      <c r="K55" s="15"/>
      <c r="L55" s="618"/>
      <c r="N55" s="179">
        <f>3227/1000</f>
        <v>3.2269999999999999</v>
      </c>
      <c r="O55" s="175">
        <f>2257/1000</f>
        <v>2.2570000000000001</v>
      </c>
      <c r="P55" s="175">
        <f>7853/1000</f>
        <v>7.8529999999999998</v>
      </c>
      <c r="Q55" s="180">
        <f>268/1000</f>
        <v>0.26800000000000002</v>
      </c>
      <c r="R55" s="180">
        <f>1036/1000</f>
        <v>1.036</v>
      </c>
      <c r="S55" s="181">
        <f>14641/1000</f>
        <v>14.641</v>
      </c>
      <c r="U55" s="183">
        <v>7704</v>
      </c>
      <c r="V55" s="184">
        <v>1935</v>
      </c>
      <c r="AC55" s="174">
        <v>1935</v>
      </c>
      <c r="AD55" s="175">
        <f t="shared" si="6"/>
        <v>7.2597524512000007</v>
      </c>
      <c r="AE55" s="175">
        <f>((957+11279)*1.016*23.8*0.023885)/1000</f>
        <v>7.0670046802880009</v>
      </c>
      <c r="AF55" s="175">
        <f>((0+24)*1.016*41.8*0.023885)/1000</f>
        <v>2.4344814911999996E-2</v>
      </c>
      <c r="AG55" s="177">
        <v>0</v>
      </c>
      <c r="AH55" s="177">
        <v>0</v>
      </c>
      <c r="AI55" s="193">
        <f>625*0.085985/1000</f>
        <v>5.3740625E-2</v>
      </c>
      <c r="AJ55" s="193"/>
      <c r="AK55" s="193"/>
      <c r="AL55" s="175">
        <f>((7+168)*1.016*27*0.023885)/1000</f>
        <v>0.11466233100000001</v>
      </c>
      <c r="AM55" s="176"/>
      <c r="AN55" s="176"/>
    </row>
    <row r="56" spans="1:40" s="158" customFormat="1" ht="14.25" x14ac:dyDescent="0.45">
      <c r="A56" s="614">
        <v>1936</v>
      </c>
      <c r="B56" s="175">
        <f>E56-D56-C56</f>
        <v>19.167000000000002</v>
      </c>
      <c r="C56" s="176">
        <f>237/1000</f>
        <v>0.23699999999999999</v>
      </c>
      <c r="D56" s="177">
        <v>0</v>
      </c>
      <c r="E56" s="176">
        <f>19404/1000</f>
        <v>19.404</v>
      </c>
      <c r="F56" s="176"/>
      <c r="G56" s="622">
        <f t="shared" si="2"/>
        <v>16.890999999999998</v>
      </c>
      <c r="H56" s="15"/>
      <c r="I56" s="626">
        <f t="shared" si="3"/>
        <v>8.9139999999999997</v>
      </c>
      <c r="J56" s="15"/>
      <c r="K56" s="15"/>
      <c r="L56" s="618"/>
      <c r="N56" s="179">
        <f>3964/1000</f>
        <v>3.964</v>
      </c>
      <c r="O56" s="175">
        <f>2619/1000</f>
        <v>2.6190000000000002</v>
      </c>
      <c r="P56" s="175">
        <f>8914/1000</f>
        <v>8.9139999999999997</v>
      </c>
      <c r="Q56" s="180">
        <f>298/1000</f>
        <v>0.29799999999999999</v>
      </c>
      <c r="R56" s="180">
        <f>1096/1000</f>
        <v>1.0960000000000001</v>
      </c>
      <c r="S56" s="181">
        <f>16891/1000</f>
        <v>16.890999999999998</v>
      </c>
      <c r="U56" s="183">
        <v>8557</v>
      </c>
      <c r="V56" s="184">
        <v>1936</v>
      </c>
      <c r="AC56" s="174">
        <v>1936</v>
      </c>
      <c r="AD56" s="175">
        <f t="shared" si="6"/>
        <v>8.0483856566960004</v>
      </c>
      <c r="AE56" s="175">
        <f>((960+12643)*1.016*23.8*0.023885)/1000</f>
        <v>7.8565270240240004</v>
      </c>
      <c r="AF56" s="175">
        <f>((0+24)*1.016*41.8*0.023885)/1000</f>
        <v>2.4344814911999996E-2</v>
      </c>
      <c r="AG56" s="177">
        <v>0</v>
      </c>
      <c r="AH56" s="177">
        <v>0</v>
      </c>
      <c r="AI56" s="193">
        <f>668*0.085985/1000</f>
        <v>5.7437980000000007E-2</v>
      </c>
      <c r="AJ56" s="193"/>
      <c r="AK56" s="193"/>
      <c r="AL56" s="175">
        <f>((7+161)*1.016*27*0.023885)/1000</f>
        <v>0.11007583776</v>
      </c>
      <c r="AM56" s="176"/>
      <c r="AN56" s="176"/>
    </row>
    <row r="57" spans="1:40" s="158" customFormat="1" ht="14.25" x14ac:dyDescent="0.45">
      <c r="A57" s="614">
        <v>1937</v>
      </c>
      <c r="B57" s="175">
        <f>E57-D57-C57</f>
        <v>21.672000000000001</v>
      </c>
      <c r="C57" s="176">
        <f>169/1000</f>
        <v>0.16900000000000001</v>
      </c>
      <c r="D57" s="177">
        <v>0</v>
      </c>
      <c r="E57" s="176">
        <f>21841/1000</f>
        <v>21.841000000000001</v>
      </c>
      <c r="F57" s="176"/>
      <c r="G57" s="622">
        <f t="shared" si="2"/>
        <v>19.169</v>
      </c>
      <c r="H57" s="15"/>
      <c r="I57" s="626">
        <f t="shared" si="3"/>
        <v>10.019</v>
      </c>
      <c r="J57" s="15"/>
      <c r="K57" s="15"/>
      <c r="L57" s="618"/>
      <c r="N57" s="179">
        <f>4687/1000</f>
        <v>4.6870000000000003</v>
      </c>
      <c r="O57" s="175">
        <f>2944/1000</f>
        <v>2.944</v>
      </c>
      <c r="P57" s="175">
        <f>10019/1000</f>
        <v>10.019</v>
      </c>
      <c r="Q57" s="180">
        <f>339/1000</f>
        <v>0.33900000000000002</v>
      </c>
      <c r="R57" s="180">
        <f>1180/1000</f>
        <v>1.18</v>
      </c>
      <c r="S57" s="181">
        <f>19169/1000</f>
        <v>19.169</v>
      </c>
      <c r="U57" s="183">
        <v>9358</v>
      </c>
      <c r="V57" s="184">
        <v>1937</v>
      </c>
      <c r="AC57" s="174">
        <v>1937</v>
      </c>
      <c r="AD57" s="175">
        <f t="shared" si="6"/>
        <v>8.7553187043760001</v>
      </c>
      <c r="AE57" s="175">
        <f>((933+13830)*1.016*23.8*0.023885)/1000</f>
        <v>8.5264947773040003</v>
      </c>
      <c r="AF57" s="175">
        <f>((0+24)*1.016*41.8*0.023885)/1000</f>
        <v>2.4344814911999996E-2</v>
      </c>
      <c r="AG57" s="177">
        <v>0</v>
      </c>
      <c r="AH57" s="177">
        <v>0</v>
      </c>
      <c r="AI57" s="193">
        <f>755*0.085985/1000</f>
        <v>6.4918675000000009E-2</v>
      </c>
      <c r="AJ57" s="193"/>
      <c r="AK57" s="193"/>
      <c r="AL57" s="175">
        <f>((12+201)*1.016*27*0.023885)/1000</f>
        <v>0.13956043716000002</v>
      </c>
      <c r="AM57" s="176"/>
      <c r="AN57" s="176"/>
    </row>
    <row r="58" spans="1:40" s="158" customFormat="1" ht="14.25" x14ac:dyDescent="0.45">
      <c r="A58" s="614">
        <v>1938</v>
      </c>
      <c r="B58" s="175">
        <f t="shared" si="5"/>
        <v>23.089000000000002</v>
      </c>
      <c r="C58" s="176">
        <f>249/1000</f>
        <v>0.249</v>
      </c>
      <c r="D58" s="177">
        <v>0</v>
      </c>
      <c r="E58" s="176">
        <f>23338/1000</f>
        <v>23.338000000000001</v>
      </c>
      <c r="F58" s="176"/>
      <c r="G58" s="622">
        <f t="shared" si="2"/>
        <v>20.404</v>
      </c>
      <c r="H58" s="15"/>
      <c r="I58" s="626">
        <f t="shared" si="3"/>
        <v>10.32</v>
      </c>
      <c r="J58" s="15"/>
      <c r="K58" s="15"/>
      <c r="L58" s="618"/>
      <c r="N58" s="179">
        <f>5361/1000</f>
        <v>5.3609999999999998</v>
      </c>
      <c r="O58" s="175">
        <f>3107/1000</f>
        <v>3.1070000000000002</v>
      </c>
      <c r="P58" s="175">
        <f>10320/1000</f>
        <v>10.32</v>
      </c>
      <c r="Q58" s="180">
        <f>367/1000</f>
        <v>0.36699999999999999</v>
      </c>
      <c r="R58" s="180">
        <f>1249/1000</f>
        <v>1.2490000000000001</v>
      </c>
      <c r="S58" s="181">
        <f>20404/1000</f>
        <v>20.404</v>
      </c>
      <c r="U58" s="183">
        <v>10113</v>
      </c>
      <c r="V58" s="184">
        <v>1938</v>
      </c>
      <c r="AC58" s="174">
        <v>1938</v>
      </c>
      <c r="AD58" s="175">
        <f t="shared" si="6"/>
        <v>8.846358919535998</v>
      </c>
      <c r="AE58" s="175">
        <f>((917+14010)*1.016*23.8*0.023885)/1000</f>
        <v>8.6212143562159991</v>
      </c>
      <c r="AF58" s="175">
        <f>((0+20)*1.016*41.8*0.023885)/1000</f>
        <v>2.0287345760000002E-2</v>
      </c>
      <c r="AG58" s="177">
        <v>0</v>
      </c>
      <c r="AH58" s="177">
        <v>0</v>
      </c>
      <c r="AI58" s="193">
        <f>988*0.085985/1000</f>
        <v>8.4953180000000003E-2</v>
      </c>
      <c r="AJ58" s="193"/>
      <c r="AK58" s="193"/>
      <c r="AL58" s="175">
        <f>((7+176)*1.016*27*0.023885)/1000</f>
        <v>0.11990403756</v>
      </c>
      <c r="AM58" s="176"/>
      <c r="AN58" s="176"/>
    </row>
    <row r="59" spans="1:40" s="158" customFormat="1" ht="14.25" x14ac:dyDescent="0.45">
      <c r="A59" s="614">
        <v>1939</v>
      </c>
      <c r="B59" s="175">
        <f t="shared" si="5"/>
        <v>25.018000000000001</v>
      </c>
      <c r="C59" s="176">
        <f>171/1000</f>
        <v>0.17100000000000001</v>
      </c>
      <c r="D59" s="177">
        <v>0</v>
      </c>
      <c r="E59" s="176">
        <f>25189/1000</f>
        <v>25.189</v>
      </c>
      <c r="F59" s="176"/>
      <c r="G59" s="622">
        <f t="shared" si="2"/>
        <v>22.234000000000002</v>
      </c>
      <c r="H59" s="15"/>
      <c r="I59" s="626">
        <f t="shared" si="3"/>
        <v>11.672000000000001</v>
      </c>
      <c r="J59" s="15"/>
      <c r="K59" s="15"/>
      <c r="L59" s="618"/>
      <c r="N59" s="179">
        <f>5936/1000</f>
        <v>5.9359999999999999</v>
      </c>
      <c r="O59" s="175">
        <f>3117/1000</f>
        <v>3.117</v>
      </c>
      <c r="P59" s="175">
        <f>11672/1000</f>
        <v>11.672000000000001</v>
      </c>
      <c r="Q59" s="180">
        <f>248/1000</f>
        <v>0.248</v>
      </c>
      <c r="R59" s="180">
        <f>1261/1000</f>
        <v>1.2609999999999999</v>
      </c>
      <c r="S59" s="181">
        <f>22234/1000</f>
        <v>22.234000000000002</v>
      </c>
      <c r="U59" s="183">
        <v>10559</v>
      </c>
      <c r="V59" s="184">
        <v>1939</v>
      </c>
      <c r="AC59" s="174">
        <v>1939</v>
      </c>
      <c r="AD59" s="175">
        <f t="shared" si="6"/>
        <v>9.4553030260719986</v>
      </c>
      <c r="AE59" s="175">
        <f>((893+15032)*1.016*23.8*0.023885)/1000</f>
        <v>9.1976176473999995</v>
      </c>
      <c r="AF59" s="175">
        <f>((0+19)*1.016*41.8*0.023885)/1000</f>
        <v>1.9272978471999998E-2</v>
      </c>
      <c r="AG59" s="177">
        <v>0</v>
      </c>
      <c r="AH59" s="177">
        <v>0</v>
      </c>
      <c r="AI59" s="193">
        <f>982*0.085985/1000</f>
        <v>8.4437270000000009E-2</v>
      </c>
      <c r="AJ59" s="193"/>
      <c r="AK59" s="193"/>
      <c r="AL59" s="175">
        <f>((8+227)*1.016*27*0.023885)/1000</f>
        <v>0.1539751302</v>
      </c>
      <c r="AM59" s="176"/>
      <c r="AN59" s="176"/>
    </row>
    <row r="60" spans="1:40" s="158" customFormat="1" ht="14.25" x14ac:dyDescent="0.45">
      <c r="A60" s="614">
        <v>1940</v>
      </c>
      <c r="B60" s="175">
        <f t="shared" si="5"/>
        <v>27.211000000000002</v>
      </c>
      <c r="C60" s="176">
        <f>116/1000</f>
        <v>0.11600000000000001</v>
      </c>
      <c r="D60" s="177">
        <v>0</v>
      </c>
      <c r="E60" s="176">
        <f>27327/1000</f>
        <v>27.327000000000002</v>
      </c>
      <c r="F60" s="176"/>
      <c r="G60" s="622">
        <f t="shared" si="2"/>
        <v>24.263000000000002</v>
      </c>
      <c r="H60" s="15"/>
      <c r="I60" s="626">
        <f t="shared" si="3"/>
        <v>13.874000000000001</v>
      </c>
      <c r="J60" s="15"/>
      <c r="K60" s="15"/>
      <c r="L60" s="618"/>
      <c r="N60" s="179">
        <f>6228/1000</f>
        <v>6.2279999999999998</v>
      </c>
      <c r="O60" s="175">
        <f>2997/1000</f>
        <v>2.9969999999999999</v>
      </c>
      <c r="P60" s="175">
        <f>13874/1000</f>
        <v>13.874000000000001</v>
      </c>
      <c r="Q60" s="180">
        <f>17/1000</f>
        <v>1.7000000000000001E-2</v>
      </c>
      <c r="R60" s="180">
        <f>1147/1000</f>
        <v>1.147</v>
      </c>
      <c r="S60" s="181">
        <f>24263/1000</f>
        <v>24.263000000000002</v>
      </c>
      <c r="U60" s="183">
        <v>10499</v>
      </c>
      <c r="V60" s="184">
        <v>1940</v>
      </c>
      <c r="AC60" s="174">
        <v>1940</v>
      </c>
      <c r="AD60" s="175">
        <f t="shared" si="6"/>
        <v>10.724944471744001</v>
      </c>
      <c r="AE60" s="175">
        <f>((842+17270)*1.016*23.8*0.023885)/1000</f>
        <v>10.460737885696002</v>
      </c>
      <c r="AF60" s="175">
        <f>((0+26)*1.016*41.8*0.023885)/1000</f>
        <v>2.6373549487999998E-2</v>
      </c>
      <c r="AG60" s="177">
        <v>0</v>
      </c>
      <c r="AH60" s="177">
        <v>0</v>
      </c>
      <c r="AI60" s="193">
        <f>800*0.085985/1000</f>
        <v>6.8788000000000016E-2</v>
      </c>
      <c r="AJ60" s="193"/>
      <c r="AK60" s="193"/>
      <c r="AL60" s="175">
        <f>((10+248)*1.016*27*0.023885)/1000</f>
        <v>0.16904503655999997</v>
      </c>
      <c r="AM60" s="176"/>
      <c r="AN60" s="176"/>
    </row>
    <row r="61" spans="1:40" s="158" customFormat="1" ht="14.25" x14ac:dyDescent="0.45">
      <c r="A61" s="614">
        <v>1941</v>
      </c>
      <c r="B61" s="175">
        <f t="shared" si="5"/>
        <v>30.594000000000001</v>
      </c>
      <c r="C61" s="176">
        <f>416/1000</f>
        <v>0.41599999999999998</v>
      </c>
      <c r="D61" s="177">
        <v>0</v>
      </c>
      <c r="E61" s="185">
        <f>31010/1000</f>
        <v>31.01</v>
      </c>
      <c r="F61" s="176"/>
      <c r="G61" s="622">
        <f t="shared" si="2"/>
        <v>27.308</v>
      </c>
      <c r="H61" s="15"/>
      <c r="I61" s="626">
        <f t="shared" si="3"/>
        <v>16.244</v>
      </c>
      <c r="J61" s="15"/>
      <c r="K61" s="15"/>
      <c r="L61" s="618"/>
      <c r="N61" s="179">
        <f>6637/1000</f>
        <v>6.6369999999999996</v>
      </c>
      <c r="O61" s="175">
        <f>3266/1000</f>
        <v>3.266</v>
      </c>
      <c r="P61" s="175">
        <f>16244/1000</f>
        <v>16.244</v>
      </c>
      <c r="Q61" s="180">
        <f>18/1000</f>
        <v>1.7999999999999999E-2</v>
      </c>
      <c r="R61" s="180">
        <f>1143/1000</f>
        <v>1.143</v>
      </c>
      <c r="S61" s="181">
        <f>27308/1000</f>
        <v>27.308</v>
      </c>
      <c r="U61" s="183">
        <v>10574</v>
      </c>
      <c r="V61" s="184">
        <v>1941</v>
      </c>
      <c r="AC61" s="174">
        <v>1941</v>
      </c>
      <c r="AD61" s="175">
        <f t="shared" si="6"/>
        <v>12.074330611239999</v>
      </c>
      <c r="AE61" s="175">
        <f>((884+19551)*1.016*23.8*0.023885)/1000</f>
        <v>11.80240606748</v>
      </c>
      <c r="AF61" s="175">
        <f>((0+20)*1.016*41.8*0.023885)/1000</f>
        <v>2.0287345760000002E-2</v>
      </c>
      <c r="AG61" s="177">
        <v>0</v>
      </c>
      <c r="AH61" s="177">
        <v>0</v>
      </c>
      <c r="AI61" s="193">
        <f>831*0.085985/1000</f>
        <v>7.1453534999999999E-2</v>
      </c>
      <c r="AJ61" s="193"/>
      <c r="AK61" s="193"/>
      <c r="AL61" s="175">
        <f>((8+267)*1.016*27*0.023885)/1000</f>
        <v>0.18018366299999999</v>
      </c>
      <c r="AM61" s="176"/>
      <c r="AN61" s="176"/>
    </row>
    <row r="62" spans="1:40" s="158" customFormat="1" ht="14.25" x14ac:dyDescent="0.45">
      <c r="A62" s="614">
        <v>1942</v>
      </c>
      <c r="B62" s="175">
        <f t="shared" si="5"/>
        <v>33.694000000000003</v>
      </c>
      <c r="C62" s="176">
        <f>147/1000</f>
        <v>0.14699999999999999</v>
      </c>
      <c r="D62" s="177">
        <v>0</v>
      </c>
      <c r="E62" s="176">
        <f>33841/1000</f>
        <v>33.841000000000001</v>
      </c>
      <c r="F62" s="176"/>
      <c r="G62" s="622">
        <f t="shared" si="2"/>
        <v>30.286000000000001</v>
      </c>
      <c r="H62" s="15"/>
      <c r="I62" s="626">
        <f t="shared" si="3"/>
        <v>19.141999999999999</v>
      </c>
      <c r="J62" s="15"/>
      <c r="K62" s="15"/>
      <c r="L62" s="618"/>
      <c r="N62" s="179">
        <f>6720/1000</f>
        <v>6.72</v>
      </c>
      <c r="O62" s="175">
        <f>3256/1000</f>
        <v>3.2559999999999998</v>
      </c>
      <c r="P62" s="175">
        <f>19142/1000</f>
        <v>19.141999999999999</v>
      </c>
      <c r="Q62" s="180">
        <f>20/1000</f>
        <v>0.02</v>
      </c>
      <c r="R62" s="180">
        <f>1148/1000</f>
        <v>1.1479999999999999</v>
      </c>
      <c r="S62" s="181">
        <f>30286/1000</f>
        <v>30.286000000000001</v>
      </c>
      <c r="U62" s="183">
        <v>10688</v>
      </c>
      <c r="V62" s="184">
        <v>1942</v>
      </c>
      <c r="AC62" s="174">
        <v>1942</v>
      </c>
      <c r="AD62" s="175">
        <f t="shared" si="6"/>
        <v>13.191986424048002</v>
      </c>
      <c r="AE62" s="175">
        <f>((923+21360)*1.016*23.8*0.023885)/1000</f>
        <v>12.869734005464002</v>
      </c>
      <c r="AF62" s="175">
        <f>((0+18)*1.016*41.8*0.023885)/1000</f>
        <v>1.8258611184E-2</v>
      </c>
      <c r="AG62" s="177">
        <v>0</v>
      </c>
      <c r="AH62" s="177">
        <v>0</v>
      </c>
      <c r="AI62" s="193">
        <f>1097*0.085985/1000</f>
        <v>9.4325545000000011E-2</v>
      </c>
      <c r="AJ62" s="193"/>
      <c r="AK62" s="193"/>
      <c r="AL62" s="175">
        <f>((10+310)*1.016*27*0.023885)/1000</f>
        <v>0.2096682624</v>
      </c>
      <c r="AM62" s="176"/>
      <c r="AN62" s="176"/>
    </row>
    <row r="63" spans="1:40" s="158" customFormat="1" ht="14.25" x14ac:dyDescent="0.45">
      <c r="A63" s="614">
        <v>1943</v>
      </c>
      <c r="B63" s="175">
        <f t="shared" si="5"/>
        <v>34.914999999999999</v>
      </c>
      <c r="C63" s="176">
        <f>181/1000</f>
        <v>0.18099999999999999</v>
      </c>
      <c r="D63" s="177">
        <v>0</v>
      </c>
      <c r="E63" s="176">
        <f>35096/1000</f>
        <v>35.095999999999997</v>
      </c>
      <c r="F63" s="176"/>
      <c r="G63" s="622">
        <f t="shared" si="2"/>
        <v>31.449000000000002</v>
      </c>
      <c r="H63" s="15"/>
      <c r="I63" s="626">
        <f t="shared" si="3"/>
        <v>20.515999999999998</v>
      </c>
      <c r="J63" s="15"/>
      <c r="K63" s="15"/>
      <c r="L63" s="618"/>
      <c r="N63" s="179">
        <f>6709/1000</f>
        <v>6.7089999999999996</v>
      </c>
      <c r="O63" s="175">
        <f>3062/1000</f>
        <v>3.0619999999999998</v>
      </c>
      <c r="P63" s="175">
        <f>20516/1000</f>
        <v>20.515999999999998</v>
      </c>
      <c r="Q63" s="180">
        <f>20/1000</f>
        <v>0.02</v>
      </c>
      <c r="R63" s="180">
        <f>1142/1000</f>
        <v>1.1419999999999999</v>
      </c>
      <c r="S63" s="181">
        <f>31449/1000</f>
        <v>31.449000000000002</v>
      </c>
      <c r="U63" s="183">
        <v>10786</v>
      </c>
      <c r="V63" s="184">
        <v>1943</v>
      </c>
      <c r="AC63" s="174">
        <v>1943</v>
      </c>
      <c r="AD63" s="175">
        <f t="shared" si="6"/>
        <v>13.389075505184</v>
      </c>
      <c r="AE63" s="175">
        <f>((920+21679)*1.016*23.8*0.023885)/1000</f>
        <v>13.052242462392</v>
      </c>
      <c r="AF63" s="175">
        <f>((0+14)*1.016*41.8*0.023885)/1000</f>
        <v>1.4201142031999998E-2</v>
      </c>
      <c r="AG63" s="177">
        <v>0</v>
      </c>
      <c r="AH63" s="177">
        <v>0</v>
      </c>
      <c r="AI63" s="193">
        <f>1329*0.085985/1000</f>
        <v>0.11427406500000001</v>
      </c>
      <c r="AJ63" s="193"/>
      <c r="AK63" s="193"/>
      <c r="AL63" s="175">
        <f>((12+306)*1.016*27*0.023885)/1000</f>
        <v>0.20835783576</v>
      </c>
      <c r="AM63" s="176"/>
      <c r="AN63" s="176"/>
    </row>
    <row r="64" spans="1:40" s="158" customFormat="1" ht="14.25" x14ac:dyDescent="0.45">
      <c r="A64" s="614">
        <v>1944</v>
      </c>
      <c r="B64" s="175">
        <f t="shared" si="5"/>
        <v>36.195</v>
      </c>
      <c r="C64" s="176">
        <f>390/1000</f>
        <v>0.39</v>
      </c>
      <c r="D64" s="177">
        <v>0</v>
      </c>
      <c r="E64" s="176">
        <f>36585/1000</f>
        <v>36.585000000000001</v>
      </c>
      <c r="F64" s="176"/>
      <c r="G64" s="622">
        <f t="shared" si="2"/>
        <v>32.518999999999998</v>
      </c>
      <c r="H64" s="15"/>
      <c r="I64" s="626">
        <f t="shared" si="3"/>
        <v>19.975999999999999</v>
      </c>
      <c r="J64" s="15"/>
      <c r="K64" s="15"/>
      <c r="L64" s="618"/>
      <c r="N64" s="179">
        <f>7835/1000</f>
        <v>7.835</v>
      </c>
      <c r="O64" s="175">
        <f>3510/1000</f>
        <v>3.51</v>
      </c>
      <c r="P64" s="175">
        <f>19976/1000</f>
        <v>19.975999999999999</v>
      </c>
      <c r="Q64" s="180">
        <f>29/1000</f>
        <v>2.9000000000000001E-2</v>
      </c>
      <c r="R64" s="180">
        <f>1169/1000</f>
        <v>1.169</v>
      </c>
      <c r="S64" s="181">
        <f>32519/1000</f>
        <v>32.518999999999998</v>
      </c>
      <c r="U64" s="183">
        <v>10829</v>
      </c>
      <c r="V64" s="184">
        <v>1944</v>
      </c>
      <c r="AC64" s="174">
        <v>1944</v>
      </c>
      <c r="AD64" s="175">
        <f t="shared" si="6"/>
        <v>14.244324974216001</v>
      </c>
      <c r="AE64" s="175">
        <f>((952+23122)*1.016*23.8*0.023885)/1000</f>
        <v>13.904141114192001</v>
      </c>
      <c r="AF64" s="175">
        <f>((0+18)*1.016*41.8*0.023885)/1000</f>
        <v>1.8258611184E-2</v>
      </c>
      <c r="AG64" s="177">
        <v>0</v>
      </c>
      <c r="AH64" s="177">
        <v>0</v>
      </c>
      <c r="AI64" s="193">
        <f>1176*0.085985/1000</f>
        <v>0.10111836</v>
      </c>
      <c r="AJ64" s="193"/>
      <c r="AK64" s="193"/>
      <c r="AL64" s="175">
        <f>((11+326)*1.016*27*0.023885)/1000</f>
        <v>0.22080688884000002</v>
      </c>
      <c r="AM64" s="176"/>
      <c r="AN64" s="176"/>
    </row>
    <row r="65" spans="1:40" s="158" customFormat="1" ht="14.25" x14ac:dyDescent="0.45">
      <c r="A65" s="614">
        <v>1945</v>
      </c>
      <c r="B65" s="175">
        <f t="shared" si="5"/>
        <v>35.148000000000003</v>
      </c>
      <c r="C65" s="176">
        <f>558/1000</f>
        <v>0.55800000000000005</v>
      </c>
      <c r="D65" s="177">
        <v>0</v>
      </c>
      <c r="E65" s="176">
        <f>35706/1000</f>
        <v>35.706000000000003</v>
      </c>
      <c r="F65" s="176"/>
      <c r="G65" s="622">
        <f t="shared" si="2"/>
        <v>31.363</v>
      </c>
      <c r="H65" s="15"/>
      <c r="I65" s="626">
        <f t="shared" si="3"/>
        <v>17.678999999999998</v>
      </c>
      <c r="J65" s="15"/>
      <c r="K65" s="15"/>
      <c r="L65" s="618"/>
      <c r="N65" s="179">
        <f>8805/1000</f>
        <v>8.8049999999999997</v>
      </c>
      <c r="O65" s="175">
        <f>3482/1000</f>
        <v>3.4820000000000002</v>
      </c>
      <c r="P65" s="175">
        <f>17679/1000</f>
        <v>17.678999999999998</v>
      </c>
      <c r="Q65" s="180">
        <f>161/1000</f>
        <v>0.161</v>
      </c>
      <c r="R65" s="180">
        <f>1236/1000</f>
        <v>1.236</v>
      </c>
      <c r="S65" s="181">
        <f>31363/1000</f>
        <v>31.363</v>
      </c>
      <c r="U65" s="183">
        <v>11006</v>
      </c>
      <c r="V65" s="184">
        <v>1945</v>
      </c>
      <c r="AC65" s="174">
        <v>1945</v>
      </c>
      <c r="AD65" s="175">
        <f t="shared" si="6"/>
        <v>13.903454260504002</v>
      </c>
      <c r="AE65" s="175">
        <f>((994+22499)*1.016*23.8*0.023885)/1000</f>
        <v>13.568579679144001</v>
      </c>
      <c r="AF65" s="175">
        <f>((0+20)*1.016*41.8*0.023885)/1000</f>
        <v>2.0287345760000002E-2</v>
      </c>
      <c r="AG65" s="177">
        <v>0</v>
      </c>
      <c r="AH65" s="177">
        <v>0</v>
      </c>
      <c r="AI65" s="193">
        <f>1144*0.085985/1000</f>
        <v>9.8366840000000011E-2</v>
      </c>
      <c r="AJ65" s="193"/>
      <c r="AK65" s="193"/>
      <c r="AL65" s="175">
        <f>((9+321)*1.016*27*0.023885)/1000</f>
        <v>0.2162203956</v>
      </c>
      <c r="AM65" s="176"/>
      <c r="AN65" s="176"/>
    </row>
    <row r="66" spans="1:40" s="158" customFormat="1" ht="14.25" x14ac:dyDescent="0.45">
      <c r="A66" s="614">
        <v>1946</v>
      </c>
      <c r="B66" s="175">
        <f t="shared" si="5"/>
        <v>38.931999999999995</v>
      </c>
      <c r="C66" s="176">
        <f>246/1000</f>
        <v>0.246</v>
      </c>
      <c r="D66" s="177">
        <v>0</v>
      </c>
      <c r="E66" s="176">
        <f>39178/1000</f>
        <v>39.177999999999997</v>
      </c>
      <c r="F66" s="176"/>
      <c r="G66" s="622">
        <f t="shared" si="2"/>
        <v>34.798000000000002</v>
      </c>
      <c r="H66" s="15"/>
      <c r="I66" s="626">
        <f t="shared" si="3"/>
        <v>17.632000000000001</v>
      </c>
      <c r="J66" s="15"/>
      <c r="K66" s="15"/>
      <c r="L66" s="618"/>
      <c r="N66" s="179">
        <f>11663/1000</f>
        <v>11.663</v>
      </c>
      <c r="O66" s="175">
        <f>3892/1000</f>
        <v>3.8919999999999999</v>
      </c>
      <c r="P66" s="175">
        <f>17632/1000</f>
        <v>17.632000000000001</v>
      </c>
      <c r="Q66" s="180">
        <f>242/1000</f>
        <v>0.24199999999999999</v>
      </c>
      <c r="R66" s="180">
        <f>1369/1000</f>
        <v>1.369</v>
      </c>
      <c r="S66" s="181">
        <f>34798/1000</f>
        <v>34.798000000000002</v>
      </c>
      <c r="U66" s="183">
        <v>11481</v>
      </c>
      <c r="V66" s="184">
        <v>1946</v>
      </c>
      <c r="AC66" s="174">
        <v>1946</v>
      </c>
      <c r="AD66" s="175">
        <f t="shared" si="6"/>
        <v>15.512703885760002</v>
      </c>
      <c r="AE66" s="175">
        <f>((1087+25114)*1.016*23.8*0.023885)/1000</f>
        <v>15.132607848008002</v>
      </c>
      <c r="AF66" s="175">
        <f>((0+34)*1.016*41.8*0.023885)/1000</f>
        <v>3.4488487791999992E-2</v>
      </c>
      <c r="AG66" s="177">
        <v>0</v>
      </c>
      <c r="AH66" s="177">
        <v>0</v>
      </c>
      <c r="AI66" s="193">
        <f>1139*0.085985/1000</f>
        <v>9.7936915000000013E-2</v>
      </c>
      <c r="AJ66" s="193"/>
      <c r="AK66" s="193"/>
      <c r="AL66" s="175">
        <f>((9+369)*1.016*27*0.023885)/1000</f>
        <v>0.24767063496</v>
      </c>
      <c r="AM66" s="176"/>
      <c r="AN66" s="176"/>
    </row>
    <row r="67" spans="1:40" s="158" customFormat="1" ht="14.25" x14ac:dyDescent="0.45">
      <c r="A67" s="614">
        <v>1947</v>
      </c>
      <c r="B67" s="175">
        <f t="shared" si="5"/>
        <v>40.171999999999997</v>
      </c>
      <c r="C67" s="176">
        <f>197/1000</f>
        <v>0.19700000000000001</v>
      </c>
      <c r="D67" s="177">
        <v>0</v>
      </c>
      <c r="E67" s="176">
        <f>40369/1000</f>
        <v>40.369</v>
      </c>
      <c r="F67" s="176"/>
      <c r="G67" s="622">
        <f t="shared" si="2"/>
        <v>35.857999999999997</v>
      </c>
      <c r="H67" s="15"/>
      <c r="I67" s="626">
        <f t="shared" si="3"/>
        <v>17.606000000000002</v>
      </c>
      <c r="J67" s="15"/>
      <c r="K67" s="15"/>
      <c r="L67" s="618"/>
      <c r="N67" s="179">
        <f>12728/1000</f>
        <v>12.728</v>
      </c>
      <c r="O67" s="175">
        <f>3973/1000</f>
        <v>3.9729999999999999</v>
      </c>
      <c r="P67" s="175">
        <f>17606/1000</f>
        <v>17.606000000000002</v>
      </c>
      <c r="Q67" s="180">
        <f>190/1000</f>
        <v>0.19</v>
      </c>
      <c r="R67" s="180">
        <f>1361/1000</f>
        <v>1.361</v>
      </c>
      <c r="S67" s="181">
        <f>35858/1000</f>
        <v>35.857999999999997</v>
      </c>
      <c r="U67" s="183">
        <v>11917</v>
      </c>
      <c r="V67" s="184">
        <v>1947</v>
      </c>
      <c r="AC67" s="174">
        <v>1947</v>
      </c>
      <c r="AD67" s="175">
        <f t="shared" si="6"/>
        <v>15.931788616336</v>
      </c>
      <c r="AE67" s="175">
        <f>((1019+26026)*1.016*23.8*0.023885)/1000</f>
        <v>15.62006714436</v>
      </c>
      <c r="AF67" s="175">
        <f>((20+47)*1.016*41.8*0.023885)/1000</f>
        <v>6.7962608295999996E-2</v>
      </c>
      <c r="AG67" s="177">
        <v>0</v>
      </c>
      <c r="AH67" s="177">
        <v>0</v>
      </c>
      <c r="AI67" s="193">
        <f>1128*0.085985/1000</f>
        <v>9.6991080000000007E-2</v>
      </c>
      <c r="AJ67" s="193"/>
      <c r="AK67" s="193"/>
      <c r="AL67" s="175">
        <f>((7+217)*1.016*27*0.023885)/1000</f>
        <v>0.14676778368000001</v>
      </c>
      <c r="AM67" s="176"/>
      <c r="AN67" s="176"/>
    </row>
    <row r="68" spans="1:40" s="158" customFormat="1" ht="14.25" x14ac:dyDescent="0.45">
      <c r="A68" s="614">
        <v>1948</v>
      </c>
      <c r="B68" s="175">
        <f t="shared" si="5"/>
        <v>43.403999999999996</v>
      </c>
      <c r="C68" s="176">
        <f>411/1000</f>
        <v>0.41099999999999998</v>
      </c>
      <c r="D68" s="177">
        <v>0</v>
      </c>
      <c r="E68" s="176">
        <f>43815/1000</f>
        <v>43.814999999999998</v>
      </c>
      <c r="F68" s="176"/>
      <c r="G68" s="622">
        <f t="shared" si="2"/>
        <v>38.820999999999998</v>
      </c>
      <c r="H68" s="15"/>
      <c r="I68" s="626">
        <f t="shared" si="3"/>
        <v>19.120999999999999</v>
      </c>
      <c r="J68" s="15"/>
      <c r="K68" s="15"/>
      <c r="L68" s="618"/>
      <c r="N68" s="179">
        <f>13576/1000</f>
        <v>13.576000000000001</v>
      </c>
      <c r="O68" s="175">
        <f>4469/1000</f>
        <v>4.4690000000000003</v>
      </c>
      <c r="P68" s="175">
        <f>19121/1000</f>
        <v>19.120999999999999</v>
      </c>
      <c r="Q68" s="180">
        <f>257/1000</f>
        <v>0.25700000000000001</v>
      </c>
      <c r="R68" s="180">
        <f>1398/1000</f>
        <v>1.3979999999999999</v>
      </c>
      <c r="S68" s="181">
        <f>38821/1000</f>
        <v>38.820999999999998</v>
      </c>
      <c r="U68" s="183">
        <v>12286</v>
      </c>
      <c r="V68" s="184">
        <v>1948</v>
      </c>
      <c r="AC68" s="174">
        <v>1948</v>
      </c>
      <c r="AD68" s="175">
        <f t="shared" si="6"/>
        <v>17.009580877143996</v>
      </c>
      <c r="AE68" s="175">
        <f>((1074+27641)*1.016*23.8*0.023885)/1000</f>
        <v>16.584589685719997</v>
      </c>
      <c r="AF68" s="175">
        <f>((29+44)*1.016*41.8*0.023885)/1000</f>
        <v>7.4048812024000002E-2</v>
      </c>
      <c r="AG68" s="177">
        <v>0</v>
      </c>
      <c r="AH68" s="177">
        <v>0</v>
      </c>
      <c r="AI68" s="193">
        <f>881*0.085985/1000</f>
        <v>7.5752785000000003E-2</v>
      </c>
      <c r="AJ68" s="193"/>
      <c r="AK68" s="193"/>
      <c r="AL68" s="175">
        <f>((8+412)*1.016*27*0.023885)/1000</f>
        <v>0.27518959440000001</v>
      </c>
      <c r="AM68" s="176"/>
      <c r="AN68" s="176"/>
    </row>
    <row r="69" spans="1:40" s="158" customFormat="1" ht="14.25" x14ac:dyDescent="0.45">
      <c r="A69" s="614">
        <v>1949</v>
      </c>
      <c r="B69" s="175">
        <f t="shared" si="5"/>
        <v>45.817999999999998</v>
      </c>
      <c r="C69" s="176">
        <f>423/1000</f>
        <v>0.42299999999999999</v>
      </c>
      <c r="D69" s="177">
        <v>0</v>
      </c>
      <c r="E69" s="176">
        <f>46241/1000</f>
        <v>46.241</v>
      </c>
      <c r="F69" s="176"/>
      <c r="G69" s="622">
        <f t="shared" si="2"/>
        <v>40.918999999999997</v>
      </c>
      <c r="H69" s="15"/>
      <c r="I69" s="626">
        <f t="shared" si="3"/>
        <v>20.445</v>
      </c>
      <c r="J69" s="15"/>
      <c r="K69" s="15"/>
      <c r="L69" s="618"/>
      <c r="N69" s="186">
        <f>13657/1000</f>
        <v>13.657</v>
      </c>
      <c r="O69" s="187">
        <f>5035/1000</f>
        <v>5.0350000000000001</v>
      </c>
      <c r="P69" s="187">
        <f>20445/1000</f>
        <v>20.445</v>
      </c>
      <c r="Q69" s="188">
        <f>335/1000</f>
        <v>0.33500000000000002</v>
      </c>
      <c r="R69" s="188">
        <f>1447/1000</f>
        <v>1.4470000000000001</v>
      </c>
      <c r="S69" s="189">
        <f>40919/1000</f>
        <v>40.918999999999997</v>
      </c>
      <c r="U69" s="183">
        <v>12742</v>
      </c>
      <c r="V69" s="184">
        <v>1949</v>
      </c>
      <c r="AC69" s="174">
        <v>1949</v>
      </c>
      <c r="AD69" s="175">
        <f t="shared" si="6"/>
        <v>17.915794066296002</v>
      </c>
      <c r="AE69" s="175">
        <f>((1085+28798)*1.016*23.8*0.023885)/1000</f>
        <v>17.259177906264</v>
      </c>
      <c r="AF69" s="175">
        <f>((35+54)*1.016*41.8*0.023885)/1000</f>
        <v>9.0278688632000004E-2</v>
      </c>
      <c r="AG69" s="177">
        <v>0</v>
      </c>
      <c r="AH69" s="177">
        <v>0</v>
      </c>
      <c r="AI69" s="193">
        <f>719*0.085985/1000</f>
        <v>6.1823215000000008E-2</v>
      </c>
      <c r="AJ69" s="193"/>
      <c r="AK69" s="193"/>
      <c r="AL69" s="175">
        <f>((8+762)*1.016*27*0.023885)/1000</f>
        <v>0.50451425640000003</v>
      </c>
      <c r="AM69" s="176"/>
      <c r="AN69" s="176"/>
    </row>
    <row r="70" spans="1:40" s="158" customFormat="1" ht="14.25" x14ac:dyDescent="0.45">
      <c r="A70" s="614">
        <v>1950</v>
      </c>
      <c r="B70" s="175">
        <f t="shared" si="5"/>
        <v>51.467000000000006</v>
      </c>
      <c r="C70" s="176">
        <f>410/1000</f>
        <v>0.41</v>
      </c>
      <c r="D70" s="177">
        <v>0</v>
      </c>
      <c r="E70" s="176">
        <f>51877/1000</f>
        <v>51.877000000000002</v>
      </c>
      <c r="F70" s="176"/>
      <c r="G70" s="622">
        <f t="shared" si="2"/>
        <v>45.473999999999997</v>
      </c>
      <c r="H70" s="15"/>
      <c r="I70" s="626">
        <f t="shared" si="3"/>
        <v>22.92</v>
      </c>
      <c r="J70" s="15"/>
      <c r="K70" s="15"/>
      <c r="L70" s="618"/>
      <c r="N70" s="179">
        <f>14911/1000</f>
        <v>14.911</v>
      </c>
      <c r="O70" s="190">
        <f>5765/1000</f>
        <v>5.7649999999999997</v>
      </c>
      <c r="P70" s="190">
        <f>22920/1000</f>
        <v>22.92</v>
      </c>
      <c r="Q70" s="191">
        <f>415/1000</f>
        <v>0.41499999999999998</v>
      </c>
      <c r="R70" s="191">
        <f>1463/1000</f>
        <v>1.4630000000000001</v>
      </c>
      <c r="S70" s="192">
        <f>45474/1000</f>
        <v>45.473999999999997</v>
      </c>
      <c r="U70" s="183">
        <v>13216</v>
      </c>
      <c r="V70" s="184">
        <v>1950</v>
      </c>
      <c r="AC70" s="174" t="s">
        <v>753</v>
      </c>
      <c r="AD70" s="175">
        <f t="shared" si="6"/>
        <v>19.05695901296</v>
      </c>
      <c r="AE70" s="175">
        <f>(31718*1.016*23.8*0.023885)/1000</f>
        <v>18.318997584944</v>
      </c>
      <c r="AF70" s="175">
        <f>((41+31)*1.016*41.8*0.023885)/1000</f>
        <v>7.3034444736000001E-2</v>
      </c>
      <c r="AG70" s="177">
        <v>0</v>
      </c>
      <c r="AH70" s="177">
        <v>0</v>
      </c>
      <c r="AI70" s="193">
        <f>1035*0.085985/1000</f>
        <v>8.8994475000000003E-2</v>
      </c>
      <c r="AJ70" s="193"/>
      <c r="AK70" s="193"/>
      <c r="AL70" s="175">
        <f>(879*1.016*27*0.023885)/1000</f>
        <v>0.57593250827999998</v>
      </c>
      <c r="AM70" s="176"/>
      <c r="AN70" s="176"/>
    </row>
    <row r="71" spans="1:40" s="158" customFormat="1" ht="14.25" x14ac:dyDescent="0.45">
      <c r="A71" s="614">
        <v>1951</v>
      </c>
      <c r="B71" s="175">
        <f t="shared" si="5"/>
        <v>56.193000000000005</v>
      </c>
      <c r="C71" s="176">
        <f>467/1000</f>
        <v>0.46700000000000003</v>
      </c>
      <c r="D71" s="180">
        <f>-2/1000</f>
        <v>-2E-3</v>
      </c>
      <c r="E71" s="176">
        <f>56658/1000</f>
        <v>56.658000000000001</v>
      </c>
      <c r="F71" s="176"/>
      <c r="G71" s="622">
        <f t="shared" si="2"/>
        <v>50.512999999999998</v>
      </c>
      <c r="H71" s="15"/>
      <c r="I71" s="626">
        <f t="shared" si="3"/>
        <v>25.35</v>
      </c>
      <c r="J71" s="15"/>
      <c r="K71" s="15"/>
      <c r="L71" s="618"/>
      <c r="N71" s="179">
        <f>16939/1000</f>
        <v>16.939</v>
      </c>
      <c r="O71" s="175">
        <f>6354/1000</f>
        <v>6.3540000000000001</v>
      </c>
      <c r="P71" s="175">
        <f>25350/1000</f>
        <v>25.35</v>
      </c>
      <c r="Q71" s="180">
        <f>441/1000</f>
        <v>0.441</v>
      </c>
      <c r="R71" s="180">
        <f>1429/1000</f>
        <v>1.429</v>
      </c>
      <c r="S71" s="181">
        <f>50513/1000</f>
        <v>50.512999999999998</v>
      </c>
      <c r="U71" s="183">
        <v>13655</v>
      </c>
      <c r="V71" s="184">
        <v>1951</v>
      </c>
      <c r="AC71" s="174">
        <v>1951</v>
      </c>
      <c r="AD71" s="175">
        <f t="shared" si="6"/>
        <v>20.471074601175999</v>
      </c>
      <c r="AE71" s="175">
        <f>(34180*1.016*23.8*0.023885)/1000</f>
        <v>19.740946385439997</v>
      </c>
      <c r="AF71" s="175">
        <f>((50+32)*1.016*41.8*0.023885)/1000</f>
        <v>8.3178117615999997E-2</v>
      </c>
      <c r="AG71" s="177">
        <v>0</v>
      </c>
      <c r="AH71" s="177">
        <v>0</v>
      </c>
      <c r="AI71" s="193">
        <f>1687*0.085985/1000</f>
        <v>0.14505669500000001</v>
      </c>
      <c r="AJ71" s="193"/>
      <c r="AK71" s="193"/>
      <c r="AL71" s="175">
        <f>(766*1.016*27*0.023885)/1000</f>
        <v>0.50189340311999997</v>
      </c>
      <c r="AM71" s="176"/>
      <c r="AN71" s="176"/>
    </row>
    <row r="72" spans="1:40" s="158" customFormat="1" ht="14.25" x14ac:dyDescent="0.45">
      <c r="A72" s="614">
        <v>1952</v>
      </c>
      <c r="B72" s="175">
        <f t="shared" si="5"/>
        <v>58.400000000000006</v>
      </c>
      <c r="C72" s="176">
        <f>418/1000</f>
        <v>0.41799999999999998</v>
      </c>
      <c r="D72" s="180">
        <f>-2/1000</f>
        <v>-2E-3</v>
      </c>
      <c r="E72" s="176">
        <f>58816/1000</f>
        <v>58.816000000000003</v>
      </c>
      <c r="F72" s="176"/>
      <c r="G72" s="622">
        <f t="shared" si="2"/>
        <v>51.95</v>
      </c>
      <c r="H72" s="15"/>
      <c r="I72" s="626">
        <f t="shared" si="3"/>
        <v>26.068000000000001</v>
      </c>
      <c r="J72" s="15"/>
      <c r="K72" s="15"/>
      <c r="L72" s="618"/>
      <c r="N72" s="179">
        <f>16869/1000</f>
        <v>16.869</v>
      </c>
      <c r="O72" s="175">
        <f>7115/1000</f>
        <v>7.1150000000000002</v>
      </c>
      <c r="P72" s="175">
        <f>26068/1000</f>
        <v>26.068000000000001</v>
      </c>
      <c r="Q72" s="180">
        <f>479/1000</f>
        <v>0.47899999999999998</v>
      </c>
      <c r="R72" s="180">
        <f>1419/1000</f>
        <v>1.419</v>
      </c>
      <c r="S72" s="181">
        <f>51950/1000</f>
        <v>51.95</v>
      </c>
      <c r="U72" s="183">
        <v>14054</v>
      </c>
      <c r="V72" s="184">
        <v>1952</v>
      </c>
      <c r="AC72" s="174">
        <v>1952</v>
      </c>
      <c r="AD72" s="175">
        <f t="shared" si="6"/>
        <v>20.680954257136005</v>
      </c>
      <c r="AE72" s="175">
        <f>(34462*1.016*23.8*0.023885)/1000</f>
        <v>19.903817856496005</v>
      </c>
      <c r="AF72" s="175">
        <f>((42+28)*1.016*41.8*0.023885)/1000</f>
        <v>7.1005710159999999E-2</v>
      </c>
      <c r="AG72" s="177">
        <v>0</v>
      </c>
      <c r="AH72" s="177">
        <v>0</v>
      </c>
      <c r="AI72" s="193">
        <f>1819*0.085985/1000</f>
        <v>0.15640671500000003</v>
      </c>
      <c r="AJ72" s="193"/>
      <c r="AK72" s="193"/>
      <c r="AL72" s="175">
        <f>(839*1.016*27*0.023885)/1000</f>
        <v>0.54972397548000007</v>
      </c>
      <c r="AM72" s="176"/>
      <c r="AN72" s="176"/>
    </row>
    <row r="73" spans="1:40" s="158" customFormat="1" ht="14.25" x14ac:dyDescent="0.45">
      <c r="A73" s="614">
        <v>1953</v>
      </c>
      <c r="B73" s="175">
        <f t="shared" si="5"/>
        <v>61.634999999999998</v>
      </c>
      <c r="C73" s="176">
        <f>322/1000</f>
        <v>0.32200000000000001</v>
      </c>
      <c r="D73" s="180">
        <f>-2/1000</f>
        <v>-2E-3</v>
      </c>
      <c r="E73" s="176">
        <f>61955/1000</f>
        <v>61.954999999999998</v>
      </c>
      <c r="F73" s="176"/>
      <c r="G73" s="622">
        <f t="shared" si="2"/>
        <v>55.567999999999998</v>
      </c>
      <c r="H73" s="15"/>
      <c r="I73" s="626">
        <f t="shared" si="3"/>
        <v>28</v>
      </c>
      <c r="J73" s="15"/>
      <c r="K73" s="15"/>
      <c r="L73" s="618"/>
      <c r="N73" s="179">
        <f>17691/1000</f>
        <v>17.690999999999999</v>
      </c>
      <c r="O73" s="175">
        <f>7948/1000</f>
        <v>7.9480000000000004</v>
      </c>
      <c r="P73" s="175">
        <f>28000/1000</f>
        <v>28</v>
      </c>
      <c r="Q73" s="180">
        <f>528/1000</f>
        <v>0.52800000000000002</v>
      </c>
      <c r="R73" s="180">
        <f>1401/1000</f>
        <v>1.401</v>
      </c>
      <c r="S73" s="181">
        <f>55568/1000</f>
        <v>55.567999999999998</v>
      </c>
      <c r="U73" s="183">
        <v>14565</v>
      </c>
      <c r="V73" s="184">
        <v>1953</v>
      </c>
      <c r="AC73" s="174">
        <v>1953</v>
      </c>
      <c r="AD73" s="175">
        <f t="shared" si="6"/>
        <v>21.412581427968004</v>
      </c>
      <c r="AE73" s="175">
        <f>(35599*1.016*23.8*0.023885)/1000</f>
        <v>20.560501766392004</v>
      </c>
      <c r="AF73" s="175">
        <f>((70+27)*1.016*41.8*0.023885)/1000</f>
        <v>9.8393626935999998E-2</v>
      </c>
      <c r="AG73" s="177">
        <v>0</v>
      </c>
      <c r="AH73" s="177">
        <v>0</v>
      </c>
      <c r="AI73" s="193">
        <f>1892*0.085985/1000</f>
        <v>0.16268362000000003</v>
      </c>
      <c r="AJ73" s="193"/>
      <c r="AK73" s="193"/>
      <c r="AL73" s="175">
        <f>(902*1.016*27*0.023885)/1000</f>
        <v>0.59100241464000003</v>
      </c>
      <c r="AM73" s="176"/>
      <c r="AN73" s="176"/>
    </row>
    <row r="74" spans="1:40" s="158" customFormat="1" ht="14.25" x14ac:dyDescent="0.45">
      <c r="A74" s="614">
        <v>1954</v>
      </c>
      <c r="B74" s="175">
        <f t="shared" si="5"/>
        <v>68.570000000000007</v>
      </c>
      <c r="C74" s="176">
        <f>353/1000</f>
        <v>0.35299999999999998</v>
      </c>
      <c r="D74" s="180">
        <f>-2/1000</f>
        <v>-2E-3</v>
      </c>
      <c r="E74" s="176">
        <f>68921/1000</f>
        <v>68.921000000000006</v>
      </c>
      <c r="F74" s="176"/>
      <c r="G74" s="622">
        <f t="shared" si="2"/>
        <v>61.401000000000003</v>
      </c>
      <c r="H74" s="15"/>
      <c r="I74" s="626">
        <f t="shared" si="3"/>
        <v>31.553000000000001</v>
      </c>
      <c r="J74" s="15"/>
      <c r="K74" s="15"/>
      <c r="L74" s="618"/>
      <c r="N74" s="179">
        <f>19075/1000</f>
        <v>19.074999999999999</v>
      </c>
      <c r="O74" s="175">
        <f>8746/1000</f>
        <v>8.7460000000000004</v>
      </c>
      <c r="P74" s="175">
        <f>31553/1000</f>
        <v>31.553000000000001</v>
      </c>
      <c r="Q74" s="180">
        <f>576/1000</f>
        <v>0.57599999999999996</v>
      </c>
      <c r="R74" s="180">
        <f>1451/1000</f>
        <v>1.4510000000000001</v>
      </c>
      <c r="S74" s="181">
        <f>61401/1000</f>
        <v>61.401000000000003</v>
      </c>
      <c r="U74" s="183">
        <v>15115</v>
      </c>
      <c r="V74" s="184">
        <v>1954</v>
      </c>
      <c r="AC74" s="174">
        <v>1954</v>
      </c>
      <c r="AD74" s="175">
        <f t="shared" si="6"/>
        <v>23.408868064304002</v>
      </c>
      <c r="AE74" s="175">
        <f>(38612*1.016*23.8*0.023885)/1000</f>
        <v>22.300685249696002</v>
      </c>
      <c r="AF74" s="175">
        <f>((153+23)*1.016*41.8*0.023885)/1000</f>
        <v>0.17852864268799998</v>
      </c>
      <c r="AG74" s="177">
        <v>0</v>
      </c>
      <c r="AH74" s="177">
        <v>0</v>
      </c>
      <c r="AI74" s="193">
        <f>2384*0.085985/1000</f>
        <v>0.20498824000000002</v>
      </c>
      <c r="AJ74" s="193"/>
      <c r="AK74" s="193"/>
      <c r="AL74" s="175">
        <f>(1106*1.016*27*0.023885)/1000</f>
        <v>0.72466593191999995</v>
      </c>
      <c r="AM74" s="176"/>
      <c r="AN74" s="176"/>
    </row>
    <row r="75" spans="1:40" s="158" customFormat="1" ht="14.25" x14ac:dyDescent="0.45">
      <c r="A75" s="614">
        <v>1955</v>
      </c>
      <c r="B75" s="175">
        <f t="shared" si="5"/>
        <v>75.328999999999994</v>
      </c>
      <c r="C75" s="176">
        <f>321/1000</f>
        <v>0.32100000000000001</v>
      </c>
      <c r="D75" s="180">
        <f>-2/1000</f>
        <v>-2E-3</v>
      </c>
      <c r="E75" s="176">
        <f>75648/1000</f>
        <v>75.647999999999996</v>
      </c>
      <c r="F75" s="176"/>
      <c r="G75" s="622">
        <f t="shared" si="2"/>
        <v>67.423000000000002</v>
      </c>
      <c r="H75" s="15"/>
      <c r="I75" s="626">
        <f t="shared" si="3"/>
        <v>34.634999999999998</v>
      </c>
      <c r="J75" s="15"/>
      <c r="K75" s="15"/>
      <c r="L75" s="618"/>
      <c r="N75" s="179">
        <f>21146/1000</f>
        <v>21.146000000000001</v>
      </c>
      <c r="O75" s="175">
        <f>9545/1000</f>
        <v>9.5449999999999999</v>
      </c>
      <c r="P75" s="175">
        <f>34635/1000</f>
        <v>34.634999999999998</v>
      </c>
      <c r="Q75" s="180">
        <f>627/1000</f>
        <v>0.627</v>
      </c>
      <c r="R75" s="180">
        <f>1470/1000</f>
        <v>1.47</v>
      </c>
      <c r="S75" s="181">
        <f>67423/1000</f>
        <v>67.423000000000002</v>
      </c>
      <c r="U75" s="183">
        <v>15628</v>
      </c>
      <c r="V75" s="184">
        <v>1955</v>
      </c>
      <c r="AC75" s="174">
        <v>1955</v>
      </c>
      <c r="AD75" s="175">
        <f t="shared" si="6"/>
        <v>25.232446772432002</v>
      </c>
      <c r="AE75" s="175">
        <f>(41892*1.016*23.8*0.023885)/1000</f>
        <v>24.195076827936003</v>
      </c>
      <c r="AF75" s="175">
        <f>((188+29)*1.016*41.8*0.023885)/1000</f>
        <v>0.22011770149600002</v>
      </c>
      <c r="AG75" s="177">
        <v>0</v>
      </c>
      <c r="AH75" s="177">
        <v>0</v>
      </c>
      <c r="AI75" s="193">
        <f>1694*0.085985/1000</f>
        <v>0.14565859</v>
      </c>
      <c r="AJ75" s="193"/>
      <c r="AK75" s="193"/>
      <c r="AL75" s="175">
        <f>(1025*1.016*27*0.023885)/1000</f>
        <v>0.67159365300000007</v>
      </c>
      <c r="AM75" s="176"/>
      <c r="AN75" s="176"/>
    </row>
    <row r="76" spans="1:40" s="158" customFormat="1" ht="14.25" x14ac:dyDescent="0.45">
      <c r="A76" s="614">
        <v>1956</v>
      </c>
      <c r="B76" s="175">
        <f t="shared" si="5"/>
        <v>81.915000000000006</v>
      </c>
      <c r="C76" s="176">
        <f>277/1000</f>
        <v>0.27700000000000002</v>
      </c>
      <c r="D76" s="180">
        <f>-1/1000</f>
        <v>-1E-3</v>
      </c>
      <c r="E76" s="176">
        <f>82191/1000</f>
        <v>82.191000000000003</v>
      </c>
      <c r="F76" s="176"/>
      <c r="G76" s="622">
        <f t="shared" si="2"/>
        <v>73.52</v>
      </c>
      <c r="H76" s="15"/>
      <c r="I76" s="626">
        <f t="shared" si="3"/>
        <v>37.223999999999997</v>
      </c>
      <c r="J76" s="15"/>
      <c r="K76" s="15"/>
      <c r="L76" s="618"/>
      <c r="N76" s="179">
        <f>23755/1000</f>
        <v>23.754999999999999</v>
      </c>
      <c r="O76" s="175">
        <f>10337/1000</f>
        <v>10.337</v>
      </c>
      <c r="P76" s="175">
        <f>37224/1000</f>
        <v>37.223999999999997</v>
      </c>
      <c r="Q76" s="180">
        <f>692/1000</f>
        <v>0.69199999999999995</v>
      </c>
      <c r="R76" s="180">
        <f>1512/1000</f>
        <v>1.512</v>
      </c>
      <c r="S76" s="181">
        <f>73520/1000</f>
        <v>73.52</v>
      </c>
      <c r="U76" s="183">
        <v>16074</v>
      </c>
      <c r="V76" s="184">
        <v>1956</v>
      </c>
      <c r="AC76" s="174">
        <v>1956</v>
      </c>
      <c r="AD76" s="175">
        <f t="shared" si="6"/>
        <v>27.05611272235782</v>
      </c>
      <c r="AE76" s="175">
        <f>(44800*1.016*23.8*0.023885)/1000</f>
        <v>25.874616678400002</v>
      </c>
      <c r="AF76" s="175">
        <f>((344+28)*1.016*41.8*0.023885)/1000</f>
        <v>0.37734463113599997</v>
      </c>
      <c r="AG76" s="177">
        <v>0</v>
      </c>
      <c r="AH76" s="193">
        <f>58*0.085985/1000/0.275</f>
        <v>1.8135018181818181E-2</v>
      </c>
      <c r="AI76" s="193">
        <f>2268*0.085985/1000</f>
        <v>0.19501398</v>
      </c>
      <c r="AJ76" s="193"/>
      <c r="AK76" s="193"/>
      <c r="AL76" s="175">
        <f>(902*1.016*27*0.023885)/1000</f>
        <v>0.59100241464000003</v>
      </c>
      <c r="AM76" s="176"/>
      <c r="AN76" s="176"/>
    </row>
    <row r="77" spans="1:40" s="158" customFormat="1" ht="14.25" x14ac:dyDescent="0.45">
      <c r="A77" s="614">
        <v>1957</v>
      </c>
      <c r="B77" s="175">
        <f t="shared" si="5"/>
        <v>85.499999999999986</v>
      </c>
      <c r="C77" s="176">
        <f>501/1000</f>
        <v>0.501</v>
      </c>
      <c r="D77" s="180">
        <f>-2/1000</f>
        <v>-2E-3</v>
      </c>
      <c r="E77" s="176">
        <f>85999/1000</f>
        <v>85.998999999999995</v>
      </c>
      <c r="F77" s="176"/>
      <c r="G77" s="622">
        <f t="shared" si="2"/>
        <v>77.218000000000004</v>
      </c>
      <c r="H77" s="15"/>
      <c r="I77" s="626">
        <f t="shared" si="3"/>
        <v>39.347999999999999</v>
      </c>
      <c r="J77" s="15"/>
      <c r="K77" s="15"/>
      <c r="L77" s="618"/>
      <c r="N77" s="179">
        <f>24850/1000</f>
        <v>24.85</v>
      </c>
      <c r="O77" s="175">
        <f>10733/1000</f>
        <v>10.733000000000001</v>
      </c>
      <c r="P77" s="175">
        <f>39348/1000</f>
        <v>39.347999999999999</v>
      </c>
      <c r="Q77" s="180">
        <f>742/1000</f>
        <v>0.74199999999999999</v>
      </c>
      <c r="R77" s="180">
        <f>1545/1000</f>
        <v>1.5449999999999999</v>
      </c>
      <c r="S77" s="181">
        <f>77218/1000</f>
        <v>77.218000000000004</v>
      </c>
      <c r="U77" s="183">
        <v>16472</v>
      </c>
      <c r="V77" s="184">
        <v>1957</v>
      </c>
      <c r="AC77" s="174">
        <v>1957</v>
      </c>
      <c r="AD77" s="175">
        <f t="shared" si="6"/>
        <v>27.860696079646548</v>
      </c>
      <c r="AE77" s="175">
        <f>(45600*1.016*23.8*0.023885)/1000</f>
        <v>26.336663404799999</v>
      </c>
      <c r="AF77" s="175">
        <f>((570+24)*1.016*41.8*0.023885)/1000</f>
        <v>0.60253416907199997</v>
      </c>
      <c r="AG77" s="177">
        <v>0</v>
      </c>
      <c r="AH77" s="193">
        <f>409*0.085985/1000/0.275</f>
        <v>0.12788314545454543</v>
      </c>
      <c r="AI77" s="193">
        <f>2745*0.085985/1000</f>
        <v>0.23602882500000003</v>
      </c>
      <c r="AJ77" s="193"/>
      <c r="AK77" s="193"/>
      <c r="AL77" s="175">
        <f>(851*1.016*27*0.023885)/1000</f>
        <v>0.55758653531999991</v>
      </c>
      <c r="AM77" s="176"/>
      <c r="AN77" s="176"/>
    </row>
    <row r="78" spans="1:40" s="158" customFormat="1" ht="14.25" x14ac:dyDescent="0.45">
      <c r="A78" s="614">
        <v>1958</v>
      </c>
      <c r="B78" s="175">
        <f t="shared" si="5"/>
        <v>92.689000000000007</v>
      </c>
      <c r="C78" s="176">
        <f>753/1000</f>
        <v>0.753</v>
      </c>
      <c r="D78" s="180">
        <f>-1/1000</f>
        <v>-1E-3</v>
      </c>
      <c r="E78" s="176">
        <f>93441/1000</f>
        <v>93.441000000000003</v>
      </c>
      <c r="F78" s="176"/>
      <c r="G78" s="622">
        <f t="shared" si="2"/>
        <v>83.869</v>
      </c>
      <c r="H78" s="15"/>
      <c r="I78" s="626">
        <f t="shared" si="3"/>
        <v>41.241</v>
      </c>
      <c r="J78" s="15"/>
      <c r="K78" s="15"/>
      <c r="L78" s="618"/>
      <c r="N78" s="179">
        <f>28227/1000</f>
        <v>28.227</v>
      </c>
      <c r="O78" s="175">
        <f>12057/1000</f>
        <v>12.057</v>
      </c>
      <c r="P78" s="175">
        <f>41241/1000</f>
        <v>41.241</v>
      </c>
      <c r="Q78" s="180">
        <f>793/1000</f>
        <v>0.79300000000000004</v>
      </c>
      <c r="R78" s="180">
        <f>1551/1000</f>
        <v>1.5509999999999999</v>
      </c>
      <c r="S78" s="181">
        <f>83869/1000</f>
        <v>83.869</v>
      </c>
      <c r="U78" s="183">
        <v>16824</v>
      </c>
      <c r="V78" s="184">
        <v>1958</v>
      </c>
      <c r="AC78" s="174">
        <v>1958</v>
      </c>
      <c r="AD78" s="175">
        <f t="shared" si="6"/>
        <v>29.768502811778184</v>
      </c>
      <c r="AE78" s="175">
        <f>(45330*1.016*23.8*0.023885)/1000</f>
        <v>26.180722634640002</v>
      </c>
      <c r="AF78" s="175">
        <f>((2536+29)*1.016*41.8*0.023885)/1000</f>
        <v>2.6018520937200003</v>
      </c>
      <c r="AG78" s="177">
        <v>0</v>
      </c>
      <c r="AH78" s="193">
        <f>305*0.085985/1000/0.275</f>
        <v>9.5365181818181807E-2</v>
      </c>
      <c r="AI78" s="193">
        <f>2699*0.085985/1000</f>
        <v>0.23207351500000001</v>
      </c>
      <c r="AJ78" s="193"/>
      <c r="AK78" s="193"/>
      <c r="AL78" s="175">
        <f>(1005*1.016*27*0.023885)/1000</f>
        <v>0.6584893866</v>
      </c>
      <c r="AM78" s="176"/>
      <c r="AN78" s="176"/>
    </row>
    <row r="79" spans="1:40" s="158" customFormat="1" ht="14.25" x14ac:dyDescent="0.45">
      <c r="A79" s="614">
        <v>1959</v>
      </c>
      <c r="B79" s="175">
        <f t="shared" si="5"/>
        <v>98.944000000000003</v>
      </c>
      <c r="C79" s="176">
        <f>1629/1000</f>
        <v>1.629</v>
      </c>
      <c r="D79" s="180">
        <f>-1/1000</f>
        <v>-1E-3</v>
      </c>
      <c r="E79" s="176">
        <f>100572/1000</f>
        <v>100.572</v>
      </c>
      <c r="F79" s="176"/>
      <c r="G79" s="622">
        <f t="shared" si="2"/>
        <v>90.504000000000005</v>
      </c>
      <c r="H79" s="15"/>
      <c r="I79" s="626">
        <f>P79</f>
        <v>44.695</v>
      </c>
      <c r="J79" s="15"/>
      <c r="K79" s="15"/>
      <c r="L79" s="618"/>
      <c r="N79" s="186">
        <f>30487/1000</f>
        <v>30.486999999999998</v>
      </c>
      <c r="O79" s="187">
        <f>12837/1000</f>
        <v>12.837</v>
      </c>
      <c r="P79" s="187">
        <f>44695/1000</f>
        <v>44.695</v>
      </c>
      <c r="Q79" s="188">
        <f>855/1000</f>
        <v>0.85499999999999998</v>
      </c>
      <c r="R79" s="188">
        <f>1630/1000</f>
        <v>1.63</v>
      </c>
      <c r="S79" s="189">
        <f>90504/1000</f>
        <v>90.504000000000005</v>
      </c>
      <c r="U79" s="183">
        <v>17150</v>
      </c>
      <c r="V79" s="184">
        <v>1959</v>
      </c>
      <c r="AC79" s="174">
        <v>1959</v>
      </c>
      <c r="AD79" s="175">
        <f t="shared" si="6"/>
        <v>31.824549134718552</v>
      </c>
      <c r="AE79" s="175">
        <f>(45387*1.016*23.8*0.023885)/1000</f>
        <v>26.213643463896005</v>
      </c>
      <c r="AF79" s="175">
        <f>((4160+31)*1.016*41.8*0.023885)/1000</f>
        <v>4.251213304008</v>
      </c>
      <c r="AG79" s="177">
        <v>0</v>
      </c>
      <c r="AH79" s="193">
        <f>1201*0.085985/1000/0.275</f>
        <v>0.37551994545454542</v>
      </c>
      <c r="AI79" s="193">
        <f>2698*0.085985/1000</f>
        <v>0.23198753000000003</v>
      </c>
      <c r="AJ79" s="193"/>
      <c r="AK79" s="193"/>
      <c r="AL79" s="175">
        <f>(1148*1.016*27*0.023885)/1000</f>
        <v>0.75218489135999989</v>
      </c>
      <c r="AM79" s="176"/>
      <c r="AN79" s="176"/>
    </row>
    <row r="80" spans="1:40" s="158" customFormat="1" ht="13.15" x14ac:dyDescent="0.4">
      <c r="A80" s="614">
        <v>1960</v>
      </c>
      <c r="B80" s="193">
        <v>116.96</v>
      </c>
      <c r="C80" s="193">
        <v>0.15</v>
      </c>
      <c r="D80" s="180">
        <f>-1/1000</f>
        <v>-1E-3</v>
      </c>
      <c r="E80" s="193">
        <v>117.11</v>
      </c>
      <c r="F80" s="193">
        <v>12.07</v>
      </c>
      <c r="G80" s="193">
        <v>105.04</v>
      </c>
      <c r="H80" s="193">
        <v>6.25</v>
      </c>
      <c r="I80" s="193">
        <v>44.51</v>
      </c>
      <c r="J80" s="193">
        <v>33.68</v>
      </c>
      <c r="K80" s="193" t="s">
        <v>657</v>
      </c>
      <c r="L80" s="619">
        <f t="shared" ref="L80:L89" si="7">SUM(I80:K80)</f>
        <v>78.19</v>
      </c>
      <c r="N80" s="195">
        <f>35270/1000</f>
        <v>35.270000000000003</v>
      </c>
      <c r="O80" s="190">
        <f>14526/1000</f>
        <v>14.526</v>
      </c>
      <c r="P80" s="190">
        <f>49991/1000</f>
        <v>49.991</v>
      </c>
      <c r="Q80" s="191">
        <f>922/1000</f>
        <v>0.92200000000000004</v>
      </c>
      <c r="R80" s="191">
        <f>1654/1000</f>
        <v>1.6539999999999999</v>
      </c>
      <c r="S80" s="192">
        <f>102363/1000</f>
        <v>102.363</v>
      </c>
      <c r="U80" s="183">
        <v>17490</v>
      </c>
      <c r="V80" s="184">
        <v>1960</v>
      </c>
      <c r="AC80" s="174">
        <v>1960</v>
      </c>
      <c r="AD80" s="175">
        <f t="shared" si="6"/>
        <v>37.308577755000002</v>
      </c>
      <c r="AE80" s="193">
        <v>30.07</v>
      </c>
      <c r="AF80" s="193">
        <v>5.78</v>
      </c>
      <c r="AG80" s="177">
        <v>0</v>
      </c>
      <c r="AH80" s="193">
        <f>2079*0.085985/1000/0.275</f>
        <v>0.65004660000000003</v>
      </c>
      <c r="AI80" s="193">
        <f>3123*0.085985/1000</f>
        <v>0.26853115500000002</v>
      </c>
      <c r="AJ80" s="193"/>
      <c r="AK80" s="193"/>
      <c r="AL80" s="193">
        <v>0.54</v>
      </c>
      <c r="AM80" s="193"/>
      <c r="AN80" s="175"/>
    </row>
    <row r="81" spans="1:40" s="158" customFormat="1" ht="13.15" x14ac:dyDescent="0.4">
      <c r="A81" s="614">
        <v>1961</v>
      </c>
      <c r="B81" s="193">
        <f>E81-D81-C81</f>
        <v>120.06499999999998</v>
      </c>
      <c r="C81" s="176">
        <f>2757/1000</f>
        <v>2.7570000000000001</v>
      </c>
      <c r="D81" s="180">
        <f>1/1000</f>
        <v>1E-3</v>
      </c>
      <c r="E81" s="193">
        <f>122823/1000</f>
        <v>122.82299999999999</v>
      </c>
      <c r="F81" s="177">
        <v>0</v>
      </c>
      <c r="G81" s="177">
        <v>0</v>
      </c>
      <c r="H81" s="177">
        <v>0</v>
      </c>
      <c r="I81" s="177">
        <v>0</v>
      </c>
      <c r="J81" s="177">
        <v>0</v>
      </c>
      <c r="K81" s="177">
        <v>0</v>
      </c>
      <c r="L81" s="196">
        <v>0</v>
      </c>
      <c r="N81" s="179">
        <f>39968/1000</f>
        <v>39.968000000000004</v>
      </c>
      <c r="O81" s="175">
        <f>15809/1000</f>
        <v>15.808999999999999</v>
      </c>
      <c r="P81" s="175">
        <f>51740/1000</f>
        <v>51.74</v>
      </c>
      <c r="Q81" s="180">
        <f>994/1000</f>
        <v>0.99399999999999999</v>
      </c>
      <c r="R81" s="180">
        <f>1721/1000</f>
        <v>1.7210000000000001</v>
      </c>
      <c r="S81" s="181">
        <f>110232/1000</f>
        <v>110.232</v>
      </c>
      <c r="U81" s="183">
        <v>17816</v>
      </c>
      <c r="V81" s="184">
        <v>1961</v>
      </c>
      <c r="AC81" s="174">
        <v>1961</v>
      </c>
      <c r="AD81" s="175">
        <f t="shared" si="6"/>
        <v>40.232735459475272</v>
      </c>
      <c r="AE81" s="193">
        <f>(54777*1.016*24.8*0.023885)/1000</f>
        <v>32.966199138336002</v>
      </c>
      <c r="AF81" s="193">
        <f>(5523*1.016*41.8*0.023885)/1000</f>
        <v>5.6023505316239994</v>
      </c>
      <c r="AG81" s="177">
        <v>0</v>
      </c>
      <c r="AH81" s="193">
        <f>2399*0.085985/1000/0.275</f>
        <v>0.75010187272727269</v>
      </c>
      <c r="AI81" s="193">
        <f>3842*0.085985/1000</f>
        <v>0.33035437000000001</v>
      </c>
      <c r="AJ81" s="193"/>
      <c r="AK81" s="193"/>
      <c r="AL81" s="193">
        <f>(890.9*1.016*27*0.023885)/1000</f>
        <v>0.58372954678800004</v>
      </c>
      <c r="AM81" s="193"/>
      <c r="AN81" s="176"/>
    </row>
    <row r="82" spans="1:40" s="158" customFormat="1" ht="13.15" x14ac:dyDescent="0.4">
      <c r="A82" s="614">
        <v>1962</v>
      </c>
      <c r="B82" s="193">
        <f>E82-D82-C82</f>
        <v>132.77000000000001</v>
      </c>
      <c r="C82" s="176">
        <f>3158/1000</f>
        <v>3.1579999999999999</v>
      </c>
      <c r="D82" s="180">
        <f>87/1000</f>
        <v>8.6999999999999994E-2</v>
      </c>
      <c r="E82" s="193">
        <f>136015/1000</f>
        <v>136.01499999999999</v>
      </c>
      <c r="F82" s="177">
        <v>0</v>
      </c>
      <c r="G82" s="177">
        <v>0</v>
      </c>
      <c r="H82" s="177">
        <v>0</v>
      </c>
      <c r="I82" s="177">
        <v>0</v>
      </c>
      <c r="J82" s="177">
        <v>0</v>
      </c>
      <c r="K82" s="177">
        <v>0</v>
      </c>
      <c r="L82" s="196">
        <v>0</v>
      </c>
      <c r="N82" s="179">
        <f>47628/1000</f>
        <v>47.628</v>
      </c>
      <c r="O82" s="175">
        <f>18284/1000</f>
        <v>18.283999999999999</v>
      </c>
      <c r="P82" s="175">
        <f>53529/1000</f>
        <v>53.529000000000003</v>
      </c>
      <c r="Q82" s="180">
        <f>1060/1000</f>
        <v>1.06</v>
      </c>
      <c r="R82" s="180">
        <f>1856/1000</f>
        <v>1.8560000000000001</v>
      </c>
      <c r="S82" s="181">
        <f>122357/1000</f>
        <v>122.357</v>
      </c>
      <c r="U82" s="183">
        <v>18115</v>
      </c>
      <c r="V82" s="184">
        <v>1962</v>
      </c>
      <c r="AC82" s="174">
        <v>1962</v>
      </c>
      <c r="AD82" s="175">
        <f t="shared" si="6"/>
        <v>44.221819126603272</v>
      </c>
      <c r="AE82" s="193">
        <f>(60394*1.016*24.8*0.023885)/1000</f>
        <v>36.346653353792007</v>
      </c>
      <c r="AF82" s="193">
        <f>(5763*1.016*41.8*0.023885)/1000</f>
        <v>5.8457986807439992</v>
      </c>
      <c r="AG82" s="177">
        <v>0</v>
      </c>
      <c r="AH82" s="193">
        <f>3477*0.085985/1000/0.275</f>
        <v>1.0871630727272728</v>
      </c>
      <c r="AI82" s="193">
        <f>3913*0.085985/1000</f>
        <v>0.33645930500000004</v>
      </c>
      <c r="AJ82" s="193"/>
      <c r="AK82" s="193"/>
      <c r="AL82" s="193">
        <f>(924.5*1.016*27*0.023885)/1000</f>
        <v>0.6057447143400001</v>
      </c>
      <c r="AM82" s="193"/>
      <c r="AN82" s="176"/>
    </row>
    <row r="83" spans="1:40" s="158" customFormat="1" ht="13.15" x14ac:dyDescent="0.4">
      <c r="A83" s="614">
        <v>1963</v>
      </c>
      <c r="B83" s="193">
        <f>162652/1000</f>
        <v>162.65199999999999</v>
      </c>
      <c r="C83" s="176">
        <f>3350/1000</f>
        <v>3.35</v>
      </c>
      <c r="D83" s="185">
        <f>-15/1000</f>
        <v>-1.4999999999999999E-2</v>
      </c>
      <c r="E83" s="193">
        <f>147102/1000</f>
        <v>147.102</v>
      </c>
      <c r="F83" s="177">
        <v>0</v>
      </c>
      <c r="G83" s="177">
        <v>0</v>
      </c>
      <c r="H83" s="177">
        <v>0</v>
      </c>
      <c r="I83" s="177">
        <v>0</v>
      </c>
      <c r="J83" s="177">
        <v>0</v>
      </c>
      <c r="K83" s="177">
        <v>0</v>
      </c>
      <c r="L83" s="196">
        <v>0</v>
      </c>
      <c r="N83" s="179">
        <f>54475/1000</f>
        <v>54.475000000000001</v>
      </c>
      <c r="O83" s="175">
        <f>20263/1000</f>
        <v>20.263000000000002</v>
      </c>
      <c r="P83" s="175">
        <f>56106/1000</f>
        <v>56.106000000000002</v>
      </c>
      <c r="Q83" s="180">
        <f>1127/1000</f>
        <v>1.127</v>
      </c>
      <c r="R83" s="180">
        <f>1879/1000</f>
        <v>1.879</v>
      </c>
      <c r="S83" s="181">
        <f>133850/1000</f>
        <v>133.85</v>
      </c>
      <c r="U83" s="183">
        <v>18398</v>
      </c>
      <c r="V83" s="184">
        <v>1963</v>
      </c>
      <c r="AC83" s="174">
        <v>1963</v>
      </c>
      <c r="AD83" s="175">
        <f t="shared" si="6"/>
        <v>47.866743492217459</v>
      </c>
      <c r="AE83" s="193">
        <f>(66662*1.016*24.8*0.023885)/1000</f>
        <v>40.118896014016002</v>
      </c>
      <c r="AF83" s="193">
        <f>(5059*1.016*41.8*0.023885)/1000</f>
        <v>5.1316841099920003</v>
      </c>
      <c r="AG83" s="177">
        <v>0</v>
      </c>
      <c r="AH83" s="193">
        <f>5949*0.085985/1000/0.275</f>
        <v>1.8600900545454548</v>
      </c>
      <c r="AI83" s="193">
        <f>3648*0.085985/1000</f>
        <v>0.31367328000000005</v>
      </c>
      <c r="AJ83" s="193"/>
      <c r="AK83" s="193"/>
      <c r="AL83" s="193">
        <f>(675.2*1.016*27*0.023885)/1000</f>
        <v>0.4424000336640001</v>
      </c>
      <c r="AM83" s="193"/>
      <c r="AN83" s="176"/>
    </row>
    <row r="84" spans="1:40" s="158" customFormat="1" ht="13.15" x14ac:dyDescent="0.4">
      <c r="A84" s="614">
        <v>1964</v>
      </c>
      <c r="B84" s="193">
        <f>170951/1000</f>
        <v>170.95099999999999</v>
      </c>
      <c r="C84" s="176">
        <f>3180/1000</f>
        <v>3.18</v>
      </c>
      <c r="D84" s="185">
        <f>-211/1000</f>
        <v>-0.21099999999999999</v>
      </c>
      <c r="E84" s="193">
        <f>154534/1000</f>
        <v>154.53399999999999</v>
      </c>
      <c r="F84" s="177">
        <v>0</v>
      </c>
      <c r="G84" s="177">
        <v>0</v>
      </c>
      <c r="H84" s="177">
        <v>0</v>
      </c>
      <c r="I84" s="177">
        <v>0</v>
      </c>
      <c r="J84" s="177">
        <v>0</v>
      </c>
      <c r="K84" s="177">
        <v>0</v>
      </c>
      <c r="L84" s="196">
        <v>0</v>
      </c>
      <c r="N84" s="179">
        <f>54411/1000</f>
        <v>54.411000000000001</v>
      </c>
      <c r="O84" s="175">
        <f>21321/1000</f>
        <v>21.321000000000002</v>
      </c>
      <c r="P84" s="175">
        <f>61604/1000</f>
        <v>61.603999999999999</v>
      </c>
      <c r="Q84" s="180">
        <f>1191/1000</f>
        <v>1.1910000000000001</v>
      </c>
      <c r="R84" s="180">
        <f>1847/1000</f>
        <v>1.847</v>
      </c>
      <c r="S84" s="181">
        <f>140374/1000</f>
        <v>140.374</v>
      </c>
      <c r="U84" s="183">
        <v>18732</v>
      </c>
      <c r="V84" s="184">
        <v>1964</v>
      </c>
      <c r="AC84" s="174">
        <v>1964</v>
      </c>
      <c r="AD84" s="175">
        <f t="shared" si="6"/>
        <v>49.751938037263642</v>
      </c>
      <c r="AE84" s="193">
        <f>(67836*1.016*24.8*0.023885)/1000</f>
        <v>40.825439230848005</v>
      </c>
      <c r="AF84" s="193">
        <f>(5664*1.016*41.8*0.023885)/1000</f>
        <v>5.7453763192319993</v>
      </c>
      <c r="AG84" s="177">
        <v>0</v>
      </c>
      <c r="AH84" s="193">
        <f>7629*0.085985/1000/0.275</f>
        <v>2.3853802363636367</v>
      </c>
      <c r="AI84" s="193">
        <f>4008*0.085985/1000</f>
        <v>0.34462788</v>
      </c>
      <c r="AJ84" s="193"/>
      <c r="AK84" s="193"/>
      <c r="AL84" s="193">
        <f>(688.5*1.016*27*0.023885)/1000</f>
        <v>0.45111437082000005</v>
      </c>
      <c r="AM84" s="193"/>
      <c r="AN84" s="176"/>
    </row>
    <row r="85" spans="1:40" s="158" customFormat="1" ht="13.15" x14ac:dyDescent="0.4">
      <c r="A85" s="614">
        <v>1965</v>
      </c>
      <c r="B85" s="193">
        <v>169.57</v>
      </c>
      <c r="C85" s="193">
        <v>0.21</v>
      </c>
      <c r="D85" s="197" t="s">
        <v>658</v>
      </c>
      <c r="E85" s="193">
        <v>169.88</v>
      </c>
      <c r="F85" s="193">
        <v>15.17</v>
      </c>
      <c r="G85" s="193">
        <v>154.71</v>
      </c>
      <c r="H85" s="193">
        <v>7.55</v>
      </c>
      <c r="I85" s="193">
        <v>58.54</v>
      </c>
      <c r="J85" s="193">
        <v>57.23</v>
      </c>
      <c r="K85" s="193">
        <v>31.39</v>
      </c>
      <c r="L85" s="194">
        <f t="shared" si="7"/>
        <v>147.16</v>
      </c>
      <c r="N85" s="186">
        <f>59421/1000</f>
        <v>59.420999999999999</v>
      </c>
      <c r="O85" s="187">
        <f>23427/1000</f>
        <v>23.427</v>
      </c>
      <c r="P85" s="187">
        <f>65040/1000</f>
        <v>65.040000000000006</v>
      </c>
      <c r="Q85" s="188">
        <f>1260/1000</f>
        <v>1.26</v>
      </c>
      <c r="R85" s="188">
        <f>1923/1000</f>
        <v>1.923</v>
      </c>
      <c r="S85" s="189">
        <f>151071/1000</f>
        <v>151.071</v>
      </c>
      <c r="U85" s="183">
        <v>19060</v>
      </c>
      <c r="V85" s="184">
        <v>1965</v>
      </c>
      <c r="AC85" s="174">
        <v>1965</v>
      </c>
      <c r="AD85" s="193">
        <v>51.72</v>
      </c>
      <c r="AE85" s="193">
        <v>40.03</v>
      </c>
      <c r="AF85" s="193">
        <v>6.74</v>
      </c>
      <c r="AG85" s="177">
        <v>0</v>
      </c>
      <c r="AH85" s="193">
        <v>4.34</v>
      </c>
      <c r="AI85" s="193">
        <f>4612*0.085985/1000</f>
        <v>0.39656282000000004</v>
      </c>
      <c r="AJ85" s="193"/>
      <c r="AK85" s="193"/>
      <c r="AL85" s="193">
        <v>0.21</v>
      </c>
      <c r="AM85" s="193"/>
      <c r="AN85" s="176"/>
    </row>
    <row r="86" spans="1:40" s="158" customFormat="1" ht="13.15" x14ac:dyDescent="0.4">
      <c r="A86" s="614">
        <v>1966</v>
      </c>
      <c r="B86" s="193">
        <v>175.38</v>
      </c>
      <c r="C86" s="193">
        <v>0.22</v>
      </c>
      <c r="D86" s="193">
        <v>0.35</v>
      </c>
      <c r="E86" s="193">
        <v>175.95</v>
      </c>
      <c r="F86" s="193">
        <v>15.3</v>
      </c>
      <c r="G86" s="193">
        <v>160.65</v>
      </c>
      <c r="H86" s="193">
        <v>7.66</v>
      </c>
      <c r="I86" s="193">
        <v>60.11</v>
      </c>
      <c r="J86" s="193">
        <v>59.81</v>
      </c>
      <c r="K86" s="193">
        <v>33.07</v>
      </c>
      <c r="L86" s="194">
        <f t="shared" si="7"/>
        <v>152.99</v>
      </c>
      <c r="N86" s="182"/>
      <c r="U86" s="183">
        <v>19363</v>
      </c>
      <c r="V86" s="184">
        <v>1966</v>
      </c>
      <c r="AC86" s="174">
        <v>1966</v>
      </c>
      <c r="AD86" s="193">
        <v>54.41</v>
      </c>
      <c r="AE86" s="193">
        <v>40.090000000000003</v>
      </c>
      <c r="AF86" s="193">
        <v>7.81</v>
      </c>
      <c r="AG86" s="177">
        <v>0</v>
      </c>
      <c r="AH86" s="193">
        <v>5.8</v>
      </c>
      <c r="AI86" s="193">
        <v>0.39</v>
      </c>
      <c r="AJ86" s="193"/>
      <c r="AK86" s="193"/>
      <c r="AL86" s="193">
        <v>0.32</v>
      </c>
      <c r="AM86" s="193"/>
      <c r="AN86" s="176"/>
    </row>
    <row r="87" spans="1:40" s="158" customFormat="1" ht="13.15" x14ac:dyDescent="0.4">
      <c r="A87" s="614">
        <v>1967</v>
      </c>
      <c r="B87" s="193">
        <v>181.14</v>
      </c>
      <c r="C87" s="193">
        <v>0.21</v>
      </c>
      <c r="D87" s="197" t="s">
        <v>659</v>
      </c>
      <c r="E87" s="193">
        <v>181.51</v>
      </c>
      <c r="F87" s="193">
        <v>15.76</v>
      </c>
      <c r="G87" s="193">
        <v>165.75</v>
      </c>
      <c r="H87" s="193">
        <v>7.75</v>
      </c>
      <c r="I87" s="193">
        <v>60.91</v>
      </c>
      <c r="J87" s="193">
        <v>62.35</v>
      </c>
      <c r="K87" s="193">
        <v>34.74</v>
      </c>
      <c r="L87" s="194">
        <f t="shared" si="7"/>
        <v>158</v>
      </c>
      <c r="N87" s="182"/>
      <c r="O87" s="182"/>
      <c r="P87" s="182"/>
      <c r="Q87" s="182"/>
      <c r="R87" s="182"/>
      <c r="S87" s="182"/>
      <c r="U87" s="183">
        <v>19668</v>
      </c>
      <c r="V87" s="184">
        <v>1967</v>
      </c>
      <c r="AC87" s="174">
        <v>1967</v>
      </c>
      <c r="AD87" s="193">
        <v>55.05</v>
      </c>
      <c r="AE87" s="193">
        <v>39.61</v>
      </c>
      <c r="AF87" s="193">
        <v>7.92</v>
      </c>
      <c r="AG87" s="177">
        <v>0</v>
      </c>
      <c r="AH87" s="193">
        <v>6.68</v>
      </c>
      <c r="AI87" s="193">
        <v>0.42</v>
      </c>
      <c r="AJ87" s="193"/>
      <c r="AK87" s="193"/>
      <c r="AL87" s="193">
        <v>0.42</v>
      </c>
      <c r="AM87" s="193"/>
      <c r="AN87" s="176"/>
    </row>
    <row r="88" spans="1:40" s="158" customFormat="1" ht="13.15" x14ac:dyDescent="0.4">
      <c r="A88" s="614">
        <v>1968</v>
      </c>
      <c r="B88" s="193">
        <v>193.56</v>
      </c>
      <c r="C88" s="193">
        <v>0.2</v>
      </c>
      <c r="D88" s="197" t="s">
        <v>660</v>
      </c>
      <c r="E88" s="193">
        <v>194.49</v>
      </c>
      <c r="F88" s="193">
        <v>16.29</v>
      </c>
      <c r="G88" s="193">
        <v>178.2</v>
      </c>
      <c r="H88" s="193">
        <v>7.68</v>
      </c>
      <c r="I88" s="193">
        <v>66.150000000000006</v>
      </c>
      <c r="J88" s="193">
        <v>66.66</v>
      </c>
      <c r="K88" s="193">
        <v>37.71</v>
      </c>
      <c r="L88" s="194">
        <f t="shared" si="7"/>
        <v>170.52</v>
      </c>
      <c r="N88" s="182"/>
      <c r="O88" s="182"/>
      <c r="P88" s="182"/>
      <c r="Q88" s="182"/>
      <c r="R88" s="182"/>
      <c r="S88" s="182"/>
      <c r="U88" s="183">
        <v>19964</v>
      </c>
      <c r="V88" s="184">
        <v>1968</v>
      </c>
      <c r="AC88" s="174">
        <v>1968</v>
      </c>
      <c r="AD88" s="193">
        <v>58.22</v>
      </c>
      <c r="AE88" s="193">
        <v>43.33</v>
      </c>
      <c r="AF88" s="193">
        <v>6.85</v>
      </c>
      <c r="AG88" s="177">
        <v>0</v>
      </c>
      <c r="AH88" s="193">
        <v>7.51</v>
      </c>
      <c r="AI88" s="193">
        <v>0.32</v>
      </c>
      <c r="AJ88" s="193"/>
      <c r="AK88" s="193"/>
      <c r="AL88" s="193">
        <v>0.21</v>
      </c>
      <c r="AM88" s="193"/>
      <c r="AN88" s="176"/>
    </row>
    <row r="89" spans="1:40" s="158" customFormat="1" ht="13.15" x14ac:dyDescent="0.4">
      <c r="A89" s="614">
        <v>1969</v>
      </c>
      <c r="B89" s="193">
        <v>206.37</v>
      </c>
      <c r="C89" s="193">
        <v>0.2</v>
      </c>
      <c r="D89" s="197" t="s">
        <v>661</v>
      </c>
      <c r="E89" s="193">
        <v>207.15</v>
      </c>
      <c r="F89" s="193">
        <v>17.29</v>
      </c>
      <c r="G89" s="193">
        <v>189.86</v>
      </c>
      <c r="H89" s="193">
        <v>6.88</v>
      </c>
      <c r="I89" s="193">
        <v>70.34</v>
      </c>
      <c r="J89" s="193">
        <v>72.19</v>
      </c>
      <c r="K89" s="193">
        <v>40.450000000000003</v>
      </c>
      <c r="L89" s="194">
        <f t="shared" si="7"/>
        <v>182.98000000000002</v>
      </c>
      <c r="N89" s="182"/>
      <c r="U89" s="183">
        <v>20200</v>
      </c>
      <c r="V89" s="184">
        <v>1969</v>
      </c>
      <c r="AC89" s="174">
        <v>1969</v>
      </c>
      <c r="AD89" s="193">
        <v>62.04</v>
      </c>
      <c r="AE89" s="193">
        <v>44.74</v>
      </c>
      <c r="AF89" s="193">
        <v>8.89</v>
      </c>
      <c r="AG89" s="193">
        <v>0.11</v>
      </c>
      <c r="AH89" s="193">
        <v>7.91</v>
      </c>
      <c r="AI89" s="193">
        <v>0.28000000000000003</v>
      </c>
      <c r="AJ89" s="193"/>
      <c r="AK89" s="193"/>
      <c r="AL89" s="193">
        <v>0.11</v>
      </c>
      <c r="AM89" s="193"/>
      <c r="AN89" s="176"/>
    </row>
    <row r="90" spans="1:40" ht="13.15" x14ac:dyDescent="0.4">
      <c r="A90" s="614">
        <v>1970</v>
      </c>
      <c r="B90" s="177">
        <v>215.76</v>
      </c>
      <c r="C90" s="177">
        <v>0.19</v>
      </c>
      <c r="D90" s="177">
        <v>0.55000000000000004</v>
      </c>
      <c r="E90" s="177">
        <v>216.5</v>
      </c>
      <c r="F90" s="177">
        <v>17.5</v>
      </c>
      <c r="G90" s="177">
        <v>199</v>
      </c>
      <c r="H90" s="177">
        <v>6.59</v>
      </c>
      <c r="I90" s="177">
        <v>72.989999999999995</v>
      </c>
      <c r="J90" s="177">
        <v>77.040000000000006</v>
      </c>
      <c r="K90" s="177">
        <v>42.38</v>
      </c>
      <c r="L90" s="196">
        <v>192.41</v>
      </c>
      <c r="M90" s="158"/>
      <c r="N90" s="182"/>
      <c r="O90" s="158"/>
      <c r="P90" s="158"/>
      <c r="Q90" s="158"/>
      <c r="R90" s="158"/>
      <c r="S90" s="158"/>
      <c r="U90" s="198">
        <v>20425</v>
      </c>
      <c r="V90" s="199">
        <v>1970</v>
      </c>
      <c r="AC90" s="174">
        <v>1970</v>
      </c>
      <c r="AD90" s="177">
        <v>63.84</v>
      </c>
      <c r="AE90" s="177">
        <v>43.07</v>
      </c>
      <c r="AF90" s="177">
        <v>13.27</v>
      </c>
      <c r="AG90" s="177">
        <v>0.11</v>
      </c>
      <c r="AH90" s="177">
        <v>7</v>
      </c>
      <c r="AI90" s="177">
        <v>0.39</v>
      </c>
      <c r="AJ90" s="177"/>
      <c r="AK90" s="177"/>
      <c r="AL90" s="177">
        <v>0</v>
      </c>
      <c r="AM90" s="177"/>
      <c r="AN90" s="176"/>
    </row>
    <row r="91" spans="1:40" ht="13.15" x14ac:dyDescent="0.4">
      <c r="A91" s="614">
        <v>1971</v>
      </c>
      <c r="B91" s="177">
        <v>222.92</v>
      </c>
      <c r="C91" s="177">
        <v>0.53</v>
      </c>
      <c r="D91" s="177">
        <v>0.12</v>
      </c>
      <c r="E91" s="177">
        <v>223.57</v>
      </c>
      <c r="F91" s="177">
        <v>19.010000000000002</v>
      </c>
      <c r="G91" s="177">
        <v>204.56</v>
      </c>
      <c r="H91" s="177">
        <v>6.6</v>
      </c>
      <c r="I91" s="177">
        <v>73.430000000000007</v>
      </c>
      <c r="J91" s="177">
        <v>80.67</v>
      </c>
      <c r="K91" s="177">
        <v>43.86</v>
      </c>
      <c r="L91" s="196">
        <v>197.96</v>
      </c>
      <c r="M91" s="158"/>
      <c r="N91" s="182"/>
      <c r="O91" s="158"/>
      <c r="P91" s="158"/>
      <c r="Q91" s="158"/>
      <c r="R91" s="158"/>
      <c r="S91" s="158"/>
      <c r="U91" s="198">
        <v>20627</v>
      </c>
      <c r="V91" s="199">
        <v>1971</v>
      </c>
      <c r="AC91" s="174">
        <v>1971</v>
      </c>
      <c r="AD91" s="177">
        <v>66.459999999999994</v>
      </c>
      <c r="AE91" s="177">
        <v>42.42</v>
      </c>
      <c r="AF91" s="177">
        <v>15.63</v>
      </c>
      <c r="AG91" s="177">
        <v>0.64</v>
      </c>
      <c r="AH91" s="177">
        <v>7.37</v>
      </c>
      <c r="AI91" s="177">
        <v>0.28999999999999998</v>
      </c>
      <c r="AJ91" s="177"/>
      <c r="AK91" s="177"/>
      <c r="AL91" s="177">
        <v>0.11</v>
      </c>
      <c r="AM91" s="177"/>
      <c r="AN91" s="176"/>
    </row>
    <row r="92" spans="1:40" ht="13.15" x14ac:dyDescent="0.4">
      <c r="A92" s="614">
        <v>1972</v>
      </c>
      <c r="B92" s="177">
        <v>229.45</v>
      </c>
      <c r="C92" s="177">
        <v>0.53</v>
      </c>
      <c r="D92" s="177">
        <v>0.48</v>
      </c>
      <c r="E92" s="177">
        <v>230.46</v>
      </c>
      <c r="F92" s="177">
        <v>18.91</v>
      </c>
      <c r="G92" s="177">
        <v>211.55</v>
      </c>
      <c r="H92" s="177">
        <v>6.37</v>
      </c>
      <c r="I92" s="177">
        <v>73.16</v>
      </c>
      <c r="J92" s="177">
        <v>86.89</v>
      </c>
      <c r="K92" s="177">
        <v>45.13</v>
      </c>
      <c r="L92" s="196">
        <v>205.18</v>
      </c>
      <c r="M92" s="158"/>
      <c r="N92" s="182"/>
      <c r="O92" s="158"/>
      <c r="P92" s="158"/>
      <c r="Q92" s="158"/>
      <c r="R92" s="158"/>
      <c r="S92" s="158"/>
      <c r="U92" s="198">
        <v>20885</v>
      </c>
      <c r="V92" s="199">
        <v>1972</v>
      </c>
      <c r="AC92" s="174">
        <v>1972</v>
      </c>
      <c r="AD92" s="177">
        <v>68.37</v>
      </c>
      <c r="AE92" s="177">
        <v>38.47</v>
      </c>
      <c r="AF92" s="177">
        <v>20.13</v>
      </c>
      <c r="AG92" s="177">
        <v>1.61</v>
      </c>
      <c r="AH92" s="177">
        <v>7.87</v>
      </c>
      <c r="AI92" s="177">
        <v>0.28999999999999998</v>
      </c>
      <c r="AJ92" s="177"/>
      <c r="AK92" s="177"/>
      <c r="AL92" s="175" t="s">
        <v>100</v>
      </c>
      <c r="AM92" s="177"/>
      <c r="AN92" s="176"/>
    </row>
    <row r="93" spans="1:40" ht="13.15" x14ac:dyDescent="0.4">
      <c r="A93" s="614">
        <v>1973</v>
      </c>
      <c r="B93" s="177">
        <v>245.42</v>
      </c>
      <c r="C93" s="177">
        <v>0.59</v>
      </c>
      <c r="D93" s="177">
        <v>0.06</v>
      </c>
      <c r="E93" s="177">
        <v>246.07</v>
      </c>
      <c r="F93" s="177">
        <v>19.59</v>
      </c>
      <c r="G93" s="177">
        <v>226.48</v>
      </c>
      <c r="H93" s="177">
        <v>6.67</v>
      </c>
      <c r="I93" s="177">
        <v>80.069999999999993</v>
      </c>
      <c r="J93" s="177">
        <v>91.3</v>
      </c>
      <c r="K93" s="177">
        <v>48.44</v>
      </c>
      <c r="L93" s="196">
        <v>219.81</v>
      </c>
      <c r="M93" s="158"/>
      <c r="N93" s="182"/>
      <c r="O93" s="158"/>
      <c r="P93" s="158"/>
      <c r="Q93" s="158"/>
      <c r="R93" s="158"/>
      <c r="S93" s="158"/>
      <c r="U93" s="198">
        <v>21100</v>
      </c>
      <c r="V93" s="199">
        <v>1973</v>
      </c>
      <c r="AC93" s="174">
        <v>1973</v>
      </c>
      <c r="AD93" s="177">
        <v>70.930000000000007</v>
      </c>
      <c r="AE93" s="177">
        <v>44.3</v>
      </c>
      <c r="AF93" s="177">
        <v>18.09</v>
      </c>
      <c r="AG93" s="177">
        <v>0.64</v>
      </c>
      <c r="AH93" s="177">
        <v>7.46</v>
      </c>
      <c r="AI93" s="177">
        <v>0.33</v>
      </c>
      <c r="AJ93" s="177"/>
      <c r="AK93" s="177"/>
      <c r="AL93" s="177">
        <v>0.11</v>
      </c>
      <c r="AM93" s="177"/>
      <c r="AN93" s="176"/>
    </row>
    <row r="94" spans="1:40" ht="13.15" x14ac:dyDescent="0.4">
      <c r="A94" s="614">
        <v>1974</v>
      </c>
      <c r="B94" s="177">
        <v>237.21</v>
      </c>
      <c r="C94" s="177">
        <v>0.6</v>
      </c>
      <c r="D94" s="177">
        <v>0.05</v>
      </c>
      <c r="E94" s="177">
        <v>237.86</v>
      </c>
      <c r="F94" s="177">
        <v>18.22</v>
      </c>
      <c r="G94" s="177">
        <v>219.64</v>
      </c>
      <c r="H94" s="177">
        <v>6.12</v>
      </c>
      <c r="I94" s="177">
        <v>75.81</v>
      </c>
      <c r="J94" s="177">
        <v>92.63</v>
      </c>
      <c r="K94" s="177">
        <v>45.08</v>
      </c>
      <c r="L94" s="196">
        <v>213.52</v>
      </c>
      <c r="M94" s="158"/>
      <c r="N94" s="182"/>
      <c r="O94" s="158"/>
      <c r="P94" s="158"/>
      <c r="Q94" s="158"/>
      <c r="R94" s="158"/>
      <c r="S94" s="158"/>
      <c r="U94" s="198">
        <v>21286</v>
      </c>
      <c r="V94" s="199">
        <v>1974</v>
      </c>
      <c r="AC94" s="174">
        <v>1974</v>
      </c>
      <c r="AD94" s="177">
        <v>69.010000000000005</v>
      </c>
      <c r="AE94" s="177">
        <v>38.71</v>
      </c>
      <c r="AF94" s="177">
        <v>18.41</v>
      </c>
      <c r="AG94" s="177">
        <v>2.46</v>
      </c>
      <c r="AH94" s="177">
        <v>8.9700000000000006</v>
      </c>
      <c r="AI94" s="177">
        <v>0.35</v>
      </c>
      <c r="AJ94" s="177"/>
      <c r="AK94" s="177"/>
      <c r="AL94" s="177">
        <v>0.11</v>
      </c>
      <c r="AM94" s="177"/>
      <c r="AN94" s="176"/>
    </row>
    <row r="95" spans="1:40" ht="13.15" x14ac:dyDescent="0.4">
      <c r="A95" s="614">
        <v>1975</v>
      </c>
      <c r="B95" s="177">
        <v>237.76</v>
      </c>
      <c r="C95" s="177">
        <v>0.7</v>
      </c>
      <c r="D95" s="177">
        <v>0.08</v>
      </c>
      <c r="E95" s="177">
        <v>238.54</v>
      </c>
      <c r="F95" s="177">
        <v>19.47</v>
      </c>
      <c r="G95" s="177">
        <v>219.07</v>
      </c>
      <c r="H95" s="177">
        <v>6.29</v>
      </c>
      <c r="I95" s="177">
        <v>75.36</v>
      </c>
      <c r="J95" s="177">
        <v>89.21</v>
      </c>
      <c r="K95" s="177">
        <v>48.21</v>
      </c>
      <c r="L95" s="196">
        <v>212.78</v>
      </c>
      <c r="M95" s="158"/>
      <c r="N95" s="182"/>
      <c r="O95" s="158"/>
      <c r="P95" s="158"/>
      <c r="Q95" s="158"/>
      <c r="R95" s="158"/>
      <c r="S95" s="158"/>
      <c r="U95" s="198">
        <v>21520</v>
      </c>
      <c r="V95" s="199">
        <v>1975</v>
      </c>
      <c r="AC95" s="174">
        <v>1975</v>
      </c>
      <c r="AD95" s="177">
        <v>66.25</v>
      </c>
      <c r="AE95" s="177">
        <v>41.85</v>
      </c>
      <c r="AF95" s="177">
        <v>13.7</v>
      </c>
      <c r="AG95" s="177">
        <v>2.14</v>
      </c>
      <c r="AH95" s="177">
        <v>8.1199999999999992</v>
      </c>
      <c r="AI95" s="177">
        <v>0.33</v>
      </c>
      <c r="AJ95" s="177"/>
      <c r="AK95" s="177"/>
      <c r="AL95" s="177">
        <v>0.11</v>
      </c>
      <c r="AM95" s="177"/>
      <c r="AN95" s="176"/>
    </row>
    <row r="96" spans="1:40" ht="13.15" x14ac:dyDescent="0.4">
      <c r="A96" s="614">
        <v>1976</v>
      </c>
      <c r="B96" s="177">
        <v>240.22</v>
      </c>
      <c r="C96" s="177">
        <v>0.61</v>
      </c>
      <c r="D96" s="177">
        <v>-0.1</v>
      </c>
      <c r="E96" s="177">
        <v>240.73</v>
      </c>
      <c r="F96" s="177">
        <v>18.73</v>
      </c>
      <c r="G96" s="177">
        <v>222</v>
      </c>
      <c r="H96" s="177">
        <v>6.39</v>
      </c>
      <c r="I96" s="177">
        <v>80.84</v>
      </c>
      <c r="J96" s="177">
        <v>85.12</v>
      </c>
      <c r="K96" s="177">
        <v>49.65</v>
      </c>
      <c r="L96" s="196">
        <v>215.61</v>
      </c>
      <c r="M96" s="158"/>
      <c r="N96" s="182"/>
      <c r="O96" s="158"/>
      <c r="P96" s="158"/>
      <c r="Q96" s="158"/>
      <c r="R96" s="158"/>
      <c r="S96" s="158"/>
      <c r="U96" s="198">
        <v>21777</v>
      </c>
      <c r="V96" s="199">
        <v>1976</v>
      </c>
      <c r="AC96" s="174">
        <v>1976</v>
      </c>
      <c r="AD96" s="177">
        <v>66.97</v>
      </c>
      <c r="AE96" s="177">
        <v>44.49</v>
      </c>
      <c r="AF96" s="177">
        <v>10.92</v>
      </c>
      <c r="AG96" s="177">
        <v>1.61</v>
      </c>
      <c r="AH96" s="177">
        <v>9.56</v>
      </c>
      <c r="AI96" s="177">
        <v>0.39</v>
      </c>
      <c r="AJ96" s="177"/>
      <c r="AK96" s="177"/>
      <c r="AL96" s="177">
        <v>0</v>
      </c>
      <c r="AM96" s="177"/>
      <c r="AN96" s="176"/>
    </row>
    <row r="97" spans="1:40" ht="13.15" x14ac:dyDescent="0.4">
      <c r="A97" s="614">
        <v>1977</v>
      </c>
      <c r="B97" s="177">
        <v>246.82</v>
      </c>
      <c r="C97" s="177">
        <v>0.74</v>
      </c>
      <c r="D97" s="177">
        <v>0</v>
      </c>
      <c r="E97" s="177">
        <v>247.56</v>
      </c>
      <c r="F97" s="177">
        <v>20.76</v>
      </c>
      <c r="G97" s="177">
        <v>226.8</v>
      </c>
      <c r="H97" s="177">
        <v>6.41</v>
      </c>
      <c r="I97" s="177">
        <v>82.06</v>
      </c>
      <c r="J97" s="177">
        <v>85.9</v>
      </c>
      <c r="K97" s="177">
        <v>52.43</v>
      </c>
      <c r="L97" s="196">
        <v>220.39</v>
      </c>
      <c r="M97" s="158"/>
      <c r="N97" s="182"/>
      <c r="O97" s="158"/>
      <c r="P97" s="158"/>
      <c r="Q97" s="158"/>
      <c r="R97" s="158"/>
      <c r="S97" s="158"/>
      <c r="U97" s="198">
        <v>22029</v>
      </c>
      <c r="V97" s="199">
        <v>1977</v>
      </c>
      <c r="AC97" s="174">
        <v>1977</v>
      </c>
      <c r="AD97" s="177">
        <v>69.319999999999993</v>
      </c>
      <c r="AE97" s="177">
        <v>45.71</v>
      </c>
      <c r="AF97" s="177">
        <v>11.35</v>
      </c>
      <c r="AG97" s="177">
        <v>1.28</v>
      </c>
      <c r="AH97" s="177">
        <v>10.64</v>
      </c>
      <c r="AI97" s="177">
        <v>0.34</v>
      </c>
      <c r="AJ97" s="177"/>
      <c r="AK97" s="177"/>
      <c r="AL97" s="177">
        <v>0</v>
      </c>
      <c r="AM97" s="177"/>
      <c r="AN97" s="176"/>
    </row>
    <row r="98" spans="1:40" ht="13.15" x14ac:dyDescent="0.4">
      <c r="A98" s="614">
        <v>1978</v>
      </c>
      <c r="B98" s="177">
        <v>252.65</v>
      </c>
      <c r="C98" s="177">
        <v>0.66</v>
      </c>
      <c r="D98" s="177">
        <v>-0.08</v>
      </c>
      <c r="E98" s="177">
        <v>253.23</v>
      </c>
      <c r="F98" s="177">
        <v>21.81</v>
      </c>
      <c r="G98" s="177">
        <v>231.42</v>
      </c>
      <c r="H98" s="177">
        <v>6.52</v>
      </c>
      <c r="I98" s="177">
        <v>84</v>
      </c>
      <c r="J98" s="177">
        <v>85.8</v>
      </c>
      <c r="K98" s="177">
        <v>55.1</v>
      </c>
      <c r="L98" s="196">
        <v>224.9</v>
      </c>
      <c r="M98" s="158"/>
      <c r="N98" s="182"/>
      <c r="O98" s="158"/>
      <c r="P98" s="158"/>
      <c r="Q98" s="158"/>
      <c r="R98" s="158"/>
      <c r="S98" s="158"/>
      <c r="U98" s="198">
        <v>22297</v>
      </c>
      <c r="V98" s="199">
        <v>1978</v>
      </c>
      <c r="AC98" s="174">
        <v>1978</v>
      </c>
      <c r="AD98" s="177">
        <v>69.64</v>
      </c>
      <c r="AE98" s="177">
        <v>46.05</v>
      </c>
      <c r="AF98" s="177">
        <v>12.31</v>
      </c>
      <c r="AG98" s="177">
        <v>0.86</v>
      </c>
      <c r="AH98" s="177">
        <v>9.9600000000000009</v>
      </c>
      <c r="AI98" s="177">
        <v>0.35</v>
      </c>
      <c r="AJ98" s="177"/>
      <c r="AK98" s="177"/>
      <c r="AL98" s="177">
        <v>0.11</v>
      </c>
      <c r="AM98" s="177"/>
      <c r="AN98" s="176"/>
    </row>
    <row r="99" spans="1:40" ht="13.15" x14ac:dyDescent="0.4">
      <c r="A99" s="614">
        <v>1979</v>
      </c>
      <c r="B99" s="177">
        <v>264.33999999999997</v>
      </c>
      <c r="C99" s="177">
        <v>0.63</v>
      </c>
      <c r="D99" s="177">
        <v>0</v>
      </c>
      <c r="E99" s="177">
        <v>264.97000000000003</v>
      </c>
      <c r="F99" s="177">
        <v>22.97</v>
      </c>
      <c r="G99" s="177">
        <v>242</v>
      </c>
      <c r="H99" s="177">
        <v>6.78</v>
      </c>
      <c r="I99" s="177">
        <v>87.55</v>
      </c>
      <c r="J99" s="177">
        <v>89.67</v>
      </c>
      <c r="K99" s="177">
        <v>58</v>
      </c>
      <c r="L99" s="196">
        <v>235.22</v>
      </c>
      <c r="M99" s="158"/>
      <c r="N99" s="182"/>
      <c r="O99" s="158"/>
      <c r="P99" s="158"/>
      <c r="Q99" s="158"/>
      <c r="R99" s="158"/>
      <c r="S99" s="158"/>
      <c r="U99" s="198">
        <v>22531</v>
      </c>
      <c r="V99" s="199">
        <v>1979</v>
      </c>
      <c r="AC99" s="174">
        <v>1979</v>
      </c>
      <c r="AD99" s="177">
        <v>72.8</v>
      </c>
      <c r="AE99" s="177">
        <v>50.1</v>
      </c>
      <c r="AF99" s="177">
        <v>11.45</v>
      </c>
      <c r="AG99" s="177">
        <v>0.54</v>
      </c>
      <c r="AH99" s="177">
        <v>10.23</v>
      </c>
      <c r="AI99" s="177">
        <v>0.37</v>
      </c>
      <c r="AJ99" s="177"/>
      <c r="AK99" s="177"/>
      <c r="AL99" s="177">
        <v>0.11</v>
      </c>
      <c r="AM99" s="177"/>
      <c r="AN99" s="176"/>
    </row>
    <row r="100" spans="1:40" ht="13.15" x14ac:dyDescent="0.4">
      <c r="A100" s="614">
        <v>1980</v>
      </c>
      <c r="B100" s="177">
        <v>252.02</v>
      </c>
      <c r="C100" s="177">
        <v>0.61</v>
      </c>
      <c r="D100" s="177">
        <v>0</v>
      </c>
      <c r="E100" s="177">
        <v>252.63</v>
      </c>
      <c r="F100" s="177">
        <v>21.53</v>
      </c>
      <c r="G100" s="177">
        <v>231.11</v>
      </c>
      <c r="H100" s="177">
        <v>6.86</v>
      </c>
      <c r="I100" s="177">
        <v>79.73</v>
      </c>
      <c r="J100" s="177">
        <v>86.11</v>
      </c>
      <c r="K100" s="177">
        <v>58.41</v>
      </c>
      <c r="L100" s="196">
        <v>224.25</v>
      </c>
      <c r="M100" s="158"/>
      <c r="N100" s="182"/>
      <c r="O100" s="158"/>
      <c r="P100" s="158"/>
      <c r="Q100" s="158"/>
      <c r="R100" s="158"/>
      <c r="S100" s="158"/>
      <c r="U100" s="198">
        <v>22603</v>
      </c>
      <c r="V100" s="199">
        <v>1980</v>
      </c>
      <c r="AC100" s="174">
        <v>1980</v>
      </c>
      <c r="AD100" s="177">
        <v>69.459999999999994</v>
      </c>
      <c r="AE100" s="177">
        <v>51.01</v>
      </c>
      <c r="AF100" s="177">
        <v>7.67</v>
      </c>
      <c r="AG100" s="177">
        <v>0.42</v>
      </c>
      <c r="AH100" s="177">
        <v>9.91</v>
      </c>
      <c r="AI100" s="177">
        <v>0.34</v>
      </c>
      <c r="AJ100" s="177"/>
      <c r="AK100" s="177"/>
      <c r="AL100" s="177">
        <v>0.11</v>
      </c>
      <c r="AM100" s="177"/>
      <c r="AN100" s="176"/>
    </row>
    <row r="101" spans="1:40" ht="13.15" x14ac:dyDescent="0.4">
      <c r="A101" s="614">
        <v>1981</v>
      </c>
      <c r="B101" s="177">
        <v>246.6</v>
      </c>
      <c r="C101" s="177">
        <v>0.74</v>
      </c>
      <c r="D101" s="177">
        <v>0</v>
      </c>
      <c r="E101" s="177">
        <v>247.34</v>
      </c>
      <c r="F101" s="177">
        <v>20.13</v>
      </c>
      <c r="G101" s="177">
        <v>227.21</v>
      </c>
      <c r="H101" s="177">
        <v>6.86</v>
      </c>
      <c r="I101" s="177">
        <v>77.03</v>
      </c>
      <c r="J101" s="177">
        <v>84.44</v>
      </c>
      <c r="K101" s="177">
        <v>58.88</v>
      </c>
      <c r="L101" s="196">
        <v>220.35</v>
      </c>
      <c r="M101" s="158"/>
      <c r="N101" s="182"/>
      <c r="O101" s="158"/>
      <c r="P101" s="158"/>
      <c r="Q101" s="158"/>
      <c r="R101" s="158"/>
      <c r="S101" s="158"/>
      <c r="U101" s="198">
        <v>22789</v>
      </c>
      <c r="V101" s="199">
        <v>1981</v>
      </c>
      <c r="AC101" s="174">
        <v>1981</v>
      </c>
      <c r="AD101" s="177">
        <v>65.98</v>
      </c>
      <c r="AE101" s="177">
        <v>49.64</v>
      </c>
      <c r="AF101" s="177">
        <v>5.46</v>
      </c>
      <c r="AG101" s="177">
        <v>0.21</v>
      </c>
      <c r="AH101" s="177">
        <v>10.18</v>
      </c>
      <c r="AI101" s="177">
        <v>0.38</v>
      </c>
      <c r="AJ101" s="177"/>
      <c r="AK101" s="177"/>
      <c r="AL101" s="177">
        <v>0.11</v>
      </c>
      <c r="AM101" s="177"/>
      <c r="AN101" s="176"/>
    </row>
    <row r="102" spans="1:40" ht="13.15" x14ac:dyDescent="0.4">
      <c r="A102" s="614">
        <v>1982</v>
      </c>
      <c r="B102" s="177">
        <v>242.48</v>
      </c>
      <c r="C102" s="177">
        <v>0.82</v>
      </c>
      <c r="D102" s="177">
        <v>0</v>
      </c>
      <c r="E102" s="177">
        <v>243.3</v>
      </c>
      <c r="F102" s="177">
        <v>20.48</v>
      </c>
      <c r="G102" s="177">
        <v>222.82</v>
      </c>
      <c r="H102" s="177">
        <v>6.81</v>
      </c>
      <c r="I102" s="177">
        <v>73.91</v>
      </c>
      <c r="J102" s="177">
        <v>82.79</v>
      </c>
      <c r="K102" s="177">
        <v>59.31</v>
      </c>
      <c r="L102" s="196">
        <v>216.01</v>
      </c>
      <c r="M102" s="158"/>
      <c r="N102" s="182"/>
      <c r="O102" s="158"/>
      <c r="P102" s="158"/>
      <c r="Q102" s="158"/>
      <c r="R102" s="158"/>
      <c r="S102" s="158"/>
      <c r="U102" s="198">
        <v>22951</v>
      </c>
      <c r="V102" s="199">
        <v>1982</v>
      </c>
      <c r="AC102" s="174">
        <v>1982</v>
      </c>
      <c r="AD102" s="177">
        <v>65.98</v>
      </c>
      <c r="AE102" s="177">
        <v>46.75</v>
      </c>
      <c r="AF102" s="177">
        <v>6.64</v>
      </c>
      <c r="AG102" s="177">
        <v>0.21</v>
      </c>
      <c r="AH102" s="177">
        <v>11.88</v>
      </c>
      <c r="AI102" s="177">
        <v>0.39</v>
      </c>
      <c r="AJ102" s="177"/>
      <c r="AK102" s="177"/>
      <c r="AL102" s="177">
        <v>0.11</v>
      </c>
      <c r="AM102" s="177"/>
      <c r="AN102" s="176"/>
    </row>
    <row r="103" spans="1:40" ht="13.15" x14ac:dyDescent="0.4">
      <c r="A103" s="614">
        <v>1983</v>
      </c>
      <c r="B103" s="177">
        <v>246.15</v>
      </c>
      <c r="C103" s="177">
        <v>1.1499999999999999</v>
      </c>
      <c r="D103" s="177">
        <v>0</v>
      </c>
      <c r="E103" s="177">
        <v>247.3</v>
      </c>
      <c r="F103" s="177">
        <v>21.21</v>
      </c>
      <c r="G103" s="177">
        <v>226.09</v>
      </c>
      <c r="H103" s="177">
        <v>6.69</v>
      </c>
      <c r="I103" s="177">
        <v>74.17</v>
      </c>
      <c r="J103" s="177">
        <v>82.95</v>
      </c>
      <c r="K103" s="177">
        <v>62.28</v>
      </c>
      <c r="L103" s="196">
        <v>219.4</v>
      </c>
      <c r="M103" s="158"/>
      <c r="N103" s="182"/>
      <c r="O103" s="158"/>
      <c r="P103" s="158"/>
      <c r="Q103" s="158"/>
      <c r="R103" s="158"/>
      <c r="S103" s="158"/>
      <c r="U103" s="198">
        <v>23180</v>
      </c>
      <c r="V103" s="199">
        <v>1983</v>
      </c>
      <c r="AC103" s="174">
        <v>1983</v>
      </c>
      <c r="AD103" s="177">
        <v>66.37</v>
      </c>
      <c r="AE103" s="177">
        <v>47.16</v>
      </c>
      <c r="AF103" s="177">
        <v>5.14</v>
      </c>
      <c r="AG103" s="177">
        <v>0.21</v>
      </c>
      <c r="AH103" s="177">
        <v>13.47</v>
      </c>
      <c r="AI103" s="177">
        <v>0.39</v>
      </c>
      <c r="AJ103" s="177"/>
      <c r="AK103" s="177"/>
      <c r="AL103" s="177">
        <v>0</v>
      </c>
      <c r="AM103" s="177"/>
      <c r="AN103" s="176"/>
    </row>
    <row r="104" spans="1:40" ht="13.15" x14ac:dyDescent="0.4">
      <c r="A104" s="614">
        <v>1984</v>
      </c>
      <c r="B104" s="177">
        <v>251.47</v>
      </c>
      <c r="C104" s="177">
        <v>0.55000000000000004</v>
      </c>
      <c r="D104" s="177">
        <v>0</v>
      </c>
      <c r="E104" s="177">
        <v>252.02</v>
      </c>
      <c r="F104" s="177">
        <v>21.06</v>
      </c>
      <c r="G104" s="177">
        <v>230.96</v>
      </c>
      <c r="H104" s="177">
        <v>6.64</v>
      </c>
      <c r="I104" s="177">
        <v>78.64</v>
      </c>
      <c r="J104" s="177">
        <v>83.9</v>
      </c>
      <c r="K104" s="177">
        <v>61.78</v>
      </c>
      <c r="L104" s="196">
        <v>224.32</v>
      </c>
      <c r="M104" s="158"/>
      <c r="N104" s="182"/>
      <c r="O104" s="158"/>
      <c r="P104" s="158"/>
      <c r="Q104" s="158"/>
      <c r="R104" s="158"/>
      <c r="S104" s="158"/>
      <c r="U104" s="198">
        <v>23431</v>
      </c>
      <c r="V104" s="199">
        <v>1984</v>
      </c>
      <c r="AC104" s="174">
        <v>1984</v>
      </c>
      <c r="AD104" s="177">
        <v>69.180000000000007</v>
      </c>
      <c r="AE104" s="177">
        <v>31.07</v>
      </c>
      <c r="AF104" s="177">
        <v>22.8</v>
      </c>
      <c r="AG104" s="177">
        <v>0.42</v>
      </c>
      <c r="AH104" s="177">
        <v>14.5</v>
      </c>
      <c r="AI104" s="177">
        <v>0.39</v>
      </c>
      <c r="AJ104" s="177"/>
      <c r="AK104" s="177"/>
      <c r="AL104" s="177">
        <v>0</v>
      </c>
      <c r="AM104" s="177"/>
      <c r="AN104" s="176"/>
    </row>
    <row r="105" spans="1:40" ht="13.15" x14ac:dyDescent="0.4">
      <c r="A105" s="614">
        <v>1985</v>
      </c>
      <c r="B105" s="177">
        <v>263.56</v>
      </c>
      <c r="C105" s="177">
        <v>0.92</v>
      </c>
      <c r="D105" s="177">
        <v>0</v>
      </c>
      <c r="E105" s="177">
        <v>264.48</v>
      </c>
      <c r="F105" s="177">
        <v>22.63</v>
      </c>
      <c r="G105" s="177">
        <v>241.85</v>
      </c>
      <c r="H105" s="177">
        <v>7.76</v>
      </c>
      <c r="I105" s="177">
        <v>79.53</v>
      </c>
      <c r="J105" s="177">
        <v>88.23</v>
      </c>
      <c r="K105" s="177">
        <v>66.33</v>
      </c>
      <c r="L105" s="196">
        <v>234.09</v>
      </c>
      <c r="M105" s="158"/>
      <c r="N105" s="182"/>
      <c r="O105" s="158"/>
      <c r="P105" s="158"/>
      <c r="Q105" s="158"/>
      <c r="R105" s="158"/>
      <c r="S105" s="158"/>
      <c r="U105" s="198">
        <v>23665</v>
      </c>
      <c r="V105" s="199">
        <v>1985</v>
      </c>
      <c r="AC105" s="174">
        <v>1985</v>
      </c>
      <c r="AD105" s="177">
        <v>71.540000000000006</v>
      </c>
      <c r="AE105" s="177">
        <v>42.81</v>
      </c>
      <c r="AF105" s="177">
        <v>11.35</v>
      </c>
      <c r="AG105" s="177">
        <v>0.54</v>
      </c>
      <c r="AH105" s="177">
        <v>16.5</v>
      </c>
      <c r="AI105" s="177">
        <v>0.34</v>
      </c>
      <c r="AJ105" s="177"/>
      <c r="AK105" s="177"/>
      <c r="AL105" s="177">
        <v>0</v>
      </c>
      <c r="AM105" s="177"/>
      <c r="AN105" s="176"/>
    </row>
    <row r="106" spans="1:40" ht="13.5" thickBot="1" x14ac:dyDescent="0.45">
      <c r="A106" s="614" t="s">
        <v>1035</v>
      </c>
      <c r="B106" s="177">
        <v>278.48</v>
      </c>
      <c r="C106" s="177">
        <v>0</v>
      </c>
      <c r="D106" s="177">
        <v>4.26</v>
      </c>
      <c r="E106" s="177">
        <v>282.73</v>
      </c>
      <c r="F106" s="177">
        <v>22.91</v>
      </c>
      <c r="G106" s="177">
        <v>259.82</v>
      </c>
      <c r="H106" s="177">
        <v>9.51</v>
      </c>
      <c r="I106" s="177">
        <v>88.8</v>
      </c>
      <c r="J106" s="177">
        <v>91.83</v>
      </c>
      <c r="K106" s="177">
        <v>69.680000000000007</v>
      </c>
      <c r="L106" s="196">
        <v>250.31</v>
      </c>
      <c r="M106" s="158"/>
      <c r="N106" s="182"/>
      <c r="O106" s="158"/>
      <c r="P106" s="158"/>
      <c r="Q106" s="158"/>
      <c r="U106" s="202">
        <v>23915</v>
      </c>
      <c r="V106" s="199">
        <v>1986</v>
      </c>
      <c r="AC106" s="200" t="s">
        <v>754</v>
      </c>
      <c r="AD106" s="236">
        <v>70.5</v>
      </c>
      <c r="AE106" s="201">
        <v>50.37</v>
      </c>
      <c r="AF106" s="201">
        <v>5.14</v>
      </c>
      <c r="AG106" s="201">
        <v>0.19</v>
      </c>
      <c r="AH106" s="201">
        <v>14.44</v>
      </c>
      <c r="AI106" s="201">
        <v>0.36</v>
      </c>
      <c r="AJ106" s="201"/>
      <c r="AK106" s="201"/>
      <c r="AL106" s="201">
        <v>0</v>
      </c>
      <c r="AM106" s="201"/>
      <c r="AN106" s="237"/>
    </row>
    <row r="107" spans="1:40" ht="13.5" thickTop="1" x14ac:dyDescent="0.4">
      <c r="A107" s="614">
        <v>1987</v>
      </c>
      <c r="B107" s="177">
        <v>279.70999999999998</v>
      </c>
      <c r="C107" s="177">
        <v>0</v>
      </c>
      <c r="D107" s="177">
        <v>11.64</v>
      </c>
      <c r="E107" s="177">
        <v>291.33999999999997</v>
      </c>
      <c r="F107" s="177">
        <v>22.96</v>
      </c>
      <c r="G107" s="177">
        <v>268.38</v>
      </c>
      <c r="H107" s="177">
        <v>9.49</v>
      </c>
      <c r="I107" s="177">
        <v>93.14</v>
      </c>
      <c r="J107" s="177">
        <v>93.25</v>
      </c>
      <c r="K107" s="177">
        <v>72.5</v>
      </c>
      <c r="L107" s="196">
        <v>258.89</v>
      </c>
      <c r="M107" s="158"/>
      <c r="N107" s="182"/>
      <c r="O107" s="158"/>
      <c r="P107" s="158"/>
      <c r="Q107" s="158"/>
      <c r="R107" s="158"/>
      <c r="S107" s="158"/>
      <c r="U107" s="198">
        <v>24481</v>
      </c>
      <c r="V107" s="199">
        <v>1987</v>
      </c>
      <c r="AC107" s="174" t="s">
        <v>754</v>
      </c>
      <c r="AD107" s="177">
        <v>74.31</v>
      </c>
      <c r="AE107" s="177">
        <v>51.58</v>
      </c>
      <c r="AF107" s="177">
        <v>6.3</v>
      </c>
      <c r="AG107" s="177">
        <v>0.91</v>
      </c>
      <c r="AH107" s="177">
        <v>14.44</v>
      </c>
      <c r="AI107" s="177">
        <v>0.36</v>
      </c>
      <c r="AJ107" s="177"/>
      <c r="AK107" s="177">
        <v>0</v>
      </c>
      <c r="AL107" s="177">
        <v>0</v>
      </c>
      <c r="AM107" s="177">
        <v>0.72</v>
      </c>
      <c r="AN107" s="176"/>
    </row>
    <row r="108" spans="1:40" ht="13.15" x14ac:dyDescent="0.4">
      <c r="A108" s="614">
        <v>1988</v>
      </c>
      <c r="B108" s="177">
        <v>285.70999999999998</v>
      </c>
      <c r="C108" s="177">
        <v>0</v>
      </c>
      <c r="D108" s="177">
        <v>12.14</v>
      </c>
      <c r="E108" s="177">
        <v>297.85000000000002</v>
      </c>
      <c r="F108" s="177">
        <v>23.35</v>
      </c>
      <c r="G108" s="177">
        <v>274.5</v>
      </c>
      <c r="H108" s="177">
        <v>9.16</v>
      </c>
      <c r="I108" s="177">
        <v>97.14</v>
      </c>
      <c r="J108" s="177">
        <v>92.36</v>
      </c>
      <c r="K108" s="177">
        <v>75.84</v>
      </c>
      <c r="L108" s="196">
        <v>265.33999999999997</v>
      </c>
      <c r="M108" s="158"/>
      <c r="N108" s="182"/>
      <c r="O108" s="158"/>
      <c r="P108" s="158"/>
      <c r="Q108" s="158"/>
      <c r="R108" s="158"/>
      <c r="S108" s="158"/>
      <c r="U108" s="198">
        <v>24743</v>
      </c>
      <c r="V108" s="199">
        <v>1988</v>
      </c>
      <c r="AC108" s="174">
        <v>1988</v>
      </c>
      <c r="AD108" s="177">
        <v>75.569999999999993</v>
      </c>
      <c r="AE108" s="177">
        <v>49.83</v>
      </c>
      <c r="AF108" s="177">
        <v>7.01</v>
      </c>
      <c r="AG108" s="177">
        <v>0.97</v>
      </c>
      <c r="AH108" s="177">
        <v>16.57</v>
      </c>
      <c r="AI108" s="177">
        <v>0.42</v>
      </c>
      <c r="AJ108" s="177"/>
      <c r="AK108" s="177">
        <v>0</v>
      </c>
      <c r="AL108" s="177">
        <v>0</v>
      </c>
      <c r="AM108" s="177">
        <v>0.77</v>
      </c>
      <c r="AN108" s="176"/>
    </row>
    <row r="109" spans="1:40" ht="13.15" x14ac:dyDescent="0.4">
      <c r="A109" s="614">
        <v>1989</v>
      </c>
      <c r="B109" s="177">
        <v>291.75</v>
      </c>
      <c r="C109" s="177">
        <v>0</v>
      </c>
      <c r="D109" s="177">
        <v>12.63</v>
      </c>
      <c r="E109" s="177">
        <v>304.38</v>
      </c>
      <c r="F109" s="177">
        <v>24.98</v>
      </c>
      <c r="G109" s="177">
        <v>279.39999999999998</v>
      </c>
      <c r="H109" s="177">
        <v>9</v>
      </c>
      <c r="I109" s="177">
        <v>99.42</v>
      </c>
      <c r="J109" s="177">
        <v>92.27</v>
      </c>
      <c r="K109" s="177">
        <v>78.709999999999994</v>
      </c>
      <c r="L109" s="196">
        <v>270.39999999999998</v>
      </c>
      <c r="M109" s="158"/>
      <c r="N109" s="182"/>
      <c r="O109" s="158"/>
      <c r="P109" s="158"/>
      <c r="Q109" s="158"/>
      <c r="R109" s="158"/>
      <c r="S109" s="158"/>
      <c r="U109" s="198">
        <v>24990</v>
      </c>
      <c r="V109" s="199">
        <v>1989</v>
      </c>
      <c r="AC109" s="174">
        <v>1989</v>
      </c>
      <c r="AD109" s="177">
        <v>75.27</v>
      </c>
      <c r="AE109" s="177">
        <v>48.59</v>
      </c>
      <c r="AF109" s="177">
        <v>7.11</v>
      </c>
      <c r="AG109" s="177">
        <v>0.54</v>
      </c>
      <c r="AH109" s="177">
        <v>17.739999999999998</v>
      </c>
      <c r="AI109" s="177">
        <v>0.41</v>
      </c>
      <c r="AJ109" s="177"/>
      <c r="AK109" s="177">
        <v>0</v>
      </c>
      <c r="AL109" s="177">
        <v>0</v>
      </c>
      <c r="AM109" s="177">
        <v>0.88</v>
      </c>
      <c r="AN109" s="176"/>
    </row>
    <row r="110" spans="1:40" ht="13.15" x14ac:dyDescent="0.4">
      <c r="A110" s="614">
        <v>1990</v>
      </c>
      <c r="B110" s="177">
        <v>297.5</v>
      </c>
      <c r="C110" s="177">
        <v>0</v>
      </c>
      <c r="D110" s="177">
        <v>11.91</v>
      </c>
      <c r="E110" s="177">
        <v>309.41000000000003</v>
      </c>
      <c r="F110" s="177">
        <v>24.99</v>
      </c>
      <c r="G110" s="177">
        <v>284.42</v>
      </c>
      <c r="H110" s="177">
        <v>9.99</v>
      </c>
      <c r="I110" s="177">
        <v>100.64</v>
      </c>
      <c r="J110" s="177">
        <v>93.79</v>
      </c>
      <c r="K110" s="177">
        <v>80</v>
      </c>
      <c r="L110" s="196">
        <v>274.43</v>
      </c>
      <c r="M110" s="158"/>
      <c r="N110" s="182"/>
      <c r="O110" s="158"/>
      <c r="P110" s="158"/>
      <c r="Q110" s="158"/>
      <c r="R110" s="158"/>
      <c r="S110" s="158"/>
      <c r="U110" s="198">
        <v>25268</v>
      </c>
      <c r="V110" s="199">
        <v>1990</v>
      </c>
      <c r="AC110" s="174">
        <v>1990</v>
      </c>
      <c r="AD110" s="177">
        <v>76.34</v>
      </c>
      <c r="AE110" s="177">
        <v>49.84</v>
      </c>
      <c r="AF110" s="177">
        <v>8.4</v>
      </c>
      <c r="AG110" s="177">
        <v>0.56000000000000005</v>
      </c>
      <c r="AH110" s="177">
        <v>16.260000000000002</v>
      </c>
      <c r="AI110" s="177">
        <v>0.44</v>
      </c>
      <c r="AJ110" s="177"/>
      <c r="AK110" s="177">
        <v>0</v>
      </c>
      <c r="AL110" s="177">
        <v>0</v>
      </c>
      <c r="AM110" s="177">
        <v>0.84</v>
      </c>
      <c r="AN110" s="176"/>
    </row>
    <row r="111" spans="1:40" ht="13.15" x14ac:dyDescent="0.4">
      <c r="A111" s="614">
        <v>1991</v>
      </c>
      <c r="B111" s="177">
        <v>300.64999999999998</v>
      </c>
      <c r="C111" s="177">
        <v>0</v>
      </c>
      <c r="D111" s="177">
        <v>16.41</v>
      </c>
      <c r="E111" s="177">
        <v>317.06</v>
      </c>
      <c r="F111" s="177">
        <v>26.22</v>
      </c>
      <c r="G111" s="177">
        <v>290.83999999999997</v>
      </c>
      <c r="H111" s="177">
        <v>9.7899999999999991</v>
      </c>
      <c r="I111" s="177">
        <v>99.57</v>
      </c>
      <c r="J111" s="177">
        <v>98.1</v>
      </c>
      <c r="K111" s="177">
        <v>83.38</v>
      </c>
      <c r="L111" s="196">
        <v>281.05</v>
      </c>
      <c r="M111" s="158"/>
      <c r="N111" s="182"/>
      <c r="O111" s="158"/>
      <c r="P111" s="158"/>
      <c r="Q111" s="158"/>
      <c r="R111" s="158"/>
      <c r="S111" s="158"/>
      <c r="U111" s="198">
        <v>25503</v>
      </c>
      <c r="V111" s="199">
        <v>1991</v>
      </c>
      <c r="AC111" s="174">
        <v>1991</v>
      </c>
      <c r="AD111" s="177">
        <v>76.87</v>
      </c>
      <c r="AE111" s="177">
        <v>49.98</v>
      </c>
      <c r="AF111" s="177">
        <v>7.56</v>
      </c>
      <c r="AG111" s="177">
        <v>0.56999999999999995</v>
      </c>
      <c r="AH111" s="177">
        <v>17.43</v>
      </c>
      <c r="AI111" s="177">
        <v>0.39</v>
      </c>
      <c r="AJ111" s="177"/>
      <c r="AK111" s="177">
        <v>0</v>
      </c>
      <c r="AL111" s="177">
        <v>0</v>
      </c>
      <c r="AM111" s="177">
        <v>0.94</v>
      </c>
      <c r="AN111" s="176"/>
    </row>
    <row r="112" spans="1:40" ht="13.15" x14ac:dyDescent="0.4">
      <c r="A112" s="614">
        <v>1992</v>
      </c>
      <c r="B112" s="177">
        <v>298.55</v>
      </c>
      <c r="C112" s="177">
        <v>0</v>
      </c>
      <c r="D112" s="177">
        <v>16.690000000000001</v>
      </c>
      <c r="E112" s="177">
        <v>315.24</v>
      </c>
      <c r="F112" s="177">
        <v>23.79</v>
      </c>
      <c r="G112" s="177">
        <v>291.45</v>
      </c>
      <c r="H112" s="177">
        <v>9.98</v>
      </c>
      <c r="I112" s="177">
        <v>95.28</v>
      </c>
      <c r="J112" s="177">
        <v>99.48</v>
      </c>
      <c r="K112" s="177">
        <v>86.71</v>
      </c>
      <c r="L112" s="196">
        <v>281.47000000000003</v>
      </c>
      <c r="M112" s="158"/>
      <c r="N112" s="182"/>
      <c r="O112" s="158"/>
      <c r="P112" s="158"/>
      <c r="Q112" s="158"/>
      <c r="R112" s="158"/>
      <c r="S112" s="158"/>
      <c r="U112" s="198">
        <v>25648</v>
      </c>
      <c r="V112" s="199">
        <v>1992</v>
      </c>
      <c r="AC112" s="174">
        <v>1992</v>
      </c>
      <c r="AD112" s="177">
        <v>76.569999999999993</v>
      </c>
      <c r="AE112" s="177">
        <v>46.94</v>
      </c>
      <c r="AF112" s="177">
        <v>8.07</v>
      </c>
      <c r="AG112" s="177">
        <v>1.54</v>
      </c>
      <c r="AH112" s="177">
        <v>18.45</v>
      </c>
      <c r="AI112" s="177">
        <v>0.46</v>
      </c>
      <c r="AJ112" s="177"/>
      <c r="AK112" s="177">
        <v>0</v>
      </c>
      <c r="AL112" s="177">
        <v>0</v>
      </c>
      <c r="AM112" s="177">
        <v>1.0900000000000001</v>
      </c>
      <c r="AN112" s="176"/>
    </row>
    <row r="113" spans="1:40" ht="13.15" x14ac:dyDescent="0.4">
      <c r="A113" s="614">
        <v>1993</v>
      </c>
      <c r="B113" s="177">
        <v>301.87</v>
      </c>
      <c r="C113" s="177">
        <v>0</v>
      </c>
      <c r="D113" s="177">
        <v>16.72</v>
      </c>
      <c r="E113" s="177">
        <v>318.58999999999997</v>
      </c>
      <c r="F113" s="177">
        <v>22.84</v>
      </c>
      <c r="G113" s="177">
        <v>295.75</v>
      </c>
      <c r="H113" s="177">
        <v>9.6199999999999992</v>
      </c>
      <c r="I113" s="177">
        <v>96.84</v>
      </c>
      <c r="J113" s="177">
        <v>100.46</v>
      </c>
      <c r="K113" s="177">
        <v>88.83</v>
      </c>
      <c r="L113" s="196">
        <v>286.13</v>
      </c>
      <c r="M113" s="158"/>
      <c r="N113" s="182"/>
      <c r="O113" s="158"/>
      <c r="P113" s="158"/>
      <c r="Q113" s="158"/>
      <c r="R113" s="158"/>
      <c r="S113" s="158"/>
      <c r="U113" s="198">
        <v>25847</v>
      </c>
      <c r="V113" s="199">
        <v>1993</v>
      </c>
      <c r="AC113" s="174">
        <v>1993</v>
      </c>
      <c r="AD113" s="177">
        <v>75.400000000000006</v>
      </c>
      <c r="AE113" s="177">
        <v>39.61</v>
      </c>
      <c r="AF113" s="177">
        <v>5.78</v>
      </c>
      <c r="AG113" s="177">
        <v>7.04</v>
      </c>
      <c r="AH113" s="177">
        <v>21.58</v>
      </c>
      <c r="AI113" s="177">
        <v>0.37</v>
      </c>
      <c r="AJ113" s="177"/>
      <c r="AK113" s="177">
        <v>0</v>
      </c>
      <c r="AL113" s="177">
        <v>0</v>
      </c>
      <c r="AM113" s="177">
        <v>1.02</v>
      </c>
      <c r="AN113" s="176"/>
    </row>
    <row r="114" spans="1:40" ht="13.15" x14ac:dyDescent="0.4">
      <c r="A114" s="614">
        <v>1994</v>
      </c>
      <c r="B114" s="177">
        <v>306.94</v>
      </c>
      <c r="C114" s="177">
        <v>0</v>
      </c>
      <c r="D114" s="177">
        <v>16.89</v>
      </c>
      <c r="E114" s="177">
        <v>323.83</v>
      </c>
      <c r="F114" s="177">
        <v>31</v>
      </c>
      <c r="G114" s="177">
        <v>292.83</v>
      </c>
      <c r="H114" s="177">
        <v>7.52</v>
      </c>
      <c r="I114" s="177">
        <v>96.12</v>
      </c>
      <c r="J114" s="177">
        <v>101.41</v>
      </c>
      <c r="K114" s="177">
        <v>87.78</v>
      </c>
      <c r="L114" s="196">
        <v>285.31</v>
      </c>
      <c r="M114" s="158"/>
      <c r="N114" s="182"/>
      <c r="O114" s="158"/>
      <c r="P114" s="158"/>
      <c r="Q114" s="158"/>
      <c r="R114" s="158"/>
      <c r="S114" s="158"/>
      <c r="U114" s="198">
        <v>26048</v>
      </c>
      <c r="V114" s="199">
        <v>1994</v>
      </c>
      <c r="AC114" s="174">
        <v>1994</v>
      </c>
      <c r="AD114" s="177">
        <v>74.010000000000005</v>
      </c>
      <c r="AE114" s="177">
        <v>37.1</v>
      </c>
      <c r="AF114" s="177">
        <v>4.1100000000000003</v>
      </c>
      <c r="AG114" s="177">
        <v>10.1</v>
      </c>
      <c r="AH114" s="177">
        <v>21.2</v>
      </c>
      <c r="AI114" s="177">
        <v>0.44</v>
      </c>
      <c r="AJ114" s="177"/>
      <c r="AK114" s="177">
        <v>0</v>
      </c>
      <c r="AL114" s="177">
        <v>0</v>
      </c>
      <c r="AM114" s="177">
        <v>1.06</v>
      </c>
      <c r="AN114" s="176"/>
    </row>
    <row r="115" spans="1:40" ht="13.15" x14ac:dyDescent="0.4">
      <c r="A115" s="614">
        <v>1995</v>
      </c>
      <c r="B115" s="177">
        <v>317.63</v>
      </c>
      <c r="C115" s="177">
        <v>0</v>
      </c>
      <c r="D115" s="177">
        <v>16.61</v>
      </c>
      <c r="E115" s="177">
        <v>334.24</v>
      </c>
      <c r="F115" s="177">
        <v>30.32</v>
      </c>
      <c r="G115" s="177">
        <v>303.92</v>
      </c>
      <c r="H115" s="177">
        <v>8.07</v>
      </c>
      <c r="I115" s="177">
        <v>101.78</v>
      </c>
      <c r="J115" s="177">
        <v>102.21</v>
      </c>
      <c r="K115" s="177">
        <v>91.86</v>
      </c>
      <c r="L115" s="196">
        <v>295.85000000000002</v>
      </c>
      <c r="M115" s="158"/>
      <c r="N115" s="182"/>
      <c r="O115" s="158"/>
      <c r="P115" s="158"/>
      <c r="Q115" s="158"/>
      <c r="R115" s="158"/>
      <c r="S115" s="158"/>
      <c r="U115" s="198">
        <v>26220</v>
      </c>
      <c r="V115" s="199">
        <v>1995</v>
      </c>
      <c r="AC115" s="174">
        <v>1995</v>
      </c>
      <c r="AD115" s="177">
        <v>77.150000000000006</v>
      </c>
      <c r="AE115" s="177">
        <v>36.29</v>
      </c>
      <c r="AF115" s="177">
        <v>4.1500000000000004</v>
      </c>
      <c r="AG115" s="177">
        <v>13.27</v>
      </c>
      <c r="AH115" s="177">
        <v>21.25</v>
      </c>
      <c r="AI115" s="177">
        <v>0.4</v>
      </c>
      <c r="AJ115" s="177"/>
      <c r="AK115" s="177">
        <v>0</v>
      </c>
      <c r="AL115" s="177">
        <v>0</v>
      </c>
      <c r="AM115" s="177">
        <v>1.79</v>
      </c>
      <c r="AN115" s="176"/>
    </row>
    <row r="116" spans="1:40" ht="13.15" x14ac:dyDescent="0.4">
      <c r="A116" s="614">
        <v>1996</v>
      </c>
      <c r="B116" s="177">
        <v>332.35899999999998</v>
      </c>
      <c r="C116" s="177">
        <v>0</v>
      </c>
      <c r="D116" s="177">
        <v>16.754999999999999</v>
      </c>
      <c r="E116" s="177">
        <v>349.11399999999998</v>
      </c>
      <c r="F116" s="177">
        <v>29.335820378171377</v>
      </c>
      <c r="G116" s="177">
        <v>319.7781796218286</v>
      </c>
      <c r="H116" s="177">
        <v>9.2110000000000003</v>
      </c>
      <c r="I116" s="177">
        <v>107.63117962182857</v>
      </c>
      <c r="J116" s="177">
        <v>107.51300000000001</v>
      </c>
      <c r="K116" s="177">
        <v>95.423000000000002</v>
      </c>
      <c r="L116" s="196">
        <v>310.56717962182859</v>
      </c>
      <c r="M116" s="158"/>
      <c r="N116" s="182"/>
      <c r="O116" s="158"/>
      <c r="P116" s="158"/>
      <c r="Q116" s="158"/>
      <c r="R116" s="158"/>
      <c r="S116" s="158"/>
      <c r="U116" s="198">
        <v>26569</v>
      </c>
      <c r="V116" s="199">
        <v>1996</v>
      </c>
      <c r="AC116" s="174">
        <v>1996</v>
      </c>
      <c r="AD116" s="177">
        <v>79.554000000000016</v>
      </c>
      <c r="AE116" s="177">
        <v>33.664999999999999</v>
      </c>
      <c r="AF116" s="177">
        <v>3.871</v>
      </c>
      <c r="AG116" s="177">
        <v>17.363</v>
      </c>
      <c r="AH116" s="177">
        <v>22.18</v>
      </c>
      <c r="AI116" s="177">
        <v>0.29199999999999998</v>
      </c>
      <c r="AJ116" s="177"/>
      <c r="AK116" s="177">
        <v>4.2000000000000003E-2</v>
      </c>
      <c r="AL116" s="177" t="s">
        <v>100</v>
      </c>
      <c r="AM116" s="177">
        <v>2.141</v>
      </c>
      <c r="AN116" s="176"/>
    </row>
    <row r="117" spans="1:40" ht="13.15" x14ac:dyDescent="0.4">
      <c r="A117" s="614">
        <v>1997</v>
      </c>
      <c r="B117" s="177">
        <v>331.62900000000002</v>
      </c>
      <c r="C117" s="177">
        <v>0</v>
      </c>
      <c r="D117" s="177">
        <v>16.574000000000002</v>
      </c>
      <c r="E117" s="177">
        <v>348.20299999999997</v>
      </c>
      <c r="F117" s="177">
        <v>27.13799999999992</v>
      </c>
      <c r="G117" s="177">
        <v>321.065</v>
      </c>
      <c r="H117" s="177">
        <v>8.6240000000000006</v>
      </c>
      <c r="I117" s="177">
        <v>108.102</v>
      </c>
      <c r="J117" s="177">
        <v>104.455</v>
      </c>
      <c r="K117" s="177">
        <v>99.884</v>
      </c>
      <c r="L117" s="196">
        <v>312.44100000000003</v>
      </c>
      <c r="M117" s="158"/>
      <c r="N117" s="182"/>
      <c r="O117" s="158"/>
      <c r="P117" s="158"/>
      <c r="Q117" s="158"/>
      <c r="R117" s="158"/>
      <c r="S117" s="158"/>
      <c r="U117" s="198">
        <v>26960</v>
      </c>
      <c r="V117" s="199">
        <v>1997</v>
      </c>
      <c r="AC117" s="174">
        <v>1997</v>
      </c>
      <c r="AD117" s="177">
        <v>76.428000000000011</v>
      </c>
      <c r="AE117" s="177">
        <v>28.295000000000002</v>
      </c>
      <c r="AF117" s="177">
        <v>1.851</v>
      </c>
      <c r="AG117" s="177">
        <v>21.571999999999999</v>
      </c>
      <c r="AH117" s="177">
        <v>21.983000000000001</v>
      </c>
      <c r="AI117" s="177">
        <v>0.377</v>
      </c>
      <c r="AJ117" s="177"/>
      <c r="AK117" s="177">
        <v>5.7000000000000002E-2</v>
      </c>
      <c r="AL117" s="177" t="s">
        <v>100</v>
      </c>
      <c r="AM117" s="177">
        <v>2.2930000000000001</v>
      </c>
      <c r="AN117" s="177"/>
    </row>
    <row r="118" spans="1:40" ht="13.15" x14ac:dyDescent="0.4">
      <c r="A118" s="615">
        <v>1998</v>
      </c>
      <c r="B118" s="203">
        <v>342.7</v>
      </c>
      <c r="C118" s="177">
        <v>0</v>
      </c>
      <c r="D118" s="177">
        <v>12.468</v>
      </c>
      <c r="E118" s="177">
        <v>355.16800000000001</v>
      </c>
      <c r="F118" s="177">
        <v>29.817999999999984</v>
      </c>
      <c r="G118" s="177">
        <v>325.35000000000002</v>
      </c>
      <c r="H118" s="177">
        <v>8.4060000000000006</v>
      </c>
      <c r="I118" s="177">
        <v>108.44300000000001</v>
      </c>
      <c r="J118" s="177">
        <v>109.41</v>
      </c>
      <c r="K118" s="177">
        <v>99.090999999999994</v>
      </c>
      <c r="L118" s="196">
        <v>316.94400000000002</v>
      </c>
      <c r="M118" s="158"/>
      <c r="N118" s="182"/>
      <c r="O118" s="158"/>
      <c r="P118" s="158"/>
      <c r="Q118" s="158"/>
      <c r="R118" s="158"/>
      <c r="S118" s="158"/>
      <c r="U118" s="198">
        <v>26611</v>
      </c>
      <c r="V118" s="199">
        <v>1998</v>
      </c>
      <c r="AC118" s="174">
        <v>1998</v>
      </c>
      <c r="AD118" s="177">
        <v>81.135000000000005</v>
      </c>
      <c r="AE118" s="177">
        <v>29.939</v>
      </c>
      <c r="AF118" s="177">
        <v>1.6950000000000001</v>
      </c>
      <c r="AG118" s="177">
        <v>23.021000000000001</v>
      </c>
      <c r="AH118" s="177">
        <v>23.443000000000001</v>
      </c>
      <c r="AI118" s="177">
        <v>0.44</v>
      </c>
      <c r="AJ118" s="177"/>
      <c r="AK118" s="177">
        <v>7.4999999999999997E-2</v>
      </c>
      <c r="AL118" s="177" t="s">
        <v>100</v>
      </c>
      <c r="AM118" s="177">
        <v>2.5219999999999998</v>
      </c>
      <c r="AN118" s="177"/>
    </row>
    <row r="119" spans="1:40" ht="13.15" x14ac:dyDescent="0.4">
      <c r="A119" s="615">
        <v>1999</v>
      </c>
      <c r="B119" s="203">
        <v>347.67099999999999</v>
      </c>
      <c r="C119" s="177">
        <v>0</v>
      </c>
      <c r="D119" s="177">
        <v>14.244</v>
      </c>
      <c r="E119" s="177">
        <v>361.91500000000002</v>
      </c>
      <c r="F119" s="177">
        <v>29.862092500000017</v>
      </c>
      <c r="G119" s="177">
        <v>332.0529075</v>
      </c>
      <c r="H119" s="177">
        <v>8.036999999999999</v>
      </c>
      <c r="I119" s="177">
        <v>112.25</v>
      </c>
      <c r="J119" s="177">
        <v>110.30800000000001</v>
      </c>
      <c r="K119" s="177">
        <v>101.4579075</v>
      </c>
      <c r="L119" s="196">
        <v>324.01590750000003</v>
      </c>
      <c r="M119" s="158"/>
      <c r="N119" s="182"/>
      <c r="O119" s="158"/>
      <c r="P119" s="158"/>
      <c r="Q119" s="158"/>
      <c r="R119" s="158"/>
      <c r="S119" s="158"/>
      <c r="U119" s="198">
        <v>27125</v>
      </c>
      <c r="V119" s="199">
        <v>1999</v>
      </c>
      <c r="AC119" s="174">
        <v>1999</v>
      </c>
      <c r="AD119" s="177">
        <v>79.724000000000004</v>
      </c>
      <c r="AE119" s="177">
        <v>25.512</v>
      </c>
      <c r="AF119" s="177">
        <v>1.5409999999999999</v>
      </c>
      <c r="AG119" s="177">
        <v>27.132999999999999</v>
      </c>
      <c r="AH119" s="177">
        <v>22.216000000000001</v>
      </c>
      <c r="AI119" s="177">
        <v>0.45900000000000002</v>
      </c>
      <c r="AJ119" s="177"/>
      <c r="AK119" s="177">
        <v>7.2999999999999995E-2</v>
      </c>
      <c r="AL119" s="177" t="s">
        <v>100</v>
      </c>
      <c r="AM119" s="216">
        <v>2.79</v>
      </c>
      <c r="AN119" s="177"/>
    </row>
    <row r="120" spans="1:40" ht="13.15" x14ac:dyDescent="0.4">
      <c r="A120" s="615">
        <v>2000</v>
      </c>
      <c r="B120" s="203">
        <v>357.26600000000002</v>
      </c>
      <c r="C120" s="177">
        <v>0</v>
      </c>
      <c r="D120" s="177">
        <v>14.173999999999999</v>
      </c>
      <c r="E120" s="177">
        <v>371.44</v>
      </c>
      <c r="F120" s="177">
        <v>31.144000000000062</v>
      </c>
      <c r="G120" s="177">
        <v>340.29599999999994</v>
      </c>
      <c r="H120" s="177">
        <v>9.7030000000000012</v>
      </c>
      <c r="I120" s="177">
        <v>115.286</v>
      </c>
      <c r="J120" s="177">
        <v>111.842</v>
      </c>
      <c r="K120" s="177">
        <v>103.465</v>
      </c>
      <c r="L120" s="196">
        <v>330.59299999999996</v>
      </c>
      <c r="M120" s="158"/>
      <c r="N120" s="182"/>
      <c r="O120" s="158"/>
      <c r="P120" s="158"/>
      <c r="Q120" s="158"/>
      <c r="R120" s="158"/>
      <c r="S120" s="158"/>
      <c r="U120" s="198">
        <v>27125</v>
      </c>
      <c r="V120" s="199">
        <v>2000</v>
      </c>
      <c r="AC120" s="174">
        <v>2000</v>
      </c>
      <c r="AD120" s="177">
        <v>81.206000000000003</v>
      </c>
      <c r="AE120" s="177">
        <v>28.67</v>
      </c>
      <c r="AF120" s="177">
        <v>1.55</v>
      </c>
      <c r="AG120" s="177">
        <v>27.907</v>
      </c>
      <c r="AH120" s="177">
        <v>19.635000000000002</v>
      </c>
      <c r="AI120" s="177">
        <v>0.437</v>
      </c>
      <c r="AJ120" s="177"/>
      <c r="AK120" s="177">
        <v>8.1000000000000003E-2</v>
      </c>
      <c r="AL120" s="177" t="s">
        <v>100</v>
      </c>
      <c r="AM120" s="177">
        <v>2.9260000000000002</v>
      </c>
      <c r="AN120" s="177"/>
    </row>
    <row r="121" spans="1:40" ht="13.15" x14ac:dyDescent="0.4">
      <c r="A121" s="615">
        <v>2001</v>
      </c>
      <c r="B121" s="203">
        <v>364.17399999999998</v>
      </c>
      <c r="C121" s="177">
        <v>0</v>
      </c>
      <c r="D121" s="177">
        <v>10.398999999999999</v>
      </c>
      <c r="E121" s="177">
        <v>374.57299999999998</v>
      </c>
      <c r="F121" s="177">
        <v>32.06899999999996</v>
      </c>
      <c r="G121" s="177">
        <v>342.50400000000002</v>
      </c>
      <c r="H121" s="177">
        <v>8.625</v>
      </c>
      <c r="I121" s="177">
        <v>112.495</v>
      </c>
      <c r="J121" s="177">
        <v>115.337</v>
      </c>
      <c r="K121" s="177">
        <v>106.047</v>
      </c>
      <c r="L121" s="196">
        <v>333.87900000000002</v>
      </c>
      <c r="M121" s="158"/>
      <c r="N121" s="182"/>
      <c r="O121" s="158"/>
      <c r="P121" s="158"/>
      <c r="Q121" s="158"/>
      <c r="R121" s="158"/>
      <c r="S121" s="158"/>
      <c r="U121" s="198">
        <v>29068</v>
      </c>
      <c r="V121" s="199">
        <v>2001</v>
      </c>
      <c r="AC121" s="174">
        <v>2001</v>
      </c>
      <c r="AD121" s="177">
        <v>84.01</v>
      </c>
      <c r="AE121" s="177">
        <v>31.605</v>
      </c>
      <c r="AF121" s="177">
        <v>1.423</v>
      </c>
      <c r="AG121" s="177">
        <v>26.872</v>
      </c>
      <c r="AH121" s="177">
        <v>20.768000000000001</v>
      </c>
      <c r="AI121" s="177">
        <v>0.34899999999999998</v>
      </c>
      <c r="AJ121" s="177"/>
      <c r="AK121" s="177">
        <v>8.3000000000000004E-2</v>
      </c>
      <c r="AL121" s="177" t="s">
        <v>100</v>
      </c>
      <c r="AM121" s="177">
        <v>2.91</v>
      </c>
      <c r="AN121" s="177"/>
    </row>
    <row r="122" spans="1:40" ht="13.15" x14ac:dyDescent="0.4">
      <c r="A122" s="615">
        <v>2002</v>
      </c>
      <c r="B122" s="203">
        <v>366.65799999999996</v>
      </c>
      <c r="C122" s="177">
        <v>0</v>
      </c>
      <c r="D122" s="177">
        <v>8.4139999999999997</v>
      </c>
      <c r="E122" s="177">
        <v>375.072</v>
      </c>
      <c r="F122" s="177">
        <v>30.963000000000022</v>
      </c>
      <c r="G122" s="177">
        <v>344.10899999999998</v>
      </c>
      <c r="H122" s="177">
        <v>10.059641982066207</v>
      </c>
      <c r="I122" s="177">
        <v>110.81635801793379</v>
      </c>
      <c r="J122" s="177">
        <v>120.014</v>
      </c>
      <c r="K122" s="177">
        <v>103.21899999999999</v>
      </c>
      <c r="L122" s="196">
        <v>334.0493580179338</v>
      </c>
      <c r="M122" s="158"/>
      <c r="N122" s="182"/>
      <c r="O122" s="158"/>
      <c r="P122" s="158"/>
      <c r="Q122" s="158"/>
      <c r="R122" s="158"/>
      <c r="S122" s="158"/>
      <c r="U122" s="198">
        <v>29068</v>
      </c>
      <c r="V122" s="204">
        <v>2002</v>
      </c>
      <c r="AC122" s="174">
        <v>2002</v>
      </c>
      <c r="AD122" s="177">
        <v>82.995000000000019</v>
      </c>
      <c r="AE122" s="177">
        <v>29.626000000000001</v>
      </c>
      <c r="AF122" s="177">
        <v>1.288</v>
      </c>
      <c r="AG122" s="177">
        <v>28.327000000000002</v>
      </c>
      <c r="AH122" s="177">
        <v>20.100000000000001</v>
      </c>
      <c r="AI122" s="177">
        <v>0.41199999999999998</v>
      </c>
      <c r="AJ122" s="177"/>
      <c r="AK122" s="177">
        <v>0.108</v>
      </c>
      <c r="AL122" s="177" t="s">
        <v>100</v>
      </c>
      <c r="AM122" s="177">
        <v>3.1339999999999999</v>
      </c>
      <c r="AN122" s="177"/>
    </row>
    <row r="123" spans="1:40" ht="13.15" x14ac:dyDescent="0.4">
      <c r="A123" s="614">
        <v>2003</v>
      </c>
      <c r="B123" s="203">
        <v>376.52699999999999</v>
      </c>
      <c r="C123" s="177">
        <v>0</v>
      </c>
      <c r="D123" s="177">
        <v>2.16</v>
      </c>
      <c r="E123" s="177">
        <v>378.68700000000001</v>
      </c>
      <c r="F123" s="177">
        <v>32.069999999999993</v>
      </c>
      <c r="G123" s="177">
        <v>346.61700000000002</v>
      </c>
      <c r="H123" s="177">
        <v>9.7515770927932515</v>
      </c>
      <c r="I123" s="177">
        <v>109.92642290720676</v>
      </c>
      <c r="J123" s="177">
        <v>123.001</v>
      </c>
      <c r="K123" s="177">
        <v>103.938</v>
      </c>
      <c r="L123" s="196">
        <v>336.86542290720678</v>
      </c>
      <c r="M123" s="158"/>
      <c r="N123" s="182"/>
      <c r="O123" s="158"/>
      <c r="P123" s="158"/>
      <c r="Q123" s="158"/>
      <c r="R123" s="158"/>
      <c r="S123" s="158"/>
      <c r="U123" s="198">
        <f>25814+2433</f>
        <v>28247</v>
      </c>
      <c r="V123" s="199">
        <v>2003</v>
      </c>
      <c r="AC123" s="174">
        <v>2003</v>
      </c>
      <c r="AD123" s="203">
        <v>85.947000000000003</v>
      </c>
      <c r="AE123" s="177">
        <v>32.542000000000002</v>
      </c>
      <c r="AF123" s="177">
        <v>1.1919999999999999</v>
      </c>
      <c r="AG123" s="177">
        <v>27.853000000000002</v>
      </c>
      <c r="AH123" s="177">
        <v>20.041</v>
      </c>
      <c r="AI123" s="177">
        <v>0.27800000000000002</v>
      </c>
      <c r="AJ123" s="177"/>
      <c r="AK123" s="177">
        <v>0.111</v>
      </c>
      <c r="AL123" s="177" t="s">
        <v>100</v>
      </c>
      <c r="AM123" s="177">
        <v>3.9299999999999997</v>
      </c>
      <c r="AN123" s="177"/>
    </row>
    <row r="124" spans="1:40" ht="13.15" x14ac:dyDescent="0.4">
      <c r="A124" s="616">
        <v>2004</v>
      </c>
      <c r="B124" s="177">
        <v>373.399</v>
      </c>
      <c r="C124" s="177">
        <v>0</v>
      </c>
      <c r="D124" s="177">
        <v>7.49</v>
      </c>
      <c r="E124" s="177">
        <v>380.88900000000001</v>
      </c>
      <c r="F124" s="177">
        <v>33.175000000000011</v>
      </c>
      <c r="G124" s="177">
        <v>347.714</v>
      </c>
      <c r="H124" s="177">
        <v>8.1423641905928417</v>
      </c>
      <c r="I124" s="177">
        <v>112.09163580940715</v>
      </c>
      <c r="J124" s="177">
        <v>124.2</v>
      </c>
      <c r="K124" s="177">
        <v>103.28</v>
      </c>
      <c r="L124" s="196">
        <v>339.57163580940716</v>
      </c>
      <c r="M124" s="158"/>
      <c r="N124" s="182"/>
      <c r="O124" s="158"/>
      <c r="P124" s="158"/>
      <c r="Q124" s="158"/>
      <c r="R124" s="158"/>
      <c r="S124" s="158"/>
      <c r="U124" s="183">
        <f>25902+2477</f>
        <v>28379</v>
      </c>
      <c r="V124" s="199">
        <v>2004</v>
      </c>
      <c r="AC124" s="174">
        <v>2004</v>
      </c>
      <c r="AD124" s="177">
        <v>84.569000000000003</v>
      </c>
      <c r="AE124" s="177">
        <v>31.312000000000001</v>
      </c>
      <c r="AF124" s="177">
        <v>1.1000000000000001</v>
      </c>
      <c r="AG124" s="177">
        <v>29.254000000000001</v>
      </c>
      <c r="AH124" s="177">
        <v>18.164000000000001</v>
      </c>
      <c r="AI124" s="177">
        <v>0.41799999999999998</v>
      </c>
      <c r="AJ124" s="177"/>
      <c r="AK124" s="177">
        <v>0.16700000000000001</v>
      </c>
      <c r="AL124" s="177" t="s">
        <v>100</v>
      </c>
      <c r="AM124" s="177">
        <v>4.1539999999999999</v>
      </c>
      <c r="AN124" s="177"/>
    </row>
    <row r="125" spans="1:40" ht="13.15" x14ac:dyDescent="0.4">
      <c r="A125" s="616">
        <v>2005</v>
      </c>
      <c r="B125" s="177">
        <v>376.78</v>
      </c>
      <c r="C125" s="177">
        <v>0</v>
      </c>
      <c r="D125" s="177">
        <v>8.3209999999999997</v>
      </c>
      <c r="E125" s="177">
        <v>385.101</v>
      </c>
      <c r="F125" s="177">
        <v>27.901999999999987</v>
      </c>
      <c r="G125" s="177">
        <v>357.19900000000001</v>
      </c>
      <c r="H125" s="177">
        <v>7.8497254631429083</v>
      </c>
      <c r="I125" s="177">
        <v>116.69927453685709</v>
      </c>
      <c r="J125" s="177">
        <v>125.711</v>
      </c>
      <c r="K125" s="177">
        <v>106.93899999999999</v>
      </c>
      <c r="L125" s="196">
        <v>349.34927453685708</v>
      </c>
      <c r="M125" s="158"/>
      <c r="N125" s="182"/>
      <c r="O125" s="158"/>
      <c r="P125" s="158"/>
      <c r="Q125" s="158"/>
      <c r="R125" s="158"/>
      <c r="S125" s="158"/>
      <c r="U125" s="183">
        <f>25930+2568</f>
        <v>28498</v>
      </c>
      <c r="V125" s="199">
        <v>2005</v>
      </c>
      <c r="AC125" s="174">
        <v>2005</v>
      </c>
      <c r="AD125" s="177">
        <v>86.675000000000011</v>
      </c>
      <c r="AE125" s="177">
        <v>32.575000000000003</v>
      </c>
      <c r="AF125" s="177">
        <v>1.3049999999999999</v>
      </c>
      <c r="AG125" s="177">
        <v>28.516999999999999</v>
      </c>
      <c r="AH125" s="177">
        <v>18.372</v>
      </c>
      <c r="AI125" s="177">
        <v>0.42299999999999999</v>
      </c>
      <c r="AJ125" s="177"/>
      <c r="AK125" s="177">
        <v>0.25</v>
      </c>
      <c r="AL125" s="177" t="s">
        <v>100</v>
      </c>
      <c r="AM125" s="177">
        <v>5.2329999999999997</v>
      </c>
      <c r="AN125" s="177"/>
    </row>
    <row r="126" spans="1:40" ht="13.15" x14ac:dyDescent="0.4">
      <c r="A126" s="616">
        <v>2006</v>
      </c>
      <c r="B126" s="177">
        <v>373.86099999999999</v>
      </c>
      <c r="C126" s="177">
        <v>0</v>
      </c>
      <c r="D126" s="177">
        <v>7.5170000000000003</v>
      </c>
      <c r="E126" s="177">
        <v>381.37799999999999</v>
      </c>
      <c r="F126" s="177">
        <v>27.514999999999986</v>
      </c>
      <c r="G126" s="177">
        <v>353.863</v>
      </c>
      <c r="H126" s="177">
        <v>7.997398940542281</v>
      </c>
      <c r="I126" s="177">
        <v>115.53260105945772</v>
      </c>
      <c r="J126" s="177">
        <v>124.70399999999999</v>
      </c>
      <c r="K126" s="177">
        <v>105.629</v>
      </c>
      <c r="L126" s="196">
        <v>345.86560105945773</v>
      </c>
      <c r="M126" s="158"/>
      <c r="N126" s="182"/>
      <c r="O126" s="158"/>
      <c r="P126" s="158"/>
      <c r="Q126" s="158"/>
      <c r="R126" s="158"/>
      <c r="S126" s="158"/>
      <c r="U126" s="183">
        <f>26434+2441</f>
        <v>28875</v>
      </c>
      <c r="V126" s="199">
        <v>2006</v>
      </c>
      <c r="AC126" s="174">
        <v>2006</v>
      </c>
      <c r="AD126" s="177">
        <v>87.063000000000002</v>
      </c>
      <c r="AE126" s="177">
        <v>35.942999999999998</v>
      </c>
      <c r="AF126" s="177">
        <v>1.4330000000000001</v>
      </c>
      <c r="AG126" s="177">
        <v>26.776</v>
      </c>
      <c r="AH126" s="177">
        <v>17.131</v>
      </c>
      <c r="AI126" s="177">
        <v>0.39500000000000002</v>
      </c>
      <c r="AJ126" s="177"/>
      <c r="AK126" s="177">
        <v>0.36399999999999999</v>
      </c>
      <c r="AL126" s="177" t="s">
        <v>100</v>
      </c>
      <c r="AM126" s="177">
        <v>5.0209999999999999</v>
      </c>
      <c r="AN126" s="177"/>
    </row>
    <row r="127" spans="1:40" ht="13.15" x14ac:dyDescent="0.4">
      <c r="A127" s="616">
        <v>2007</v>
      </c>
      <c r="B127" s="203">
        <v>374.06400000000002</v>
      </c>
      <c r="C127" s="177">
        <v>0</v>
      </c>
      <c r="D127" s="177">
        <v>5.2149999999999999</v>
      </c>
      <c r="E127" s="177">
        <v>379.279</v>
      </c>
      <c r="F127" s="177">
        <v>27.829999999999984</v>
      </c>
      <c r="G127" s="177">
        <v>351.44900000000001</v>
      </c>
      <c r="H127" s="177">
        <v>9.1862512624189527</v>
      </c>
      <c r="I127" s="177">
        <v>113.40574873758105</v>
      </c>
      <c r="J127" s="177">
        <v>123.07599999999999</v>
      </c>
      <c r="K127" s="177">
        <v>105.78100000000001</v>
      </c>
      <c r="L127" s="196">
        <v>342.26274873758103</v>
      </c>
      <c r="M127" s="158"/>
      <c r="N127" s="182"/>
      <c r="O127" s="158"/>
      <c r="P127" s="158"/>
      <c r="Q127" s="158"/>
      <c r="R127" s="158"/>
      <c r="S127" s="158"/>
      <c r="U127" s="183">
        <f>26670+2435</f>
        <v>29105</v>
      </c>
      <c r="V127" s="199">
        <v>2007</v>
      </c>
      <c r="AC127" s="174">
        <v>2007</v>
      </c>
      <c r="AD127" s="177">
        <v>84.284000000000006</v>
      </c>
      <c r="AE127" s="177">
        <v>32.92</v>
      </c>
      <c r="AF127" s="177">
        <v>1.1599999999999999</v>
      </c>
      <c r="AG127" s="177">
        <v>30.6</v>
      </c>
      <c r="AH127" s="177">
        <v>14.037000000000001</v>
      </c>
      <c r="AI127" s="177">
        <v>0.437</v>
      </c>
      <c r="AJ127" s="177"/>
      <c r="AK127" s="177">
        <v>0.45500000000000002</v>
      </c>
      <c r="AL127" s="177" t="s">
        <v>100</v>
      </c>
      <c r="AM127" s="177">
        <v>4.6749999999999998</v>
      </c>
      <c r="AN127" s="177"/>
    </row>
    <row r="128" spans="1:40" ht="13.15" x14ac:dyDescent="0.4">
      <c r="A128" s="616">
        <v>2008</v>
      </c>
      <c r="B128" s="177">
        <v>367.17998658756744</v>
      </c>
      <c r="C128" s="177">
        <v>0</v>
      </c>
      <c r="D128" s="177">
        <v>11.022101659016826</v>
      </c>
      <c r="E128" s="177">
        <v>378.20208824658425</v>
      </c>
      <c r="F128" s="177">
        <v>28.103088246584264</v>
      </c>
      <c r="G128" s="177">
        <v>349.53161080447069</v>
      </c>
      <c r="H128" s="177">
        <v>7.7094997034225203</v>
      </c>
      <c r="I128" s="177">
        <v>114.15090713070066</v>
      </c>
      <c r="J128" s="177">
        <v>119.79999999999998</v>
      </c>
      <c r="K128" s="177">
        <v>107.87120397034751</v>
      </c>
      <c r="L128" s="196">
        <v>341.82211110104816</v>
      </c>
      <c r="M128" s="158"/>
      <c r="N128" s="182"/>
      <c r="O128" s="158"/>
      <c r="P128" s="158"/>
      <c r="Q128" s="158"/>
      <c r="R128" s="158"/>
      <c r="S128" s="158"/>
      <c r="U128" s="183">
        <f>26805+2407</f>
        <v>29212</v>
      </c>
      <c r="V128" s="199">
        <v>2008</v>
      </c>
      <c r="AC128" s="174">
        <v>2008</v>
      </c>
      <c r="AD128" s="177">
        <v>81.575999999999993</v>
      </c>
      <c r="AE128" s="177">
        <v>29.960999999999999</v>
      </c>
      <c r="AF128" s="177">
        <v>1.5820000000000001</v>
      </c>
      <c r="AG128" s="177">
        <v>32.4</v>
      </c>
      <c r="AH128" s="177">
        <v>11.91</v>
      </c>
      <c r="AI128" s="177">
        <v>0.442</v>
      </c>
      <c r="AJ128" s="177"/>
      <c r="AK128" s="177">
        <v>0.61399999999999999</v>
      </c>
      <c r="AL128" s="177" t="s">
        <v>100</v>
      </c>
      <c r="AM128" s="177">
        <v>4.6669999999999998</v>
      </c>
      <c r="AN128" s="177"/>
    </row>
    <row r="129" spans="1:40" ht="13.15" x14ac:dyDescent="0.4">
      <c r="A129" s="616">
        <v>2009</v>
      </c>
      <c r="B129" s="203">
        <v>355.30583825398833</v>
      </c>
      <c r="C129" s="177">
        <v>0</v>
      </c>
      <c r="D129" s="177">
        <v>2.8608092699318037</v>
      </c>
      <c r="E129" s="177">
        <v>358.16664752392012</v>
      </c>
      <c r="F129" s="177">
        <v>28.146647523920137</v>
      </c>
      <c r="G129" s="177">
        <v>329.41616448062859</v>
      </c>
      <c r="H129" s="177">
        <v>7.6681015729860338</v>
      </c>
      <c r="I129" s="177">
        <v>99.737984526683377</v>
      </c>
      <c r="J129" s="177">
        <v>118.54079334272313</v>
      </c>
      <c r="K129" s="177">
        <v>103.46928503823607</v>
      </c>
      <c r="L129" s="196">
        <v>321.74806290764258</v>
      </c>
      <c r="M129" s="158"/>
      <c r="N129" s="182"/>
      <c r="O129" s="158"/>
      <c r="P129" s="158"/>
      <c r="Q129" s="158"/>
      <c r="R129" s="158"/>
      <c r="S129" s="158"/>
      <c r="U129" s="183">
        <f>26987+2378</f>
        <v>29365</v>
      </c>
      <c r="V129" s="199">
        <v>2009</v>
      </c>
      <c r="AC129" s="174">
        <v>2009</v>
      </c>
      <c r="AD129" s="177">
        <v>78.42</v>
      </c>
      <c r="AE129" s="177">
        <v>24.661999999999999</v>
      </c>
      <c r="AF129" s="177">
        <v>1.5129999999999999</v>
      </c>
      <c r="AG129" s="177">
        <v>30.895</v>
      </c>
      <c r="AH129" s="177">
        <v>15.23</v>
      </c>
      <c r="AI129" s="177">
        <v>0.45</v>
      </c>
      <c r="AJ129" s="177"/>
      <c r="AK129" s="177">
        <v>0.8</v>
      </c>
      <c r="AL129" s="177" t="s">
        <v>100</v>
      </c>
      <c r="AM129" s="177">
        <v>4.87</v>
      </c>
      <c r="AN129" s="177"/>
    </row>
    <row r="130" spans="1:40" ht="13.15" x14ac:dyDescent="0.4">
      <c r="A130" s="616">
        <v>2010</v>
      </c>
      <c r="B130" s="203">
        <v>361.73401283653669</v>
      </c>
      <c r="C130" s="177">
        <v>0</v>
      </c>
      <c r="D130" s="177">
        <v>2.6634084573440777</v>
      </c>
      <c r="E130" s="177">
        <v>364.39742129388071</v>
      </c>
      <c r="F130" s="177">
        <v>26.886139576402741</v>
      </c>
      <c r="G130" s="177">
        <v>337.51128171747797</v>
      </c>
      <c r="H130" s="177">
        <v>8.2531024037313863</v>
      </c>
      <c r="I130" s="177">
        <v>104.95839178283407</v>
      </c>
      <c r="J130" s="177">
        <v>118.83195263410775</v>
      </c>
      <c r="K130" s="177">
        <v>105.46783489680477</v>
      </c>
      <c r="L130" s="196">
        <v>329.25817931374661</v>
      </c>
      <c r="M130" s="158"/>
      <c r="N130" s="182"/>
      <c r="O130" s="158"/>
      <c r="P130" s="158"/>
      <c r="Q130" s="158"/>
      <c r="R130" s="158"/>
      <c r="S130" s="158"/>
      <c r="U130" s="183">
        <v>29591</v>
      </c>
      <c r="V130" s="199">
        <f>A130</f>
        <v>2010</v>
      </c>
      <c r="AC130" s="174">
        <v>2010</v>
      </c>
      <c r="AD130" s="177">
        <v>79.41</v>
      </c>
      <c r="AE130" s="177">
        <v>25.56</v>
      </c>
      <c r="AF130" s="177">
        <v>1.18</v>
      </c>
      <c r="AG130" s="177">
        <v>32.43</v>
      </c>
      <c r="AH130" s="177">
        <v>13.93</v>
      </c>
      <c r="AI130" s="177">
        <v>0.31</v>
      </c>
      <c r="AJ130" s="177"/>
      <c r="AK130" s="177">
        <v>0.89</v>
      </c>
      <c r="AL130" s="177" t="s">
        <v>100</v>
      </c>
      <c r="AM130" s="177">
        <v>5.1100000000000003</v>
      </c>
      <c r="AN130" s="177"/>
    </row>
    <row r="131" spans="1:40" s="81" customFormat="1" ht="13.15" x14ac:dyDescent="0.4">
      <c r="A131" s="616">
        <v>2011</v>
      </c>
      <c r="B131" s="177">
        <v>347.68750030216455</v>
      </c>
      <c r="C131" s="177">
        <v>0</v>
      </c>
      <c r="D131" s="177">
        <v>6.2218967980458126</v>
      </c>
      <c r="E131" s="177">
        <v>353.9093971002103</v>
      </c>
      <c r="F131" s="177">
        <v>27.990325990739677</v>
      </c>
      <c r="G131" s="177">
        <v>325.91907110947062</v>
      </c>
      <c r="H131" s="177">
        <v>7.665896181573971</v>
      </c>
      <c r="I131" s="177">
        <v>102.79588669814831</v>
      </c>
      <c r="J131" s="177">
        <v>111.58641761428098</v>
      </c>
      <c r="K131" s="177">
        <v>103.87087061546734</v>
      </c>
      <c r="L131" s="196">
        <v>318.25317492789662</v>
      </c>
      <c r="M131" s="176"/>
      <c r="N131" s="175"/>
      <c r="O131" s="176"/>
      <c r="P131" s="176"/>
      <c r="Q131" s="176"/>
      <c r="R131" s="176"/>
      <c r="S131" s="176"/>
      <c r="U131" s="183">
        <v>29687</v>
      </c>
      <c r="V131" s="199">
        <f t="shared" ref="V131:V136" si="8">A131</f>
        <v>2011</v>
      </c>
      <c r="AC131" s="174">
        <v>2011</v>
      </c>
      <c r="AD131" s="177">
        <v>76.52</v>
      </c>
      <c r="AE131" s="177">
        <v>26.03</v>
      </c>
      <c r="AF131" s="177">
        <v>0.78</v>
      </c>
      <c r="AG131" s="177">
        <v>26.58</v>
      </c>
      <c r="AH131" s="177">
        <v>15.63</v>
      </c>
      <c r="AI131" s="177">
        <v>0.49</v>
      </c>
      <c r="AJ131" s="177"/>
      <c r="AK131" s="177">
        <v>1.39</v>
      </c>
      <c r="AL131" s="177" t="s">
        <v>100</v>
      </c>
      <c r="AM131" s="177">
        <v>5.62</v>
      </c>
      <c r="AN131" s="177"/>
    </row>
    <row r="132" spans="1:40" s="81" customFormat="1" ht="13.15" x14ac:dyDescent="0.4">
      <c r="A132" s="616">
        <v>2012</v>
      </c>
      <c r="B132" s="177">
        <v>341.91240691484899</v>
      </c>
      <c r="C132" s="177">
        <v>0</v>
      </c>
      <c r="D132" s="177">
        <v>11.863935920999987</v>
      </c>
      <c r="E132" s="177">
        <v>353.77634283584899</v>
      </c>
      <c r="F132" s="177">
        <v>28.294464938848591</v>
      </c>
      <c r="G132" s="177">
        <v>325.4818778970004</v>
      </c>
      <c r="H132" s="177">
        <v>6.7250170884556679</v>
      </c>
      <c r="I132" s="177">
        <v>98.941135807560087</v>
      </c>
      <c r="J132" s="177">
        <v>114.66262542679949</v>
      </c>
      <c r="K132" s="177">
        <v>105.15309957418515</v>
      </c>
      <c r="L132" s="196">
        <v>318.75686080854473</v>
      </c>
      <c r="M132" s="176"/>
      <c r="N132" s="175"/>
      <c r="O132" s="176"/>
      <c r="P132" s="176"/>
      <c r="Q132" s="176"/>
      <c r="R132" s="176"/>
      <c r="S132" s="176"/>
      <c r="U132" s="205">
        <v>29808</v>
      </c>
      <c r="V132" s="199">
        <f t="shared" si="8"/>
        <v>2012</v>
      </c>
      <c r="AC132" s="174">
        <v>2012</v>
      </c>
      <c r="AD132" s="177">
        <v>77.239999999999981</v>
      </c>
      <c r="AE132" s="177">
        <v>34.33</v>
      </c>
      <c r="AF132" s="177">
        <v>0.73</v>
      </c>
      <c r="AG132" s="177">
        <v>18.62</v>
      </c>
      <c r="AH132" s="177">
        <v>15.21</v>
      </c>
      <c r="AI132" s="177">
        <v>0.46</v>
      </c>
      <c r="AJ132" s="177"/>
      <c r="AK132" s="177">
        <v>1.82</v>
      </c>
      <c r="AL132" s="177" t="s">
        <v>100</v>
      </c>
      <c r="AM132" s="177">
        <v>6.07</v>
      </c>
      <c r="AN132" s="177"/>
    </row>
    <row r="133" spans="1:40" s="81" customFormat="1" ht="13.15" x14ac:dyDescent="0.4">
      <c r="A133" s="616">
        <v>2013</v>
      </c>
      <c r="B133" s="177">
        <v>336.50416436439099</v>
      </c>
      <c r="C133" s="177">
        <v>0</v>
      </c>
      <c r="D133" s="177">
        <v>14.430889886500005</v>
      </c>
      <c r="E133" s="177">
        <v>350.93505425089103</v>
      </c>
      <c r="F133" s="177">
        <v>26.550207919646084</v>
      </c>
      <c r="G133" s="177">
        <v>324.38484633124494</v>
      </c>
      <c r="H133" s="177">
        <v>7.5411218888507268</v>
      </c>
      <c r="I133" s="177">
        <v>97.553173513596107</v>
      </c>
      <c r="J133" s="177">
        <v>113.41247237181817</v>
      </c>
      <c r="K133" s="177">
        <v>105.8780785569799</v>
      </c>
      <c r="L133" s="196">
        <v>316.8437244423942</v>
      </c>
      <c r="M133" s="176"/>
      <c r="N133" s="175"/>
      <c r="O133" s="176"/>
      <c r="P133" s="176"/>
      <c r="Q133" s="176"/>
      <c r="R133" s="176"/>
      <c r="S133" s="176"/>
      <c r="U133" s="205">
        <v>29925</v>
      </c>
      <c r="V133" s="199">
        <f t="shared" si="8"/>
        <v>2013</v>
      </c>
      <c r="AC133" s="174">
        <v>2013</v>
      </c>
      <c r="AD133" s="177">
        <v>74.52000000000001</v>
      </c>
      <c r="AE133" s="177">
        <v>31.33</v>
      </c>
      <c r="AF133" s="177">
        <v>0.59</v>
      </c>
      <c r="AG133" s="177">
        <v>17.7</v>
      </c>
      <c r="AH133" s="177">
        <v>15.44</v>
      </c>
      <c r="AI133" s="177">
        <v>0.4</v>
      </c>
      <c r="AJ133" s="177"/>
      <c r="AK133" s="177">
        <v>2.61</v>
      </c>
      <c r="AL133" s="177" t="s">
        <v>100</v>
      </c>
      <c r="AM133" s="177">
        <v>6.45</v>
      </c>
      <c r="AN133" s="177"/>
    </row>
    <row r="134" spans="1:40" s="81" customFormat="1" ht="13.15" x14ac:dyDescent="0.4">
      <c r="A134" s="616">
        <v>2014</v>
      </c>
      <c r="B134" s="177">
        <v>317.73297250503532</v>
      </c>
      <c r="C134" s="177">
        <v>0</v>
      </c>
      <c r="D134" s="177">
        <v>20.519788353500026</v>
      </c>
      <c r="E134" s="177">
        <v>338.2527608585354</v>
      </c>
      <c r="F134" s="177">
        <v>27.44832391648896</v>
      </c>
      <c r="G134" s="177">
        <v>310.80443694204644</v>
      </c>
      <c r="H134" s="177">
        <v>7.4576499000420071</v>
      </c>
      <c r="I134" s="177">
        <v>93.565807256448807</v>
      </c>
      <c r="J134" s="177">
        <v>108.07609974809642</v>
      </c>
      <c r="K134" s="177">
        <v>101.7048800374592</v>
      </c>
      <c r="L134" s="196">
        <v>303.34678704200445</v>
      </c>
      <c r="M134" s="176"/>
      <c r="N134" s="175"/>
      <c r="O134" s="176"/>
      <c r="P134" s="176"/>
      <c r="Q134" s="176"/>
      <c r="R134" s="176"/>
      <c r="S134" s="176"/>
      <c r="U134" s="205">
        <v>30189.732</v>
      </c>
      <c r="V134" s="199">
        <f t="shared" si="8"/>
        <v>2014</v>
      </c>
      <c r="AC134" s="174">
        <v>2014</v>
      </c>
      <c r="AD134" s="177">
        <v>68.48</v>
      </c>
      <c r="AE134" s="177">
        <v>24.01</v>
      </c>
      <c r="AF134" s="177">
        <v>0.55000000000000004</v>
      </c>
      <c r="AG134" s="177">
        <v>18.73</v>
      </c>
      <c r="AH134" s="177">
        <v>13.85</v>
      </c>
      <c r="AI134" s="177">
        <v>0.51</v>
      </c>
      <c r="AJ134" s="177"/>
      <c r="AK134" s="177">
        <v>3.1</v>
      </c>
      <c r="AL134" s="177" t="s">
        <v>100</v>
      </c>
      <c r="AM134" s="177">
        <v>7.73</v>
      </c>
      <c r="AN134" s="177"/>
    </row>
    <row r="135" spans="1:40" s="81" customFormat="1" ht="13.15" x14ac:dyDescent="0.4">
      <c r="A135" s="616">
        <v>2015</v>
      </c>
      <c r="B135" s="177">
        <v>318.51293495719887</v>
      </c>
      <c r="C135" s="177">
        <v>0</v>
      </c>
      <c r="D135" s="177">
        <v>21.105558818000006</v>
      </c>
      <c r="E135" s="177">
        <v>339.61849377519889</v>
      </c>
      <c r="F135" s="177">
        <v>28.195732879669038</v>
      </c>
      <c r="G135" s="177">
        <v>311.42276089552985</v>
      </c>
      <c r="H135" s="177">
        <v>7.5313834674564442</v>
      </c>
      <c r="I135" s="177">
        <v>93.349754369600092</v>
      </c>
      <c r="J135" s="177">
        <v>107.76384778252712</v>
      </c>
      <c r="K135" s="177">
        <v>102.77777527594614</v>
      </c>
      <c r="L135" s="196">
        <v>303.89137742807338</v>
      </c>
      <c r="M135" s="176"/>
      <c r="N135" s="175"/>
      <c r="O135" s="176"/>
      <c r="P135" s="176"/>
      <c r="Q135" s="176"/>
      <c r="R135" s="176"/>
      <c r="S135" s="176"/>
      <c r="U135" s="205">
        <v>30382</v>
      </c>
      <c r="V135" s="199">
        <f t="shared" si="8"/>
        <v>2015</v>
      </c>
      <c r="AC135" s="174">
        <v>2015</v>
      </c>
      <c r="AD135" s="177">
        <v>66.72</v>
      </c>
      <c r="AE135" s="177">
        <v>18.34</v>
      </c>
      <c r="AF135" s="177">
        <v>0.61</v>
      </c>
      <c r="AG135" s="177">
        <v>18.28</v>
      </c>
      <c r="AH135" s="177">
        <v>15.48</v>
      </c>
      <c r="AI135" s="177">
        <v>0.54</v>
      </c>
      <c r="AJ135" s="177"/>
      <c r="AK135" s="177">
        <v>4.1100000000000003</v>
      </c>
      <c r="AL135" s="177" t="s">
        <v>100</v>
      </c>
      <c r="AM135" s="177">
        <v>9.36</v>
      </c>
      <c r="AN135" s="177"/>
    </row>
    <row r="136" spans="1:40" s="81" customFormat="1" ht="13.15" x14ac:dyDescent="0.4">
      <c r="A136" s="616">
        <v>2016</v>
      </c>
      <c r="B136" s="177">
        <v>319.90747919652472</v>
      </c>
      <c r="C136" s="177">
        <v>0</v>
      </c>
      <c r="D136" s="177">
        <v>17.745057307999993</v>
      </c>
      <c r="E136" s="177">
        <v>337.65253650452462</v>
      </c>
      <c r="F136" s="177">
        <v>26.108220830906816</v>
      </c>
      <c r="G136" s="177">
        <v>311.5443156736178</v>
      </c>
      <c r="H136" s="177">
        <v>7.2634714171682191</v>
      </c>
      <c r="I136" s="177">
        <v>93.563454785247288</v>
      </c>
      <c r="J136" s="177">
        <v>108.02504338198162</v>
      </c>
      <c r="K136" s="177">
        <v>102.69234608922069</v>
      </c>
      <c r="L136" s="196">
        <v>304.2808442564496</v>
      </c>
      <c r="M136" s="176"/>
      <c r="N136" s="175"/>
      <c r="O136" s="176"/>
      <c r="P136" s="176"/>
      <c r="Q136" s="176"/>
      <c r="R136" s="176"/>
      <c r="S136" s="176"/>
      <c r="U136" s="205">
        <v>30589</v>
      </c>
      <c r="V136" s="199">
        <f t="shared" si="8"/>
        <v>2016</v>
      </c>
      <c r="AC136" s="174">
        <v>2016</v>
      </c>
      <c r="AD136" s="177">
        <v>63.68</v>
      </c>
      <c r="AE136" s="177">
        <v>7.53</v>
      </c>
      <c r="AF136" s="177">
        <v>0.57999999999999996</v>
      </c>
      <c r="AG136" s="177">
        <v>25.63</v>
      </c>
      <c r="AH136" s="177">
        <v>15.41</v>
      </c>
      <c r="AI136" s="177">
        <v>0.46</v>
      </c>
      <c r="AJ136" s="177"/>
      <c r="AK136" s="177">
        <v>4.09</v>
      </c>
      <c r="AL136" s="177" t="s">
        <v>100</v>
      </c>
      <c r="AM136" s="177">
        <v>9.9600000000000009</v>
      </c>
      <c r="AN136" s="177"/>
    </row>
    <row r="137" spans="1:40" s="81" customFormat="1" ht="13.15" x14ac:dyDescent="0.4">
      <c r="A137" s="616">
        <v>2017</v>
      </c>
      <c r="B137" s="177">
        <v>318.84114211533091</v>
      </c>
      <c r="C137" s="177">
        <v>0</v>
      </c>
      <c r="D137" s="177">
        <v>14.759930941826864</v>
      </c>
      <c r="E137" s="177">
        <v>333.60107305715775</v>
      </c>
      <c r="F137" s="177">
        <v>26.584722005093624</v>
      </c>
      <c r="G137" s="177">
        <v>307.01635105206412</v>
      </c>
      <c r="H137" s="177">
        <v>7.14364029761221</v>
      </c>
      <c r="I137" s="177">
        <v>92.531828749346147</v>
      </c>
      <c r="J137" s="177">
        <v>105.36790073945924</v>
      </c>
      <c r="K137" s="177">
        <v>101.97298126564652</v>
      </c>
      <c r="L137" s="196">
        <v>299.87271075445193</v>
      </c>
      <c r="M137" s="176"/>
      <c r="N137" s="175"/>
      <c r="O137" s="176"/>
      <c r="P137" s="176"/>
      <c r="Q137" s="176"/>
      <c r="R137" s="176"/>
      <c r="S137" s="176"/>
      <c r="U137" s="206">
        <v>30822</v>
      </c>
      <c r="V137" s="207">
        <v>2017</v>
      </c>
      <c r="AC137" s="174">
        <v>2017</v>
      </c>
      <c r="AD137" s="177">
        <v>61</v>
      </c>
      <c r="AE137" s="177">
        <v>5.55</v>
      </c>
      <c r="AF137" s="177">
        <v>0.54</v>
      </c>
      <c r="AG137" s="177">
        <v>24.6</v>
      </c>
      <c r="AH137" s="177">
        <v>15.12</v>
      </c>
      <c r="AI137" s="177">
        <v>0.51</v>
      </c>
      <c r="AJ137" s="177"/>
      <c r="AK137" s="177">
        <v>5.25</v>
      </c>
      <c r="AL137" s="177" t="s">
        <v>100</v>
      </c>
      <c r="AM137" s="177">
        <v>9.23</v>
      </c>
      <c r="AN137" s="177"/>
    </row>
    <row r="138" spans="1:40" ht="13.15" x14ac:dyDescent="0.4">
      <c r="A138" s="617">
        <v>2018</v>
      </c>
      <c r="B138" s="208">
        <v>314.07617896720291</v>
      </c>
      <c r="C138" s="208">
        <v>0</v>
      </c>
      <c r="D138" s="208">
        <v>19.107650939999999</v>
      </c>
      <c r="E138" s="208">
        <v>333.18382990720289</v>
      </c>
      <c r="F138" s="208">
        <v>26.382989583803408</v>
      </c>
      <c r="G138" s="208">
        <v>306.80084032339948</v>
      </c>
      <c r="H138" s="208">
        <v>6.9393819647398214</v>
      </c>
      <c r="I138" s="208">
        <v>93.236866747387509</v>
      </c>
      <c r="J138" s="208">
        <v>105.06454676977907</v>
      </c>
      <c r="K138" s="208">
        <v>101.5600448414931</v>
      </c>
      <c r="L138" s="209">
        <v>299.86145835865966</v>
      </c>
      <c r="M138" s="158"/>
      <c r="N138" s="182"/>
      <c r="O138" s="158"/>
      <c r="P138" s="158"/>
      <c r="Q138" s="158"/>
      <c r="R138" s="158"/>
      <c r="S138" s="158"/>
      <c r="AC138" s="238">
        <v>2018</v>
      </c>
      <c r="AD138" s="239">
        <v>59.870000000000005</v>
      </c>
      <c r="AE138" s="208">
        <v>4.24</v>
      </c>
      <c r="AF138" s="208">
        <v>0.49</v>
      </c>
      <c r="AG138" s="208">
        <v>23.51</v>
      </c>
      <c r="AH138" s="208">
        <v>14.06</v>
      </c>
      <c r="AI138" s="208">
        <v>0.47</v>
      </c>
      <c r="AJ138" s="208"/>
      <c r="AK138" s="208">
        <v>6</v>
      </c>
      <c r="AL138" s="208" t="s">
        <v>100</v>
      </c>
      <c r="AM138" s="208">
        <v>11.1</v>
      </c>
      <c r="AN138" s="208"/>
    </row>
    <row r="139" spans="1:40" hidden="1" x14ac:dyDescent="0.35">
      <c r="B139" s="210" t="s">
        <v>662</v>
      </c>
      <c r="D139" s="210" t="s">
        <v>662</v>
      </c>
      <c r="E139" s="210" t="s">
        <v>662</v>
      </c>
      <c r="F139" s="210" t="s">
        <v>662</v>
      </c>
      <c r="G139" s="210" t="s">
        <v>662</v>
      </c>
      <c r="H139" s="210" t="s">
        <v>662</v>
      </c>
      <c r="I139" s="210" t="s">
        <v>662</v>
      </c>
      <c r="J139" s="210" t="s">
        <v>662</v>
      </c>
      <c r="K139" s="210" t="s">
        <v>662</v>
      </c>
      <c r="L139" s="210" t="s">
        <v>662</v>
      </c>
      <c r="U139" s="211"/>
      <c r="V139" s="212"/>
      <c r="AC139" s="176"/>
      <c r="AD139" s="240"/>
      <c r="AE139" s="240"/>
      <c r="AF139" s="240"/>
      <c r="AG139" s="240"/>
      <c r="AH139" s="240"/>
      <c r="AI139" s="240"/>
      <c r="AJ139" s="240"/>
      <c r="AK139" s="193"/>
      <c r="AL139" s="20"/>
      <c r="AM139" s="193"/>
      <c r="AN139" s="177"/>
    </row>
    <row r="140" spans="1:40" ht="13.15" x14ac:dyDescent="0.4">
      <c r="B140" s="213"/>
      <c r="D140" s="213"/>
      <c r="E140" s="213"/>
      <c r="F140" s="213"/>
      <c r="G140" s="213"/>
      <c r="H140" s="213"/>
      <c r="I140" s="213"/>
      <c r="J140" s="213"/>
      <c r="K140" s="213"/>
      <c r="L140" s="213"/>
      <c r="U140" s="214" t="s">
        <v>663</v>
      </c>
      <c r="V140" s="212"/>
      <c r="AC140" s="215" t="s">
        <v>755</v>
      </c>
      <c r="AD140" s="241"/>
      <c r="AE140" s="241"/>
      <c r="AF140" s="241"/>
      <c r="AG140" s="241"/>
      <c r="AH140" s="242"/>
      <c r="AI140" s="242"/>
      <c r="AJ140" s="242"/>
      <c r="AK140" s="242"/>
      <c r="AL140" s="241"/>
      <c r="AM140" s="243"/>
      <c r="AN140" s="242"/>
    </row>
    <row r="141" spans="1:40" ht="13.15" x14ac:dyDescent="0.4">
      <c r="A141" s="215" t="s">
        <v>664</v>
      </c>
      <c r="K141" s="216"/>
      <c r="L141" s="81"/>
      <c r="U141" s="217"/>
      <c r="AC141" s="244" t="s">
        <v>756</v>
      </c>
      <c r="AD141" s="245"/>
      <c r="AE141" s="245"/>
      <c r="AF141" s="245"/>
      <c r="AG141" s="241"/>
      <c r="AH141" s="242"/>
      <c r="AI141" s="242"/>
      <c r="AJ141" s="242"/>
      <c r="AK141" s="242"/>
      <c r="AL141" s="241"/>
      <c r="AM141" s="241"/>
      <c r="AN141" s="242"/>
    </row>
    <row r="142" spans="1:40" x14ac:dyDescent="0.35">
      <c r="A142" s="218" t="s">
        <v>665</v>
      </c>
      <c r="B142" s="219"/>
      <c r="C142" s="219"/>
      <c r="D142" s="219"/>
      <c r="E142" s="219"/>
      <c r="F142" s="219"/>
      <c r="L142" s="81"/>
      <c r="U142" s="217"/>
      <c r="AC142" s="244" t="s">
        <v>757</v>
      </c>
      <c r="AD142" s="245"/>
      <c r="AE142" s="245"/>
      <c r="AF142" s="245"/>
      <c r="AG142" s="241"/>
      <c r="AH142" s="242"/>
      <c r="AI142" s="242"/>
      <c r="AJ142" s="242"/>
      <c r="AK142" s="242"/>
      <c r="AL142" s="241"/>
      <c r="AM142" s="241"/>
      <c r="AN142" s="242"/>
    </row>
    <row r="143" spans="1:40" x14ac:dyDescent="0.35">
      <c r="A143" s="218" t="s">
        <v>666</v>
      </c>
      <c r="B143" s="219"/>
      <c r="C143" s="219"/>
      <c r="D143" s="219"/>
      <c r="E143" s="219"/>
      <c r="F143" s="219"/>
      <c r="L143" s="81"/>
      <c r="AC143" s="244" t="s">
        <v>758</v>
      </c>
      <c r="AD143" s="245"/>
      <c r="AE143" s="245"/>
      <c r="AF143" s="245"/>
      <c r="AG143" s="241"/>
      <c r="AH143" s="242"/>
      <c r="AI143" s="242"/>
      <c r="AJ143" s="242"/>
      <c r="AK143" s="242"/>
      <c r="AL143" s="241"/>
      <c r="AM143" s="241"/>
      <c r="AN143" s="241"/>
    </row>
    <row r="144" spans="1:40" x14ac:dyDescent="0.35">
      <c r="A144" s="218" t="s">
        <v>667</v>
      </c>
      <c r="B144" s="219"/>
      <c r="C144" s="219"/>
      <c r="D144" s="219"/>
      <c r="E144" s="219"/>
      <c r="F144" s="219"/>
      <c r="L144" s="81"/>
      <c r="AC144" s="244" t="s">
        <v>759</v>
      </c>
      <c r="AD144" s="245"/>
      <c r="AE144" s="245"/>
      <c r="AF144" s="245"/>
      <c r="AG144" s="241"/>
      <c r="AH144" s="242"/>
      <c r="AI144" s="242"/>
      <c r="AJ144" s="242"/>
      <c r="AK144" s="242"/>
      <c r="AL144" s="241"/>
      <c r="AM144" s="241"/>
      <c r="AN144" s="241"/>
    </row>
    <row r="145" spans="1:40" x14ac:dyDescent="0.35">
      <c r="A145" s="218" t="s">
        <v>668</v>
      </c>
      <c r="B145" s="219"/>
      <c r="C145" s="219"/>
      <c r="D145" s="219"/>
      <c r="E145" s="219"/>
      <c r="F145" s="219"/>
      <c r="L145" s="75"/>
      <c r="N145" s="75"/>
      <c r="AC145" s="244" t="s">
        <v>760</v>
      </c>
      <c r="AD145" s="245"/>
      <c r="AE145" s="245"/>
      <c r="AF145" s="245"/>
      <c r="AG145" s="241"/>
      <c r="AH145" s="242"/>
      <c r="AI145" s="242"/>
      <c r="AJ145" s="242"/>
      <c r="AK145" s="242"/>
      <c r="AL145" s="241"/>
      <c r="AM145" s="241"/>
      <c r="AN145" s="241"/>
    </row>
    <row r="146" spans="1:40" x14ac:dyDescent="0.35">
      <c r="A146" s="218" t="s">
        <v>669</v>
      </c>
      <c r="B146" s="219"/>
      <c r="C146" s="219"/>
      <c r="D146" s="219"/>
      <c r="E146" s="219"/>
      <c r="F146" s="219"/>
      <c r="L146" s="75"/>
      <c r="N146" s="75"/>
      <c r="AC146" s="218" t="s">
        <v>761</v>
      </c>
      <c r="AD146" s="245"/>
      <c r="AE146" s="245"/>
      <c r="AF146" s="245"/>
      <c r="AG146" s="241"/>
      <c r="AH146" s="242"/>
      <c r="AI146" s="242"/>
      <c r="AJ146" s="242"/>
      <c r="AK146" s="242"/>
      <c r="AL146" s="241"/>
      <c r="AM146" s="241"/>
      <c r="AN146" s="241"/>
    </row>
    <row r="147" spans="1:40" x14ac:dyDescent="0.35">
      <c r="A147" s="218" t="s">
        <v>670</v>
      </c>
      <c r="B147" s="219"/>
      <c r="C147" s="219"/>
      <c r="D147" s="219"/>
      <c r="E147" s="219"/>
      <c r="F147" s="219"/>
      <c r="L147" s="81"/>
      <c r="AC147" s="218" t="s">
        <v>762</v>
      </c>
      <c r="AD147" s="245"/>
      <c r="AE147" s="245"/>
      <c r="AF147" s="245"/>
      <c r="AG147" s="241"/>
      <c r="AH147" s="242"/>
      <c r="AI147" s="242"/>
      <c r="AJ147" s="242"/>
      <c r="AK147" s="242"/>
      <c r="AL147" s="241"/>
      <c r="AM147" s="241"/>
      <c r="AN147" s="241"/>
    </row>
    <row r="148" spans="1:40" x14ac:dyDescent="0.35">
      <c r="A148" s="218" t="s">
        <v>671</v>
      </c>
      <c r="B148" s="219"/>
      <c r="C148" s="219"/>
      <c r="D148" s="219"/>
      <c r="E148" s="219"/>
      <c r="F148" s="219"/>
      <c r="L148" s="81"/>
      <c r="AC148" s="218" t="s">
        <v>763</v>
      </c>
      <c r="AD148" s="245"/>
      <c r="AE148" s="245"/>
      <c r="AF148" s="245"/>
      <c r="AG148" s="241"/>
      <c r="AH148" s="241"/>
      <c r="AI148" s="241"/>
      <c r="AJ148" s="241"/>
      <c r="AK148" s="241"/>
      <c r="AL148" s="241"/>
      <c r="AM148" s="241"/>
      <c r="AN148" s="241"/>
    </row>
    <row r="149" spans="1:40" x14ac:dyDescent="0.35">
      <c r="A149" s="218" t="s">
        <v>672</v>
      </c>
      <c r="B149" s="219"/>
      <c r="C149" s="219"/>
      <c r="D149" s="219"/>
      <c r="E149" s="219"/>
      <c r="F149" s="219"/>
      <c r="L149" s="81"/>
      <c r="AC149" s="244" t="s">
        <v>764</v>
      </c>
      <c r="AD149" s="245"/>
      <c r="AE149" s="245"/>
      <c r="AF149" s="245"/>
      <c r="AG149" s="241"/>
      <c r="AH149" s="241"/>
      <c r="AI149" s="241"/>
      <c r="AJ149" s="241"/>
      <c r="AK149" s="241"/>
      <c r="AL149" s="241"/>
      <c r="AM149" s="241"/>
      <c r="AN149" s="241"/>
    </row>
    <row r="150" spans="1:40" x14ac:dyDescent="0.35">
      <c r="A150" s="218" t="s">
        <v>673</v>
      </c>
      <c r="B150" s="219"/>
      <c r="C150" s="219"/>
      <c r="D150" s="219"/>
      <c r="E150" s="219"/>
      <c r="F150" s="219"/>
      <c r="L150" s="81"/>
      <c r="AC150" s="1458" t="s">
        <v>765</v>
      </c>
      <c r="AD150" s="1458"/>
      <c r="AE150" s="1458"/>
      <c r="AF150" s="1458"/>
      <c r="AG150" s="1458"/>
      <c r="AH150" s="1458"/>
      <c r="AI150" s="1458"/>
      <c r="AJ150" s="1458"/>
      <c r="AK150" s="1458"/>
      <c r="AL150" s="1458"/>
      <c r="AM150" s="1458"/>
      <c r="AN150" s="246"/>
    </row>
    <row r="151" spans="1:40" x14ac:dyDescent="0.35">
      <c r="A151" s="50"/>
      <c r="H151" s="139"/>
      <c r="I151" s="139"/>
      <c r="L151" s="81"/>
      <c r="AC151" s="1458" t="s">
        <v>766</v>
      </c>
      <c r="AD151" s="1458"/>
      <c r="AE151" s="1458"/>
      <c r="AF151" s="1458"/>
      <c r="AG151" s="1458"/>
      <c r="AH151" s="1458"/>
      <c r="AI151" s="1458"/>
      <c r="AJ151" s="1458"/>
      <c r="AK151" s="1458"/>
      <c r="AL151" s="1458"/>
      <c r="AM151" s="1458"/>
      <c r="AN151" s="246"/>
    </row>
    <row r="152" spans="1:40" ht="13.15" x14ac:dyDescent="0.4">
      <c r="A152" s="215" t="s">
        <v>674</v>
      </c>
      <c r="H152" s="139"/>
      <c r="I152" s="139"/>
      <c r="L152" s="81"/>
      <c r="AC152" s="246"/>
      <c r="AD152" s="246"/>
      <c r="AE152" s="246"/>
      <c r="AF152" s="246"/>
      <c r="AG152" s="246"/>
      <c r="AH152" s="246"/>
      <c r="AI152" s="246"/>
      <c r="AJ152" s="246"/>
      <c r="AK152" s="246"/>
      <c r="AL152" s="246"/>
      <c r="AM152" s="246"/>
      <c r="AN152" s="246"/>
    </row>
    <row r="153" spans="1:40" ht="13.15" x14ac:dyDescent="0.4">
      <c r="A153" s="75" t="s">
        <v>675</v>
      </c>
      <c r="I153" s="75" t="s">
        <v>1036</v>
      </c>
      <c r="L153" s="81"/>
      <c r="AC153" s="215" t="s">
        <v>674</v>
      </c>
      <c r="AD153" s="241"/>
      <c r="AE153" s="241"/>
      <c r="AF153" s="241"/>
      <c r="AG153" s="241"/>
      <c r="AH153" s="247"/>
      <c r="AI153" s="241"/>
      <c r="AJ153" s="241"/>
      <c r="AK153" s="241"/>
      <c r="AL153" s="247"/>
      <c r="AM153" s="247"/>
      <c r="AN153" s="241"/>
    </row>
    <row r="154" spans="1:40" x14ac:dyDescent="0.35">
      <c r="A154" s="75" t="s">
        <v>676</v>
      </c>
      <c r="L154" s="81"/>
      <c r="AC154" s="139" t="s">
        <v>767</v>
      </c>
      <c r="AD154" s="241"/>
      <c r="AE154" s="241"/>
      <c r="AF154" s="241"/>
      <c r="AG154" s="241"/>
      <c r="AH154" s="247"/>
      <c r="AI154" s="241"/>
      <c r="AJ154" s="241"/>
      <c r="AK154" s="241"/>
      <c r="AL154" s="247"/>
      <c r="AM154" s="247"/>
      <c r="AN154" s="241"/>
    </row>
    <row r="155" spans="1:40" ht="14.25" x14ac:dyDescent="0.45">
      <c r="A155" s="75" t="s">
        <v>677</v>
      </c>
      <c r="B155"/>
      <c r="C155"/>
      <c r="D155"/>
      <c r="E155"/>
      <c r="F155"/>
      <c r="G155"/>
      <c r="H155"/>
      <c r="I155"/>
      <c r="J155"/>
      <c r="K155" s="81"/>
      <c r="L155" s="81"/>
      <c r="AC155" s="139" t="s">
        <v>768</v>
      </c>
      <c r="AD155" s="241"/>
      <c r="AE155" s="241"/>
      <c r="AF155" s="241"/>
      <c r="AG155" s="241"/>
      <c r="AH155" s="241"/>
      <c r="AI155" s="241"/>
      <c r="AJ155" s="241"/>
      <c r="AK155" s="241"/>
      <c r="AL155" s="241"/>
      <c r="AM155" s="241"/>
      <c r="AN155" s="241"/>
    </row>
    <row r="156" spans="1:40" ht="14.25" x14ac:dyDescent="0.45">
      <c r="A156" s="75" t="s">
        <v>678</v>
      </c>
      <c r="B156"/>
      <c r="C156"/>
      <c r="D156"/>
      <c r="E156"/>
      <c r="F156"/>
      <c r="K156" s="81"/>
      <c r="L156" s="75"/>
      <c r="AC156" s="248" t="s">
        <v>769</v>
      </c>
      <c r="AD156" s="55"/>
      <c r="AE156" s="55"/>
      <c r="AF156" s="55"/>
      <c r="AG156" s="55"/>
      <c r="AH156" s="55"/>
      <c r="AI156" s="55"/>
      <c r="AJ156" s="55"/>
      <c r="AK156" s="55"/>
      <c r="AL156" s="55"/>
      <c r="AM156" s="241"/>
      <c r="AN156" s="241"/>
    </row>
    <row r="157" spans="1:40" ht="14.25" x14ac:dyDescent="0.45">
      <c r="A157" s="75" t="s">
        <v>679</v>
      </c>
      <c r="B157"/>
      <c r="C157"/>
      <c r="D157"/>
      <c r="E157"/>
      <c r="F157"/>
      <c r="K157" s="220"/>
      <c r="L157" s="75"/>
      <c r="AC157" s="248" t="s">
        <v>770</v>
      </c>
      <c r="AD157" s="55"/>
      <c r="AE157" s="55"/>
      <c r="AF157" s="55"/>
      <c r="AG157" s="55"/>
      <c r="AH157" s="55"/>
      <c r="AI157" s="55"/>
      <c r="AJ157" s="55"/>
      <c r="AK157" s="55"/>
      <c r="AL157" s="55"/>
      <c r="AM157" s="241"/>
      <c r="AN157" s="241"/>
    </row>
    <row r="158" spans="1:40" s="50" customFormat="1" x14ac:dyDescent="0.35">
      <c r="A158" s="75" t="s">
        <v>680</v>
      </c>
      <c r="B158" s="55"/>
      <c r="C158" s="55"/>
      <c r="D158" s="55"/>
      <c r="E158" s="55"/>
      <c r="F158" s="55"/>
      <c r="G158" s="55"/>
      <c r="H158" s="55"/>
      <c r="I158" s="55"/>
      <c r="J158" s="55"/>
      <c r="K158" s="221"/>
      <c r="N158" s="222"/>
      <c r="U158" s="75"/>
      <c r="V158" s="75"/>
      <c r="AC158" s="248" t="s">
        <v>771</v>
      </c>
      <c r="AD158" s="55"/>
      <c r="AE158" s="55"/>
      <c r="AF158" s="55"/>
      <c r="AG158" s="55"/>
      <c r="AH158" s="55"/>
      <c r="AI158" s="55"/>
      <c r="AJ158" s="55"/>
      <c r="AK158" s="55"/>
      <c r="AL158" s="55"/>
      <c r="AM158" s="241"/>
      <c r="AN158" s="241"/>
    </row>
    <row r="159" spans="1:40" ht="14.25" x14ac:dyDescent="0.45">
      <c r="A159" s="75" t="s">
        <v>681</v>
      </c>
      <c r="B159"/>
      <c r="C159"/>
      <c r="D159"/>
      <c r="E159"/>
      <c r="F159"/>
      <c r="G159"/>
      <c r="H159"/>
      <c r="I159"/>
      <c r="J159"/>
      <c r="K159" s="223"/>
      <c r="L159" s="75"/>
      <c r="U159" s="50"/>
      <c r="V159" s="50"/>
      <c r="AC159" s="248" t="s">
        <v>772</v>
      </c>
      <c r="AD159" s="55"/>
      <c r="AE159" s="55"/>
      <c r="AF159" s="55"/>
      <c r="AG159" s="55"/>
      <c r="AH159" s="55"/>
      <c r="AI159" s="55"/>
      <c r="AJ159" s="55"/>
      <c r="AK159" s="55"/>
      <c r="AL159" s="55"/>
      <c r="AM159" s="241"/>
      <c r="AN159" s="241"/>
    </row>
    <row r="160" spans="1:40" ht="14.25" x14ac:dyDescent="0.45">
      <c r="A160" s="75" t="s">
        <v>682</v>
      </c>
      <c r="B160"/>
      <c r="C160"/>
      <c r="D160"/>
      <c r="E160"/>
      <c r="F160"/>
      <c r="G160"/>
      <c r="H160"/>
      <c r="I160"/>
      <c r="J160"/>
      <c r="K160" s="223"/>
      <c r="L160" s="75"/>
      <c r="AC160" s="248" t="s">
        <v>773</v>
      </c>
      <c r="AD160" s="55"/>
      <c r="AE160" s="55"/>
      <c r="AF160" s="55"/>
      <c r="AG160" s="55"/>
      <c r="AH160" s="55"/>
      <c r="AI160" s="55"/>
      <c r="AJ160" s="55"/>
      <c r="AK160" s="55"/>
      <c r="AL160" s="55"/>
      <c r="AM160" s="241"/>
      <c r="AN160" s="241"/>
    </row>
    <row r="161" spans="1:40" ht="14.25" x14ac:dyDescent="0.45">
      <c r="A161" s="75" t="s">
        <v>683</v>
      </c>
      <c r="B161"/>
      <c r="C161"/>
      <c r="D161"/>
      <c r="E161"/>
      <c r="F161"/>
      <c r="G161"/>
      <c r="H161"/>
      <c r="I161"/>
      <c r="J161"/>
      <c r="L161" s="75"/>
      <c r="AC161" s="248" t="s">
        <v>774</v>
      </c>
      <c r="AD161" s="55"/>
      <c r="AE161" s="55"/>
      <c r="AF161" s="55"/>
      <c r="AG161" s="55"/>
      <c r="AH161" s="55"/>
      <c r="AI161" s="55"/>
      <c r="AJ161" s="55"/>
      <c r="AK161" s="55"/>
      <c r="AL161" s="55"/>
      <c r="AM161" s="241"/>
      <c r="AN161" s="241"/>
    </row>
    <row r="162" spans="1:40" ht="14.25" x14ac:dyDescent="0.45">
      <c r="A162" s="75" t="s">
        <v>684</v>
      </c>
      <c r="B162"/>
      <c r="C162"/>
      <c r="D162"/>
      <c r="E162"/>
      <c r="F162"/>
      <c r="G162"/>
      <c r="H162"/>
      <c r="I162"/>
      <c r="J162"/>
      <c r="K162" s="217"/>
      <c r="L162" s="75"/>
      <c r="AC162" s="248" t="s">
        <v>775</v>
      </c>
      <c r="AD162" s="55"/>
      <c r="AE162" s="55"/>
      <c r="AF162" s="55"/>
      <c r="AG162" s="55"/>
      <c r="AH162" s="55"/>
      <c r="AI162" s="55"/>
      <c r="AJ162" s="55"/>
      <c r="AK162" s="55"/>
      <c r="AL162" s="55"/>
      <c r="AM162" s="241"/>
      <c r="AN162" s="241"/>
    </row>
    <row r="163" spans="1:40" s="50" customFormat="1" x14ac:dyDescent="0.35">
      <c r="A163" s="75" t="s">
        <v>685</v>
      </c>
      <c r="B163" s="55"/>
      <c r="C163" s="55"/>
      <c r="D163" s="55"/>
      <c r="E163" s="55"/>
      <c r="F163" s="55"/>
      <c r="G163" s="55"/>
      <c r="H163" s="55"/>
      <c r="I163" s="55"/>
      <c r="J163" s="55"/>
      <c r="K163" s="224"/>
      <c r="N163" s="222"/>
      <c r="U163" s="75"/>
      <c r="V163" s="75"/>
      <c r="AC163" s="248" t="s">
        <v>776</v>
      </c>
      <c r="AD163" s="55"/>
      <c r="AE163" s="55"/>
      <c r="AF163" s="55"/>
      <c r="AG163" s="55"/>
      <c r="AH163" s="55"/>
      <c r="AI163" s="55"/>
      <c r="AJ163" s="55"/>
      <c r="AK163" s="55"/>
      <c r="AL163" s="55"/>
      <c r="AM163" s="241"/>
      <c r="AN163" s="241"/>
    </row>
    <row r="164" spans="1:40" ht="14.25" x14ac:dyDescent="0.45">
      <c r="A164" s="75" t="s">
        <v>686</v>
      </c>
      <c r="B164"/>
      <c r="C164"/>
      <c r="D164"/>
      <c r="E164"/>
      <c r="F164"/>
      <c r="G164"/>
      <c r="H164"/>
      <c r="I164"/>
      <c r="J164"/>
      <c r="K164" s="217"/>
      <c r="L164" s="75"/>
      <c r="U164" s="50"/>
      <c r="V164" s="50"/>
      <c r="AC164" s="139" t="s">
        <v>777</v>
      </c>
      <c r="AD164" s="55"/>
      <c r="AE164" s="55"/>
      <c r="AF164" s="55"/>
      <c r="AG164" s="55"/>
      <c r="AH164" s="55"/>
      <c r="AI164" s="55"/>
      <c r="AJ164" s="55"/>
      <c r="AK164" s="55"/>
      <c r="AL164" s="55"/>
      <c r="AM164" s="241"/>
      <c r="AN164" s="241"/>
    </row>
    <row r="165" spans="1:40" ht="14.25" x14ac:dyDescent="0.45">
      <c r="A165" s="75" t="s">
        <v>687</v>
      </c>
      <c r="B165"/>
      <c r="C165"/>
      <c r="D165"/>
      <c r="E165"/>
      <c r="F165"/>
      <c r="G165"/>
      <c r="H165"/>
      <c r="I165"/>
      <c r="J165"/>
      <c r="K165" s="217"/>
      <c r="L165" s="75"/>
      <c r="AC165" s="248" t="s">
        <v>778</v>
      </c>
      <c r="AD165" s="55"/>
      <c r="AE165" s="55"/>
      <c r="AF165" s="55"/>
      <c r="AG165" s="55"/>
      <c r="AH165" s="55"/>
      <c r="AI165" s="55"/>
      <c r="AJ165" s="55"/>
      <c r="AK165" s="55"/>
      <c r="AL165" s="55"/>
      <c r="AM165" s="241"/>
      <c r="AN165" s="241"/>
    </row>
    <row r="166" spans="1:40" ht="14.25" x14ac:dyDescent="0.45">
      <c r="A166" s="75" t="s">
        <v>688</v>
      </c>
      <c r="B166"/>
      <c r="C166"/>
      <c r="D166"/>
      <c r="E166"/>
      <c r="F166"/>
      <c r="G166"/>
      <c r="H166"/>
      <c r="I166"/>
      <c r="J166"/>
      <c r="K166" s="217"/>
      <c r="L166" s="75"/>
      <c r="AC166" s="248" t="s">
        <v>779</v>
      </c>
      <c r="AD166" s="55"/>
      <c r="AE166" s="55"/>
      <c r="AF166" s="55"/>
      <c r="AG166" s="55"/>
      <c r="AH166" s="55"/>
      <c r="AI166" s="55"/>
      <c r="AJ166" s="55"/>
      <c r="AK166" s="55"/>
      <c r="AL166" s="55"/>
      <c r="AM166" s="241"/>
      <c r="AN166" s="241"/>
    </row>
    <row r="167" spans="1:40" s="50" customFormat="1" x14ac:dyDescent="0.35">
      <c r="A167" s="75" t="s">
        <v>689</v>
      </c>
      <c r="B167" s="55"/>
      <c r="C167" s="55"/>
      <c r="D167" s="55"/>
      <c r="E167" s="55"/>
      <c r="F167" s="55"/>
      <c r="G167" s="55"/>
      <c r="H167" s="55"/>
      <c r="I167" s="55"/>
      <c r="J167" s="55"/>
      <c r="K167" s="224"/>
      <c r="N167" s="222"/>
      <c r="U167" s="75"/>
      <c r="V167" s="75"/>
      <c r="AC167" s="248" t="s">
        <v>780</v>
      </c>
      <c r="AD167" s="55"/>
      <c r="AE167" s="55"/>
      <c r="AF167" s="55"/>
      <c r="AG167" s="55"/>
      <c r="AH167" s="55"/>
      <c r="AI167" s="55"/>
      <c r="AJ167" s="55"/>
      <c r="AK167" s="55"/>
      <c r="AL167" s="55"/>
      <c r="AM167" s="241"/>
      <c r="AN167" s="241"/>
    </row>
    <row r="168" spans="1:40" ht="14.25" x14ac:dyDescent="0.45">
      <c r="A168" s="75" t="s">
        <v>690</v>
      </c>
      <c r="B168"/>
      <c r="C168"/>
      <c r="D168"/>
      <c r="E168"/>
      <c r="F168"/>
      <c r="G168"/>
      <c r="H168"/>
      <c r="I168"/>
      <c r="J168"/>
      <c r="K168" s="217"/>
      <c r="L168" s="75"/>
      <c r="U168" s="50"/>
      <c r="V168" s="50"/>
      <c r="AC168" s="248" t="s">
        <v>781</v>
      </c>
      <c r="AD168" s="55"/>
      <c r="AE168" s="55"/>
      <c r="AF168" s="55"/>
      <c r="AG168" s="55"/>
      <c r="AH168" s="55"/>
      <c r="AI168" s="55"/>
      <c r="AJ168" s="55"/>
      <c r="AK168" s="55"/>
      <c r="AL168" s="55"/>
      <c r="AM168" s="241"/>
      <c r="AN168" s="241"/>
    </row>
    <row r="169" spans="1:40" ht="14.25" x14ac:dyDescent="0.45">
      <c r="A169" s="75" t="s">
        <v>691</v>
      </c>
      <c r="B169"/>
      <c r="C169"/>
      <c r="D169"/>
      <c r="E169"/>
      <c r="F169"/>
      <c r="G169"/>
      <c r="H169"/>
      <c r="I169"/>
      <c r="J169"/>
      <c r="K169" s="217"/>
      <c r="L169" s="75"/>
      <c r="AC169" s="248" t="s">
        <v>782</v>
      </c>
      <c r="AD169" s="55"/>
      <c r="AE169" s="55"/>
      <c r="AF169" s="55"/>
      <c r="AG169" s="55"/>
      <c r="AH169" s="55"/>
      <c r="AI169" s="55"/>
      <c r="AJ169" s="55"/>
      <c r="AK169" s="55"/>
      <c r="AL169" s="55"/>
      <c r="AM169" s="241"/>
      <c r="AN169" s="241"/>
    </row>
    <row r="170" spans="1:40" ht="14.25" x14ac:dyDescent="0.45">
      <c r="A170" s="75" t="s">
        <v>692</v>
      </c>
      <c r="B170"/>
      <c r="C170"/>
      <c r="D170"/>
      <c r="E170"/>
      <c r="F170"/>
      <c r="G170"/>
      <c r="H170"/>
      <c r="I170"/>
      <c r="J170"/>
      <c r="K170" s="217"/>
      <c r="L170" s="75"/>
      <c r="AC170" s="248" t="s">
        <v>783</v>
      </c>
      <c r="AD170" s="55"/>
      <c r="AE170" s="55"/>
      <c r="AF170" s="55"/>
      <c r="AG170" s="55"/>
      <c r="AH170" s="55"/>
      <c r="AI170" s="55"/>
      <c r="AJ170" s="55"/>
      <c r="AK170" s="55"/>
      <c r="AL170" s="55"/>
      <c r="AM170" s="241"/>
      <c r="AN170" s="241"/>
    </row>
    <row r="171" spans="1:40" ht="14.25" x14ac:dyDescent="0.45">
      <c r="A171" s="75" t="s">
        <v>693</v>
      </c>
      <c r="B171"/>
      <c r="C171"/>
      <c r="D171"/>
      <c r="E171"/>
      <c r="F171"/>
      <c r="G171"/>
      <c r="H171"/>
      <c r="I171"/>
      <c r="J171"/>
      <c r="K171" s="217"/>
      <c r="L171" s="75"/>
      <c r="AC171" s="248" t="s">
        <v>784</v>
      </c>
      <c r="AD171" s="55"/>
      <c r="AE171" s="55"/>
      <c r="AF171" s="55"/>
      <c r="AG171" s="55"/>
      <c r="AH171" s="55"/>
      <c r="AI171" s="55"/>
      <c r="AJ171" s="55"/>
      <c r="AK171" s="55"/>
      <c r="AL171" s="55"/>
      <c r="AM171" s="241"/>
      <c r="AN171" s="241"/>
    </row>
    <row r="172" spans="1:40" ht="14.25" x14ac:dyDescent="0.45">
      <c r="A172" s="75" t="s">
        <v>694</v>
      </c>
      <c r="B172"/>
      <c r="C172"/>
      <c r="D172"/>
      <c r="E172"/>
      <c r="F172"/>
      <c r="G172"/>
      <c r="H172"/>
      <c r="I172"/>
      <c r="J172"/>
      <c r="K172" s="217"/>
      <c r="L172" s="75"/>
      <c r="AC172" s="248" t="s">
        <v>785</v>
      </c>
      <c r="AD172" s="55"/>
      <c r="AE172" s="55"/>
      <c r="AF172" s="55"/>
      <c r="AG172" s="55"/>
      <c r="AH172" s="55"/>
      <c r="AI172" s="55"/>
      <c r="AJ172" s="55"/>
      <c r="AK172" s="55"/>
      <c r="AL172" s="55"/>
      <c r="AM172" s="241"/>
      <c r="AN172" s="241"/>
    </row>
    <row r="173" spans="1:40" ht="14.25" x14ac:dyDescent="0.45">
      <c r="A173" s="75" t="s">
        <v>695</v>
      </c>
      <c r="B173"/>
      <c r="C173"/>
      <c r="D173"/>
      <c r="E173"/>
      <c r="F173"/>
      <c r="G173"/>
      <c r="H173"/>
      <c r="I173"/>
      <c r="J173"/>
      <c r="K173" s="217"/>
      <c r="L173" s="75"/>
      <c r="AC173" s="248" t="s">
        <v>786</v>
      </c>
      <c r="AD173" s="55"/>
      <c r="AE173" s="55"/>
      <c r="AF173" s="55"/>
      <c r="AG173" s="55"/>
      <c r="AH173" s="55"/>
      <c r="AI173" s="55"/>
      <c r="AJ173" s="55"/>
      <c r="AK173" s="55"/>
      <c r="AL173" s="55"/>
      <c r="AM173" s="241"/>
      <c r="AN173" s="241"/>
    </row>
    <row r="174" spans="1:40" s="50" customFormat="1" x14ac:dyDescent="0.35">
      <c r="A174" s="75" t="s">
        <v>696</v>
      </c>
      <c r="B174" s="55"/>
      <c r="C174" s="55"/>
      <c r="D174" s="55"/>
      <c r="E174" s="55"/>
      <c r="F174" s="55"/>
      <c r="G174" s="55"/>
      <c r="H174" s="55"/>
      <c r="I174" s="55"/>
      <c r="J174" s="55"/>
      <c r="K174" s="224"/>
      <c r="N174" s="222"/>
      <c r="U174" s="75"/>
      <c r="V174" s="75"/>
      <c r="AC174" s="248" t="s">
        <v>787</v>
      </c>
      <c r="AD174" s="55"/>
      <c r="AE174" s="55"/>
      <c r="AF174" s="55"/>
      <c r="AG174" s="55"/>
      <c r="AH174" s="55"/>
      <c r="AI174" s="55"/>
      <c r="AJ174" s="55"/>
      <c r="AK174" s="55"/>
      <c r="AL174" s="55"/>
      <c r="AM174" s="241"/>
      <c r="AN174" s="241"/>
    </row>
    <row r="175" spans="1:40" ht="14.25" x14ac:dyDescent="0.45">
      <c r="A175" s="75" t="s">
        <v>697</v>
      </c>
      <c r="B175"/>
      <c r="C175"/>
      <c r="D175"/>
      <c r="E175"/>
      <c r="F175"/>
      <c r="G175"/>
      <c r="H175"/>
      <c r="I175"/>
      <c r="J175"/>
      <c r="K175" s="217"/>
      <c r="L175" s="75"/>
      <c r="U175" s="50"/>
      <c r="V175" s="50"/>
      <c r="AC175" s="248" t="s">
        <v>788</v>
      </c>
      <c r="AD175" s="55"/>
      <c r="AE175" s="55"/>
      <c r="AF175" s="55"/>
      <c r="AG175" s="55"/>
      <c r="AH175" s="55"/>
      <c r="AI175" s="55"/>
      <c r="AJ175" s="55"/>
      <c r="AK175" s="55"/>
      <c r="AL175" s="55"/>
      <c r="AM175" s="241"/>
      <c r="AN175" s="241"/>
    </row>
    <row r="176" spans="1:40" s="50" customFormat="1" x14ac:dyDescent="0.35">
      <c r="A176" s="75" t="s">
        <v>698</v>
      </c>
      <c r="B176" s="55"/>
      <c r="C176" s="55"/>
      <c r="D176" s="55"/>
      <c r="E176" s="55"/>
      <c r="F176" s="55"/>
      <c r="G176" s="55"/>
      <c r="H176" s="55"/>
      <c r="I176" s="55"/>
      <c r="J176" s="55"/>
      <c r="K176" s="224"/>
      <c r="N176" s="222"/>
      <c r="U176" s="75"/>
      <c r="V176" s="75"/>
      <c r="AC176" s="248" t="s">
        <v>789</v>
      </c>
      <c r="AD176" s="55"/>
      <c r="AE176" s="55"/>
      <c r="AF176" s="55"/>
      <c r="AG176" s="55"/>
      <c r="AH176" s="241"/>
      <c r="AI176" s="55"/>
      <c r="AJ176" s="55"/>
      <c r="AK176" s="55"/>
      <c r="AL176" s="55"/>
      <c r="AM176" s="241"/>
      <c r="AN176" s="241"/>
    </row>
    <row r="177" spans="1:40" ht="14.25" x14ac:dyDescent="0.45">
      <c r="A177" s="75" t="s">
        <v>699</v>
      </c>
      <c r="B177"/>
      <c r="C177"/>
      <c r="D177"/>
      <c r="E177"/>
      <c r="F177"/>
      <c r="G177"/>
      <c r="H177"/>
      <c r="I177"/>
      <c r="J177"/>
      <c r="K177" s="217"/>
      <c r="L177" s="75"/>
      <c r="U177" s="50"/>
      <c r="V177" s="50"/>
      <c r="AC177" s="248" t="s">
        <v>790</v>
      </c>
      <c r="AD177" s="55"/>
      <c r="AE177" s="55"/>
      <c r="AF177" s="55"/>
      <c r="AG177" s="55"/>
      <c r="AH177" s="55"/>
      <c r="AI177" s="55"/>
      <c r="AJ177" s="55"/>
      <c r="AK177" s="55"/>
      <c r="AL177" s="55"/>
      <c r="AM177" s="241"/>
      <c r="AN177" s="241"/>
    </row>
    <row r="178" spans="1:40" s="50" customFormat="1" x14ac:dyDescent="0.35">
      <c r="A178" s="75" t="s">
        <v>700</v>
      </c>
      <c r="B178" s="55"/>
      <c r="C178" s="55"/>
      <c r="D178" s="55"/>
      <c r="E178" s="55"/>
      <c r="F178" s="55"/>
      <c r="G178" s="55"/>
      <c r="H178" s="55"/>
      <c r="I178" s="55"/>
      <c r="J178" s="55"/>
      <c r="K178" s="224"/>
      <c r="N178" s="222"/>
      <c r="U178" s="75"/>
      <c r="V178" s="75"/>
      <c r="AC178" s="248" t="s">
        <v>791</v>
      </c>
      <c r="AD178" s="55"/>
      <c r="AE178" s="55"/>
      <c r="AF178" s="55"/>
      <c r="AG178" s="55"/>
      <c r="AH178" s="55"/>
      <c r="AI178" s="55"/>
      <c r="AJ178" s="55"/>
      <c r="AK178" s="55"/>
      <c r="AL178" s="55"/>
      <c r="AM178" s="241"/>
      <c r="AN178" s="241"/>
    </row>
    <row r="179" spans="1:40" ht="14.25" x14ac:dyDescent="0.45">
      <c r="A179" s="75" t="s">
        <v>701</v>
      </c>
      <c r="B179"/>
      <c r="C179"/>
      <c r="D179"/>
      <c r="E179"/>
      <c r="F179"/>
      <c r="G179"/>
      <c r="H179"/>
      <c r="I179"/>
      <c r="J179"/>
      <c r="K179" s="217"/>
      <c r="L179" s="75"/>
      <c r="U179" s="50"/>
      <c r="V179" s="50"/>
      <c r="AC179" s="248" t="s">
        <v>792</v>
      </c>
      <c r="AD179" s="55"/>
      <c r="AE179" s="55"/>
      <c r="AF179" s="55"/>
      <c r="AG179" s="55"/>
      <c r="AH179" s="55"/>
      <c r="AI179" s="55"/>
      <c r="AJ179" s="55"/>
      <c r="AK179" s="55"/>
      <c r="AL179" s="55"/>
      <c r="AM179" s="241"/>
      <c r="AN179" s="241"/>
    </row>
    <row r="180" spans="1:40" s="50" customFormat="1" x14ac:dyDescent="0.35">
      <c r="A180" s="75" t="s">
        <v>702</v>
      </c>
      <c r="B180" s="55"/>
      <c r="C180" s="55"/>
      <c r="D180" s="55"/>
      <c r="E180" s="55"/>
      <c r="F180" s="55"/>
      <c r="G180" s="55"/>
      <c r="H180" s="55"/>
      <c r="I180" s="55"/>
      <c r="J180" s="55"/>
      <c r="K180" s="224"/>
      <c r="N180" s="222"/>
      <c r="U180" s="75"/>
      <c r="V180" s="75"/>
      <c r="AC180" s="248" t="s">
        <v>793</v>
      </c>
      <c r="AD180" s="55"/>
      <c r="AE180" s="55"/>
      <c r="AF180" s="55"/>
      <c r="AG180" s="55"/>
      <c r="AH180" s="55"/>
      <c r="AI180" s="55"/>
      <c r="AJ180" s="55"/>
      <c r="AK180" s="55"/>
      <c r="AL180" s="55"/>
      <c r="AM180" s="249"/>
      <c r="AN180" s="241"/>
    </row>
    <row r="181" spans="1:40" ht="14.25" x14ac:dyDescent="0.45">
      <c r="A181" s="75" t="s">
        <v>703</v>
      </c>
      <c r="B181"/>
      <c r="C181"/>
      <c r="D181"/>
      <c r="E181"/>
      <c r="F181"/>
      <c r="G181"/>
      <c r="H181"/>
      <c r="I181"/>
      <c r="J181"/>
      <c r="K181" s="217"/>
      <c r="L181" s="75"/>
      <c r="U181" s="50"/>
      <c r="V181" s="50"/>
      <c r="AC181" s="248" t="s">
        <v>794</v>
      </c>
      <c r="AD181" s="55"/>
      <c r="AE181" s="55"/>
      <c r="AF181" s="55"/>
      <c r="AG181" s="55"/>
      <c r="AH181" s="55"/>
      <c r="AI181" s="55"/>
      <c r="AJ181" s="55"/>
      <c r="AK181" s="55"/>
      <c r="AL181" s="55"/>
      <c r="AM181" s="241"/>
      <c r="AN181" s="241"/>
    </row>
    <row r="182" spans="1:40" s="50" customFormat="1" x14ac:dyDescent="0.35">
      <c r="A182" s="75" t="s">
        <v>704</v>
      </c>
      <c r="B182" s="55"/>
      <c r="C182" s="55"/>
      <c r="D182" s="55"/>
      <c r="E182" s="55"/>
      <c r="F182" s="55"/>
      <c r="G182" s="55"/>
      <c r="H182" s="55"/>
      <c r="I182" s="55"/>
      <c r="J182" s="55"/>
      <c r="K182" s="224"/>
      <c r="N182" s="222"/>
      <c r="U182" s="75"/>
      <c r="V182" s="75"/>
      <c r="AC182" s="248" t="s">
        <v>795</v>
      </c>
      <c r="AD182" s="55"/>
      <c r="AE182" s="55"/>
      <c r="AF182" s="55"/>
      <c r="AG182" s="55"/>
      <c r="AH182" s="55"/>
      <c r="AI182" s="55"/>
      <c r="AJ182" s="55"/>
      <c r="AK182" s="55"/>
      <c r="AL182" s="55"/>
      <c r="AM182" s="241"/>
      <c r="AN182" s="241"/>
    </row>
    <row r="183" spans="1:40" ht="14.25" x14ac:dyDescent="0.45">
      <c r="A183" s="75" t="s">
        <v>705</v>
      </c>
      <c r="B183"/>
      <c r="C183"/>
      <c r="D183"/>
      <c r="E183"/>
      <c r="F183"/>
      <c r="G183"/>
      <c r="H183"/>
      <c r="I183"/>
      <c r="J183"/>
      <c r="K183" s="217"/>
      <c r="L183" s="75"/>
      <c r="U183" s="50"/>
      <c r="V183" s="50"/>
      <c r="AC183" s="248" t="s">
        <v>796</v>
      </c>
      <c r="AD183" s="55"/>
      <c r="AE183" s="55"/>
      <c r="AF183" s="55"/>
      <c r="AG183" s="55"/>
      <c r="AH183" s="55"/>
      <c r="AI183" s="55"/>
      <c r="AJ183" s="55"/>
      <c r="AK183" s="55"/>
      <c r="AL183" s="55"/>
      <c r="AM183" s="250"/>
      <c r="AN183" s="250"/>
    </row>
    <row r="184" spans="1:40" s="50" customFormat="1" x14ac:dyDescent="0.35">
      <c r="A184" s="75" t="s">
        <v>706</v>
      </c>
      <c r="B184" s="55"/>
      <c r="C184" s="55"/>
      <c r="D184" s="55"/>
      <c r="E184" s="55"/>
      <c r="F184" s="55"/>
      <c r="G184" s="55"/>
      <c r="H184" s="55"/>
      <c r="I184" s="55"/>
      <c r="J184" s="55"/>
      <c r="K184" s="224"/>
      <c r="N184" s="222"/>
      <c r="U184" s="75"/>
      <c r="V184" s="75"/>
      <c r="AC184" s="248" t="s">
        <v>797</v>
      </c>
      <c r="AD184" s="55"/>
      <c r="AE184" s="55"/>
      <c r="AF184" s="55"/>
      <c r="AG184" s="55"/>
      <c r="AH184" s="55"/>
      <c r="AI184" s="55"/>
      <c r="AJ184" s="55"/>
      <c r="AK184" s="55"/>
      <c r="AL184" s="55"/>
      <c r="AM184" s="250"/>
      <c r="AN184" s="250"/>
    </row>
    <row r="185" spans="1:40" ht="14.25" x14ac:dyDescent="0.45">
      <c r="A185" s="75" t="s">
        <v>707</v>
      </c>
      <c r="B185"/>
      <c r="C185"/>
      <c r="D185"/>
      <c r="E185"/>
      <c r="F185"/>
      <c r="G185"/>
      <c r="H185"/>
      <c r="I185"/>
      <c r="J185"/>
      <c r="K185" s="217"/>
      <c r="L185" s="75"/>
      <c r="U185" s="50"/>
      <c r="V185" s="50"/>
      <c r="AC185" s="248" t="s">
        <v>798</v>
      </c>
      <c r="AD185" s="55"/>
      <c r="AE185" s="55"/>
      <c r="AF185" s="55"/>
      <c r="AG185" s="55"/>
      <c r="AH185" s="55"/>
      <c r="AI185" s="55"/>
      <c r="AJ185" s="55"/>
      <c r="AK185" s="55"/>
      <c r="AL185" s="55"/>
      <c r="AM185" s="250"/>
      <c r="AN185" s="250"/>
    </row>
    <row r="186" spans="1:40" s="50" customFormat="1" x14ac:dyDescent="0.35">
      <c r="A186" s="75" t="s">
        <v>708</v>
      </c>
      <c r="B186" s="55"/>
      <c r="C186" s="55"/>
      <c r="D186" s="55"/>
      <c r="E186" s="55"/>
      <c r="F186" s="55"/>
      <c r="G186" s="55"/>
      <c r="H186" s="55"/>
      <c r="I186" s="55"/>
      <c r="J186" s="55"/>
      <c r="K186" s="224"/>
      <c r="N186" s="222"/>
      <c r="U186" s="75"/>
      <c r="V186" s="75"/>
      <c r="AC186" s="139" t="s">
        <v>799</v>
      </c>
      <c r="AD186" s="55"/>
      <c r="AE186" s="55"/>
      <c r="AF186" s="55"/>
      <c r="AG186" s="55"/>
      <c r="AH186" s="55"/>
      <c r="AI186" s="55"/>
      <c r="AJ186" s="55"/>
      <c r="AK186" s="55"/>
      <c r="AL186" s="55"/>
      <c r="AM186" s="241"/>
      <c r="AN186" s="241"/>
    </row>
    <row r="187" spans="1:40" ht="14.25" x14ac:dyDescent="0.45">
      <c r="A187" s="75" t="s">
        <v>709</v>
      </c>
      <c r="B187"/>
      <c r="C187"/>
      <c r="D187"/>
      <c r="E187"/>
      <c r="F187"/>
      <c r="G187"/>
      <c r="H187"/>
      <c r="I187"/>
      <c r="J187"/>
      <c r="K187" s="217"/>
      <c r="L187" s="75"/>
      <c r="U187" s="50"/>
      <c r="V187" s="50"/>
      <c r="AC187" s="248" t="s">
        <v>800</v>
      </c>
      <c r="AD187" s="55"/>
      <c r="AE187" s="55"/>
      <c r="AF187" s="55"/>
      <c r="AG187" s="55"/>
      <c r="AH187" s="55"/>
      <c r="AI187" s="55"/>
      <c r="AJ187" s="55"/>
      <c r="AK187" s="55"/>
      <c r="AL187" s="55"/>
      <c r="AM187" s="1457"/>
      <c r="AN187" s="1457"/>
    </row>
    <row r="188" spans="1:40" s="50" customFormat="1" x14ac:dyDescent="0.35">
      <c r="A188" s="75" t="s">
        <v>710</v>
      </c>
      <c r="B188" s="55"/>
      <c r="C188" s="55"/>
      <c r="D188" s="55"/>
      <c r="E188" s="55"/>
      <c r="F188" s="55"/>
      <c r="G188" s="55"/>
      <c r="H188" s="55"/>
      <c r="I188" s="55"/>
      <c r="J188" s="55"/>
      <c r="K188" s="224"/>
      <c r="N188" s="222"/>
      <c r="U188" s="75"/>
      <c r="V188" s="75"/>
      <c r="AC188" s="248" t="s">
        <v>801</v>
      </c>
      <c r="AD188" s="55"/>
      <c r="AE188" s="55"/>
      <c r="AF188" s="55"/>
      <c r="AG188" s="55"/>
      <c r="AH188" s="55"/>
      <c r="AI188" s="55"/>
      <c r="AJ188" s="55"/>
      <c r="AK188" s="55"/>
      <c r="AL188" s="55"/>
      <c r="AM188" s="250"/>
      <c r="AN188" s="250"/>
    </row>
    <row r="189" spans="1:40" ht="14.25" x14ac:dyDescent="0.45">
      <c r="A189" s="138" t="s">
        <v>711</v>
      </c>
      <c r="B189"/>
      <c r="C189"/>
      <c r="D189"/>
      <c r="E189"/>
      <c r="F189"/>
      <c r="G189"/>
      <c r="H189"/>
      <c r="I189"/>
      <c r="J189"/>
      <c r="K189" s="217"/>
      <c r="L189" s="75"/>
      <c r="U189" s="50"/>
      <c r="V189" s="50"/>
      <c r="AC189" s="248" t="s">
        <v>802</v>
      </c>
      <c r="AD189" s="55"/>
      <c r="AE189" s="55"/>
      <c r="AF189" s="55"/>
      <c r="AG189" s="55"/>
      <c r="AH189" s="55"/>
      <c r="AI189" s="55"/>
      <c r="AJ189" s="55"/>
      <c r="AK189" s="55"/>
      <c r="AL189" s="55"/>
      <c r="AM189" s="251"/>
      <c r="AN189" s="251"/>
    </row>
    <row r="190" spans="1:40" ht="14.25" x14ac:dyDescent="0.45">
      <c r="A190" s="138" t="s">
        <v>712</v>
      </c>
      <c r="B190"/>
      <c r="C190"/>
      <c r="D190"/>
      <c r="E190"/>
      <c r="F190"/>
      <c r="G190"/>
      <c r="H190"/>
      <c r="I190"/>
      <c r="J190"/>
      <c r="K190" s="217"/>
      <c r="L190" s="75"/>
      <c r="AC190" s="248" t="s">
        <v>803</v>
      </c>
      <c r="AD190" s="55"/>
      <c r="AE190" s="55"/>
      <c r="AF190" s="55"/>
      <c r="AG190" s="55"/>
      <c r="AH190" s="55"/>
      <c r="AI190" s="55"/>
      <c r="AJ190" s="55"/>
      <c r="AK190" s="55"/>
      <c r="AL190" s="55"/>
      <c r="AM190" s="252"/>
      <c r="AN190" s="252"/>
    </row>
    <row r="191" spans="1:40" ht="14.25" x14ac:dyDescent="0.45">
      <c r="A191" s="138" t="s">
        <v>713</v>
      </c>
      <c r="B191"/>
      <c r="C191"/>
      <c r="D191"/>
      <c r="E191"/>
      <c r="F191"/>
      <c r="G191"/>
      <c r="H191"/>
      <c r="I191"/>
      <c r="J191"/>
      <c r="K191" s="217"/>
      <c r="L191" s="75"/>
      <c r="AC191" s="248" t="s">
        <v>804</v>
      </c>
      <c r="AD191" s="55"/>
      <c r="AE191" s="55"/>
      <c r="AF191" s="55"/>
      <c r="AG191" s="55"/>
      <c r="AH191" s="55"/>
      <c r="AI191" s="55"/>
      <c r="AJ191" s="55"/>
      <c r="AK191" s="55"/>
      <c r="AL191" s="55"/>
      <c r="AM191" s="252"/>
      <c r="AN191" s="252"/>
    </row>
    <row r="192" spans="1:40" ht="14.25" x14ac:dyDescent="0.45">
      <c r="A192" s="225" t="s">
        <v>714</v>
      </c>
      <c r="B192"/>
      <c r="C192"/>
      <c r="D192"/>
      <c r="E192"/>
      <c r="F192"/>
      <c r="G192"/>
      <c r="H192"/>
      <c r="I192"/>
      <c r="J192"/>
      <c r="L192" s="81"/>
      <c r="AC192" s="248" t="s">
        <v>805</v>
      </c>
      <c r="AD192" s="55"/>
      <c r="AE192" s="55"/>
      <c r="AF192" s="55"/>
      <c r="AG192" s="55"/>
      <c r="AH192" s="55"/>
      <c r="AI192" s="55"/>
      <c r="AJ192" s="55"/>
      <c r="AK192" s="55"/>
      <c r="AL192" s="55"/>
      <c r="AM192" s="252"/>
      <c r="AN192" s="252"/>
    </row>
    <row r="193" spans="1:40" ht="14.25" x14ac:dyDescent="0.45">
      <c r="A193" s="138" t="s">
        <v>715</v>
      </c>
      <c r="B193"/>
      <c r="C193"/>
      <c r="D193"/>
      <c r="E193"/>
      <c r="F193"/>
      <c r="G193"/>
      <c r="H193"/>
      <c r="I193"/>
      <c r="J193"/>
      <c r="L193" s="81"/>
      <c r="AC193" s="248" t="s">
        <v>806</v>
      </c>
      <c r="AD193" s="55"/>
      <c r="AE193" s="55"/>
      <c r="AF193" s="55"/>
      <c r="AG193" s="55"/>
      <c r="AH193" s="55"/>
      <c r="AI193" s="55"/>
      <c r="AJ193" s="55"/>
      <c r="AK193" s="55"/>
      <c r="AL193" s="55"/>
      <c r="AM193" s="252"/>
      <c r="AN193" s="252"/>
    </row>
    <row r="194" spans="1:40" ht="14.25" x14ac:dyDescent="0.45">
      <c r="A194" s="138" t="s">
        <v>716</v>
      </c>
      <c r="B194"/>
      <c r="C194"/>
      <c r="D194"/>
      <c r="E194"/>
      <c r="F194"/>
      <c r="G194"/>
      <c r="H194"/>
      <c r="I194"/>
      <c r="J194"/>
      <c r="L194" s="81"/>
      <c r="AC194" s="248" t="s">
        <v>807</v>
      </c>
      <c r="AD194" s="55"/>
      <c r="AE194" s="55"/>
      <c r="AF194" s="55"/>
      <c r="AG194" s="55"/>
      <c r="AH194" s="55"/>
      <c r="AI194" s="55"/>
      <c r="AJ194" s="55"/>
      <c r="AK194" s="55"/>
      <c r="AL194" s="55"/>
      <c r="AM194" s="252"/>
      <c r="AN194" s="252"/>
    </row>
    <row r="195" spans="1:40" ht="14.25" x14ac:dyDescent="0.45">
      <c r="A195" s="138" t="s">
        <v>717</v>
      </c>
      <c r="B195"/>
      <c r="C195"/>
      <c r="D195"/>
      <c r="E195"/>
      <c r="F195"/>
      <c r="G195"/>
      <c r="H195"/>
      <c r="I195"/>
      <c r="J195"/>
      <c r="L195" s="81"/>
      <c r="AC195" s="139" t="s">
        <v>808</v>
      </c>
      <c r="AD195" s="55"/>
      <c r="AE195" s="55"/>
      <c r="AF195" s="55"/>
      <c r="AG195" s="55"/>
      <c r="AH195" s="55"/>
      <c r="AI195" s="55"/>
      <c r="AJ195" s="55"/>
      <c r="AK195" s="55"/>
      <c r="AL195" s="55"/>
      <c r="AM195" s="252"/>
      <c r="AN195" s="252"/>
    </row>
    <row r="196" spans="1:40" ht="14.25" x14ac:dyDescent="0.45">
      <c r="A196" s="138" t="s">
        <v>718</v>
      </c>
      <c r="B196"/>
      <c r="C196"/>
      <c r="D196"/>
      <c r="E196"/>
      <c r="F196"/>
      <c r="G196"/>
      <c r="H196"/>
      <c r="I196"/>
      <c r="J196"/>
      <c r="L196" s="81"/>
      <c r="AC196" s="248" t="s">
        <v>809</v>
      </c>
      <c r="AD196" s="55"/>
      <c r="AE196" s="55"/>
      <c r="AF196" s="55"/>
      <c r="AG196" s="55"/>
      <c r="AH196" s="55"/>
      <c r="AI196" s="55"/>
      <c r="AJ196" s="55"/>
      <c r="AK196" s="55"/>
      <c r="AL196" s="55"/>
      <c r="AM196" s="252"/>
      <c r="AN196" s="252"/>
    </row>
    <row r="197" spans="1:40" ht="14.25" x14ac:dyDescent="0.45">
      <c r="A197" s="138" t="s">
        <v>719</v>
      </c>
      <c r="B197"/>
      <c r="C197"/>
      <c r="D197"/>
      <c r="E197"/>
      <c r="F197"/>
      <c r="G197"/>
      <c r="H197"/>
      <c r="I197"/>
      <c r="J197"/>
      <c r="L197" s="81"/>
      <c r="AC197" s="55"/>
      <c r="AD197" s="55"/>
      <c r="AE197" s="55"/>
      <c r="AF197" s="55"/>
      <c r="AG197" s="55"/>
      <c r="AH197" s="55"/>
      <c r="AI197" s="55"/>
      <c r="AJ197" s="55"/>
      <c r="AK197" s="55"/>
      <c r="AL197" s="55"/>
      <c r="AM197" s="252"/>
      <c r="AN197" s="252"/>
    </row>
    <row r="198" spans="1:40" ht="14.25" x14ac:dyDescent="0.45">
      <c r="A198" s="138" t="s">
        <v>720</v>
      </c>
      <c r="B198"/>
      <c r="C198"/>
      <c r="D198"/>
      <c r="E198"/>
      <c r="F198"/>
      <c r="G198"/>
      <c r="H198"/>
      <c r="I198"/>
      <c r="J198"/>
      <c r="L198" s="81"/>
      <c r="AC198" s="55"/>
      <c r="AD198" s="55"/>
      <c r="AE198" s="55"/>
      <c r="AF198" s="55"/>
      <c r="AG198" s="55"/>
      <c r="AH198" s="55"/>
      <c r="AI198" s="55"/>
      <c r="AJ198" s="55"/>
      <c r="AK198" s="55"/>
      <c r="AL198" s="55"/>
      <c r="AM198" s="252"/>
      <c r="AN198" s="252"/>
    </row>
    <row r="199" spans="1:40" ht="14.25" x14ac:dyDescent="0.45">
      <c r="A199" s="138" t="s">
        <v>721</v>
      </c>
      <c r="B199"/>
      <c r="C199"/>
      <c r="D199"/>
      <c r="E199"/>
      <c r="F199"/>
      <c r="G199"/>
      <c r="H199"/>
      <c r="I199"/>
      <c r="J199"/>
      <c r="L199" s="81"/>
      <c r="AC199" s="55"/>
      <c r="AD199" s="55"/>
      <c r="AE199" s="55"/>
      <c r="AF199" s="55"/>
      <c r="AG199" s="55"/>
      <c r="AH199" s="55"/>
      <c r="AI199" s="55"/>
      <c r="AJ199" s="55"/>
      <c r="AK199" s="55"/>
      <c r="AL199" s="55"/>
      <c r="AM199" s="252"/>
      <c r="AN199" s="252"/>
    </row>
    <row r="200" spans="1:40" ht="14.25" x14ac:dyDescent="0.45">
      <c r="A200" s="138" t="s">
        <v>722</v>
      </c>
      <c r="B200"/>
      <c r="C200"/>
      <c r="D200"/>
      <c r="E200"/>
      <c r="F200"/>
      <c r="G200"/>
      <c r="H200"/>
      <c r="I200"/>
      <c r="J200"/>
      <c r="L200" s="81"/>
      <c r="AC200" s="55"/>
      <c r="AD200" s="55"/>
      <c r="AE200" s="55"/>
      <c r="AF200" s="55"/>
      <c r="AG200" s="55"/>
      <c r="AH200" s="55"/>
      <c r="AI200" s="55"/>
      <c r="AJ200" s="55"/>
      <c r="AK200" s="55"/>
      <c r="AL200" s="55"/>
      <c r="AM200" s="252"/>
      <c r="AN200" s="252"/>
    </row>
    <row r="201" spans="1:40" ht="14.25" x14ac:dyDescent="0.45">
      <c r="A201" s="138" t="s">
        <v>723</v>
      </c>
      <c r="B201"/>
      <c r="C201"/>
      <c r="D201"/>
      <c r="E201"/>
      <c r="F201"/>
      <c r="G201"/>
      <c r="H201"/>
      <c r="I201"/>
      <c r="J201"/>
      <c r="L201" s="81"/>
      <c r="AC201" s="55"/>
      <c r="AD201" s="55"/>
      <c r="AE201" s="55"/>
      <c r="AF201" s="55"/>
      <c r="AG201" s="55"/>
      <c r="AH201" s="55"/>
      <c r="AI201" s="55"/>
      <c r="AJ201" s="55"/>
      <c r="AK201" s="55"/>
      <c r="AL201" s="55"/>
      <c r="AM201" s="252"/>
      <c r="AN201" s="252"/>
    </row>
    <row r="202" spans="1:40" ht="14.25" x14ac:dyDescent="0.45">
      <c r="A202" s="138" t="s">
        <v>724</v>
      </c>
      <c r="B202"/>
      <c r="C202"/>
      <c r="D202"/>
      <c r="E202"/>
      <c r="F202"/>
      <c r="G202"/>
      <c r="H202"/>
      <c r="I202"/>
      <c r="J202"/>
      <c r="L202" s="81"/>
      <c r="AC202" s="55"/>
      <c r="AD202" s="55"/>
      <c r="AE202" s="55"/>
      <c r="AF202" s="55"/>
      <c r="AG202" s="55"/>
      <c r="AH202" s="55"/>
      <c r="AI202" s="55"/>
      <c r="AJ202" s="55"/>
      <c r="AK202" s="55"/>
      <c r="AL202" s="55"/>
      <c r="AM202" s="252"/>
      <c r="AN202" s="252"/>
    </row>
    <row r="203" spans="1:40" ht="14.25" x14ac:dyDescent="0.45">
      <c r="A203" s="138" t="s">
        <v>725</v>
      </c>
      <c r="B203"/>
      <c r="C203"/>
      <c r="D203"/>
      <c r="E203"/>
      <c r="F203"/>
      <c r="G203"/>
      <c r="H203"/>
      <c r="I203"/>
      <c r="J203"/>
      <c r="L203" s="81"/>
      <c r="AC203" s="55"/>
      <c r="AD203" s="55"/>
      <c r="AE203" s="55"/>
      <c r="AF203" s="55"/>
      <c r="AG203" s="55"/>
      <c r="AH203" s="55"/>
      <c r="AI203" s="55"/>
      <c r="AJ203" s="55"/>
      <c r="AK203" s="55"/>
      <c r="AL203" s="55"/>
      <c r="AM203" s="253"/>
      <c r="AN203" s="253"/>
    </row>
    <row r="204" spans="1:40" ht="14.25" x14ac:dyDescent="0.45">
      <c r="A204" s="138" t="s">
        <v>726</v>
      </c>
      <c r="B204"/>
      <c r="C204"/>
      <c r="D204"/>
      <c r="E204"/>
      <c r="F204"/>
      <c r="G204"/>
      <c r="H204"/>
      <c r="I204"/>
      <c r="J204"/>
      <c r="L204" s="81"/>
      <c r="AC204" s="55"/>
      <c r="AD204" s="55"/>
      <c r="AE204" s="55"/>
      <c r="AF204" s="55"/>
      <c r="AG204" s="55"/>
      <c r="AH204" s="55"/>
      <c r="AI204" s="55"/>
      <c r="AJ204" s="55"/>
      <c r="AK204" s="55"/>
      <c r="AL204" s="55"/>
      <c r="AM204" s="252"/>
      <c r="AN204" s="252"/>
    </row>
    <row r="205" spans="1:40" ht="14.25" x14ac:dyDescent="0.45">
      <c r="A205" s="138" t="s">
        <v>727</v>
      </c>
      <c r="B205"/>
      <c r="C205"/>
      <c r="D205"/>
      <c r="E205"/>
      <c r="F205"/>
      <c r="G205"/>
      <c r="H205"/>
      <c r="I205"/>
      <c r="J205"/>
      <c r="L205" s="81"/>
      <c r="AC205" s="55"/>
      <c r="AD205" s="55"/>
      <c r="AE205" s="55"/>
      <c r="AF205" s="55"/>
      <c r="AG205" s="55"/>
      <c r="AH205" s="55"/>
      <c r="AI205" s="55"/>
      <c r="AJ205" s="55"/>
      <c r="AK205" s="55"/>
      <c r="AL205" s="55"/>
      <c r="AM205" s="252"/>
      <c r="AN205" s="252"/>
    </row>
    <row r="206" spans="1:40" ht="14.25" x14ac:dyDescent="0.45">
      <c r="A206" s="138" t="s">
        <v>728</v>
      </c>
      <c r="B206"/>
      <c r="C206"/>
      <c r="D206"/>
      <c r="E206"/>
      <c r="F206"/>
      <c r="G206"/>
      <c r="H206"/>
      <c r="I206"/>
      <c r="J206"/>
      <c r="L206" s="81"/>
    </row>
    <row r="207" spans="1:40" ht="14.25" x14ac:dyDescent="0.45">
      <c r="A207" s="138" t="s">
        <v>729</v>
      </c>
      <c r="B207"/>
      <c r="C207"/>
      <c r="D207"/>
      <c r="E207"/>
      <c r="F207"/>
      <c r="G207"/>
      <c r="H207"/>
      <c r="I207"/>
      <c r="J207"/>
      <c r="L207" s="81"/>
    </row>
    <row r="208" spans="1:40" ht="14.25" x14ac:dyDescent="0.45">
      <c r="A208" s="138" t="s">
        <v>730</v>
      </c>
      <c r="B208"/>
      <c r="C208"/>
      <c r="D208"/>
      <c r="E208"/>
      <c r="F208"/>
      <c r="G208"/>
      <c r="H208"/>
      <c r="I208"/>
      <c r="J208"/>
      <c r="L208" s="81"/>
    </row>
    <row r="209" spans="1:14" ht="14.25" x14ac:dyDescent="0.45">
      <c r="A209" t="s">
        <v>731</v>
      </c>
      <c r="B209"/>
      <c r="C209"/>
      <c r="D209"/>
      <c r="E209"/>
      <c r="F209"/>
      <c r="G209"/>
      <c r="H209"/>
      <c r="I209"/>
      <c r="J209"/>
      <c r="L209" s="81"/>
      <c r="N209" s="75"/>
    </row>
    <row r="210" spans="1:14" ht="14.25" x14ac:dyDescent="0.45">
      <c r="A210" t="s">
        <v>732</v>
      </c>
      <c r="B210"/>
      <c r="C210"/>
      <c r="D210"/>
      <c r="E210"/>
      <c r="F210"/>
      <c r="G210"/>
      <c r="H210"/>
      <c r="I210"/>
      <c r="J210"/>
      <c r="L210" s="81"/>
      <c r="N210" s="75"/>
    </row>
    <row r="211" spans="1:14" ht="14.25" x14ac:dyDescent="0.45">
      <c r="A211" t="s">
        <v>733</v>
      </c>
      <c r="B211"/>
      <c r="C211"/>
      <c r="D211"/>
      <c r="E211"/>
      <c r="F211"/>
      <c r="G211"/>
      <c r="H211"/>
      <c r="I211"/>
      <c r="J211"/>
      <c r="L211" s="81"/>
      <c r="N211" s="75"/>
    </row>
    <row r="212" spans="1:14" ht="14.25" x14ac:dyDescent="0.45">
      <c r="A212" t="s">
        <v>734</v>
      </c>
      <c r="B212"/>
      <c r="C212"/>
      <c r="D212"/>
      <c r="E212"/>
      <c r="F212"/>
      <c r="G212"/>
      <c r="H212"/>
      <c r="I212"/>
      <c r="J212"/>
      <c r="L212" s="81"/>
      <c r="N212" s="75"/>
    </row>
    <row r="213" spans="1:14" ht="14.25" x14ac:dyDescent="0.45">
      <c r="A213" t="s">
        <v>735</v>
      </c>
      <c r="B213"/>
      <c r="C213"/>
      <c r="D213"/>
      <c r="E213"/>
      <c r="F213"/>
      <c r="G213"/>
      <c r="H213"/>
      <c r="I213"/>
      <c r="J213"/>
      <c r="L213" s="81"/>
      <c r="N213" s="75"/>
    </row>
    <row r="214" spans="1:14" ht="14.25" x14ac:dyDescent="0.45">
      <c r="A214" s="226" t="s">
        <v>736</v>
      </c>
      <c r="B214"/>
      <c r="C214"/>
      <c r="D214"/>
      <c r="E214"/>
      <c r="F214"/>
      <c r="G214"/>
      <c r="H214"/>
      <c r="I214"/>
      <c r="J214"/>
      <c r="L214" s="81"/>
      <c r="N214" s="75"/>
    </row>
    <row r="215" spans="1:14" ht="14.25" x14ac:dyDescent="0.45">
      <c r="A215"/>
      <c r="B215"/>
      <c r="C215"/>
      <c r="D215"/>
      <c r="E215"/>
      <c r="F215"/>
      <c r="G215"/>
      <c r="H215"/>
      <c r="I215"/>
      <c r="J215"/>
      <c r="L215" s="81"/>
      <c r="N215" s="75"/>
    </row>
    <row r="216" spans="1:14" ht="14.25" x14ac:dyDescent="0.45">
      <c r="A216"/>
      <c r="B216"/>
      <c r="C216"/>
      <c r="D216"/>
      <c r="E216"/>
      <c r="F216"/>
      <c r="G216"/>
      <c r="H216"/>
      <c r="I216"/>
      <c r="J216"/>
      <c r="L216" s="81"/>
      <c r="N216" s="75"/>
    </row>
    <row r="217" spans="1:14" ht="14.25" x14ac:dyDescent="0.45">
      <c r="A217"/>
      <c r="B217"/>
      <c r="C217"/>
      <c r="D217"/>
      <c r="E217"/>
      <c r="F217"/>
      <c r="G217"/>
      <c r="H217"/>
      <c r="I217"/>
      <c r="J217"/>
      <c r="L217" s="81"/>
      <c r="N217" s="75"/>
    </row>
    <row r="218" spans="1:14" ht="14.25" x14ac:dyDescent="0.45">
      <c r="A218"/>
      <c r="B218"/>
      <c r="C218"/>
      <c r="D218"/>
      <c r="E218"/>
      <c r="F218"/>
      <c r="G218"/>
      <c r="H218"/>
      <c r="I218"/>
      <c r="J218"/>
      <c r="L218" s="81"/>
      <c r="N218" s="75"/>
    </row>
    <row r="219" spans="1:14" ht="14.25" x14ac:dyDescent="0.45">
      <c r="A219"/>
      <c r="B219"/>
      <c r="C219"/>
      <c r="D219"/>
      <c r="E219"/>
      <c r="F219"/>
      <c r="G219"/>
      <c r="H219"/>
      <c r="I219"/>
      <c r="J219"/>
      <c r="L219" s="81"/>
      <c r="N219" s="75"/>
    </row>
    <row r="220" spans="1:14" ht="14.25" x14ac:dyDescent="0.45">
      <c r="A220"/>
      <c r="B220"/>
      <c r="C220"/>
      <c r="D220"/>
      <c r="E220"/>
      <c r="F220"/>
      <c r="G220"/>
      <c r="H220"/>
      <c r="I220"/>
      <c r="J220"/>
      <c r="L220" s="81"/>
      <c r="N220" s="75"/>
    </row>
    <row r="221" spans="1:14" ht="14.25" x14ac:dyDescent="0.45">
      <c r="A221"/>
      <c r="B221"/>
      <c r="C221"/>
      <c r="D221"/>
      <c r="E221"/>
      <c r="F221"/>
      <c r="G221"/>
      <c r="H221"/>
      <c r="I221"/>
      <c r="J221"/>
      <c r="L221" s="81"/>
      <c r="N221" s="75"/>
    </row>
    <row r="222" spans="1:14" ht="14.25" x14ac:dyDescent="0.45">
      <c r="A222"/>
      <c r="B222"/>
      <c r="C222"/>
      <c r="D222"/>
      <c r="E222"/>
      <c r="F222"/>
      <c r="G222"/>
      <c r="H222"/>
      <c r="I222"/>
      <c r="J222"/>
      <c r="L222" s="81"/>
      <c r="N222" s="75"/>
    </row>
    <row r="223" spans="1:14" ht="14.25" x14ac:dyDescent="0.45">
      <c r="A223"/>
      <c r="B223"/>
      <c r="C223"/>
      <c r="D223"/>
      <c r="E223"/>
      <c r="F223"/>
      <c r="G223"/>
      <c r="H223"/>
      <c r="I223"/>
      <c r="J223"/>
      <c r="L223" s="81"/>
      <c r="N223" s="75"/>
    </row>
    <row r="224" spans="1:14" ht="14.25" x14ac:dyDescent="0.45">
      <c r="A224"/>
      <c r="B224"/>
      <c r="C224"/>
      <c r="D224"/>
      <c r="E224"/>
      <c r="F224"/>
      <c r="G224"/>
      <c r="H224"/>
      <c r="I224"/>
      <c r="J224"/>
      <c r="L224" s="81"/>
      <c r="N224" s="75"/>
    </row>
    <row r="225" spans="1:14" ht="14.25" x14ac:dyDescent="0.45">
      <c r="A225"/>
      <c r="B225"/>
      <c r="C225"/>
      <c r="D225"/>
      <c r="E225"/>
      <c r="F225"/>
      <c r="G225"/>
      <c r="H225"/>
      <c r="I225"/>
      <c r="J225"/>
      <c r="L225" s="81"/>
      <c r="N225" s="75"/>
    </row>
    <row r="226" spans="1:14" ht="14.25" x14ac:dyDescent="0.45">
      <c r="A226"/>
      <c r="B226"/>
      <c r="C226"/>
      <c r="D226"/>
      <c r="E226"/>
      <c r="F226"/>
      <c r="G226"/>
      <c r="H226"/>
      <c r="I226"/>
      <c r="J226"/>
      <c r="L226" s="81"/>
      <c r="N226" s="75"/>
    </row>
    <row r="227" spans="1:14" ht="14.25" x14ac:dyDescent="0.45">
      <c r="A227"/>
      <c r="B227"/>
      <c r="C227"/>
      <c r="D227"/>
      <c r="E227"/>
      <c r="F227"/>
      <c r="G227"/>
      <c r="H227"/>
      <c r="I227"/>
      <c r="J227"/>
      <c r="L227" s="81"/>
      <c r="N227" s="75"/>
    </row>
    <row r="228" spans="1:14" ht="14.25" x14ac:dyDescent="0.45">
      <c r="A228"/>
      <c r="B228"/>
      <c r="C228"/>
      <c r="D228"/>
      <c r="E228"/>
      <c r="F228"/>
      <c r="G228"/>
      <c r="H228"/>
      <c r="I228"/>
      <c r="J228"/>
      <c r="L228" s="81"/>
      <c r="N228" s="75"/>
    </row>
    <row r="229" spans="1:14" ht="14.25" x14ac:dyDescent="0.45">
      <c r="A229"/>
      <c r="B229"/>
      <c r="C229"/>
      <c r="D229"/>
      <c r="E229"/>
      <c r="F229"/>
      <c r="G229"/>
      <c r="H229"/>
      <c r="I229"/>
      <c r="J229"/>
      <c r="L229" s="81"/>
      <c r="N229" s="75"/>
    </row>
    <row r="230" spans="1:14" ht="14.25" x14ac:dyDescent="0.45">
      <c r="A230"/>
      <c r="B230"/>
      <c r="C230"/>
      <c r="D230"/>
      <c r="E230"/>
      <c r="F230"/>
      <c r="G230"/>
      <c r="H230"/>
      <c r="I230"/>
      <c r="J230"/>
      <c r="L230" s="81"/>
      <c r="N230" s="75"/>
    </row>
    <row r="231" spans="1:14" ht="14.25" x14ac:dyDescent="0.45">
      <c r="A231"/>
      <c r="B231"/>
      <c r="C231"/>
      <c r="D231"/>
      <c r="E231"/>
      <c r="F231"/>
      <c r="G231"/>
      <c r="H231"/>
      <c r="I231"/>
      <c r="J231"/>
      <c r="L231" s="81"/>
      <c r="N231" s="75"/>
    </row>
    <row r="232" spans="1:14" ht="14.25" x14ac:dyDescent="0.45">
      <c r="A232"/>
      <c r="B232"/>
      <c r="C232"/>
      <c r="D232"/>
      <c r="E232"/>
      <c r="F232"/>
      <c r="G232"/>
      <c r="H232"/>
      <c r="I232"/>
      <c r="J232"/>
      <c r="L232" s="81"/>
      <c r="N232" s="75"/>
    </row>
    <row r="233" spans="1:14" ht="14.25" x14ac:dyDescent="0.45">
      <c r="A233"/>
      <c r="B233"/>
      <c r="C233"/>
      <c r="D233"/>
      <c r="E233"/>
      <c r="F233"/>
      <c r="G233"/>
      <c r="H233"/>
      <c r="I233"/>
      <c r="J233"/>
      <c r="L233" s="81"/>
      <c r="N233" s="75"/>
    </row>
    <row r="234" spans="1:14" ht="14.25" x14ac:dyDescent="0.45">
      <c r="A234"/>
      <c r="B234"/>
      <c r="C234"/>
      <c r="D234"/>
      <c r="E234"/>
      <c r="F234"/>
      <c r="G234"/>
      <c r="H234"/>
      <c r="I234"/>
      <c r="J234"/>
      <c r="L234" s="81"/>
      <c r="N234" s="75"/>
    </row>
    <row r="235" spans="1:14" ht="14.25" x14ac:dyDescent="0.45">
      <c r="A235"/>
      <c r="B235"/>
      <c r="C235"/>
      <c r="D235"/>
      <c r="E235"/>
      <c r="F235"/>
      <c r="G235"/>
      <c r="H235"/>
      <c r="I235"/>
      <c r="J235"/>
      <c r="L235" s="81"/>
      <c r="N235" s="75"/>
    </row>
    <row r="236" spans="1:14" ht="14.25" x14ac:dyDescent="0.45">
      <c r="A236"/>
      <c r="B236"/>
      <c r="C236"/>
      <c r="D236"/>
      <c r="E236"/>
      <c r="F236"/>
      <c r="G236"/>
      <c r="H236"/>
      <c r="I236"/>
      <c r="J236"/>
      <c r="L236" s="81"/>
      <c r="N236" s="75"/>
    </row>
    <row r="237" spans="1:14" ht="14.25" x14ac:dyDescent="0.45">
      <c r="A237"/>
      <c r="B237"/>
      <c r="C237"/>
      <c r="D237"/>
      <c r="E237"/>
      <c r="F237"/>
      <c r="G237"/>
      <c r="H237"/>
      <c r="I237"/>
      <c r="J237"/>
      <c r="L237" s="81"/>
      <c r="N237" s="75"/>
    </row>
    <row r="238" spans="1:14" ht="14.25" x14ac:dyDescent="0.45">
      <c r="A238"/>
      <c r="B238"/>
      <c r="C238"/>
      <c r="D238"/>
      <c r="E238"/>
      <c r="F238"/>
      <c r="G238"/>
      <c r="H238"/>
      <c r="I238"/>
      <c r="J238"/>
      <c r="L238" s="81"/>
      <c r="N238" s="75"/>
    </row>
    <row r="239" spans="1:14" ht="14.25" x14ac:dyDescent="0.45">
      <c r="A239"/>
      <c r="B239"/>
      <c r="C239"/>
      <c r="D239"/>
      <c r="E239"/>
      <c r="F239"/>
      <c r="G239"/>
      <c r="H239"/>
      <c r="I239"/>
      <c r="J239"/>
      <c r="L239" s="81"/>
      <c r="N239" s="75"/>
    </row>
    <row r="240" spans="1:14" ht="14.25" x14ac:dyDescent="0.45">
      <c r="A240"/>
      <c r="B240"/>
      <c r="C240"/>
      <c r="D240"/>
      <c r="E240"/>
      <c r="F240"/>
      <c r="G240"/>
      <c r="H240"/>
      <c r="I240"/>
      <c r="J240"/>
      <c r="L240" s="81"/>
      <c r="N240" s="75"/>
    </row>
    <row r="241" spans="1:14" ht="14.25" x14ac:dyDescent="0.45">
      <c r="A241"/>
      <c r="B241"/>
      <c r="C241"/>
      <c r="D241"/>
      <c r="E241"/>
      <c r="F241"/>
      <c r="G241"/>
      <c r="H241"/>
      <c r="I241"/>
      <c r="J241"/>
      <c r="L241" s="81"/>
      <c r="N241" s="75"/>
    </row>
    <row r="242" spans="1:14" ht="14.25" x14ac:dyDescent="0.45">
      <c r="A242"/>
      <c r="B242"/>
      <c r="C242"/>
      <c r="D242"/>
      <c r="E242"/>
      <c r="F242"/>
      <c r="G242"/>
      <c r="H242"/>
      <c r="I242"/>
      <c r="J242"/>
      <c r="L242" s="81"/>
      <c r="N242" s="75"/>
    </row>
    <row r="243" spans="1:14" ht="14.25" x14ac:dyDescent="0.45">
      <c r="A243"/>
      <c r="B243"/>
      <c r="C243"/>
      <c r="D243"/>
      <c r="E243"/>
      <c r="F243"/>
      <c r="G243"/>
      <c r="H243"/>
      <c r="I243"/>
      <c r="J243"/>
      <c r="L243" s="81"/>
      <c r="N243" s="75"/>
    </row>
    <row r="244" spans="1:14" ht="14.25" x14ac:dyDescent="0.45">
      <c r="A244"/>
      <c r="B244"/>
      <c r="C244"/>
      <c r="D244"/>
      <c r="E244"/>
      <c r="F244"/>
      <c r="G244"/>
      <c r="H244"/>
      <c r="I244"/>
      <c r="J244"/>
      <c r="L244" s="81"/>
      <c r="N244" s="75"/>
    </row>
    <row r="245" spans="1:14" ht="14.25" x14ac:dyDescent="0.45">
      <c r="A245"/>
      <c r="B245"/>
      <c r="C245"/>
      <c r="D245"/>
      <c r="E245"/>
      <c r="F245"/>
      <c r="G245"/>
      <c r="H245"/>
      <c r="I245"/>
      <c r="J245"/>
      <c r="L245" s="81"/>
      <c r="N245" s="75"/>
    </row>
    <row r="246" spans="1:14" ht="14.25" x14ac:dyDescent="0.45">
      <c r="A246"/>
      <c r="B246"/>
      <c r="C246"/>
      <c r="D246"/>
      <c r="E246"/>
      <c r="F246"/>
      <c r="G246"/>
      <c r="H246"/>
      <c r="I246"/>
      <c r="J246"/>
      <c r="L246" s="81"/>
      <c r="N246" s="75"/>
    </row>
    <row r="247" spans="1:14" ht="14.25" x14ac:dyDescent="0.45">
      <c r="A247"/>
      <c r="B247"/>
      <c r="C247"/>
      <c r="D247"/>
      <c r="E247"/>
      <c r="F247"/>
      <c r="G247"/>
      <c r="H247"/>
      <c r="I247"/>
      <c r="J247"/>
      <c r="L247" s="81"/>
      <c r="N247" s="75"/>
    </row>
    <row r="248" spans="1:14" ht="14.25" x14ac:dyDescent="0.45">
      <c r="A248"/>
      <c r="B248"/>
      <c r="C248"/>
      <c r="D248"/>
      <c r="E248"/>
      <c r="F248"/>
      <c r="G248"/>
      <c r="H248"/>
      <c r="I248"/>
      <c r="J248"/>
      <c r="L248" s="81"/>
      <c r="N248" s="75"/>
    </row>
    <row r="249" spans="1:14" ht="14.25" x14ac:dyDescent="0.45">
      <c r="A249"/>
      <c r="B249"/>
      <c r="C249"/>
      <c r="D249"/>
      <c r="E249"/>
      <c r="F249"/>
      <c r="G249"/>
      <c r="H249"/>
      <c r="I249"/>
      <c r="J249"/>
      <c r="L249" s="81"/>
      <c r="N249" s="75"/>
    </row>
    <row r="250" spans="1:14" ht="14.25" x14ac:dyDescent="0.45">
      <c r="A250"/>
      <c r="B250"/>
      <c r="C250"/>
      <c r="D250"/>
      <c r="E250"/>
      <c r="F250"/>
      <c r="G250"/>
      <c r="H250"/>
      <c r="I250"/>
      <c r="J250"/>
      <c r="L250" s="81"/>
      <c r="N250" s="75"/>
    </row>
    <row r="251" spans="1:14" ht="14.25" x14ac:dyDescent="0.45">
      <c r="A251"/>
      <c r="B251"/>
      <c r="C251"/>
      <c r="D251"/>
      <c r="E251"/>
      <c r="F251"/>
      <c r="G251"/>
      <c r="H251"/>
      <c r="I251"/>
      <c r="J251"/>
      <c r="L251" s="81"/>
      <c r="N251" s="75"/>
    </row>
    <row r="252" spans="1:14" ht="14.25" x14ac:dyDescent="0.45">
      <c r="A252"/>
      <c r="B252"/>
      <c r="C252"/>
      <c r="D252"/>
      <c r="E252"/>
      <c r="F252"/>
      <c r="G252"/>
      <c r="H252"/>
      <c r="I252"/>
      <c r="J252"/>
      <c r="L252" s="81"/>
      <c r="N252" s="75"/>
    </row>
    <row r="253" spans="1:14" ht="14.25" x14ac:dyDescent="0.45">
      <c r="A253"/>
      <c r="B253"/>
      <c r="C253"/>
      <c r="D253"/>
      <c r="E253"/>
      <c r="F253"/>
      <c r="G253"/>
      <c r="H253"/>
      <c r="I253"/>
      <c r="J253"/>
      <c r="L253" s="81"/>
      <c r="N253" s="75"/>
    </row>
    <row r="254" spans="1:14" ht="14.25" x14ac:dyDescent="0.45">
      <c r="A254"/>
      <c r="B254"/>
      <c r="C254"/>
      <c r="D254"/>
      <c r="E254"/>
      <c r="F254"/>
      <c r="G254"/>
      <c r="H254"/>
      <c r="I254"/>
      <c r="J254"/>
      <c r="L254" s="81"/>
      <c r="N254" s="75"/>
    </row>
    <row r="255" spans="1:14" ht="14.25" x14ac:dyDescent="0.45">
      <c r="A255"/>
      <c r="B255"/>
      <c r="C255"/>
      <c r="D255"/>
      <c r="E255"/>
      <c r="F255"/>
      <c r="G255"/>
      <c r="H255"/>
      <c r="I255"/>
      <c r="J255"/>
      <c r="L255" s="81"/>
      <c r="N255" s="75"/>
    </row>
    <row r="256" spans="1:14" ht="14.25" x14ac:dyDescent="0.45">
      <c r="A256"/>
      <c r="B256"/>
      <c r="C256"/>
      <c r="D256"/>
      <c r="E256"/>
      <c r="F256"/>
      <c r="G256"/>
      <c r="H256"/>
      <c r="I256"/>
      <c r="J256"/>
      <c r="L256" s="81"/>
      <c r="N256" s="75"/>
    </row>
    <row r="257" spans="1:14" ht="14.25" x14ac:dyDescent="0.45">
      <c r="A257"/>
      <c r="B257"/>
      <c r="C257"/>
      <c r="D257"/>
      <c r="E257"/>
      <c r="F257"/>
      <c r="G257"/>
      <c r="H257"/>
      <c r="I257"/>
      <c r="J257"/>
      <c r="L257" s="81"/>
      <c r="N257" s="75"/>
    </row>
    <row r="258" spans="1:14" ht="14.25" x14ac:dyDescent="0.45">
      <c r="A258"/>
      <c r="B258"/>
      <c r="C258"/>
      <c r="D258"/>
      <c r="E258"/>
      <c r="F258"/>
      <c r="G258"/>
      <c r="H258"/>
      <c r="I258"/>
      <c r="J258"/>
      <c r="L258" s="81"/>
      <c r="N258" s="75"/>
    </row>
    <row r="259" spans="1:14" ht="14.25" x14ac:dyDescent="0.45">
      <c r="A259"/>
      <c r="B259"/>
      <c r="C259"/>
      <c r="D259"/>
      <c r="E259"/>
      <c r="F259"/>
      <c r="G259"/>
      <c r="H259"/>
      <c r="I259"/>
      <c r="J259"/>
      <c r="L259" s="81"/>
      <c r="N259" s="75"/>
    </row>
    <row r="260" spans="1:14" ht="14.25" x14ac:dyDescent="0.45">
      <c r="A260"/>
      <c r="B260"/>
      <c r="C260"/>
      <c r="D260"/>
      <c r="E260"/>
      <c r="F260"/>
      <c r="G260"/>
      <c r="H260"/>
      <c r="I260"/>
      <c r="J260"/>
      <c r="L260" s="81"/>
      <c r="N260" s="75"/>
    </row>
    <row r="261" spans="1:14" ht="14.25" x14ac:dyDescent="0.45">
      <c r="A261"/>
      <c r="B261"/>
      <c r="C261"/>
      <c r="D261"/>
      <c r="E261"/>
      <c r="F261"/>
      <c r="G261"/>
      <c r="H261"/>
      <c r="I261"/>
      <c r="J261"/>
      <c r="L261" s="81"/>
      <c r="N261" s="75"/>
    </row>
    <row r="262" spans="1:14" ht="14.25" x14ac:dyDescent="0.45">
      <c r="A262"/>
      <c r="B262"/>
      <c r="C262"/>
      <c r="D262"/>
      <c r="E262"/>
      <c r="F262"/>
      <c r="G262"/>
      <c r="H262"/>
      <c r="I262"/>
      <c r="J262"/>
      <c r="L262" s="81"/>
      <c r="N262" s="75"/>
    </row>
    <row r="263" spans="1:14" ht="14.25" x14ac:dyDescent="0.45">
      <c r="A263"/>
      <c r="B263"/>
      <c r="C263"/>
      <c r="D263"/>
      <c r="E263"/>
      <c r="F263"/>
      <c r="G263"/>
      <c r="H263"/>
      <c r="I263"/>
      <c r="J263"/>
      <c r="L263" s="81"/>
      <c r="N263" s="75"/>
    </row>
    <row r="264" spans="1:14" ht="14.25" x14ac:dyDescent="0.45">
      <c r="A264"/>
      <c r="B264"/>
      <c r="C264"/>
      <c r="D264"/>
      <c r="E264"/>
      <c r="F264"/>
      <c r="G264"/>
      <c r="H264"/>
      <c r="I264"/>
      <c r="J264"/>
      <c r="L264" s="81"/>
      <c r="N264" s="75"/>
    </row>
    <row r="265" spans="1:14" ht="14.25" x14ac:dyDescent="0.45">
      <c r="A265"/>
      <c r="B265"/>
      <c r="C265"/>
      <c r="D265"/>
      <c r="E265"/>
      <c r="F265"/>
      <c r="G265"/>
      <c r="H265"/>
      <c r="I265"/>
      <c r="J265"/>
      <c r="L265" s="81"/>
      <c r="N265" s="75"/>
    </row>
    <row r="266" spans="1:14" ht="14.25" x14ac:dyDescent="0.45">
      <c r="A266"/>
      <c r="B266"/>
      <c r="C266"/>
      <c r="D266"/>
      <c r="E266"/>
      <c r="F266"/>
      <c r="G266"/>
      <c r="H266"/>
      <c r="I266"/>
      <c r="J266"/>
      <c r="L266" s="81"/>
      <c r="N266" s="75"/>
    </row>
    <row r="267" spans="1:14" ht="14.25" x14ac:dyDescent="0.45">
      <c r="A267"/>
      <c r="B267"/>
      <c r="C267"/>
      <c r="D267"/>
      <c r="E267"/>
      <c r="F267"/>
      <c r="G267"/>
      <c r="H267"/>
      <c r="I267"/>
      <c r="J267"/>
      <c r="L267" s="81"/>
      <c r="N267" s="75"/>
    </row>
    <row r="268" spans="1:14" ht="14.25" x14ac:dyDescent="0.45">
      <c r="A268"/>
      <c r="B268"/>
      <c r="C268"/>
      <c r="D268"/>
      <c r="E268"/>
      <c r="F268"/>
      <c r="G268"/>
      <c r="H268"/>
      <c r="I268"/>
      <c r="J268"/>
      <c r="L268" s="81"/>
      <c r="N268" s="75"/>
    </row>
    <row r="269" spans="1:14" ht="14.25" x14ac:dyDescent="0.45">
      <c r="A269"/>
      <c r="B269"/>
      <c r="C269"/>
      <c r="D269"/>
      <c r="E269"/>
      <c r="F269"/>
      <c r="G269"/>
      <c r="H269"/>
      <c r="I269"/>
      <c r="J269"/>
      <c r="L269" s="81"/>
      <c r="N269" s="75"/>
    </row>
    <row r="270" spans="1:14" x14ac:dyDescent="0.35">
      <c r="A270" s="81"/>
      <c r="B270" s="81"/>
      <c r="I270" s="217"/>
      <c r="J270" s="217"/>
      <c r="L270" s="81"/>
      <c r="N270" s="75"/>
    </row>
    <row r="271" spans="1:14" x14ac:dyDescent="0.35">
      <c r="A271" s="81"/>
      <c r="B271" s="81"/>
      <c r="I271" s="217"/>
      <c r="J271" s="217"/>
      <c r="L271" s="81"/>
      <c r="N271" s="75"/>
    </row>
    <row r="272" spans="1:14" x14ac:dyDescent="0.35">
      <c r="I272" s="217"/>
      <c r="J272" s="217"/>
      <c r="L272" s="81"/>
      <c r="N272" s="75"/>
    </row>
    <row r="273" spans="9:14" x14ac:dyDescent="0.35">
      <c r="I273" s="217"/>
      <c r="J273" s="217"/>
      <c r="L273" s="81"/>
      <c r="N273" s="75"/>
    </row>
    <row r="274" spans="9:14" x14ac:dyDescent="0.35">
      <c r="I274" s="217"/>
      <c r="J274" s="217"/>
      <c r="L274" s="81"/>
      <c r="N274" s="75"/>
    </row>
    <row r="275" spans="9:14" x14ac:dyDescent="0.35">
      <c r="I275" s="217"/>
      <c r="J275" s="217"/>
      <c r="L275" s="81"/>
      <c r="N275" s="75"/>
    </row>
    <row r="276" spans="9:14" x14ac:dyDescent="0.35">
      <c r="I276" s="217"/>
      <c r="J276" s="217"/>
      <c r="L276" s="81"/>
      <c r="N276" s="75"/>
    </row>
    <row r="277" spans="9:14" x14ac:dyDescent="0.35">
      <c r="I277" s="217"/>
      <c r="J277" s="217"/>
      <c r="L277" s="81"/>
      <c r="N277" s="75"/>
    </row>
    <row r="278" spans="9:14" x14ac:dyDescent="0.35">
      <c r="I278" s="217"/>
      <c r="J278" s="217"/>
      <c r="L278" s="81"/>
      <c r="N278" s="75"/>
    </row>
    <row r="279" spans="9:14" x14ac:dyDescent="0.35">
      <c r="I279" s="217"/>
      <c r="J279" s="217"/>
      <c r="L279" s="81"/>
      <c r="N279" s="75"/>
    </row>
    <row r="280" spans="9:14" x14ac:dyDescent="0.35">
      <c r="I280" s="217"/>
      <c r="J280" s="217"/>
      <c r="L280" s="81"/>
      <c r="N280" s="75"/>
    </row>
    <row r="281" spans="9:14" x14ac:dyDescent="0.35">
      <c r="I281" s="217"/>
      <c r="J281" s="217"/>
      <c r="L281" s="81"/>
      <c r="N281" s="75"/>
    </row>
    <row r="282" spans="9:14" x14ac:dyDescent="0.35">
      <c r="I282" s="217"/>
      <c r="J282" s="217"/>
      <c r="L282" s="81"/>
      <c r="N282" s="75"/>
    </row>
    <row r="283" spans="9:14" x14ac:dyDescent="0.35">
      <c r="I283" s="217"/>
      <c r="J283" s="217"/>
      <c r="L283" s="81"/>
      <c r="N283" s="75"/>
    </row>
    <row r="284" spans="9:14" x14ac:dyDescent="0.35">
      <c r="I284" s="217"/>
      <c r="J284" s="217"/>
      <c r="L284" s="81"/>
      <c r="N284" s="75"/>
    </row>
    <row r="285" spans="9:14" x14ac:dyDescent="0.35">
      <c r="I285" s="217"/>
      <c r="J285" s="217"/>
      <c r="L285" s="81"/>
      <c r="N285" s="75"/>
    </row>
    <row r="286" spans="9:14" x14ac:dyDescent="0.35">
      <c r="I286" s="217"/>
      <c r="J286" s="217"/>
      <c r="L286" s="81"/>
      <c r="N286" s="75"/>
    </row>
    <row r="287" spans="9:14" x14ac:dyDescent="0.35">
      <c r="I287" s="217"/>
      <c r="J287" s="217"/>
      <c r="L287" s="81"/>
      <c r="N287" s="75"/>
    </row>
    <row r="288" spans="9:14" x14ac:dyDescent="0.35">
      <c r="I288" s="217"/>
      <c r="J288" s="217"/>
      <c r="L288" s="81"/>
      <c r="N288" s="75"/>
    </row>
    <row r="289" spans="9:14" x14ac:dyDescent="0.35">
      <c r="I289" s="217"/>
      <c r="J289" s="217"/>
      <c r="L289" s="81"/>
    </row>
    <row r="290" spans="9:14" x14ac:dyDescent="0.35">
      <c r="I290" s="217"/>
      <c r="J290" s="217"/>
      <c r="L290" s="81"/>
    </row>
    <row r="291" spans="9:14" x14ac:dyDescent="0.35">
      <c r="I291" s="217"/>
      <c r="J291" s="217"/>
      <c r="L291" s="81"/>
    </row>
    <row r="292" spans="9:14" x14ac:dyDescent="0.35">
      <c r="I292" s="217"/>
      <c r="J292" s="217"/>
      <c r="L292" s="81"/>
    </row>
    <row r="293" spans="9:14" x14ac:dyDescent="0.35">
      <c r="I293" s="217"/>
      <c r="J293" s="217"/>
      <c r="L293" s="81"/>
    </row>
    <row r="294" spans="9:14" x14ac:dyDescent="0.35">
      <c r="I294" s="217"/>
      <c r="J294" s="217"/>
      <c r="L294" s="81"/>
    </row>
    <row r="295" spans="9:14" x14ac:dyDescent="0.35">
      <c r="I295" s="217"/>
      <c r="J295" s="217"/>
      <c r="L295" s="81"/>
    </row>
    <row r="296" spans="9:14" x14ac:dyDescent="0.35">
      <c r="I296" s="217"/>
      <c r="J296" s="217"/>
      <c r="L296" s="81"/>
    </row>
    <row r="297" spans="9:14" x14ac:dyDescent="0.35">
      <c r="I297" s="217"/>
      <c r="J297" s="217"/>
      <c r="L297" s="81"/>
    </row>
    <row r="298" spans="9:14" x14ac:dyDescent="0.35">
      <c r="I298" s="217"/>
      <c r="J298" s="217"/>
      <c r="L298" s="81"/>
      <c r="M298" s="81"/>
      <c r="N298" s="227"/>
    </row>
    <row r="299" spans="9:14" x14ac:dyDescent="0.35">
      <c r="I299" s="217"/>
      <c r="J299" s="217"/>
      <c r="L299" s="81"/>
      <c r="M299" s="81"/>
      <c r="N299" s="227"/>
    </row>
    <row r="300" spans="9:14" x14ac:dyDescent="0.35">
      <c r="I300" s="217"/>
      <c r="J300" s="217"/>
      <c r="L300" s="81"/>
      <c r="M300" s="81"/>
      <c r="N300" s="227"/>
    </row>
    <row r="301" spans="9:14" x14ac:dyDescent="0.35">
      <c r="I301" s="217"/>
      <c r="J301" s="217"/>
      <c r="L301" s="81"/>
      <c r="M301" s="81"/>
      <c r="N301" s="227"/>
    </row>
    <row r="302" spans="9:14" x14ac:dyDescent="0.35">
      <c r="I302" s="217"/>
      <c r="J302" s="217"/>
      <c r="L302" s="81"/>
      <c r="M302" s="81"/>
      <c r="N302" s="227"/>
    </row>
    <row r="303" spans="9:14" x14ac:dyDescent="0.35">
      <c r="I303" s="217"/>
      <c r="J303" s="217"/>
      <c r="L303" s="81"/>
      <c r="M303" s="81"/>
      <c r="N303" s="227"/>
    </row>
    <row r="304" spans="9:14" x14ac:dyDescent="0.35">
      <c r="I304" s="217"/>
      <c r="J304" s="217"/>
      <c r="L304" s="81"/>
      <c r="M304" s="81"/>
      <c r="N304" s="227"/>
    </row>
    <row r="305" spans="9:14" x14ac:dyDescent="0.35">
      <c r="I305" s="217"/>
      <c r="J305" s="217"/>
      <c r="L305" s="81"/>
      <c r="M305" s="81"/>
      <c r="N305" s="227"/>
    </row>
    <row r="306" spans="9:14" x14ac:dyDescent="0.35">
      <c r="I306" s="217"/>
      <c r="J306" s="217"/>
      <c r="L306" s="81"/>
      <c r="M306" s="81"/>
      <c r="N306" s="227"/>
    </row>
    <row r="307" spans="9:14" x14ac:dyDescent="0.35">
      <c r="I307" s="217"/>
      <c r="J307" s="217"/>
      <c r="L307" s="81"/>
      <c r="M307" s="81"/>
      <c r="N307" s="227"/>
    </row>
    <row r="308" spans="9:14" x14ac:dyDescent="0.35">
      <c r="I308" s="217"/>
      <c r="J308" s="217"/>
      <c r="L308" s="81"/>
      <c r="M308" s="81"/>
      <c r="N308" s="227"/>
    </row>
    <row r="309" spans="9:14" x14ac:dyDescent="0.35">
      <c r="I309" s="217"/>
      <c r="J309" s="217"/>
      <c r="L309" s="81"/>
      <c r="M309" s="81"/>
      <c r="N309" s="227"/>
    </row>
    <row r="310" spans="9:14" x14ac:dyDescent="0.35">
      <c r="I310" s="217"/>
      <c r="J310" s="217"/>
      <c r="L310" s="81"/>
      <c r="M310" s="81"/>
      <c r="N310" s="227"/>
    </row>
    <row r="311" spans="9:14" x14ac:dyDescent="0.35">
      <c r="I311" s="217"/>
      <c r="J311" s="217"/>
      <c r="L311" s="81"/>
      <c r="M311" s="81"/>
      <c r="N311" s="227"/>
    </row>
    <row r="312" spans="9:14" x14ac:dyDescent="0.35">
      <c r="I312" s="217"/>
      <c r="J312" s="217"/>
      <c r="L312" s="81"/>
      <c r="M312" s="81"/>
      <c r="N312" s="227"/>
    </row>
    <row r="313" spans="9:14" x14ac:dyDescent="0.35">
      <c r="I313" s="217"/>
      <c r="J313" s="217"/>
      <c r="L313" s="81"/>
      <c r="M313" s="81"/>
      <c r="N313" s="227"/>
    </row>
    <row r="314" spans="9:14" x14ac:dyDescent="0.35">
      <c r="I314" s="217"/>
      <c r="J314" s="217"/>
      <c r="L314" s="81"/>
      <c r="M314" s="81"/>
      <c r="N314" s="227"/>
    </row>
    <row r="315" spans="9:14" x14ac:dyDescent="0.35">
      <c r="I315" s="217"/>
      <c r="J315" s="217"/>
      <c r="L315" s="81"/>
      <c r="M315" s="81"/>
      <c r="N315" s="227"/>
    </row>
    <row r="316" spans="9:14" x14ac:dyDescent="0.35">
      <c r="I316" s="217"/>
      <c r="J316" s="217"/>
      <c r="L316" s="81"/>
      <c r="M316" s="81"/>
      <c r="N316" s="227"/>
    </row>
    <row r="317" spans="9:14" x14ac:dyDescent="0.35">
      <c r="I317" s="217"/>
      <c r="J317" s="217"/>
      <c r="L317" s="81"/>
      <c r="M317" s="81"/>
      <c r="N317" s="227"/>
    </row>
    <row r="318" spans="9:14" x14ac:dyDescent="0.35">
      <c r="I318" s="217"/>
      <c r="J318" s="217"/>
      <c r="L318" s="81"/>
      <c r="M318" s="81"/>
      <c r="N318" s="227"/>
    </row>
    <row r="319" spans="9:14" x14ac:dyDescent="0.35">
      <c r="I319" s="217"/>
      <c r="J319" s="217"/>
      <c r="L319" s="81"/>
      <c r="M319" s="81"/>
      <c r="N319" s="227"/>
    </row>
    <row r="320" spans="9:14" x14ac:dyDescent="0.35">
      <c r="I320" s="217"/>
      <c r="J320" s="217"/>
      <c r="L320" s="81"/>
      <c r="M320" s="81"/>
      <c r="N320" s="227"/>
    </row>
    <row r="321" spans="9:14" x14ac:dyDescent="0.35">
      <c r="I321" s="217"/>
      <c r="J321" s="217"/>
      <c r="L321" s="81"/>
      <c r="M321" s="81"/>
      <c r="N321" s="227"/>
    </row>
    <row r="322" spans="9:14" x14ac:dyDescent="0.35">
      <c r="I322" s="217"/>
      <c r="J322" s="217"/>
      <c r="L322" s="81"/>
      <c r="M322" s="81"/>
      <c r="N322" s="227"/>
    </row>
    <row r="323" spans="9:14" x14ac:dyDescent="0.35">
      <c r="I323" s="217"/>
      <c r="J323" s="217"/>
      <c r="L323" s="81"/>
      <c r="M323" s="81"/>
      <c r="N323" s="227"/>
    </row>
    <row r="324" spans="9:14" x14ac:dyDescent="0.35">
      <c r="I324" s="217"/>
      <c r="J324" s="217"/>
      <c r="L324" s="81"/>
      <c r="M324" s="81"/>
      <c r="N324" s="227"/>
    </row>
    <row r="325" spans="9:14" x14ac:dyDescent="0.35">
      <c r="I325" s="217"/>
      <c r="J325" s="217"/>
      <c r="L325" s="81"/>
      <c r="M325" s="81"/>
      <c r="N325" s="227"/>
    </row>
    <row r="326" spans="9:14" x14ac:dyDescent="0.35">
      <c r="I326" s="217"/>
      <c r="J326" s="217"/>
      <c r="L326" s="81"/>
      <c r="M326" s="81"/>
      <c r="N326" s="227"/>
    </row>
    <row r="327" spans="9:14" x14ac:dyDescent="0.35">
      <c r="I327" s="217"/>
      <c r="J327" s="217"/>
      <c r="L327" s="81"/>
      <c r="M327" s="81"/>
      <c r="N327" s="227"/>
    </row>
    <row r="328" spans="9:14" x14ac:dyDescent="0.35">
      <c r="I328" s="217"/>
      <c r="J328" s="217"/>
      <c r="L328" s="81"/>
      <c r="M328" s="81"/>
      <c r="N328" s="227"/>
    </row>
    <row r="329" spans="9:14" x14ac:dyDescent="0.35">
      <c r="I329" s="217"/>
      <c r="J329" s="217"/>
      <c r="L329" s="81"/>
      <c r="M329" s="81"/>
      <c r="N329" s="227"/>
    </row>
    <row r="330" spans="9:14" x14ac:dyDescent="0.35">
      <c r="L330" s="81"/>
      <c r="M330" s="81"/>
      <c r="N330" s="227"/>
    </row>
    <row r="331" spans="9:14" x14ac:dyDescent="0.35">
      <c r="L331" s="81"/>
      <c r="M331" s="81"/>
      <c r="N331" s="227"/>
    </row>
    <row r="332" spans="9:14" x14ac:dyDescent="0.35">
      <c r="L332" s="81"/>
      <c r="M332" s="81"/>
      <c r="N332" s="227"/>
    </row>
    <row r="333" spans="9:14" x14ac:dyDescent="0.35">
      <c r="L333" s="81"/>
      <c r="M333" s="81"/>
      <c r="N333" s="227"/>
    </row>
    <row r="334" spans="9:14" x14ac:dyDescent="0.35">
      <c r="L334" s="81"/>
      <c r="M334" s="81"/>
      <c r="N334" s="227"/>
    </row>
    <row r="335" spans="9:14" x14ac:dyDescent="0.35">
      <c r="L335" s="81"/>
      <c r="M335" s="81"/>
      <c r="N335" s="227"/>
    </row>
    <row r="336" spans="9:14" x14ac:dyDescent="0.35">
      <c r="L336" s="81"/>
      <c r="M336" s="81"/>
      <c r="N336" s="227"/>
    </row>
    <row r="337" spans="12:14" x14ac:dyDescent="0.35">
      <c r="L337" s="81"/>
      <c r="M337" s="81"/>
      <c r="N337" s="227"/>
    </row>
    <row r="338" spans="12:14" x14ac:dyDescent="0.35">
      <c r="L338" s="81"/>
      <c r="M338" s="81"/>
      <c r="N338" s="227"/>
    </row>
    <row r="339" spans="12:14" x14ac:dyDescent="0.35">
      <c r="L339" s="81"/>
      <c r="M339" s="81"/>
      <c r="N339" s="227"/>
    </row>
    <row r="340" spans="12:14" x14ac:dyDescent="0.35">
      <c r="L340" s="81"/>
      <c r="M340" s="81"/>
      <c r="N340" s="227"/>
    </row>
    <row r="341" spans="12:14" x14ac:dyDescent="0.35">
      <c r="L341" s="81"/>
      <c r="M341" s="81"/>
      <c r="N341" s="227"/>
    </row>
    <row r="342" spans="12:14" x14ac:dyDescent="0.35">
      <c r="L342" s="81"/>
      <c r="M342" s="81"/>
      <c r="N342" s="227"/>
    </row>
    <row r="343" spans="12:14" x14ac:dyDescent="0.35">
      <c r="L343" s="81"/>
      <c r="M343" s="81"/>
      <c r="N343" s="227"/>
    </row>
    <row r="344" spans="12:14" x14ac:dyDescent="0.35">
      <c r="L344" s="81"/>
      <c r="M344" s="81"/>
      <c r="N344" s="227"/>
    </row>
    <row r="345" spans="12:14" x14ac:dyDescent="0.35">
      <c r="L345" s="81"/>
      <c r="M345" s="81"/>
      <c r="N345" s="227"/>
    </row>
    <row r="346" spans="12:14" x14ac:dyDescent="0.35">
      <c r="L346" s="81"/>
      <c r="M346" s="81"/>
      <c r="N346" s="227"/>
    </row>
    <row r="347" spans="12:14" x14ac:dyDescent="0.35">
      <c r="L347" s="81"/>
      <c r="M347" s="81"/>
      <c r="N347" s="227"/>
    </row>
    <row r="348" spans="12:14" x14ac:dyDescent="0.35">
      <c r="L348" s="81"/>
      <c r="M348" s="81"/>
      <c r="N348" s="227"/>
    </row>
    <row r="349" spans="12:14" x14ac:dyDescent="0.35">
      <c r="L349" s="81"/>
      <c r="M349" s="81"/>
      <c r="N349" s="227"/>
    </row>
    <row r="350" spans="12:14" x14ac:dyDescent="0.35">
      <c r="L350" s="81"/>
      <c r="M350" s="81"/>
      <c r="N350" s="227"/>
    </row>
    <row r="351" spans="12:14" x14ac:dyDescent="0.35">
      <c r="L351" s="81"/>
      <c r="M351" s="81"/>
      <c r="N351" s="227"/>
    </row>
    <row r="352" spans="12:14" x14ac:dyDescent="0.35">
      <c r="L352" s="81"/>
      <c r="M352" s="81"/>
      <c r="N352" s="227"/>
    </row>
    <row r="353" spans="12:14" x14ac:dyDescent="0.35">
      <c r="L353" s="81"/>
      <c r="M353" s="81"/>
      <c r="N353" s="227"/>
    </row>
    <row r="354" spans="12:14" x14ac:dyDescent="0.35">
      <c r="L354" s="81"/>
      <c r="M354" s="81"/>
      <c r="N354" s="227"/>
    </row>
    <row r="355" spans="12:14" x14ac:dyDescent="0.35">
      <c r="L355" s="81"/>
      <c r="M355" s="81"/>
      <c r="N355" s="227"/>
    </row>
    <row r="356" spans="12:14" x14ac:dyDescent="0.35">
      <c r="L356" s="81"/>
      <c r="M356" s="81"/>
      <c r="N356" s="227"/>
    </row>
    <row r="357" spans="12:14" x14ac:dyDescent="0.35">
      <c r="L357" s="81"/>
      <c r="M357" s="81"/>
      <c r="N357" s="227"/>
    </row>
    <row r="358" spans="12:14" x14ac:dyDescent="0.35">
      <c r="L358" s="81"/>
      <c r="M358" s="81"/>
      <c r="N358" s="227"/>
    </row>
    <row r="359" spans="12:14" x14ac:dyDescent="0.35">
      <c r="L359" s="81"/>
      <c r="M359" s="81"/>
      <c r="N359" s="227"/>
    </row>
    <row r="360" spans="12:14" x14ac:dyDescent="0.35">
      <c r="L360" s="81"/>
      <c r="M360" s="81"/>
      <c r="N360" s="227"/>
    </row>
    <row r="361" spans="12:14" x14ac:dyDescent="0.35">
      <c r="L361" s="81"/>
      <c r="M361" s="81"/>
      <c r="N361" s="227"/>
    </row>
    <row r="362" spans="12:14" x14ac:dyDescent="0.35">
      <c r="L362" s="81"/>
      <c r="M362" s="81"/>
      <c r="N362" s="227"/>
    </row>
    <row r="363" spans="12:14" x14ac:dyDescent="0.35">
      <c r="L363" s="81"/>
      <c r="M363" s="81"/>
      <c r="N363" s="227"/>
    </row>
    <row r="364" spans="12:14" x14ac:dyDescent="0.35">
      <c r="L364" s="81"/>
      <c r="M364" s="81"/>
      <c r="N364" s="227"/>
    </row>
  </sheetData>
  <mergeCells count="27">
    <mergeCell ref="N32:O32"/>
    <mergeCell ref="N27:O27"/>
    <mergeCell ref="N28:O28"/>
    <mergeCell ref="N29:O29"/>
    <mergeCell ref="N30:O30"/>
    <mergeCell ref="N31:O31"/>
    <mergeCell ref="N26:O26"/>
    <mergeCell ref="AC150:AM150"/>
    <mergeCell ref="AC151:AM151"/>
    <mergeCell ref="AM187:AN187"/>
    <mergeCell ref="N15:O15"/>
    <mergeCell ref="N16:O16"/>
    <mergeCell ref="N17:O17"/>
    <mergeCell ref="N18:O18"/>
    <mergeCell ref="N19:O19"/>
    <mergeCell ref="N20:O20"/>
    <mergeCell ref="N21:O21"/>
    <mergeCell ref="N22:O22"/>
    <mergeCell ref="N23:O23"/>
    <mergeCell ref="N24:O24"/>
    <mergeCell ref="N25:O25"/>
    <mergeCell ref="N33:O33"/>
    <mergeCell ref="AC3:AN3"/>
    <mergeCell ref="N4:R4"/>
    <mergeCell ref="G5:L5"/>
    <mergeCell ref="I6:L6"/>
    <mergeCell ref="AH6:AK6"/>
  </mergeCells>
  <hyperlinks>
    <hyperlink ref="A214" r:id="rId1" xr:uid="{00000000-0004-0000-1200-000000000000}"/>
    <hyperlink ref="C4" r:id="rId2" xr:uid="{00000000-0004-0000-1200-000001000000}"/>
  </hyperlinks>
  <pageMargins left="0.7" right="0.7" top="0.75" bottom="0.75" header="0.3" footer="0.3"/>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57"/>
  <sheetViews>
    <sheetView workbookViewId="0">
      <selection activeCell="A9" sqref="A9"/>
    </sheetView>
  </sheetViews>
  <sheetFormatPr defaultRowHeight="14.25" x14ac:dyDescent="0.45"/>
  <cols>
    <col min="1" max="1" width="22" customWidth="1"/>
    <col min="3" max="3" width="15.73046875" bestFit="1" customWidth="1"/>
  </cols>
  <sheetData>
    <row r="1" spans="1:20" ht="18" x14ac:dyDescent="0.55000000000000004">
      <c r="A1" s="927" t="s">
        <v>1845</v>
      </c>
      <c r="B1" s="924"/>
      <c r="C1" s="924"/>
      <c r="D1" s="924"/>
      <c r="E1" s="924"/>
      <c r="F1" s="924"/>
      <c r="G1" s="924"/>
      <c r="H1" s="924"/>
      <c r="I1" s="627"/>
      <c r="J1" s="627"/>
      <c r="K1" s="627"/>
      <c r="L1" s="627"/>
      <c r="M1" s="627"/>
      <c r="N1" s="627"/>
      <c r="O1" s="628"/>
      <c r="P1" s="628"/>
      <c r="Q1" s="628"/>
      <c r="R1" s="628"/>
      <c r="S1" s="628"/>
      <c r="T1" s="628"/>
    </row>
    <row r="2" spans="1:20" ht="15.75" x14ac:dyDescent="0.5">
      <c r="A2" s="924"/>
      <c r="B2" s="924"/>
      <c r="H2" s="924"/>
      <c r="I2" s="627"/>
      <c r="J2" s="627"/>
      <c r="K2" s="627"/>
      <c r="L2" s="627"/>
      <c r="M2" s="627"/>
      <c r="N2" s="627"/>
      <c r="O2" s="628"/>
      <c r="P2" s="628"/>
      <c r="Q2" s="628"/>
      <c r="R2" s="628"/>
      <c r="S2" s="628"/>
      <c r="T2" s="628"/>
    </row>
    <row r="3" spans="1:20" ht="15.75" x14ac:dyDescent="0.5">
      <c r="A3" s="925" t="s">
        <v>833</v>
      </c>
      <c r="B3" s="924"/>
      <c r="H3" s="924"/>
      <c r="I3" s="627"/>
      <c r="J3" s="627"/>
      <c r="K3" s="627"/>
      <c r="L3" s="627"/>
      <c r="M3" s="627"/>
      <c r="N3" s="627"/>
      <c r="O3" s="628"/>
      <c r="P3" s="628"/>
      <c r="Q3" s="628"/>
      <c r="R3" s="628"/>
      <c r="S3" s="628"/>
      <c r="T3" s="628"/>
    </row>
    <row r="4" spans="1:20" ht="15.75" x14ac:dyDescent="0.5">
      <c r="A4" t="s">
        <v>2307</v>
      </c>
      <c r="B4" s="924"/>
      <c r="H4" s="924"/>
      <c r="I4" s="627"/>
      <c r="J4" s="627"/>
      <c r="K4" s="627"/>
      <c r="L4" s="627"/>
      <c r="M4" s="627"/>
      <c r="N4" s="627"/>
      <c r="O4" s="628"/>
      <c r="P4" s="628"/>
      <c r="Q4" s="628"/>
      <c r="R4" s="628"/>
      <c r="S4" s="628"/>
      <c r="T4" s="628"/>
    </row>
    <row r="5" spans="1:20" ht="15.75" x14ac:dyDescent="0.5">
      <c r="A5" s="924" t="s">
        <v>2305</v>
      </c>
      <c r="B5" s="924"/>
      <c r="C5" s="926"/>
      <c r="D5" s="924"/>
      <c r="E5" s="924"/>
      <c r="F5" s="924"/>
      <c r="G5" s="924"/>
      <c r="H5" s="924"/>
      <c r="I5" s="627"/>
      <c r="J5" s="627"/>
      <c r="K5" s="627"/>
      <c r="L5" s="627"/>
      <c r="M5" s="627"/>
      <c r="N5" s="627"/>
      <c r="O5" s="628"/>
      <c r="P5" s="628"/>
      <c r="Q5" s="628"/>
      <c r="R5" s="628"/>
      <c r="S5" s="628"/>
      <c r="T5" s="628"/>
    </row>
    <row r="6" spans="1:20" ht="15.75" x14ac:dyDescent="0.5">
      <c r="A6" s="926" t="s">
        <v>1037</v>
      </c>
      <c r="B6" s="924"/>
      <c r="C6" s="926"/>
      <c r="D6" s="924"/>
      <c r="E6" s="924"/>
      <c r="F6" s="924"/>
      <c r="G6" s="924"/>
      <c r="H6" s="924"/>
      <c r="I6" s="627"/>
      <c r="J6" s="627"/>
      <c r="K6" s="627"/>
      <c r="L6" s="627"/>
      <c r="M6" s="627"/>
      <c r="N6" s="627"/>
      <c r="O6" s="628"/>
      <c r="P6" s="628"/>
      <c r="Q6" s="628"/>
      <c r="R6" s="628"/>
      <c r="S6" s="628"/>
      <c r="T6" s="628"/>
    </row>
    <row r="7" spans="1:20" ht="15.75" x14ac:dyDescent="0.5">
      <c r="A7" s="924" t="s">
        <v>994</v>
      </c>
      <c r="B7" s="924"/>
      <c r="C7" s="926"/>
      <c r="D7" s="924"/>
      <c r="E7" s="924"/>
      <c r="F7" s="924"/>
      <c r="G7" s="924"/>
      <c r="H7" s="924"/>
      <c r="I7" s="627"/>
      <c r="J7" s="627"/>
      <c r="K7" s="627"/>
      <c r="L7" s="627"/>
      <c r="M7" s="627"/>
      <c r="N7" s="627"/>
      <c r="O7" s="628"/>
      <c r="P7" s="628"/>
      <c r="Q7" s="628"/>
      <c r="R7" s="628"/>
      <c r="S7" s="628"/>
      <c r="T7" s="628"/>
    </row>
    <row r="8" spans="1:20" ht="15.75" x14ac:dyDescent="0.5">
      <c r="A8" s="926" t="s">
        <v>2306</v>
      </c>
      <c r="B8" s="924"/>
      <c r="C8" s="924"/>
      <c r="D8" s="924"/>
      <c r="E8" s="924"/>
      <c r="F8" s="924"/>
      <c r="G8" s="924"/>
      <c r="H8" s="924"/>
      <c r="I8" s="627"/>
      <c r="J8" s="627"/>
      <c r="K8" s="627"/>
      <c r="L8" s="627"/>
      <c r="M8" s="627"/>
      <c r="N8" s="627"/>
      <c r="O8" s="628"/>
      <c r="P8" s="628"/>
      <c r="Q8" s="628"/>
      <c r="R8" s="628"/>
      <c r="S8" s="628"/>
      <c r="T8" s="628"/>
    </row>
    <row r="9" spans="1:20" ht="15.75" x14ac:dyDescent="0.5">
      <c r="A9" t="s">
        <v>2325</v>
      </c>
      <c r="B9" s="924"/>
      <c r="C9" s="924"/>
      <c r="D9" s="924"/>
      <c r="E9" s="924"/>
      <c r="F9" s="924"/>
      <c r="G9" s="924"/>
      <c r="H9" s="924"/>
      <c r="I9" s="627"/>
      <c r="J9" s="627"/>
      <c r="K9" s="627"/>
      <c r="L9" s="627"/>
      <c r="M9" s="627"/>
      <c r="N9" s="627"/>
      <c r="O9" s="628"/>
      <c r="P9" s="628"/>
      <c r="Q9" s="628"/>
      <c r="R9" s="628"/>
      <c r="S9" s="628"/>
      <c r="T9" s="628"/>
    </row>
    <row r="10" spans="1:20" ht="15.75" x14ac:dyDescent="0.5">
      <c r="A10" s="926" t="s">
        <v>2464</v>
      </c>
      <c r="B10" s="924"/>
      <c r="C10" s="924"/>
      <c r="D10" s="924"/>
      <c r="E10" s="924"/>
      <c r="F10" s="924"/>
      <c r="G10" s="924"/>
      <c r="H10" s="924"/>
      <c r="I10" s="627"/>
      <c r="J10" s="627"/>
      <c r="K10" s="627"/>
      <c r="L10" s="627"/>
      <c r="M10" s="627"/>
      <c r="N10" s="627"/>
      <c r="O10" s="628"/>
      <c r="P10" s="628"/>
      <c r="Q10" s="628"/>
      <c r="R10" s="628"/>
      <c r="S10" s="628"/>
      <c r="T10" s="628"/>
    </row>
    <row r="11" spans="1:20" ht="15.75" x14ac:dyDescent="0.5">
      <c r="B11" s="1146"/>
      <c r="C11" s="1147"/>
      <c r="D11" s="1147"/>
      <c r="E11" s="1148"/>
      <c r="F11" s="1148"/>
      <c r="G11" s="1148"/>
      <c r="H11" s="926"/>
      <c r="I11" s="628"/>
      <c r="J11" s="628"/>
      <c r="K11" s="628"/>
      <c r="L11" s="628"/>
      <c r="M11" s="628"/>
      <c r="N11" s="628"/>
      <c r="O11" s="628"/>
      <c r="P11" s="628"/>
      <c r="Q11" s="628"/>
      <c r="R11" s="628"/>
      <c r="S11" s="628"/>
      <c r="T11" s="628"/>
    </row>
    <row r="12" spans="1:20" ht="15.75" x14ac:dyDescent="0.5">
      <c r="A12" s="926"/>
      <c r="B12" s="926"/>
      <c r="C12" s="926"/>
      <c r="D12" s="926"/>
      <c r="E12" s="926"/>
      <c r="F12" s="926"/>
      <c r="G12" s="926"/>
      <c r="H12" s="926"/>
      <c r="I12" s="628"/>
      <c r="J12" s="628"/>
      <c r="K12" s="628"/>
      <c r="L12" s="628"/>
      <c r="M12" s="628"/>
      <c r="N12" s="628"/>
      <c r="O12" s="628"/>
      <c r="P12" s="628"/>
      <c r="Q12" s="628"/>
      <c r="R12" s="628"/>
      <c r="S12" s="628"/>
      <c r="T12" s="628"/>
    </row>
    <row r="13" spans="1:20" ht="15.75" x14ac:dyDescent="0.5">
      <c r="A13" s="1165" t="s">
        <v>2458</v>
      </c>
      <c r="B13" s="926"/>
      <c r="C13" s="926"/>
      <c r="D13" s="926"/>
      <c r="E13" s="926"/>
      <c r="F13" s="926"/>
      <c r="G13" s="926"/>
      <c r="H13" s="926"/>
      <c r="I13" s="628"/>
      <c r="J13" s="628"/>
      <c r="K13" s="628"/>
      <c r="L13" s="628"/>
      <c r="M13" s="628"/>
      <c r="N13" s="628"/>
      <c r="O13" s="628"/>
      <c r="P13" s="628"/>
      <c r="Q13" s="628"/>
      <c r="R13" s="628"/>
      <c r="S13" s="628"/>
      <c r="T13" s="628"/>
    </row>
    <row r="14" spans="1:20" ht="15.75" x14ac:dyDescent="0.5">
      <c r="A14" s="926" t="s">
        <v>2349</v>
      </c>
      <c r="B14" s="926"/>
      <c r="C14" s="926"/>
      <c r="D14" s="926"/>
      <c r="E14" s="926"/>
      <c r="F14" s="926"/>
      <c r="G14" s="926"/>
      <c r="H14" s="926"/>
      <c r="I14" s="628"/>
      <c r="J14" s="628"/>
      <c r="K14" s="628"/>
      <c r="L14" s="628"/>
      <c r="M14" s="628"/>
      <c r="N14" s="628"/>
      <c r="O14" s="628"/>
      <c r="P14" s="628"/>
      <c r="Q14" s="628"/>
      <c r="R14" s="628"/>
      <c r="S14" s="628"/>
      <c r="T14" s="628"/>
    </row>
    <row r="15" spans="1:20" ht="15.75" x14ac:dyDescent="0.5">
      <c r="A15" s="926" t="s">
        <v>2350</v>
      </c>
      <c r="B15" s="926"/>
      <c r="C15" s="926"/>
      <c r="D15" s="926"/>
      <c r="E15" s="926"/>
      <c r="F15" s="926"/>
      <c r="G15" s="926"/>
      <c r="H15" s="926"/>
      <c r="I15" s="628"/>
      <c r="J15" s="628"/>
      <c r="K15" s="628"/>
      <c r="L15" s="628"/>
      <c r="M15" s="628"/>
      <c r="N15" s="628"/>
      <c r="O15" s="628"/>
      <c r="P15" s="628"/>
      <c r="Q15" s="628"/>
      <c r="R15" s="628"/>
      <c r="S15" s="628"/>
      <c r="T15" s="628"/>
    </row>
    <row r="16" spans="1:20" ht="15.75" x14ac:dyDescent="0.5">
      <c r="A16" s="926" t="s">
        <v>2351</v>
      </c>
      <c r="B16" s="926"/>
      <c r="C16" s="926"/>
      <c r="D16" s="926"/>
      <c r="E16" s="926"/>
      <c r="F16" s="926"/>
      <c r="G16" s="926"/>
      <c r="H16" s="926"/>
      <c r="I16" s="628"/>
      <c r="J16" s="628"/>
      <c r="K16" s="628"/>
      <c r="L16" s="628"/>
      <c r="M16" s="628"/>
      <c r="N16" s="628"/>
      <c r="O16" s="628"/>
      <c r="P16" s="628"/>
      <c r="Q16" s="628"/>
      <c r="R16" s="628"/>
      <c r="S16" s="628"/>
      <c r="T16" s="628"/>
    </row>
    <row r="17" spans="1:20" ht="15.75" x14ac:dyDescent="0.5">
      <c r="A17" s="926" t="s">
        <v>2352</v>
      </c>
      <c r="B17" s="926"/>
      <c r="C17" s="926"/>
      <c r="D17" s="926"/>
      <c r="E17" s="926"/>
      <c r="F17" s="926"/>
      <c r="G17" s="926"/>
      <c r="H17" s="926"/>
      <c r="I17" s="628"/>
      <c r="J17" s="628"/>
      <c r="K17" s="628"/>
      <c r="L17" s="628"/>
      <c r="M17" s="628"/>
      <c r="N17" s="628"/>
      <c r="O17" s="628"/>
      <c r="P17" s="628"/>
      <c r="Q17" s="628"/>
      <c r="R17" s="628"/>
      <c r="S17" s="628"/>
      <c r="T17" s="628"/>
    </row>
    <row r="18" spans="1:20" ht="15.75" x14ac:dyDescent="0.5">
      <c r="A18" s="926" t="s">
        <v>2353</v>
      </c>
      <c r="B18" s="926"/>
      <c r="C18" s="926"/>
      <c r="D18" s="926"/>
      <c r="E18" s="926"/>
      <c r="F18" s="926"/>
      <c r="G18" s="926"/>
      <c r="H18" s="926"/>
      <c r="I18" s="628"/>
      <c r="J18" s="628"/>
      <c r="K18" s="628"/>
      <c r="L18" s="628"/>
      <c r="M18" s="628"/>
      <c r="N18" s="628"/>
      <c r="O18" s="628"/>
      <c r="P18" s="628"/>
      <c r="Q18" s="628"/>
      <c r="R18" s="628"/>
      <c r="S18" s="628"/>
      <c r="T18" s="628"/>
    </row>
    <row r="19" spans="1:20" ht="15.75" x14ac:dyDescent="0.5">
      <c r="A19" s="926" t="s">
        <v>2354</v>
      </c>
      <c r="B19" s="926"/>
      <c r="C19" s="926"/>
      <c r="D19" s="926"/>
      <c r="E19" s="926"/>
      <c r="F19" s="926"/>
      <c r="G19" s="926"/>
      <c r="H19" s="926"/>
      <c r="I19" s="628"/>
      <c r="J19" s="628"/>
      <c r="K19" s="628"/>
      <c r="L19" s="628"/>
      <c r="M19" s="628"/>
      <c r="N19" s="628"/>
      <c r="O19" s="628"/>
      <c r="P19" s="628"/>
      <c r="Q19" s="628"/>
      <c r="R19" s="628"/>
      <c r="S19" s="628"/>
      <c r="T19" s="628"/>
    </row>
    <row r="20" spans="1:20" ht="15.75" x14ac:dyDescent="0.5">
      <c r="A20" s="926" t="s">
        <v>2348</v>
      </c>
      <c r="B20" s="926"/>
      <c r="C20" s="926"/>
      <c r="D20" s="926"/>
      <c r="E20" s="926"/>
      <c r="F20" s="926"/>
      <c r="G20" s="926"/>
      <c r="H20" s="926"/>
      <c r="I20" s="628"/>
      <c r="J20" s="628"/>
      <c r="K20" s="628"/>
      <c r="L20" s="628"/>
      <c r="M20" s="628"/>
      <c r="N20" s="628"/>
      <c r="O20" s="628"/>
      <c r="P20" s="628"/>
      <c r="Q20" s="628"/>
      <c r="R20" s="628"/>
      <c r="S20" s="628"/>
      <c r="T20" s="628"/>
    </row>
    <row r="21" spans="1:20" ht="15.75" x14ac:dyDescent="0.5">
      <c r="A21" s="926" t="s">
        <v>2355</v>
      </c>
      <c r="B21" s="926"/>
      <c r="C21" s="926"/>
      <c r="D21" s="926"/>
      <c r="E21" s="926"/>
      <c r="F21" s="926"/>
      <c r="G21" s="926"/>
      <c r="H21" s="926"/>
      <c r="I21" s="628"/>
      <c r="J21" s="628"/>
      <c r="K21" s="628"/>
      <c r="L21" s="628"/>
      <c r="M21" s="628"/>
      <c r="N21" s="628"/>
      <c r="O21" s="628"/>
      <c r="P21" s="628"/>
      <c r="Q21" s="628"/>
      <c r="R21" s="628"/>
      <c r="S21" s="628"/>
      <c r="T21" s="628"/>
    </row>
    <row r="22" spans="1:20" ht="15.75" x14ac:dyDescent="0.5">
      <c r="A22" s="508" t="s">
        <v>993</v>
      </c>
      <c r="B22" s="926"/>
      <c r="C22" s="926"/>
      <c r="D22" s="926"/>
      <c r="E22" s="926"/>
      <c r="F22" s="926"/>
      <c r="G22" s="926"/>
      <c r="H22" s="926"/>
      <c r="I22" s="628"/>
      <c r="J22" s="628"/>
      <c r="K22" s="628"/>
      <c r="L22" s="628"/>
      <c r="M22" s="628"/>
      <c r="N22" s="628"/>
      <c r="O22" s="628"/>
      <c r="P22" s="628"/>
      <c r="Q22" s="628"/>
      <c r="R22" s="628"/>
      <c r="S22" s="628"/>
      <c r="T22" s="628"/>
    </row>
    <row r="23" spans="1:20" ht="15.75" x14ac:dyDescent="0.5">
      <c r="A23" s="926" t="s">
        <v>2356</v>
      </c>
      <c r="B23" s="926"/>
      <c r="C23" s="926"/>
      <c r="D23" s="926"/>
      <c r="E23" s="926"/>
      <c r="F23" s="926"/>
      <c r="G23" s="926"/>
      <c r="H23" s="926"/>
      <c r="I23" s="628"/>
      <c r="J23" s="628"/>
      <c r="K23" s="628"/>
      <c r="L23" s="628"/>
      <c r="M23" s="628"/>
      <c r="N23" s="628"/>
      <c r="O23" s="628"/>
      <c r="P23" s="628"/>
      <c r="Q23" s="628"/>
      <c r="R23" s="628"/>
      <c r="S23" s="628"/>
      <c r="T23" s="628"/>
    </row>
    <row r="24" spans="1:20" ht="15.75" x14ac:dyDescent="0.5">
      <c r="A24" s="508" t="s">
        <v>2345</v>
      </c>
      <c r="B24" s="926"/>
      <c r="C24" s="926"/>
      <c r="D24" s="926"/>
      <c r="E24" s="926"/>
      <c r="F24" s="926"/>
      <c r="G24" s="926"/>
      <c r="H24" s="926"/>
      <c r="I24" s="628"/>
      <c r="J24" s="628"/>
      <c r="K24" s="628"/>
      <c r="L24" s="628"/>
      <c r="M24" s="628"/>
      <c r="N24" s="628"/>
      <c r="O24" s="628"/>
      <c r="P24" s="628"/>
      <c r="Q24" s="628"/>
      <c r="R24" s="628"/>
      <c r="S24" s="628"/>
      <c r="T24" s="628"/>
    </row>
    <row r="25" spans="1:20" ht="15.75" x14ac:dyDescent="0.5">
      <c r="A25" s="926" t="s">
        <v>2357</v>
      </c>
      <c r="B25" s="926"/>
      <c r="C25" s="926"/>
      <c r="D25" s="926"/>
      <c r="E25" s="926"/>
      <c r="F25" s="926"/>
      <c r="G25" s="926"/>
      <c r="H25" s="926"/>
      <c r="I25" s="628"/>
      <c r="J25" s="628"/>
      <c r="K25" s="628"/>
      <c r="L25" s="628"/>
      <c r="M25" s="628"/>
      <c r="N25" s="628"/>
      <c r="O25" s="628"/>
      <c r="P25" s="628"/>
      <c r="Q25" s="628"/>
      <c r="R25" s="628"/>
      <c r="S25" s="628"/>
      <c r="T25" s="628"/>
    </row>
    <row r="26" spans="1:20" ht="15.75" x14ac:dyDescent="0.5">
      <c r="A26" s="508" t="s">
        <v>2346</v>
      </c>
      <c r="B26" s="926"/>
      <c r="C26" s="926"/>
      <c r="D26" s="926"/>
      <c r="E26" s="926"/>
      <c r="F26" s="926"/>
      <c r="G26" s="926"/>
      <c r="H26" s="926"/>
      <c r="I26" s="628"/>
      <c r="J26" s="628"/>
      <c r="K26" s="628"/>
      <c r="L26" s="628"/>
      <c r="M26" s="628"/>
      <c r="N26" s="628"/>
      <c r="O26" s="628"/>
      <c r="P26" s="628"/>
      <c r="Q26" s="628"/>
      <c r="R26" s="628"/>
      <c r="S26" s="628"/>
      <c r="T26" s="628"/>
    </row>
    <row r="27" spans="1:20" ht="15.75" x14ac:dyDescent="0.5">
      <c r="A27" s="926" t="s">
        <v>2358</v>
      </c>
      <c r="B27" s="926"/>
      <c r="C27" s="926"/>
      <c r="D27" s="926"/>
      <c r="E27" s="926"/>
      <c r="F27" s="926"/>
      <c r="G27" s="926"/>
      <c r="H27" s="926"/>
      <c r="I27" s="628"/>
      <c r="J27" s="628"/>
      <c r="K27" s="628"/>
      <c r="L27" s="628"/>
      <c r="M27" s="628"/>
      <c r="N27" s="628"/>
      <c r="O27" s="628"/>
      <c r="P27" s="628"/>
      <c r="Q27" s="628"/>
      <c r="R27" s="628"/>
      <c r="S27" s="628"/>
      <c r="T27" s="628"/>
    </row>
    <row r="28" spans="1:20" ht="15.75" x14ac:dyDescent="0.5">
      <c r="A28" s="508" t="s">
        <v>2347</v>
      </c>
      <c r="B28" s="926"/>
      <c r="C28" s="926"/>
      <c r="D28" s="926"/>
      <c r="E28" s="926"/>
      <c r="F28" s="926"/>
      <c r="G28" s="926"/>
      <c r="H28" s="926"/>
      <c r="I28" s="628"/>
      <c r="J28" s="628"/>
      <c r="K28" s="628"/>
      <c r="L28" s="628"/>
      <c r="M28" s="628"/>
      <c r="N28" s="628"/>
      <c r="O28" s="628"/>
      <c r="P28" s="628"/>
      <c r="Q28" s="628"/>
      <c r="R28" s="628"/>
      <c r="S28" s="628"/>
      <c r="T28" s="628"/>
    </row>
    <row r="29" spans="1:20" ht="15.75" x14ac:dyDescent="0.5">
      <c r="A29" s="926" t="s">
        <v>2359</v>
      </c>
      <c r="B29" s="926"/>
      <c r="C29" s="926"/>
      <c r="D29" s="926"/>
      <c r="E29" s="926"/>
      <c r="F29" s="926"/>
      <c r="G29" s="926"/>
      <c r="H29" s="926"/>
      <c r="I29" s="628"/>
      <c r="J29" s="628"/>
      <c r="K29" s="628"/>
      <c r="L29" s="628"/>
      <c r="M29" s="628"/>
      <c r="N29" s="628"/>
      <c r="O29" s="628"/>
      <c r="P29" s="628"/>
      <c r="Q29" s="628"/>
      <c r="R29" s="628"/>
      <c r="S29" s="628"/>
      <c r="T29" s="628"/>
    </row>
    <row r="30" spans="1:20" ht="15.75" x14ac:dyDescent="0.5">
      <c r="A30" s="508" t="s">
        <v>2360</v>
      </c>
      <c r="B30" s="926"/>
      <c r="C30" s="926"/>
      <c r="D30" s="926"/>
      <c r="E30" s="926"/>
      <c r="F30" s="926"/>
      <c r="G30" s="926"/>
      <c r="H30" s="926"/>
      <c r="I30" s="628"/>
      <c r="J30" s="628"/>
      <c r="K30" s="628"/>
      <c r="L30" s="628"/>
      <c r="M30" s="628"/>
      <c r="N30" s="628"/>
      <c r="O30" s="628"/>
      <c r="P30" s="628"/>
      <c r="Q30" s="628"/>
      <c r="R30" s="628"/>
      <c r="S30" s="628"/>
      <c r="T30" s="628"/>
    </row>
    <row r="31" spans="1:20" ht="15.75" x14ac:dyDescent="0.5">
      <c r="A31" s="926" t="s">
        <v>2361</v>
      </c>
      <c r="B31" s="926"/>
      <c r="C31" s="926"/>
      <c r="D31" s="926"/>
      <c r="E31" s="926"/>
      <c r="F31" s="926"/>
      <c r="G31" s="926"/>
      <c r="H31" s="926"/>
      <c r="I31" s="628"/>
      <c r="J31" s="628"/>
      <c r="K31" s="628"/>
      <c r="L31" s="628"/>
      <c r="M31" s="628"/>
      <c r="N31" s="628"/>
      <c r="O31" s="628"/>
      <c r="P31" s="628"/>
      <c r="Q31" s="628"/>
      <c r="R31" s="628"/>
      <c r="S31" s="628"/>
      <c r="T31" s="628"/>
    </row>
    <row r="32" spans="1:20" ht="15.75" x14ac:dyDescent="0.5">
      <c r="A32" s="926" t="s">
        <v>2362</v>
      </c>
      <c r="B32" s="926"/>
      <c r="C32" s="926"/>
      <c r="D32" s="926"/>
      <c r="E32" s="926"/>
      <c r="F32" s="926"/>
      <c r="G32" s="926"/>
      <c r="H32" s="926"/>
      <c r="I32" s="628"/>
      <c r="J32" s="628"/>
      <c r="K32" s="628"/>
      <c r="L32" s="628"/>
      <c r="M32" s="628"/>
      <c r="N32" s="628"/>
      <c r="O32" s="628"/>
      <c r="P32" s="628"/>
      <c r="Q32" s="628"/>
      <c r="R32" s="628"/>
      <c r="S32" s="628"/>
      <c r="T32" s="628"/>
    </row>
    <row r="33" spans="1:20" ht="15.75" x14ac:dyDescent="0.5">
      <c r="A33" s="926" t="s">
        <v>2363</v>
      </c>
      <c r="B33" s="926"/>
      <c r="C33" s="926"/>
      <c r="D33" s="926"/>
      <c r="E33" s="926"/>
      <c r="F33" s="926"/>
      <c r="G33" s="926"/>
      <c r="H33" s="926"/>
      <c r="I33" s="628"/>
      <c r="J33" s="628"/>
      <c r="K33" s="628"/>
      <c r="L33" s="628"/>
      <c r="M33" s="628"/>
      <c r="N33" s="628"/>
      <c r="O33" s="628"/>
      <c r="P33" s="628"/>
      <c r="Q33" s="628"/>
      <c r="R33" s="628"/>
      <c r="S33" s="628"/>
      <c r="T33" s="628"/>
    </row>
    <row r="34" spans="1:20" ht="15.75" x14ac:dyDescent="0.5">
      <c r="A34" s="508" t="s">
        <v>2248</v>
      </c>
      <c r="B34" s="926"/>
      <c r="C34" s="926"/>
      <c r="D34" s="926"/>
      <c r="E34" s="926"/>
      <c r="F34" s="926"/>
      <c r="G34" s="926"/>
      <c r="H34" s="926"/>
      <c r="I34" s="628"/>
      <c r="J34" s="628"/>
      <c r="K34" s="628"/>
      <c r="L34" s="628"/>
      <c r="M34" s="628"/>
      <c r="N34" s="628"/>
      <c r="O34" s="628"/>
      <c r="P34" s="628"/>
      <c r="Q34" s="628"/>
      <c r="R34" s="628"/>
      <c r="S34" s="628"/>
      <c r="T34" s="628"/>
    </row>
    <row r="35" spans="1:20" ht="15.75" x14ac:dyDescent="0.5">
      <c r="A35" s="926" t="s">
        <v>2459</v>
      </c>
      <c r="B35" s="926"/>
      <c r="C35" s="926"/>
      <c r="D35" s="926"/>
      <c r="E35" s="926"/>
      <c r="F35" s="926"/>
      <c r="G35" s="926"/>
      <c r="H35" s="926"/>
      <c r="I35" s="628"/>
      <c r="J35" s="628"/>
      <c r="K35" s="628"/>
      <c r="L35" s="628"/>
      <c r="M35" s="628"/>
      <c r="N35" s="628"/>
      <c r="O35" s="628"/>
      <c r="P35" s="628"/>
      <c r="Q35" s="628"/>
      <c r="R35" s="628"/>
      <c r="S35" s="628"/>
      <c r="T35" s="628"/>
    </row>
    <row r="36" spans="1:20" ht="15.75" x14ac:dyDescent="0.5">
      <c r="A36" s="926" t="s">
        <v>2364</v>
      </c>
      <c r="B36" s="926"/>
      <c r="C36" s="926"/>
      <c r="D36" s="926"/>
      <c r="E36" s="926"/>
      <c r="F36" s="926"/>
      <c r="G36" s="926"/>
      <c r="H36" s="926"/>
      <c r="I36" s="628"/>
      <c r="J36" s="628"/>
      <c r="K36" s="628"/>
      <c r="L36" s="628"/>
      <c r="M36" s="628"/>
      <c r="N36" s="628"/>
      <c r="O36" s="628"/>
      <c r="P36" s="628"/>
      <c r="Q36" s="628"/>
      <c r="R36" s="628"/>
      <c r="S36" s="628"/>
      <c r="T36" s="628"/>
    </row>
    <row r="37" spans="1:20" ht="15.75" x14ac:dyDescent="0.5">
      <c r="A37" s="926" t="s">
        <v>2365</v>
      </c>
      <c r="B37" s="926"/>
      <c r="C37" s="926"/>
      <c r="D37" s="926"/>
      <c r="E37" s="926"/>
      <c r="F37" s="926"/>
      <c r="G37" s="926"/>
      <c r="H37" s="926"/>
      <c r="I37" s="628"/>
      <c r="J37" s="628"/>
      <c r="K37" s="628"/>
      <c r="L37" s="628"/>
      <c r="M37" s="628"/>
      <c r="N37" s="628"/>
      <c r="O37" s="628"/>
      <c r="P37" s="628"/>
      <c r="Q37" s="628"/>
      <c r="R37" s="628"/>
      <c r="S37" s="628"/>
      <c r="T37" s="628"/>
    </row>
    <row r="38" spans="1:20" ht="15.75" x14ac:dyDescent="0.5">
      <c r="A38" s="926" t="s">
        <v>2366</v>
      </c>
      <c r="B38" s="926"/>
      <c r="C38" s="926"/>
      <c r="D38" s="926"/>
      <c r="E38" s="926"/>
      <c r="F38" s="926"/>
      <c r="G38" s="926"/>
      <c r="H38" s="926"/>
      <c r="I38" s="628"/>
      <c r="J38" s="628"/>
      <c r="K38" s="628"/>
      <c r="L38" s="628"/>
      <c r="M38" s="628"/>
      <c r="N38" s="628"/>
      <c r="O38" s="628"/>
      <c r="P38" s="628"/>
      <c r="Q38" s="628"/>
      <c r="R38" s="628"/>
      <c r="S38" s="628"/>
      <c r="T38" s="628"/>
    </row>
    <row r="39" spans="1:20" ht="15.75" x14ac:dyDescent="0.5">
      <c r="A39" s="926" t="s">
        <v>2367</v>
      </c>
      <c r="B39" s="926"/>
      <c r="C39" s="926"/>
      <c r="D39" s="926"/>
      <c r="E39" s="926"/>
      <c r="F39" s="926"/>
      <c r="G39" s="926"/>
      <c r="H39" s="926"/>
      <c r="I39" s="628"/>
      <c r="J39" s="628"/>
      <c r="K39" s="628"/>
      <c r="L39" s="628"/>
      <c r="M39" s="628"/>
      <c r="N39" s="628"/>
      <c r="O39" s="628"/>
      <c r="P39" s="628"/>
      <c r="Q39" s="628"/>
      <c r="R39" s="628"/>
      <c r="S39" s="628"/>
      <c r="T39" s="628"/>
    </row>
    <row r="40" spans="1:20" ht="15.75" x14ac:dyDescent="0.5">
      <c r="A40" s="926" t="s">
        <v>2368</v>
      </c>
      <c r="B40" s="926"/>
      <c r="C40" s="926"/>
      <c r="D40" s="926"/>
      <c r="E40" s="926"/>
      <c r="F40" s="926"/>
      <c r="G40" s="926"/>
      <c r="H40" s="926"/>
      <c r="I40" s="628"/>
      <c r="J40" s="628"/>
      <c r="K40" s="628"/>
      <c r="L40" s="628"/>
      <c r="M40" s="628"/>
      <c r="N40" s="628"/>
      <c r="O40" s="628"/>
      <c r="P40" s="628"/>
      <c r="Q40" s="628"/>
      <c r="R40" s="628"/>
      <c r="S40" s="628"/>
      <c r="T40" s="628"/>
    </row>
    <row r="41" spans="1:20" ht="15.75" x14ac:dyDescent="0.5">
      <c r="A41" s="926" t="s">
        <v>2369</v>
      </c>
      <c r="B41" s="926"/>
      <c r="C41" s="926"/>
      <c r="D41" s="926"/>
      <c r="E41" s="926"/>
      <c r="F41" s="926"/>
      <c r="G41" s="926"/>
      <c r="H41" s="926"/>
      <c r="I41" s="628"/>
      <c r="J41" s="628"/>
      <c r="K41" s="628"/>
      <c r="L41" s="628"/>
      <c r="M41" s="628"/>
      <c r="N41" s="628"/>
      <c r="O41" s="628"/>
      <c r="P41" s="628"/>
      <c r="Q41" s="628"/>
      <c r="R41" s="628"/>
      <c r="S41" s="628"/>
      <c r="T41" s="628"/>
    </row>
    <row r="42" spans="1:20" ht="15.75" x14ac:dyDescent="0.5">
      <c r="A42" s="926" t="s">
        <v>2370</v>
      </c>
      <c r="B42" s="926"/>
      <c r="C42" s="926"/>
      <c r="D42" s="926"/>
      <c r="E42" s="926"/>
      <c r="F42" s="926"/>
      <c r="G42" s="926"/>
      <c r="H42" s="926"/>
      <c r="I42" s="628"/>
      <c r="J42" s="628"/>
      <c r="K42" s="628"/>
      <c r="L42" s="628"/>
      <c r="M42" s="628"/>
      <c r="N42" s="628"/>
      <c r="O42" s="628"/>
      <c r="P42" s="628"/>
      <c r="Q42" s="628"/>
      <c r="R42" s="628"/>
      <c r="S42" s="628"/>
      <c r="T42" s="628"/>
    </row>
    <row r="43" spans="1:20" ht="15.75" x14ac:dyDescent="0.5">
      <c r="A43" s="926" t="s">
        <v>2371</v>
      </c>
      <c r="B43" s="926"/>
      <c r="C43" s="926"/>
      <c r="D43" s="926"/>
      <c r="E43" s="926"/>
      <c r="F43" s="926"/>
      <c r="G43" s="926"/>
      <c r="H43" s="926"/>
      <c r="I43" s="628"/>
      <c r="J43" s="628"/>
      <c r="K43" s="628"/>
      <c r="L43" s="628"/>
      <c r="M43" s="628"/>
      <c r="N43" s="628"/>
      <c r="O43" s="628"/>
      <c r="P43" s="628"/>
      <c r="Q43" s="628"/>
      <c r="R43" s="628"/>
      <c r="S43" s="628"/>
      <c r="T43" s="628"/>
    </row>
    <row r="44" spans="1:20" ht="15.75" x14ac:dyDescent="0.5">
      <c r="A44" s="926" t="s">
        <v>2372</v>
      </c>
      <c r="B44" s="926"/>
      <c r="C44" s="926"/>
      <c r="D44" s="926"/>
      <c r="E44" s="926"/>
      <c r="F44" s="926"/>
      <c r="G44" s="926"/>
      <c r="H44" s="926"/>
      <c r="I44" s="628"/>
      <c r="J44" s="628"/>
      <c r="K44" s="628"/>
      <c r="L44" s="628"/>
      <c r="M44" s="628"/>
      <c r="N44" s="628"/>
      <c r="O44" s="628"/>
      <c r="P44" s="628"/>
      <c r="Q44" s="628"/>
      <c r="R44" s="628"/>
      <c r="S44" s="628"/>
      <c r="T44" s="628"/>
    </row>
    <row r="45" spans="1:20" ht="15.75" x14ac:dyDescent="0.5">
      <c r="A45" s="926" t="s">
        <v>2373</v>
      </c>
      <c r="B45" s="926"/>
      <c r="C45" s="926"/>
      <c r="D45" s="926"/>
      <c r="E45" s="926"/>
      <c r="F45" s="926"/>
      <c r="G45" s="926"/>
      <c r="H45" s="926"/>
      <c r="I45" s="628"/>
      <c r="J45" s="628"/>
      <c r="K45" s="628"/>
      <c r="L45" s="628"/>
      <c r="M45" s="628"/>
      <c r="N45" s="628"/>
      <c r="O45" s="628"/>
      <c r="P45" s="628"/>
      <c r="Q45" s="628"/>
      <c r="R45" s="628"/>
      <c r="S45" s="628"/>
      <c r="T45" s="628"/>
    </row>
    <row r="46" spans="1:20" ht="15.75" x14ac:dyDescent="0.5">
      <c r="A46" s="926" t="s">
        <v>2374</v>
      </c>
      <c r="B46" s="926"/>
      <c r="C46" s="926"/>
      <c r="D46" s="926"/>
      <c r="E46" s="926"/>
      <c r="F46" s="926"/>
      <c r="G46" s="926"/>
      <c r="H46" s="926"/>
      <c r="I46" s="628"/>
      <c r="J46" s="628"/>
      <c r="K46" s="628"/>
      <c r="L46" s="628"/>
      <c r="M46" s="628"/>
      <c r="N46" s="628"/>
      <c r="O46" s="628"/>
      <c r="P46" s="628"/>
      <c r="Q46" s="628"/>
      <c r="R46" s="628"/>
      <c r="S46" s="628"/>
      <c r="T46" s="628"/>
    </row>
    <row r="47" spans="1:20" ht="15.75" x14ac:dyDescent="0.5">
      <c r="A47" s="926" t="s">
        <v>988</v>
      </c>
      <c r="B47" s="926"/>
      <c r="C47" s="926"/>
      <c r="D47" s="926"/>
      <c r="E47" s="926"/>
      <c r="F47" s="926"/>
      <c r="G47" s="926"/>
      <c r="H47" s="926"/>
      <c r="I47" s="628"/>
      <c r="J47" s="628"/>
      <c r="K47" s="628"/>
      <c r="L47" s="628"/>
      <c r="M47" s="628"/>
      <c r="N47" s="628"/>
      <c r="O47" s="628"/>
      <c r="P47" s="628"/>
      <c r="Q47" s="628"/>
      <c r="R47" s="628"/>
      <c r="S47" s="628"/>
      <c r="T47" s="628"/>
    </row>
    <row r="48" spans="1:20" ht="15.75" x14ac:dyDescent="0.5">
      <c r="A48" s="926" t="s">
        <v>2375</v>
      </c>
      <c r="B48" s="926"/>
      <c r="C48" s="926"/>
      <c r="D48" s="926"/>
      <c r="E48" s="926"/>
      <c r="F48" s="926"/>
      <c r="G48" s="926"/>
      <c r="H48" s="926"/>
      <c r="I48" s="628"/>
      <c r="J48" s="628"/>
      <c r="K48" s="628"/>
      <c r="L48" s="628"/>
      <c r="M48" s="628"/>
      <c r="N48" s="628"/>
      <c r="O48" s="628"/>
      <c r="P48" s="628"/>
      <c r="Q48" s="628"/>
      <c r="R48" s="628"/>
      <c r="S48" s="628"/>
      <c r="T48" s="628"/>
    </row>
    <row r="49" spans="1:20" ht="15.75" x14ac:dyDescent="0.5">
      <c r="A49" s="926" t="s">
        <v>2376</v>
      </c>
      <c r="B49" s="926"/>
      <c r="C49" s="926"/>
      <c r="D49" s="926"/>
      <c r="E49" s="926"/>
      <c r="F49" s="926"/>
      <c r="G49" s="926"/>
      <c r="H49" s="926"/>
      <c r="I49" s="628"/>
      <c r="J49" s="628"/>
      <c r="K49" s="628"/>
      <c r="L49" s="628"/>
      <c r="M49" s="628"/>
      <c r="N49" s="628"/>
      <c r="O49" s="628"/>
      <c r="P49" s="628"/>
      <c r="Q49" s="628"/>
      <c r="R49" s="628"/>
      <c r="S49" s="628"/>
      <c r="T49" s="628"/>
    </row>
    <row r="50" spans="1:20" ht="15.75" x14ac:dyDescent="0.5">
      <c r="A50" s="926" t="s">
        <v>2377</v>
      </c>
      <c r="B50" s="926"/>
      <c r="C50" s="926"/>
      <c r="D50" s="926"/>
      <c r="E50" s="926"/>
      <c r="F50" s="926"/>
      <c r="G50" s="926"/>
      <c r="H50" s="926"/>
      <c r="I50" s="628"/>
      <c r="J50" s="628"/>
      <c r="K50" s="628"/>
      <c r="L50" s="628"/>
      <c r="M50" s="628"/>
      <c r="N50" s="628"/>
      <c r="O50" s="628"/>
      <c r="P50" s="628"/>
      <c r="Q50" s="628"/>
      <c r="R50" s="628"/>
      <c r="S50" s="628"/>
      <c r="T50" s="628"/>
    </row>
    <row r="51" spans="1:20" ht="15.75" x14ac:dyDescent="0.5">
      <c r="A51" s="926" t="s">
        <v>2378</v>
      </c>
      <c r="B51" s="926"/>
      <c r="C51" s="926"/>
      <c r="D51" s="926"/>
      <c r="E51" s="926"/>
      <c r="F51" s="926"/>
      <c r="G51" s="926"/>
      <c r="H51" s="926"/>
      <c r="I51" s="628"/>
      <c r="J51" s="628"/>
      <c r="K51" s="628"/>
      <c r="L51" s="628"/>
      <c r="M51" s="628"/>
      <c r="N51" s="628"/>
      <c r="O51" s="628"/>
      <c r="P51" s="628"/>
      <c r="Q51" s="628"/>
      <c r="R51" s="628"/>
      <c r="S51" s="628"/>
      <c r="T51" s="628"/>
    </row>
    <row r="52" spans="1:20" ht="15.75" x14ac:dyDescent="0.5">
      <c r="A52" s="926" t="s">
        <v>2379</v>
      </c>
      <c r="B52" s="926"/>
      <c r="C52" s="926"/>
      <c r="D52" s="926"/>
      <c r="E52" s="926"/>
      <c r="F52" s="926"/>
      <c r="G52" s="926"/>
      <c r="H52" s="926"/>
      <c r="I52" s="628"/>
      <c r="J52" s="628"/>
      <c r="K52" s="628"/>
      <c r="L52" s="628"/>
      <c r="M52" s="628"/>
      <c r="N52" s="628"/>
      <c r="O52" s="628"/>
      <c r="P52" s="628"/>
      <c r="Q52" s="628"/>
      <c r="R52" s="628"/>
      <c r="S52" s="628"/>
      <c r="T52" s="628"/>
    </row>
    <row r="53" spans="1:20" ht="15.75" x14ac:dyDescent="0.5">
      <c r="A53" s="926" t="s">
        <v>2380</v>
      </c>
      <c r="B53" s="926"/>
      <c r="C53" s="926"/>
      <c r="D53" s="926"/>
      <c r="E53" s="926"/>
      <c r="F53" s="926"/>
      <c r="G53" s="926"/>
      <c r="H53" s="926"/>
      <c r="I53" s="628"/>
      <c r="J53" s="628"/>
      <c r="K53" s="628"/>
      <c r="L53" s="628"/>
      <c r="M53" s="628"/>
      <c r="N53" s="628"/>
      <c r="O53" s="628"/>
      <c r="P53" s="628"/>
      <c r="Q53" s="628"/>
      <c r="R53" s="628"/>
      <c r="S53" s="628"/>
      <c r="T53" s="628"/>
    </row>
    <row r="54" spans="1:20" ht="15.75" x14ac:dyDescent="0.5">
      <c r="A54" s="926" t="s">
        <v>2381</v>
      </c>
      <c r="B54" s="926"/>
      <c r="C54" s="926"/>
      <c r="D54" s="926"/>
      <c r="E54" s="926"/>
      <c r="F54" s="926"/>
      <c r="G54" s="926"/>
      <c r="H54" s="926"/>
      <c r="I54" s="628"/>
      <c r="J54" s="628"/>
      <c r="K54" s="628"/>
      <c r="L54" s="628"/>
      <c r="M54" s="628"/>
      <c r="N54" s="628"/>
      <c r="O54" s="628"/>
      <c r="P54" s="628"/>
      <c r="Q54" s="628"/>
      <c r="R54" s="628"/>
      <c r="S54" s="628"/>
      <c r="T54" s="628"/>
    </row>
    <row r="55" spans="1:20" ht="15.75" x14ac:dyDescent="0.5">
      <c r="A55" s="926" t="s">
        <v>2382</v>
      </c>
      <c r="B55" s="926"/>
      <c r="C55" s="926"/>
      <c r="D55" s="926"/>
      <c r="E55" s="926"/>
      <c r="F55" s="926"/>
      <c r="G55" s="926"/>
      <c r="H55" s="926"/>
      <c r="I55" s="628"/>
      <c r="J55" s="628"/>
      <c r="K55" s="628"/>
      <c r="L55" s="628"/>
      <c r="M55" s="628"/>
      <c r="N55" s="628"/>
      <c r="O55" s="628"/>
      <c r="P55" s="628"/>
      <c r="Q55" s="628"/>
      <c r="R55" s="628"/>
      <c r="S55" s="628"/>
      <c r="T55" s="628"/>
    </row>
    <row r="56" spans="1:20" ht="15.75" x14ac:dyDescent="0.5">
      <c r="A56" s="926" t="s">
        <v>2383</v>
      </c>
      <c r="B56" s="926"/>
      <c r="C56" s="926"/>
      <c r="D56" s="926"/>
      <c r="E56" s="926"/>
      <c r="F56" s="926"/>
      <c r="G56" s="926"/>
      <c r="H56" s="926"/>
      <c r="I56" s="628"/>
      <c r="J56" s="628"/>
      <c r="K56" s="628"/>
      <c r="L56" s="628"/>
      <c r="M56" s="628"/>
      <c r="N56" s="628"/>
      <c r="O56" s="628"/>
      <c r="P56" s="628"/>
      <c r="Q56" s="628"/>
      <c r="R56" s="628"/>
      <c r="S56" s="628"/>
      <c r="T56" s="628"/>
    </row>
    <row r="57" spans="1:20" ht="15.75" x14ac:dyDescent="0.5">
      <c r="A57" s="926" t="s">
        <v>2384</v>
      </c>
      <c r="B57" s="926"/>
      <c r="C57" s="926"/>
      <c r="D57" s="926"/>
      <c r="E57" s="926"/>
      <c r="F57" s="926"/>
      <c r="G57" s="926"/>
      <c r="H57" s="926"/>
      <c r="I57" s="628"/>
      <c r="J57" s="628"/>
      <c r="K57" s="628"/>
      <c r="L57" s="628"/>
      <c r="M57" s="628"/>
      <c r="N57" s="628"/>
      <c r="O57" s="628"/>
      <c r="P57" s="628"/>
      <c r="Q57" s="628"/>
      <c r="R57" s="628"/>
      <c r="S57" s="628"/>
      <c r="T57" s="628"/>
    </row>
    <row r="58" spans="1:20" ht="15.75" x14ac:dyDescent="0.5">
      <c r="A58" s="926" t="s">
        <v>2385</v>
      </c>
      <c r="B58" s="926"/>
      <c r="C58" s="926"/>
      <c r="D58" s="926"/>
      <c r="E58" s="926"/>
      <c r="F58" s="926"/>
      <c r="G58" s="926"/>
      <c r="H58" s="926"/>
      <c r="I58" s="628"/>
      <c r="J58" s="628"/>
      <c r="K58" s="628"/>
      <c r="L58" s="628"/>
      <c r="M58" s="628"/>
      <c r="N58" s="628"/>
      <c r="O58" s="628"/>
      <c r="P58" s="628"/>
      <c r="Q58" s="628"/>
      <c r="R58" s="628"/>
      <c r="S58" s="628"/>
      <c r="T58" s="628"/>
    </row>
    <row r="59" spans="1:20" ht="15.75" x14ac:dyDescent="0.5">
      <c r="A59" s="926" t="s">
        <v>2386</v>
      </c>
      <c r="B59" s="926"/>
      <c r="C59" s="926"/>
      <c r="D59" s="926"/>
      <c r="E59" s="926"/>
      <c r="F59" s="926"/>
      <c r="G59" s="926"/>
      <c r="H59" s="926"/>
      <c r="I59" s="628"/>
      <c r="J59" s="628"/>
      <c r="K59" s="628"/>
      <c r="L59" s="628"/>
      <c r="M59" s="628"/>
      <c r="N59" s="628"/>
      <c r="O59" s="628"/>
      <c r="P59" s="628"/>
      <c r="Q59" s="628"/>
      <c r="R59" s="628"/>
      <c r="S59" s="628"/>
      <c r="T59" s="628"/>
    </row>
    <row r="60" spans="1:20" ht="15.75" x14ac:dyDescent="0.5">
      <c r="A60" s="926" t="s">
        <v>2387</v>
      </c>
      <c r="B60" s="926"/>
      <c r="C60" s="926"/>
      <c r="D60" s="926"/>
      <c r="E60" s="926"/>
      <c r="F60" s="926"/>
      <c r="G60" s="926"/>
      <c r="H60" s="926"/>
      <c r="I60" s="628"/>
      <c r="J60" s="628"/>
      <c r="K60" s="628"/>
      <c r="L60" s="628"/>
      <c r="M60" s="628"/>
      <c r="N60" s="628"/>
      <c r="O60" s="628"/>
      <c r="P60" s="628"/>
      <c r="Q60" s="628"/>
      <c r="R60" s="628"/>
      <c r="S60" s="628"/>
      <c r="T60" s="628"/>
    </row>
    <row r="61" spans="1:20" ht="15.75" x14ac:dyDescent="0.5">
      <c r="A61" s="926" t="s">
        <v>2388</v>
      </c>
      <c r="B61" s="926"/>
      <c r="C61" s="926"/>
      <c r="D61" s="926"/>
      <c r="E61" s="926"/>
      <c r="F61" s="926"/>
      <c r="G61" s="926"/>
      <c r="H61" s="926"/>
      <c r="I61" s="628"/>
      <c r="J61" s="628"/>
      <c r="K61" s="628"/>
      <c r="L61" s="628"/>
      <c r="M61" s="628"/>
      <c r="N61" s="628"/>
      <c r="O61" s="628"/>
      <c r="P61" s="628"/>
      <c r="Q61" s="628"/>
      <c r="R61" s="628"/>
      <c r="S61" s="628"/>
      <c r="T61" s="628"/>
    </row>
    <row r="62" spans="1:20" ht="15.75" x14ac:dyDescent="0.5">
      <c r="A62" s="926" t="s">
        <v>2389</v>
      </c>
      <c r="B62" s="926"/>
      <c r="C62" s="926"/>
      <c r="D62" s="926"/>
      <c r="E62" s="926"/>
      <c r="F62" s="926"/>
      <c r="G62" s="926"/>
      <c r="H62" s="926"/>
      <c r="I62" s="628"/>
      <c r="J62" s="628"/>
      <c r="K62" s="628"/>
      <c r="L62" s="628"/>
      <c r="M62" s="628"/>
      <c r="N62" s="628"/>
      <c r="O62" s="628"/>
      <c r="P62" s="628"/>
      <c r="Q62" s="628"/>
      <c r="R62" s="628"/>
      <c r="S62" s="628"/>
      <c r="T62" s="628"/>
    </row>
    <row r="63" spans="1:20" ht="15.75" x14ac:dyDescent="0.5">
      <c r="A63" s="926" t="s">
        <v>2390</v>
      </c>
      <c r="B63" s="926"/>
      <c r="C63" s="926"/>
      <c r="D63" s="926"/>
      <c r="E63" s="926"/>
      <c r="F63" s="926"/>
      <c r="G63" s="926"/>
      <c r="H63" s="926"/>
      <c r="I63" s="628"/>
      <c r="J63" s="628"/>
      <c r="K63" s="628"/>
      <c r="L63" s="628"/>
      <c r="M63" s="628"/>
      <c r="N63" s="628"/>
      <c r="O63" s="628"/>
      <c r="P63" s="628"/>
      <c r="Q63" s="628"/>
      <c r="R63" s="628"/>
      <c r="S63" s="628"/>
      <c r="T63" s="628"/>
    </row>
    <row r="64" spans="1:20" ht="15.75" x14ac:dyDescent="0.5">
      <c r="A64" s="926" t="s">
        <v>2391</v>
      </c>
      <c r="B64" s="926"/>
      <c r="C64" s="926"/>
      <c r="D64" s="926"/>
      <c r="E64" s="926"/>
      <c r="F64" s="926"/>
      <c r="G64" s="926"/>
      <c r="H64" s="926"/>
      <c r="I64" s="628"/>
      <c r="J64" s="628"/>
      <c r="K64" s="628"/>
      <c r="L64" s="628"/>
      <c r="M64" s="628"/>
      <c r="N64" s="628"/>
      <c r="O64" s="628"/>
      <c r="P64" s="628"/>
      <c r="Q64" s="628"/>
      <c r="R64" s="628"/>
      <c r="S64" s="628"/>
      <c r="T64" s="628"/>
    </row>
    <row r="65" spans="1:20" ht="15.75" x14ac:dyDescent="0.5">
      <c r="A65" s="926" t="s">
        <v>2392</v>
      </c>
      <c r="B65" s="926"/>
      <c r="C65" s="926"/>
      <c r="D65" s="926"/>
      <c r="E65" s="926"/>
      <c r="F65" s="926"/>
      <c r="G65" s="926"/>
      <c r="H65" s="926"/>
      <c r="I65" s="628"/>
      <c r="J65" s="628"/>
      <c r="K65" s="628"/>
      <c r="L65" s="628"/>
      <c r="M65" s="628"/>
      <c r="N65" s="628"/>
      <c r="O65" s="628"/>
      <c r="P65" s="628"/>
      <c r="Q65" s="628"/>
      <c r="R65" s="628"/>
      <c r="S65" s="628"/>
      <c r="T65" s="628"/>
    </row>
    <row r="66" spans="1:20" ht="15.75" x14ac:dyDescent="0.5">
      <c r="A66" s="926" t="s">
        <v>2393</v>
      </c>
      <c r="B66" s="926"/>
      <c r="C66" s="926"/>
      <c r="D66" s="926"/>
      <c r="E66" s="926"/>
      <c r="F66" s="926"/>
      <c r="G66" s="926"/>
      <c r="H66" s="926"/>
      <c r="I66" s="628"/>
      <c r="J66" s="628"/>
      <c r="K66" s="628"/>
      <c r="L66" s="628"/>
      <c r="M66" s="628"/>
      <c r="N66" s="628"/>
      <c r="O66" s="628"/>
      <c r="P66" s="628"/>
      <c r="Q66" s="628"/>
      <c r="R66" s="628"/>
      <c r="S66" s="628"/>
      <c r="T66" s="628"/>
    </row>
    <row r="67" spans="1:20" ht="15.75" x14ac:dyDescent="0.5">
      <c r="A67" s="926" t="s">
        <v>2394</v>
      </c>
      <c r="B67" s="926"/>
      <c r="C67" s="926"/>
      <c r="D67" s="926"/>
      <c r="E67" s="926"/>
      <c r="F67" s="926"/>
      <c r="G67" s="926"/>
      <c r="H67" s="926"/>
      <c r="I67" s="628"/>
      <c r="J67" s="628"/>
      <c r="K67" s="628"/>
      <c r="L67" s="628"/>
      <c r="M67" s="628"/>
      <c r="N67" s="628"/>
      <c r="O67" s="628"/>
      <c r="P67" s="628"/>
      <c r="Q67" s="628"/>
      <c r="R67" s="628"/>
      <c r="S67" s="628"/>
      <c r="T67" s="628"/>
    </row>
    <row r="68" spans="1:20" ht="15.75" x14ac:dyDescent="0.5">
      <c r="A68" s="926" t="s">
        <v>2395</v>
      </c>
      <c r="B68" s="926"/>
      <c r="C68" s="926"/>
      <c r="D68" s="926"/>
      <c r="E68" s="926"/>
      <c r="F68" s="926"/>
      <c r="G68" s="926"/>
      <c r="H68" s="926"/>
      <c r="I68" s="628"/>
      <c r="J68" s="628"/>
      <c r="K68" s="628"/>
      <c r="L68" s="628"/>
      <c r="M68" s="628"/>
      <c r="N68" s="628"/>
      <c r="O68" s="628"/>
      <c r="P68" s="628"/>
      <c r="Q68" s="628"/>
      <c r="R68" s="628"/>
      <c r="S68" s="628"/>
      <c r="T68" s="628"/>
    </row>
    <row r="69" spans="1:20" ht="15.75" x14ac:dyDescent="0.5">
      <c r="A69" s="926" t="s">
        <v>2396</v>
      </c>
      <c r="B69" s="926"/>
      <c r="C69" s="926"/>
      <c r="D69" s="926"/>
      <c r="E69" s="926"/>
      <c r="F69" s="926"/>
      <c r="G69" s="926"/>
      <c r="H69" s="926"/>
      <c r="I69" s="628"/>
      <c r="J69" s="628"/>
      <c r="K69" s="628"/>
      <c r="L69" s="628"/>
      <c r="M69" s="628"/>
      <c r="N69" s="628"/>
      <c r="O69" s="628"/>
      <c r="P69" s="628"/>
      <c r="Q69" s="628"/>
      <c r="R69" s="628"/>
      <c r="S69" s="628"/>
      <c r="T69" s="628"/>
    </row>
    <row r="70" spans="1:20" ht="15.75" x14ac:dyDescent="0.5">
      <c r="A70" s="926" t="s">
        <v>2397</v>
      </c>
      <c r="B70" s="926"/>
      <c r="C70" s="926"/>
      <c r="D70" s="926"/>
      <c r="E70" s="926"/>
      <c r="F70" s="926"/>
      <c r="G70" s="926"/>
      <c r="H70" s="926"/>
      <c r="I70" s="628"/>
      <c r="J70" s="628"/>
      <c r="K70" s="628"/>
      <c r="L70" s="628"/>
      <c r="M70" s="628"/>
      <c r="N70" s="628"/>
      <c r="O70" s="628"/>
      <c r="P70" s="628"/>
      <c r="Q70" s="628"/>
      <c r="R70" s="628"/>
      <c r="S70" s="628"/>
      <c r="T70" s="628"/>
    </row>
    <row r="71" spans="1:20" ht="15.75" x14ac:dyDescent="0.5">
      <c r="A71" s="926" t="s">
        <v>2398</v>
      </c>
      <c r="B71" s="926"/>
      <c r="C71" s="926"/>
      <c r="D71" s="926"/>
      <c r="E71" s="926"/>
      <c r="F71" s="926"/>
      <c r="G71" s="926"/>
      <c r="H71" s="926"/>
      <c r="I71" s="628"/>
      <c r="J71" s="628"/>
      <c r="K71" s="628"/>
      <c r="L71" s="628"/>
      <c r="M71" s="628"/>
      <c r="N71" s="628"/>
      <c r="O71" s="628"/>
      <c r="P71" s="628"/>
      <c r="Q71" s="628"/>
      <c r="R71" s="628"/>
      <c r="S71" s="628"/>
      <c r="T71" s="628"/>
    </row>
    <row r="72" spans="1:20" ht="15.75" x14ac:dyDescent="0.5">
      <c r="A72" s="926" t="s">
        <v>2399</v>
      </c>
      <c r="B72" s="926"/>
      <c r="C72" s="926"/>
      <c r="D72" s="926"/>
      <c r="E72" s="926"/>
      <c r="F72" s="926"/>
      <c r="G72" s="926"/>
      <c r="H72" s="926"/>
      <c r="I72" s="628"/>
      <c r="J72" s="628"/>
      <c r="K72" s="628"/>
      <c r="L72" s="628"/>
      <c r="M72" s="628"/>
      <c r="N72" s="628"/>
      <c r="O72" s="628"/>
      <c r="P72" s="628"/>
      <c r="Q72" s="628"/>
      <c r="R72" s="628"/>
      <c r="S72" s="628"/>
      <c r="T72" s="628"/>
    </row>
    <row r="73" spans="1:20" ht="15.75" x14ac:dyDescent="0.5">
      <c r="A73" s="926" t="s">
        <v>2400</v>
      </c>
      <c r="B73" s="926"/>
      <c r="C73" s="926"/>
      <c r="D73" s="926"/>
      <c r="E73" s="926"/>
      <c r="F73" s="926"/>
      <c r="G73" s="926"/>
      <c r="H73" s="926"/>
      <c r="I73" s="628"/>
      <c r="J73" s="628"/>
      <c r="K73" s="628"/>
      <c r="L73" s="628"/>
      <c r="M73" s="628"/>
      <c r="N73" s="628"/>
      <c r="O73" s="628"/>
      <c r="P73" s="628"/>
      <c r="Q73" s="628"/>
      <c r="R73" s="628"/>
      <c r="S73" s="628"/>
      <c r="T73" s="628"/>
    </row>
    <row r="74" spans="1:20" ht="15.75" x14ac:dyDescent="0.5">
      <c r="A74" s="926" t="s">
        <v>2401</v>
      </c>
      <c r="B74" s="926"/>
      <c r="C74" s="926"/>
      <c r="D74" s="926"/>
      <c r="E74" s="926"/>
      <c r="F74" s="926"/>
      <c r="G74" s="926"/>
      <c r="H74" s="926"/>
      <c r="I74" s="628"/>
      <c r="J74" s="628"/>
      <c r="K74" s="628"/>
      <c r="L74" s="628"/>
      <c r="M74" s="628"/>
      <c r="N74" s="628"/>
      <c r="O74" s="628"/>
      <c r="P74" s="628"/>
      <c r="Q74" s="628"/>
      <c r="R74" s="628"/>
      <c r="S74" s="628"/>
      <c r="T74" s="628"/>
    </row>
    <row r="75" spans="1:20" ht="15.75" x14ac:dyDescent="0.5">
      <c r="A75" s="926" t="s">
        <v>2402</v>
      </c>
      <c r="B75" s="926"/>
      <c r="C75" s="926"/>
      <c r="D75" s="926"/>
      <c r="E75" s="926"/>
      <c r="F75" s="926"/>
      <c r="G75" s="926"/>
      <c r="H75" s="926"/>
      <c r="I75" s="628"/>
      <c r="J75" s="628"/>
      <c r="K75" s="628"/>
      <c r="L75" s="628"/>
      <c r="M75" s="628"/>
      <c r="N75" s="628"/>
      <c r="O75" s="628"/>
      <c r="P75" s="628"/>
      <c r="Q75" s="628"/>
      <c r="R75" s="628"/>
      <c r="S75" s="628"/>
      <c r="T75" s="628"/>
    </row>
    <row r="76" spans="1:20" ht="15.75" x14ac:dyDescent="0.5">
      <c r="A76" s="926" t="s">
        <v>2403</v>
      </c>
      <c r="B76" s="926"/>
      <c r="C76" s="926"/>
      <c r="D76" s="926"/>
      <c r="E76" s="926"/>
      <c r="F76" s="926"/>
      <c r="G76" s="926"/>
      <c r="H76" s="926"/>
      <c r="I76" s="628"/>
      <c r="J76" s="628"/>
      <c r="K76" s="628"/>
      <c r="L76" s="628"/>
      <c r="M76" s="628"/>
      <c r="N76" s="628"/>
      <c r="O76" s="628"/>
      <c r="P76" s="628"/>
      <c r="Q76" s="628"/>
      <c r="R76" s="628"/>
      <c r="S76" s="628"/>
      <c r="T76" s="628"/>
    </row>
    <row r="77" spans="1:20" ht="15.75" x14ac:dyDescent="0.5">
      <c r="A77" s="926" t="s">
        <v>2404</v>
      </c>
      <c r="B77" s="926"/>
      <c r="C77" s="926"/>
      <c r="D77" s="926"/>
      <c r="E77" s="926"/>
      <c r="F77" s="926"/>
      <c r="G77" s="926"/>
      <c r="H77" s="926"/>
      <c r="I77" s="628"/>
      <c r="J77" s="628"/>
      <c r="K77" s="628"/>
      <c r="L77" s="628"/>
      <c r="M77" s="628"/>
      <c r="N77" s="628"/>
      <c r="O77" s="628"/>
      <c r="P77" s="628"/>
      <c r="Q77" s="628"/>
      <c r="R77" s="628"/>
      <c r="S77" s="628"/>
      <c r="T77" s="628"/>
    </row>
    <row r="78" spans="1:20" ht="15.75" x14ac:dyDescent="0.5">
      <c r="A78" s="926" t="s">
        <v>2405</v>
      </c>
      <c r="B78" s="926"/>
      <c r="C78" s="926"/>
      <c r="D78" s="926"/>
      <c r="E78" s="926"/>
      <c r="F78" s="926"/>
      <c r="G78" s="926"/>
      <c r="H78" s="926"/>
      <c r="I78" s="628"/>
      <c r="J78" s="628"/>
      <c r="K78" s="628"/>
      <c r="L78" s="628"/>
      <c r="M78" s="628"/>
      <c r="N78" s="628"/>
      <c r="O78" s="628"/>
      <c r="P78" s="628"/>
      <c r="Q78" s="628"/>
      <c r="R78" s="628"/>
      <c r="S78" s="628"/>
      <c r="T78" s="628"/>
    </row>
    <row r="79" spans="1:20" ht="15.75" x14ac:dyDescent="0.5">
      <c r="A79" s="926" t="s">
        <v>2406</v>
      </c>
      <c r="B79" s="926"/>
      <c r="C79" s="926"/>
      <c r="D79" s="926"/>
      <c r="E79" s="926"/>
      <c r="F79" s="926"/>
      <c r="G79" s="926"/>
      <c r="H79" s="926"/>
      <c r="I79" s="628"/>
      <c r="J79" s="628"/>
      <c r="K79" s="628"/>
      <c r="L79" s="628"/>
      <c r="M79" s="628"/>
      <c r="N79" s="628"/>
      <c r="O79" s="628"/>
      <c r="P79" s="628"/>
      <c r="Q79" s="628"/>
      <c r="R79" s="628"/>
      <c r="S79" s="628"/>
      <c r="T79" s="628"/>
    </row>
    <row r="80" spans="1:20" ht="15.75" x14ac:dyDescent="0.5">
      <c r="A80" s="926" t="s">
        <v>2407</v>
      </c>
      <c r="B80" s="926"/>
      <c r="C80" s="926"/>
      <c r="D80" s="926"/>
      <c r="E80" s="926"/>
      <c r="F80" s="926"/>
      <c r="G80" s="926"/>
      <c r="H80" s="926"/>
      <c r="I80" s="628"/>
      <c r="J80" s="628"/>
      <c r="K80" s="628"/>
      <c r="L80" s="628"/>
      <c r="M80" s="628"/>
      <c r="N80" s="628"/>
      <c r="O80" s="628"/>
      <c r="P80" s="628"/>
      <c r="Q80" s="628"/>
      <c r="R80" s="628"/>
      <c r="S80" s="628"/>
      <c r="T80" s="628"/>
    </row>
    <row r="81" spans="1:20" ht="15.75" x14ac:dyDescent="0.5">
      <c r="A81" s="926" t="s">
        <v>2408</v>
      </c>
      <c r="B81" s="926"/>
      <c r="C81" s="926"/>
      <c r="D81" s="926"/>
      <c r="E81" s="926"/>
      <c r="F81" s="926"/>
      <c r="G81" s="926"/>
      <c r="H81" s="926"/>
      <c r="I81" s="628"/>
      <c r="J81" s="628"/>
      <c r="K81" s="628"/>
      <c r="L81" s="628"/>
      <c r="M81" s="628"/>
      <c r="N81" s="628"/>
      <c r="O81" s="628"/>
      <c r="P81" s="628"/>
      <c r="Q81" s="628"/>
      <c r="R81" s="628"/>
      <c r="S81" s="628"/>
      <c r="T81" s="628"/>
    </row>
    <row r="82" spans="1:20" ht="15.75" x14ac:dyDescent="0.5">
      <c r="A82" s="926" t="s">
        <v>2409</v>
      </c>
      <c r="B82" s="926"/>
      <c r="C82" s="926"/>
      <c r="D82" s="926"/>
      <c r="E82" s="926"/>
      <c r="F82" s="926"/>
      <c r="G82" s="926"/>
      <c r="H82" s="926"/>
      <c r="I82" s="628"/>
      <c r="J82" s="628"/>
      <c r="K82" s="628"/>
      <c r="L82" s="628"/>
      <c r="M82" s="628"/>
      <c r="N82" s="628"/>
      <c r="O82" s="628"/>
      <c r="P82" s="628"/>
      <c r="Q82" s="628"/>
      <c r="R82" s="628"/>
      <c r="S82" s="628"/>
      <c r="T82" s="628"/>
    </row>
    <row r="83" spans="1:20" ht="15.75" x14ac:dyDescent="0.5">
      <c r="A83" s="926" t="s">
        <v>2410</v>
      </c>
      <c r="B83" s="926"/>
      <c r="C83" s="926"/>
      <c r="D83" s="926"/>
      <c r="E83" s="926"/>
      <c r="F83" s="926"/>
      <c r="G83" s="926"/>
      <c r="H83" s="926"/>
      <c r="I83" s="628"/>
      <c r="J83" s="628"/>
      <c r="K83" s="628"/>
      <c r="L83" s="628"/>
      <c r="M83" s="628"/>
      <c r="N83" s="628"/>
      <c r="O83" s="628"/>
      <c r="P83" s="628"/>
      <c r="Q83" s="628"/>
      <c r="R83" s="628"/>
      <c r="S83" s="628"/>
      <c r="T83" s="628"/>
    </row>
    <row r="84" spans="1:20" ht="15.75" x14ac:dyDescent="0.5">
      <c r="A84" s="926" t="s">
        <v>2411</v>
      </c>
      <c r="B84" s="926"/>
      <c r="C84" s="926"/>
      <c r="D84" s="926"/>
      <c r="E84" s="926"/>
      <c r="F84" s="926"/>
      <c r="G84" s="926"/>
      <c r="H84" s="926"/>
      <c r="I84" s="628"/>
      <c r="J84" s="628"/>
      <c r="K84" s="628"/>
      <c r="L84" s="628"/>
      <c r="M84" s="628"/>
      <c r="N84" s="628"/>
      <c r="O84" s="628"/>
      <c r="P84" s="628"/>
      <c r="Q84" s="628"/>
      <c r="R84" s="628"/>
      <c r="S84" s="628"/>
      <c r="T84" s="628"/>
    </row>
    <row r="85" spans="1:20" ht="15.75" x14ac:dyDescent="0.5">
      <c r="A85" s="926" t="s">
        <v>2412</v>
      </c>
      <c r="B85" s="926"/>
      <c r="C85" s="926"/>
      <c r="D85" s="926"/>
      <c r="E85" s="926"/>
      <c r="F85" s="926"/>
      <c r="G85" s="926"/>
      <c r="H85" s="926"/>
      <c r="I85" s="628"/>
      <c r="J85" s="628"/>
      <c r="K85" s="628"/>
      <c r="L85" s="628"/>
      <c r="M85" s="628"/>
      <c r="N85" s="628"/>
      <c r="O85" s="628"/>
      <c r="P85" s="628"/>
      <c r="Q85" s="628"/>
      <c r="R85" s="628"/>
      <c r="S85" s="628"/>
      <c r="T85" s="628"/>
    </row>
    <row r="86" spans="1:20" ht="15.75" x14ac:dyDescent="0.5">
      <c r="A86" s="926" t="s">
        <v>2413</v>
      </c>
      <c r="B86" s="926"/>
      <c r="C86" s="926"/>
      <c r="D86" s="926"/>
      <c r="E86" s="926"/>
      <c r="F86" s="926"/>
      <c r="G86" s="926"/>
      <c r="H86" s="926"/>
      <c r="I86" s="628"/>
      <c r="J86" s="628"/>
      <c r="K86" s="628"/>
      <c r="L86" s="628"/>
      <c r="M86" s="628"/>
      <c r="N86" s="628"/>
      <c r="O86" s="628"/>
      <c r="P86" s="628"/>
      <c r="Q86" s="628"/>
      <c r="R86" s="628"/>
      <c r="S86" s="628"/>
      <c r="T86" s="628"/>
    </row>
    <row r="87" spans="1:20" ht="15.75" x14ac:dyDescent="0.5">
      <c r="A87" s="926" t="s">
        <v>2414</v>
      </c>
      <c r="B87" s="926"/>
      <c r="C87" s="926"/>
      <c r="D87" s="926"/>
      <c r="E87" s="926"/>
      <c r="F87" s="926"/>
      <c r="G87" s="926"/>
      <c r="H87" s="926"/>
      <c r="I87" s="628"/>
      <c r="J87" s="628"/>
      <c r="K87" s="628"/>
      <c r="L87" s="628"/>
      <c r="M87" s="628"/>
      <c r="N87" s="628"/>
      <c r="O87" s="628"/>
      <c r="P87" s="628"/>
      <c r="Q87" s="628"/>
      <c r="R87" s="628"/>
      <c r="S87" s="628"/>
      <c r="T87" s="628"/>
    </row>
    <row r="88" spans="1:20" ht="15.75" x14ac:dyDescent="0.5">
      <c r="A88" s="926" t="s">
        <v>2415</v>
      </c>
      <c r="B88" s="926"/>
      <c r="C88" s="926"/>
      <c r="D88" s="926"/>
      <c r="E88" s="926"/>
      <c r="F88" s="926"/>
      <c r="G88" s="926"/>
      <c r="H88" s="926"/>
      <c r="I88" s="628"/>
      <c r="J88" s="628"/>
      <c r="K88" s="628"/>
      <c r="L88" s="628"/>
      <c r="M88" s="628"/>
      <c r="N88" s="628"/>
      <c r="O88" s="628"/>
      <c r="P88" s="628"/>
      <c r="Q88" s="628"/>
      <c r="R88" s="628"/>
      <c r="S88" s="628"/>
      <c r="T88" s="628"/>
    </row>
    <row r="89" spans="1:20" ht="15.75" x14ac:dyDescent="0.5">
      <c r="A89" s="926" t="s">
        <v>2416</v>
      </c>
      <c r="B89" s="926"/>
      <c r="C89" s="926"/>
      <c r="D89" s="926"/>
      <c r="E89" s="926"/>
      <c r="F89" s="926"/>
      <c r="G89" s="926"/>
      <c r="H89" s="926"/>
      <c r="I89" s="628"/>
      <c r="J89" s="628"/>
      <c r="K89" s="628"/>
      <c r="L89" s="628"/>
      <c r="M89" s="628"/>
      <c r="N89" s="628"/>
      <c r="O89" s="628"/>
      <c r="P89" s="628"/>
      <c r="Q89" s="628"/>
      <c r="R89" s="628"/>
      <c r="S89" s="628"/>
      <c r="T89" s="628"/>
    </row>
    <row r="90" spans="1:20" ht="15.75" x14ac:dyDescent="0.5">
      <c r="A90" s="926" t="s">
        <v>2417</v>
      </c>
      <c r="B90" s="926"/>
      <c r="C90" s="926"/>
      <c r="D90" s="926"/>
      <c r="E90" s="926"/>
      <c r="F90" s="926"/>
      <c r="G90" s="926"/>
      <c r="H90" s="926"/>
      <c r="I90" s="628"/>
      <c r="J90" s="628"/>
      <c r="K90" s="628"/>
      <c r="L90" s="628"/>
      <c r="M90" s="628"/>
      <c r="N90" s="628"/>
      <c r="O90" s="628"/>
      <c r="P90" s="628"/>
      <c r="Q90" s="628"/>
      <c r="R90" s="628"/>
      <c r="S90" s="628"/>
      <c r="T90" s="628"/>
    </row>
    <row r="91" spans="1:20" ht="15.75" x14ac:dyDescent="0.5">
      <c r="A91" s="926" t="s">
        <v>2418</v>
      </c>
      <c r="B91" s="926"/>
      <c r="C91" s="926"/>
      <c r="D91" s="926"/>
      <c r="E91" s="926"/>
      <c r="F91" s="926"/>
      <c r="G91" s="926"/>
      <c r="H91" s="926"/>
      <c r="I91" s="628"/>
      <c r="J91" s="628"/>
      <c r="K91" s="628"/>
      <c r="L91" s="628"/>
      <c r="M91" s="628"/>
      <c r="N91" s="628"/>
      <c r="O91" s="628"/>
      <c r="P91" s="628"/>
      <c r="Q91" s="628"/>
      <c r="R91" s="628"/>
      <c r="S91" s="628"/>
      <c r="T91" s="628"/>
    </row>
    <row r="92" spans="1:20" ht="15.75" x14ac:dyDescent="0.5">
      <c r="A92" s="926" t="s">
        <v>2419</v>
      </c>
      <c r="B92" s="926"/>
      <c r="C92" s="926"/>
      <c r="D92" s="926"/>
      <c r="E92" s="926"/>
      <c r="F92" s="926"/>
      <c r="G92" s="926"/>
      <c r="H92" s="926"/>
      <c r="I92" s="628"/>
      <c r="J92" s="628"/>
      <c r="K92" s="628"/>
      <c r="L92" s="628"/>
      <c r="M92" s="628"/>
      <c r="N92" s="628"/>
      <c r="O92" s="628"/>
      <c r="P92" s="628"/>
      <c r="Q92" s="628"/>
      <c r="R92" s="628"/>
      <c r="S92" s="628"/>
      <c r="T92" s="628"/>
    </row>
    <row r="93" spans="1:20" ht="15.75" x14ac:dyDescent="0.5">
      <c r="A93" s="926" t="s">
        <v>2420</v>
      </c>
      <c r="B93" s="926"/>
      <c r="C93" s="926"/>
      <c r="D93" s="926"/>
      <c r="E93" s="926"/>
      <c r="F93" s="926"/>
      <c r="G93" s="926"/>
      <c r="H93" s="926"/>
      <c r="I93" s="628"/>
      <c r="J93" s="628"/>
      <c r="K93" s="628"/>
      <c r="L93" s="628"/>
      <c r="M93" s="628"/>
      <c r="N93" s="628"/>
      <c r="O93" s="628"/>
      <c r="P93" s="628"/>
      <c r="Q93" s="628"/>
      <c r="R93" s="628"/>
      <c r="S93" s="628"/>
      <c r="T93" s="628"/>
    </row>
    <row r="94" spans="1:20" ht="15.75" x14ac:dyDescent="0.5">
      <c r="A94" s="926" t="s">
        <v>2421</v>
      </c>
      <c r="B94" s="926"/>
      <c r="C94" s="926"/>
      <c r="D94" s="926"/>
      <c r="E94" s="926"/>
      <c r="F94" s="926"/>
      <c r="G94" s="926"/>
      <c r="H94" s="926"/>
      <c r="I94" s="628"/>
      <c r="J94" s="628"/>
      <c r="K94" s="628"/>
      <c r="L94" s="628"/>
      <c r="M94" s="628"/>
      <c r="N94" s="628"/>
      <c r="O94" s="628"/>
      <c r="P94" s="628"/>
      <c r="Q94" s="628"/>
      <c r="R94" s="628"/>
      <c r="S94" s="628"/>
      <c r="T94" s="628"/>
    </row>
    <row r="95" spans="1:20" ht="15.75" x14ac:dyDescent="0.5">
      <c r="A95" s="926" t="s">
        <v>2422</v>
      </c>
      <c r="B95" s="926"/>
      <c r="C95" s="926"/>
      <c r="D95" s="926"/>
      <c r="E95" s="926"/>
      <c r="F95" s="926"/>
      <c r="G95" s="926"/>
      <c r="H95" s="926"/>
      <c r="I95" s="628"/>
      <c r="J95" s="628"/>
      <c r="K95" s="628"/>
      <c r="L95" s="628"/>
      <c r="M95" s="628"/>
      <c r="N95" s="628"/>
      <c r="O95" s="628"/>
      <c r="P95" s="628"/>
      <c r="Q95" s="628"/>
      <c r="R95" s="628"/>
      <c r="S95" s="628"/>
      <c r="T95" s="628"/>
    </row>
    <row r="96" spans="1:20" ht="15.75" x14ac:dyDescent="0.5">
      <c r="A96" s="926" t="s">
        <v>2423</v>
      </c>
      <c r="B96" s="926"/>
      <c r="C96" s="926"/>
      <c r="D96" s="926"/>
      <c r="E96" s="926"/>
      <c r="F96" s="926"/>
      <c r="G96" s="926"/>
      <c r="H96" s="926"/>
      <c r="I96" s="628"/>
      <c r="J96" s="628"/>
      <c r="K96" s="628"/>
      <c r="L96" s="628"/>
      <c r="M96" s="628"/>
      <c r="N96" s="628"/>
      <c r="O96" s="628"/>
      <c r="P96" s="628"/>
      <c r="Q96" s="628"/>
      <c r="R96" s="628"/>
      <c r="S96" s="628"/>
      <c r="T96" s="628"/>
    </row>
    <row r="97" spans="1:20" ht="15.75" x14ac:dyDescent="0.5">
      <c r="A97" s="926" t="s">
        <v>2424</v>
      </c>
      <c r="B97" s="926"/>
      <c r="C97" s="926"/>
      <c r="D97" s="926"/>
      <c r="E97" s="926"/>
      <c r="F97" s="926"/>
      <c r="G97" s="926"/>
      <c r="H97" s="926"/>
      <c r="I97" s="628"/>
      <c r="J97" s="628"/>
      <c r="K97" s="628"/>
      <c r="L97" s="628"/>
      <c r="M97" s="628"/>
      <c r="N97" s="628"/>
      <c r="O97" s="628"/>
      <c r="P97" s="628"/>
      <c r="Q97" s="628"/>
      <c r="R97" s="628"/>
      <c r="S97" s="628"/>
      <c r="T97" s="628"/>
    </row>
    <row r="98" spans="1:20" ht="15.75" x14ac:dyDescent="0.5">
      <c r="A98" s="926" t="s">
        <v>2425</v>
      </c>
      <c r="B98" s="926"/>
      <c r="C98" s="926"/>
      <c r="D98" s="926"/>
      <c r="E98" s="926"/>
      <c r="F98" s="926"/>
      <c r="G98" s="926"/>
      <c r="H98" s="926"/>
      <c r="I98" s="628"/>
      <c r="J98" s="628"/>
      <c r="K98" s="628"/>
      <c r="L98" s="628"/>
      <c r="M98" s="628"/>
      <c r="N98" s="628"/>
      <c r="O98" s="628"/>
      <c r="P98" s="628"/>
      <c r="Q98" s="628"/>
      <c r="R98" s="628"/>
      <c r="S98" s="628"/>
      <c r="T98" s="628"/>
    </row>
    <row r="99" spans="1:20" ht="15.75" x14ac:dyDescent="0.5">
      <c r="A99" s="926" t="s">
        <v>2426</v>
      </c>
      <c r="B99" s="926"/>
      <c r="C99" s="926"/>
      <c r="D99" s="926"/>
      <c r="E99" s="926"/>
      <c r="F99" s="926"/>
      <c r="G99" s="926"/>
      <c r="H99" s="926"/>
      <c r="I99" s="628"/>
      <c r="J99" s="628"/>
      <c r="K99" s="628"/>
      <c r="L99" s="628"/>
      <c r="M99" s="628"/>
      <c r="N99" s="628"/>
      <c r="O99" s="628"/>
      <c r="P99" s="628"/>
      <c r="Q99" s="628"/>
      <c r="R99" s="628"/>
      <c r="S99" s="628"/>
      <c r="T99" s="628"/>
    </row>
    <row r="100" spans="1:20" ht="15.75" x14ac:dyDescent="0.5">
      <c r="A100" s="926" t="s">
        <v>2427</v>
      </c>
      <c r="B100" s="926"/>
      <c r="C100" s="926"/>
      <c r="D100" s="926"/>
      <c r="E100" s="926"/>
      <c r="F100" s="926"/>
      <c r="G100" s="926"/>
      <c r="H100" s="926"/>
      <c r="I100" s="628"/>
      <c r="J100" s="628"/>
      <c r="K100" s="628"/>
      <c r="L100" s="628"/>
      <c r="M100" s="628"/>
      <c r="N100" s="628"/>
      <c r="O100" s="628"/>
      <c r="P100" s="628"/>
      <c r="Q100" s="628"/>
      <c r="R100" s="628"/>
      <c r="S100" s="628"/>
      <c r="T100" s="628"/>
    </row>
    <row r="101" spans="1:20" ht="15.75" x14ac:dyDescent="0.5">
      <c r="A101" s="926" t="s">
        <v>2428</v>
      </c>
      <c r="B101" s="926"/>
      <c r="C101" s="926"/>
      <c r="D101" s="926"/>
      <c r="E101" s="926"/>
      <c r="F101" s="926"/>
      <c r="G101" s="926"/>
      <c r="H101" s="926"/>
      <c r="I101" s="628"/>
      <c r="J101" s="628"/>
      <c r="K101" s="628"/>
      <c r="L101" s="628"/>
      <c r="M101" s="628"/>
      <c r="N101" s="628"/>
      <c r="O101" s="628"/>
      <c r="P101" s="628"/>
      <c r="Q101" s="628"/>
      <c r="R101" s="628"/>
      <c r="S101" s="628"/>
      <c r="T101" s="628"/>
    </row>
    <row r="102" spans="1:20" ht="15.75" x14ac:dyDescent="0.5">
      <c r="A102" s="926" t="s">
        <v>989</v>
      </c>
      <c r="B102" s="926"/>
      <c r="C102" s="926"/>
      <c r="D102" s="926"/>
      <c r="E102" s="926"/>
      <c r="F102" s="926"/>
      <c r="G102" s="926"/>
      <c r="H102" s="926"/>
      <c r="I102" s="628"/>
      <c r="J102" s="628"/>
      <c r="K102" s="628"/>
      <c r="L102" s="628"/>
      <c r="M102" s="628"/>
      <c r="N102" s="628"/>
      <c r="O102" s="628"/>
      <c r="P102" s="628"/>
      <c r="Q102" s="628"/>
      <c r="R102" s="628"/>
      <c r="S102" s="628"/>
      <c r="T102" s="628"/>
    </row>
    <row r="103" spans="1:20" ht="15.75" x14ac:dyDescent="0.5">
      <c r="A103" s="926" t="s">
        <v>2429</v>
      </c>
      <c r="B103" s="926"/>
      <c r="C103" s="926"/>
      <c r="D103" s="926"/>
      <c r="E103" s="926"/>
      <c r="F103" s="926"/>
      <c r="G103" s="926"/>
      <c r="H103" s="926"/>
      <c r="I103" s="628"/>
      <c r="J103" s="628"/>
      <c r="K103" s="628"/>
      <c r="L103" s="628"/>
      <c r="M103" s="628"/>
      <c r="N103" s="628"/>
      <c r="O103" s="628"/>
      <c r="P103" s="628"/>
      <c r="Q103" s="628"/>
      <c r="R103" s="628"/>
      <c r="S103" s="628"/>
      <c r="T103" s="628"/>
    </row>
    <row r="104" spans="1:20" ht="15.75" x14ac:dyDescent="0.5">
      <c r="A104" s="926" t="s">
        <v>2430</v>
      </c>
      <c r="B104" s="926"/>
      <c r="C104" s="926"/>
      <c r="D104" s="926"/>
      <c r="E104" s="926"/>
      <c r="F104" s="926"/>
      <c r="G104" s="926"/>
      <c r="H104" s="926"/>
      <c r="I104" s="628"/>
      <c r="J104" s="628"/>
      <c r="K104" s="628"/>
      <c r="L104" s="628"/>
      <c r="M104" s="628"/>
      <c r="N104" s="628"/>
      <c r="O104" s="628"/>
      <c r="P104" s="628"/>
      <c r="Q104" s="628"/>
      <c r="R104" s="628"/>
      <c r="S104" s="628"/>
      <c r="T104" s="628"/>
    </row>
    <row r="105" spans="1:20" ht="15.75" x14ac:dyDescent="0.5">
      <c r="A105" s="926" t="s">
        <v>2431</v>
      </c>
      <c r="B105" s="926"/>
      <c r="C105" s="926"/>
      <c r="D105" s="926"/>
      <c r="E105" s="926"/>
      <c r="F105" s="926"/>
      <c r="G105" s="926"/>
      <c r="H105" s="926"/>
      <c r="I105" s="628"/>
      <c r="J105" s="628"/>
      <c r="K105" s="628"/>
      <c r="L105" s="628"/>
      <c r="M105" s="628"/>
      <c r="N105" s="628"/>
      <c r="O105" s="628"/>
      <c r="P105" s="628"/>
      <c r="Q105" s="628"/>
      <c r="R105" s="628"/>
      <c r="S105" s="628"/>
      <c r="T105" s="628"/>
    </row>
    <row r="106" spans="1:20" ht="15.75" x14ac:dyDescent="0.5">
      <c r="A106" s="926" t="s">
        <v>2432</v>
      </c>
      <c r="B106" s="926"/>
      <c r="C106" s="926"/>
      <c r="D106" s="926"/>
      <c r="E106" s="926"/>
      <c r="F106" s="926"/>
      <c r="G106" s="926"/>
      <c r="H106" s="926"/>
      <c r="I106" s="628"/>
      <c r="J106" s="628"/>
      <c r="K106" s="628"/>
      <c r="L106" s="628"/>
      <c r="M106" s="628"/>
      <c r="N106" s="628"/>
      <c r="O106" s="628"/>
      <c r="P106" s="628"/>
      <c r="Q106" s="628"/>
      <c r="R106" s="628"/>
      <c r="S106" s="628"/>
      <c r="T106" s="628"/>
    </row>
    <row r="107" spans="1:20" ht="15.75" x14ac:dyDescent="0.5">
      <c r="A107" s="926" t="s">
        <v>2433</v>
      </c>
      <c r="B107" s="926"/>
      <c r="C107" s="926"/>
      <c r="D107" s="926"/>
      <c r="E107" s="926"/>
      <c r="F107" s="926"/>
      <c r="G107" s="926"/>
      <c r="H107" s="926"/>
      <c r="I107" s="628"/>
      <c r="J107" s="628"/>
      <c r="K107" s="628"/>
      <c r="L107" s="628"/>
      <c r="M107" s="628"/>
      <c r="N107" s="628"/>
      <c r="O107" s="628"/>
      <c r="P107" s="628"/>
      <c r="Q107" s="628"/>
      <c r="R107" s="628"/>
      <c r="S107" s="628"/>
      <c r="T107" s="628"/>
    </row>
    <row r="108" spans="1:20" ht="15.75" x14ac:dyDescent="0.5">
      <c r="A108" s="926" t="s">
        <v>2434</v>
      </c>
      <c r="B108" s="926"/>
      <c r="C108" s="926"/>
      <c r="D108" s="926"/>
      <c r="E108" s="926"/>
      <c r="F108" s="926"/>
      <c r="G108" s="926"/>
      <c r="H108" s="926"/>
      <c r="I108" s="628"/>
      <c r="J108" s="628"/>
      <c r="K108" s="628"/>
      <c r="L108" s="628"/>
      <c r="M108" s="628"/>
      <c r="N108" s="628"/>
      <c r="O108" s="628"/>
      <c r="P108" s="628"/>
      <c r="Q108" s="628"/>
      <c r="R108" s="628"/>
      <c r="S108" s="628"/>
      <c r="T108" s="628"/>
    </row>
    <row r="109" spans="1:20" ht="15.75" x14ac:dyDescent="0.5">
      <c r="A109" s="926" t="s">
        <v>2435</v>
      </c>
      <c r="B109" s="926"/>
      <c r="C109" s="926"/>
      <c r="D109" s="926"/>
      <c r="E109" s="926"/>
      <c r="F109" s="926"/>
      <c r="G109" s="926"/>
      <c r="H109" s="926"/>
      <c r="I109" s="628"/>
      <c r="J109" s="628"/>
      <c r="K109" s="628"/>
      <c r="L109" s="628"/>
      <c r="M109" s="628"/>
      <c r="N109" s="628"/>
      <c r="O109" s="628"/>
      <c r="P109" s="628"/>
      <c r="Q109" s="628"/>
      <c r="R109" s="628"/>
      <c r="S109" s="628"/>
      <c r="T109" s="628"/>
    </row>
    <row r="110" spans="1:20" ht="15.75" x14ac:dyDescent="0.5">
      <c r="A110" s="926" t="s">
        <v>2436</v>
      </c>
      <c r="B110" s="926"/>
      <c r="C110" s="926"/>
      <c r="D110" s="926"/>
      <c r="E110" s="926"/>
      <c r="F110" s="926"/>
      <c r="G110" s="926"/>
      <c r="H110" s="926"/>
      <c r="I110" s="628"/>
      <c r="J110" s="628"/>
      <c r="K110" s="628"/>
      <c r="L110" s="628"/>
      <c r="M110" s="628"/>
      <c r="N110" s="628"/>
      <c r="O110" s="628"/>
      <c r="P110" s="628"/>
      <c r="Q110" s="628"/>
      <c r="R110" s="628"/>
      <c r="S110" s="628"/>
      <c r="T110" s="628"/>
    </row>
    <row r="111" spans="1:20" ht="15.75" x14ac:dyDescent="0.5">
      <c r="A111" s="926" t="s">
        <v>2437</v>
      </c>
      <c r="B111" s="926"/>
      <c r="C111" s="926"/>
      <c r="D111" s="926"/>
      <c r="E111" s="926"/>
      <c r="F111" s="926"/>
      <c r="G111" s="926"/>
      <c r="H111" s="926"/>
      <c r="I111" s="628"/>
      <c r="J111" s="628"/>
      <c r="K111" s="628"/>
      <c r="L111" s="628"/>
      <c r="M111" s="628"/>
      <c r="N111" s="628"/>
      <c r="O111" s="628"/>
      <c r="P111" s="628"/>
      <c r="Q111" s="628"/>
      <c r="R111" s="628"/>
      <c r="S111" s="628"/>
      <c r="T111" s="628"/>
    </row>
    <row r="112" spans="1:20" ht="15.75" x14ac:dyDescent="0.5">
      <c r="A112" s="926" t="s">
        <v>2438</v>
      </c>
      <c r="B112" s="926"/>
      <c r="C112" s="926"/>
      <c r="D112" s="926"/>
      <c r="E112" s="926"/>
      <c r="F112" s="926"/>
      <c r="G112" s="926"/>
      <c r="H112" s="926"/>
      <c r="I112" s="628"/>
      <c r="J112" s="628"/>
      <c r="K112" s="628"/>
      <c r="L112" s="628"/>
      <c r="M112" s="628"/>
      <c r="N112" s="628"/>
      <c r="O112" s="628"/>
      <c r="P112" s="628"/>
      <c r="Q112" s="628"/>
      <c r="R112" s="628"/>
      <c r="S112" s="628"/>
      <c r="T112" s="628"/>
    </row>
    <row r="113" spans="1:20" ht="15.75" x14ac:dyDescent="0.5">
      <c r="A113" s="926" t="s">
        <v>2439</v>
      </c>
      <c r="B113" s="926"/>
      <c r="C113" s="926"/>
      <c r="D113" s="926"/>
      <c r="E113" s="926"/>
      <c r="F113" s="926"/>
      <c r="G113" s="926"/>
      <c r="H113" s="926"/>
      <c r="I113" s="628"/>
      <c r="J113" s="628"/>
      <c r="K113" s="628"/>
      <c r="L113" s="628"/>
      <c r="M113" s="628"/>
      <c r="N113" s="628"/>
      <c r="O113" s="628"/>
      <c r="P113" s="628"/>
      <c r="Q113" s="628"/>
      <c r="R113" s="628"/>
      <c r="S113" s="628"/>
      <c r="T113" s="628"/>
    </row>
    <row r="114" spans="1:20" ht="15.75" x14ac:dyDescent="0.5">
      <c r="A114" s="926" t="s">
        <v>2440</v>
      </c>
      <c r="B114" s="926"/>
      <c r="C114" s="926"/>
      <c r="D114" s="926"/>
      <c r="E114" s="926"/>
      <c r="F114" s="926"/>
      <c r="G114" s="926"/>
      <c r="H114" s="926"/>
      <c r="I114" s="628"/>
      <c r="J114" s="628"/>
      <c r="K114" s="628"/>
      <c r="L114" s="628"/>
      <c r="M114" s="628"/>
      <c r="N114" s="628"/>
      <c r="O114" s="628"/>
      <c r="P114" s="628"/>
      <c r="Q114" s="628"/>
      <c r="R114" s="628"/>
      <c r="S114" s="628"/>
      <c r="T114" s="628"/>
    </row>
    <row r="115" spans="1:20" ht="15.75" x14ac:dyDescent="0.5">
      <c r="A115" s="926" t="s">
        <v>2441</v>
      </c>
      <c r="B115" s="926"/>
      <c r="C115" s="926"/>
      <c r="D115" s="926"/>
      <c r="E115" s="926"/>
      <c r="F115" s="926"/>
      <c r="G115" s="926"/>
      <c r="H115" s="926"/>
      <c r="I115" s="628"/>
      <c r="J115" s="628"/>
      <c r="K115" s="628"/>
      <c r="L115" s="628"/>
      <c r="M115" s="628"/>
      <c r="N115" s="628"/>
      <c r="O115" s="628"/>
      <c r="P115" s="628"/>
      <c r="Q115" s="628"/>
      <c r="R115" s="628"/>
      <c r="S115" s="628"/>
      <c r="T115" s="628"/>
    </row>
    <row r="116" spans="1:20" ht="15.75" x14ac:dyDescent="0.5">
      <c r="A116" s="926" t="s">
        <v>2442</v>
      </c>
      <c r="B116" s="926"/>
      <c r="C116" s="926"/>
      <c r="D116" s="926"/>
      <c r="E116" s="926"/>
      <c r="F116" s="926"/>
      <c r="G116" s="926"/>
      <c r="H116" s="926"/>
      <c r="I116" s="628"/>
      <c r="J116" s="628"/>
      <c r="K116" s="628"/>
      <c r="L116" s="628"/>
      <c r="M116" s="628"/>
      <c r="N116" s="628"/>
      <c r="O116" s="628"/>
      <c r="P116" s="628"/>
      <c r="Q116" s="628"/>
      <c r="R116" s="628"/>
      <c r="S116" s="628"/>
      <c r="T116" s="628"/>
    </row>
    <row r="117" spans="1:20" ht="15.75" x14ac:dyDescent="0.5">
      <c r="A117" s="926" t="s">
        <v>2443</v>
      </c>
      <c r="B117" s="926"/>
      <c r="C117" s="926"/>
      <c r="D117" s="926"/>
      <c r="E117" s="926"/>
      <c r="F117" s="926"/>
      <c r="G117" s="926"/>
      <c r="H117" s="926"/>
      <c r="I117" s="628"/>
      <c r="J117" s="628"/>
      <c r="K117" s="628"/>
      <c r="L117" s="628"/>
      <c r="M117" s="628"/>
      <c r="N117" s="628"/>
      <c r="O117" s="628"/>
      <c r="P117" s="628"/>
      <c r="Q117" s="628"/>
      <c r="R117" s="628"/>
      <c r="S117" s="628"/>
      <c r="T117" s="628"/>
    </row>
    <row r="118" spans="1:20" ht="15.75" x14ac:dyDescent="0.5">
      <c r="A118" s="926">
        <v>2000</v>
      </c>
      <c r="B118" s="926"/>
      <c r="C118" s="926"/>
      <c r="D118" s="926"/>
      <c r="E118" s="926"/>
      <c r="F118" s="926"/>
      <c r="G118" s="926"/>
      <c r="H118" s="926"/>
      <c r="I118" s="628"/>
      <c r="J118" s="628"/>
      <c r="K118" s="628"/>
      <c r="L118" s="628"/>
      <c r="M118" s="628"/>
      <c r="N118" s="628"/>
      <c r="O118" s="628"/>
      <c r="P118" s="628"/>
      <c r="Q118" s="628"/>
      <c r="R118" s="628"/>
      <c r="S118" s="628"/>
      <c r="T118" s="628"/>
    </row>
    <row r="119" spans="1:20" ht="15.75" x14ac:dyDescent="0.5">
      <c r="A119" s="926" t="s">
        <v>2444</v>
      </c>
      <c r="B119" s="926"/>
      <c r="C119" s="926"/>
      <c r="D119" s="926"/>
      <c r="E119" s="926"/>
      <c r="F119" s="926"/>
      <c r="G119" s="926"/>
      <c r="H119" s="926"/>
      <c r="I119" s="628"/>
      <c r="J119" s="628"/>
      <c r="K119" s="628"/>
      <c r="L119" s="628"/>
      <c r="M119" s="628"/>
      <c r="N119" s="628"/>
      <c r="O119" s="628"/>
      <c r="P119" s="628"/>
      <c r="Q119" s="628"/>
      <c r="R119" s="628"/>
      <c r="S119" s="628"/>
      <c r="T119" s="628"/>
    </row>
    <row r="120" spans="1:20" ht="15.75" x14ac:dyDescent="0.5">
      <c r="A120" s="926">
        <v>2001</v>
      </c>
      <c r="B120" s="926"/>
      <c r="C120" s="926"/>
      <c r="D120" s="926"/>
      <c r="E120" s="926"/>
      <c r="F120" s="926"/>
      <c r="G120" s="926"/>
      <c r="H120" s="926"/>
      <c r="I120" s="628"/>
      <c r="J120" s="628"/>
      <c r="K120" s="628"/>
      <c r="L120" s="628"/>
      <c r="M120" s="628"/>
      <c r="N120" s="628"/>
      <c r="O120" s="628"/>
      <c r="P120" s="628"/>
      <c r="Q120" s="628"/>
      <c r="R120" s="628"/>
      <c r="S120" s="628"/>
      <c r="T120" s="628"/>
    </row>
    <row r="121" spans="1:20" ht="15.75" x14ac:dyDescent="0.5">
      <c r="A121" s="926" t="s">
        <v>2445</v>
      </c>
      <c r="B121" s="926"/>
      <c r="C121" s="926"/>
      <c r="D121" s="926"/>
      <c r="E121" s="926"/>
      <c r="F121" s="926"/>
      <c r="G121" s="926"/>
      <c r="H121" s="926"/>
      <c r="I121" s="628"/>
      <c r="J121" s="628"/>
      <c r="K121" s="628"/>
      <c r="L121" s="628"/>
      <c r="M121" s="628"/>
      <c r="N121" s="628"/>
      <c r="O121" s="628"/>
      <c r="P121" s="628"/>
      <c r="Q121" s="628"/>
      <c r="R121" s="628"/>
      <c r="S121" s="628"/>
      <c r="T121" s="628"/>
    </row>
    <row r="122" spans="1:20" ht="15.75" x14ac:dyDescent="0.5">
      <c r="A122" s="926">
        <v>2002</v>
      </c>
      <c r="B122" s="926"/>
      <c r="C122" s="926"/>
      <c r="D122" s="926"/>
      <c r="E122" s="926"/>
      <c r="F122" s="926"/>
      <c r="G122" s="926"/>
      <c r="H122" s="926"/>
      <c r="I122" s="628"/>
      <c r="J122" s="628"/>
      <c r="K122" s="628"/>
      <c r="L122" s="628"/>
      <c r="M122" s="628"/>
      <c r="N122" s="628"/>
      <c r="O122" s="628"/>
      <c r="P122" s="628"/>
      <c r="Q122" s="628"/>
      <c r="R122" s="628"/>
      <c r="S122" s="628"/>
      <c r="T122" s="628"/>
    </row>
    <row r="123" spans="1:20" ht="15.75" x14ac:dyDescent="0.5">
      <c r="A123" s="926" t="s">
        <v>2446</v>
      </c>
      <c r="B123" s="926"/>
      <c r="C123" s="926"/>
      <c r="D123" s="926"/>
      <c r="E123" s="926"/>
      <c r="F123" s="926"/>
      <c r="G123" s="926"/>
      <c r="H123" s="926"/>
      <c r="I123" s="628"/>
      <c r="J123" s="628"/>
      <c r="K123" s="628"/>
      <c r="L123" s="628"/>
      <c r="M123" s="628"/>
      <c r="N123" s="628"/>
      <c r="O123" s="628"/>
      <c r="P123" s="628"/>
      <c r="Q123" s="628"/>
      <c r="R123" s="628"/>
      <c r="S123" s="628"/>
      <c r="T123" s="628"/>
    </row>
    <row r="124" spans="1:20" ht="15.75" x14ac:dyDescent="0.5">
      <c r="A124" s="926">
        <v>2003</v>
      </c>
      <c r="B124" s="926"/>
      <c r="C124" s="926"/>
      <c r="D124" s="926"/>
      <c r="E124" s="926"/>
      <c r="F124" s="926"/>
      <c r="G124" s="926"/>
      <c r="H124" s="926"/>
      <c r="I124" s="628"/>
      <c r="J124" s="628"/>
      <c r="K124" s="628"/>
      <c r="L124" s="628"/>
      <c r="M124" s="628"/>
      <c r="N124" s="628"/>
      <c r="O124" s="628"/>
      <c r="P124" s="628"/>
      <c r="Q124" s="628"/>
      <c r="R124" s="628"/>
      <c r="S124" s="628"/>
      <c r="T124" s="628"/>
    </row>
    <row r="125" spans="1:20" ht="15.75" x14ac:dyDescent="0.5">
      <c r="A125" s="926" t="s">
        <v>2447</v>
      </c>
      <c r="B125" s="926"/>
      <c r="C125" s="926"/>
      <c r="D125" s="926"/>
      <c r="E125" s="926"/>
      <c r="F125" s="926"/>
      <c r="G125" s="926"/>
      <c r="H125" s="926"/>
      <c r="I125" s="628"/>
      <c r="J125" s="628"/>
      <c r="K125" s="628"/>
      <c r="L125" s="628"/>
      <c r="M125" s="628"/>
      <c r="N125" s="628"/>
      <c r="O125" s="628"/>
      <c r="P125" s="628"/>
      <c r="Q125" s="628"/>
      <c r="R125" s="628"/>
      <c r="S125" s="628"/>
      <c r="T125" s="628"/>
    </row>
    <row r="126" spans="1:20" ht="15.75" x14ac:dyDescent="0.5">
      <c r="A126" s="926">
        <v>2004</v>
      </c>
      <c r="B126" s="926"/>
      <c r="C126" s="926"/>
      <c r="D126" s="926"/>
      <c r="E126" s="926"/>
      <c r="F126" s="926"/>
      <c r="G126" s="926"/>
      <c r="H126" s="926"/>
      <c r="I126" s="628"/>
      <c r="J126" s="628"/>
      <c r="K126" s="628"/>
      <c r="L126" s="628"/>
      <c r="M126" s="628"/>
      <c r="N126" s="628"/>
      <c r="O126" s="628"/>
      <c r="P126" s="628"/>
      <c r="Q126" s="628"/>
      <c r="R126" s="628"/>
      <c r="S126" s="628"/>
      <c r="T126" s="628"/>
    </row>
    <row r="127" spans="1:20" ht="15.75" x14ac:dyDescent="0.5">
      <c r="A127" s="926" t="s">
        <v>2448</v>
      </c>
      <c r="B127" s="926"/>
      <c r="C127" s="926"/>
      <c r="D127" s="926"/>
      <c r="E127" s="926"/>
      <c r="F127" s="926"/>
      <c r="G127" s="926"/>
      <c r="H127" s="926"/>
      <c r="I127" s="628"/>
      <c r="J127" s="628"/>
      <c r="K127" s="628"/>
      <c r="L127" s="628"/>
      <c r="M127" s="628"/>
      <c r="N127" s="628"/>
      <c r="O127" s="628"/>
      <c r="P127" s="628"/>
      <c r="Q127" s="628"/>
      <c r="R127" s="628"/>
      <c r="S127" s="628"/>
      <c r="T127" s="628"/>
    </row>
    <row r="128" spans="1:20" ht="15.75" x14ac:dyDescent="0.5">
      <c r="A128" s="926">
        <v>2005</v>
      </c>
      <c r="B128" s="926"/>
      <c r="C128" s="926"/>
      <c r="D128" s="926"/>
      <c r="E128" s="926"/>
      <c r="F128" s="926"/>
      <c r="G128" s="926"/>
      <c r="H128" s="926"/>
      <c r="I128" s="628"/>
      <c r="J128" s="628"/>
      <c r="K128" s="628"/>
      <c r="L128" s="628"/>
      <c r="M128" s="628"/>
      <c r="N128" s="628"/>
      <c r="O128" s="628"/>
      <c r="P128" s="628"/>
      <c r="Q128" s="628"/>
      <c r="R128" s="628"/>
      <c r="S128" s="628"/>
      <c r="T128" s="628"/>
    </row>
    <row r="129" spans="1:20" ht="15.75" x14ac:dyDescent="0.5">
      <c r="A129" s="926" t="s">
        <v>2449</v>
      </c>
      <c r="B129" s="926"/>
      <c r="C129" s="926"/>
      <c r="D129" s="926"/>
      <c r="E129" s="926"/>
      <c r="F129" s="926"/>
      <c r="G129" s="926"/>
      <c r="H129" s="926"/>
      <c r="I129" s="628"/>
      <c r="J129" s="628"/>
      <c r="K129" s="628"/>
      <c r="L129" s="628"/>
      <c r="M129" s="628"/>
      <c r="N129" s="628"/>
      <c r="O129" s="628"/>
      <c r="P129" s="628"/>
      <c r="Q129" s="628"/>
      <c r="R129" s="628"/>
      <c r="S129" s="628"/>
      <c r="T129" s="628"/>
    </row>
    <row r="130" spans="1:20" ht="15.75" x14ac:dyDescent="0.5">
      <c r="A130" s="926">
        <v>2006</v>
      </c>
      <c r="B130" s="926"/>
      <c r="C130" s="926"/>
      <c r="D130" s="926"/>
      <c r="E130" s="926"/>
      <c r="F130" s="926"/>
      <c r="G130" s="926"/>
      <c r="H130" s="926"/>
      <c r="I130" s="628"/>
      <c r="J130" s="628"/>
      <c r="K130" s="628"/>
      <c r="L130" s="628"/>
      <c r="M130" s="628"/>
      <c r="N130" s="628"/>
      <c r="O130" s="628"/>
      <c r="P130" s="628"/>
      <c r="Q130" s="628"/>
      <c r="R130" s="628"/>
      <c r="S130" s="628"/>
      <c r="T130" s="628"/>
    </row>
    <row r="131" spans="1:20" ht="15.75" x14ac:dyDescent="0.5">
      <c r="A131" s="926" t="s">
        <v>2450</v>
      </c>
      <c r="B131" s="926"/>
      <c r="C131" s="926"/>
      <c r="D131" s="926"/>
      <c r="E131" s="926"/>
      <c r="F131" s="926"/>
      <c r="G131" s="926"/>
      <c r="H131" s="926"/>
      <c r="I131" s="628"/>
      <c r="J131" s="628"/>
      <c r="K131" s="628"/>
      <c r="L131" s="628"/>
      <c r="M131" s="628"/>
      <c r="N131" s="628"/>
      <c r="O131" s="628"/>
      <c r="P131" s="628"/>
      <c r="Q131" s="628"/>
      <c r="R131" s="628"/>
      <c r="S131" s="628"/>
      <c r="T131" s="628"/>
    </row>
    <row r="132" spans="1:20" ht="15.75" x14ac:dyDescent="0.5">
      <c r="A132" s="926">
        <v>2007</v>
      </c>
      <c r="B132" s="926"/>
      <c r="C132" s="926"/>
      <c r="D132" s="926"/>
      <c r="E132" s="926"/>
      <c r="F132" s="926"/>
      <c r="G132" s="926"/>
      <c r="H132" s="926"/>
      <c r="I132" s="628"/>
      <c r="J132" s="628"/>
      <c r="K132" s="628"/>
      <c r="L132" s="628"/>
      <c r="M132" s="628"/>
      <c r="N132" s="628"/>
      <c r="O132" s="628"/>
      <c r="P132" s="628"/>
      <c r="Q132" s="628"/>
      <c r="R132" s="628"/>
      <c r="S132" s="628"/>
      <c r="T132" s="628"/>
    </row>
    <row r="133" spans="1:20" ht="15.75" x14ac:dyDescent="0.5">
      <c r="A133" s="926" t="s">
        <v>2451</v>
      </c>
      <c r="B133" s="926"/>
      <c r="C133" s="926"/>
      <c r="D133" s="926"/>
      <c r="E133" s="926"/>
      <c r="F133" s="926"/>
      <c r="G133" s="926"/>
      <c r="H133" s="926"/>
      <c r="I133" s="628"/>
      <c r="J133" s="628"/>
      <c r="K133" s="628"/>
      <c r="L133" s="628"/>
      <c r="M133" s="628"/>
      <c r="N133" s="628"/>
      <c r="O133" s="628"/>
      <c r="P133" s="628"/>
      <c r="Q133" s="628"/>
      <c r="R133" s="628"/>
      <c r="S133" s="628"/>
      <c r="T133" s="628"/>
    </row>
    <row r="134" spans="1:20" ht="15.75" x14ac:dyDescent="0.5">
      <c r="A134" s="926">
        <v>2008</v>
      </c>
      <c r="B134" s="926"/>
      <c r="C134" s="926"/>
      <c r="D134" s="926"/>
      <c r="E134" s="926"/>
      <c r="F134" s="926"/>
      <c r="G134" s="926"/>
      <c r="H134" s="926"/>
      <c r="I134" s="628"/>
      <c r="J134" s="628"/>
      <c r="K134" s="628"/>
      <c r="L134" s="628"/>
      <c r="M134" s="628"/>
      <c r="N134" s="628"/>
      <c r="O134" s="628"/>
      <c r="P134" s="628"/>
      <c r="Q134" s="628"/>
      <c r="R134" s="628"/>
      <c r="S134" s="628"/>
      <c r="T134" s="628"/>
    </row>
    <row r="135" spans="1:20" ht="15.75" x14ac:dyDescent="0.5">
      <c r="A135" s="926" t="s">
        <v>2452</v>
      </c>
      <c r="B135" s="926"/>
      <c r="C135" s="926"/>
      <c r="D135" s="926"/>
      <c r="E135" s="926"/>
      <c r="F135" s="926"/>
      <c r="G135" s="926"/>
      <c r="H135" s="926"/>
      <c r="I135" s="628"/>
      <c r="J135" s="628"/>
      <c r="K135" s="628"/>
      <c r="L135" s="628"/>
      <c r="M135" s="628"/>
      <c r="N135" s="628"/>
      <c r="O135" s="628"/>
      <c r="P135" s="628"/>
      <c r="Q135" s="628"/>
      <c r="R135" s="628"/>
      <c r="S135" s="628"/>
      <c r="T135" s="628"/>
    </row>
    <row r="136" spans="1:20" ht="15.75" x14ac:dyDescent="0.5">
      <c r="A136" s="926" t="s">
        <v>2453</v>
      </c>
      <c r="B136" s="926"/>
      <c r="C136" s="926"/>
      <c r="D136" s="926"/>
      <c r="E136" s="926"/>
      <c r="F136" s="926"/>
      <c r="G136" s="926"/>
      <c r="H136" s="926"/>
      <c r="I136" s="628"/>
      <c r="J136" s="628"/>
      <c r="K136" s="628"/>
      <c r="L136" s="628"/>
      <c r="M136" s="628"/>
      <c r="N136" s="628"/>
      <c r="O136" s="628"/>
      <c r="P136" s="628"/>
      <c r="Q136" s="628"/>
      <c r="R136" s="628"/>
      <c r="S136" s="628"/>
      <c r="T136" s="628"/>
    </row>
    <row r="137" spans="1:20" ht="15.75" x14ac:dyDescent="0.5">
      <c r="A137" s="926">
        <v>2010</v>
      </c>
      <c r="B137" s="926"/>
      <c r="C137" s="926"/>
      <c r="D137" s="926"/>
      <c r="E137" s="926"/>
      <c r="F137" s="926"/>
      <c r="G137" s="926"/>
      <c r="H137" s="926"/>
      <c r="I137" s="628"/>
      <c r="J137" s="628"/>
      <c r="K137" s="628"/>
      <c r="L137" s="628"/>
      <c r="M137" s="628"/>
      <c r="N137" s="628"/>
      <c r="O137" s="628"/>
      <c r="P137" s="628"/>
      <c r="Q137" s="628"/>
      <c r="R137" s="628"/>
      <c r="S137" s="628"/>
      <c r="T137" s="628"/>
    </row>
    <row r="138" spans="1:20" ht="15.75" x14ac:dyDescent="0.5">
      <c r="A138" s="926" t="s">
        <v>2454</v>
      </c>
      <c r="B138" s="926"/>
      <c r="C138" s="926"/>
      <c r="D138" s="926"/>
      <c r="E138" s="926"/>
      <c r="F138" s="926"/>
      <c r="G138" s="926"/>
      <c r="H138" s="926"/>
      <c r="I138" s="628"/>
      <c r="J138" s="628"/>
      <c r="K138" s="628"/>
      <c r="L138" s="628"/>
      <c r="M138" s="628"/>
      <c r="N138" s="628"/>
      <c r="O138" s="628"/>
      <c r="P138" s="628"/>
      <c r="Q138" s="628"/>
      <c r="R138" s="628"/>
      <c r="S138" s="628"/>
      <c r="T138" s="628"/>
    </row>
    <row r="139" spans="1:20" ht="15.75" x14ac:dyDescent="0.5">
      <c r="A139" s="926">
        <v>2011</v>
      </c>
      <c r="B139" s="926"/>
      <c r="C139" s="926"/>
      <c r="D139" s="926"/>
      <c r="E139" s="926"/>
      <c r="F139" s="926"/>
      <c r="G139" s="926"/>
      <c r="H139" s="926"/>
      <c r="I139" s="628"/>
      <c r="J139" s="628"/>
      <c r="K139" s="628"/>
      <c r="L139" s="628"/>
      <c r="M139" s="628"/>
      <c r="N139" s="628"/>
      <c r="O139" s="628"/>
      <c r="P139" s="628"/>
      <c r="Q139" s="628"/>
      <c r="R139" s="628"/>
      <c r="S139" s="628"/>
      <c r="T139" s="628"/>
    </row>
    <row r="140" spans="1:20" ht="15.75" x14ac:dyDescent="0.5">
      <c r="A140" s="926" t="s">
        <v>2455</v>
      </c>
      <c r="B140" s="926"/>
      <c r="C140" s="926"/>
      <c r="D140" s="926"/>
      <c r="E140" s="926"/>
      <c r="F140" s="926"/>
      <c r="G140" s="926"/>
      <c r="H140" s="926"/>
      <c r="I140" s="628"/>
      <c r="J140" s="628"/>
      <c r="K140" s="628"/>
      <c r="L140" s="628"/>
      <c r="M140" s="628"/>
      <c r="N140" s="628"/>
      <c r="O140" s="628"/>
      <c r="P140" s="628"/>
      <c r="Q140" s="628"/>
      <c r="R140" s="628"/>
      <c r="S140" s="628"/>
      <c r="T140" s="628"/>
    </row>
    <row r="141" spans="1:20" ht="15.75" x14ac:dyDescent="0.5">
      <c r="A141" s="926">
        <v>2012</v>
      </c>
      <c r="B141" s="926"/>
      <c r="C141" s="926"/>
      <c r="D141" s="926"/>
      <c r="E141" s="926"/>
      <c r="F141" s="926"/>
      <c r="G141" s="926"/>
      <c r="H141" s="926"/>
      <c r="I141" s="628"/>
      <c r="J141" s="628"/>
      <c r="K141" s="628"/>
      <c r="L141" s="628"/>
      <c r="M141" s="628"/>
      <c r="N141" s="628"/>
      <c r="O141" s="628"/>
      <c r="P141" s="628"/>
      <c r="Q141" s="628"/>
      <c r="R141" s="628"/>
      <c r="S141" s="628"/>
      <c r="T141" s="628"/>
    </row>
    <row r="142" spans="1:20" ht="15.75" x14ac:dyDescent="0.5">
      <c r="A142" s="926" t="s">
        <v>2456</v>
      </c>
      <c r="B142" s="926"/>
      <c r="C142" s="926"/>
      <c r="D142" s="926"/>
      <c r="E142" s="926"/>
      <c r="F142" s="926"/>
      <c r="G142" s="926"/>
      <c r="H142" s="926"/>
      <c r="I142" s="628"/>
      <c r="J142" s="628"/>
      <c r="K142" s="628"/>
      <c r="L142" s="628"/>
      <c r="M142" s="628"/>
      <c r="N142" s="628"/>
      <c r="O142" s="628"/>
      <c r="P142" s="628"/>
      <c r="Q142" s="628"/>
      <c r="R142" s="628"/>
      <c r="S142" s="628"/>
      <c r="T142" s="628"/>
    </row>
    <row r="143" spans="1:20" ht="15.75" x14ac:dyDescent="0.5">
      <c r="A143" s="926" t="s">
        <v>2457</v>
      </c>
      <c r="B143" s="926"/>
      <c r="C143" s="926"/>
      <c r="D143" s="926"/>
      <c r="E143" s="926"/>
      <c r="F143" s="926"/>
      <c r="G143" s="926"/>
      <c r="H143" s="926"/>
      <c r="I143" s="628"/>
      <c r="J143" s="628"/>
      <c r="K143" s="628"/>
      <c r="L143" s="628"/>
      <c r="M143" s="628"/>
      <c r="N143" s="628"/>
      <c r="O143" s="628"/>
      <c r="P143" s="628"/>
      <c r="Q143" s="628"/>
      <c r="R143" s="628"/>
      <c r="S143" s="628"/>
      <c r="T143" s="628"/>
    </row>
    <row r="144" spans="1:20" ht="15.75" x14ac:dyDescent="0.5">
      <c r="A144" s="926"/>
      <c r="B144" s="926"/>
      <c r="C144" s="926"/>
      <c r="D144" s="926"/>
      <c r="E144" s="926"/>
      <c r="F144" s="926"/>
      <c r="G144" s="926"/>
      <c r="H144" s="926"/>
      <c r="I144" s="628"/>
      <c r="J144" s="628"/>
      <c r="K144" s="628"/>
      <c r="L144" s="628"/>
      <c r="M144" s="628"/>
      <c r="N144" s="628"/>
      <c r="O144" s="628"/>
      <c r="P144" s="628"/>
      <c r="Q144" s="628"/>
      <c r="R144" s="628"/>
      <c r="S144" s="628"/>
      <c r="T144" s="628"/>
    </row>
    <row r="145" spans="1:20" ht="15.75" x14ac:dyDescent="0.5">
      <c r="A145" s="926"/>
      <c r="B145" s="926"/>
      <c r="C145" s="926"/>
      <c r="D145" s="926"/>
      <c r="E145" s="926"/>
      <c r="F145" s="926"/>
      <c r="G145" s="926"/>
      <c r="H145" s="926"/>
      <c r="I145" s="628"/>
      <c r="J145" s="628"/>
      <c r="K145" s="628"/>
      <c r="L145" s="628"/>
      <c r="M145" s="628"/>
      <c r="N145" s="628"/>
      <c r="O145" s="628"/>
      <c r="P145" s="628"/>
      <c r="Q145" s="628"/>
      <c r="R145" s="628"/>
      <c r="S145" s="628"/>
      <c r="T145" s="628"/>
    </row>
    <row r="146" spans="1:20" ht="15.75" x14ac:dyDescent="0.5">
      <c r="A146" s="926"/>
      <c r="B146" s="926"/>
      <c r="C146" s="926"/>
      <c r="D146" s="926"/>
      <c r="E146" s="926"/>
      <c r="F146" s="926"/>
      <c r="G146" s="926"/>
      <c r="H146" s="926"/>
      <c r="I146" s="628"/>
      <c r="J146" s="628"/>
      <c r="K146" s="628"/>
      <c r="L146" s="628"/>
      <c r="M146" s="628"/>
      <c r="N146" s="628"/>
      <c r="O146" s="628"/>
      <c r="P146" s="628"/>
      <c r="Q146" s="628"/>
      <c r="R146" s="628"/>
      <c r="S146" s="628"/>
      <c r="T146" s="628"/>
    </row>
    <row r="147" spans="1:20" ht="15.75" x14ac:dyDescent="0.5">
      <c r="A147" s="926"/>
      <c r="B147" s="926"/>
      <c r="C147" s="926"/>
      <c r="D147" s="926"/>
      <c r="E147" s="926"/>
      <c r="F147" s="926"/>
      <c r="G147" s="926"/>
      <c r="H147" s="926"/>
      <c r="I147" s="628"/>
      <c r="J147" s="628"/>
      <c r="K147" s="628"/>
      <c r="L147" s="628"/>
      <c r="M147" s="628"/>
      <c r="N147" s="628"/>
      <c r="O147" s="628"/>
      <c r="P147" s="628"/>
      <c r="Q147" s="628"/>
      <c r="R147" s="628"/>
      <c r="S147" s="628"/>
      <c r="T147" s="628"/>
    </row>
    <row r="148" spans="1:20" ht="15.75" x14ac:dyDescent="0.5">
      <c r="A148" s="926"/>
      <c r="B148" s="926"/>
      <c r="C148" s="926"/>
      <c r="D148" s="926"/>
      <c r="E148" s="926"/>
      <c r="F148" s="926"/>
      <c r="G148" s="926"/>
      <c r="H148" s="926"/>
      <c r="I148" s="628"/>
      <c r="J148" s="628"/>
      <c r="K148" s="628"/>
      <c r="L148" s="628"/>
      <c r="M148" s="628"/>
      <c r="N148" s="628"/>
      <c r="O148" s="628"/>
      <c r="P148" s="628"/>
      <c r="Q148" s="628"/>
      <c r="R148" s="628"/>
      <c r="S148" s="628"/>
      <c r="T148" s="628"/>
    </row>
    <row r="149" spans="1:20" ht="15.75" x14ac:dyDescent="0.5">
      <c r="A149" s="926"/>
      <c r="B149" s="926"/>
      <c r="C149" s="926"/>
      <c r="D149" s="926"/>
      <c r="E149" s="926"/>
      <c r="F149" s="926"/>
      <c r="G149" s="926"/>
      <c r="H149" s="926"/>
      <c r="I149" s="628"/>
      <c r="J149" s="628"/>
      <c r="K149" s="628"/>
      <c r="L149" s="628"/>
      <c r="M149" s="628"/>
      <c r="N149" s="628"/>
      <c r="O149" s="628"/>
      <c r="P149" s="628"/>
      <c r="Q149" s="628"/>
      <c r="R149" s="628"/>
      <c r="S149" s="628"/>
      <c r="T149" s="628"/>
    </row>
    <row r="150" spans="1:20" ht="15.75" x14ac:dyDescent="0.5">
      <c r="A150" s="926"/>
      <c r="B150" s="926"/>
      <c r="C150" s="926"/>
      <c r="D150" s="926"/>
      <c r="E150" s="926"/>
      <c r="F150" s="926"/>
      <c r="G150" s="926"/>
      <c r="H150" s="926"/>
      <c r="I150" s="628"/>
      <c r="J150" s="628"/>
      <c r="K150" s="628"/>
      <c r="L150" s="628"/>
      <c r="M150" s="628"/>
      <c r="N150" s="628"/>
      <c r="O150" s="628"/>
      <c r="P150" s="628"/>
      <c r="Q150" s="628"/>
      <c r="R150" s="628"/>
      <c r="S150" s="628"/>
      <c r="T150" s="628"/>
    </row>
    <row r="151" spans="1:20" ht="15.75" x14ac:dyDescent="0.5">
      <c r="A151" s="926"/>
      <c r="B151" s="926"/>
      <c r="C151" s="926"/>
      <c r="D151" s="926"/>
      <c r="E151" s="926"/>
      <c r="F151" s="926"/>
      <c r="G151" s="926"/>
      <c r="H151" s="926"/>
      <c r="I151" s="628"/>
      <c r="J151" s="628"/>
      <c r="K151" s="628"/>
      <c r="L151" s="628"/>
      <c r="M151" s="628"/>
      <c r="N151" s="628"/>
      <c r="O151" s="628"/>
      <c r="P151" s="628"/>
      <c r="Q151" s="628"/>
      <c r="R151" s="628"/>
      <c r="S151" s="628"/>
      <c r="T151" s="628"/>
    </row>
    <row r="152" spans="1:20" ht="15.75" x14ac:dyDescent="0.5">
      <c r="A152" s="926"/>
      <c r="B152" s="926"/>
      <c r="C152" s="926"/>
      <c r="D152" s="926"/>
      <c r="E152" s="926"/>
      <c r="F152" s="926"/>
      <c r="G152" s="926"/>
      <c r="H152" s="926"/>
      <c r="I152" s="628"/>
      <c r="J152" s="628"/>
      <c r="K152" s="628"/>
      <c r="L152" s="628"/>
      <c r="M152" s="628"/>
      <c r="N152" s="628"/>
      <c r="O152" s="628"/>
      <c r="P152" s="628"/>
      <c r="Q152" s="628"/>
      <c r="R152" s="628"/>
      <c r="S152" s="628"/>
      <c r="T152" s="628"/>
    </row>
    <row r="153" spans="1:20" ht="15.75" x14ac:dyDescent="0.5">
      <c r="A153" s="926"/>
      <c r="B153" s="926"/>
      <c r="C153" s="926"/>
      <c r="D153" s="926"/>
      <c r="E153" s="926"/>
      <c r="F153" s="926"/>
      <c r="G153" s="926"/>
      <c r="H153" s="926"/>
      <c r="I153" s="628"/>
      <c r="J153" s="628"/>
      <c r="K153" s="628"/>
      <c r="L153" s="628"/>
      <c r="M153" s="628"/>
      <c r="N153" s="628"/>
      <c r="O153" s="628"/>
      <c r="P153" s="628"/>
      <c r="Q153" s="628"/>
      <c r="R153" s="628"/>
      <c r="S153" s="628"/>
      <c r="T153" s="628"/>
    </row>
    <row r="154" spans="1:20" ht="15.75" x14ac:dyDescent="0.5">
      <c r="A154" s="926"/>
      <c r="B154" s="926"/>
      <c r="C154" s="926"/>
      <c r="D154" s="926"/>
      <c r="E154" s="926"/>
      <c r="F154" s="926"/>
      <c r="G154" s="926"/>
      <c r="H154" s="926"/>
      <c r="I154" s="628"/>
      <c r="J154" s="628"/>
      <c r="K154" s="628"/>
      <c r="L154" s="628"/>
      <c r="M154" s="628"/>
      <c r="N154" s="628"/>
      <c r="O154" s="628"/>
      <c r="P154" s="628"/>
      <c r="Q154" s="628"/>
      <c r="R154" s="628"/>
      <c r="S154" s="628"/>
      <c r="T154" s="628"/>
    </row>
    <row r="155" spans="1:20" ht="15.75" x14ac:dyDescent="0.5">
      <c r="A155" s="926"/>
      <c r="B155" s="926"/>
      <c r="C155" s="926"/>
      <c r="D155" s="926"/>
      <c r="E155" s="926"/>
      <c r="F155" s="926"/>
      <c r="G155" s="926"/>
      <c r="H155" s="926"/>
      <c r="I155" s="628"/>
      <c r="J155" s="628"/>
      <c r="K155" s="628"/>
      <c r="L155" s="628"/>
      <c r="M155" s="628"/>
      <c r="N155" s="628"/>
      <c r="O155" s="628"/>
      <c r="P155" s="628"/>
      <c r="Q155" s="628"/>
      <c r="R155" s="628"/>
      <c r="S155" s="628"/>
      <c r="T155" s="628"/>
    </row>
    <row r="156" spans="1:20" ht="15.75" x14ac:dyDescent="0.5">
      <c r="A156" s="926"/>
      <c r="B156" s="926"/>
      <c r="C156" s="926"/>
      <c r="D156" s="926"/>
      <c r="E156" s="926"/>
      <c r="F156" s="926"/>
      <c r="G156" s="926"/>
      <c r="H156" s="926"/>
      <c r="I156" s="628"/>
      <c r="J156" s="628"/>
      <c r="K156" s="628"/>
      <c r="L156" s="628"/>
      <c r="M156" s="628"/>
      <c r="N156" s="628"/>
      <c r="O156" s="628"/>
      <c r="P156" s="628"/>
      <c r="Q156" s="628"/>
      <c r="R156" s="628"/>
      <c r="S156" s="628"/>
      <c r="T156" s="628"/>
    </row>
    <row r="157" spans="1:20" ht="15.75" x14ac:dyDescent="0.5">
      <c r="A157" s="926"/>
      <c r="B157" s="926"/>
      <c r="C157" s="926"/>
      <c r="D157" s="926"/>
      <c r="E157" s="926"/>
      <c r="F157" s="926"/>
      <c r="G157" s="926"/>
      <c r="H157" s="926"/>
      <c r="I157" s="628"/>
      <c r="J157" s="628"/>
      <c r="K157" s="628"/>
      <c r="L157" s="628"/>
      <c r="M157" s="628"/>
      <c r="N157" s="628"/>
      <c r="O157" s="628"/>
      <c r="P157" s="628"/>
      <c r="Q157" s="628"/>
      <c r="R157" s="628"/>
      <c r="S157" s="628"/>
      <c r="T157" s="628"/>
    </row>
    <row r="158" spans="1:20" ht="15.75" x14ac:dyDescent="0.5">
      <c r="A158" s="926"/>
      <c r="B158" s="926"/>
      <c r="C158" s="926"/>
      <c r="D158" s="926"/>
      <c r="E158" s="926"/>
      <c r="F158" s="926"/>
      <c r="G158" s="926"/>
      <c r="H158" s="926"/>
      <c r="I158" s="628"/>
      <c r="J158" s="628"/>
      <c r="K158" s="628"/>
      <c r="L158" s="628"/>
      <c r="M158" s="628"/>
      <c r="N158" s="628"/>
      <c r="O158" s="628"/>
      <c r="P158" s="628"/>
      <c r="Q158" s="628"/>
      <c r="R158" s="628"/>
      <c r="S158" s="628"/>
      <c r="T158" s="628"/>
    </row>
    <row r="159" spans="1:20" ht="15.75" x14ac:dyDescent="0.5">
      <c r="A159" s="926"/>
      <c r="B159" s="926"/>
      <c r="C159" s="926"/>
      <c r="D159" s="926"/>
      <c r="E159" s="926"/>
      <c r="F159" s="926"/>
      <c r="G159" s="926"/>
      <c r="H159" s="926"/>
      <c r="I159" s="628"/>
      <c r="J159" s="628"/>
      <c r="K159" s="628"/>
      <c r="L159" s="628"/>
      <c r="M159" s="628"/>
      <c r="N159" s="628"/>
      <c r="O159" s="628"/>
      <c r="P159" s="628"/>
      <c r="Q159" s="628"/>
      <c r="R159" s="628"/>
      <c r="S159" s="628"/>
      <c r="T159" s="628"/>
    </row>
    <row r="160" spans="1:20" ht="15.75" x14ac:dyDescent="0.5">
      <c r="A160" s="926"/>
      <c r="B160" s="926"/>
      <c r="C160" s="926"/>
      <c r="D160" s="926"/>
      <c r="E160" s="926"/>
      <c r="F160" s="926"/>
      <c r="G160" s="926"/>
      <c r="H160" s="926"/>
      <c r="I160" s="628"/>
      <c r="J160" s="628"/>
      <c r="K160" s="628"/>
      <c r="L160" s="628"/>
      <c r="M160" s="628"/>
      <c r="N160" s="628"/>
      <c r="O160" s="628"/>
      <c r="P160" s="628"/>
      <c r="Q160" s="628"/>
      <c r="R160" s="628"/>
      <c r="S160" s="628"/>
      <c r="T160" s="628"/>
    </row>
    <row r="161" spans="1:20" ht="15.75" x14ac:dyDescent="0.5">
      <c r="A161" s="926"/>
      <c r="B161" s="926"/>
      <c r="C161" s="926"/>
      <c r="D161" s="926"/>
      <c r="E161" s="926"/>
      <c r="F161" s="926"/>
      <c r="G161" s="926"/>
      <c r="H161" s="926"/>
      <c r="I161" s="628"/>
      <c r="J161" s="628"/>
      <c r="K161" s="628"/>
      <c r="L161" s="628"/>
      <c r="M161" s="628"/>
      <c r="N161" s="628"/>
      <c r="O161" s="628"/>
      <c r="P161" s="628"/>
      <c r="Q161" s="628"/>
      <c r="R161" s="628"/>
      <c r="S161" s="628"/>
      <c r="T161" s="628"/>
    </row>
    <row r="162" spans="1:20" ht="15.75" x14ac:dyDescent="0.5">
      <c r="A162" s="926"/>
      <c r="B162" s="926"/>
      <c r="C162" s="926"/>
      <c r="D162" s="926"/>
      <c r="E162" s="926"/>
      <c r="F162" s="926"/>
      <c r="G162" s="926"/>
      <c r="H162" s="926"/>
      <c r="I162" s="628"/>
      <c r="J162" s="628"/>
      <c r="K162" s="628"/>
      <c r="L162" s="628"/>
      <c r="M162" s="628"/>
      <c r="N162" s="628"/>
      <c r="O162" s="628"/>
      <c r="P162" s="628"/>
      <c r="Q162" s="628"/>
      <c r="R162" s="628"/>
      <c r="S162" s="628"/>
      <c r="T162" s="628"/>
    </row>
    <row r="163" spans="1:20" ht="15.75" x14ac:dyDescent="0.5">
      <c r="A163" s="926"/>
      <c r="B163" s="926"/>
      <c r="C163" s="926"/>
      <c r="D163" s="926"/>
      <c r="E163" s="926"/>
      <c r="F163" s="926"/>
      <c r="G163" s="926"/>
      <c r="H163" s="926"/>
      <c r="I163" s="628"/>
      <c r="J163" s="628"/>
      <c r="K163" s="628"/>
      <c r="L163" s="628"/>
      <c r="M163" s="628"/>
      <c r="N163" s="628"/>
      <c r="O163" s="628"/>
      <c r="P163" s="628"/>
      <c r="Q163" s="628"/>
      <c r="R163" s="628"/>
      <c r="S163" s="628"/>
      <c r="T163" s="628"/>
    </row>
    <row r="164" spans="1:20" ht="15.75" x14ac:dyDescent="0.5">
      <c r="A164" s="926"/>
      <c r="B164" s="926"/>
      <c r="C164" s="926"/>
      <c r="D164" s="926"/>
      <c r="E164" s="926"/>
      <c r="F164" s="926"/>
      <c r="G164" s="926"/>
      <c r="H164" s="926"/>
      <c r="I164" s="628"/>
      <c r="J164" s="628"/>
      <c r="K164" s="628"/>
      <c r="L164" s="628"/>
      <c r="M164" s="628"/>
      <c r="N164" s="628"/>
      <c r="O164" s="628"/>
      <c r="P164" s="628"/>
      <c r="Q164" s="628"/>
      <c r="R164" s="628"/>
      <c r="S164" s="628"/>
      <c r="T164" s="628"/>
    </row>
    <row r="165" spans="1:20" ht="15.75" x14ac:dyDescent="0.5">
      <c r="A165" s="926"/>
      <c r="B165" s="926"/>
      <c r="C165" s="926"/>
      <c r="D165" s="926"/>
      <c r="E165" s="926"/>
      <c r="F165" s="926"/>
      <c r="G165" s="926"/>
      <c r="H165" s="926"/>
      <c r="I165" s="628"/>
      <c r="J165" s="628"/>
      <c r="K165" s="628"/>
      <c r="L165" s="628"/>
      <c r="M165" s="628"/>
      <c r="N165" s="628"/>
      <c r="O165" s="628"/>
      <c r="P165" s="628"/>
      <c r="Q165" s="628"/>
      <c r="R165" s="628"/>
      <c r="S165" s="628"/>
      <c r="T165" s="628"/>
    </row>
    <row r="166" spans="1:20" ht="15.75" x14ac:dyDescent="0.5">
      <c r="A166" s="926"/>
      <c r="B166" s="926"/>
      <c r="C166" s="926"/>
      <c r="D166" s="926"/>
      <c r="E166" s="926"/>
      <c r="F166" s="926"/>
      <c r="G166" s="926"/>
      <c r="H166" s="926"/>
      <c r="I166" s="628"/>
      <c r="J166" s="628"/>
      <c r="K166" s="628"/>
      <c r="L166" s="628"/>
      <c r="M166" s="628"/>
      <c r="N166" s="628"/>
      <c r="O166" s="628"/>
      <c r="P166" s="628"/>
      <c r="Q166" s="628"/>
      <c r="R166" s="628"/>
      <c r="S166" s="628"/>
      <c r="T166" s="628"/>
    </row>
    <row r="167" spans="1:20" ht="15.75" x14ac:dyDescent="0.5">
      <c r="A167" s="926"/>
      <c r="B167" s="926"/>
      <c r="C167" s="926"/>
      <c r="D167" s="926"/>
      <c r="E167" s="926"/>
      <c r="F167" s="926"/>
      <c r="G167" s="926"/>
      <c r="H167" s="926"/>
      <c r="I167" s="628"/>
      <c r="J167" s="628"/>
      <c r="K167" s="628"/>
      <c r="L167" s="628"/>
      <c r="M167" s="628"/>
      <c r="N167" s="628"/>
      <c r="O167" s="628"/>
      <c r="P167" s="628"/>
      <c r="Q167" s="628"/>
      <c r="R167" s="628"/>
      <c r="S167" s="628"/>
      <c r="T167" s="628"/>
    </row>
    <row r="168" spans="1:20" ht="15.75" x14ac:dyDescent="0.5">
      <c r="A168" s="926"/>
      <c r="B168" s="926"/>
      <c r="C168" s="926"/>
      <c r="D168" s="926"/>
      <c r="E168" s="926"/>
      <c r="F168" s="926"/>
      <c r="G168" s="926"/>
      <c r="H168" s="926"/>
      <c r="I168" s="628"/>
      <c r="J168" s="628"/>
      <c r="K168" s="628"/>
      <c r="L168" s="628"/>
      <c r="M168" s="628"/>
      <c r="N168" s="628"/>
      <c r="O168" s="628"/>
      <c r="P168" s="628"/>
      <c r="Q168" s="628"/>
      <c r="R168" s="628"/>
      <c r="S168" s="628"/>
      <c r="T168" s="628"/>
    </row>
    <row r="169" spans="1:20" ht="15.75" x14ac:dyDescent="0.5">
      <c r="A169" s="926"/>
      <c r="B169" s="926"/>
      <c r="C169" s="926"/>
      <c r="D169" s="926"/>
      <c r="E169" s="926"/>
      <c r="F169" s="926"/>
      <c r="G169" s="926"/>
      <c r="H169" s="926"/>
      <c r="I169" s="628"/>
      <c r="J169" s="628"/>
      <c r="K169" s="628"/>
      <c r="L169" s="628"/>
      <c r="M169" s="628"/>
      <c r="N169" s="628"/>
      <c r="O169" s="628"/>
      <c r="P169" s="628"/>
      <c r="Q169" s="628"/>
      <c r="R169" s="628"/>
      <c r="S169" s="628"/>
      <c r="T169" s="628"/>
    </row>
    <row r="170" spans="1:20" ht="15.75" x14ac:dyDescent="0.5">
      <c r="A170" s="926"/>
      <c r="B170" s="926"/>
      <c r="C170" s="926"/>
      <c r="D170" s="926"/>
      <c r="E170" s="926"/>
      <c r="F170" s="926"/>
      <c r="G170" s="926"/>
      <c r="H170" s="926"/>
      <c r="I170" s="628"/>
      <c r="J170" s="628"/>
      <c r="K170" s="628"/>
      <c r="L170" s="628"/>
      <c r="M170" s="628"/>
      <c r="N170" s="628"/>
      <c r="O170" s="628"/>
      <c r="P170" s="628"/>
      <c r="Q170" s="628"/>
      <c r="R170" s="628"/>
      <c r="S170" s="628"/>
      <c r="T170" s="628"/>
    </row>
    <row r="171" spans="1:20" ht="15.75" x14ac:dyDescent="0.5">
      <c r="A171" s="926"/>
      <c r="B171" s="926"/>
      <c r="C171" s="926"/>
      <c r="D171" s="926"/>
      <c r="E171" s="926"/>
      <c r="F171" s="926"/>
      <c r="G171" s="926"/>
      <c r="H171" s="926"/>
      <c r="I171" s="628"/>
      <c r="J171" s="628"/>
      <c r="K171" s="628"/>
      <c r="L171" s="628"/>
      <c r="M171" s="628"/>
      <c r="N171" s="628"/>
      <c r="O171" s="628"/>
      <c r="P171" s="628"/>
      <c r="Q171" s="628"/>
      <c r="R171" s="628"/>
      <c r="S171" s="628"/>
      <c r="T171" s="628"/>
    </row>
    <row r="172" spans="1:20" ht="15.75" x14ac:dyDescent="0.5">
      <c r="A172" s="926"/>
      <c r="B172" s="926"/>
      <c r="C172" s="926"/>
      <c r="D172" s="926"/>
      <c r="E172" s="926"/>
      <c r="F172" s="926"/>
      <c r="G172" s="926"/>
      <c r="H172" s="926"/>
      <c r="I172" s="628"/>
      <c r="J172" s="628"/>
      <c r="K172" s="628"/>
      <c r="L172" s="628"/>
      <c r="M172" s="628"/>
      <c r="N172" s="628"/>
      <c r="O172" s="628"/>
      <c r="P172" s="628"/>
      <c r="Q172" s="628"/>
      <c r="R172" s="628"/>
      <c r="S172" s="628"/>
      <c r="T172" s="628"/>
    </row>
    <row r="173" spans="1:20" ht="15.75" x14ac:dyDescent="0.5">
      <c r="A173" s="926"/>
      <c r="B173" s="926"/>
      <c r="C173" s="926"/>
      <c r="D173" s="926"/>
      <c r="E173" s="926"/>
      <c r="F173" s="926"/>
      <c r="G173" s="926"/>
      <c r="H173" s="926"/>
      <c r="I173" s="628"/>
      <c r="J173" s="628"/>
      <c r="K173" s="628"/>
      <c r="L173" s="628"/>
      <c r="M173" s="628"/>
      <c r="N173" s="628"/>
      <c r="O173" s="628"/>
      <c r="P173" s="628"/>
      <c r="Q173" s="628"/>
      <c r="R173" s="628"/>
      <c r="S173" s="628"/>
      <c r="T173" s="628"/>
    </row>
    <row r="174" spans="1:20" ht="15.75" x14ac:dyDescent="0.5">
      <c r="A174" s="926"/>
      <c r="B174" s="926"/>
      <c r="C174" s="926"/>
      <c r="D174" s="926"/>
      <c r="E174" s="926"/>
      <c r="F174" s="926"/>
      <c r="G174" s="926"/>
      <c r="H174" s="926"/>
      <c r="I174" s="628"/>
      <c r="J174" s="628"/>
      <c r="K174" s="628"/>
      <c r="L174" s="628"/>
      <c r="M174" s="628"/>
      <c r="N174" s="628"/>
      <c r="O174" s="628"/>
      <c r="P174" s="628"/>
      <c r="Q174" s="628"/>
      <c r="R174" s="628"/>
      <c r="S174" s="628"/>
      <c r="T174" s="628"/>
    </row>
    <row r="175" spans="1:20" ht="15.75" x14ac:dyDescent="0.5">
      <c r="A175" s="926"/>
      <c r="B175" s="926"/>
      <c r="C175" s="926"/>
      <c r="D175" s="926"/>
      <c r="E175" s="926"/>
      <c r="F175" s="926"/>
      <c r="G175" s="926"/>
      <c r="H175" s="926"/>
      <c r="I175" s="628"/>
      <c r="J175" s="628"/>
      <c r="K175" s="628"/>
      <c r="L175" s="628"/>
      <c r="M175" s="628"/>
      <c r="N175" s="628"/>
      <c r="O175" s="628"/>
      <c r="P175" s="628"/>
      <c r="Q175" s="628"/>
      <c r="R175" s="628"/>
      <c r="S175" s="628"/>
      <c r="T175" s="628"/>
    </row>
    <row r="176" spans="1:20" ht="15.75" x14ac:dyDescent="0.5">
      <c r="A176" s="926"/>
      <c r="B176" s="926"/>
      <c r="C176" s="926"/>
      <c r="D176" s="926"/>
      <c r="E176" s="926"/>
      <c r="F176" s="926"/>
      <c r="G176" s="926"/>
      <c r="H176" s="926"/>
      <c r="I176" s="628"/>
      <c r="J176" s="628"/>
      <c r="K176" s="628"/>
      <c r="L176" s="628"/>
      <c r="M176" s="628"/>
      <c r="N176" s="628"/>
      <c r="O176" s="628"/>
      <c r="P176" s="628"/>
      <c r="Q176" s="628"/>
      <c r="R176" s="628"/>
      <c r="S176" s="628"/>
      <c r="T176" s="628"/>
    </row>
    <row r="177" spans="1:20" ht="15.75" x14ac:dyDescent="0.5">
      <c r="A177" s="926"/>
      <c r="B177" s="926"/>
      <c r="C177" s="926"/>
      <c r="D177" s="926"/>
      <c r="E177" s="926"/>
      <c r="F177" s="926"/>
      <c r="G177" s="926"/>
      <c r="H177" s="926"/>
      <c r="I177" s="628"/>
      <c r="J177" s="628"/>
      <c r="K177" s="628"/>
      <c r="L177" s="628"/>
      <c r="M177" s="628"/>
      <c r="N177" s="628"/>
      <c r="O177" s="628"/>
      <c r="P177" s="628"/>
      <c r="Q177" s="628"/>
      <c r="R177" s="628"/>
      <c r="S177" s="628"/>
      <c r="T177" s="628"/>
    </row>
    <row r="178" spans="1:20" ht="15.75" x14ac:dyDescent="0.5">
      <c r="A178" s="926"/>
      <c r="B178" s="926"/>
      <c r="C178" s="926"/>
      <c r="D178" s="926"/>
      <c r="E178" s="926"/>
      <c r="F178" s="926"/>
      <c r="G178" s="926"/>
      <c r="H178" s="926"/>
      <c r="I178" s="628"/>
      <c r="J178" s="628"/>
      <c r="K178" s="628"/>
      <c r="L178" s="628"/>
      <c r="M178" s="628"/>
      <c r="N178" s="628"/>
      <c r="O178" s="628"/>
      <c r="P178" s="628"/>
      <c r="Q178" s="628"/>
      <c r="R178" s="628"/>
      <c r="S178" s="628"/>
      <c r="T178" s="628"/>
    </row>
    <row r="179" spans="1:20" ht="15.75" x14ac:dyDescent="0.5">
      <c r="A179" s="926"/>
      <c r="B179" s="926"/>
      <c r="C179" s="926"/>
      <c r="D179" s="926"/>
      <c r="E179" s="926"/>
      <c r="F179" s="926"/>
      <c r="G179" s="926"/>
      <c r="H179" s="926"/>
      <c r="I179" s="628"/>
      <c r="J179" s="628"/>
      <c r="K179" s="628"/>
      <c r="L179" s="628"/>
      <c r="M179" s="628"/>
      <c r="N179" s="628"/>
      <c r="O179" s="628"/>
      <c r="P179" s="628"/>
      <c r="Q179" s="628"/>
      <c r="R179" s="628"/>
      <c r="S179" s="628"/>
      <c r="T179" s="628"/>
    </row>
    <row r="180" spans="1:20" ht="15.75" x14ac:dyDescent="0.5">
      <c r="A180" s="926"/>
      <c r="B180" s="926"/>
      <c r="C180" s="926"/>
      <c r="D180" s="926"/>
      <c r="E180" s="926"/>
      <c r="F180" s="926"/>
      <c r="G180" s="926"/>
      <c r="H180" s="926"/>
      <c r="I180" s="628"/>
      <c r="J180" s="628"/>
      <c r="K180" s="628"/>
      <c r="L180" s="628"/>
      <c r="M180" s="628"/>
      <c r="N180" s="628"/>
      <c r="O180" s="628"/>
      <c r="P180" s="628"/>
      <c r="Q180" s="628"/>
      <c r="R180" s="628"/>
      <c r="S180" s="628"/>
      <c r="T180" s="628"/>
    </row>
    <row r="181" spans="1:20" ht="15.75" x14ac:dyDescent="0.5">
      <c r="A181" s="926"/>
      <c r="B181" s="926"/>
      <c r="C181" s="926"/>
      <c r="D181" s="926"/>
      <c r="E181" s="926"/>
      <c r="F181" s="926"/>
      <c r="G181" s="926"/>
      <c r="H181" s="926"/>
      <c r="I181" s="628"/>
      <c r="J181" s="628"/>
      <c r="K181" s="628"/>
      <c r="L181" s="628"/>
      <c r="M181" s="628"/>
      <c r="N181" s="628"/>
      <c r="O181" s="628"/>
      <c r="P181" s="628"/>
      <c r="Q181" s="628"/>
      <c r="R181" s="628"/>
      <c r="S181" s="628"/>
      <c r="T181" s="628"/>
    </row>
    <row r="182" spans="1:20" ht="15.75" x14ac:dyDescent="0.5">
      <c r="A182" s="926"/>
      <c r="B182" s="926"/>
      <c r="C182" s="926"/>
      <c r="D182" s="926"/>
      <c r="E182" s="926"/>
      <c r="F182" s="926"/>
      <c r="G182" s="926"/>
      <c r="H182" s="926"/>
      <c r="I182" s="628"/>
      <c r="J182" s="628"/>
      <c r="K182" s="628"/>
      <c r="L182" s="628"/>
      <c r="M182" s="628"/>
      <c r="N182" s="628"/>
      <c r="O182" s="628"/>
      <c r="P182" s="628"/>
      <c r="Q182" s="628"/>
      <c r="R182" s="628"/>
      <c r="S182" s="628"/>
      <c r="T182" s="628"/>
    </row>
    <row r="183" spans="1:20" ht="15.75" x14ac:dyDescent="0.5">
      <c r="A183" s="926"/>
      <c r="B183" s="926"/>
      <c r="C183" s="926"/>
      <c r="D183" s="926"/>
      <c r="E183" s="926"/>
      <c r="F183" s="926"/>
      <c r="G183" s="926"/>
      <c r="H183" s="926"/>
      <c r="I183" s="628"/>
      <c r="J183" s="628"/>
      <c r="K183" s="628"/>
      <c r="L183" s="628"/>
      <c r="M183" s="628"/>
      <c r="N183" s="628"/>
      <c r="O183" s="628"/>
      <c r="P183" s="628"/>
      <c r="Q183" s="628"/>
      <c r="R183" s="628"/>
      <c r="S183" s="628"/>
      <c r="T183" s="628"/>
    </row>
    <row r="184" spans="1:20" ht="15.75" x14ac:dyDescent="0.5">
      <c r="A184" s="926"/>
      <c r="B184" s="926"/>
      <c r="C184" s="926"/>
      <c r="D184" s="926"/>
      <c r="E184" s="926"/>
      <c r="F184" s="926"/>
      <c r="G184" s="926"/>
      <c r="H184" s="926"/>
      <c r="I184" s="628"/>
      <c r="J184" s="628"/>
      <c r="K184" s="628"/>
      <c r="L184" s="628"/>
      <c r="M184" s="628"/>
      <c r="N184" s="628"/>
      <c r="O184" s="628"/>
      <c r="P184" s="628"/>
      <c r="Q184" s="628"/>
      <c r="R184" s="628"/>
      <c r="S184" s="628"/>
      <c r="T184" s="628"/>
    </row>
    <row r="185" spans="1:20" ht="15.75" x14ac:dyDescent="0.5">
      <c r="A185" s="926"/>
      <c r="B185" s="926"/>
      <c r="C185" s="926"/>
      <c r="D185" s="926"/>
      <c r="E185" s="926"/>
      <c r="F185" s="926"/>
      <c r="G185" s="926"/>
      <c r="H185" s="926"/>
      <c r="I185" s="628"/>
      <c r="J185" s="628"/>
      <c r="K185" s="628"/>
      <c r="L185" s="628"/>
      <c r="M185" s="628"/>
      <c r="N185" s="628"/>
      <c r="O185" s="628"/>
      <c r="P185" s="628"/>
      <c r="Q185" s="628"/>
      <c r="R185" s="628"/>
      <c r="S185" s="628"/>
      <c r="T185" s="628"/>
    </row>
    <row r="186" spans="1:20" ht="15.75" x14ac:dyDescent="0.5">
      <c r="A186" s="926"/>
      <c r="B186" s="926"/>
      <c r="C186" s="926"/>
      <c r="D186" s="926"/>
      <c r="E186" s="926"/>
      <c r="F186" s="926"/>
      <c r="G186" s="926"/>
      <c r="H186" s="926"/>
      <c r="I186" s="628"/>
      <c r="J186" s="628"/>
      <c r="K186" s="628"/>
      <c r="L186" s="628"/>
      <c r="M186" s="628"/>
      <c r="N186" s="628"/>
      <c r="O186" s="628"/>
      <c r="P186" s="628"/>
      <c r="Q186" s="628"/>
      <c r="R186" s="628"/>
      <c r="S186" s="628"/>
      <c r="T186" s="628"/>
    </row>
    <row r="187" spans="1:20" ht="15.75" x14ac:dyDescent="0.5">
      <c r="A187" s="926"/>
      <c r="B187" s="926"/>
      <c r="C187" s="926"/>
      <c r="D187" s="926"/>
      <c r="E187" s="926"/>
      <c r="F187" s="926"/>
      <c r="G187" s="926"/>
      <c r="H187" s="926"/>
      <c r="I187" s="628"/>
      <c r="J187" s="628"/>
      <c r="K187" s="628"/>
      <c r="L187" s="628"/>
      <c r="M187" s="628"/>
      <c r="N187" s="628"/>
      <c r="O187" s="628"/>
      <c r="P187" s="628"/>
      <c r="Q187" s="628"/>
      <c r="R187" s="628"/>
      <c r="S187" s="628"/>
      <c r="T187" s="628"/>
    </row>
    <row r="188" spans="1:20" ht="15.75" x14ac:dyDescent="0.5">
      <c r="A188" s="926"/>
      <c r="B188" s="926"/>
      <c r="C188" s="926"/>
      <c r="D188" s="926"/>
      <c r="E188" s="926"/>
      <c r="F188" s="926"/>
      <c r="G188" s="926"/>
      <c r="H188" s="926"/>
      <c r="I188" s="628"/>
      <c r="J188" s="628"/>
      <c r="K188" s="628"/>
      <c r="L188" s="628"/>
      <c r="M188" s="628"/>
      <c r="N188" s="628"/>
      <c r="O188" s="628"/>
      <c r="P188" s="628"/>
      <c r="Q188" s="628"/>
      <c r="R188" s="628"/>
      <c r="S188" s="628"/>
      <c r="T188" s="628"/>
    </row>
    <row r="189" spans="1:20" ht="15.75" x14ac:dyDescent="0.5">
      <c r="A189" s="926"/>
      <c r="B189" s="926"/>
      <c r="C189" s="926"/>
      <c r="D189" s="926"/>
      <c r="E189" s="926"/>
      <c r="F189" s="926"/>
      <c r="G189" s="926"/>
      <c r="H189" s="926"/>
      <c r="I189" s="628"/>
      <c r="J189" s="628"/>
      <c r="K189" s="628"/>
      <c r="L189" s="628"/>
      <c r="M189" s="628"/>
      <c r="N189" s="628"/>
      <c r="O189" s="628"/>
      <c r="P189" s="628"/>
      <c r="Q189" s="628"/>
      <c r="R189" s="628"/>
      <c r="S189" s="628"/>
      <c r="T189" s="628"/>
    </row>
    <row r="190" spans="1:20" ht="15.75" x14ac:dyDescent="0.5">
      <c r="A190" s="926"/>
      <c r="B190" s="926"/>
      <c r="C190" s="926"/>
      <c r="D190" s="926"/>
      <c r="E190" s="926"/>
      <c r="F190" s="926"/>
      <c r="G190" s="926"/>
      <c r="H190" s="926"/>
      <c r="I190" s="628"/>
      <c r="J190" s="628"/>
      <c r="K190" s="628"/>
      <c r="L190" s="628"/>
      <c r="M190" s="628"/>
      <c r="N190" s="628"/>
      <c r="O190" s="628"/>
      <c r="P190" s="628"/>
      <c r="Q190" s="628"/>
      <c r="R190" s="628"/>
      <c r="S190" s="628"/>
      <c r="T190" s="628"/>
    </row>
    <row r="191" spans="1:20" ht="15.75" x14ac:dyDescent="0.5">
      <c r="A191" s="926"/>
      <c r="B191" s="926"/>
      <c r="C191" s="926"/>
      <c r="D191" s="926"/>
      <c r="E191" s="926"/>
      <c r="F191" s="926"/>
      <c r="G191" s="926"/>
      <c r="H191" s="926"/>
      <c r="I191" s="628"/>
      <c r="J191" s="628"/>
      <c r="K191" s="628"/>
      <c r="L191" s="628"/>
      <c r="M191" s="628"/>
      <c r="N191" s="628"/>
      <c r="O191" s="628"/>
      <c r="P191" s="628"/>
      <c r="Q191" s="628"/>
      <c r="R191" s="628"/>
      <c r="S191" s="628"/>
      <c r="T191" s="628"/>
    </row>
    <row r="192" spans="1:20" ht="15.75" x14ac:dyDescent="0.5">
      <c r="A192" s="926"/>
      <c r="B192" s="926"/>
      <c r="C192" s="926"/>
      <c r="D192" s="926"/>
      <c r="E192" s="926"/>
      <c r="F192" s="926"/>
      <c r="G192" s="926"/>
      <c r="H192" s="926"/>
      <c r="I192" s="628"/>
      <c r="J192" s="628"/>
      <c r="K192" s="628"/>
      <c r="L192" s="628"/>
      <c r="M192" s="628"/>
      <c r="N192" s="628"/>
      <c r="O192" s="628"/>
      <c r="P192" s="628"/>
      <c r="Q192" s="628"/>
      <c r="R192" s="628"/>
      <c r="S192" s="628"/>
      <c r="T192" s="628"/>
    </row>
    <row r="193" spans="1:20" ht="15.75" x14ac:dyDescent="0.5">
      <c r="A193" s="926"/>
      <c r="B193" s="926"/>
      <c r="C193" s="926"/>
      <c r="D193" s="926"/>
      <c r="E193" s="926"/>
      <c r="F193" s="926"/>
      <c r="G193" s="926"/>
      <c r="H193" s="926"/>
      <c r="I193" s="628"/>
      <c r="J193" s="628"/>
      <c r="K193" s="628"/>
      <c r="L193" s="628"/>
      <c r="M193" s="628"/>
      <c r="N193" s="628"/>
      <c r="O193" s="628"/>
      <c r="P193" s="628"/>
      <c r="Q193" s="628"/>
      <c r="R193" s="628"/>
      <c r="S193" s="628"/>
      <c r="T193" s="628"/>
    </row>
    <row r="194" spans="1:20" ht="15.75" x14ac:dyDescent="0.5">
      <c r="A194" s="926"/>
      <c r="B194" s="926"/>
      <c r="C194" s="926"/>
      <c r="D194" s="926"/>
      <c r="E194" s="926"/>
      <c r="F194" s="926"/>
      <c r="G194" s="926"/>
      <c r="H194" s="926"/>
      <c r="I194" s="628"/>
      <c r="J194" s="628"/>
      <c r="K194" s="628"/>
      <c r="L194" s="628"/>
      <c r="M194" s="628"/>
      <c r="N194" s="628"/>
      <c r="O194" s="628"/>
      <c r="P194" s="628"/>
      <c r="Q194" s="628"/>
      <c r="R194" s="628"/>
      <c r="S194" s="628"/>
      <c r="T194" s="628"/>
    </row>
    <row r="195" spans="1:20" ht="15.75" x14ac:dyDescent="0.5">
      <c r="A195" s="926"/>
      <c r="B195" s="926"/>
      <c r="C195" s="926"/>
      <c r="D195" s="926"/>
      <c r="E195" s="926"/>
      <c r="F195" s="926"/>
      <c r="G195" s="926"/>
      <c r="H195" s="926"/>
      <c r="I195" s="628"/>
      <c r="J195" s="628"/>
      <c r="K195" s="628"/>
      <c r="L195" s="628"/>
      <c r="M195" s="628"/>
      <c r="N195" s="628"/>
      <c r="O195" s="628"/>
      <c r="P195" s="628"/>
      <c r="Q195" s="628"/>
      <c r="R195" s="628"/>
      <c r="S195" s="628"/>
      <c r="T195" s="628"/>
    </row>
    <row r="196" spans="1:20" ht="15.75" x14ac:dyDescent="0.5">
      <c r="A196" s="926"/>
      <c r="B196" s="926"/>
      <c r="C196" s="926"/>
      <c r="D196" s="926"/>
      <c r="E196" s="926"/>
      <c r="F196" s="926"/>
      <c r="G196" s="926"/>
      <c r="H196" s="926"/>
      <c r="I196" s="628"/>
      <c r="J196" s="628"/>
      <c r="K196" s="628"/>
      <c r="L196" s="628"/>
      <c r="M196" s="628"/>
      <c r="N196" s="628"/>
      <c r="O196" s="628"/>
      <c r="P196" s="628"/>
      <c r="Q196" s="628"/>
      <c r="R196" s="628"/>
      <c r="S196" s="628"/>
      <c r="T196" s="628"/>
    </row>
    <row r="197" spans="1:20" ht="15.75" x14ac:dyDescent="0.5">
      <c r="A197" s="926"/>
      <c r="B197" s="926"/>
      <c r="C197" s="926"/>
      <c r="D197" s="926"/>
      <c r="E197" s="926"/>
      <c r="F197" s="926"/>
      <c r="G197" s="926"/>
      <c r="H197" s="926"/>
      <c r="I197" s="628"/>
      <c r="J197" s="628"/>
      <c r="K197" s="628"/>
      <c r="L197" s="628"/>
      <c r="M197" s="628"/>
      <c r="N197" s="628"/>
      <c r="O197" s="628"/>
      <c r="P197" s="628"/>
      <c r="Q197" s="628"/>
      <c r="R197" s="628"/>
      <c r="S197" s="628"/>
      <c r="T197" s="628"/>
    </row>
    <row r="198" spans="1:20" ht="15.75" x14ac:dyDescent="0.5">
      <c r="A198" s="926"/>
      <c r="B198" s="926"/>
      <c r="C198" s="926"/>
      <c r="D198" s="926"/>
      <c r="E198" s="926"/>
      <c r="F198" s="926"/>
      <c r="G198" s="926"/>
      <c r="H198" s="926"/>
      <c r="I198" s="628"/>
      <c r="J198" s="628"/>
      <c r="K198" s="628"/>
      <c r="L198" s="628"/>
      <c r="M198" s="628"/>
      <c r="N198" s="628"/>
      <c r="O198" s="628"/>
      <c r="P198" s="628"/>
      <c r="Q198" s="628"/>
      <c r="R198" s="628"/>
      <c r="S198" s="628"/>
      <c r="T198" s="628"/>
    </row>
    <row r="199" spans="1:20" ht="15.75" x14ac:dyDescent="0.5">
      <c r="A199" s="926"/>
      <c r="B199" s="926"/>
      <c r="C199" s="926"/>
      <c r="D199" s="926"/>
      <c r="E199" s="926"/>
      <c r="F199" s="926"/>
      <c r="G199" s="926"/>
      <c r="H199" s="926"/>
      <c r="I199" s="628"/>
      <c r="J199" s="628"/>
      <c r="K199" s="628"/>
      <c r="L199" s="628"/>
      <c r="M199" s="628"/>
      <c r="N199" s="628"/>
      <c r="O199" s="628"/>
      <c r="P199" s="628"/>
      <c r="Q199" s="628"/>
      <c r="R199" s="628"/>
      <c r="S199" s="628"/>
      <c r="T199" s="628"/>
    </row>
    <row r="200" spans="1:20" ht="15.75" x14ac:dyDescent="0.5">
      <c r="A200" s="926"/>
      <c r="B200" s="926"/>
      <c r="C200" s="926"/>
      <c r="D200" s="926"/>
      <c r="E200" s="926"/>
      <c r="F200" s="926"/>
      <c r="G200" s="926"/>
      <c r="H200" s="926"/>
      <c r="I200" s="628"/>
      <c r="J200" s="628"/>
      <c r="K200" s="628"/>
      <c r="L200" s="628"/>
      <c r="M200" s="628"/>
      <c r="N200" s="628"/>
      <c r="O200" s="628"/>
      <c r="P200" s="628"/>
      <c r="Q200" s="628"/>
      <c r="R200" s="628"/>
      <c r="S200" s="628"/>
      <c r="T200" s="628"/>
    </row>
    <row r="201" spans="1:20" ht="15.75" x14ac:dyDescent="0.5">
      <c r="A201" s="926"/>
      <c r="B201" s="926"/>
      <c r="C201" s="926"/>
      <c r="D201" s="926"/>
      <c r="E201" s="926"/>
      <c r="F201" s="926"/>
      <c r="G201" s="926"/>
      <c r="H201" s="926"/>
      <c r="I201" s="628"/>
      <c r="J201" s="628"/>
      <c r="K201" s="628"/>
      <c r="L201" s="628"/>
      <c r="M201" s="628"/>
      <c r="N201" s="628"/>
      <c r="O201" s="628"/>
      <c r="P201" s="628"/>
      <c r="Q201" s="628"/>
      <c r="R201" s="628"/>
      <c r="S201" s="628"/>
      <c r="T201" s="628"/>
    </row>
    <row r="202" spans="1:20" ht="15.75" x14ac:dyDescent="0.5">
      <c r="A202" s="926"/>
      <c r="B202" s="926"/>
      <c r="C202" s="926"/>
      <c r="D202" s="926"/>
      <c r="E202" s="926"/>
      <c r="F202" s="926"/>
      <c r="G202" s="926"/>
      <c r="H202" s="926"/>
      <c r="I202" s="628"/>
      <c r="J202" s="628"/>
      <c r="K202" s="628"/>
      <c r="L202" s="628"/>
      <c r="M202" s="628"/>
      <c r="N202" s="628"/>
      <c r="O202" s="628"/>
      <c r="P202" s="628"/>
      <c r="Q202" s="628"/>
      <c r="R202" s="628"/>
      <c r="S202" s="628"/>
      <c r="T202" s="628"/>
    </row>
    <row r="203" spans="1:20" ht="15.75" x14ac:dyDescent="0.5">
      <c r="A203" s="926"/>
      <c r="B203" s="926"/>
      <c r="C203" s="926"/>
      <c r="D203" s="926"/>
      <c r="E203" s="926"/>
      <c r="F203" s="926"/>
      <c r="G203" s="926"/>
      <c r="H203" s="926"/>
      <c r="I203" s="628"/>
      <c r="J203" s="628"/>
      <c r="K203" s="628"/>
      <c r="L203" s="628"/>
      <c r="M203" s="628"/>
      <c r="N203" s="628"/>
      <c r="O203" s="628"/>
      <c r="P203" s="628"/>
      <c r="Q203" s="628"/>
      <c r="R203" s="628"/>
      <c r="S203" s="628"/>
      <c r="T203" s="628"/>
    </row>
    <row r="204" spans="1:20" ht="15.75" x14ac:dyDescent="0.5">
      <c r="A204" s="926"/>
      <c r="B204" s="926"/>
      <c r="C204" s="926"/>
      <c r="D204" s="926"/>
      <c r="E204" s="926"/>
      <c r="F204" s="926"/>
      <c r="G204" s="926"/>
      <c r="H204" s="926"/>
      <c r="I204" s="628"/>
      <c r="J204" s="628"/>
      <c r="K204" s="628"/>
      <c r="L204" s="628"/>
      <c r="M204" s="628"/>
      <c r="N204" s="628"/>
      <c r="O204" s="628"/>
      <c r="P204" s="628"/>
      <c r="Q204" s="628"/>
      <c r="R204" s="628"/>
      <c r="S204" s="628"/>
      <c r="T204" s="628"/>
    </row>
    <row r="205" spans="1:20" ht="15.75" x14ac:dyDescent="0.5">
      <c r="A205" s="926"/>
      <c r="B205" s="926"/>
      <c r="C205" s="926"/>
      <c r="D205" s="926"/>
      <c r="E205" s="926"/>
      <c r="F205" s="926"/>
      <c r="G205" s="926"/>
      <c r="H205" s="926"/>
      <c r="I205" s="628"/>
      <c r="J205" s="628"/>
      <c r="K205" s="628"/>
      <c r="L205" s="628"/>
      <c r="M205" s="628"/>
      <c r="N205" s="628"/>
      <c r="O205" s="628"/>
      <c r="P205" s="628"/>
      <c r="Q205" s="628"/>
      <c r="R205" s="628"/>
      <c r="S205" s="628"/>
      <c r="T205" s="628"/>
    </row>
    <row r="206" spans="1:20" ht="15.75" x14ac:dyDescent="0.5">
      <c r="A206" s="926"/>
      <c r="B206" s="926"/>
      <c r="C206" s="926"/>
      <c r="D206" s="926"/>
      <c r="E206" s="926"/>
      <c r="F206" s="926"/>
      <c r="G206" s="926"/>
      <c r="H206" s="926"/>
      <c r="I206" s="628"/>
      <c r="J206" s="628"/>
      <c r="K206" s="628"/>
      <c r="L206" s="628"/>
      <c r="M206" s="628"/>
      <c r="N206" s="628"/>
      <c r="O206" s="628"/>
      <c r="P206" s="628"/>
      <c r="Q206" s="628"/>
      <c r="R206" s="628"/>
      <c r="S206" s="628"/>
      <c r="T206" s="628"/>
    </row>
    <row r="207" spans="1:20" ht="15.75" x14ac:dyDescent="0.5">
      <c r="A207" s="926"/>
      <c r="B207" s="926"/>
      <c r="C207" s="926"/>
      <c r="D207" s="926"/>
      <c r="E207" s="926"/>
      <c r="F207" s="926"/>
      <c r="G207" s="926"/>
      <c r="H207" s="926"/>
      <c r="I207" s="628"/>
      <c r="J207" s="628"/>
      <c r="K207" s="628"/>
      <c r="L207" s="628"/>
      <c r="M207" s="628"/>
      <c r="N207" s="628"/>
      <c r="O207" s="628"/>
      <c r="P207" s="628"/>
      <c r="Q207" s="628"/>
      <c r="R207" s="628"/>
      <c r="S207" s="628"/>
      <c r="T207" s="628"/>
    </row>
    <row r="208" spans="1:20" ht="15.75" x14ac:dyDescent="0.5">
      <c r="A208" s="926"/>
      <c r="B208" s="926"/>
      <c r="C208" s="926"/>
      <c r="D208" s="926"/>
      <c r="E208" s="926"/>
      <c r="F208" s="926"/>
      <c r="G208" s="926"/>
      <c r="H208" s="926"/>
      <c r="I208" s="628"/>
      <c r="J208" s="628"/>
      <c r="K208" s="628"/>
      <c r="L208" s="628"/>
      <c r="M208" s="628"/>
      <c r="N208" s="628"/>
      <c r="O208" s="628"/>
      <c r="P208" s="628"/>
      <c r="Q208" s="628"/>
      <c r="R208" s="628"/>
      <c r="S208" s="628"/>
      <c r="T208" s="628"/>
    </row>
    <row r="209" spans="1:20" ht="15.75" x14ac:dyDescent="0.5">
      <c r="A209" s="926"/>
      <c r="B209" s="926"/>
      <c r="C209" s="926"/>
      <c r="D209" s="926"/>
      <c r="E209" s="926"/>
      <c r="F209" s="926"/>
      <c r="G209" s="926"/>
      <c r="H209" s="926"/>
      <c r="I209" s="628"/>
      <c r="J209" s="628"/>
      <c r="K209" s="628"/>
      <c r="L209" s="628"/>
      <c r="M209" s="628"/>
      <c r="N209" s="628"/>
      <c r="O209" s="628"/>
      <c r="P209" s="628"/>
      <c r="Q209" s="628"/>
      <c r="R209" s="628"/>
      <c r="S209" s="628"/>
      <c r="T209" s="628"/>
    </row>
    <row r="210" spans="1:20" ht="15.75" x14ac:dyDescent="0.5">
      <c r="A210" s="926"/>
      <c r="B210" s="926"/>
      <c r="C210" s="926"/>
      <c r="D210" s="926"/>
      <c r="E210" s="926"/>
      <c r="F210" s="926"/>
      <c r="G210" s="926"/>
      <c r="H210" s="926"/>
      <c r="I210" s="628"/>
      <c r="J210" s="628"/>
      <c r="K210" s="628"/>
      <c r="L210" s="628"/>
      <c r="M210" s="628"/>
      <c r="N210" s="628"/>
      <c r="O210" s="628"/>
      <c r="P210" s="628"/>
      <c r="Q210" s="628"/>
      <c r="R210" s="628"/>
      <c r="S210" s="628"/>
      <c r="T210" s="628"/>
    </row>
    <row r="211" spans="1:20" ht="15.75" x14ac:dyDescent="0.5">
      <c r="A211" s="926"/>
      <c r="B211" s="926"/>
      <c r="C211" s="926"/>
      <c r="D211" s="926"/>
      <c r="E211" s="926"/>
      <c r="F211" s="926"/>
      <c r="G211" s="926"/>
      <c r="H211" s="926"/>
      <c r="I211" s="628"/>
      <c r="J211" s="628"/>
      <c r="K211" s="628"/>
      <c r="L211" s="628"/>
      <c r="M211" s="628"/>
      <c r="N211" s="628"/>
      <c r="O211" s="628"/>
      <c r="P211" s="628"/>
      <c r="Q211" s="628"/>
      <c r="R211" s="628"/>
      <c r="S211" s="628"/>
      <c r="T211" s="628"/>
    </row>
    <row r="212" spans="1:20" ht="15.75" x14ac:dyDescent="0.5">
      <c r="A212" s="926"/>
      <c r="B212" s="926"/>
      <c r="C212" s="926"/>
      <c r="D212" s="926"/>
      <c r="E212" s="926"/>
      <c r="F212" s="926"/>
      <c r="G212" s="926"/>
      <c r="H212" s="926"/>
      <c r="I212" s="628"/>
      <c r="J212" s="628"/>
      <c r="K212" s="628"/>
      <c r="L212" s="628"/>
      <c r="M212" s="628"/>
      <c r="N212" s="628"/>
      <c r="O212" s="628"/>
      <c r="P212" s="628"/>
      <c r="Q212" s="628"/>
      <c r="R212" s="628"/>
      <c r="S212" s="628"/>
      <c r="T212" s="628"/>
    </row>
    <row r="213" spans="1:20" ht="15.75" x14ac:dyDescent="0.5">
      <c r="A213" s="926"/>
      <c r="B213" s="926"/>
      <c r="C213" s="926"/>
      <c r="D213" s="926"/>
      <c r="E213" s="926"/>
      <c r="F213" s="926"/>
      <c r="G213" s="926"/>
      <c r="H213" s="926"/>
      <c r="I213" s="628"/>
      <c r="J213" s="628"/>
      <c r="K213" s="628"/>
      <c r="L213" s="628"/>
      <c r="M213" s="628"/>
      <c r="N213" s="628"/>
      <c r="O213" s="628"/>
      <c r="P213" s="628"/>
      <c r="Q213" s="628"/>
      <c r="R213" s="628"/>
      <c r="S213" s="628"/>
      <c r="T213" s="628"/>
    </row>
    <row r="214" spans="1:20" ht="15.75" x14ac:dyDescent="0.5">
      <c r="A214" s="926"/>
      <c r="B214" s="926"/>
      <c r="C214" s="926"/>
      <c r="D214" s="926"/>
      <c r="E214" s="926"/>
      <c r="F214" s="926"/>
      <c r="G214" s="926"/>
      <c r="H214" s="926"/>
      <c r="I214" s="628"/>
      <c r="J214" s="628"/>
      <c r="K214" s="628"/>
      <c r="L214" s="628"/>
      <c r="M214" s="628"/>
      <c r="N214" s="628"/>
      <c r="O214" s="628"/>
      <c r="P214" s="628"/>
      <c r="Q214" s="628"/>
      <c r="R214" s="628"/>
      <c r="S214" s="628"/>
      <c r="T214" s="628"/>
    </row>
    <row r="215" spans="1:20" ht="15.75" x14ac:dyDescent="0.5">
      <c r="A215" s="926"/>
      <c r="B215" s="926"/>
      <c r="C215" s="926"/>
      <c r="D215" s="926"/>
      <c r="E215" s="926"/>
      <c r="F215" s="926"/>
      <c r="G215" s="926"/>
      <c r="H215" s="926"/>
      <c r="I215" s="628"/>
      <c r="J215" s="628"/>
      <c r="K215" s="628"/>
      <c r="L215" s="628"/>
      <c r="M215" s="628"/>
      <c r="N215" s="628"/>
      <c r="O215" s="628"/>
      <c r="P215" s="628"/>
      <c r="Q215" s="628"/>
      <c r="R215" s="628"/>
      <c r="S215" s="628"/>
      <c r="T215" s="628"/>
    </row>
    <row r="216" spans="1:20" ht="15.75" x14ac:dyDescent="0.5">
      <c r="A216" s="926"/>
      <c r="B216" s="926"/>
      <c r="C216" s="926"/>
      <c r="D216" s="926"/>
      <c r="E216" s="926"/>
      <c r="F216" s="926"/>
      <c r="G216" s="926"/>
      <c r="H216" s="926"/>
      <c r="I216" s="628"/>
      <c r="J216" s="628"/>
      <c r="K216" s="628"/>
      <c r="L216" s="628"/>
      <c r="M216" s="628"/>
      <c r="N216" s="628"/>
      <c r="O216" s="628"/>
      <c r="P216" s="628"/>
      <c r="Q216" s="628"/>
      <c r="R216" s="628"/>
      <c r="S216" s="628"/>
      <c r="T216" s="628"/>
    </row>
    <row r="217" spans="1:20" ht="15.75" x14ac:dyDescent="0.5">
      <c r="A217" s="926"/>
      <c r="B217" s="926"/>
      <c r="C217" s="926"/>
      <c r="D217" s="926"/>
      <c r="E217" s="926"/>
      <c r="F217" s="926"/>
      <c r="G217" s="926"/>
      <c r="H217" s="926"/>
      <c r="I217" s="628"/>
      <c r="J217" s="628"/>
      <c r="K217" s="628"/>
      <c r="L217" s="628"/>
      <c r="M217" s="628"/>
      <c r="N217" s="628"/>
      <c r="O217" s="628"/>
      <c r="P217" s="628"/>
      <c r="Q217" s="628"/>
      <c r="R217" s="628"/>
      <c r="S217" s="628"/>
      <c r="T217" s="628"/>
    </row>
    <row r="218" spans="1:20" ht="15.75" x14ac:dyDescent="0.5">
      <c r="A218" s="926"/>
      <c r="B218" s="926"/>
      <c r="C218" s="926"/>
      <c r="D218" s="926"/>
      <c r="E218" s="926"/>
      <c r="F218" s="926"/>
      <c r="G218" s="926"/>
      <c r="H218" s="926"/>
      <c r="I218" s="628"/>
      <c r="J218" s="628"/>
      <c r="K218" s="628"/>
      <c r="L218" s="628"/>
      <c r="M218" s="628"/>
      <c r="N218" s="628"/>
      <c r="O218" s="628"/>
      <c r="P218" s="628"/>
      <c r="Q218" s="628"/>
      <c r="R218" s="628"/>
      <c r="S218" s="628"/>
      <c r="T218" s="628"/>
    </row>
    <row r="219" spans="1:20" ht="15.75" x14ac:dyDescent="0.5">
      <c r="A219" s="926"/>
      <c r="B219" s="926"/>
      <c r="C219" s="926"/>
      <c r="D219" s="926"/>
      <c r="E219" s="926"/>
      <c r="F219" s="926"/>
      <c r="G219" s="926"/>
      <c r="H219" s="926"/>
      <c r="I219" s="628"/>
      <c r="J219" s="628"/>
      <c r="K219" s="628"/>
      <c r="L219" s="628"/>
      <c r="M219" s="628"/>
      <c r="N219" s="628"/>
      <c r="O219" s="628"/>
      <c r="P219" s="628"/>
      <c r="Q219" s="628"/>
      <c r="R219" s="628"/>
      <c r="S219" s="628"/>
      <c r="T219" s="628"/>
    </row>
    <row r="220" spans="1:20" ht="15.75" x14ac:dyDescent="0.5">
      <c r="A220" s="926"/>
      <c r="B220" s="926"/>
      <c r="C220" s="926"/>
      <c r="D220" s="926"/>
      <c r="E220" s="926"/>
      <c r="F220" s="926"/>
      <c r="G220" s="926"/>
      <c r="H220" s="926"/>
      <c r="I220" s="628"/>
      <c r="J220" s="628"/>
      <c r="K220" s="628"/>
      <c r="L220" s="628"/>
      <c r="M220" s="628"/>
      <c r="N220" s="628"/>
      <c r="O220" s="628"/>
      <c r="P220" s="628"/>
      <c r="Q220" s="628"/>
      <c r="R220" s="628"/>
      <c r="S220" s="628"/>
      <c r="T220" s="628"/>
    </row>
    <row r="221" spans="1:20" ht="15.75" x14ac:dyDescent="0.5">
      <c r="A221" s="926"/>
      <c r="B221" s="926"/>
      <c r="C221" s="926"/>
      <c r="D221" s="926"/>
      <c r="E221" s="926"/>
      <c r="F221" s="926"/>
      <c r="G221" s="926"/>
      <c r="H221" s="926"/>
      <c r="I221" s="628"/>
      <c r="J221" s="628"/>
      <c r="K221" s="628"/>
      <c r="L221" s="628"/>
      <c r="M221" s="628"/>
      <c r="N221" s="628"/>
      <c r="O221" s="628"/>
      <c r="P221" s="628"/>
      <c r="Q221" s="628"/>
      <c r="R221" s="628"/>
      <c r="S221" s="628"/>
      <c r="T221" s="628"/>
    </row>
    <row r="222" spans="1:20" ht="15.75" x14ac:dyDescent="0.5">
      <c r="A222" s="926"/>
      <c r="B222" s="926"/>
      <c r="C222" s="926"/>
      <c r="D222" s="926"/>
      <c r="E222" s="926"/>
      <c r="F222" s="926"/>
      <c r="G222" s="926"/>
      <c r="H222" s="926"/>
      <c r="I222" s="628"/>
      <c r="J222" s="628"/>
      <c r="K222" s="628"/>
      <c r="L222" s="628"/>
      <c r="M222" s="628"/>
      <c r="N222" s="628"/>
      <c r="O222" s="628"/>
      <c r="P222" s="628"/>
      <c r="Q222" s="628"/>
      <c r="R222" s="628"/>
      <c r="S222" s="628"/>
      <c r="T222" s="628"/>
    </row>
    <row r="223" spans="1:20" ht="15.75" x14ac:dyDescent="0.5">
      <c r="A223" s="926"/>
      <c r="B223" s="926"/>
      <c r="C223" s="926"/>
      <c r="D223" s="926"/>
      <c r="E223" s="926"/>
      <c r="F223" s="926"/>
      <c r="G223" s="926"/>
      <c r="H223" s="926"/>
      <c r="I223" s="628"/>
      <c r="J223" s="628"/>
      <c r="K223" s="628"/>
      <c r="L223" s="628"/>
      <c r="M223" s="628"/>
      <c r="N223" s="628"/>
      <c r="O223" s="628"/>
      <c r="P223" s="628"/>
      <c r="Q223" s="628"/>
      <c r="R223" s="628"/>
      <c r="S223" s="628"/>
      <c r="T223" s="628"/>
    </row>
    <row r="224" spans="1:20" ht="15.75" x14ac:dyDescent="0.5">
      <c r="A224" s="926"/>
      <c r="B224" s="926"/>
      <c r="C224" s="926"/>
      <c r="D224" s="926"/>
      <c r="E224" s="926"/>
      <c r="F224" s="926"/>
      <c r="G224" s="926"/>
      <c r="H224" s="926"/>
      <c r="I224" s="628"/>
      <c r="J224" s="628"/>
      <c r="K224" s="628"/>
      <c r="L224" s="628"/>
      <c r="M224" s="628"/>
      <c r="N224" s="628"/>
      <c r="O224" s="628"/>
      <c r="P224" s="628"/>
      <c r="Q224" s="628"/>
      <c r="R224" s="628"/>
      <c r="S224" s="628"/>
      <c r="T224" s="628"/>
    </row>
    <row r="225" spans="1:20" ht="15.75" x14ac:dyDescent="0.5">
      <c r="A225" s="926"/>
      <c r="B225" s="926"/>
      <c r="C225" s="926"/>
      <c r="D225" s="926"/>
      <c r="E225" s="926"/>
      <c r="F225" s="926"/>
      <c r="G225" s="926"/>
      <c r="H225" s="926"/>
      <c r="I225" s="628"/>
      <c r="J225" s="628"/>
      <c r="K225" s="628"/>
      <c r="L225" s="628"/>
      <c r="M225" s="628"/>
      <c r="N225" s="628"/>
      <c r="O225" s="628"/>
      <c r="P225" s="628"/>
      <c r="Q225" s="628"/>
      <c r="R225" s="628"/>
      <c r="S225" s="628"/>
      <c r="T225" s="628"/>
    </row>
    <row r="226" spans="1:20" ht="15.75" x14ac:dyDescent="0.5">
      <c r="A226" s="926"/>
      <c r="B226" s="926"/>
      <c r="C226" s="926"/>
      <c r="D226" s="926"/>
      <c r="E226" s="926"/>
      <c r="F226" s="926"/>
      <c r="G226" s="926"/>
      <c r="H226" s="926"/>
      <c r="I226" s="628"/>
      <c r="J226" s="628"/>
      <c r="K226" s="628"/>
      <c r="L226" s="628"/>
      <c r="M226" s="628"/>
      <c r="N226" s="628"/>
      <c r="O226" s="628"/>
      <c r="P226" s="628"/>
      <c r="Q226" s="628"/>
      <c r="R226" s="628"/>
      <c r="S226" s="628"/>
      <c r="T226" s="628"/>
    </row>
    <row r="227" spans="1:20" ht="15.75" x14ac:dyDescent="0.5">
      <c r="A227" s="926"/>
      <c r="B227" s="926"/>
      <c r="C227" s="926"/>
      <c r="D227" s="926"/>
      <c r="E227" s="926"/>
      <c r="F227" s="926"/>
      <c r="G227" s="926"/>
      <c r="H227" s="926"/>
      <c r="I227" s="628"/>
      <c r="J227" s="628"/>
      <c r="K227" s="628"/>
      <c r="L227" s="628"/>
      <c r="M227" s="628"/>
      <c r="N227" s="628"/>
      <c r="O227" s="628"/>
      <c r="P227" s="628"/>
      <c r="Q227" s="628"/>
      <c r="R227" s="628"/>
      <c r="S227" s="628"/>
      <c r="T227" s="628"/>
    </row>
    <row r="228" spans="1:20" ht="15.75" x14ac:dyDescent="0.5">
      <c r="A228" s="926"/>
      <c r="B228" s="926"/>
      <c r="C228" s="926"/>
      <c r="D228" s="926"/>
      <c r="E228" s="926"/>
      <c r="F228" s="926"/>
      <c r="G228" s="926"/>
      <c r="H228" s="926"/>
      <c r="I228" s="628"/>
      <c r="J228" s="628"/>
      <c r="K228" s="628"/>
      <c r="L228" s="628"/>
      <c r="M228" s="628"/>
      <c r="N228" s="628"/>
      <c r="O228" s="628"/>
      <c r="P228" s="628"/>
      <c r="Q228" s="628"/>
      <c r="R228" s="628"/>
      <c r="S228" s="628"/>
      <c r="T228" s="628"/>
    </row>
    <row r="229" spans="1:20" ht="15.75" x14ac:dyDescent="0.5">
      <c r="A229" s="926"/>
      <c r="B229" s="926"/>
      <c r="C229" s="926"/>
      <c r="D229" s="926"/>
      <c r="E229" s="926"/>
      <c r="F229" s="926"/>
      <c r="G229" s="926"/>
      <c r="H229" s="926"/>
      <c r="I229" s="628"/>
      <c r="J229" s="628"/>
      <c r="K229" s="628"/>
      <c r="L229" s="628"/>
      <c r="M229" s="628"/>
      <c r="N229" s="628"/>
      <c r="O229" s="628"/>
      <c r="P229" s="628"/>
      <c r="Q229" s="628"/>
      <c r="R229" s="628"/>
      <c r="S229" s="628"/>
      <c r="T229" s="628"/>
    </row>
    <row r="230" spans="1:20" ht="15.75" x14ac:dyDescent="0.5">
      <c r="A230" s="926"/>
      <c r="B230" s="926"/>
      <c r="C230" s="926"/>
      <c r="D230" s="926"/>
      <c r="E230" s="926"/>
      <c r="F230" s="926"/>
      <c r="G230" s="926"/>
      <c r="H230" s="926"/>
      <c r="I230" s="628"/>
      <c r="J230" s="628"/>
      <c r="K230" s="628"/>
      <c r="L230" s="628"/>
      <c r="M230" s="628"/>
      <c r="N230" s="628"/>
      <c r="O230" s="628"/>
      <c r="P230" s="628"/>
      <c r="Q230" s="628"/>
      <c r="R230" s="628"/>
      <c r="S230" s="628"/>
      <c r="T230" s="628"/>
    </row>
    <row r="231" spans="1:20" ht="15.75" x14ac:dyDescent="0.5">
      <c r="A231" s="926"/>
      <c r="B231" s="926"/>
      <c r="C231" s="926"/>
      <c r="D231" s="926"/>
      <c r="E231" s="926"/>
      <c r="F231" s="926"/>
      <c r="G231" s="926"/>
      <c r="H231" s="926"/>
      <c r="I231" s="628"/>
      <c r="J231" s="628"/>
      <c r="K231" s="628"/>
      <c r="L231" s="628"/>
      <c r="M231" s="628"/>
      <c r="N231" s="628"/>
      <c r="O231" s="628"/>
      <c r="P231" s="628"/>
      <c r="Q231" s="628"/>
      <c r="R231" s="628"/>
      <c r="S231" s="628"/>
      <c r="T231" s="628"/>
    </row>
    <row r="232" spans="1:20" ht="15.75" x14ac:dyDescent="0.5">
      <c r="A232" s="926"/>
      <c r="B232" s="926"/>
      <c r="C232" s="926"/>
      <c r="D232" s="926"/>
      <c r="E232" s="926"/>
      <c r="F232" s="926"/>
      <c r="G232" s="926"/>
      <c r="H232" s="926"/>
      <c r="I232" s="628"/>
      <c r="J232" s="628"/>
      <c r="K232" s="628"/>
      <c r="L232" s="628"/>
      <c r="M232" s="628"/>
      <c r="N232" s="628"/>
      <c r="O232" s="628"/>
      <c r="P232" s="628"/>
      <c r="Q232" s="628"/>
      <c r="R232" s="628"/>
      <c r="S232" s="628"/>
      <c r="T232" s="628"/>
    </row>
    <row r="233" spans="1:20" ht="15.75" x14ac:dyDescent="0.5">
      <c r="A233" s="926"/>
      <c r="B233" s="926"/>
      <c r="C233" s="926"/>
      <c r="D233" s="926"/>
      <c r="E233" s="926"/>
      <c r="F233" s="926"/>
      <c r="G233" s="926"/>
      <c r="H233" s="926"/>
      <c r="I233" s="628"/>
      <c r="J233" s="628"/>
      <c r="K233" s="628"/>
      <c r="L233" s="628"/>
      <c r="M233" s="628"/>
      <c r="N233" s="628"/>
      <c r="O233" s="628"/>
      <c r="P233" s="628"/>
      <c r="Q233" s="628"/>
      <c r="R233" s="628"/>
      <c r="S233" s="628"/>
      <c r="T233" s="628"/>
    </row>
    <row r="234" spans="1:20" ht="15.75" x14ac:dyDescent="0.5">
      <c r="A234" s="926"/>
      <c r="B234" s="926"/>
      <c r="C234" s="926"/>
      <c r="D234" s="926"/>
      <c r="E234" s="926"/>
      <c r="F234" s="926"/>
      <c r="G234" s="926"/>
      <c r="H234" s="926"/>
      <c r="I234" s="628"/>
      <c r="J234" s="628"/>
      <c r="K234" s="628"/>
      <c r="L234" s="628"/>
      <c r="M234" s="628"/>
      <c r="N234" s="628"/>
      <c r="O234" s="628"/>
      <c r="P234" s="628"/>
      <c r="Q234" s="628"/>
      <c r="R234" s="628"/>
      <c r="S234" s="628"/>
      <c r="T234" s="628"/>
    </row>
    <row r="235" spans="1:20" ht="15.75" x14ac:dyDescent="0.5">
      <c r="A235" s="926"/>
      <c r="B235" s="926"/>
      <c r="C235" s="926"/>
      <c r="D235" s="926"/>
      <c r="E235" s="926"/>
      <c r="F235" s="926"/>
      <c r="G235" s="926"/>
      <c r="H235" s="926"/>
      <c r="I235" s="628"/>
      <c r="J235" s="628"/>
      <c r="K235" s="628"/>
      <c r="L235" s="628"/>
      <c r="M235" s="628"/>
      <c r="N235" s="628"/>
      <c r="O235" s="628"/>
      <c r="P235" s="628"/>
      <c r="Q235" s="628"/>
      <c r="R235" s="628"/>
      <c r="S235" s="628"/>
      <c r="T235" s="628"/>
    </row>
    <row r="236" spans="1:20" ht="15.75" x14ac:dyDescent="0.5">
      <c r="A236" s="926"/>
      <c r="B236" s="926"/>
      <c r="C236" s="926"/>
      <c r="D236" s="926"/>
      <c r="E236" s="926"/>
      <c r="F236" s="926"/>
      <c r="G236" s="926"/>
      <c r="H236" s="926"/>
      <c r="I236" s="628"/>
      <c r="J236" s="628"/>
      <c r="K236" s="628"/>
      <c r="L236" s="628"/>
      <c r="M236" s="628"/>
      <c r="N236" s="628"/>
      <c r="O236" s="628"/>
      <c r="P236" s="628"/>
      <c r="Q236" s="628"/>
      <c r="R236" s="628"/>
      <c r="S236" s="628"/>
      <c r="T236" s="628"/>
    </row>
    <row r="237" spans="1:20" ht="15.75" x14ac:dyDescent="0.5">
      <c r="A237" s="926"/>
      <c r="B237" s="926"/>
      <c r="C237" s="926"/>
      <c r="D237" s="926"/>
      <c r="E237" s="926"/>
      <c r="F237" s="926"/>
      <c r="G237" s="926"/>
      <c r="H237" s="926"/>
      <c r="I237" s="628"/>
      <c r="J237" s="628"/>
      <c r="K237" s="628"/>
      <c r="L237" s="628"/>
      <c r="M237" s="628"/>
      <c r="N237" s="628"/>
      <c r="O237" s="628"/>
      <c r="P237" s="628"/>
      <c r="Q237" s="628"/>
      <c r="R237" s="628"/>
      <c r="S237" s="628"/>
      <c r="T237" s="628"/>
    </row>
    <row r="238" spans="1:20" ht="15.75" x14ac:dyDescent="0.5">
      <c r="A238" s="926"/>
      <c r="B238" s="926"/>
      <c r="C238" s="926"/>
      <c r="D238" s="926"/>
      <c r="E238" s="926"/>
      <c r="F238" s="926"/>
      <c r="G238" s="926"/>
      <c r="H238" s="926"/>
      <c r="I238" s="628"/>
      <c r="J238" s="628"/>
      <c r="K238" s="628"/>
      <c r="L238" s="628"/>
      <c r="M238" s="628"/>
      <c r="N238" s="628"/>
      <c r="O238" s="628"/>
      <c r="P238" s="628"/>
      <c r="Q238" s="628"/>
      <c r="R238" s="628"/>
      <c r="S238" s="628"/>
      <c r="T238" s="628"/>
    </row>
    <row r="239" spans="1:20" ht="15.75" x14ac:dyDescent="0.5">
      <c r="A239" s="926"/>
      <c r="B239" s="926"/>
      <c r="C239" s="926"/>
      <c r="D239" s="926"/>
      <c r="E239" s="926"/>
      <c r="F239" s="926"/>
      <c r="G239" s="926"/>
      <c r="H239" s="926"/>
      <c r="I239" s="628"/>
      <c r="J239" s="628"/>
      <c r="K239" s="628"/>
      <c r="L239" s="628"/>
      <c r="M239" s="628"/>
      <c r="N239" s="628"/>
      <c r="O239" s="628"/>
      <c r="P239" s="628"/>
      <c r="Q239" s="628"/>
      <c r="R239" s="628"/>
      <c r="S239" s="628"/>
      <c r="T239" s="628"/>
    </row>
    <row r="240" spans="1:20" ht="15.75" x14ac:dyDescent="0.5">
      <c r="A240" s="926"/>
      <c r="B240" s="926"/>
      <c r="C240" s="926"/>
      <c r="D240" s="926"/>
      <c r="E240" s="926"/>
      <c r="F240" s="926"/>
      <c r="G240" s="926"/>
      <c r="H240" s="926"/>
      <c r="I240" s="628"/>
      <c r="J240" s="628"/>
      <c r="K240" s="628"/>
      <c r="L240" s="628"/>
      <c r="M240" s="628"/>
      <c r="N240" s="628"/>
      <c r="O240" s="628"/>
      <c r="P240" s="628"/>
      <c r="Q240" s="628"/>
      <c r="R240" s="628"/>
      <c r="S240" s="628"/>
      <c r="T240" s="628"/>
    </row>
    <row r="241" spans="1:20" ht="15.75" x14ac:dyDescent="0.5">
      <c r="A241" s="926"/>
      <c r="B241" s="926"/>
      <c r="C241" s="926"/>
      <c r="D241" s="926"/>
      <c r="E241" s="926"/>
      <c r="F241" s="926"/>
      <c r="G241" s="926"/>
      <c r="H241" s="926"/>
      <c r="I241" s="628"/>
      <c r="J241" s="628"/>
      <c r="K241" s="628"/>
      <c r="L241" s="628"/>
      <c r="M241" s="628"/>
      <c r="N241" s="628"/>
      <c r="O241" s="628"/>
      <c r="P241" s="628"/>
      <c r="Q241" s="628"/>
      <c r="R241" s="628"/>
      <c r="S241" s="628"/>
      <c r="T241" s="628"/>
    </row>
    <row r="242" spans="1:20" ht="15.75" x14ac:dyDescent="0.5">
      <c r="A242" s="926"/>
      <c r="B242" s="926"/>
      <c r="C242" s="926"/>
      <c r="D242" s="926"/>
      <c r="E242" s="926"/>
      <c r="F242" s="926"/>
      <c r="G242" s="926"/>
      <c r="H242" s="926"/>
      <c r="I242" s="628"/>
      <c r="J242" s="628"/>
      <c r="K242" s="628"/>
      <c r="L242" s="628"/>
      <c r="M242" s="628"/>
      <c r="N242" s="628"/>
      <c r="O242" s="628"/>
      <c r="P242" s="628"/>
      <c r="Q242" s="628"/>
      <c r="R242" s="628"/>
      <c r="S242" s="628"/>
      <c r="T242" s="628"/>
    </row>
    <row r="243" spans="1:20" ht="15.75" x14ac:dyDescent="0.5">
      <c r="A243" s="926"/>
      <c r="B243" s="926"/>
      <c r="C243" s="926"/>
      <c r="D243" s="926"/>
      <c r="E243" s="926"/>
      <c r="F243" s="926"/>
      <c r="G243" s="926"/>
      <c r="H243" s="926"/>
      <c r="I243" s="628"/>
      <c r="J243" s="628"/>
      <c r="K243" s="628"/>
      <c r="L243" s="628"/>
      <c r="M243" s="628"/>
      <c r="N243" s="628"/>
      <c r="O243" s="628"/>
      <c r="P243" s="628"/>
      <c r="Q243" s="628"/>
      <c r="R243" s="628"/>
      <c r="S243" s="628"/>
      <c r="T243" s="628"/>
    </row>
    <row r="244" spans="1:20" ht="15.75" x14ac:dyDescent="0.5">
      <c r="A244" s="926"/>
      <c r="B244" s="926"/>
      <c r="C244" s="926"/>
      <c r="D244" s="926"/>
      <c r="E244" s="926"/>
      <c r="F244" s="926"/>
      <c r="G244" s="926"/>
      <c r="H244" s="926"/>
      <c r="I244" s="628"/>
      <c r="J244" s="628"/>
      <c r="K244" s="628"/>
      <c r="L244" s="628"/>
      <c r="M244" s="628"/>
      <c r="N244" s="628"/>
      <c r="O244" s="628"/>
      <c r="P244" s="628"/>
      <c r="Q244" s="628"/>
      <c r="R244" s="628"/>
      <c r="S244" s="628"/>
      <c r="T244" s="628"/>
    </row>
    <row r="245" spans="1:20" ht="15.75" x14ac:dyDescent="0.5">
      <c r="A245" s="926"/>
      <c r="B245" s="926"/>
      <c r="C245" s="926"/>
      <c r="D245" s="926"/>
      <c r="E245" s="926"/>
      <c r="F245" s="926"/>
      <c r="G245" s="926"/>
      <c r="H245" s="926"/>
      <c r="I245" s="628"/>
      <c r="J245" s="628"/>
      <c r="K245" s="628"/>
      <c r="L245" s="628"/>
      <c r="M245" s="628"/>
      <c r="N245" s="628"/>
      <c r="O245" s="628"/>
      <c r="P245" s="628"/>
      <c r="Q245" s="628"/>
      <c r="R245" s="628"/>
      <c r="S245" s="628"/>
      <c r="T245" s="628"/>
    </row>
    <row r="246" spans="1:20" ht="15.75" x14ac:dyDescent="0.5">
      <c r="A246" s="926"/>
      <c r="B246" s="926"/>
      <c r="C246" s="926"/>
      <c r="D246" s="926"/>
      <c r="E246" s="926"/>
      <c r="F246" s="926"/>
      <c r="G246" s="926"/>
      <c r="H246" s="926"/>
      <c r="I246" s="628"/>
      <c r="J246" s="628"/>
      <c r="K246" s="628"/>
      <c r="L246" s="628"/>
      <c r="M246" s="628"/>
      <c r="N246" s="628"/>
      <c r="O246" s="628"/>
      <c r="P246" s="628"/>
      <c r="Q246" s="628"/>
      <c r="R246" s="628"/>
      <c r="S246" s="628"/>
      <c r="T246" s="628"/>
    </row>
    <row r="247" spans="1:20" ht="15.75" x14ac:dyDescent="0.5">
      <c r="A247" s="926"/>
      <c r="B247" s="926"/>
      <c r="C247" s="926"/>
      <c r="D247" s="926"/>
      <c r="E247" s="926"/>
      <c r="F247" s="926"/>
      <c r="G247" s="926"/>
      <c r="H247" s="926"/>
      <c r="I247" s="628"/>
      <c r="J247" s="628"/>
      <c r="K247" s="628"/>
      <c r="L247" s="628"/>
      <c r="M247" s="628"/>
      <c r="N247" s="628"/>
      <c r="O247" s="628"/>
      <c r="P247" s="628"/>
      <c r="Q247" s="628"/>
      <c r="R247" s="628"/>
      <c r="S247" s="628"/>
      <c r="T247" s="628"/>
    </row>
    <row r="248" spans="1:20" ht="15.75" x14ac:dyDescent="0.5">
      <c r="A248" s="926"/>
      <c r="B248" s="926"/>
      <c r="C248" s="926"/>
      <c r="D248" s="926"/>
      <c r="E248" s="926"/>
      <c r="F248" s="926"/>
      <c r="G248" s="926"/>
      <c r="H248" s="926"/>
      <c r="I248" s="628"/>
      <c r="J248" s="628"/>
      <c r="K248" s="628"/>
      <c r="L248" s="628"/>
      <c r="M248" s="628"/>
      <c r="N248" s="628"/>
      <c r="O248" s="628"/>
      <c r="P248" s="628"/>
      <c r="Q248" s="628"/>
      <c r="R248" s="628"/>
      <c r="S248" s="628"/>
      <c r="T248" s="628"/>
    </row>
    <row r="249" spans="1:20" ht="15.75" x14ac:dyDescent="0.5">
      <c r="A249" s="926"/>
      <c r="B249" s="926"/>
      <c r="C249" s="926"/>
      <c r="D249" s="926"/>
      <c r="E249" s="926"/>
      <c r="F249" s="926"/>
      <c r="G249" s="926"/>
      <c r="H249" s="926"/>
      <c r="I249" s="628"/>
      <c r="J249" s="628"/>
      <c r="K249" s="628"/>
      <c r="L249" s="628"/>
      <c r="M249" s="628"/>
      <c r="N249" s="628"/>
      <c r="O249" s="628"/>
      <c r="P249" s="628"/>
      <c r="Q249" s="628"/>
      <c r="R249" s="628"/>
      <c r="S249" s="628"/>
      <c r="T249" s="628"/>
    </row>
    <row r="250" spans="1:20" ht="15.75" x14ac:dyDescent="0.5">
      <c r="A250" s="926"/>
      <c r="B250" s="926"/>
      <c r="C250" s="926"/>
      <c r="D250" s="926"/>
      <c r="E250" s="926"/>
      <c r="F250" s="926"/>
      <c r="G250" s="926"/>
      <c r="H250" s="926"/>
      <c r="I250" s="628"/>
      <c r="J250" s="628"/>
      <c r="K250" s="628"/>
      <c r="L250" s="628"/>
      <c r="M250" s="628"/>
      <c r="N250" s="628"/>
      <c r="O250" s="628"/>
      <c r="P250" s="628"/>
      <c r="Q250" s="628"/>
      <c r="R250" s="628"/>
      <c r="S250" s="628"/>
      <c r="T250" s="628"/>
    </row>
    <row r="251" spans="1:20" ht="15.75" x14ac:dyDescent="0.5">
      <c r="A251" s="926"/>
      <c r="B251" s="926"/>
      <c r="C251" s="926"/>
      <c r="D251" s="926"/>
      <c r="E251" s="926"/>
      <c r="F251" s="926"/>
      <c r="G251" s="926"/>
      <c r="H251" s="926"/>
      <c r="I251" s="628"/>
      <c r="J251" s="628"/>
      <c r="K251" s="628"/>
      <c r="L251" s="628"/>
      <c r="M251" s="628"/>
      <c r="N251" s="628"/>
      <c r="O251" s="628"/>
      <c r="P251" s="628"/>
      <c r="Q251" s="628"/>
      <c r="R251" s="628"/>
      <c r="S251" s="628"/>
      <c r="T251" s="628"/>
    </row>
    <row r="252" spans="1:20" ht="15.75" x14ac:dyDescent="0.5">
      <c r="A252" s="926"/>
      <c r="B252" s="926"/>
      <c r="C252" s="926"/>
      <c r="D252" s="926"/>
      <c r="E252" s="926"/>
      <c r="F252" s="926"/>
      <c r="G252" s="926"/>
      <c r="H252" s="926"/>
      <c r="I252" s="628"/>
      <c r="J252" s="628"/>
      <c r="K252" s="628"/>
      <c r="L252" s="628"/>
      <c r="M252" s="628"/>
      <c r="N252" s="628"/>
      <c r="O252" s="628"/>
      <c r="P252" s="628"/>
      <c r="Q252" s="628"/>
      <c r="R252" s="628"/>
      <c r="S252" s="628"/>
      <c r="T252" s="628"/>
    </row>
    <row r="253" spans="1:20" ht="15.75" x14ac:dyDescent="0.5">
      <c r="A253" s="926"/>
      <c r="B253" s="926"/>
      <c r="C253" s="926"/>
      <c r="D253" s="926"/>
      <c r="E253" s="926"/>
      <c r="F253" s="926"/>
      <c r="G253" s="926"/>
      <c r="H253" s="926"/>
      <c r="I253" s="628"/>
      <c r="J253" s="628"/>
      <c r="K253" s="628"/>
      <c r="L253" s="628"/>
      <c r="M253" s="628"/>
      <c r="N253" s="628"/>
      <c r="O253" s="628"/>
      <c r="P253" s="628"/>
      <c r="Q253" s="628"/>
      <c r="R253" s="628"/>
      <c r="S253" s="628"/>
      <c r="T253" s="628"/>
    </row>
    <row r="254" spans="1:20" ht="15.75" x14ac:dyDescent="0.5">
      <c r="A254" s="926"/>
      <c r="B254" s="926"/>
      <c r="C254" s="926"/>
      <c r="D254" s="926"/>
      <c r="E254" s="926"/>
      <c r="F254" s="926"/>
      <c r="G254" s="926"/>
      <c r="H254" s="926"/>
      <c r="I254" s="628"/>
      <c r="J254" s="628"/>
      <c r="K254" s="628"/>
      <c r="L254" s="628"/>
      <c r="M254" s="628"/>
      <c r="N254" s="628"/>
      <c r="O254" s="628"/>
      <c r="P254" s="628"/>
      <c r="Q254" s="628"/>
      <c r="R254" s="628"/>
      <c r="S254" s="628"/>
      <c r="T254" s="628"/>
    </row>
    <row r="255" spans="1:20" ht="15.75" x14ac:dyDescent="0.5">
      <c r="A255" s="926"/>
      <c r="B255" s="926"/>
      <c r="C255" s="926"/>
      <c r="D255" s="926"/>
      <c r="E255" s="926"/>
      <c r="F255" s="926"/>
      <c r="G255" s="926"/>
      <c r="H255" s="926"/>
      <c r="I255" s="628"/>
      <c r="J255" s="628"/>
      <c r="K255" s="628"/>
      <c r="L255" s="628"/>
      <c r="M255" s="628"/>
      <c r="N255" s="628"/>
      <c r="O255" s="628"/>
      <c r="P255" s="628"/>
      <c r="Q255" s="628"/>
      <c r="R255" s="628"/>
      <c r="S255" s="628"/>
      <c r="T255" s="628"/>
    </row>
    <row r="256" spans="1:20" ht="15.75" x14ac:dyDescent="0.5">
      <c r="A256" s="926"/>
      <c r="B256" s="926"/>
      <c r="C256" s="926"/>
      <c r="D256" s="926"/>
      <c r="E256" s="926"/>
      <c r="F256" s="926"/>
      <c r="G256" s="926"/>
      <c r="H256" s="926"/>
      <c r="I256" s="628"/>
      <c r="J256" s="628"/>
      <c r="K256" s="628"/>
      <c r="L256" s="628"/>
      <c r="M256" s="628"/>
      <c r="N256" s="628"/>
      <c r="O256" s="628"/>
      <c r="P256" s="628"/>
      <c r="Q256" s="628"/>
      <c r="R256" s="628"/>
      <c r="S256" s="628"/>
      <c r="T256" s="628"/>
    </row>
    <row r="257" spans="1:20" ht="15.75" x14ac:dyDescent="0.5">
      <c r="A257" s="926"/>
      <c r="B257" s="926"/>
      <c r="C257" s="926"/>
      <c r="D257" s="926"/>
      <c r="E257" s="926"/>
      <c r="F257" s="926"/>
      <c r="G257" s="926"/>
      <c r="H257" s="926"/>
      <c r="I257" s="628"/>
      <c r="J257" s="628"/>
      <c r="K257" s="628"/>
      <c r="L257" s="628"/>
      <c r="M257" s="628"/>
      <c r="N257" s="628"/>
      <c r="O257" s="628"/>
      <c r="P257" s="628"/>
      <c r="Q257" s="628"/>
      <c r="R257" s="628"/>
      <c r="S257" s="628"/>
      <c r="T257" s="628"/>
    </row>
    <row r="258" spans="1:20" ht="15.75" x14ac:dyDescent="0.5">
      <c r="A258" s="926"/>
      <c r="B258" s="926"/>
      <c r="C258" s="926"/>
      <c r="D258" s="926"/>
      <c r="E258" s="926"/>
      <c r="F258" s="926"/>
      <c r="G258" s="926"/>
      <c r="H258" s="926"/>
      <c r="I258" s="628"/>
      <c r="J258" s="628"/>
      <c r="K258" s="628"/>
      <c r="L258" s="628"/>
      <c r="M258" s="628"/>
      <c r="N258" s="628"/>
      <c r="O258" s="628"/>
      <c r="P258" s="628"/>
      <c r="Q258" s="628"/>
      <c r="R258" s="628"/>
      <c r="S258" s="628"/>
      <c r="T258" s="628"/>
    </row>
    <row r="259" spans="1:20" ht="15.75" x14ac:dyDescent="0.5">
      <c r="A259" s="926"/>
      <c r="B259" s="926"/>
      <c r="C259" s="926"/>
      <c r="D259" s="926"/>
      <c r="E259" s="926"/>
      <c r="F259" s="926"/>
      <c r="G259" s="926"/>
      <c r="H259" s="926"/>
      <c r="I259" s="628"/>
      <c r="J259" s="628"/>
      <c r="K259" s="628"/>
      <c r="L259" s="628"/>
      <c r="M259" s="628"/>
      <c r="N259" s="628"/>
      <c r="O259" s="628"/>
      <c r="P259" s="628"/>
      <c r="Q259" s="628"/>
      <c r="R259" s="628"/>
      <c r="S259" s="628"/>
      <c r="T259" s="628"/>
    </row>
    <row r="260" spans="1:20" x14ac:dyDescent="0.45">
      <c r="A260" s="628"/>
      <c r="B260" s="628"/>
      <c r="C260" s="628"/>
      <c r="D260" s="628"/>
      <c r="E260" s="628"/>
      <c r="F260" s="628"/>
      <c r="G260" s="628"/>
      <c r="H260" s="628"/>
      <c r="I260" s="628"/>
      <c r="J260" s="628"/>
      <c r="K260" s="628"/>
      <c r="L260" s="628"/>
      <c r="M260" s="628"/>
      <c r="N260" s="628"/>
      <c r="O260" s="628"/>
      <c r="P260" s="628"/>
      <c r="Q260" s="628"/>
      <c r="R260" s="628"/>
      <c r="S260" s="628"/>
      <c r="T260" s="628"/>
    </row>
    <row r="261" spans="1:20" x14ac:dyDescent="0.45">
      <c r="A261" s="628"/>
      <c r="B261" s="628"/>
      <c r="C261" s="628"/>
      <c r="D261" s="628"/>
      <c r="E261" s="628"/>
      <c r="F261" s="628"/>
      <c r="G261" s="628"/>
      <c r="H261" s="628"/>
      <c r="I261" s="628"/>
      <c r="J261" s="628"/>
      <c r="K261" s="628"/>
      <c r="L261" s="628"/>
      <c r="M261" s="628"/>
      <c r="N261" s="628"/>
      <c r="O261" s="628"/>
      <c r="P261" s="628"/>
      <c r="Q261" s="628"/>
      <c r="R261" s="628"/>
      <c r="S261" s="628"/>
      <c r="T261" s="628"/>
    </row>
    <row r="262" spans="1:20" x14ac:dyDescent="0.45">
      <c r="A262" s="628"/>
      <c r="B262" s="628"/>
      <c r="C262" s="628"/>
      <c r="D262" s="628"/>
      <c r="E262" s="628"/>
      <c r="F262" s="628"/>
      <c r="G262" s="628"/>
      <c r="H262" s="628"/>
      <c r="I262" s="628"/>
      <c r="J262" s="628"/>
      <c r="K262" s="628"/>
      <c r="L262" s="628"/>
      <c r="M262" s="628"/>
      <c r="N262" s="628"/>
      <c r="O262" s="628"/>
      <c r="P262" s="628"/>
      <c r="Q262" s="628"/>
      <c r="R262" s="628"/>
      <c r="S262" s="628"/>
      <c r="T262" s="628"/>
    </row>
    <row r="263" spans="1:20" x14ac:dyDescent="0.45">
      <c r="A263" s="628"/>
      <c r="B263" s="628"/>
      <c r="C263" s="628"/>
      <c r="D263" s="628"/>
      <c r="E263" s="628"/>
      <c r="F263" s="628"/>
      <c r="G263" s="628"/>
      <c r="H263" s="628"/>
      <c r="I263" s="628"/>
      <c r="J263" s="628"/>
      <c r="K263" s="628"/>
      <c r="L263" s="628"/>
      <c r="M263" s="628"/>
      <c r="N263" s="628"/>
      <c r="O263" s="628"/>
      <c r="P263" s="628"/>
      <c r="Q263" s="628"/>
      <c r="R263" s="628"/>
      <c r="S263" s="628"/>
      <c r="T263" s="628"/>
    </row>
    <row r="264" spans="1:20" x14ac:dyDescent="0.45">
      <c r="A264" s="628"/>
      <c r="B264" s="628"/>
      <c r="C264" s="628"/>
      <c r="D264" s="628"/>
      <c r="E264" s="628"/>
      <c r="F264" s="628"/>
      <c r="G264" s="628"/>
      <c r="H264" s="628"/>
      <c r="I264" s="628"/>
      <c r="J264" s="628"/>
      <c r="K264" s="628"/>
      <c r="L264" s="628"/>
      <c r="M264" s="628"/>
      <c r="N264" s="628"/>
      <c r="O264" s="628"/>
      <c r="P264" s="628"/>
      <c r="Q264" s="628"/>
      <c r="R264" s="628"/>
      <c r="S264" s="628"/>
      <c r="T264" s="628"/>
    </row>
    <row r="265" spans="1:20" x14ac:dyDescent="0.45">
      <c r="A265" s="628"/>
      <c r="B265" s="628"/>
      <c r="C265" s="628"/>
      <c r="D265" s="628"/>
      <c r="E265" s="628"/>
      <c r="F265" s="628"/>
      <c r="G265" s="628"/>
      <c r="H265" s="628"/>
      <c r="I265" s="628"/>
      <c r="J265" s="628"/>
      <c r="K265" s="628"/>
      <c r="L265" s="628"/>
      <c r="M265" s="628"/>
      <c r="N265" s="628"/>
      <c r="O265" s="628"/>
      <c r="P265" s="628"/>
      <c r="Q265" s="628"/>
      <c r="R265" s="628"/>
      <c r="S265" s="628"/>
      <c r="T265" s="628"/>
    </row>
    <row r="266" spans="1:20" x14ac:dyDescent="0.45">
      <c r="A266" s="628"/>
      <c r="B266" s="628"/>
      <c r="C266" s="628"/>
      <c r="D266" s="628"/>
      <c r="E266" s="628"/>
      <c r="F266" s="628"/>
      <c r="G266" s="628"/>
      <c r="H266" s="628"/>
      <c r="I266" s="628"/>
      <c r="J266" s="628"/>
      <c r="K266" s="628"/>
      <c r="L266" s="628"/>
      <c r="M266" s="628"/>
      <c r="N266" s="628"/>
      <c r="O266" s="628"/>
      <c r="P266" s="628"/>
      <c r="Q266" s="628"/>
      <c r="R266" s="628"/>
      <c r="S266" s="628"/>
      <c r="T266" s="628"/>
    </row>
    <row r="267" spans="1:20" x14ac:dyDescent="0.45">
      <c r="A267" s="628"/>
      <c r="B267" s="628"/>
      <c r="C267" s="628"/>
      <c r="D267" s="628"/>
      <c r="E267" s="628"/>
      <c r="F267" s="628"/>
      <c r="G267" s="628"/>
      <c r="H267" s="628"/>
      <c r="I267" s="628"/>
      <c r="J267" s="628"/>
      <c r="K267" s="628"/>
      <c r="L267" s="628"/>
      <c r="M267" s="628"/>
      <c r="N267" s="628"/>
      <c r="O267" s="628"/>
      <c r="P267" s="628"/>
      <c r="Q267" s="628"/>
      <c r="R267" s="628"/>
      <c r="S267" s="628"/>
      <c r="T267" s="628"/>
    </row>
    <row r="268" spans="1:20" x14ac:dyDescent="0.45">
      <c r="A268" s="628"/>
      <c r="B268" s="628"/>
      <c r="C268" s="628"/>
      <c r="D268" s="628"/>
      <c r="E268" s="628"/>
      <c r="F268" s="628"/>
      <c r="G268" s="628"/>
      <c r="H268" s="628"/>
      <c r="I268" s="628"/>
      <c r="J268" s="628"/>
      <c r="K268" s="628"/>
      <c r="L268" s="628"/>
      <c r="M268" s="628"/>
      <c r="N268" s="628"/>
      <c r="O268" s="628"/>
      <c r="P268" s="628"/>
      <c r="Q268" s="628"/>
      <c r="R268" s="628"/>
      <c r="S268" s="628"/>
      <c r="T268" s="628"/>
    </row>
    <row r="269" spans="1:20" x14ac:dyDescent="0.45">
      <c r="A269" s="628"/>
      <c r="B269" s="628"/>
      <c r="C269" s="628"/>
      <c r="D269" s="628"/>
      <c r="E269" s="628"/>
      <c r="F269" s="628"/>
      <c r="G269" s="628"/>
      <c r="H269" s="628"/>
      <c r="I269" s="628"/>
      <c r="J269" s="628"/>
      <c r="K269" s="628"/>
      <c r="L269" s="628"/>
      <c r="M269" s="628"/>
      <c r="N269" s="628"/>
      <c r="O269" s="628"/>
      <c r="P269" s="628"/>
      <c r="Q269" s="628"/>
      <c r="R269" s="628"/>
      <c r="S269" s="628"/>
      <c r="T269" s="628"/>
    </row>
    <row r="270" spans="1:20" x14ac:dyDescent="0.45">
      <c r="A270" s="628"/>
      <c r="B270" s="628"/>
      <c r="C270" s="628"/>
      <c r="D270" s="628"/>
      <c r="E270" s="628"/>
      <c r="F270" s="628"/>
      <c r="G270" s="628"/>
      <c r="H270" s="628"/>
      <c r="I270" s="628"/>
      <c r="J270" s="628"/>
      <c r="K270" s="628"/>
      <c r="L270" s="628"/>
      <c r="M270" s="628"/>
      <c r="N270" s="628"/>
      <c r="O270" s="628"/>
      <c r="P270" s="628"/>
      <c r="Q270" s="628"/>
      <c r="R270" s="628"/>
      <c r="S270" s="628"/>
      <c r="T270" s="628"/>
    </row>
    <row r="271" spans="1:20" x14ac:dyDescent="0.45">
      <c r="A271" s="628"/>
      <c r="B271" s="628"/>
      <c r="C271" s="628"/>
      <c r="D271" s="628"/>
      <c r="E271" s="628"/>
      <c r="F271" s="628"/>
      <c r="G271" s="628"/>
      <c r="H271" s="628"/>
      <c r="I271" s="628"/>
      <c r="J271" s="628"/>
      <c r="K271" s="628"/>
      <c r="L271" s="628"/>
      <c r="M271" s="628"/>
      <c r="N271" s="628"/>
      <c r="O271" s="628"/>
      <c r="P271" s="628"/>
      <c r="Q271" s="628"/>
      <c r="R271" s="628"/>
      <c r="S271" s="628"/>
      <c r="T271" s="628"/>
    </row>
    <row r="272" spans="1:20" x14ac:dyDescent="0.45">
      <c r="A272" s="628"/>
      <c r="B272" s="628"/>
      <c r="C272" s="628"/>
      <c r="D272" s="628"/>
      <c r="E272" s="628"/>
      <c r="F272" s="628"/>
      <c r="G272" s="628"/>
      <c r="H272" s="628"/>
      <c r="I272" s="628"/>
      <c r="J272" s="628"/>
      <c r="K272" s="628"/>
      <c r="L272" s="628"/>
      <c r="M272" s="628"/>
      <c r="N272" s="628"/>
      <c r="O272" s="628"/>
      <c r="P272" s="628"/>
      <c r="Q272" s="628"/>
      <c r="R272" s="628"/>
      <c r="S272" s="628"/>
      <c r="T272" s="628"/>
    </row>
    <row r="273" spans="1:20" x14ac:dyDescent="0.45">
      <c r="A273" s="628"/>
      <c r="B273" s="628"/>
      <c r="C273" s="628"/>
      <c r="D273" s="628"/>
      <c r="E273" s="628"/>
      <c r="F273" s="628"/>
      <c r="G273" s="628"/>
      <c r="H273" s="628"/>
      <c r="I273" s="628"/>
      <c r="J273" s="628"/>
      <c r="K273" s="628"/>
      <c r="L273" s="628"/>
      <c r="M273" s="628"/>
      <c r="N273" s="628"/>
      <c r="O273" s="628"/>
      <c r="P273" s="628"/>
      <c r="Q273" s="628"/>
      <c r="R273" s="628"/>
      <c r="S273" s="628"/>
      <c r="T273" s="628"/>
    </row>
    <row r="274" spans="1:20" x14ac:dyDescent="0.45">
      <c r="A274" s="628"/>
      <c r="B274" s="628"/>
      <c r="C274" s="628"/>
      <c r="D274" s="628"/>
      <c r="E274" s="628"/>
      <c r="F274" s="628"/>
      <c r="G274" s="628"/>
      <c r="H274" s="628"/>
      <c r="I274" s="628"/>
      <c r="J274" s="628"/>
      <c r="K274" s="628"/>
      <c r="L274" s="628"/>
      <c r="M274" s="628"/>
      <c r="N274" s="628"/>
      <c r="O274" s="628"/>
      <c r="P274" s="628"/>
      <c r="Q274" s="628"/>
      <c r="R274" s="628"/>
      <c r="S274" s="628"/>
      <c r="T274" s="628"/>
    </row>
    <row r="275" spans="1:20" x14ac:dyDescent="0.45">
      <c r="A275" s="628"/>
      <c r="B275" s="628"/>
      <c r="C275" s="628"/>
      <c r="D275" s="628"/>
      <c r="E275" s="628"/>
      <c r="F275" s="628"/>
      <c r="G275" s="628"/>
      <c r="H275" s="628"/>
      <c r="I275" s="628"/>
      <c r="J275" s="628"/>
      <c r="K275" s="628"/>
      <c r="L275" s="628"/>
      <c r="M275" s="628"/>
      <c r="N275" s="628"/>
      <c r="O275" s="628"/>
      <c r="P275" s="628"/>
      <c r="Q275" s="628"/>
      <c r="R275" s="628"/>
      <c r="S275" s="628"/>
      <c r="T275" s="628"/>
    </row>
    <row r="276" spans="1:20" x14ac:dyDescent="0.45">
      <c r="A276" s="628"/>
      <c r="B276" s="628"/>
      <c r="C276" s="628"/>
      <c r="D276" s="628"/>
      <c r="E276" s="628"/>
      <c r="F276" s="628"/>
      <c r="G276" s="628"/>
      <c r="H276" s="628"/>
      <c r="I276" s="628"/>
      <c r="J276" s="628"/>
      <c r="K276" s="628"/>
      <c r="L276" s="628"/>
      <c r="M276" s="628"/>
      <c r="N276" s="628"/>
      <c r="O276" s="628"/>
      <c r="P276" s="628"/>
      <c r="Q276" s="628"/>
      <c r="R276" s="628"/>
      <c r="S276" s="628"/>
      <c r="T276" s="628"/>
    </row>
    <row r="277" spans="1:20" x14ac:dyDescent="0.45">
      <c r="A277" s="628"/>
      <c r="B277" s="628"/>
      <c r="C277" s="628"/>
      <c r="D277" s="628"/>
      <c r="E277" s="628"/>
      <c r="F277" s="628"/>
      <c r="G277" s="628"/>
      <c r="H277" s="628"/>
      <c r="I277" s="628"/>
      <c r="J277" s="628"/>
      <c r="K277" s="628"/>
      <c r="L277" s="628"/>
      <c r="M277" s="628"/>
      <c r="N277" s="628"/>
      <c r="O277" s="628"/>
      <c r="P277" s="628"/>
      <c r="Q277" s="628"/>
      <c r="R277" s="628"/>
      <c r="S277" s="628"/>
      <c r="T277" s="628"/>
    </row>
    <row r="278" spans="1:20" x14ac:dyDescent="0.45">
      <c r="A278" s="628"/>
      <c r="B278" s="628"/>
      <c r="C278" s="628"/>
      <c r="D278" s="628"/>
      <c r="E278" s="628"/>
      <c r="F278" s="628"/>
      <c r="G278" s="628"/>
      <c r="H278" s="628"/>
      <c r="I278" s="628"/>
      <c r="J278" s="628"/>
      <c r="K278" s="628"/>
      <c r="L278" s="628"/>
      <c r="M278" s="628"/>
      <c r="N278" s="628"/>
      <c r="O278" s="628"/>
      <c r="P278" s="628"/>
      <c r="Q278" s="628"/>
      <c r="R278" s="628"/>
      <c r="S278" s="628"/>
      <c r="T278" s="628"/>
    </row>
    <row r="279" spans="1:20" x14ac:dyDescent="0.45">
      <c r="A279" s="628"/>
      <c r="B279" s="628"/>
      <c r="C279" s="628"/>
      <c r="D279" s="628"/>
      <c r="E279" s="628"/>
      <c r="F279" s="628"/>
      <c r="G279" s="628"/>
      <c r="H279" s="628"/>
      <c r="I279" s="628"/>
      <c r="J279" s="628"/>
      <c r="K279" s="628"/>
      <c r="L279" s="628"/>
      <c r="M279" s="628"/>
      <c r="N279" s="628"/>
      <c r="O279" s="628"/>
      <c r="P279" s="628"/>
      <c r="Q279" s="628"/>
      <c r="R279" s="628"/>
      <c r="S279" s="628"/>
      <c r="T279" s="628"/>
    </row>
    <row r="280" spans="1:20" x14ac:dyDescent="0.45">
      <c r="A280" s="628"/>
      <c r="B280" s="628"/>
      <c r="C280" s="628"/>
      <c r="D280" s="628"/>
      <c r="E280" s="628"/>
      <c r="F280" s="628"/>
      <c r="G280" s="628"/>
      <c r="H280" s="628"/>
      <c r="I280" s="628"/>
      <c r="J280" s="628"/>
      <c r="K280" s="628"/>
      <c r="L280" s="628"/>
      <c r="M280" s="628"/>
      <c r="N280" s="628"/>
      <c r="O280" s="628"/>
      <c r="P280" s="628"/>
      <c r="Q280" s="628"/>
      <c r="R280" s="628"/>
      <c r="S280" s="628"/>
      <c r="T280" s="628"/>
    </row>
    <row r="281" spans="1:20" x14ac:dyDescent="0.45">
      <c r="A281" s="628"/>
      <c r="B281" s="628"/>
      <c r="C281" s="628"/>
      <c r="D281" s="628"/>
      <c r="E281" s="628"/>
      <c r="F281" s="628"/>
      <c r="G281" s="628"/>
      <c r="H281" s="628"/>
      <c r="I281" s="628"/>
      <c r="J281" s="628"/>
      <c r="K281" s="628"/>
      <c r="L281" s="628"/>
      <c r="M281" s="628"/>
      <c r="N281" s="628"/>
      <c r="O281" s="628"/>
      <c r="P281" s="628"/>
      <c r="Q281" s="628"/>
      <c r="R281" s="628"/>
      <c r="S281" s="628"/>
      <c r="T281" s="628"/>
    </row>
    <row r="282" spans="1:20" x14ac:dyDescent="0.45">
      <c r="A282" s="628"/>
      <c r="B282" s="628"/>
      <c r="C282" s="628"/>
      <c r="D282" s="628"/>
      <c r="E282" s="628"/>
      <c r="F282" s="628"/>
      <c r="G282" s="628"/>
      <c r="H282" s="628"/>
      <c r="I282" s="628"/>
      <c r="J282" s="628"/>
      <c r="K282" s="628"/>
      <c r="L282" s="628"/>
      <c r="M282" s="628"/>
      <c r="N282" s="628"/>
      <c r="O282" s="628"/>
      <c r="P282" s="628"/>
      <c r="Q282" s="628"/>
      <c r="R282" s="628"/>
      <c r="S282" s="628"/>
      <c r="T282" s="628"/>
    </row>
    <row r="283" spans="1:20" x14ac:dyDescent="0.45">
      <c r="A283" s="628"/>
      <c r="B283" s="628"/>
      <c r="C283" s="628"/>
      <c r="D283" s="628"/>
      <c r="E283" s="628"/>
      <c r="F283" s="628"/>
      <c r="G283" s="628"/>
      <c r="H283" s="628"/>
      <c r="I283" s="628"/>
      <c r="J283" s="628"/>
      <c r="K283" s="628"/>
      <c r="L283" s="628"/>
      <c r="M283" s="628"/>
      <c r="N283" s="628"/>
      <c r="O283" s="628"/>
      <c r="P283" s="628"/>
      <c r="Q283" s="628"/>
      <c r="R283" s="628"/>
      <c r="S283" s="628"/>
      <c r="T283" s="628"/>
    </row>
    <row r="284" spans="1:20" x14ac:dyDescent="0.45">
      <c r="A284" s="628"/>
      <c r="B284" s="628"/>
      <c r="C284" s="628"/>
      <c r="D284" s="628"/>
      <c r="E284" s="628"/>
      <c r="F284" s="628"/>
      <c r="G284" s="628"/>
      <c r="H284" s="628"/>
      <c r="I284" s="628"/>
      <c r="J284" s="628"/>
      <c r="K284" s="628"/>
      <c r="L284" s="628"/>
      <c r="M284" s="628"/>
      <c r="N284" s="628"/>
      <c r="O284" s="628"/>
      <c r="P284" s="628"/>
      <c r="Q284" s="628"/>
      <c r="R284" s="628"/>
      <c r="S284" s="628"/>
      <c r="T284" s="628"/>
    </row>
    <row r="285" spans="1:20" x14ac:dyDescent="0.45">
      <c r="A285" s="628"/>
      <c r="B285" s="628"/>
      <c r="C285" s="628"/>
      <c r="D285" s="628"/>
      <c r="E285" s="628"/>
      <c r="F285" s="628"/>
      <c r="G285" s="628"/>
      <c r="H285" s="628"/>
      <c r="I285" s="628"/>
      <c r="J285" s="628"/>
      <c r="K285" s="628"/>
      <c r="L285" s="628"/>
      <c r="M285" s="628"/>
      <c r="N285" s="628"/>
      <c r="O285" s="628"/>
      <c r="P285" s="628"/>
      <c r="Q285" s="628"/>
      <c r="R285" s="628"/>
      <c r="S285" s="628"/>
      <c r="T285" s="628"/>
    </row>
    <row r="286" spans="1:20" x14ac:dyDescent="0.45">
      <c r="A286" s="628"/>
      <c r="B286" s="628"/>
      <c r="C286" s="628"/>
      <c r="D286" s="628"/>
      <c r="E286" s="628"/>
      <c r="F286" s="628"/>
      <c r="G286" s="628"/>
      <c r="H286" s="628"/>
      <c r="I286" s="628"/>
      <c r="J286" s="628"/>
      <c r="K286" s="628"/>
      <c r="L286" s="628"/>
      <c r="M286" s="628"/>
      <c r="N286" s="628"/>
      <c r="O286" s="628"/>
      <c r="P286" s="628"/>
      <c r="Q286" s="628"/>
      <c r="R286" s="628"/>
      <c r="S286" s="628"/>
      <c r="T286" s="628"/>
    </row>
    <row r="287" spans="1:20" x14ac:dyDescent="0.45">
      <c r="A287" s="628"/>
      <c r="B287" s="628"/>
      <c r="C287" s="628"/>
      <c r="D287" s="628"/>
      <c r="E287" s="628"/>
      <c r="F287" s="628"/>
      <c r="G287" s="628"/>
      <c r="H287" s="628"/>
      <c r="I287" s="628"/>
      <c r="J287" s="628"/>
      <c r="K287" s="628"/>
      <c r="L287" s="628"/>
      <c r="M287" s="628"/>
      <c r="N287" s="628"/>
      <c r="O287" s="628"/>
      <c r="P287" s="628"/>
      <c r="Q287" s="628"/>
      <c r="R287" s="628"/>
      <c r="S287" s="628"/>
      <c r="T287" s="628"/>
    </row>
    <row r="288" spans="1:20" x14ac:dyDescent="0.45">
      <c r="A288" s="628"/>
      <c r="B288" s="628"/>
      <c r="C288" s="628"/>
      <c r="D288" s="628"/>
      <c r="E288" s="628"/>
      <c r="F288" s="628"/>
      <c r="G288" s="628"/>
      <c r="H288" s="628"/>
      <c r="I288" s="628"/>
      <c r="J288" s="628"/>
      <c r="K288" s="628"/>
      <c r="L288" s="628"/>
      <c r="M288" s="628"/>
      <c r="N288" s="628"/>
      <c r="O288" s="628"/>
      <c r="P288" s="628"/>
      <c r="Q288" s="628"/>
      <c r="R288" s="628"/>
      <c r="S288" s="628"/>
      <c r="T288" s="628"/>
    </row>
    <row r="289" spans="1:20" x14ac:dyDescent="0.45">
      <c r="A289" s="628"/>
      <c r="B289" s="628"/>
      <c r="C289" s="628"/>
      <c r="D289" s="628"/>
      <c r="E289" s="628"/>
      <c r="F289" s="628"/>
      <c r="G289" s="628"/>
      <c r="H289" s="628"/>
      <c r="I289" s="628"/>
      <c r="J289" s="628"/>
      <c r="K289" s="628"/>
      <c r="L289" s="628"/>
      <c r="M289" s="628"/>
      <c r="N289" s="628"/>
      <c r="O289" s="628"/>
      <c r="P289" s="628"/>
      <c r="Q289" s="628"/>
      <c r="R289" s="628"/>
      <c r="S289" s="628"/>
      <c r="T289" s="628"/>
    </row>
    <row r="290" spans="1:20" x14ac:dyDescent="0.45">
      <c r="A290" s="628"/>
      <c r="B290" s="628"/>
      <c r="C290" s="628"/>
      <c r="D290" s="628"/>
      <c r="E290" s="628"/>
      <c r="F290" s="628"/>
      <c r="G290" s="628"/>
      <c r="H290" s="628"/>
      <c r="I290" s="628"/>
      <c r="J290" s="628"/>
      <c r="K290" s="628"/>
      <c r="L290" s="628"/>
      <c r="M290" s="628"/>
      <c r="N290" s="628"/>
      <c r="O290" s="628"/>
      <c r="P290" s="628"/>
      <c r="Q290" s="628"/>
      <c r="R290" s="628"/>
      <c r="S290" s="628"/>
      <c r="T290" s="628"/>
    </row>
    <row r="291" spans="1:20" x14ac:dyDescent="0.45">
      <c r="A291" s="628"/>
      <c r="B291" s="628"/>
      <c r="C291" s="628"/>
      <c r="D291" s="628"/>
      <c r="E291" s="628"/>
      <c r="F291" s="628"/>
      <c r="G291" s="628"/>
      <c r="H291" s="628"/>
      <c r="I291" s="628"/>
      <c r="J291" s="628"/>
      <c r="K291" s="628"/>
      <c r="L291" s="628"/>
      <c r="M291" s="628"/>
      <c r="N291" s="628"/>
      <c r="O291" s="628"/>
      <c r="P291" s="628"/>
      <c r="Q291" s="628"/>
      <c r="R291" s="628"/>
      <c r="S291" s="628"/>
      <c r="T291" s="628"/>
    </row>
    <row r="292" spans="1:20" x14ac:dyDescent="0.45">
      <c r="A292" s="628"/>
      <c r="B292" s="628"/>
      <c r="C292" s="628"/>
      <c r="D292" s="628"/>
      <c r="E292" s="628"/>
      <c r="F292" s="628"/>
      <c r="G292" s="628"/>
      <c r="H292" s="628"/>
      <c r="I292" s="628"/>
      <c r="J292" s="628"/>
      <c r="K292" s="628"/>
      <c r="L292" s="628"/>
      <c r="M292" s="628"/>
      <c r="N292" s="628"/>
      <c r="O292" s="628"/>
      <c r="P292" s="628"/>
      <c r="Q292" s="628"/>
      <c r="R292" s="628"/>
      <c r="S292" s="628"/>
      <c r="T292" s="628"/>
    </row>
    <row r="293" spans="1:20" x14ac:dyDescent="0.45">
      <c r="A293" s="628"/>
      <c r="B293" s="628"/>
      <c r="C293" s="628"/>
      <c r="D293" s="628"/>
      <c r="E293" s="628"/>
      <c r="F293" s="628"/>
      <c r="G293" s="628"/>
      <c r="H293" s="628"/>
      <c r="I293" s="628"/>
      <c r="J293" s="628"/>
      <c r="K293" s="628"/>
      <c r="L293" s="628"/>
      <c r="M293" s="628"/>
      <c r="N293" s="628"/>
      <c r="O293" s="628"/>
      <c r="P293" s="628"/>
      <c r="Q293" s="628"/>
      <c r="R293" s="628"/>
      <c r="S293" s="628"/>
      <c r="T293" s="628"/>
    </row>
    <row r="294" spans="1:20" x14ac:dyDescent="0.45">
      <c r="A294" s="628"/>
      <c r="B294" s="628"/>
      <c r="C294" s="628"/>
      <c r="D294" s="628"/>
      <c r="E294" s="628"/>
      <c r="F294" s="628"/>
      <c r="G294" s="628"/>
      <c r="H294" s="628"/>
      <c r="I294" s="628"/>
      <c r="J294" s="628"/>
      <c r="K294" s="628"/>
      <c r="L294" s="628"/>
      <c r="M294" s="628"/>
      <c r="N294" s="628"/>
      <c r="O294" s="628"/>
      <c r="P294" s="628"/>
      <c r="Q294" s="628"/>
      <c r="R294" s="628"/>
      <c r="S294" s="628"/>
      <c r="T294" s="628"/>
    </row>
    <row r="295" spans="1:20" x14ac:dyDescent="0.45">
      <c r="A295" s="628"/>
      <c r="B295" s="628"/>
      <c r="C295" s="628"/>
      <c r="D295" s="628"/>
      <c r="E295" s="628"/>
      <c r="F295" s="628"/>
      <c r="G295" s="628"/>
      <c r="H295" s="628"/>
      <c r="I295" s="628"/>
      <c r="J295" s="628"/>
      <c r="K295" s="628"/>
      <c r="L295" s="628"/>
      <c r="M295" s="628"/>
      <c r="N295" s="628"/>
      <c r="O295" s="628"/>
      <c r="P295" s="628"/>
      <c r="Q295" s="628"/>
      <c r="R295" s="628"/>
      <c r="S295" s="628"/>
      <c r="T295" s="628"/>
    </row>
    <row r="296" spans="1:20" x14ac:dyDescent="0.45">
      <c r="A296" s="628"/>
      <c r="B296" s="628"/>
      <c r="C296" s="628"/>
      <c r="D296" s="628"/>
      <c r="E296" s="628"/>
      <c r="F296" s="628"/>
      <c r="G296" s="628"/>
      <c r="H296" s="628"/>
      <c r="I296" s="628"/>
      <c r="J296" s="628"/>
      <c r="K296" s="628"/>
      <c r="L296" s="628"/>
      <c r="M296" s="628"/>
      <c r="N296" s="628"/>
      <c r="O296" s="628"/>
      <c r="P296" s="628"/>
      <c r="Q296" s="628"/>
      <c r="R296" s="628"/>
      <c r="S296" s="628"/>
      <c r="T296" s="628"/>
    </row>
    <row r="297" spans="1:20" x14ac:dyDescent="0.45">
      <c r="A297" s="628"/>
      <c r="B297" s="628"/>
      <c r="C297" s="628"/>
      <c r="D297" s="628"/>
      <c r="E297" s="628"/>
      <c r="F297" s="628"/>
      <c r="G297" s="628"/>
      <c r="H297" s="628"/>
      <c r="I297" s="628"/>
      <c r="J297" s="628"/>
      <c r="K297" s="628"/>
      <c r="L297" s="628"/>
      <c r="M297" s="628"/>
      <c r="N297" s="628"/>
      <c r="O297" s="628"/>
      <c r="P297" s="628"/>
      <c r="Q297" s="628"/>
      <c r="R297" s="628"/>
      <c r="S297" s="628"/>
      <c r="T297" s="628"/>
    </row>
    <row r="298" spans="1:20" x14ac:dyDescent="0.45">
      <c r="A298" s="628"/>
      <c r="B298" s="628"/>
      <c r="C298" s="628"/>
      <c r="D298" s="628"/>
      <c r="E298" s="628"/>
      <c r="F298" s="628"/>
      <c r="G298" s="628"/>
      <c r="H298" s="628"/>
      <c r="I298" s="628"/>
      <c r="J298" s="628"/>
      <c r="K298" s="628"/>
      <c r="L298" s="628"/>
      <c r="M298" s="628"/>
      <c r="N298" s="628"/>
      <c r="O298" s="628"/>
      <c r="P298" s="628"/>
      <c r="Q298" s="628"/>
      <c r="R298" s="628"/>
      <c r="S298" s="628"/>
      <c r="T298" s="628"/>
    </row>
    <row r="299" spans="1:20" x14ac:dyDescent="0.45">
      <c r="A299" s="628"/>
      <c r="B299" s="628"/>
      <c r="C299" s="628"/>
      <c r="D299" s="628"/>
      <c r="E299" s="628"/>
      <c r="F299" s="628"/>
      <c r="G299" s="628"/>
      <c r="H299" s="628"/>
      <c r="I299" s="628"/>
      <c r="J299" s="628"/>
      <c r="K299" s="628"/>
      <c r="L299" s="628"/>
      <c r="M299" s="628"/>
      <c r="N299" s="628"/>
      <c r="O299" s="628"/>
      <c r="P299" s="628"/>
      <c r="Q299" s="628"/>
      <c r="R299" s="628"/>
      <c r="S299" s="628"/>
      <c r="T299" s="628"/>
    </row>
    <row r="300" spans="1:20" x14ac:dyDescent="0.45">
      <c r="A300" s="628"/>
      <c r="B300" s="628"/>
      <c r="C300" s="628"/>
      <c r="D300" s="628"/>
      <c r="E300" s="628"/>
      <c r="F300" s="628"/>
      <c r="G300" s="628"/>
      <c r="H300" s="628"/>
      <c r="I300" s="628"/>
      <c r="J300" s="628"/>
      <c r="K300" s="628"/>
      <c r="L300" s="628"/>
      <c r="M300" s="628"/>
      <c r="N300" s="628"/>
      <c r="O300" s="628"/>
      <c r="P300" s="628"/>
      <c r="Q300" s="628"/>
      <c r="R300" s="628"/>
      <c r="S300" s="628"/>
      <c r="T300" s="628"/>
    </row>
    <row r="301" spans="1:20" x14ac:dyDescent="0.45">
      <c r="A301" s="628"/>
      <c r="B301" s="628"/>
      <c r="C301" s="628"/>
      <c r="D301" s="628"/>
      <c r="E301" s="628"/>
      <c r="F301" s="628"/>
      <c r="G301" s="628"/>
      <c r="H301" s="628"/>
      <c r="I301" s="628"/>
      <c r="J301" s="628"/>
      <c r="K301" s="628"/>
      <c r="L301" s="628"/>
      <c r="M301" s="628"/>
      <c r="N301" s="628"/>
      <c r="O301" s="628"/>
      <c r="P301" s="628"/>
      <c r="Q301" s="628"/>
      <c r="R301" s="628"/>
      <c r="S301" s="628"/>
      <c r="T301" s="628"/>
    </row>
    <row r="302" spans="1:20" x14ac:dyDescent="0.45">
      <c r="A302" s="628"/>
      <c r="B302" s="628"/>
      <c r="C302" s="628"/>
      <c r="D302" s="628"/>
      <c r="E302" s="628"/>
      <c r="F302" s="628"/>
      <c r="G302" s="628"/>
      <c r="H302" s="628"/>
      <c r="I302" s="628"/>
      <c r="J302" s="628"/>
      <c r="K302" s="628"/>
      <c r="L302" s="628"/>
      <c r="M302" s="628"/>
      <c r="N302" s="628"/>
      <c r="O302" s="628"/>
      <c r="P302" s="628"/>
      <c r="Q302" s="628"/>
      <c r="R302" s="628"/>
      <c r="S302" s="628"/>
      <c r="T302" s="628"/>
    </row>
    <row r="303" spans="1:20" x14ac:dyDescent="0.45">
      <c r="A303" s="628"/>
      <c r="B303" s="628"/>
      <c r="C303" s="628"/>
      <c r="D303" s="628"/>
      <c r="E303" s="628"/>
      <c r="F303" s="628"/>
      <c r="G303" s="628"/>
      <c r="H303" s="628"/>
      <c r="I303" s="628"/>
      <c r="J303" s="628"/>
      <c r="K303" s="628"/>
      <c r="L303" s="628"/>
      <c r="M303" s="628"/>
      <c r="N303" s="628"/>
      <c r="O303" s="628"/>
      <c r="P303" s="628"/>
      <c r="Q303" s="628"/>
      <c r="R303" s="628"/>
      <c r="S303" s="628"/>
      <c r="T303" s="628"/>
    </row>
    <row r="304" spans="1:20" x14ac:dyDescent="0.45">
      <c r="A304" s="628"/>
      <c r="B304" s="628"/>
      <c r="C304" s="628"/>
      <c r="D304" s="628"/>
      <c r="E304" s="628"/>
      <c r="F304" s="628"/>
      <c r="G304" s="628"/>
      <c r="H304" s="628"/>
      <c r="I304" s="628"/>
      <c r="J304" s="628"/>
      <c r="K304" s="628"/>
      <c r="L304" s="628"/>
      <c r="M304" s="628"/>
      <c r="N304" s="628"/>
      <c r="O304" s="628"/>
      <c r="P304" s="628"/>
      <c r="Q304" s="628"/>
      <c r="R304" s="628"/>
      <c r="S304" s="628"/>
      <c r="T304" s="628"/>
    </row>
    <row r="305" spans="1:20" x14ac:dyDescent="0.45">
      <c r="A305" s="628"/>
      <c r="B305" s="628"/>
      <c r="C305" s="628"/>
      <c r="D305" s="628"/>
      <c r="E305" s="628"/>
      <c r="F305" s="628"/>
      <c r="G305" s="628"/>
      <c r="H305" s="628"/>
      <c r="I305" s="628"/>
      <c r="J305" s="628"/>
      <c r="K305" s="628"/>
      <c r="L305" s="628"/>
      <c r="M305" s="628"/>
      <c r="N305" s="628"/>
      <c r="O305" s="628"/>
      <c r="P305" s="628"/>
      <c r="Q305" s="628"/>
      <c r="R305" s="628"/>
      <c r="S305" s="628"/>
      <c r="T305" s="628"/>
    </row>
    <row r="306" spans="1:20" x14ac:dyDescent="0.45">
      <c r="A306" s="628"/>
      <c r="B306" s="628"/>
      <c r="C306" s="628"/>
      <c r="D306" s="628"/>
      <c r="E306" s="628"/>
      <c r="F306" s="628"/>
      <c r="G306" s="628"/>
      <c r="H306" s="628"/>
      <c r="I306" s="628"/>
      <c r="J306" s="628"/>
      <c r="K306" s="628"/>
      <c r="L306" s="628"/>
      <c r="M306" s="628"/>
      <c r="N306" s="628"/>
      <c r="O306" s="628"/>
      <c r="P306" s="628"/>
      <c r="Q306" s="628"/>
      <c r="R306" s="628"/>
      <c r="S306" s="628"/>
      <c r="T306" s="628"/>
    </row>
    <row r="307" spans="1:20" x14ac:dyDescent="0.45">
      <c r="A307" s="628"/>
      <c r="B307" s="628"/>
      <c r="C307" s="628"/>
      <c r="D307" s="628"/>
      <c r="E307" s="628"/>
      <c r="F307" s="628"/>
      <c r="G307" s="628"/>
      <c r="H307" s="628"/>
      <c r="I307" s="628"/>
      <c r="J307" s="628"/>
      <c r="K307" s="628"/>
      <c r="L307" s="628"/>
      <c r="M307" s="628"/>
      <c r="N307" s="628"/>
      <c r="O307" s="628"/>
      <c r="P307" s="628"/>
      <c r="Q307" s="628"/>
      <c r="R307" s="628"/>
      <c r="S307" s="628"/>
      <c r="T307" s="628"/>
    </row>
    <row r="308" spans="1:20" x14ac:dyDescent="0.45">
      <c r="A308" s="628"/>
      <c r="B308" s="628"/>
      <c r="C308" s="628"/>
      <c r="D308" s="628"/>
      <c r="E308" s="628"/>
      <c r="F308" s="628"/>
      <c r="G308" s="628"/>
      <c r="H308" s="628"/>
      <c r="I308" s="628"/>
      <c r="J308" s="628"/>
      <c r="K308" s="628"/>
      <c r="L308" s="628"/>
      <c r="M308" s="628"/>
      <c r="N308" s="628"/>
      <c r="O308" s="628"/>
      <c r="P308" s="628"/>
      <c r="Q308" s="628"/>
      <c r="R308" s="628"/>
      <c r="S308" s="628"/>
      <c r="T308" s="628"/>
    </row>
    <row r="309" spans="1:20" x14ac:dyDescent="0.45">
      <c r="A309" s="628"/>
      <c r="B309" s="628"/>
      <c r="C309" s="628"/>
      <c r="D309" s="628"/>
      <c r="E309" s="628"/>
      <c r="F309" s="628"/>
      <c r="G309" s="628"/>
      <c r="H309" s="628"/>
      <c r="I309" s="628"/>
      <c r="J309" s="628"/>
      <c r="K309" s="628"/>
      <c r="L309" s="628"/>
      <c r="M309" s="628"/>
      <c r="N309" s="628"/>
      <c r="O309" s="628"/>
      <c r="P309" s="628"/>
      <c r="Q309" s="628"/>
      <c r="R309" s="628"/>
      <c r="S309" s="628"/>
      <c r="T309" s="628"/>
    </row>
    <row r="310" spans="1:20" x14ac:dyDescent="0.45">
      <c r="A310" s="628"/>
      <c r="B310" s="628"/>
      <c r="C310" s="628"/>
      <c r="D310" s="628"/>
      <c r="E310" s="628"/>
      <c r="F310" s="628"/>
      <c r="G310" s="628"/>
      <c r="H310" s="628"/>
      <c r="I310" s="628"/>
      <c r="J310" s="628"/>
      <c r="K310" s="628"/>
      <c r="L310" s="628"/>
      <c r="M310" s="628"/>
      <c r="N310" s="628"/>
      <c r="O310" s="628"/>
      <c r="P310" s="628"/>
      <c r="Q310" s="628"/>
      <c r="R310" s="628"/>
      <c r="S310" s="628"/>
      <c r="T310" s="628"/>
    </row>
    <row r="311" spans="1:20" x14ac:dyDescent="0.45">
      <c r="A311" s="628"/>
      <c r="B311" s="628"/>
      <c r="C311" s="628"/>
      <c r="D311" s="628"/>
      <c r="E311" s="628"/>
      <c r="F311" s="628"/>
      <c r="G311" s="628"/>
      <c r="H311" s="628"/>
      <c r="I311" s="628"/>
      <c r="J311" s="628"/>
      <c r="K311" s="628"/>
      <c r="L311" s="628"/>
      <c r="M311" s="628"/>
      <c r="N311" s="628"/>
      <c r="O311" s="628"/>
      <c r="P311" s="628"/>
      <c r="Q311" s="628"/>
      <c r="R311" s="628"/>
      <c r="S311" s="628"/>
      <c r="T311" s="628"/>
    </row>
    <row r="312" spans="1:20" x14ac:dyDescent="0.45">
      <c r="A312" s="628"/>
      <c r="B312" s="628"/>
      <c r="C312" s="628"/>
      <c r="D312" s="628"/>
      <c r="E312" s="628"/>
      <c r="F312" s="628"/>
      <c r="G312" s="628"/>
      <c r="H312" s="628"/>
      <c r="I312" s="628"/>
      <c r="J312" s="628"/>
      <c r="K312" s="628"/>
      <c r="L312" s="628"/>
      <c r="M312" s="628"/>
      <c r="N312" s="628"/>
      <c r="O312" s="628"/>
      <c r="P312" s="628"/>
      <c r="Q312" s="628"/>
      <c r="R312" s="628"/>
      <c r="S312" s="628"/>
      <c r="T312" s="628"/>
    </row>
    <row r="313" spans="1:20" x14ac:dyDescent="0.45">
      <c r="A313" s="628"/>
      <c r="B313" s="628"/>
      <c r="C313" s="628"/>
      <c r="D313" s="628"/>
      <c r="E313" s="628"/>
      <c r="F313" s="628"/>
      <c r="G313" s="628"/>
      <c r="H313" s="628"/>
      <c r="I313" s="628"/>
      <c r="J313" s="628"/>
      <c r="K313" s="628"/>
      <c r="L313" s="628"/>
      <c r="M313" s="628"/>
      <c r="N313" s="628"/>
      <c r="O313" s="628"/>
      <c r="P313" s="628"/>
      <c r="Q313" s="628"/>
      <c r="R313" s="628"/>
      <c r="S313" s="628"/>
      <c r="T313" s="628"/>
    </row>
    <row r="314" spans="1:20" x14ac:dyDescent="0.45">
      <c r="A314" s="628"/>
      <c r="B314" s="628"/>
      <c r="C314" s="628"/>
      <c r="D314" s="628"/>
      <c r="E314" s="628"/>
      <c r="F314" s="628"/>
      <c r="G314" s="628"/>
      <c r="H314" s="628"/>
      <c r="I314" s="628"/>
      <c r="J314" s="628"/>
      <c r="K314" s="628"/>
      <c r="L314" s="628"/>
      <c r="M314" s="628"/>
      <c r="N314" s="628"/>
      <c r="O314" s="628"/>
      <c r="P314" s="628"/>
      <c r="Q314" s="628"/>
      <c r="R314" s="628"/>
      <c r="S314" s="628"/>
      <c r="T314" s="628"/>
    </row>
    <row r="315" spans="1:20" x14ac:dyDescent="0.45">
      <c r="A315" s="628"/>
      <c r="B315" s="628"/>
      <c r="C315" s="628"/>
      <c r="D315" s="628"/>
      <c r="E315" s="628"/>
      <c r="F315" s="628"/>
      <c r="G315" s="628"/>
      <c r="H315" s="628"/>
      <c r="I315" s="628"/>
      <c r="J315" s="628"/>
      <c r="K315" s="628"/>
      <c r="L315" s="628"/>
      <c r="M315" s="628"/>
      <c r="N315" s="628"/>
      <c r="O315" s="628"/>
      <c r="P315" s="628"/>
      <c r="Q315" s="628"/>
      <c r="R315" s="628"/>
      <c r="S315" s="628"/>
      <c r="T315" s="628"/>
    </row>
    <row r="316" spans="1:20" x14ac:dyDescent="0.45">
      <c r="A316" s="628"/>
      <c r="B316" s="628"/>
      <c r="C316" s="628"/>
      <c r="D316" s="628"/>
      <c r="E316" s="628"/>
      <c r="F316" s="628"/>
      <c r="G316" s="628"/>
      <c r="H316" s="628"/>
      <c r="I316" s="628"/>
      <c r="J316" s="628"/>
      <c r="K316" s="628"/>
      <c r="L316" s="628"/>
      <c r="M316" s="628"/>
      <c r="N316" s="628"/>
      <c r="O316" s="628"/>
      <c r="P316" s="628"/>
      <c r="Q316" s="628"/>
      <c r="R316" s="628"/>
      <c r="S316" s="628"/>
      <c r="T316" s="628"/>
    </row>
    <row r="317" spans="1:20" x14ac:dyDescent="0.45">
      <c r="A317" s="628"/>
      <c r="B317" s="628"/>
      <c r="C317" s="628"/>
      <c r="D317" s="628"/>
      <c r="E317" s="628"/>
      <c r="F317" s="628"/>
      <c r="G317" s="628"/>
      <c r="H317" s="628"/>
      <c r="I317" s="628"/>
      <c r="J317" s="628"/>
      <c r="K317" s="628"/>
      <c r="L317" s="628"/>
      <c r="M317" s="628"/>
      <c r="N317" s="628"/>
      <c r="O317" s="628"/>
      <c r="P317" s="628"/>
      <c r="Q317" s="628"/>
      <c r="R317" s="628"/>
      <c r="S317" s="628"/>
      <c r="T317" s="628"/>
    </row>
    <row r="318" spans="1:20" x14ac:dyDescent="0.45">
      <c r="A318" s="628"/>
      <c r="B318" s="628"/>
      <c r="C318" s="628"/>
      <c r="D318" s="628"/>
      <c r="E318" s="628"/>
      <c r="F318" s="628"/>
      <c r="G318" s="628"/>
      <c r="H318" s="628"/>
      <c r="I318" s="628"/>
      <c r="J318" s="628"/>
      <c r="K318" s="628"/>
      <c r="L318" s="628"/>
      <c r="M318" s="628"/>
      <c r="N318" s="628"/>
      <c r="O318" s="628"/>
      <c r="P318" s="628"/>
      <c r="Q318" s="628"/>
      <c r="R318" s="628"/>
      <c r="S318" s="628"/>
      <c r="T318" s="628"/>
    </row>
    <row r="319" spans="1:20" x14ac:dyDescent="0.45">
      <c r="A319" s="628"/>
      <c r="B319" s="628"/>
      <c r="C319" s="628"/>
      <c r="D319" s="628"/>
      <c r="E319" s="628"/>
      <c r="F319" s="628"/>
      <c r="G319" s="628"/>
      <c r="H319" s="628"/>
      <c r="I319" s="628"/>
      <c r="J319" s="628"/>
      <c r="K319" s="628"/>
      <c r="L319" s="628"/>
      <c r="M319" s="628"/>
      <c r="N319" s="628"/>
      <c r="O319" s="628"/>
      <c r="P319" s="628"/>
      <c r="Q319" s="628"/>
      <c r="R319" s="628"/>
      <c r="S319" s="628"/>
      <c r="T319" s="628"/>
    </row>
    <row r="320" spans="1:20" x14ac:dyDescent="0.45">
      <c r="A320" s="628"/>
      <c r="B320" s="628"/>
      <c r="C320" s="628"/>
      <c r="D320" s="628"/>
      <c r="E320" s="628"/>
      <c r="F320" s="628"/>
      <c r="G320" s="628"/>
      <c r="H320" s="628"/>
      <c r="I320" s="628"/>
      <c r="J320" s="628"/>
      <c r="K320" s="628"/>
      <c r="L320" s="628"/>
      <c r="M320" s="628"/>
      <c r="N320" s="628"/>
      <c r="O320" s="628"/>
      <c r="P320" s="628"/>
      <c r="Q320" s="628"/>
      <c r="R320" s="628"/>
      <c r="S320" s="628"/>
      <c r="T320" s="628"/>
    </row>
    <row r="321" spans="1:20" x14ac:dyDescent="0.45">
      <c r="A321" s="628"/>
      <c r="B321" s="628"/>
      <c r="C321" s="628"/>
      <c r="D321" s="628"/>
      <c r="E321" s="628"/>
      <c r="F321" s="628"/>
      <c r="G321" s="628"/>
      <c r="H321" s="628"/>
      <c r="I321" s="628"/>
      <c r="J321" s="628"/>
      <c r="K321" s="628"/>
      <c r="L321" s="628"/>
      <c r="M321" s="628"/>
      <c r="N321" s="628"/>
      <c r="O321" s="628"/>
      <c r="P321" s="628"/>
      <c r="Q321" s="628"/>
      <c r="R321" s="628"/>
      <c r="S321" s="628"/>
      <c r="T321" s="628"/>
    </row>
    <row r="322" spans="1:20" x14ac:dyDescent="0.45">
      <c r="A322" s="628"/>
      <c r="B322" s="628"/>
      <c r="C322" s="628"/>
      <c r="D322" s="628"/>
      <c r="E322" s="628"/>
      <c r="F322" s="628"/>
      <c r="G322" s="628"/>
      <c r="H322" s="628"/>
      <c r="I322" s="628"/>
      <c r="J322" s="628"/>
      <c r="K322" s="628"/>
      <c r="L322" s="628"/>
      <c r="M322" s="628"/>
      <c r="N322" s="628"/>
      <c r="O322" s="628"/>
      <c r="P322" s="628"/>
      <c r="Q322" s="628"/>
      <c r="R322" s="628"/>
      <c r="S322" s="628"/>
      <c r="T322" s="628"/>
    </row>
    <row r="323" spans="1:20" x14ac:dyDescent="0.45">
      <c r="A323" s="628"/>
      <c r="B323" s="628"/>
      <c r="C323" s="628"/>
      <c r="D323" s="628"/>
      <c r="E323" s="628"/>
      <c r="F323" s="628"/>
      <c r="G323" s="628"/>
      <c r="H323" s="628"/>
      <c r="I323" s="628"/>
      <c r="J323" s="628"/>
      <c r="K323" s="628"/>
      <c r="L323" s="628"/>
      <c r="M323" s="628"/>
      <c r="N323" s="628"/>
      <c r="O323" s="628"/>
      <c r="P323" s="628"/>
      <c r="Q323" s="628"/>
      <c r="R323" s="628"/>
      <c r="S323" s="628"/>
      <c r="T323" s="628"/>
    </row>
    <row r="324" spans="1:20" x14ac:dyDescent="0.45">
      <c r="A324" s="628"/>
      <c r="B324" s="628"/>
      <c r="C324" s="628"/>
      <c r="D324" s="628"/>
      <c r="E324" s="628"/>
      <c r="F324" s="628"/>
      <c r="G324" s="628"/>
      <c r="H324" s="628"/>
      <c r="I324" s="628"/>
      <c r="J324" s="628"/>
      <c r="K324" s="628"/>
      <c r="L324" s="628"/>
      <c r="M324" s="628"/>
      <c r="N324" s="628"/>
      <c r="O324" s="628"/>
      <c r="P324" s="628"/>
      <c r="Q324" s="628"/>
      <c r="R324" s="628"/>
      <c r="S324" s="628"/>
      <c r="T324" s="628"/>
    </row>
    <row r="325" spans="1:20" x14ac:dyDescent="0.45">
      <c r="A325" s="628"/>
      <c r="B325" s="628"/>
      <c r="C325" s="628"/>
      <c r="D325" s="628"/>
      <c r="E325" s="628"/>
      <c r="F325" s="628"/>
      <c r="G325" s="628"/>
      <c r="H325" s="628"/>
      <c r="I325" s="628"/>
      <c r="J325" s="628"/>
      <c r="K325" s="628"/>
      <c r="L325" s="628"/>
      <c r="M325" s="628"/>
      <c r="N325" s="628"/>
      <c r="O325" s="628"/>
      <c r="P325" s="628"/>
      <c r="Q325" s="628"/>
      <c r="R325" s="628"/>
      <c r="S325" s="628"/>
      <c r="T325" s="628"/>
    </row>
    <row r="326" spans="1:20" x14ac:dyDescent="0.45">
      <c r="A326" s="628"/>
      <c r="B326" s="628"/>
      <c r="C326" s="628"/>
      <c r="D326" s="628"/>
      <c r="E326" s="628"/>
      <c r="F326" s="628"/>
      <c r="G326" s="628"/>
      <c r="H326" s="628"/>
      <c r="I326" s="628"/>
      <c r="J326" s="628"/>
      <c r="K326" s="628"/>
      <c r="L326" s="628"/>
      <c r="M326" s="628"/>
      <c r="N326" s="628"/>
      <c r="O326" s="628"/>
      <c r="P326" s="628"/>
      <c r="Q326" s="628"/>
      <c r="R326" s="628"/>
      <c r="S326" s="628"/>
      <c r="T326" s="628"/>
    </row>
    <row r="327" spans="1:20" x14ac:dyDescent="0.45">
      <c r="A327" s="628"/>
      <c r="B327" s="628"/>
      <c r="C327" s="628"/>
      <c r="D327" s="628"/>
      <c r="E327" s="628"/>
      <c r="F327" s="628"/>
      <c r="G327" s="628"/>
      <c r="H327" s="628"/>
      <c r="I327" s="628"/>
      <c r="J327" s="628"/>
      <c r="K327" s="628"/>
      <c r="L327" s="628"/>
      <c r="M327" s="628"/>
      <c r="N327" s="628"/>
      <c r="O327" s="628"/>
      <c r="P327" s="628"/>
      <c r="Q327" s="628"/>
      <c r="R327" s="628"/>
      <c r="S327" s="628"/>
      <c r="T327" s="628"/>
    </row>
    <row r="328" spans="1:20" x14ac:dyDescent="0.45">
      <c r="A328" s="628"/>
      <c r="B328" s="628"/>
      <c r="C328" s="628"/>
      <c r="D328" s="628"/>
      <c r="E328" s="628"/>
      <c r="F328" s="628"/>
      <c r="G328" s="628"/>
      <c r="H328" s="628"/>
      <c r="I328" s="628"/>
      <c r="J328" s="628"/>
      <c r="K328" s="628"/>
      <c r="L328" s="628"/>
      <c r="M328" s="628"/>
      <c r="N328" s="628"/>
      <c r="O328" s="628"/>
      <c r="P328" s="628"/>
      <c r="Q328" s="628"/>
      <c r="R328" s="628"/>
      <c r="S328" s="628"/>
      <c r="T328" s="628"/>
    </row>
    <row r="329" spans="1:20" x14ac:dyDescent="0.45">
      <c r="A329" s="628"/>
      <c r="B329" s="628"/>
      <c r="C329" s="628"/>
      <c r="D329" s="628"/>
      <c r="E329" s="628"/>
      <c r="F329" s="628"/>
      <c r="G329" s="628"/>
      <c r="H329" s="628"/>
      <c r="I329" s="628"/>
      <c r="J329" s="628"/>
      <c r="K329" s="628"/>
      <c r="L329" s="628"/>
      <c r="M329" s="628"/>
      <c r="N329" s="628"/>
      <c r="O329" s="628"/>
      <c r="P329" s="628"/>
      <c r="Q329" s="628"/>
      <c r="R329" s="628"/>
      <c r="S329" s="628"/>
      <c r="T329" s="628"/>
    </row>
    <row r="330" spans="1:20" x14ac:dyDescent="0.45">
      <c r="A330" s="628"/>
      <c r="B330" s="628"/>
      <c r="C330" s="628"/>
      <c r="D330" s="628"/>
      <c r="E330" s="628"/>
      <c r="F330" s="628"/>
      <c r="G330" s="628"/>
      <c r="H330" s="628"/>
      <c r="I330" s="628"/>
      <c r="J330" s="628"/>
      <c r="K330" s="628"/>
      <c r="L330" s="628"/>
      <c r="M330" s="628"/>
      <c r="N330" s="628"/>
      <c r="O330" s="628"/>
      <c r="P330" s="628"/>
      <c r="Q330" s="628"/>
      <c r="R330" s="628"/>
      <c r="S330" s="628"/>
      <c r="T330" s="628"/>
    </row>
    <row r="331" spans="1:20" x14ac:dyDescent="0.45">
      <c r="A331" s="628"/>
      <c r="B331" s="628"/>
      <c r="C331" s="628"/>
      <c r="D331" s="628"/>
      <c r="E331" s="628"/>
      <c r="F331" s="628"/>
      <c r="G331" s="628"/>
      <c r="H331" s="628"/>
      <c r="I331" s="628"/>
      <c r="J331" s="628"/>
      <c r="K331" s="628"/>
      <c r="L331" s="628"/>
      <c r="M331" s="628"/>
      <c r="N331" s="628"/>
      <c r="O331" s="628"/>
      <c r="P331" s="628"/>
      <c r="Q331" s="628"/>
      <c r="R331" s="628"/>
      <c r="S331" s="628"/>
      <c r="T331" s="628"/>
    </row>
    <row r="332" spans="1:20" x14ac:dyDescent="0.45">
      <c r="A332" s="628"/>
      <c r="B332" s="628"/>
      <c r="C332" s="628"/>
      <c r="D332" s="628"/>
      <c r="E332" s="628"/>
      <c r="F332" s="628"/>
      <c r="G332" s="628"/>
      <c r="H332" s="628"/>
      <c r="I332" s="628"/>
      <c r="J332" s="628"/>
      <c r="K332" s="628"/>
      <c r="L332" s="628"/>
      <c r="M332" s="628"/>
      <c r="N332" s="628"/>
      <c r="O332" s="628"/>
      <c r="P332" s="628"/>
      <c r="Q332" s="628"/>
      <c r="R332" s="628"/>
      <c r="S332" s="628"/>
      <c r="T332" s="628"/>
    </row>
    <row r="333" spans="1:20" x14ac:dyDescent="0.45">
      <c r="A333" s="628"/>
      <c r="B333" s="628"/>
      <c r="C333" s="628"/>
      <c r="D333" s="628"/>
      <c r="E333" s="628"/>
      <c r="F333" s="628"/>
      <c r="G333" s="628"/>
      <c r="H333" s="628"/>
      <c r="I333" s="628"/>
      <c r="J333" s="628"/>
      <c r="K333" s="628"/>
      <c r="L333" s="628"/>
      <c r="M333" s="628"/>
      <c r="N333" s="628"/>
      <c r="O333" s="628"/>
      <c r="P333" s="628"/>
      <c r="Q333" s="628"/>
      <c r="R333" s="628"/>
      <c r="S333" s="628"/>
      <c r="T333" s="628"/>
    </row>
    <row r="334" spans="1:20" x14ac:dyDescent="0.45">
      <c r="A334" s="628"/>
      <c r="B334" s="628"/>
      <c r="C334" s="628"/>
      <c r="D334" s="628"/>
      <c r="E334" s="628"/>
      <c r="F334" s="628"/>
      <c r="G334" s="628"/>
      <c r="H334" s="628"/>
      <c r="I334" s="628"/>
      <c r="J334" s="628"/>
      <c r="K334" s="628"/>
      <c r="L334" s="628"/>
      <c r="M334" s="628"/>
      <c r="N334" s="628"/>
      <c r="O334" s="628"/>
      <c r="P334" s="628"/>
      <c r="Q334" s="628"/>
      <c r="R334" s="628"/>
      <c r="S334" s="628"/>
      <c r="T334" s="628"/>
    </row>
    <row r="335" spans="1:20" x14ac:dyDescent="0.45">
      <c r="A335" s="628"/>
      <c r="B335" s="628"/>
      <c r="C335" s="628"/>
      <c r="D335" s="628"/>
      <c r="E335" s="628"/>
      <c r="F335" s="628"/>
      <c r="G335" s="628"/>
      <c r="H335" s="628"/>
      <c r="I335" s="628"/>
      <c r="J335" s="628"/>
      <c r="K335" s="628"/>
      <c r="L335" s="628"/>
      <c r="M335" s="628"/>
      <c r="N335" s="628"/>
      <c r="O335" s="628"/>
      <c r="P335" s="628"/>
      <c r="Q335" s="628"/>
      <c r="R335" s="628"/>
      <c r="S335" s="628"/>
      <c r="T335" s="628"/>
    </row>
    <row r="336" spans="1:20" x14ac:dyDescent="0.45">
      <c r="A336" s="628"/>
      <c r="B336" s="628"/>
      <c r="C336" s="628"/>
      <c r="D336" s="628"/>
      <c r="E336" s="628"/>
      <c r="F336" s="628"/>
      <c r="G336" s="628"/>
      <c r="H336" s="628"/>
      <c r="I336" s="628"/>
      <c r="J336" s="628"/>
      <c r="K336" s="628"/>
      <c r="L336" s="628"/>
      <c r="M336" s="628"/>
      <c r="N336" s="628"/>
      <c r="O336" s="628"/>
      <c r="P336" s="628"/>
      <c r="Q336" s="628"/>
      <c r="R336" s="628"/>
      <c r="S336" s="628"/>
      <c r="T336" s="628"/>
    </row>
    <row r="337" spans="1:20" x14ac:dyDescent="0.45">
      <c r="A337" s="628"/>
      <c r="B337" s="628"/>
      <c r="C337" s="628"/>
      <c r="D337" s="628"/>
      <c r="E337" s="628"/>
      <c r="F337" s="628"/>
      <c r="G337" s="628"/>
      <c r="H337" s="628"/>
      <c r="I337" s="628"/>
      <c r="J337" s="628"/>
      <c r="K337" s="628"/>
      <c r="L337" s="628"/>
      <c r="M337" s="628"/>
      <c r="N337" s="628"/>
      <c r="O337" s="628"/>
      <c r="P337" s="628"/>
      <c r="Q337" s="628"/>
      <c r="R337" s="628"/>
      <c r="S337" s="628"/>
      <c r="T337" s="628"/>
    </row>
    <row r="338" spans="1:20" x14ac:dyDescent="0.45">
      <c r="A338" s="628"/>
      <c r="B338" s="628"/>
      <c r="C338" s="628"/>
      <c r="D338" s="628"/>
      <c r="E338" s="628"/>
      <c r="F338" s="628"/>
      <c r="G338" s="628"/>
      <c r="H338" s="628"/>
      <c r="I338" s="628"/>
      <c r="J338" s="628"/>
      <c r="K338" s="628"/>
      <c r="L338" s="628"/>
      <c r="M338" s="628"/>
      <c r="N338" s="628"/>
      <c r="O338" s="628"/>
      <c r="P338" s="628"/>
      <c r="Q338" s="628"/>
      <c r="R338" s="628"/>
      <c r="S338" s="628"/>
      <c r="T338" s="628"/>
    </row>
    <row r="339" spans="1:20" x14ac:dyDescent="0.45">
      <c r="A339" s="628"/>
      <c r="B339" s="628"/>
      <c r="C339" s="628"/>
      <c r="D339" s="628"/>
      <c r="E339" s="628"/>
      <c r="F339" s="628"/>
      <c r="G339" s="628"/>
      <c r="H339" s="628"/>
      <c r="I339" s="628"/>
      <c r="J339" s="628"/>
      <c r="K339" s="628"/>
      <c r="L339" s="628"/>
      <c r="M339" s="628"/>
      <c r="N339" s="628"/>
      <c r="O339" s="628"/>
      <c r="P339" s="628"/>
      <c r="Q339" s="628"/>
      <c r="R339" s="628"/>
      <c r="S339" s="628"/>
      <c r="T339" s="628"/>
    </row>
    <row r="340" spans="1:20" x14ac:dyDescent="0.45">
      <c r="A340" s="628"/>
      <c r="B340" s="628"/>
      <c r="C340" s="628"/>
      <c r="D340" s="628"/>
      <c r="E340" s="628"/>
      <c r="F340" s="628"/>
      <c r="G340" s="628"/>
      <c r="H340" s="628"/>
      <c r="I340" s="628"/>
      <c r="J340" s="628"/>
      <c r="K340" s="628"/>
      <c r="L340" s="628"/>
      <c r="M340" s="628"/>
      <c r="N340" s="628"/>
      <c r="O340" s="628"/>
      <c r="P340" s="628"/>
      <c r="Q340" s="628"/>
      <c r="R340" s="628"/>
      <c r="S340" s="628"/>
      <c r="T340" s="628"/>
    </row>
    <row r="341" spans="1:20" x14ac:dyDescent="0.45">
      <c r="A341" s="628"/>
      <c r="B341" s="628"/>
      <c r="C341" s="628"/>
      <c r="D341" s="628"/>
      <c r="E341" s="628"/>
      <c r="F341" s="628"/>
      <c r="G341" s="628"/>
      <c r="H341" s="628"/>
      <c r="I341" s="628"/>
      <c r="J341" s="628"/>
      <c r="K341" s="628"/>
      <c r="L341" s="628"/>
      <c r="M341" s="628"/>
      <c r="N341" s="628"/>
      <c r="O341" s="628"/>
      <c r="P341" s="628"/>
      <c r="Q341" s="628"/>
      <c r="R341" s="628"/>
      <c r="S341" s="628"/>
      <c r="T341" s="628"/>
    </row>
    <row r="342" spans="1:20" x14ac:dyDescent="0.45">
      <c r="A342" s="628"/>
      <c r="B342" s="628"/>
      <c r="C342" s="628"/>
      <c r="D342" s="628"/>
      <c r="E342" s="628"/>
      <c r="F342" s="628"/>
      <c r="G342" s="628"/>
      <c r="H342" s="628"/>
      <c r="I342" s="628"/>
      <c r="J342" s="628"/>
      <c r="K342" s="628"/>
      <c r="L342" s="628"/>
      <c r="M342" s="628"/>
      <c r="N342" s="628"/>
      <c r="O342" s="628"/>
      <c r="P342" s="628"/>
      <c r="Q342" s="628"/>
      <c r="R342" s="628"/>
      <c r="S342" s="628"/>
      <c r="T342" s="628"/>
    </row>
    <row r="343" spans="1:20" x14ac:dyDescent="0.45">
      <c r="A343" s="628"/>
      <c r="B343" s="628"/>
      <c r="C343" s="628"/>
      <c r="D343" s="628"/>
      <c r="E343" s="628"/>
      <c r="F343" s="628"/>
      <c r="G343" s="628"/>
      <c r="H343" s="628"/>
      <c r="I343" s="628"/>
      <c r="J343" s="628"/>
      <c r="K343" s="628"/>
      <c r="L343" s="628"/>
      <c r="M343" s="628"/>
      <c r="N343" s="628"/>
      <c r="O343" s="628"/>
      <c r="P343" s="628"/>
      <c r="Q343" s="628"/>
      <c r="R343" s="628"/>
      <c r="S343" s="628"/>
      <c r="T343" s="628"/>
    </row>
    <row r="344" spans="1:20" x14ac:dyDescent="0.45">
      <c r="A344" s="628"/>
      <c r="B344" s="628"/>
      <c r="C344" s="628"/>
      <c r="D344" s="628"/>
      <c r="E344" s="628"/>
      <c r="F344" s="628"/>
      <c r="G344" s="628"/>
      <c r="H344" s="628"/>
      <c r="I344" s="628"/>
      <c r="J344" s="628"/>
      <c r="K344" s="628"/>
      <c r="L344" s="628"/>
      <c r="M344" s="628"/>
      <c r="N344" s="628"/>
      <c r="O344" s="628"/>
      <c r="P344" s="628"/>
      <c r="Q344" s="628"/>
      <c r="R344" s="628"/>
      <c r="S344" s="628"/>
      <c r="T344" s="628"/>
    </row>
    <row r="345" spans="1:20" x14ac:dyDescent="0.45">
      <c r="A345" s="628"/>
      <c r="B345" s="628"/>
      <c r="C345" s="628"/>
      <c r="D345" s="628"/>
      <c r="E345" s="628"/>
      <c r="F345" s="628"/>
      <c r="G345" s="628"/>
      <c r="H345" s="628"/>
      <c r="I345" s="628"/>
      <c r="J345" s="628"/>
      <c r="K345" s="628"/>
      <c r="L345" s="628"/>
      <c r="M345" s="628"/>
      <c r="N345" s="628"/>
      <c r="O345" s="628"/>
      <c r="P345" s="628"/>
      <c r="Q345" s="628"/>
      <c r="R345" s="628"/>
      <c r="S345" s="628"/>
      <c r="T345" s="628"/>
    </row>
    <row r="346" spans="1:20" x14ac:dyDescent="0.45">
      <c r="A346" s="628"/>
      <c r="B346" s="628"/>
      <c r="C346" s="628"/>
      <c r="D346" s="628"/>
      <c r="E346" s="628"/>
      <c r="F346" s="628"/>
      <c r="G346" s="628"/>
      <c r="H346" s="628"/>
      <c r="I346" s="628"/>
      <c r="J346" s="628"/>
      <c r="K346" s="628"/>
      <c r="L346" s="628"/>
      <c r="M346" s="628"/>
      <c r="N346" s="628"/>
      <c r="O346" s="628"/>
      <c r="P346" s="628"/>
      <c r="Q346" s="628"/>
      <c r="R346" s="628"/>
      <c r="S346" s="628"/>
      <c r="T346" s="628"/>
    </row>
    <row r="347" spans="1:20" x14ac:dyDescent="0.45">
      <c r="A347" s="628"/>
      <c r="B347" s="628"/>
      <c r="C347" s="628"/>
      <c r="D347" s="628"/>
      <c r="E347" s="628"/>
      <c r="F347" s="628"/>
      <c r="G347" s="628"/>
      <c r="H347" s="628"/>
      <c r="I347" s="628"/>
      <c r="J347" s="628"/>
      <c r="K347" s="628"/>
      <c r="L347" s="628"/>
      <c r="M347" s="628"/>
      <c r="N347" s="628"/>
      <c r="O347" s="628"/>
      <c r="P347" s="628"/>
      <c r="Q347" s="628"/>
      <c r="R347" s="628"/>
      <c r="S347" s="628"/>
      <c r="T347" s="628"/>
    </row>
    <row r="348" spans="1:20" x14ac:dyDescent="0.45">
      <c r="A348" s="628"/>
      <c r="B348" s="628"/>
      <c r="C348" s="628"/>
      <c r="D348" s="628"/>
      <c r="E348" s="628"/>
      <c r="F348" s="628"/>
      <c r="G348" s="628"/>
      <c r="H348" s="628"/>
      <c r="I348" s="628"/>
      <c r="J348" s="628"/>
      <c r="K348" s="628"/>
      <c r="L348" s="628"/>
      <c r="M348" s="628"/>
      <c r="N348" s="628"/>
      <c r="O348" s="628"/>
      <c r="P348" s="628"/>
      <c r="Q348" s="628"/>
      <c r="R348" s="628"/>
      <c r="S348" s="628"/>
      <c r="T348" s="628"/>
    </row>
    <row r="349" spans="1:20" x14ac:dyDescent="0.45">
      <c r="A349" s="628"/>
      <c r="B349" s="628"/>
      <c r="C349" s="628"/>
      <c r="D349" s="628"/>
      <c r="E349" s="628"/>
      <c r="F349" s="628"/>
      <c r="G349" s="628"/>
      <c r="H349" s="628"/>
      <c r="I349" s="628"/>
      <c r="J349" s="628"/>
      <c r="K349" s="628"/>
      <c r="L349" s="628"/>
      <c r="M349" s="628"/>
      <c r="N349" s="628"/>
      <c r="O349" s="628"/>
      <c r="P349" s="628"/>
      <c r="Q349" s="628"/>
      <c r="R349" s="628"/>
      <c r="S349" s="628"/>
      <c r="T349" s="628"/>
    </row>
    <row r="350" spans="1:20" x14ac:dyDescent="0.45">
      <c r="A350" s="628"/>
      <c r="B350" s="628"/>
      <c r="C350" s="628"/>
      <c r="D350" s="628"/>
      <c r="E350" s="628"/>
      <c r="F350" s="628"/>
      <c r="G350" s="628"/>
      <c r="H350" s="628"/>
      <c r="I350" s="628"/>
      <c r="J350" s="628"/>
      <c r="K350" s="628"/>
      <c r="L350" s="628"/>
      <c r="M350" s="628"/>
      <c r="N350" s="628"/>
      <c r="O350" s="628"/>
      <c r="P350" s="628"/>
      <c r="Q350" s="628"/>
      <c r="R350" s="628"/>
      <c r="S350" s="628"/>
      <c r="T350" s="628"/>
    </row>
    <row r="351" spans="1:20" x14ac:dyDescent="0.45">
      <c r="A351" s="628"/>
      <c r="B351" s="628"/>
      <c r="C351" s="628"/>
      <c r="D351" s="628"/>
      <c r="E351" s="628"/>
      <c r="F351" s="628"/>
      <c r="G351" s="628"/>
      <c r="H351" s="628"/>
      <c r="I351" s="628"/>
      <c r="J351" s="628"/>
      <c r="K351" s="628"/>
      <c r="L351" s="628"/>
      <c r="M351" s="628"/>
      <c r="N351" s="628"/>
      <c r="O351" s="628"/>
      <c r="P351" s="628"/>
      <c r="Q351" s="628"/>
      <c r="R351" s="628"/>
      <c r="S351" s="628"/>
      <c r="T351" s="628"/>
    </row>
    <row r="352" spans="1:20" x14ac:dyDescent="0.45">
      <c r="A352" s="628"/>
      <c r="B352" s="628"/>
      <c r="C352" s="628"/>
      <c r="D352" s="628"/>
      <c r="E352" s="628"/>
      <c r="F352" s="628"/>
      <c r="G352" s="628"/>
      <c r="H352" s="628"/>
      <c r="I352" s="628"/>
      <c r="J352" s="628"/>
      <c r="K352" s="628"/>
      <c r="L352" s="628"/>
      <c r="M352" s="628"/>
      <c r="N352" s="628"/>
      <c r="O352" s="628"/>
      <c r="P352" s="628"/>
      <c r="Q352" s="628"/>
      <c r="R352" s="628"/>
      <c r="S352" s="628"/>
      <c r="T352" s="628"/>
    </row>
    <row r="353" spans="1:20" x14ac:dyDescent="0.45">
      <c r="A353" s="628"/>
      <c r="B353" s="628"/>
      <c r="C353" s="628"/>
      <c r="D353" s="628"/>
      <c r="E353" s="628"/>
      <c r="F353" s="628"/>
      <c r="G353" s="628"/>
      <c r="H353" s="628"/>
      <c r="I353" s="628"/>
      <c r="J353" s="628"/>
      <c r="K353" s="628"/>
      <c r="L353" s="628"/>
      <c r="M353" s="628"/>
      <c r="N353" s="628"/>
      <c r="O353" s="628"/>
      <c r="P353" s="628"/>
      <c r="Q353" s="628"/>
      <c r="R353" s="628"/>
      <c r="S353" s="628"/>
      <c r="T353" s="628"/>
    </row>
    <row r="354" spans="1:20" x14ac:dyDescent="0.45">
      <c r="A354" s="628"/>
      <c r="B354" s="628"/>
      <c r="C354" s="628"/>
      <c r="D354" s="628"/>
      <c r="E354" s="628"/>
      <c r="F354" s="628"/>
      <c r="G354" s="628"/>
      <c r="H354" s="628"/>
      <c r="I354" s="628"/>
      <c r="J354" s="628"/>
      <c r="K354" s="628"/>
      <c r="L354" s="628"/>
      <c r="M354" s="628"/>
      <c r="N354" s="628"/>
      <c r="O354" s="628"/>
      <c r="P354" s="628"/>
      <c r="Q354" s="628"/>
      <c r="R354" s="628"/>
      <c r="S354" s="628"/>
      <c r="T354" s="628"/>
    </row>
    <row r="355" spans="1:20" x14ac:dyDescent="0.45">
      <c r="A355" s="628"/>
      <c r="B355" s="628"/>
      <c r="C355" s="628"/>
      <c r="D355" s="628"/>
      <c r="E355" s="628"/>
      <c r="F355" s="628"/>
      <c r="G355" s="628"/>
      <c r="H355" s="628"/>
      <c r="I355" s="628"/>
      <c r="J355" s="628"/>
      <c r="K355" s="628"/>
      <c r="L355" s="628"/>
      <c r="M355" s="628"/>
      <c r="N355" s="628"/>
      <c r="O355" s="628"/>
      <c r="P355" s="628"/>
      <c r="Q355" s="628"/>
      <c r="R355" s="628"/>
      <c r="S355" s="628"/>
      <c r="T355" s="628"/>
    </row>
    <row r="356" spans="1:20" x14ac:dyDescent="0.45">
      <c r="A356" s="628"/>
      <c r="B356" s="628"/>
      <c r="C356" s="628"/>
      <c r="D356" s="628"/>
      <c r="E356" s="628"/>
      <c r="F356" s="628"/>
      <c r="G356" s="628"/>
      <c r="H356" s="628"/>
      <c r="I356" s="628"/>
      <c r="J356" s="628"/>
      <c r="K356" s="628"/>
      <c r="L356" s="628"/>
      <c r="M356" s="628"/>
      <c r="N356" s="628"/>
      <c r="O356" s="628"/>
      <c r="P356" s="628"/>
      <c r="Q356" s="628"/>
      <c r="R356" s="628"/>
      <c r="S356" s="628"/>
      <c r="T356" s="628"/>
    </row>
    <row r="357" spans="1:20" x14ac:dyDescent="0.45">
      <c r="A357" s="628"/>
      <c r="B357" s="628"/>
      <c r="C357" s="628"/>
      <c r="D357" s="628"/>
      <c r="E357" s="628"/>
      <c r="F357" s="628"/>
      <c r="G357" s="628"/>
      <c r="H357" s="628"/>
      <c r="I357" s="628"/>
      <c r="J357" s="628"/>
      <c r="K357" s="628"/>
      <c r="L357" s="628"/>
      <c r="M357" s="628"/>
      <c r="N357" s="628"/>
      <c r="O357" s="628"/>
      <c r="P357" s="628"/>
      <c r="Q357" s="628"/>
      <c r="R357" s="628"/>
      <c r="S357" s="628"/>
      <c r="T357" s="628"/>
    </row>
  </sheetData>
  <phoneticPr fontId="106" type="noConversion"/>
  <hyperlinks>
    <hyperlink ref="A22" r:id="rId1" xr:uid="{00000000-0004-0000-0100-000000000000}"/>
    <hyperlink ref="A24" r:id="rId2" xr:uid="{00000000-0004-0000-0100-000001000000}"/>
    <hyperlink ref="A26" r:id="rId3" xr:uid="{00000000-0004-0000-0100-000002000000}"/>
    <hyperlink ref="A28" r:id="rId4" xr:uid="{00000000-0004-0000-0100-000003000000}"/>
    <hyperlink ref="A30" r:id="rId5" xr:uid="{00000000-0004-0000-0100-000004000000}"/>
    <hyperlink ref="A34" r:id="rId6" xr:uid="{00000000-0004-0000-0100-000005000000}"/>
  </hyperlinks>
  <pageMargins left="0.7" right="0.7" top="0.75" bottom="0.75" header="0.3" footer="0.3"/>
  <pageSetup paperSize="9" orientation="portrait"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303"/>
  <sheetViews>
    <sheetView zoomScaleNormal="100" workbookViewId="0">
      <pane xSplit="1" ySplit="9" topLeftCell="B88" activePane="bottomRight" state="frozen"/>
      <selection pane="topRight" activeCell="B1" sqref="B1"/>
      <selection pane="bottomLeft" activeCell="A10" sqref="A10"/>
      <selection pane="bottomRight" activeCell="A2" sqref="A2"/>
    </sheetView>
  </sheetViews>
  <sheetFormatPr defaultColWidth="11.265625" defaultRowHeight="14.25" x14ac:dyDescent="0.45"/>
  <cols>
    <col min="1" max="1" width="7" style="257" customWidth="1"/>
    <col min="2" max="2" width="9.46484375" style="257" customWidth="1"/>
    <col min="3" max="3" width="7" style="257" customWidth="1"/>
    <col min="4" max="4" width="1.46484375" style="257" customWidth="1"/>
    <col min="5" max="5" width="8.73046875" style="257" customWidth="1"/>
    <col min="6" max="6" width="7.73046875" style="257" customWidth="1"/>
    <col min="7" max="7" width="0.73046875" style="257" customWidth="1"/>
    <col min="8" max="8" width="10" style="257" customWidth="1"/>
    <col min="9" max="9" width="6.796875" style="257" customWidth="1"/>
    <col min="10" max="10" width="11.265625" style="257" customWidth="1"/>
    <col min="11" max="11" width="9" style="257" customWidth="1"/>
    <col min="12" max="12" width="9.19921875" style="257" customWidth="1"/>
    <col min="13" max="13" width="10.796875" style="257" customWidth="1"/>
    <col min="14" max="14" width="8.73046875" style="257" customWidth="1"/>
    <col min="15" max="15" width="10.265625" style="257" customWidth="1"/>
    <col min="16" max="16" width="9.53125" style="257" customWidth="1"/>
    <col min="17" max="17" width="9.46484375" style="257" customWidth="1"/>
    <col min="18" max="18" width="9.19921875" style="257" customWidth="1"/>
    <col min="19" max="19" width="8.46484375" style="257" customWidth="1"/>
    <col min="20" max="20" width="10.73046875" style="257" customWidth="1"/>
    <col min="21" max="21" width="2.53125" style="257" customWidth="1"/>
    <col min="22" max="22" width="7.73046875" style="257" customWidth="1"/>
    <col min="23" max="16384" width="11.265625" style="257"/>
  </cols>
  <sheetData>
    <row r="1" spans="1:22" ht="22.15" x14ac:dyDescent="0.55000000000000004">
      <c r="A1" s="1095" t="s">
        <v>2507</v>
      </c>
      <c r="B1" s="631"/>
      <c r="C1" s="631"/>
      <c r="D1" s="631"/>
      <c r="E1" s="631"/>
      <c r="F1" s="631"/>
      <c r="G1" s="631"/>
      <c r="H1" s="631"/>
      <c r="I1" s="631"/>
      <c r="J1" s="631"/>
      <c r="K1" s="631"/>
      <c r="L1" s="631"/>
      <c r="M1" s="631"/>
      <c r="N1" s="631"/>
      <c r="O1" s="631"/>
      <c r="P1" s="631"/>
      <c r="Q1" s="631"/>
      <c r="R1" s="631"/>
      <c r="S1" s="631"/>
      <c r="T1" s="631"/>
      <c r="U1" s="631"/>
      <c r="V1" s="631"/>
    </row>
    <row r="2" spans="1:22" ht="18.75" customHeight="1" x14ac:dyDescent="0.6">
      <c r="A2" s="630" t="s">
        <v>1122</v>
      </c>
      <c r="B2" s="428" t="s">
        <v>2341</v>
      </c>
      <c r="C2" s="1136" t="s">
        <v>2462</v>
      </c>
      <c r="D2" s="632"/>
      <c r="E2" s="632"/>
      <c r="F2" s="632"/>
      <c r="G2" s="632"/>
      <c r="H2" s="632"/>
      <c r="I2" s="632"/>
      <c r="J2" s="632"/>
      <c r="K2" s="632"/>
      <c r="L2" s="632"/>
      <c r="M2" s="632"/>
      <c r="N2" s="632"/>
      <c r="O2" s="631"/>
      <c r="P2" s="631"/>
      <c r="Q2" s="631"/>
      <c r="R2" s="633"/>
      <c r="S2" s="633"/>
      <c r="T2" s="633"/>
      <c r="U2" s="633"/>
      <c r="V2" s="633"/>
    </row>
    <row r="3" spans="1:22" ht="22.5" x14ac:dyDescent="0.6">
      <c r="A3" s="630"/>
      <c r="B3" s="632"/>
      <c r="C3" s="632"/>
      <c r="D3" s="632"/>
      <c r="E3" s="632"/>
      <c r="F3" s="632"/>
      <c r="G3" s="632"/>
      <c r="H3" s="632"/>
      <c r="I3" s="632"/>
      <c r="J3" s="632"/>
      <c r="K3" s="632"/>
      <c r="L3" s="632"/>
      <c r="M3" s="632"/>
      <c r="N3" s="632"/>
      <c r="O3" s="631"/>
      <c r="P3" s="631"/>
      <c r="Q3" s="631"/>
      <c r="R3" s="633"/>
      <c r="S3" s="633"/>
      <c r="T3" s="633"/>
      <c r="U3" s="633"/>
      <c r="V3" s="633"/>
    </row>
    <row r="4" spans="1:22" ht="14.65" thickBot="1" x14ac:dyDescent="0.5">
      <c r="A4" s="1464" t="s">
        <v>1040</v>
      </c>
      <c r="B4" s="1464"/>
      <c r="C4" s="1464"/>
      <c r="D4" s="1464"/>
      <c r="E4" s="1464"/>
      <c r="F4" s="1464"/>
      <c r="G4" s="1464"/>
      <c r="H4" s="1464"/>
      <c r="I4" s="1464"/>
      <c r="J4" s="1464"/>
      <c r="K4" s="1464"/>
      <c r="L4" s="1464"/>
      <c r="M4" s="1464"/>
      <c r="N4" s="1464"/>
      <c r="O4" s="1464"/>
      <c r="P4" s="1464"/>
      <c r="Q4" s="1464"/>
      <c r="R4" s="1464"/>
      <c r="S4" s="1464"/>
      <c r="T4" s="1464"/>
      <c r="U4" s="1464"/>
      <c r="V4" s="1464"/>
    </row>
    <row r="5" spans="1:22" ht="12.75" customHeight="1" thickTop="1" x14ac:dyDescent="0.45">
      <c r="A5" s="634"/>
      <c r="B5" s="1462" t="s">
        <v>1041</v>
      </c>
      <c r="C5" s="1462"/>
      <c r="D5" s="635"/>
      <c r="E5" s="636" t="s">
        <v>1042</v>
      </c>
      <c r="F5" s="636" t="s">
        <v>1038</v>
      </c>
      <c r="G5" s="636"/>
      <c r="H5" s="634"/>
      <c r="I5" s="1465"/>
      <c r="J5" s="1465"/>
      <c r="K5" s="635"/>
      <c r="L5" s="1465" t="s">
        <v>1044</v>
      </c>
      <c r="M5" s="1465"/>
      <c r="N5" s="1465"/>
      <c r="O5" s="1465"/>
      <c r="P5" s="1465"/>
      <c r="Q5" s="1465"/>
      <c r="R5" s="1465"/>
      <c r="S5" s="1465"/>
      <c r="T5" s="637" t="s">
        <v>211</v>
      </c>
      <c r="U5" s="638"/>
      <c r="V5" s="636" t="s">
        <v>1045</v>
      </c>
    </row>
    <row r="6" spans="1:22" ht="12.75" customHeight="1" x14ac:dyDescent="0.45">
      <c r="B6" s="639" t="s">
        <v>1046</v>
      </c>
      <c r="C6" s="639" t="s">
        <v>1047</v>
      </c>
      <c r="D6" s="639"/>
      <c r="E6" s="639" t="s">
        <v>1048</v>
      </c>
      <c r="F6" s="640" t="s">
        <v>1049</v>
      </c>
      <c r="G6" s="640"/>
      <c r="I6" s="640" t="s">
        <v>1050</v>
      </c>
      <c r="J6" s="640" t="s">
        <v>1051</v>
      </c>
      <c r="K6" s="640"/>
      <c r="L6" s="640" t="s">
        <v>1052</v>
      </c>
      <c r="M6" s="640" t="s">
        <v>1053</v>
      </c>
      <c r="N6" s="641" t="s">
        <v>1054</v>
      </c>
      <c r="O6" s="640" t="s">
        <v>1055</v>
      </c>
      <c r="P6" s="640" t="s">
        <v>1056</v>
      </c>
      <c r="Q6" s="640" t="s">
        <v>1057</v>
      </c>
      <c r="R6" s="642" t="s">
        <v>1058</v>
      </c>
      <c r="S6" s="640" t="s">
        <v>1059</v>
      </c>
      <c r="T6" s="640"/>
      <c r="V6" s="643" t="s">
        <v>33</v>
      </c>
    </row>
    <row r="7" spans="1:22" ht="12.75" customHeight="1" x14ac:dyDescent="0.45">
      <c r="B7" s="640"/>
      <c r="C7" s="640"/>
      <c r="D7" s="640"/>
      <c r="E7" s="640"/>
      <c r="F7" s="640" t="s">
        <v>1060</v>
      </c>
      <c r="G7" s="640"/>
      <c r="I7" s="640" t="s">
        <v>1061</v>
      </c>
      <c r="J7" s="640" t="s">
        <v>1062</v>
      </c>
      <c r="K7" s="640"/>
      <c r="L7" s="640" t="s">
        <v>1063</v>
      </c>
      <c r="M7" s="640" t="s">
        <v>1064</v>
      </c>
      <c r="N7" s="641" t="s">
        <v>1065</v>
      </c>
      <c r="O7" s="640" t="s">
        <v>1066</v>
      </c>
      <c r="P7" s="640" t="s">
        <v>1066</v>
      </c>
      <c r="Q7" s="640" t="s">
        <v>1067</v>
      </c>
      <c r="R7" s="642" t="s">
        <v>1068</v>
      </c>
      <c r="S7" s="640" t="s">
        <v>1069</v>
      </c>
      <c r="T7" s="640"/>
    </row>
    <row r="8" spans="1:22" ht="12.75" customHeight="1" x14ac:dyDescent="0.45">
      <c r="A8" s="258"/>
      <c r="B8" s="639"/>
      <c r="C8" s="639"/>
      <c r="D8" s="639"/>
      <c r="E8" s="639"/>
      <c r="F8" s="639"/>
      <c r="G8" s="639"/>
      <c r="H8" s="644"/>
      <c r="I8" s="645"/>
      <c r="J8" s="645"/>
      <c r="K8" s="645"/>
      <c r="L8" s="645"/>
      <c r="M8" s="645" t="s">
        <v>1070</v>
      </c>
      <c r="N8" s="646" t="s">
        <v>1071</v>
      </c>
      <c r="O8" s="643" t="s">
        <v>30</v>
      </c>
      <c r="P8" s="643" t="s">
        <v>31</v>
      </c>
      <c r="Q8" s="647" t="s">
        <v>32</v>
      </c>
      <c r="R8" s="648" t="s">
        <v>749</v>
      </c>
      <c r="S8" s="645"/>
      <c r="T8" s="645"/>
      <c r="V8" s="645"/>
    </row>
    <row r="9" spans="1:22" ht="12.75" customHeight="1" x14ac:dyDescent="0.45">
      <c r="A9" s="653" t="s">
        <v>1072</v>
      </c>
      <c r="B9" s="650"/>
      <c r="C9" s="650"/>
      <c r="D9" s="650"/>
      <c r="E9" s="650"/>
      <c r="F9" s="650"/>
      <c r="G9" s="650"/>
      <c r="H9" s="650"/>
      <c r="I9" s="650"/>
      <c r="J9" s="650"/>
      <c r="K9" s="650"/>
      <c r="L9" s="650"/>
      <c r="M9" s="651"/>
      <c r="N9" s="652" t="s">
        <v>29</v>
      </c>
      <c r="O9" s="650"/>
      <c r="P9" s="649"/>
      <c r="Q9" s="649"/>
      <c r="R9" s="650"/>
      <c r="S9" s="650"/>
      <c r="T9" s="650"/>
      <c r="U9" s="649"/>
      <c r="V9" s="650"/>
    </row>
    <row r="10" spans="1:22" ht="12.75" customHeight="1" x14ac:dyDescent="0.45">
      <c r="A10" s="655">
        <v>1920</v>
      </c>
      <c r="B10" s="645"/>
      <c r="C10" s="645"/>
      <c r="D10" s="645"/>
      <c r="E10" s="645"/>
      <c r="F10" s="645"/>
      <c r="G10" s="645"/>
      <c r="H10" s="645"/>
      <c r="I10" s="645"/>
      <c r="J10" s="1067">
        <f>'1.7.1 ElecLR'!AI40*1000</f>
        <v>1.0318200000000002</v>
      </c>
      <c r="K10" s="645"/>
      <c r="L10" s="645"/>
      <c r="M10" s="644"/>
      <c r="N10" s="643"/>
      <c r="O10" s="645"/>
      <c r="P10" s="258"/>
      <c r="Q10" s="258"/>
      <c r="R10" s="645"/>
      <c r="S10" s="645"/>
      <c r="T10" s="1068"/>
      <c r="U10" s="258"/>
      <c r="V10" s="645"/>
    </row>
    <row r="11" spans="1:22" ht="12.75" customHeight="1" x14ac:dyDescent="0.45">
      <c r="A11" s="655">
        <v>1921</v>
      </c>
      <c r="B11" s="645"/>
      <c r="C11" s="645"/>
      <c r="D11" s="645"/>
      <c r="E11" s="645"/>
      <c r="F11" s="645"/>
      <c r="G11" s="645"/>
      <c r="H11" s="645"/>
      <c r="I11" s="645"/>
      <c r="J11" s="1067">
        <f>'1.7.1 ElecLR'!AI41*1000</f>
        <v>0.85985</v>
      </c>
      <c r="K11" s="645"/>
      <c r="L11" s="645"/>
      <c r="M11" s="644"/>
      <c r="N11" s="643"/>
      <c r="O11" s="645"/>
      <c r="P11" s="258"/>
      <c r="Q11" s="258"/>
      <c r="R11" s="645"/>
      <c r="S11" s="645"/>
      <c r="T11" s="1068"/>
      <c r="U11" s="258"/>
      <c r="V11" s="645"/>
    </row>
    <row r="12" spans="1:22" ht="12.75" customHeight="1" x14ac:dyDescent="0.45">
      <c r="A12" s="655">
        <v>1922</v>
      </c>
      <c r="B12" s="645"/>
      <c r="C12" s="645"/>
      <c r="D12" s="645"/>
      <c r="E12" s="645"/>
      <c r="F12" s="645"/>
      <c r="G12" s="645"/>
      <c r="H12" s="645"/>
      <c r="I12" s="645"/>
      <c r="J12" s="1067">
        <f>'1.7.1 ElecLR'!AI42*1000</f>
        <v>0.85985</v>
      </c>
      <c r="K12" s="645"/>
      <c r="L12" s="645"/>
      <c r="M12" s="644"/>
      <c r="N12" s="643"/>
      <c r="O12" s="645"/>
      <c r="P12" s="258"/>
      <c r="Q12" s="258"/>
      <c r="R12" s="645"/>
      <c r="S12" s="645"/>
      <c r="T12" s="1068"/>
      <c r="U12" s="258"/>
      <c r="V12" s="645"/>
    </row>
    <row r="13" spans="1:22" ht="12.75" customHeight="1" x14ac:dyDescent="0.45">
      <c r="A13" s="655">
        <v>1923</v>
      </c>
      <c r="B13" s="645"/>
      <c r="C13" s="645"/>
      <c r="D13" s="645"/>
      <c r="E13" s="645"/>
      <c r="F13" s="645"/>
      <c r="G13" s="645"/>
      <c r="H13" s="645"/>
      <c r="I13" s="645"/>
      <c r="J13" s="1067">
        <f>'1.7.1 ElecLR'!AI43*1000</f>
        <v>1.1178050000000002</v>
      </c>
      <c r="K13" s="645"/>
      <c r="L13" s="645"/>
      <c r="M13" s="644"/>
      <c r="N13" s="643"/>
      <c r="O13" s="645"/>
      <c r="P13" s="258"/>
      <c r="Q13" s="258"/>
      <c r="R13" s="645"/>
      <c r="S13" s="645"/>
      <c r="T13" s="1068"/>
      <c r="U13" s="258"/>
      <c r="V13" s="645"/>
    </row>
    <row r="14" spans="1:22" ht="12.75" customHeight="1" x14ac:dyDescent="0.45">
      <c r="A14" s="655">
        <v>1924</v>
      </c>
      <c r="B14" s="645"/>
      <c r="C14" s="645"/>
      <c r="D14" s="645"/>
      <c r="E14" s="645"/>
      <c r="F14" s="645"/>
      <c r="G14" s="645"/>
      <c r="H14" s="645"/>
      <c r="I14" s="645"/>
      <c r="J14" s="1067">
        <f>'1.7.1 ElecLR'!AI44*1000</f>
        <v>1.2897750000000001</v>
      </c>
      <c r="K14" s="645"/>
      <c r="L14" s="645"/>
      <c r="M14" s="644"/>
      <c r="N14" s="643"/>
      <c r="O14" s="645"/>
      <c r="P14" s="258"/>
      <c r="Q14" s="258"/>
      <c r="R14" s="645"/>
      <c r="S14" s="645"/>
      <c r="T14" s="1068"/>
      <c r="U14" s="258"/>
      <c r="V14" s="645"/>
    </row>
    <row r="15" spans="1:22" ht="12.75" customHeight="1" x14ac:dyDescent="0.45">
      <c r="A15" s="655">
        <v>1925</v>
      </c>
      <c r="B15" s="645"/>
      <c r="C15" s="645"/>
      <c r="D15" s="645"/>
      <c r="E15" s="645"/>
      <c r="F15" s="645"/>
      <c r="G15" s="645"/>
      <c r="H15" s="645"/>
      <c r="I15" s="645"/>
      <c r="J15" s="1067">
        <f>'1.7.1 ElecLR'!AI45*1000</f>
        <v>1.2897750000000001</v>
      </c>
      <c r="K15" s="645"/>
      <c r="L15" s="645"/>
      <c r="M15" s="644"/>
      <c r="N15" s="643"/>
      <c r="O15" s="645"/>
      <c r="P15" s="258"/>
      <c r="Q15" s="258"/>
      <c r="R15" s="645"/>
      <c r="S15" s="645"/>
      <c r="T15" s="1068"/>
      <c r="U15" s="258"/>
      <c r="V15" s="645"/>
    </row>
    <row r="16" spans="1:22" ht="12.75" customHeight="1" x14ac:dyDescent="0.45">
      <c r="A16" s="655">
        <v>1926</v>
      </c>
      <c r="B16" s="645"/>
      <c r="C16" s="645"/>
      <c r="D16" s="645"/>
      <c r="E16" s="645"/>
      <c r="F16" s="645"/>
      <c r="G16" s="645"/>
      <c r="H16" s="645"/>
      <c r="I16" s="645"/>
      <c r="J16" s="1067">
        <f>'1.7.1 ElecLR'!AI46*1000</f>
        <v>1.2897750000000001</v>
      </c>
      <c r="K16" s="645"/>
      <c r="L16" s="645"/>
      <c r="M16" s="644"/>
      <c r="N16" s="643"/>
      <c r="O16" s="645"/>
      <c r="P16" s="258"/>
      <c r="Q16" s="258"/>
      <c r="R16" s="645"/>
      <c r="S16" s="645"/>
      <c r="T16" s="1068"/>
      <c r="U16" s="258"/>
      <c r="V16" s="645"/>
    </row>
    <row r="17" spans="1:22" ht="12.75" customHeight="1" x14ac:dyDescent="0.45">
      <c r="A17" s="655">
        <v>1927</v>
      </c>
      <c r="B17" s="645"/>
      <c r="C17" s="645"/>
      <c r="D17" s="645"/>
      <c r="E17" s="645"/>
      <c r="F17" s="645"/>
      <c r="G17" s="645"/>
      <c r="H17" s="645"/>
      <c r="I17" s="645"/>
      <c r="J17" s="1067">
        <f>'1.7.1 ElecLR'!AI47*1000</f>
        <v>2.6655350000000002</v>
      </c>
      <c r="K17" s="645"/>
      <c r="L17" s="645"/>
      <c r="M17" s="644"/>
      <c r="N17" s="643"/>
      <c r="O17" s="645"/>
      <c r="P17" s="258"/>
      <c r="Q17" s="258"/>
      <c r="R17" s="645"/>
      <c r="S17" s="645"/>
      <c r="T17" s="1068"/>
      <c r="U17" s="258"/>
      <c r="V17" s="645"/>
    </row>
    <row r="18" spans="1:22" ht="12.75" customHeight="1" x14ac:dyDescent="0.45">
      <c r="A18" s="655">
        <v>1928</v>
      </c>
      <c r="B18" s="645"/>
      <c r="C18" s="645"/>
      <c r="D18" s="645"/>
      <c r="E18" s="645"/>
      <c r="F18" s="645"/>
      <c r="G18" s="645"/>
      <c r="H18" s="645"/>
      <c r="I18" s="645"/>
      <c r="J18" s="1067">
        <f>'1.7.1 ElecLR'!AI48*1000</f>
        <v>9.2863800000000012</v>
      </c>
      <c r="K18" s="645"/>
      <c r="L18" s="645"/>
      <c r="M18" s="644"/>
      <c r="N18" s="643"/>
      <c r="O18" s="645"/>
      <c r="P18" s="258"/>
      <c r="Q18" s="258"/>
      <c r="R18" s="645"/>
      <c r="S18" s="645"/>
      <c r="T18" s="1068"/>
      <c r="U18" s="258"/>
      <c r="V18" s="645"/>
    </row>
    <row r="19" spans="1:22" ht="12.75" customHeight="1" x14ac:dyDescent="0.45">
      <c r="A19" s="655">
        <v>1929</v>
      </c>
      <c r="B19" s="645"/>
      <c r="C19" s="645"/>
      <c r="D19" s="645"/>
      <c r="E19" s="645"/>
      <c r="F19" s="645"/>
      <c r="G19" s="645"/>
      <c r="H19" s="645"/>
      <c r="I19" s="645"/>
      <c r="J19" s="1067">
        <f>'1.7.1 ElecLR'!AI49*1000</f>
        <v>11.693960000000001</v>
      </c>
      <c r="K19" s="645"/>
      <c r="L19" s="645"/>
      <c r="M19" s="644"/>
      <c r="N19" s="643"/>
      <c r="O19" s="645"/>
      <c r="P19" s="258"/>
      <c r="Q19" s="258"/>
      <c r="R19" s="645"/>
      <c r="S19" s="645"/>
      <c r="T19" s="1068"/>
      <c r="U19" s="258"/>
      <c r="V19" s="645"/>
    </row>
    <row r="20" spans="1:22" ht="12.75" customHeight="1" x14ac:dyDescent="0.45">
      <c r="A20" s="655">
        <v>1930</v>
      </c>
      <c r="B20" s="645"/>
      <c r="C20" s="645"/>
      <c r="D20" s="645"/>
      <c r="E20" s="645"/>
      <c r="F20" s="645"/>
      <c r="G20" s="645"/>
      <c r="H20" s="645"/>
      <c r="I20" s="645"/>
      <c r="J20" s="1067">
        <f>'1.7.1 ElecLR'!AI50*1000</f>
        <v>27.5152</v>
      </c>
      <c r="K20" s="645"/>
      <c r="L20" s="645"/>
      <c r="M20" s="644"/>
      <c r="N20" s="643"/>
      <c r="O20" s="645"/>
      <c r="P20" s="258"/>
      <c r="Q20" s="258"/>
      <c r="R20" s="645"/>
      <c r="S20" s="645"/>
      <c r="T20" s="1068"/>
      <c r="U20" s="258"/>
      <c r="V20" s="645"/>
    </row>
    <row r="21" spans="1:22" ht="12.75" customHeight="1" x14ac:dyDescent="0.45">
      <c r="A21" s="655">
        <v>1931</v>
      </c>
      <c r="B21" s="645"/>
      <c r="C21" s="645"/>
      <c r="D21" s="645"/>
      <c r="E21" s="645"/>
      <c r="F21" s="645"/>
      <c r="G21" s="645"/>
      <c r="H21" s="645"/>
      <c r="I21" s="645"/>
      <c r="J21" s="1067">
        <f>'1.7.1 ElecLR'!AI51*1000</f>
        <v>35.769760000000005</v>
      </c>
      <c r="K21" s="645"/>
      <c r="L21" s="645"/>
      <c r="M21" s="644"/>
      <c r="N21" s="643"/>
      <c r="O21" s="645"/>
      <c r="P21" s="258"/>
      <c r="Q21" s="258"/>
      <c r="R21" s="645"/>
      <c r="S21" s="645"/>
      <c r="T21" s="1068"/>
      <c r="U21" s="258"/>
      <c r="V21" s="645"/>
    </row>
    <row r="22" spans="1:22" ht="12.75" customHeight="1" x14ac:dyDescent="0.45">
      <c r="A22" s="655">
        <v>1932</v>
      </c>
      <c r="B22" s="645"/>
      <c r="C22" s="645"/>
      <c r="D22" s="645"/>
      <c r="E22" s="645"/>
      <c r="F22" s="645"/>
      <c r="G22" s="645"/>
      <c r="H22" s="645"/>
      <c r="I22" s="645"/>
      <c r="J22" s="1067">
        <f>'1.7.1 ElecLR'!AI52*1000</f>
        <v>30.438690000000001</v>
      </c>
      <c r="K22" s="645"/>
      <c r="L22" s="645"/>
      <c r="M22" s="644"/>
      <c r="N22" s="643"/>
      <c r="O22" s="645"/>
      <c r="P22" s="258"/>
      <c r="Q22" s="258"/>
      <c r="R22" s="645"/>
      <c r="S22" s="645"/>
      <c r="T22" s="1068"/>
      <c r="U22" s="258"/>
      <c r="V22" s="645"/>
    </row>
    <row r="23" spans="1:22" ht="12.75" customHeight="1" x14ac:dyDescent="0.45">
      <c r="A23" s="655">
        <v>1933</v>
      </c>
      <c r="B23" s="645"/>
      <c r="C23" s="645"/>
      <c r="D23" s="645"/>
      <c r="E23" s="645"/>
      <c r="F23" s="645"/>
      <c r="G23" s="645"/>
      <c r="H23" s="645"/>
      <c r="I23" s="645"/>
      <c r="J23" s="1067">
        <f>'1.7.1 ElecLR'!AI53*1000</f>
        <v>28.375050000000002</v>
      </c>
      <c r="K23" s="645"/>
      <c r="L23" s="645"/>
      <c r="M23" s="644"/>
      <c r="N23" s="643"/>
      <c r="O23" s="645"/>
      <c r="P23" s="258"/>
      <c r="Q23" s="258"/>
      <c r="R23" s="645"/>
      <c r="S23" s="645"/>
      <c r="T23" s="1068"/>
      <c r="U23" s="258"/>
      <c r="V23" s="645"/>
    </row>
    <row r="24" spans="1:22" ht="12.75" customHeight="1" x14ac:dyDescent="0.45">
      <c r="A24" s="655">
        <v>1934</v>
      </c>
      <c r="B24" s="645"/>
      <c r="C24" s="645"/>
      <c r="D24" s="645"/>
      <c r="E24" s="645"/>
      <c r="F24" s="645"/>
      <c r="G24" s="645"/>
      <c r="H24" s="645"/>
      <c r="I24" s="645"/>
      <c r="J24" s="1067">
        <f>'1.7.1 ElecLR'!AI54*1000</f>
        <v>39.897040000000004</v>
      </c>
      <c r="K24" s="645"/>
      <c r="L24" s="645"/>
      <c r="M24" s="644"/>
      <c r="N24" s="643"/>
      <c r="O24" s="645"/>
      <c r="P24" s="258"/>
      <c r="Q24" s="258"/>
      <c r="R24" s="645"/>
      <c r="S24" s="645"/>
      <c r="T24" s="1068"/>
      <c r="U24" s="258"/>
      <c r="V24" s="645"/>
    </row>
    <row r="25" spans="1:22" ht="12.75" customHeight="1" x14ac:dyDescent="0.45">
      <c r="A25" s="655">
        <v>1935</v>
      </c>
      <c r="B25" s="645"/>
      <c r="C25" s="645"/>
      <c r="D25" s="645"/>
      <c r="E25" s="645"/>
      <c r="F25" s="645"/>
      <c r="G25" s="645"/>
      <c r="H25" s="645"/>
      <c r="I25" s="645"/>
      <c r="J25" s="1067">
        <f>'1.7.1 ElecLR'!AI55*1000</f>
        <v>53.740625000000001</v>
      </c>
      <c r="K25" s="645"/>
      <c r="L25" s="645"/>
      <c r="M25" s="644"/>
      <c r="N25" s="643"/>
      <c r="O25" s="645"/>
      <c r="P25" s="258"/>
      <c r="Q25" s="258"/>
      <c r="R25" s="645"/>
      <c r="S25" s="645"/>
      <c r="T25" s="1068"/>
      <c r="U25" s="258"/>
      <c r="V25" s="645"/>
    </row>
    <row r="26" spans="1:22" ht="12.75" customHeight="1" x14ac:dyDescent="0.45">
      <c r="A26" s="655">
        <v>1936</v>
      </c>
      <c r="B26" s="645"/>
      <c r="C26" s="645"/>
      <c r="D26" s="645"/>
      <c r="E26" s="645"/>
      <c r="F26" s="645"/>
      <c r="G26" s="645"/>
      <c r="H26" s="645"/>
      <c r="I26" s="645"/>
      <c r="J26" s="1067">
        <f>'1.7.1 ElecLR'!AI56*1000</f>
        <v>57.437980000000003</v>
      </c>
      <c r="K26" s="645"/>
      <c r="L26" s="645"/>
      <c r="M26" s="644"/>
      <c r="N26" s="643"/>
      <c r="O26" s="645"/>
      <c r="P26" s="258"/>
      <c r="Q26" s="258"/>
      <c r="R26" s="645"/>
      <c r="S26" s="645"/>
      <c r="T26" s="1068"/>
      <c r="U26" s="258"/>
      <c r="V26" s="645"/>
    </row>
    <row r="27" spans="1:22" ht="12.75" customHeight="1" x14ac:dyDescent="0.45">
      <c r="A27" s="655">
        <v>1937</v>
      </c>
      <c r="B27" s="645"/>
      <c r="C27" s="645"/>
      <c r="D27" s="645"/>
      <c r="E27" s="645"/>
      <c r="F27" s="645"/>
      <c r="G27" s="645"/>
      <c r="H27" s="645"/>
      <c r="I27" s="645"/>
      <c r="J27" s="1067">
        <f>'1.7.1 ElecLR'!AI57*1000</f>
        <v>64.918675000000007</v>
      </c>
      <c r="K27" s="645"/>
      <c r="L27" s="645"/>
      <c r="M27" s="644"/>
      <c r="N27" s="643"/>
      <c r="O27" s="645"/>
      <c r="P27" s="258"/>
      <c r="Q27" s="258"/>
      <c r="R27" s="645"/>
      <c r="S27" s="645"/>
      <c r="T27" s="1068"/>
      <c r="U27" s="258"/>
      <c r="V27" s="645"/>
    </row>
    <row r="28" spans="1:22" ht="12.75" customHeight="1" x14ac:dyDescent="0.45">
      <c r="A28" s="655">
        <v>1938</v>
      </c>
      <c r="B28" s="645"/>
      <c r="C28" s="645"/>
      <c r="D28" s="645"/>
      <c r="E28" s="645"/>
      <c r="F28" s="645"/>
      <c r="G28" s="645"/>
      <c r="H28" s="645"/>
      <c r="I28" s="645"/>
      <c r="J28" s="1067">
        <f>'1.7.1 ElecLR'!AI58*1000</f>
        <v>84.953180000000003</v>
      </c>
      <c r="K28" s="645"/>
      <c r="L28" s="645"/>
      <c r="M28" s="644"/>
      <c r="N28" s="643"/>
      <c r="O28" s="645"/>
      <c r="P28" s="258"/>
      <c r="Q28" s="258"/>
      <c r="R28" s="645"/>
      <c r="S28" s="645"/>
      <c r="T28" s="1068"/>
      <c r="U28" s="258"/>
      <c r="V28" s="645"/>
    </row>
    <row r="29" spans="1:22" ht="12.75" customHeight="1" x14ac:dyDescent="0.45">
      <c r="A29" s="655">
        <v>1939</v>
      </c>
      <c r="B29" s="645"/>
      <c r="C29" s="645"/>
      <c r="D29" s="645"/>
      <c r="E29" s="645"/>
      <c r="F29" s="645"/>
      <c r="G29" s="645"/>
      <c r="H29" s="645"/>
      <c r="I29" s="645"/>
      <c r="J29" s="1067">
        <f>'1.7.1 ElecLR'!AI59*1000</f>
        <v>84.437270000000012</v>
      </c>
      <c r="K29" s="645"/>
      <c r="L29" s="645"/>
      <c r="M29" s="644"/>
      <c r="N29" s="643"/>
      <c r="O29" s="645"/>
      <c r="P29" s="258"/>
      <c r="Q29" s="258"/>
      <c r="R29" s="645"/>
      <c r="S29" s="645"/>
      <c r="T29" s="1068"/>
      <c r="U29" s="258"/>
      <c r="V29" s="645"/>
    </row>
    <row r="30" spans="1:22" ht="12.75" customHeight="1" x14ac:dyDescent="0.45">
      <c r="A30" s="655">
        <v>1940</v>
      </c>
      <c r="B30" s="645"/>
      <c r="C30" s="645"/>
      <c r="D30" s="645"/>
      <c r="E30" s="645"/>
      <c r="F30" s="645"/>
      <c r="G30" s="645"/>
      <c r="H30" s="645"/>
      <c r="I30" s="645"/>
      <c r="J30" s="1067">
        <f>'1.7.1 ElecLR'!AI60*1000</f>
        <v>68.788000000000011</v>
      </c>
      <c r="K30" s="645"/>
      <c r="L30" s="645"/>
      <c r="M30" s="644"/>
      <c r="N30" s="643"/>
      <c r="O30" s="645"/>
      <c r="P30" s="258"/>
      <c r="Q30" s="258"/>
      <c r="R30" s="645"/>
      <c r="S30" s="645"/>
      <c r="T30" s="1068"/>
      <c r="U30" s="258"/>
      <c r="V30" s="645"/>
    </row>
    <row r="31" spans="1:22" ht="12.75" customHeight="1" x14ac:dyDescent="0.45">
      <c r="A31" s="655">
        <v>1941</v>
      </c>
      <c r="B31" s="645"/>
      <c r="C31" s="645"/>
      <c r="D31" s="645"/>
      <c r="E31" s="645"/>
      <c r="F31" s="645"/>
      <c r="G31" s="645"/>
      <c r="H31" s="645"/>
      <c r="I31" s="645"/>
      <c r="J31" s="1067">
        <f>'1.7.1 ElecLR'!AI61*1000</f>
        <v>71.453535000000002</v>
      </c>
      <c r="K31" s="645"/>
      <c r="L31" s="645"/>
      <c r="M31" s="644"/>
      <c r="N31" s="643"/>
      <c r="O31" s="645"/>
      <c r="P31" s="258"/>
      <c r="Q31" s="258"/>
      <c r="R31" s="645"/>
      <c r="S31" s="645"/>
      <c r="T31" s="1068"/>
      <c r="U31" s="258"/>
      <c r="V31" s="645"/>
    </row>
    <row r="32" spans="1:22" ht="12.75" customHeight="1" x14ac:dyDescent="0.45">
      <c r="A32" s="655">
        <v>1942</v>
      </c>
      <c r="B32" s="645"/>
      <c r="C32" s="645"/>
      <c r="D32" s="645"/>
      <c r="E32" s="645"/>
      <c r="F32" s="645"/>
      <c r="G32" s="645"/>
      <c r="H32" s="645"/>
      <c r="I32" s="645"/>
      <c r="J32" s="1067">
        <f>'1.7.1 ElecLR'!AI62*1000</f>
        <v>94.325545000000005</v>
      </c>
      <c r="K32" s="645"/>
      <c r="L32" s="645"/>
      <c r="M32" s="644"/>
      <c r="N32" s="643"/>
      <c r="O32" s="645"/>
      <c r="P32" s="258"/>
      <c r="Q32" s="258"/>
      <c r="R32" s="645"/>
      <c r="S32" s="645"/>
      <c r="T32" s="1068"/>
      <c r="U32" s="258"/>
      <c r="V32" s="645"/>
    </row>
    <row r="33" spans="1:22" ht="12.75" customHeight="1" x14ac:dyDescent="0.45">
      <c r="A33" s="655">
        <v>1943</v>
      </c>
      <c r="B33" s="645"/>
      <c r="C33" s="645"/>
      <c r="D33" s="645"/>
      <c r="E33" s="645"/>
      <c r="F33" s="645"/>
      <c r="G33" s="645"/>
      <c r="H33" s="645"/>
      <c r="I33" s="645"/>
      <c r="J33" s="1067">
        <f>'1.7.1 ElecLR'!AI63*1000</f>
        <v>114.27406500000001</v>
      </c>
      <c r="K33" s="645"/>
      <c r="L33" s="645"/>
      <c r="M33" s="644"/>
      <c r="N33" s="643"/>
      <c r="O33" s="645"/>
      <c r="P33" s="258"/>
      <c r="Q33" s="258"/>
      <c r="R33" s="645"/>
      <c r="S33" s="645"/>
      <c r="T33" s="1068"/>
      <c r="U33" s="258"/>
      <c r="V33" s="645"/>
    </row>
    <row r="34" spans="1:22" ht="12.75" customHeight="1" x14ac:dyDescent="0.45">
      <c r="A34" s="655">
        <v>1944</v>
      </c>
      <c r="B34" s="645"/>
      <c r="C34" s="645"/>
      <c r="D34" s="645"/>
      <c r="E34" s="645"/>
      <c r="F34" s="645"/>
      <c r="G34" s="645"/>
      <c r="H34" s="645"/>
      <c r="I34" s="645"/>
      <c r="J34" s="1067">
        <f>'1.7.1 ElecLR'!AI64*1000</f>
        <v>101.11836000000001</v>
      </c>
      <c r="K34" s="645"/>
      <c r="L34" s="645"/>
      <c r="M34" s="644"/>
      <c r="N34" s="643"/>
      <c r="O34" s="645"/>
      <c r="P34" s="258"/>
      <c r="Q34" s="258"/>
      <c r="R34" s="645"/>
      <c r="S34" s="645"/>
      <c r="T34" s="1068"/>
      <c r="U34" s="258"/>
      <c r="V34" s="645"/>
    </row>
    <row r="35" spans="1:22" ht="12.75" customHeight="1" x14ac:dyDescent="0.45">
      <c r="A35" s="655">
        <v>1945</v>
      </c>
      <c r="B35" s="645"/>
      <c r="C35" s="645"/>
      <c r="D35" s="645"/>
      <c r="E35" s="645"/>
      <c r="F35" s="645"/>
      <c r="G35" s="645"/>
      <c r="H35" s="645"/>
      <c r="I35" s="645"/>
      <c r="J35" s="1067">
        <f>'1.7.1 ElecLR'!AI65*1000</f>
        <v>98.36684000000001</v>
      </c>
      <c r="K35" s="645"/>
      <c r="L35" s="645"/>
      <c r="M35" s="644"/>
      <c r="N35" s="643"/>
      <c r="O35" s="645"/>
      <c r="P35" s="258"/>
      <c r="Q35" s="258"/>
      <c r="R35" s="645"/>
      <c r="S35" s="645"/>
      <c r="T35" s="1068"/>
      <c r="U35" s="258"/>
      <c r="V35" s="645"/>
    </row>
    <row r="36" spans="1:22" ht="12.75" customHeight="1" x14ac:dyDescent="0.45">
      <c r="A36" s="655">
        <v>1946</v>
      </c>
      <c r="B36" s="645"/>
      <c r="C36" s="645"/>
      <c r="D36" s="645"/>
      <c r="E36" s="645"/>
      <c r="F36" s="645"/>
      <c r="G36" s="645"/>
      <c r="H36" s="645"/>
      <c r="I36" s="645"/>
      <c r="J36" s="1067">
        <f>'1.7.1 ElecLR'!AI66*1000</f>
        <v>97.936915000000013</v>
      </c>
      <c r="K36" s="645"/>
      <c r="L36" s="645"/>
      <c r="M36" s="644"/>
      <c r="N36" s="643"/>
      <c r="O36" s="645"/>
      <c r="P36" s="258"/>
      <c r="Q36" s="258"/>
      <c r="R36" s="645"/>
      <c r="S36" s="645"/>
      <c r="T36" s="1068"/>
      <c r="U36" s="258"/>
      <c r="V36" s="645"/>
    </row>
    <row r="37" spans="1:22" ht="12.75" customHeight="1" x14ac:dyDescent="0.45">
      <c r="A37" s="655">
        <v>1947</v>
      </c>
      <c r="B37" s="645"/>
      <c r="C37" s="645"/>
      <c r="D37" s="645"/>
      <c r="E37" s="645"/>
      <c r="F37" s="645"/>
      <c r="G37" s="645"/>
      <c r="H37" s="645"/>
      <c r="I37" s="645"/>
      <c r="J37" s="1067">
        <f>'1.7.1 ElecLR'!AI67*1000</f>
        <v>96.991080000000011</v>
      </c>
      <c r="K37" s="645"/>
      <c r="L37" s="645"/>
      <c r="M37" s="644"/>
      <c r="N37" s="643"/>
      <c r="O37" s="645"/>
      <c r="P37" s="258"/>
      <c r="Q37" s="258"/>
      <c r="R37" s="645"/>
      <c r="S37" s="645"/>
      <c r="T37" s="1068"/>
      <c r="U37" s="258"/>
      <c r="V37" s="645"/>
    </row>
    <row r="38" spans="1:22" ht="12.75" customHeight="1" x14ac:dyDescent="0.45">
      <c r="A38" s="655">
        <v>1948</v>
      </c>
      <c r="B38" s="645"/>
      <c r="C38" s="645"/>
      <c r="D38" s="645"/>
      <c r="E38" s="645"/>
      <c r="F38" s="645"/>
      <c r="G38" s="645"/>
      <c r="H38" s="645"/>
      <c r="I38" s="645"/>
      <c r="J38" s="1067">
        <f>'1.7.1 ElecLR'!AI68*1000</f>
        <v>75.752785000000003</v>
      </c>
      <c r="K38" s="645"/>
      <c r="L38" s="645"/>
      <c r="M38" s="644"/>
      <c r="N38" s="643"/>
      <c r="O38" s="645"/>
      <c r="P38" s="258"/>
      <c r="Q38" s="258"/>
      <c r="R38" s="645"/>
      <c r="S38" s="645"/>
      <c r="T38" s="1068"/>
      <c r="U38" s="258"/>
      <c r="V38" s="645"/>
    </row>
    <row r="39" spans="1:22" ht="12.75" customHeight="1" x14ac:dyDescent="0.45">
      <c r="A39" s="655">
        <v>1949</v>
      </c>
      <c r="B39" s="645"/>
      <c r="C39" s="645"/>
      <c r="D39" s="645"/>
      <c r="E39" s="645"/>
      <c r="F39" s="645"/>
      <c r="G39" s="645"/>
      <c r="H39" s="645"/>
      <c r="I39" s="645"/>
      <c r="J39" s="1067">
        <f>'1.7.1 ElecLR'!AI69*1000</f>
        <v>61.823215000000005</v>
      </c>
      <c r="K39" s="645"/>
      <c r="L39" s="645"/>
      <c r="M39" s="644"/>
      <c r="N39" s="643"/>
      <c r="O39" s="645"/>
      <c r="P39" s="258"/>
      <c r="Q39" s="258"/>
      <c r="R39" s="645"/>
      <c r="S39" s="645"/>
      <c r="T39" s="1068"/>
      <c r="U39" s="258"/>
      <c r="V39" s="645"/>
    </row>
    <row r="40" spans="1:22" ht="12.75" customHeight="1" x14ac:dyDescent="0.45">
      <c r="A40" s="655">
        <v>1950</v>
      </c>
      <c r="B40" s="645"/>
      <c r="C40" s="645"/>
      <c r="D40" s="645"/>
      <c r="E40" s="645"/>
      <c r="F40" s="645"/>
      <c r="G40" s="645"/>
      <c r="H40" s="645"/>
      <c r="I40" s="645"/>
      <c r="J40" s="1067">
        <f>'1.7.1 ElecLR'!AI70*1000</f>
        <v>88.994475000000008</v>
      </c>
      <c r="K40" s="645"/>
      <c r="L40" s="645"/>
      <c r="M40" s="644"/>
      <c r="N40" s="643"/>
      <c r="O40" s="645"/>
      <c r="P40" s="258"/>
      <c r="Q40" s="258"/>
      <c r="R40" s="645"/>
      <c r="S40" s="645"/>
      <c r="T40" s="1068"/>
      <c r="U40" s="258"/>
      <c r="V40" s="645"/>
    </row>
    <row r="41" spans="1:22" ht="12.75" customHeight="1" x14ac:dyDescent="0.45">
      <c r="A41" s="655">
        <v>1951</v>
      </c>
      <c r="B41" s="645"/>
      <c r="C41" s="645"/>
      <c r="D41" s="645"/>
      <c r="E41" s="645"/>
      <c r="F41" s="645"/>
      <c r="G41" s="645"/>
      <c r="H41" s="645"/>
      <c r="I41" s="645"/>
      <c r="J41" s="1067">
        <f>'1.7.1 ElecLR'!AI71*1000</f>
        <v>145.05669500000002</v>
      </c>
      <c r="K41" s="645"/>
      <c r="L41" s="645"/>
      <c r="M41" s="644"/>
      <c r="N41" s="643"/>
      <c r="O41" s="645"/>
      <c r="P41" s="258"/>
      <c r="Q41" s="258"/>
      <c r="R41" s="645"/>
      <c r="S41" s="645"/>
      <c r="T41" s="1068"/>
      <c r="U41" s="258"/>
      <c r="V41" s="645"/>
    </row>
    <row r="42" spans="1:22" ht="12.75" customHeight="1" x14ac:dyDescent="0.45">
      <c r="A42" s="655">
        <v>1952</v>
      </c>
      <c r="B42" s="645"/>
      <c r="C42" s="645"/>
      <c r="D42" s="645"/>
      <c r="E42" s="645"/>
      <c r="F42" s="645"/>
      <c r="G42" s="645"/>
      <c r="H42" s="645"/>
      <c r="I42" s="645"/>
      <c r="J42" s="1067">
        <f>'1.7.1 ElecLR'!AI72*1000</f>
        <v>156.40671500000002</v>
      </c>
      <c r="K42" s="645"/>
      <c r="L42" s="645"/>
      <c r="M42" s="644"/>
      <c r="N42" s="643"/>
      <c r="O42" s="645"/>
      <c r="P42" s="258"/>
      <c r="Q42" s="258"/>
      <c r="R42" s="645"/>
      <c r="S42" s="645"/>
      <c r="T42" s="1068"/>
      <c r="U42" s="258"/>
      <c r="V42" s="645"/>
    </row>
    <row r="43" spans="1:22" ht="12.75" customHeight="1" x14ac:dyDescent="0.45">
      <c r="A43" s="655">
        <v>1953</v>
      </c>
      <c r="B43" s="645"/>
      <c r="C43" s="645"/>
      <c r="D43" s="645"/>
      <c r="E43" s="645"/>
      <c r="F43" s="645"/>
      <c r="G43" s="645"/>
      <c r="H43" s="645"/>
      <c r="I43" s="645"/>
      <c r="J43" s="1067">
        <f>'1.7.1 ElecLR'!AI73*1000</f>
        <v>162.68362000000002</v>
      </c>
      <c r="K43" s="645"/>
      <c r="L43" s="645"/>
      <c r="M43" s="644"/>
      <c r="N43" s="643"/>
      <c r="O43" s="645"/>
      <c r="P43" s="258"/>
      <c r="Q43" s="258"/>
      <c r="R43" s="645"/>
      <c r="S43" s="645"/>
      <c r="T43" s="1068"/>
      <c r="U43" s="258"/>
      <c r="V43" s="645"/>
    </row>
    <row r="44" spans="1:22" ht="12.75" customHeight="1" x14ac:dyDescent="0.45">
      <c r="A44" s="655">
        <v>1954</v>
      </c>
      <c r="B44" s="645"/>
      <c r="C44" s="645"/>
      <c r="D44" s="645"/>
      <c r="E44" s="645"/>
      <c r="F44" s="645"/>
      <c r="G44" s="645"/>
      <c r="H44" s="645"/>
      <c r="I44" s="645"/>
      <c r="J44" s="1067">
        <f>'1.7.1 ElecLR'!AI74*1000</f>
        <v>204.98824000000002</v>
      </c>
      <c r="K44" s="645"/>
      <c r="L44" s="645"/>
      <c r="M44" s="644"/>
      <c r="N44" s="643"/>
      <c r="O44" s="645"/>
      <c r="P44" s="258"/>
      <c r="Q44" s="258"/>
      <c r="R44" s="645"/>
      <c r="S44" s="645"/>
      <c r="T44" s="1068"/>
      <c r="U44" s="258"/>
      <c r="V44" s="645"/>
    </row>
    <row r="45" spans="1:22" ht="12.75" customHeight="1" x14ac:dyDescent="0.45">
      <c r="A45" s="655">
        <v>1955</v>
      </c>
      <c r="B45" s="645"/>
      <c r="C45" s="645"/>
      <c r="D45" s="645"/>
      <c r="E45" s="645"/>
      <c r="F45" s="645"/>
      <c r="G45" s="645"/>
      <c r="H45" s="645"/>
      <c r="I45" s="645"/>
      <c r="J45" s="1067">
        <f>'1.7.1 ElecLR'!AI75*1000</f>
        <v>145.65859</v>
      </c>
      <c r="K45" s="645"/>
      <c r="L45" s="645"/>
      <c r="M45" s="644"/>
      <c r="N45" s="643"/>
      <c r="O45" s="645"/>
      <c r="P45" s="258"/>
      <c r="Q45" s="258"/>
      <c r="R45" s="645"/>
      <c r="S45" s="645"/>
      <c r="T45" s="1068"/>
      <c r="U45" s="258"/>
      <c r="V45" s="645"/>
    </row>
    <row r="46" spans="1:22" ht="12.75" customHeight="1" x14ac:dyDescent="0.45">
      <c r="A46" s="655">
        <v>1956</v>
      </c>
      <c r="B46" s="645"/>
      <c r="C46" s="645"/>
      <c r="D46" s="645"/>
      <c r="E46" s="645"/>
      <c r="F46" s="645"/>
      <c r="G46" s="645"/>
      <c r="H46" s="645"/>
      <c r="I46" s="645"/>
      <c r="J46" s="1067">
        <f>'1.7.1 ElecLR'!AI76*1000</f>
        <v>195.01398</v>
      </c>
      <c r="K46" s="645"/>
      <c r="L46" s="645"/>
      <c r="M46" s="644"/>
      <c r="N46" s="643"/>
      <c r="O46" s="645"/>
      <c r="P46" s="258"/>
      <c r="Q46" s="258"/>
      <c r="R46" s="645"/>
      <c r="S46" s="645"/>
      <c r="T46" s="1068"/>
      <c r="U46" s="258"/>
      <c r="V46" s="645"/>
    </row>
    <row r="47" spans="1:22" ht="12.75" customHeight="1" x14ac:dyDescent="0.45">
      <c r="A47" s="655">
        <v>1957</v>
      </c>
      <c r="B47" s="645"/>
      <c r="C47" s="645"/>
      <c r="D47" s="645"/>
      <c r="E47" s="645"/>
      <c r="F47" s="645"/>
      <c r="G47" s="645"/>
      <c r="H47" s="645"/>
      <c r="I47" s="645"/>
      <c r="J47" s="1067">
        <f>'1.7.1 ElecLR'!AI77*1000</f>
        <v>236.02882500000001</v>
      </c>
      <c r="K47" s="645"/>
      <c r="L47" s="645"/>
      <c r="M47" s="644"/>
      <c r="N47" s="643"/>
      <c r="O47" s="645"/>
      <c r="P47" s="258"/>
      <c r="Q47" s="258"/>
      <c r="R47" s="645"/>
      <c r="S47" s="645"/>
      <c r="T47" s="1068"/>
      <c r="U47" s="258"/>
      <c r="V47" s="645"/>
    </row>
    <row r="48" spans="1:22" ht="12.75" customHeight="1" x14ac:dyDescent="0.45">
      <c r="A48" s="655">
        <v>1958</v>
      </c>
      <c r="B48" s="645"/>
      <c r="C48" s="645"/>
      <c r="D48" s="645"/>
      <c r="E48" s="645"/>
      <c r="F48" s="645"/>
      <c r="G48" s="645"/>
      <c r="H48" s="645"/>
      <c r="I48" s="645"/>
      <c r="J48" s="1067">
        <f>'1.7.1 ElecLR'!AI78*1000</f>
        <v>232.07351500000001</v>
      </c>
      <c r="K48" s="645"/>
      <c r="L48" s="645"/>
      <c r="M48" s="644"/>
      <c r="N48" s="643"/>
      <c r="O48" s="645"/>
      <c r="P48" s="258"/>
      <c r="Q48" s="258"/>
      <c r="R48" s="645"/>
      <c r="S48" s="645"/>
      <c r="T48" s="1068"/>
      <c r="U48" s="258"/>
      <c r="V48" s="645"/>
    </row>
    <row r="49" spans="1:22" ht="12.75" customHeight="1" x14ac:dyDescent="0.45">
      <c r="A49" s="655">
        <v>1959</v>
      </c>
      <c r="B49" s="645"/>
      <c r="C49" s="645"/>
      <c r="D49" s="645"/>
      <c r="E49" s="645"/>
      <c r="F49" s="645"/>
      <c r="G49" s="645"/>
      <c r="H49" s="645"/>
      <c r="I49" s="645"/>
      <c r="J49" s="1067">
        <f>'1.7.1 ElecLR'!AI79*1000</f>
        <v>231.98753000000002</v>
      </c>
      <c r="K49" s="645"/>
      <c r="L49" s="645"/>
      <c r="M49" s="644"/>
      <c r="N49" s="643"/>
      <c r="O49" s="645"/>
      <c r="P49" s="258"/>
      <c r="Q49" s="258"/>
      <c r="R49" s="645"/>
      <c r="S49" s="645"/>
      <c r="T49" s="1068"/>
      <c r="U49" s="258"/>
      <c r="V49" s="645"/>
    </row>
    <row r="50" spans="1:22" ht="12.75" customHeight="1" x14ac:dyDescent="0.45">
      <c r="A50" s="655">
        <v>1960</v>
      </c>
      <c r="B50" s="645"/>
      <c r="C50" s="645"/>
      <c r="D50" s="645"/>
      <c r="E50" s="645"/>
      <c r="F50" s="645"/>
      <c r="G50" s="645"/>
      <c r="H50" s="645"/>
      <c r="I50" s="645"/>
      <c r="J50" s="1067">
        <f>'1.7.1 ElecLR'!AI80*1000</f>
        <v>268.53115500000001</v>
      </c>
      <c r="K50" s="645"/>
      <c r="L50" s="645"/>
      <c r="M50" s="644"/>
      <c r="N50" s="643"/>
      <c r="O50" s="645"/>
      <c r="P50" s="258"/>
      <c r="Q50" s="258"/>
      <c r="R50" s="645"/>
      <c r="S50" s="645"/>
      <c r="T50" s="1068"/>
      <c r="U50" s="258"/>
      <c r="V50" s="645"/>
    </row>
    <row r="51" spans="1:22" ht="12.75" customHeight="1" x14ac:dyDescent="0.45">
      <c r="A51" s="655">
        <v>1961</v>
      </c>
      <c r="B51" s="645"/>
      <c r="C51" s="645"/>
      <c r="D51" s="645"/>
      <c r="E51" s="645"/>
      <c r="F51" s="645"/>
      <c r="G51" s="645"/>
      <c r="H51" s="645"/>
      <c r="I51" s="645"/>
      <c r="J51" s="1067">
        <f>'1.7.1 ElecLR'!AI81*1000</f>
        <v>330.35437000000002</v>
      </c>
      <c r="K51" s="645"/>
      <c r="L51" s="645"/>
      <c r="M51" s="644"/>
      <c r="N51" s="643"/>
      <c r="O51" s="645"/>
      <c r="P51" s="258"/>
      <c r="Q51" s="258"/>
      <c r="R51" s="645"/>
      <c r="S51" s="645"/>
      <c r="T51" s="1068"/>
      <c r="U51" s="258"/>
      <c r="V51" s="645"/>
    </row>
    <row r="52" spans="1:22" ht="12.75" customHeight="1" x14ac:dyDescent="0.45">
      <c r="A52" s="655">
        <v>1962</v>
      </c>
      <c r="B52" s="645"/>
      <c r="C52" s="645"/>
      <c r="D52" s="645"/>
      <c r="E52" s="645"/>
      <c r="F52" s="645"/>
      <c r="G52" s="645"/>
      <c r="H52" s="645"/>
      <c r="I52" s="645"/>
      <c r="J52" s="1067">
        <f>'1.7.1 ElecLR'!AI82*1000</f>
        <v>336.45930500000003</v>
      </c>
      <c r="K52" s="645"/>
      <c r="L52" s="645"/>
      <c r="M52" s="644"/>
      <c r="N52" s="643"/>
      <c r="O52" s="645"/>
      <c r="P52" s="258"/>
      <c r="Q52" s="258"/>
      <c r="R52" s="645"/>
      <c r="S52" s="645"/>
      <c r="T52" s="1068"/>
      <c r="U52" s="258"/>
      <c r="V52" s="645"/>
    </row>
    <row r="53" spans="1:22" ht="12.75" customHeight="1" x14ac:dyDescent="0.45">
      <c r="A53" s="655">
        <v>1963</v>
      </c>
      <c r="B53" s="645"/>
      <c r="C53" s="645"/>
      <c r="D53" s="645"/>
      <c r="E53" s="645"/>
      <c r="F53" s="645"/>
      <c r="G53" s="645"/>
      <c r="H53" s="645"/>
      <c r="I53" s="645"/>
      <c r="J53" s="1067">
        <f>'1.7.1 ElecLR'!AI83*1000</f>
        <v>313.67328000000003</v>
      </c>
      <c r="K53" s="645"/>
      <c r="L53" s="645"/>
      <c r="M53" s="644"/>
      <c r="N53" s="643"/>
      <c r="O53" s="645"/>
      <c r="P53" s="258"/>
      <c r="Q53" s="258"/>
      <c r="R53" s="645"/>
      <c r="S53" s="645"/>
      <c r="T53" s="1068"/>
      <c r="U53" s="258"/>
      <c r="V53" s="645"/>
    </row>
    <row r="54" spans="1:22" ht="12.75" customHeight="1" x14ac:dyDescent="0.45">
      <c r="A54" s="655">
        <v>1964</v>
      </c>
      <c r="B54" s="645"/>
      <c r="C54" s="645"/>
      <c r="D54" s="645"/>
      <c r="E54" s="645"/>
      <c r="F54" s="645"/>
      <c r="G54" s="645"/>
      <c r="H54" s="645"/>
      <c r="I54" s="645"/>
      <c r="J54" s="1067">
        <f>'1.7.1 ElecLR'!AI84*1000</f>
        <v>344.62788</v>
      </c>
      <c r="K54" s="645"/>
      <c r="L54" s="645"/>
      <c r="M54" s="644"/>
      <c r="N54" s="643"/>
      <c r="O54" s="645"/>
      <c r="P54" s="258"/>
      <c r="Q54" s="258"/>
      <c r="R54" s="645"/>
      <c r="S54" s="645"/>
      <c r="T54" s="1068"/>
      <c r="U54" s="258"/>
      <c r="V54" s="645"/>
    </row>
    <row r="55" spans="1:22" ht="12.75" customHeight="1" x14ac:dyDescent="0.45">
      <c r="A55" s="655">
        <v>1965</v>
      </c>
      <c r="B55" s="645"/>
      <c r="C55" s="645"/>
      <c r="D55" s="645"/>
      <c r="E55" s="645"/>
      <c r="F55" s="645"/>
      <c r="G55" s="645"/>
      <c r="H55" s="645"/>
      <c r="I55" s="645"/>
      <c r="J55" s="1067">
        <f>'1.7.1 ElecLR'!AI85*1000</f>
        <v>396.56282000000004</v>
      </c>
      <c r="K55" s="645"/>
      <c r="L55" s="645"/>
      <c r="M55" s="644"/>
      <c r="N55" s="643"/>
      <c r="O55" s="645"/>
      <c r="P55" s="258"/>
      <c r="Q55" s="258"/>
      <c r="R55" s="645"/>
      <c r="S55" s="645"/>
      <c r="T55" s="1068"/>
      <c r="U55" s="258"/>
      <c r="V55" s="645"/>
    </row>
    <row r="56" spans="1:22" ht="12.75" customHeight="1" x14ac:dyDescent="0.45">
      <c r="A56" s="655">
        <v>1966</v>
      </c>
      <c r="B56" s="645"/>
      <c r="C56" s="645"/>
      <c r="D56" s="645"/>
      <c r="E56" s="645"/>
      <c r="F56" s="645"/>
      <c r="G56" s="645"/>
      <c r="H56" s="645"/>
      <c r="I56" s="645"/>
      <c r="J56" s="1067">
        <f>'1.7.1 ElecLR'!AI86*1000</f>
        <v>390</v>
      </c>
      <c r="K56" s="645"/>
      <c r="L56" s="645"/>
      <c r="M56" s="644"/>
      <c r="N56" s="643"/>
      <c r="O56" s="645"/>
      <c r="P56" s="258"/>
      <c r="Q56" s="258"/>
      <c r="R56" s="645"/>
      <c r="S56" s="645"/>
      <c r="T56" s="1068"/>
      <c r="U56" s="258"/>
      <c r="V56" s="645"/>
    </row>
    <row r="57" spans="1:22" ht="12.75" customHeight="1" x14ac:dyDescent="0.45">
      <c r="A57" s="655">
        <v>1967</v>
      </c>
      <c r="B57" s="645"/>
      <c r="C57" s="645"/>
      <c r="D57" s="645"/>
      <c r="E57" s="645"/>
      <c r="F57" s="645"/>
      <c r="G57" s="645"/>
      <c r="H57" s="645"/>
      <c r="I57" s="645"/>
      <c r="J57" s="1067">
        <f>'1.7.1 ElecLR'!AI87*1000</f>
        <v>420</v>
      </c>
      <c r="K57" s="645"/>
      <c r="L57" s="645"/>
      <c r="M57" s="644"/>
      <c r="N57" s="643"/>
      <c r="O57" s="645"/>
      <c r="P57" s="258"/>
      <c r="Q57" s="258"/>
      <c r="R57" s="645"/>
      <c r="S57" s="645"/>
      <c r="T57" s="1068"/>
      <c r="U57" s="258"/>
      <c r="V57" s="645"/>
    </row>
    <row r="58" spans="1:22" ht="12.75" customHeight="1" x14ac:dyDescent="0.45">
      <c r="A58" s="655">
        <v>1968</v>
      </c>
      <c r="B58" s="645"/>
      <c r="C58" s="645"/>
      <c r="D58" s="645"/>
      <c r="E58" s="645"/>
      <c r="F58" s="645"/>
      <c r="G58" s="645"/>
      <c r="H58" s="645"/>
      <c r="I58" s="645"/>
      <c r="J58" s="1067">
        <f>'1.7.1 ElecLR'!AI88*1000</f>
        <v>320</v>
      </c>
      <c r="K58" s="645"/>
      <c r="L58" s="645"/>
      <c r="M58" s="644"/>
      <c r="N58" s="643"/>
      <c r="O58" s="645"/>
      <c r="P58" s="258"/>
      <c r="Q58" s="258"/>
      <c r="R58" s="645"/>
      <c r="S58" s="645"/>
      <c r="T58" s="1068"/>
      <c r="U58" s="258"/>
      <c r="V58" s="645"/>
    </row>
    <row r="59" spans="1:22" ht="12.75" customHeight="1" x14ac:dyDescent="0.45">
      <c r="A59" s="655">
        <v>1969</v>
      </c>
      <c r="B59" s="645"/>
      <c r="C59" s="645"/>
      <c r="D59" s="645"/>
      <c r="E59" s="645"/>
      <c r="F59" s="645"/>
      <c r="G59" s="645"/>
      <c r="H59" s="645"/>
      <c r="I59" s="645"/>
      <c r="J59" s="1067">
        <f>'1.7.1 ElecLR'!AI89*1000</f>
        <v>280</v>
      </c>
      <c r="K59" s="645"/>
      <c r="L59" s="645"/>
      <c r="M59" s="644"/>
      <c r="N59" s="643"/>
      <c r="O59" s="645"/>
      <c r="P59" s="258"/>
      <c r="Q59" s="258"/>
      <c r="R59" s="645"/>
      <c r="S59" s="645"/>
      <c r="T59" s="1068"/>
      <c r="U59" s="258"/>
      <c r="V59" s="645"/>
    </row>
    <row r="60" spans="1:22" ht="12.75" customHeight="1" x14ac:dyDescent="0.45">
      <c r="A60" s="655">
        <v>1970</v>
      </c>
      <c r="B60" s="645"/>
      <c r="C60" s="645"/>
      <c r="D60" s="645"/>
      <c r="E60" s="645"/>
      <c r="F60" s="645"/>
      <c r="G60" s="645"/>
      <c r="H60" s="645"/>
      <c r="I60" s="645"/>
      <c r="J60" s="1067">
        <f>'1.7.1 ElecLR'!AI90*1000</f>
        <v>390</v>
      </c>
      <c r="K60" s="645"/>
      <c r="L60" s="645"/>
      <c r="M60" s="644"/>
      <c r="N60" s="643"/>
      <c r="O60" s="645"/>
      <c r="P60" s="258"/>
      <c r="Q60" s="258"/>
      <c r="R60" s="645"/>
      <c r="S60" s="645"/>
      <c r="T60" s="1068"/>
      <c r="U60" s="258"/>
      <c r="V60" s="645"/>
    </row>
    <row r="61" spans="1:22" ht="12.75" customHeight="1" x14ac:dyDescent="0.45">
      <c r="A61" s="655">
        <v>1971</v>
      </c>
      <c r="B61" s="645"/>
      <c r="C61" s="645"/>
      <c r="D61" s="645"/>
      <c r="E61" s="645"/>
      <c r="F61" s="645"/>
      <c r="G61" s="645"/>
      <c r="H61" s="645"/>
      <c r="I61" s="645"/>
      <c r="J61" s="1067">
        <f>'1.7.1 ElecLR'!AI91*1000</f>
        <v>290</v>
      </c>
      <c r="K61" s="645"/>
      <c r="L61" s="645"/>
      <c r="M61" s="644"/>
      <c r="N61" s="643"/>
      <c r="O61" s="645"/>
      <c r="P61" s="258"/>
      <c r="Q61" s="258"/>
      <c r="R61" s="645"/>
      <c r="S61" s="645"/>
      <c r="T61" s="1068"/>
      <c r="U61" s="258"/>
      <c r="V61" s="645"/>
    </row>
    <row r="62" spans="1:22" ht="12.75" customHeight="1" x14ac:dyDescent="0.45">
      <c r="A62" s="655">
        <v>1972</v>
      </c>
      <c r="B62" s="645"/>
      <c r="C62" s="645"/>
      <c r="D62" s="645"/>
      <c r="E62" s="645"/>
      <c r="F62" s="645"/>
      <c r="G62" s="645"/>
      <c r="H62" s="645"/>
      <c r="I62" s="645"/>
      <c r="J62" s="1067">
        <f>'1.7.1 ElecLR'!AI92*1000</f>
        <v>290</v>
      </c>
      <c r="K62" s="645"/>
      <c r="L62" s="645"/>
      <c r="M62" s="644"/>
      <c r="N62" s="643"/>
      <c r="O62" s="645"/>
      <c r="P62" s="258"/>
      <c r="Q62" s="258"/>
      <c r="R62" s="645"/>
      <c r="S62" s="645"/>
      <c r="T62" s="1068"/>
      <c r="U62" s="258"/>
      <c r="V62" s="645"/>
    </row>
    <row r="63" spans="1:22" ht="12.75" customHeight="1" x14ac:dyDescent="0.45">
      <c r="A63" s="655">
        <v>1973</v>
      </c>
      <c r="B63" s="645"/>
      <c r="C63" s="645"/>
      <c r="D63" s="645"/>
      <c r="E63" s="645"/>
      <c r="F63" s="645"/>
      <c r="G63" s="645"/>
      <c r="H63" s="645"/>
      <c r="I63" s="645"/>
      <c r="J63" s="1067">
        <f>'1.7.1 ElecLR'!AI93*1000</f>
        <v>330</v>
      </c>
      <c r="K63" s="645"/>
      <c r="L63" s="645"/>
      <c r="M63" s="644"/>
      <c r="N63" s="643"/>
      <c r="O63" s="645"/>
      <c r="P63" s="258"/>
      <c r="Q63" s="258"/>
      <c r="R63" s="645"/>
      <c r="S63" s="645"/>
      <c r="T63" s="1068"/>
      <c r="U63" s="258"/>
      <c r="V63" s="645"/>
    </row>
    <row r="64" spans="1:22" ht="12.75" customHeight="1" x14ac:dyDescent="0.45">
      <c r="A64" s="655">
        <v>1974</v>
      </c>
      <c r="B64" s="645"/>
      <c r="C64" s="645"/>
      <c r="D64" s="645"/>
      <c r="E64" s="645"/>
      <c r="F64" s="645"/>
      <c r="G64" s="645"/>
      <c r="H64" s="645"/>
      <c r="I64" s="645"/>
      <c r="J64" s="1067">
        <f>'1.7.1 ElecLR'!AI94*1000</f>
        <v>350</v>
      </c>
      <c r="K64" s="645"/>
      <c r="L64" s="645"/>
      <c r="M64" s="644"/>
      <c r="N64" s="643"/>
      <c r="O64" s="645"/>
      <c r="P64" s="258"/>
      <c r="Q64" s="258"/>
      <c r="R64" s="645"/>
      <c r="S64" s="645"/>
      <c r="T64" s="1068"/>
      <c r="U64" s="258"/>
      <c r="V64" s="645"/>
    </row>
    <row r="65" spans="1:22" ht="12.75" customHeight="1" x14ac:dyDescent="0.45">
      <c r="A65" s="655">
        <v>1975</v>
      </c>
      <c r="B65" s="645"/>
      <c r="C65" s="645"/>
      <c r="D65" s="645"/>
      <c r="E65" s="645"/>
      <c r="F65" s="645"/>
      <c r="G65" s="645"/>
      <c r="H65" s="645"/>
      <c r="I65" s="645"/>
      <c r="J65" s="1067">
        <f>'1.7.1 ElecLR'!AI95*1000</f>
        <v>330</v>
      </c>
      <c r="K65" s="645"/>
      <c r="L65" s="645"/>
      <c r="M65" s="644"/>
      <c r="N65" s="643"/>
      <c r="O65" s="645"/>
      <c r="P65" s="258"/>
      <c r="Q65" s="258"/>
      <c r="R65" s="645"/>
      <c r="S65" s="645"/>
      <c r="T65" s="1068"/>
      <c r="U65" s="258"/>
      <c r="V65" s="645"/>
    </row>
    <row r="66" spans="1:22" ht="12.75" customHeight="1" x14ac:dyDescent="0.45">
      <c r="A66" s="655">
        <v>1976</v>
      </c>
      <c r="B66" s="645"/>
      <c r="C66" s="645"/>
      <c r="D66" s="645"/>
      <c r="E66" s="645"/>
      <c r="F66" s="645"/>
      <c r="G66" s="645"/>
      <c r="H66" s="645"/>
      <c r="I66" s="645"/>
      <c r="J66" s="1067">
        <f>'1.7.1 ElecLR'!AI96*1000</f>
        <v>390</v>
      </c>
      <c r="K66" s="645"/>
      <c r="L66" s="645"/>
      <c r="M66" s="644"/>
      <c r="N66" s="643"/>
      <c r="O66" s="645"/>
      <c r="P66" s="258"/>
      <c r="Q66" s="258"/>
      <c r="R66" s="645"/>
      <c r="S66" s="645"/>
      <c r="T66" s="1068"/>
      <c r="U66" s="258"/>
      <c r="V66" s="645"/>
    </row>
    <row r="67" spans="1:22" ht="12.75" customHeight="1" x14ac:dyDescent="0.45">
      <c r="A67" s="655">
        <v>1977</v>
      </c>
      <c r="B67" s="645"/>
      <c r="C67" s="645"/>
      <c r="D67" s="645"/>
      <c r="E67" s="645"/>
      <c r="F67" s="645"/>
      <c r="G67" s="645"/>
      <c r="H67" s="645"/>
      <c r="I67" s="645"/>
      <c r="J67" s="1067">
        <f>'1.7.1 ElecLR'!AI97*1000</f>
        <v>340</v>
      </c>
      <c r="K67" s="645"/>
      <c r="L67" s="645"/>
      <c r="M67" s="644"/>
      <c r="N67" s="643"/>
      <c r="O67" s="645"/>
      <c r="P67" s="258"/>
      <c r="Q67" s="258"/>
      <c r="R67" s="645"/>
      <c r="S67" s="645"/>
      <c r="T67" s="1068"/>
      <c r="U67" s="258"/>
      <c r="V67" s="645"/>
    </row>
    <row r="68" spans="1:22" ht="12.75" customHeight="1" x14ac:dyDescent="0.45">
      <c r="A68" s="655">
        <v>1978</v>
      </c>
      <c r="B68" s="645"/>
      <c r="C68" s="645"/>
      <c r="D68" s="645"/>
      <c r="E68" s="645"/>
      <c r="F68" s="645"/>
      <c r="G68" s="645"/>
      <c r="H68" s="645"/>
      <c r="I68" s="645"/>
      <c r="J68" s="1067">
        <f>'1.7.1 ElecLR'!AI98*1000</f>
        <v>350</v>
      </c>
      <c r="K68" s="645"/>
      <c r="L68" s="645"/>
      <c r="M68" s="644"/>
      <c r="N68" s="643"/>
      <c r="O68" s="645"/>
      <c r="P68" s="258"/>
      <c r="Q68" s="258"/>
      <c r="R68" s="645"/>
      <c r="S68" s="645"/>
      <c r="T68" s="1068"/>
      <c r="U68" s="258"/>
      <c r="V68" s="645"/>
    </row>
    <row r="69" spans="1:22" ht="12.75" customHeight="1" x14ac:dyDescent="0.45">
      <c r="A69" s="655">
        <v>1979</v>
      </c>
      <c r="B69" s="645"/>
      <c r="C69" s="645"/>
      <c r="D69" s="645"/>
      <c r="E69" s="645"/>
      <c r="F69" s="645"/>
      <c r="G69" s="645"/>
      <c r="H69" s="645"/>
      <c r="I69" s="645"/>
      <c r="J69" s="1067">
        <f>'1.7.1 ElecLR'!AI99*1000</f>
        <v>370</v>
      </c>
      <c r="K69" s="645"/>
      <c r="L69" s="645"/>
      <c r="M69" s="644"/>
      <c r="N69" s="643"/>
      <c r="O69" s="645"/>
      <c r="P69" s="258"/>
      <c r="Q69" s="258"/>
      <c r="R69" s="645"/>
      <c r="S69" s="645"/>
      <c r="T69" s="1068"/>
      <c r="U69" s="258"/>
      <c r="V69" s="645"/>
    </row>
    <row r="70" spans="1:22" ht="10.5" customHeight="1" x14ac:dyDescent="0.45">
      <c r="A70" s="655">
        <v>1980</v>
      </c>
      <c r="B70" s="640"/>
      <c r="C70" s="640"/>
      <c r="D70" s="640"/>
      <c r="E70" s="640"/>
      <c r="F70" s="640"/>
      <c r="G70" s="640"/>
      <c r="H70" s="640"/>
      <c r="I70" s="640"/>
      <c r="J70" s="1067">
        <f>'1.7.1 ElecLR'!AI100*1000</f>
        <v>340</v>
      </c>
      <c r="K70" s="640"/>
      <c r="L70" s="640"/>
      <c r="M70" s="640"/>
      <c r="N70" s="640"/>
      <c r="O70" s="640"/>
      <c r="P70" s="640"/>
      <c r="Q70" s="640"/>
      <c r="R70" s="640"/>
      <c r="S70" s="640"/>
      <c r="T70" s="1068"/>
      <c r="U70" s="654"/>
      <c r="V70" s="640"/>
    </row>
    <row r="71" spans="1:22" ht="10.5" customHeight="1" x14ac:dyDescent="0.45">
      <c r="A71" s="655">
        <v>1981</v>
      </c>
      <c r="B71" s="640"/>
      <c r="C71" s="640"/>
      <c r="D71" s="640"/>
      <c r="E71" s="640"/>
      <c r="F71" s="640"/>
      <c r="G71" s="640"/>
      <c r="H71" s="640"/>
      <c r="I71" s="640"/>
      <c r="J71" s="1067">
        <f>'1.7.1 ElecLR'!AI101*1000</f>
        <v>380</v>
      </c>
      <c r="K71" s="640"/>
      <c r="L71" s="640"/>
      <c r="M71" s="640"/>
      <c r="N71" s="640"/>
      <c r="O71" s="640"/>
      <c r="P71" s="640"/>
      <c r="Q71" s="640"/>
      <c r="R71" s="640"/>
      <c r="S71" s="640"/>
      <c r="T71" s="1068"/>
      <c r="U71" s="654"/>
      <c r="V71" s="640"/>
    </row>
    <row r="72" spans="1:22" ht="10.5" customHeight="1" x14ac:dyDescent="0.45">
      <c r="A72" s="655">
        <v>1982</v>
      </c>
      <c r="B72" s="640"/>
      <c r="C72" s="640"/>
      <c r="D72" s="640"/>
      <c r="E72" s="640"/>
      <c r="F72" s="640"/>
      <c r="G72" s="640"/>
      <c r="H72" s="640"/>
      <c r="I72" s="640"/>
      <c r="J72" s="1067">
        <f>'1.7.1 ElecLR'!AI102*1000</f>
        <v>390</v>
      </c>
      <c r="K72" s="640"/>
      <c r="L72" s="640"/>
      <c r="M72" s="640"/>
      <c r="N72" s="640"/>
      <c r="O72" s="640"/>
      <c r="P72" s="640"/>
      <c r="Q72" s="640"/>
      <c r="R72" s="640"/>
      <c r="S72" s="640"/>
      <c r="T72" s="1068"/>
      <c r="U72" s="654"/>
      <c r="V72" s="640"/>
    </row>
    <row r="73" spans="1:22" ht="10.5" customHeight="1" x14ac:dyDescent="0.45">
      <c r="A73" s="655">
        <v>1983</v>
      </c>
      <c r="B73" s="640"/>
      <c r="C73" s="640"/>
      <c r="D73" s="640"/>
      <c r="E73" s="640"/>
      <c r="F73" s="640"/>
      <c r="G73" s="640"/>
      <c r="H73" s="640"/>
      <c r="I73" s="640"/>
      <c r="J73" s="1067">
        <f>'1.7.1 ElecLR'!AI103*1000</f>
        <v>390</v>
      </c>
      <c r="K73" s="640"/>
      <c r="L73" s="640"/>
      <c r="M73" s="640"/>
      <c r="N73" s="640"/>
      <c r="O73" s="640"/>
      <c r="P73" s="640"/>
      <c r="Q73" s="640"/>
      <c r="R73" s="640"/>
      <c r="S73" s="640"/>
      <c r="T73" s="1068"/>
      <c r="U73" s="654"/>
      <c r="V73" s="640"/>
    </row>
    <row r="74" spans="1:22" ht="10.5" customHeight="1" x14ac:dyDescent="0.45">
      <c r="A74" s="655">
        <v>1984</v>
      </c>
      <c r="B74" s="640"/>
      <c r="C74" s="640"/>
      <c r="D74" s="640"/>
      <c r="E74" s="640"/>
      <c r="F74" s="640"/>
      <c r="G74" s="640"/>
      <c r="H74" s="640"/>
      <c r="I74" s="640"/>
      <c r="J74" s="1067">
        <f>'1.7.1 ElecLR'!AI104*1000</f>
        <v>390</v>
      </c>
      <c r="K74" s="640"/>
      <c r="L74" s="640"/>
      <c r="M74" s="640"/>
      <c r="N74" s="640"/>
      <c r="O74" s="640"/>
      <c r="P74" s="640"/>
      <c r="Q74" s="640"/>
      <c r="R74" s="640"/>
      <c r="S74" s="640"/>
      <c r="T74" s="1068"/>
      <c r="U74" s="654"/>
      <c r="V74" s="640"/>
    </row>
    <row r="75" spans="1:22" ht="10.5" customHeight="1" x14ac:dyDescent="0.45">
      <c r="A75" s="655">
        <v>1985</v>
      </c>
      <c r="B75" s="640"/>
      <c r="C75" s="640"/>
      <c r="D75" s="640"/>
      <c r="E75" s="640"/>
      <c r="F75" s="640"/>
      <c r="G75" s="640"/>
      <c r="H75" s="640"/>
      <c r="I75" s="640"/>
      <c r="J75" s="1067">
        <f>'1.7.1 ElecLR'!AI105*1000</f>
        <v>340</v>
      </c>
      <c r="K75" s="640"/>
      <c r="L75" s="640"/>
      <c r="M75" s="640"/>
      <c r="N75" s="640"/>
      <c r="O75" s="640"/>
      <c r="P75" s="640"/>
      <c r="Q75" s="640"/>
      <c r="R75" s="640"/>
      <c r="S75" s="640"/>
      <c r="T75" s="1068"/>
      <c r="U75" s="654"/>
      <c r="V75" s="640"/>
    </row>
    <row r="76" spans="1:22" ht="10.5" customHeight="1" x14ac:dyDescent="0.45">
      <c r="A76" s="655">
        <v>1986</v>
      </c>
      <c r="B76" s="640"/>
      <c r="C76" s="640"/>
      <c r="D76" s="640"/>
      <c r="E76" s="640"/>
      <c r="F76" s="640"/>
      <c r="G76" s="640"/>
      <c r="H76" s="640"/>
      <c r="I76" s="640"/>
      <c r="J76" s="1067">
        <f>'1.7.1 ElecLR'!AI106*1000</f>
        <v>360</v>
      </c>
      <c r="K76" s="640"/>
      <c r="L76" s="640"/>
      <c r="M76" s="640"/>
      <c r="N76" s="640"/>
      <c r="O76" s="640"/>
      <c r="P76" s="640"/>
      <c r="Q76" s="640"/>
      <c r="R76" s="640"/>
      <c r="S76" s="640"/>
      <c r="T76" s="1068"/>
      <c r="U76" s="654"/>
      <c r="V76" s="640"/>
    </row>
    <row r="77" spans="1:22" ht="10.5" customHeight="1" x14ac:dyDescent="0.45">
      <c r="A77" s="655">
        <v>1987</v>
      </c>
      <c r="B77" s="640"/>
      <c r="C77" s="640"/>
      <c r="D77" s="640"/>
      <c r="E77" s="640"/>
      <c r="F77" s="640"/>
      <c r="G77" s="640"/>
      <c r="H77" s="640"/>
      <c r="I77" s="640"/>
      <c r="J77" s="1067">
        <f>'1.7.1 ElecLR'!AI107*1000</f>
        <v>360</v>
      </c>
      <c r="K77" s="640"/>
      <c r="L77" s="640"/>
      <c r="M77" s="640"/>
      <c r="N77" s="640"/>
      <c r="O77" s="640"/>
      <c r="P77" s="640"/>
      <c r="Q77" s="640"/>
      <c r="R77" s="640"/>
      <c r="S77" s="640"/>
      <c r="T77" s="1068"/>
      <c r="U77" s="654"/>
      <c r="V77" s="640"/>
    </row>
    <row r="78" spans="1:22" ht="10.5" customHeight="1" x14ac:dyDescent="0.45">
      <c r="A78" s="655">
        <v>1988</v>
      </c>
      <c r="B78" s="640"/>
      <c r="C78" s="640"/>
      <c r="D78" s="640"/>
      <c r="E78" s="640"/>
      <c r="F78" s="640"/>
      <c r="G78" s="640"/>
      <c r="H78" s="640"/>
      <c r="I78" s="640"/>
      <c r="J78" s="1067">
        <f>'1.7.1 ElecLR'!AI108*1000</f>
        <v>420</v>
      </c>
      <c r="K78" s="640"/>
      <c r="L78" s="640"/>
      <c r="M78" s="640"/>
      <c r="N78" s="640"/>
      <c r="O78" s="640"/>
      <c r="P78" s="640"/>
      <c r="Q78" s="640"/>
      <c r="R78" s="640"/>
      <c r="S78" s="640"/>
      <c r="T78" s="1068"/>
      <c r="U78" s="654"/>
      <c r="V78" s="640"/>
    </row>
    <row r="79" spans="1:22" ht="10.5" customHeight="1" x14ac:dyDescent="0.45">
      <c r="A79" s="655">
        <v>1989</v>
      </c>
      <c r="B79" s="640"/>
      <c r="C79" s="640"/>
      <c r="D79" s="640"/>
      <c r="E79" s="640"/>
      <c r="F79" s="640"/>
      <c r="G79" s="640"/>
      <c r="H79" s="640"/>
      <c r="I79" s="640"/>
      <c r="J79" s="1067">
        <f>'1.7.1 ElecLR'!AI109*1000</f>
        <v>410</v>
      </c>
      <c r="K79" s="640"/>
      <c r="L79" s="640"/>
      <c r="M79" s="640"/>
      <c r="N79" s="640"/>
      <c r="O79" s="640"/>
      <c r="P79" s="640"/>
      <c r="Q79" s="640"/>
      <c r="R79" s="640"/>
      <c r="S79" s="640"/>
      <c r="T79" s="1068"/>
      <c r="U79" s="654"/>
      <c r="V79" s="640"/>
    </row>
    <row r="80" spans="1:22" ht="10.5" customHeight="1" x14ac:dyDescent="0.45">
      <c r="A80" s="655">
        <v>1990</v>
      </c>
      <c r="B80" s="656">
        <v>0.79</v>
      </c>
      <c r="C80" s="656">
        <v>0</v>
      </c>
      <c r="D80" s="657"/>
      <c r="E80" s="656">
        <v>0</v>
      </c>
      <c r="F80" s="657">
        <v>0</v>
      </c>
      <c r="G80" s="657">
        <v>0</v>
      </c>
      <c r="H80" s="657"/>
      <c r="I80" s="657">
        <v>10.88</v>
      </c>
      <c r="J80" s="657">
        <v>436.78</v>
      </c>
      <c r="K80" s="657"/>
      <c r="L80" s="657">
        <v>45.59</v>
      </c>
      <c r="M80" s="657">
        <v>103.64</v>
      </c>
      <c r="N80" s="657">
        <v>69.760000000000005</v>
      </c>
      <c r="O80" s="657">
        <v>0</v>
      </c>
      <c r="P80" s="657">
        <v>0</v>
      </c>
      <c r="Q80" s="657">
        <v>0.03</v>
      </c>
      <c r="R80" s="657">
        <v>0</v>
      </c>
      <c r="S80" s="657">
        <v>219.03</v>
      </c>
      <c r="T80" s="657">
        <v>667.48</v>
      </c>
      <c r="U80" s="657"/>
      <c r="V80" s="657">
        <v>40.97269</v>
      </c>
    </row>
    <row r="81" spans="1:22" ht="10.5" customHeight="1" x14ac:dyDescent="0.45">
      <c r="A81" s="655">
        <v>1991</v>
      </c>
      <c r="B81" s="656">
        <v>0.74</v>
      </c>
      <c r="C81" s="656">
        <v>0</v>
      </c>
      <c r="D81" s="657"/>
      <c r="E81" s="656">
        <v>0</v>
      </c>
      <c r="F81" s="657">
        <v>0</v>
      </c>
      <c r="G81" s="657">
        <v>0</v>
      </c>
      <c r="H81" s="657"/>
      <c r="I81" s="657">
        <v>12.2</v>
      </c>
      <c r="J81" s="657">
        <v>385.36</v>
      </c>
      <c r="K81" s="657"/>
      <c r="L81" s="657">
        <v>68.22</v>
      </c>
      <c r="M81" s="657">
        <v>107.58</v>
      </c>
      <c r="N81" s="657">
        <v>70.47</v>
      </c>
      <c r="O81" s="657">
        <v>0.48</v>
      </c>
      <c r="P81" s="657">
        <v>0</v>
      </c>
      <c r="Q81" s="657">
        <v>0.13</v>
      </c>
      <c r="R81" s="657">
        <v>0</v>
      </c>
      <c r="S81" s="657">
        <v>246.88</v>
      </c>
      <c r="T81" s="657">
        <v>645.17999999999995</v>
      </c>
      <c r="U81" s="657"/>
      <c r="V81" s="657">
        <v>41.38635</v>
      </c>
    </row>
    <row r="82" spans="1:22" ht="10.5" customHeight="1" x14ac:dyDescent="0.45">
      <c r="A82" s="655">
        <v>1992</v>
      </c>
      <c r="B82" s="656">
        <v>2.8</v>
      </c>
      <c r="C82" s="656">
        <v>0</v>
      </c>
      <c r="D82" s="657"/>
      <c r="E82" s="656">
        <v>0</v>
      </c>
      <c r="F82" s="657">
        <v>0</v>
      </c>
      <c r="G82" s="657">
        <v>0</v>
      </c>
      <c r="H82" s="657"/>
      <c r="I82" s="657">
        <v>12.84</v>
      </c>
      <c r="J82" s="657">
        <v>454.15</v>
      </c>
      <c r="K82" s="657"/>
      <c r="L82" s="657">
        <v>123.65</v>
      </c>
      <c r="M82" s="657">
        <v>107.58</v>
      </c>
      <c r="N82" s="657">
        <v>85.86</v>
      </c>
      <c r="O82" s="657">
        <v>17.37</v>
      </c>
      <c r="P82" s="657">
        <v>0</v>
      </c>
      <c r="Q82" s="657">
        <v>0.18</v>
      </c>
      <c r="R82" s="657">
        <v>0</v>
      </c>
      <c r="S82" s="657">
        <v>334.63</v>
      </c>
      <c r="T82" s="657">
        <v>804.41</v>
      </c>
      <c r="U82" s="657"/>
      <c r="V82" s="657">
        <v>50.425079999999994</v>
      </c>
    </row>
    <row r="83" spans="1:22" ht="10.5" customHeight="1" x14ac:dyDescent="0.45">
      <c r="A83" s="655">
        <v>1993</v>
      </c>
      <c r="B83" s="656">
        <v>18.690000000000001</v>
      </c>
      <c r="C83" s="656">
        <v>0</v>
      </c>
      <c r="D83" s="657"/>
      <c r="E83" s="656">
        <v>0</v>
      </c>
      <c r="F83" s="657">
        <v>0</v>
      </c>
      <c r="G83" s="657">
        <v>0</v>
      </c>
      <c r="H83" s="657"/>
      <c r="I83" s="657">
        <v>13.65</v>
      </c>
      <c r="J83" s="657">
        <v>356.22</v>
      </c>
      <c r="K83" s="657"/>
      <c r="L83" s="657">
        <v>146.58000000000001</v>
      </c>
      <c r="M83" s="657">
        <v>123.84</v>
      </c>
      <c r="N83" s="657">
        <v>119.1</v>
      </c>
      <c r="O83" s="657">
        <v>52.28</v>
      </c>
      <c r="P83" s="657">
        <v>0</v>
      </c>
      <c r="Q83" s="657">
        <v>0.17</v>
      </c>
      <c r="R83" s="657">
        <v>0</v>
      </c>
      <c r="S83" s="657">
        <v>441.96</v>
      </c>
      <c r="T83" s="657">
        <v>830.52</v>
      </c>
      <c r="U83" s="657"/>
      <c r="V83" s="657">
        <v>76.44976715009075</v>
      </c>
    </row>
    <row r="84" spans="1:22" ht="10.5" customHeight="1" x14ac:dyDescent="0.45">
      <c r="A84" s="655">
        <v>1994</v>
      </c>
      <c r="B84" s="656">
        <v>29.53</v>
      </c>
      <c r="C84" s="656">
        <v>0</v>
      </c>
      <c r="D84" s="657"/>
      <c r="E84" s="656">
        <v>0</v>
      </c>
      <c r="F84" s="657">
        <v>0</v>
      </c>
      <c r="G84" s="657">
        <v>0</v>
      </c>
      <c r="H84" s="657"/>
      <c r="I84" s="657">
        <v>13.65</v>
      </c>
      <c r="J84" s="657">
        <v>424.31</v>
      </c>
      <c r="K84" s="657"/>
      <c r="L84" s="657">
        <v>169.55</v>
      </c>
      <c r="M84" s="657">
        <v>118.32</v>
      </c>
      <c r="N84" s="657">
        <v>192.03</v>
      </c>
      <c r="O84" s="657">
        <v>70.77</v>
      </c>
      <c r="P84" s="657">
        <v>0</v>
      </c>
      <c r="Q84" s="657">
        <v>0.14000000000000001</v>
      </c>
      <c r="R84" s="657">
        <v>0</v>
      </c>
      <c r="S84" s="657">
        <v>550.80999999999995</v>
      </c>
      <c r="T84" s="657">
        <v>1018.3</v>
      </c>
      <c r="U84" s="657"/>
      <c r="V84" s="657">
        <v>156.33801570364</v>
      </c>
    </row>
    <row r="85" spans="1:22" ht="10.5" customHeight="1" x14ac:dyDescent="0.45">
      <c r="A85" s="655">
        <v>1995</v>
      </c>
      <c r="B85" s="656">
        <v>33.729999999999997</v>
      </c>
      <c r="C85" s="656">
        <v>0</v>
      </c>
      <c r="D85" s="657"/>
      <c r="E85" s="656">
        <v>0</v>
      </c>
      <c r="F85" s="657">
        <v>0</v>
      </c>
      <c r="G85" s="657">
        <v>0</v>
      </c>
      <c r="H85" s="657"/>
      <c r="I85" s="657">
        <v>14.24</v>
      </c>
      <c r="J85" s="657">
        <v>401.7</v>
      </c>
      <c r="K85" s="657"/>
      <c r="L85" s="657">
        <v>184.28</v>
      </c>
      <c r="M85" s="657">
        <v>134.6</v>
      </c>
      <c r="N85" s="657">
        <v>198.62</v>
      </c>
      <c r="O85" s="657">
        <v>71.16</v>
      </c>
      <c r="P85" s="657">
        <v>0</v>
      </c>
      <c r="Q85" s="657">
        <v>0.08</v>
      </c>
      <c r="R85" s="657">
        <v>0</v>
      </c>
      <c r="S85" s="657">
        <v>588.74</v>
      </c>
      <c r="T85" s="657">
        <v>1038.4100000000001</v>
      </c>
      <c r="U85" s="657"/>
      <c r="V85" s="657">
        <v>178.63481709276775</v>
      </c>
    </row>
    <row r="86" spans="1:22" ht="10.5" customHeight="1" x14ac:dyDescent="0.45">
      <c r="A86" s="655">
        <v>1996</v>
      </c>
      <c r="B86" s="656">
        <v>41.94</v>
      </c>
      <c r="C86" s="656">
        <v>0</v>
      </c>
      <c r="D86" s="657"/>
      <c r="E86" s="656">
        <v>0</v>
      </c>
      <c r="F86" s="657">
        <v>0</v>
      </c>
      <c r="G86" s="657">
        <v>0</v>
      </c>
      <c r="H86" s="657"/>
      <c r="I86" s="657">
        <v>10.11</v>
      </c>
      <c r="J86" s="657">
        <v>281.57</v>
      </c>
      <c r="K86" s="657"/>
      <c r="L86" s="657">
        <v>232.06</v>
      </c>
      <c r="M86" s="657">
        <v>134.6</v>
      </c>
      <c r="N86" s="657">
        <v>205.35</v>
      </c>
      <c r="O86" s="657">
        <v>66.989999999999995</v>
      </c>
      <c r="P86" s="657">
        <v>0</v>
      </c>
      <c r="Q86" s="657">
        <v>0.08</v>
      </c>
      <c r="R86" s="657">
        <v>0</v>
      </c>
      <c r="S86" s="657">
        <v>639.07000000000005</v>
      </c>
      <c r="T86" s="657">
        <v>972.69</v>
      </c>
      <c r="U86" s="657"/>
      <c r="V86" s="657">
        <v>184.80179701347089</v>
      </c>
    </row>
    <row r="87" spans="1:22" ht="10.5" customHeight="1" x14ac:dyDescent="0.45">
      <c r="A87" s="655">
        <v>1997</v>
      </c>
      <c r="B87" s="656">
        <v>57.35</v>
      </c>
      <c r="C87" s="656">
        <v>0</v>
      </c>
      <c r="D87" s="657"/>
      <c r="E87" s="656">
        <v>0</v>
      </c>
      <c r="F87" s="657">
        <v>0</v>
      </c>
      <c r="G87" s="657">
        <v>0</v>
      </c>
      <c r="H87" s="657"/>
      <c r="I87" s="657">
        <v>14.06</v>
      </c>
      <c r="J87" s="657">
        <v>344.38</v>
      </c>
      <c r="K87" s="657"/>
      <c r="L87" s="657">
        <v>301.05</v>
      </c>
      <c r="M87" s="657">
        <v>133.72</v>
      </c>
      <c r="N87" s="657">
        <v>258.20999999999998</v>
      </c>
      <c r="O87" s="657">
        <v>67.81</v>
      </c>
      <c r="P87" s="657">
        <v>0</v>
      </c>
      <c r="Q87" s="657">
        <v>0.05</v>
      </c>
      <c r="R87" s="657">
        <v>0</v>
      </c>
      <c r="S87" s="657">
        <v>760.84</v>
      </c>
      <c r="T87" s="657">
        <v>1176.6400000000001</v>
      </c>
      <c r="U87" s="657"/>
      <c r="V87" s="657">
        <v>235.96628196713479</v>
      </c>
    </row>
    <row r="88" spans="1:22" ht="10.5" customHeight="1" x14ac:dyDescent="0.45">
      <c r="A88" s="655">
        <v>1998</v>
      </c>
      <c r="B88" s="656">
        <v>75.400000000000006</v>
      </c>
      <c r="C88" s="656">
        <v>0</v>
      </c>
      <c r="D88" s="657"/>
      <c r="E88" s="656">
        <v>0</v>
      </c>
      <c r="F88" s="657">
        <v>0</v>
      </c>
      <c r="G88" s="657">
        <v>0</v>
      </c>
      <c r="H88" s="657"/>
      <c r="I88" s="657">
        <v>17.75</v>
      </c>
      <c r="J88" s="657">
        <v>422.26</v>
      </c>
      <c r="K88" s="657"/>
      <c r="L88" s="657">
        <v>388.77</v>
      </c>
      <c r="M88" s="657">
        <v>126.47</v>
      </c>
      <c r="N88" s="657">
        <v>346.46</v>
      </c>
      <c r="O88" s="657">
        <v>76.22</v>
      </c>
      <c r="P88" s="657">
        <v>0.08</v>
      </c>
      <c r="Q88" s="657">
        <v>0</v>
      </c>
      <c r="R88" s="657">
        <v>0</v>
      </c>
      <c r="S88" s="657">
        <v>937.99</v>
      </c>
      <c r="T88" s="657">
        <v>1453.39</v>
      </c>
      <c r="U88" s="657"/>
      <c r="V88" s="657">
        <v>302.79218196713475</v>
      </c>
    </row>
    <row r="89" spans="1:22" ht="10.5" customHeight="1" x14ac:dyDescent="0.45">
      <c r="A89" s="655">
        <v>1999</v>
      </c>
      <c r="B89" s="656">
        <v>73.099999999999994</v>
      </c>
      <c r="C89" s="656">
        <v>0</v>
      </c>
      <c r="D89" s="657"/>
      <c r="E89" s="656">
        <v>0</v>
      </c>
      <c r="F89" s="657">
        <v>0</v>
      </c>
      <c r="G89" s="657">
        <v>0</v>
      </c>
      <c r="H89" s="657"/>
      <c r="I89" s="657">
        <v>17.829999999999998</v>
      </c>
      <c r="J89" s="657">
        <v>440.97</v>
      </c>
      <c r="K89" s="657"/>
      <c r="L89" s="657">
        <v>558.41</v>
      </c>
      <c r="M89" s="657">
        <v>134.6</v>
      </c>
      <c r="N89" s="657">
        <v>345</v>
      </c>
      <c r="O89" s="657">
        <v>156.77000000000001</v>
      </c>
      <c r="P89" s="657">
        <v>0.25</v>
      </c>
      <c r="Q89" s="657">
        <v>0</v>
      </c>
      <c r="R89" s="657">
        <v>0</v>
      </c>
      <c r="S89" s="657">
        <v>1195.03</v>
      </c>
      <c r="T89" s="657">
        <v>1726.93</v>
      </c>
      <c r="U89" s="657"/>
      <c r="V89" s="657">
        <v>272.54008385277541</v>
      </c>
    </row>
    <row r="90" spans="1:22" ht="10.5" customHeight="1" x14ac:dyDescent="0.45">
      <c r="A90" s="655">
        <v>2000</v>
      </c>
      <c r="B90" s="656">
        <v>81.260000000000005</v>
      </c>
      <c r="C90" s="656">
        <v>0.08</v>
      </c>
      <c r="D90" s="657"/>
      <c r="E90" s="656">
        <v>0</v>
      </c>
      <c r="F90" s="657">
        <v>0.11</v>
      </c>
      <c r="G90" s="657">
        <v>0</v>
      </c>
      <c r="H90" s="657"/>
      <c r="I90" s="657">
        <v>18.420000000000002</v>
      </c>
      <c r="J90" s="657">
        <v>418.84</v>
      </c>
      <c r="K90" s="657"/>
      <c r="L90" s="657">
        <v>717.55</v>
      </c>
      <c r="M90" s="657">
        <v>120.4</v>
      </c>
      <c r="N90" s="657">
        <v>350.06</v>
      </c>
      <c r="O90" s="657">
        <v>182.53</v>
      </c>
      <c r="P90" s="657">
        <v>10.77</v>
      </c>
      <c r="Q90" s="657">
        <v>0</v>
      </c>
      <c r="R90" s="657">
        <v>0</v>
      </c>
      <c r="S90" s="657">
        <v>1381.31</v>
      </c>
      <c r="T90" s="657">
        <v>1900.02</v>
      </c>
      <c r="U90" s="657"/>
      <c r="V90" s="657">
        <v>253.34772764574373</v>
      </c>
    </row>
    <row r="91" spans="1:22" ht="10.5" customHeight="1" x14ac:dyDescent="0.45">
      <c r="A91" s="658">
        <v>2001</v>
      </c>
      <c r="B91" s="656">
        <v>82.55</v>
      </c>
      <c r="C91" s="656">
        <v>0.42</v>
      </c>
      <c r="D91" s="657"/>
      <c r="E91" s="656">
        <v>0</v>
      </c>
      <c r="F91" s="657">
        <v>0.16</v>
      </c>
      <c r="G91" s="657">
        <v>0</v>
      </c>
      <c r="H91" s="657"/>
      <c r="I91" s="657">
        <v>18.079999999999998</v>
      </c>
      <c r="J91" s="657">
        <v>330.65</v>
      </c>
      <c r="K91" s="657"/>
      <c r="L91" s="657">
        <v>822.24</v>
      </c>
      <c r="M91" s="657">
        <v>119.02</v>
      </c>
      <c r="N91" s="657">
        <v>387.06</v>
      </c>
      <c r="O91" s="657">
        <v>205.33</v>
      </c>
      <c r="P91" s="657">
        <v>80.739999999999995</v>
      </c>
      <c r="Q91" s="657">
        <v>0</v>
      </c>
      <c r="R91" s="657">
        <v>0</v>
      </c>
      <c r="S91" s="657">
        <v>1614.39</v>
      </c>
      <c r="T91" s="657">
        <v>2046.26</v>
      </c>
      <c r="U91" s="657"/>
      <c r="V91" s="657">
        <v>266.23376875000002</v>
      </c>
    </row>
    <row r="92" spans="1:22" ht="10.5" customHeight="1" x14ac:dyDescent="0.45">
      <c r="A92" s="658">
        <v>2002</v>
      </c>
      <c r="B92" s="656">
        <v>107.59</v>
      </c>
      <c r="C92" s="656">
        <v>0.41</v>
      </c>
      <c r="D92" s="657"/>
      <c r="E92" s="656">
        <v>0</v>
      </c>
      <c r="F92" s="657">
        <v>0.23</v>
      </c>
      <c r="G92" s="657">
        <v>0</v>
      </c>
      <c r="H92" s="657"/>
      <c r="I92" s="657">
        <v>17.5</v>
      </c>
      <c r="J92" s="657">
        <v>394.19</v>
      </c>
      <c r="K92" s="657"/>
      <c r="L92" s="657">
        <v>878.53</v>
      </c>
      <c r="M92" s="657">
        <v>120.55</v>
      </c>
      <c r="N92" s="657">
        <v>420.18</v>
      </c>
      <c r="O92" s="657">
        <v>184.41</v>
      </c>
      <c r="P92" s="657">
        <v>92.37</v>
      </c>
      <c r="Q92" s="657">
        <v>0</v>
      </c>
      <c r="R92" s="657">
        <v>93.96</v>
      </c>
      <c r="S92" s="657">
        <v>1790</v>
      </c>
      <c r="T92" s="657">
        <v>2309.9299999999998</v>
      </c>
      <c r="U92" s="657"/>
      <c r="V92" s="657">
        <v>286.11019982580672</v>
      </c>
    </row>
    <row r="93" spans="1:22" ht="10.5" customHeight="1" x14ac:dyDescent="0.45">
      <c r="A93" s="658">
        <v>2003</v>
      </c>
      <c r="B93" s="656">
        <v>109.67</v>
      </c>
      <c r="C93" s="656">
        <v>0.85</v>
      </c>
      <c r="D93" s="657"/>
      <c r="E93" s="656">
        <v>0</v>
      </c>
      <c r="F93" s="657">
        <v>0.25</v>
      </c>
      <c r="G93" s="657">
        <v>0</v>
      </c>
      <c r="H93" s="657"/>
      <c r="I93" s="657">
        <v>12.91</v>
      </c>
      <c r="J93" s="657">
        <v>256.87</v>
      </c>
      <c r="K93" s="657"/>
      <c r="L93" s="657">
        <v>1074.52</v>
      </c>
      <c r="M93" s="657">
        <v>129.31</v>
      </c>
      <c r="N93" s="657">
        <v>445.83</v>
      </c>
      <c r="O93" s="657">
        <v>169.39</v>
      </c>
      <c r="P93" s="657">
        <v>136.71</v>
      </c>
      <c r="Q93" s="657">
        <v>3.04</v>
      </c>
      <c r="R93" s="657">
        <v>197.34</v>
      </c>
      <c r="S93" s="657">
        <v>2156.14</v>
      </c>
      <c r="T93" s="657">
        <v>2536.69</v>
      </c>
      <c r="U93" s="657"/>
      <c r="V93" s="657">
        <v>273.75069388837574</v>
      </c>
    </row>
    <row r="94" spans="1:22" ht="10.5" customHeight="1" x14ac:dyDescent="0.45">
      <c r="A94" s="658">
        <v>2004</v>
      </c>
      <c r="B94" s="656">
        <v>149.30000000000001</v>
      </c>
      <c r="C94" s="656">
        <v>17.079999999999998</v>
      </c>
      <c r="D94" s="657"/>
      <c r="E94" s="656">
        <v>0</v>
      </c>
      <c r="F94" s="657">
        <v>0.34</v>
      </c>
      <c r="G94" s="657">
        <v>0</v>
      </c>
      <c r="H94" s="657"/>
      <c r="I94" s="657">
        <v>24.3</v>
      </c>
      <c r="J94" s="657">
        <v>392.2</v>
      </c>
      <c r="K94" s="657"/>
      <c r="L94" s="657">
        <v>1313.13</v>
      </c>
      <c r="M94" s="657">
        <v>144.31</v>
      </c>
      <c r="N94" s="657">
        <v>429.46</v>
      </c>
      <c r="O94" s="657">
        <v>179.39</v>
      </c>
      <c r="P94" s="657">
        <v>123.14</v>
      </c>
      <c r="Q94" s="657">
        <v>2.9</v>
      </c>
      <c r="R94" s="657">
        <v>335.05</v>
      </c>
      <c r="S94" s="657">
        <v>2527.39</v>
      </c>
      <c r="T94" s="657">
        <v>3110.63</v>
      </c>
      <c r="U94" s="657"/>
      <c r="V94" s="657">
        <v>263.92944388837566</v>
      </c>
    </row>
    <row r="95" spans="1:22" ht="10.5" customHeight="1" x14ac:dyDescent="0.45">
      <c r="A95" s="658">
        <v>2005</v>
      </c>
      <c r="B95" s="656">
        <v>215.06</v>
      </c>
      <c r="C95" s="656">
        <v>34.630000000000003</v>
      </c>
      <c r="D95" s="657"/>
      <c r="E95" s="656">
        <v>0</v>
      </c>
      <c r="F95" s="657">
        <v>0.7</v>
      </c>
      <c r="G95" s="657">
        <v>0</v>
      </c>
      <c r="H95" s="657"/>
      <c r="I95" s="657">
        <v>38.159999999999997</v>
      </c>
      <c r="J95" s="657">
        <v>385.01</v>
      </c>
      <c r="K95" s="657"/>
      <c r="L95" s="657">
        <v>1407.18</v>
      </c>
      <c r="M95" s="657">
        <v>152.81</v>
      </c>
      <c r="N95" s="657">
        <v>426.26</v>
      </c>
      <c r="O95" s="657">
        <v>158.9</v>
      </c>
      <c r="P95" s="657">
        <v>129.38</v>
      </c>
      <c r="Q95" s="657">
        <v>2.62</v>
      </c>
      <c r="R95" s="657">
        <v>830.66</v>
      </c>
      <c r="S95" s="657">
        <v>3107.8</v>
      </c>
      <c r="T95" s="657">
        <v>3781.37</v>
      </c>
      <c r="U95" s="657"/>
      <c r="V95" s="657">
        <v>262.00673557370783</v>
      </c>
    </row>
    <row r="96" spans="1:22" ht="10.5" customHeight="1" x14ac:dyDescent="0.45">
      <c r="A96" s="658">
        <v>2006</v>
      </c>
      <c r="B96" s="656">
        <v>307.27999999999997</v>
      </c>
      <c r="C96" s="656">
        <v>56.01</v>
      </c>
      <c r="D96" s="657"/>
      <c r="E96" s="656">
        <v>0</v>
      </c>
      <c r="F96" s="657">
        <v>0.92</v>
      </c>
      <c r="G96" s="657">
        <v>0</v>
      </c>
      <c r="H96" s="657"/>
      <c r="I96" s="657">
        <v>41.06</v>
      </c>
      <c r="J96" s="657">
        <v>353.87</v>
      </c>
      <c r="K96" s="657"/>
      <c r="L96" s="657">
        <v>1451.12</v>
      </c>
      <c r="M96" s="657">
        <v>145.91</v>
      </c>
      <c r="N96" s="657">
        <v>479</v>
      </c>
      <c r="O96" s="657">
        <v>144.77000000000001</v>
      </c>
      <c r="P96" s="657">
        <v>122.9</v>
      </c>
      <c r="Q96" s="657">
        <v>3.77</v>
      </c>
      <c r="R96" s="657">
        <v>828.96</v>
      </c>
      <c r="S96" s="657">
        <v>3176.44</v>
      </c>
      <c r="T96" s="657">
        <v>3935.58</v>
      </c>
      <c r="U96" s="657"/>
      <c r="V96" s="657">
        <v>293.68568689277578</v>
      </c>
    </row>
    <row r="97" spans="1:25" ht="10.5" customHeight="1" x14ac:dyDescent="0.45">
      <c r="A97" s="658">
        <v>2007</v>
      </c>
      <c r="B97" s="656">
        <v>386.18</v>
      </c>
      <c r="C97" s="656">
        <v>67.290000000000006</v>
      </c>
      <c r="D97" s="657"/>
      <c r="E97" s="656">
        <v>0</v>
      </c>
      <c r="F97" s="657">
        <v>1.2</v>
      </c>
      <c r="G97" s="657">
        <v>0</v>
      </c>
      <c r="H97" s="657"/>
      <c r="I97" s="657">
        <v>45</v>
      </c>
      <c r="J97" s="657">
        <v>391.58</v>
      </c>
      <c r="K97" s="657"/>
      <c r="L97" s="657">
        <v>1533.88</v>
      </c>
      <c r="M97" s="657">
        <v>161.87</v>
      </c>
      <c r="N97" s="657">
        <v>486.75</v>
      </c>
      <c r="O97" s="657">
        <v>217.59</v>
      </c>
      <c r="P97" s="657">
        <v>137.78</v>
      </c>
      <c r="Q97" s="657">
        <v>4.92</v>
      </c>
      <c r="R97" s="657">
        <v>576.37</v>
      </c>
      <c r="S97" s="657">
        <v>3119.17</v>
      </c>
      <c r="T97" s="657">
        <v>4010.41</v>
      </c>
      <c r="U97" s="657"/>
      <c r="V97" s="657">
        <v>298.33817997616279</v>
      </c>
    </row>
    <row r="98" spans="1:25" s="660" customFormat="1" ht="10.5" customHeight="1" x14ac:dyDescent="0.45">
      <c r="A98" s="659">
        <v>2008</v>
      </c>
      <c r="B98" s="656">
        <v>497.52</v>
      </c>
      <c r="C98" s="656">
        <v>114.82</v>
      </c>
      <c r="D98" s="657"/>
      <c r="E98" s="656">
        <v>0</v>
      </c>
      <c r="F98" s="657">
        <v>1.46</v>
      </c>
      <c r="G98" s="657">
        <v>0</v>
      </c>
      <c r="H98" s="657"/>
      <c r="I98" s="657">
        <v>46.54</v>
      </c>
      <c r="J98" s="657">
        <v>395.53</v>
      </c>
      <c r="K98" s="657"/>
      <c r="L98" s="657">
        <v>1540.15</v>
      </c>
      <c r="M98" s="657">
        <v>179.83</v>
      </c>
      <c r="N98" s="657">
        <v>506.77</v>
      </c>
      <c r="O98" s="657">
        <v>260.38</v>
      </c>
      <c r="P98" s="657">
        <v>242.04</v>
      </c>
      <c r="Q98" s="657">
        <v>6.61</v>
      </c>
      <c r="R98" s="657">
        <v>487.62</v>
      </c>
      <c r="S98" s="657">
        <v>3223.4</v>
      </c>
      <c r="T98" s="657">
        <v>4279.2700000000004</v>
      </c>
      <c r="U98" s="657"/>
      <c r="V98" s="657">
        <v>310.34958586451046</v>
      </c>
    </row>
    <row r="99" spans="1:25" s="660" customFormat="1" ht="10.5" customHeight="1" x14ac:dyDescent="0.45">
      <c r="A99" s="659">
        <v>2009</v>
      </c>
      <c r="B99" s="656">
        <v>647.22</v>
      </c>
      <c r="C99" s="656">
        <v>150.81</v>
      </c>
      <c r="D99" s="657"/>
      <c r="E99" s="656">
        <v>0.05</v>
      </c>
      <c r="F99" s="657">
        <v>1.72</v>
      </c>
      <c r="G99" s="657">
        <v>0</v>
      </c>
      <c r="H99" s="657"/>
      <c r="I99" s="657">
        <v>48.52</v>
      </c>
      <c r="J99" s="657">
        <v>401.01</v>
      </c>
      <c r="K99" s="657"/>
      <c r="L99" s="657">
        <v>1612.83</v>
      </c>
      <c r="M99" s="657">
        <v>197.78</v>
      </c>
      <c r="N99" s="657">
        <v>624.49</v>
      </c>
      <c r="O99" s="657">
        <v>232.05</v>
      </c>
      <c r="P99" s="657">
        <v>386.69</v>
      </c>
      <c r="Q99" s="657">
        <v>14.26</v>
      </c>
      <c r="R99" s="657">
        <v>439.8</v>
      </c>
      <c r="S99" s="657">
        <v>3507.89</v>
      </c>
      <c r="T99" s="657">
        <v>4757.21</v>
      </c>
      <c r="U99" s="657"/>
      <c r="V99" s="657">
        <v>365.24323022108598</v>
      </c>
    </row>
    <row r="100" spans="1:25" s="660" customFormat="1" ht="13.5" customHeight="1" x14ac:dyDescent="0.45">
      <c r="A100" s="659">
        <v>2010</v>
      </c>
      <c r="B100" s="656">
        <v>621.33000000000004</v>
      </c>
      <c r="C100" s="656">
        <v>263.08999999999997</v>
      </c>
      <c r="D100" s="656"/>
      <c r="E100" s="656">
        <v>0.16</v>
      </c>
      <c r="F100" s="656">
        <v>3.46</v>
      </c>
      <c r="G100" s="657">
        <v>0</v>
      </c>
      <c r="H100" s="657"/>
      <c r="I100" s="656">
        <v>42.95</v>
      </c>
      <c r="J100" s="656">
        <v>265.85000000000002</v>
      </c>
      <c r="K100" s="657"/>
      <c r="L100" s="656">
        <v>1711.01</v>
      </c>
      <c r="M100" s="656">
        <v>237.28</v>
      </c>
      <c r="N100" s="656">
        <v>604.15</v>
      </c>
      <c r="O100" s="656">
        <v>238.91</v>
      </c>
      <c r="P100" s="656">
        <v>461.16</v>
      </c>
      <c r="Q100" s="656">
        <v>38.53</v>
      </c>
      <c r="R100" s="656">
        <v>625.16</v>
      </c>
      <c r="S100" s="656">
        <v>3916.2</v>
      </c>
      <c r="T100" s="656">
        <v>5113.04</v>
      </c>
      <c r="V100" s="656">
        <v>395.8</v>
      </c>
      <c r="X100" s="661"/>
    </row>
    <row r="101" spans="1:25" s="259" customFormat="1" ht="10.5" customHeight="1" x14ac:dyDescent="0.45">
      <c r="A101" s="659">
        <v>2011</v>
      </c>
      <c r="B101" s="656">
        <v>929.84</v>
      </c>
      <c r="C101" s="656">
        <v>442.74</v>
      </c>
      <c r="D101" s="657"/>
      <c r="E101" s="656">
        <v>0.08</v>
      </c>
      <c r="F101" s="657">
        <v>20.95</v>
      </c>
      <c r="G101" s="657">
        <v>0</v>
      </c>
      <c r="H101" s="657"/>
      <c r="I101" s="657">
        <v>60.54</v>
      </c>
      <c r="J101" s="657">
        <v>428.86</v>
      </c>
      <c r="K101" s="657"/>
      <c r="L101" s="656">
        <v>1744.18</v>
      </c>
      <c r="M101" s="656">
        <v>254.18</v>
      </c>
      <c r="N101" s="656">
        <v>567.42999999999995</v>
      </c>
      <c r="O101" s="656">
        <v>224.01</v>
      </c>
      <c r="P101" s="656">
        <v>553.72</v>
      </c>
      <c r="Q101" s="656">
        <v>77.790000000000006</v>
      </c>
      <c r="R101" s="656">
        <v>763.51</v>
      </c>
      <c r="S101" s="656">
        <v>4184.83</v>
      </c>
      <c r="T101" s="657">
        <v>6067.84</v>
      </c>
      <c r="U101" s="657"/>
      <c r="V101" s="657">
        <v>415.5</v>
      </c>
      <c r="X101" s="661"/>
    </row>
    <row r="102" spans="1:25" s="259" customFormat="1" ht="10.5" customHeight="1" x14ac:dyDescent="0.45">
      <c r="A102" s="659">
        <v>2012</v>
      </c>
      <c r="B102" s="656">
        <v>1052.8</v>
      </c>
      <c r="C102" s="656">
        <v>653.76</v>
      </c>
      <c r="D102" s="657"/>
      <c r="E102" s="656">
        <v>0.36</v>
      </c>
      <c r="F102" s="657">
        <v>116.4</v>
      </c>
      <c r="G102" s="657">
        <v>0</v>
      </c>
      <c r="H102" s="657"/>
      <c r="I102" s="657">
        <v>58.31</v>
      </c>
      <c r="J102" s="657">
        <v>398.24</v>
      </c>
      <c r="K102" s="657"/>
      <c r="L102" s="656">
        <v>1708.26</v>
      </c>
      <c r="M102" s="656">
        <v>242.22</v>
      </c>
      <c r="N102" s="656">
        <v>638.53</v>
      </c>
      <c r="O102" s="656">
        <v>225</v>
      </c>
      <c r="P102" s="656">
        <v>1062.32</v>
      </c>
      <c r="Q102" s="656">
        <v>162.22999999999999</v>
      </c>
      <c r="R102" s="656">
        <v>400.51</v>
      </c>
      <c r="S102" s="656">
        <v>4439.08</v>
      </c>
      <c r="T102" s="657">
        <v>6718.95</v>
      </c>
      <c r="U102" s="657"/>
      <c r="V102" s="657">
        <v>520.34</v>
      </c>
      <c r="X102" s="661"/>
    </row>
    <row r="103" spans="1:25" s="259" customFormat="1" ht="10.5" customHeight="1" x14ac:dyDescent="0.45">
      <c r="A103" s="659">
        <v>2013</v>
      </c>
      <c r="B103" s="656">
        <v>1455.33</v>
      </c>
      <c r="C103" s="656">
        <v>986.39</v>
      </c>
      <c r="D103" s="657"/>
      <c r="E103" s="656">
        <v>0.41</v>
      </c>
      <c r="F103" s="657">
        <v>172.84</v>
      </c>
      <c r="G103" s="657">
        <v>0</v>
      </c>
      <c r="H103" s="657"/>
      <c r="I103" s="657">
        <v>58.04</v>
      </c>
      <c r="J103" s="657">
        <v>346.21</v>
      </c>
      <c r="K103" s="657"/>
      <c r="L103" s="656">
        <v>1697.16</v>
      </c>
      <c r="M103" s="656">
        <v>251.22</v>
      </c>
      <c r="N103" s="656">
        <v>564.66</v>
      </c>
      <c r="O103" s="656">
        <v>226.4</v>
      </c>
      <c r="P103" s="656">
        <v>2008.29</v>
      </c>
      <c r="Q103" s="656">
        <v>233.87</v>
      </c>
      <c r="R103" s="656">
        <v>53.66</v>
      </c>
      <c r="S103" s="656">
        <v>5035.26</v>
      </c>
      <c r="T103" s="657">
        <v>8054.49</v>
      </c>
      <c r="U103" s="657"/>
      <c r="V103" s="657">
        <v>513.09</v>
      </c>
      <c r="X103" s="661"/>
    </row>
    <row r="104" spans="1:25" s="259" customFormat="1" ht="10.5" customHeight="1" x14ac:dyDescent="0.45">
      <c r="A104" s="659">
        <v>2014</v>
      </c>
      <c r="B104" s="656">
        <v>1595.43</v>
      </c>
      <c r="C104" s="656">
        <v>1152.5899999999999</v>
      </c>
      <c r="D104" s="657"/>
      <c r="E104" s="656">
        <v>0.19</v>
      </c>
      <c r="F104" s="657">
        <v>348.59</v>
      </c>
      <c r="G104" s="657">
        <v>0</v>
      </c>
      <c r="H104" s="657"/>
      <c r="I104" s="657">
        <v>71.760000000000005</v>
      </c>
      <c r="J104" s="657">
        <v>434.5</v>
      </c>
      <c r="K104" s="657"/>
      <c r="L104" s="656">
        <v>1650.78</v>
      </c>
      <c r="M104" s="656">
        <v>275.55</v>
      </c>
      <c r="N104" s="656">
        <v>682.13</v>
      </c>
      <c r="O104" s="656">
        <v>224.82</v>
      </c>
      <c r="P104" s="656">
        <v>2912.88</v>
      </c>
      <c r="Q104" s="656">
        <v>335.38</v>
      </c>
      <c r="R104" s="656">
        <v>25.1</v>
      </c>
      <c r="S104" s="656">
        <v>6106.64</v>
      </c>
      <c r="T104" s="657">
        <v>9709.7099999999991</v>
      </c>
      <c r="U104" s="657"/>
      <c r="V104" s="657">
        <v>688.42</v>
      </c>
      <c r="X104" s="661"/>
    </row>
    <row r="105" spans="1:25" s="258" customFormat="1" ht="11.25" customHeight="1" x14ac:dyDescent="0.45">
      <c r="A105" s="658">
        <v>2015</v>
      </c>
      <c r="B105" s="662">
        <v>1964.93</v>
      </c>
      <c r="C105" s="662">
        <v>1498.09</v>
      </c>
      <c r="D105" s="663"/>
      <c r="E105" s="662">
        <v>0.17</v>
      </c>
      <c r="F105" s="663">
        <v>647.71</v>
      </c>
      <c r="G105" s="663">
        <v>0</v>
      </c>
      <c r="H105" s="663"/>
      <c r="I105" s="663">
        <v>84.54</v>
      </c>
      <c r="J105" s="663">
        <v>456.93</v>
      </c>
      <c r="K105" s="663"/>
      <c r="L105" s="662">
        <v>1597.96</v>
      </c>
      <c r="M105" s="662">
        <v>293.33999999999997</v>
      </c>
      <c r="N105" s="662">
        <v>905.24</v>
      </c>
      <c r="O105" s="662">
        <v>235.3</v>
      </c>
      <c r="P105" s="662">
        <v>3850.07</v>
      </c>
      <c r="Q105" s="662">
        <v>486.94</v>
      </c>
      <c r="R105" s="662">
        <v>37.78</v>
      </c>
      <c r="S105" s="662">
        <v>7406.63</v>
      </c>
      <c r="T105" s="663">
        <v>12059.01</v>
      </c>
      <c r="U105" s="663"/>
      <c r="V105" s="663">
        <v>911.53</v>
      </c>
      <c r="X105" s="664"/>
      <c r="Y105" s="664"/>
    </row>
    <row r="106" spans="1:25" s="258" customFormat="1" ht="11.25" customHeight="1" x14ac:dyDescent="0.45">
      <c r="A106" s="658">
        <v>2016</v>
      </c>
      <c r="B106" s="665">
        <v>1784.12</v>
      </c>
      <c r="C106" s="662">
        <v>1410.65</v>
      </c>
      <c r="D106" s="663"/>
      <c r="E106" s="662">
        <v>0</v>
      </c>
      <c r="F106" s="663">
        <v>894.92</v>
      </c>
      <c r="G106" s="663">
        <v>0</v>
      </c>
      <c r="H106" s="663"/>
      <c r="I106" s="663">
        <v>87.29</v>
      </c>
      <c r="J106" s="663">
        <v>376.5</v>
      </c>
      <c r="K106" s="663"/>
      <c r="L106" s="662">
        <v>1542.43</v>
      </c>
      <c r="M106" s="662">
        <v>311.67</v>
      </c>
      <c r="N106" s="662">
        <v>1117.45</v>
      </c>
      <c r="O106" s="662">
        <v>230.12</v>
      </c>
      <c r="P106" s="665">
        <v>3861.81</v>
      </c>
      <c r="Q106" s="665">
        <v>695.32</v>
      </c>
      <c r="R106" s="662">
        <v>24.62</v>
      </c>
      <c r="S106" s="665">
        <v>7783.41</v>
      </c>
      <c r="T106" s="666">
        <v>12336.9</v>
      </c>
      <c r="U106" s="663"/>
      <c r="V106" s="663">
        <v>1123.73</v>
      </c>
      <c r="X106" s="664"/>
      <c r="Y106" s="664"/>
    </row>
    <row r="107" spans="1:25" s="258" customFormat="1" ht="11.25" customHeight="1" x14ac:dyDescent="0.45">
      <c r="A107" s="658">
        <v>2017</v>
      </c>
      <c r="B107" s="665">
        <v>2469.2399999999998</v>
      </c>
      <c r="C107" s="662">
        <v>1798.45</v>
      </c>
      <c r="D107" s="663"/>
      <c r="E107" s="662">
        <v>0.36</v>
      </c>
      <c r="F107" s="666">
        <v>986.72</v>
      </c>
      <c r="G107" s="663">
        <v>0</v>
      </c>
      <c r="H107" s="663"/>
      <c r="I107" s="666">
        <v>111.42</v>
      </c>
      <c r="J107" s="663">
        <v>396.03</v>
      </c>
      <c r="K107" s="663"/>
      <c r="L107" s="662">
        <v>1404.98</v>
      </c>
      <c r="M107" s="662">
        <v>317.27</v>
      </c>
      <c r="N107" s="662">
        <v>1184.6300000000001</v>
      </c>
      <c r="O107" s="662">
        <v>225.87</v>
      </c>
      <c r="P107" s="665">
        <v>4188.7</v>
      </c>
      <c r="Q107" s="665">
        <v>832.66</v>
      </c>
      <c r="R107" s="662">
        <v>18.34</v>
      </c>
      <c r="S107" s="665">
        <v>8172.45</v>
      </c>
      <c r="T107" s="666">
        <v>13934.67</v>
      </c>
      <c r="U107" s="663"/>
      <c r="V107" s="663">
        <v>1190.92</v>
      </c>
      <c r="X107" s="664"/>
      <c r="Y107" s="664"/>
    </row>
    <row r="108" spans="1:25" ht="11.25" customHeight="1" thickBot="1" x14ac:dyDescent="0.5">
      <c r="A108" s="667">
        <v>2018</v>
      </c>
      <c r="B108" s="668">
        <v>2598.1999999999998</v>
      </c>
      <c r="C108" s="668">
        <v>2294.69</v>
      </c>
      <c r="D108" s="668"/>
      <c r="E108" s="668">
        <v>0.8</v>
      </c>
      <c r="F108" s="669">
        <v>1105.54</v>
      </c>
      <c r="G108" s="669">
        <v>0</v>
      </c>
      <c r="H108" s="669"/>
      <c r="I108" s="669">
        <v>111.26</v>
      </c>
      <c r="J108" s="669">
        <v>360.78</v>
      </c>
      <c r="K108" s="669"/>
      <c r="L108" s="669">
        <v>1284.28</v>
      </c>
      <c r="M108" s="669">
        <v>325.36</v>
      </c>
      <c r="N108" s="669">
        <v>1404.66</v>
      </c>
      <c r="O108" s="669">
        <v>219.01</v>
      </c>
      <c r="P108" s="669">
        <v>4843.26</v>
      </c>
      <c r="Q108" s="669">
        <v>879.44</v>
      </c>
      <c r="R108" s="669">
        <v>0.19</v>
      </c>
      <c r="S108" s="669">
        <v>8956.2000000000007</v>
      </c>
      <c r="T108" s="669">
        <v>15427.47</v>
      </c>
      <c r="U108" s="669"/>
      <c r="V108" s="668">
        <v>1410.94</v>
      </c>
      <c r="X108" s="661"/>
      <c r="Y108" s="1086"/>
    </row>
    <row r="109" spans="1:25" ht="14.65" thickTop="1" x14ac:dyDescent="0.45"/>
    <row r="110" spans="1:25" ht="14.65" thickBot="1" x14ac:dyDescent="0.5">
      <c r="B110" s="670"/>
      <c r="M110" s="670"/>
      <c r="N110" s="670"/>
      <c r="O110" s="670"/>
      <c r="P110" s="670"/>
      <c r="Q110" s="670"/>
      <c r="R110" s="670"/>
    </row>
    <row r="111" spans="1:25" ht="12.75" customHeight="1" thickTop="1" x14ac:dyDescent="0.45">
      <c r="A111" s="671"/>
      <c r="B111" s="645" t="s">
        <v>1073</v>
      </c>
      <c r="C111" s="1468" t="s">
        <v>1044</v>
      </c>
      <c r="D111" s="1468"/>
      <c r="E111" s="1468"/>
      <c r="F111" s="1468"/>
      <c r="G111" s="1468"/>
      <c r="H111" s="1468"/>
      <c r="I111" s="1468"/>
      <c r="J111" s="1468"/>
      <c r="K111" s="1468"/>
      <c r="L111" s="1468"/>
      <c r="M111" s="1468"/>
      <c r="N111" s="1468"/>
      <c r="O111" s="645" t="s">
        <v>1074</v>
      </c>
      <c r="P111" s="645" t="s">
        <v>1075</v>
      </c>
      <c r="Q111" s="636" t="s">
        <v>211</v>
      </c>
      <c r="R111" s="645" t="s">
        <v>1076</v>
      </c>
      <c r="T111" s="654"/>
      <c r="U111" s="654"/>
      <c r="V111" s="654"/>
    </row>
    <row r="112" spans="1:25" ht="12.75" customHeight="1" x14ac:dyDescent="0.45">
      <c r="A112" s="673"/>
      <c r="B112" s="640" t="s">
        <v>1077</v>
      </c>
      <c r="C112" s="637" t="s">
        <v>1052</v>
      </c>
      <c r="D112" s="637"/>
      <c r="E112" s="637"/>
      <c r="F112" s="637" t="s">
        <v>1053</v>
      </c>
      <c r="G112" s="637"/>
      <c r="H112" s="637" t="s">
        <v>1078</v>
      </c>
      <c r="I112" s="637" t="s">
        <v>1078</v>
      </c>
      <c r="J112" s="640" t="s">
        <v>1055</v>
      </c>
      <c r="K112" s="640" t="s">
        <v>1056</v>
      </c>
      <c r="L112" s="640" t="s">
        <v>1057</v>
      </c>
      <c r="M112" s="641" t="s">
        <v>1054</v>
      </c>
      <c r="N112" s="636" t="s">
        <v>1059</v>
      </c>
      <c r="O112" s="637" t="s">
        <v>1079</v>
      </c>
      <c r="P112" s="637" t="s">
        <v>1080</v>
      </c>
      <c r="Q112" s="636"/>
      <c r="R112" s="674" t="s">
        <v>38</v>
      </c>
      <c r="T112" s="676"/>
      <c r="U112" s="675"/>
      <c r="V112" s="675"/>
    </row>
    <row r="113" spans="1:22" ht="12.75" customHeight="1" x14ac:dyDescent="0.45">
      <c r="B113" s="640" t="s">
        <v>1081</v>
      </c>
      <c r="C113" s="640" t="s">
        <v>1063</v>
      </c>
      <c r="D113" s="640"/>
      <c r="E113" s="640"/>
      <c r="F113" s="640" t="s">
        <v>1064</v>
      </c>
      <c r="G113" s="640"/>
      <c r="H113" s="640" t="s">
        <v>1082</v>
      </c>
      <c r="I113" s="640" t="s">
        <v>1082</v>
      </c>
      <c r="J113" s="640" t="s">
        <v>1066</v>
      </c>
      <c r="K113" s="640" t="s">
        <v>1066</v>
      </c>
      <c r="L113" s="640" t="s">
        <v>1067</v>
      </c>
      <c r="M113" s="641" t="s">
        <v>1065</v>
      </c>
      <c r="N113" s="640" t="s">
        <v>1069</v>
      </c>
      <c r="O113" s="637" t="s">
        <v>1083</v>
      </c>
      <c r="P113" s="674" t="s">
        <v>37</v>
      </c>
      <c r="Q113" s="428"/>
      <c r="R113" s="428"/>
      <c r="T113" s="672"/>
    </row>
    <row r="114" spans="1:22" ht="12.75" customHeight="1" x14ac:dyDescent="0.45">
      <c r="B114" s="674"/>
      <c r="C114" s="645"/>
      <c r="D114" s="645"/>
      <c r="E114" s="645"/>
      <c r="F114" s="645" t="s">
        <v>1070</v>
      </c>
      <c r="G114" s="645"/>
      <c r="H114" s="645" t="s">
        <v>1084</v>
      </c>
      <c r="I114" s="645" t="s">
        <v>1084</v>
      </c>
      <c r="J114" s="677" t="s">
        <v>34</v>
      </c>
      <c r="K114" s="677" t="s">
        <v>35</v>
      </c>
      <c r="L114" s="674" t="s">
        <v>36</v>
      </c>
      <c r="M114" s="646" t="s">
        <v>1071</v>
      </c>
      <c r="N114" s="640"/>
      <c r="O114" s="674"/>
      <c r="P114" s="674"/>
      <c r="Q114" s="428"/>
      <c r="R114" s="428"/>
      <c r="T114" s="672"/>
    </row>
    <row r="115" spans="1:22" ht="12.75" customHeight="1" x14ac:dyDescent="0.45">
      <c r="B115" s="674"/>
      <c r="C115" s="428"/>
      <c r="D115" s="428"/>
      <c r="E115" s="428"/>
      <c r="F115" s="674"/>
      <c r="G115" s="674"/>
      <c r="H115" s="645" t="s">
        <v>1085</v>
      </c>
      <c r="I115" s="645" t="s">
        <v>1086</v>
      </c>
      <c r="J115" s="678"/>
      <c r="M115" s="645"/>
      <c r="N115" s="640"/>
      <c r="O115" s="428"/>
      <c r="P115" s="428"/>
      <c r="Q115" s="428"/>
      <c r="R115" s="428"/>
      <c r="T115" s="672"/>
    </row>
    <row r="116" spans="1:22" ht="12.75" customHeight="1" x14ac:dyDescent="0.45">
      <c r="B116" s="428"/>
      <c r="C116" s="428"/>
      <c r="D116" s="428"/>
      <c r="E116" s="428"/>
      <c r="F116" s="428"/>
      <c r="G116" s="428"/>
      <c r="H116" s="674"/>
      <c r="I116" s="674"/>
      <c r="J116" s="679"/>
      <c r="K116" s="649"/>
      <c r="L116" s="649"/>
      <c r="M116" s="428"/>
      <c r="N116" s="428"/>
      <c r="O116" s="428"/>
      <c r="P116" s="679"/>
      <c r="Q116" s="679"/>
      <c r="R116" s="679"/>
      <c r="T116" s="672"/>
    </row>
    <row r="117" spans="1:22" ht="10.5" customHeight="1" x14ac:dyDescent="0.45">
      <c r="A117" s="680" t="s">
        <v>1087</v>
      </c>
      <c r="B117" s="681"/>
      <c r="C117" s="681"/>
      <c r="D117" s="681"/>
      <c r="E117" s="681"/>
      <c r="F117" s="681"/>
      <c r="G117" s="681"/>
      <c r="H117" s="681"/>
      <c r="I117" s="681"/>
      <c r="J117" s="682"/>
      <c r="K117" s="654"/>
      <c r="L117" s="654"/>
      <c r="M117" s="681"/>
      <c r="N117" s="681"/>
      <c r="O117" s="681"/>
      <c r="P117" s="682"/>
      <c r="Q117" s="682"/>
      <c r="R117" s="682"/>
      <c r="T117" s="672"/>
      <c r="U117" s="654"/>
      <c r="V117" s="654"/>
    </row>
    <row r="118" spans="1:22" ht="10.5" customHeight="1" x14ac:dyDescent="0.45">
      <c r="A118" s="655">
        <v>1990</v>
      </c>
      <c r="B118" s="683">
        <v>6.42</v>
      </c>
      <c r="C118" s="683">
        <v>34.159999999999997</v>
      </c>
      <c r="D118" s="683"/>
      <c r="E118" s="683"/>
      <c r="F118" s="683">
        <v>34.6</v>
      </c>
      <c r="G118" s="684">
        <v>0</v>
      </c>
      <c r="H118" s="683">
        <v>174.12</v>
      </c>
      <c r="I118" s="683">
        <v>0</v>
      </c>
      <c r="J118" s="683">
        <v>0</v>
      </c>
      <c r="K118" s="683">
        <v>71.650000000000006</v>
      </c>
      <c r="L118" s="683">
        <v>0.21</v>
      </c>
      <c r="M118" s="683">
        <v>31.06</v>
      </c>
      <c r="N118" s="683">
        <v>345.81</v>
      </c>
      <c r="O118" s="683">
        <v>0.83</v>
      </c>
      <c r="P118" s="683">
        <v>0</v>
      </c>
      <c r="Q118" s="683">
        <v>353.06</v>
      </c>
      <c r="R118" s="683">
        <v>41.15</v>
      </c>
      <c r="T118" s="685"/>
      <c r="U118" s="686"/>
    </row>
    <row r="119" spans="1:22" ht="10.5" customHeight="1" x14ac:dyDescent="0.45">
      <c r="A119" s="655">
        <v>1991</v>
      </c>
      <c r="B119" s="683">
        <v>6.76</v>
      </c>
      <c r="C119" s="683">
        <v>36.31</v>
      </c>
      <c r="D119" s="683"/>
      <c r="E119" s="683"/>
      <c r="F119" s="683">
        <v>43.48</v>
      </c>
      <c r="G119" s="684">
        <v>0</v>
      </c>
      <c r="H119" s="683">
        <v>174.12</v>
      </c>
      <c r="I119" s="683">
        <v>0</v>
      </c>
      <c r="J119" s="683">
        <v>0</v>
      </c>
      <c r="K119" s="683">
        <v>71.650000000000006</v>
      </c>
      <c r="L119" s="683">
        <v>0.21</v>
      </c>
      <c r="M119" s="683">
        <v>33.54</v>
      </c>
      <c r="N119" s="683">
        <v>359.31</v>
      </c>
      <c r="O119" s="683">
        <v>0.83</v>
      </c>
      <c r="P119" s="683">
        <v>0</v>
      </c>
      <c r="Q119" s="683">
        <v>366.9</v>
      </c>
      <c r="R119" s="683">
        <v>42.93</v>
      </c>
      <c r="T119" s="672"/>
      <c r="U119" s="686"/>
    </row>
    <row r="120" spans="1:22" ht="10.5" customHeight="1" x14ac:dyDescent="0.45">
      <c r="A120" s="655">
        <v>1992</v>
      </c>
      <c r="B120" s="683">
        <v>7.11</v>
      </c>
      <c r="C120" s="683">
        <v>31.49</v>
      </c>
      <c r="D120" s="683"/>
      <c r="E120" s="683"/>
      <c r="F120" s="683">
        <v>43.48</v>
      </c>
      <c r="G120" s="684">
        <v>0</v>
      </c>
      <c r="H120" s="683">
        <v>204.21</v>
      </c>
      <c r="I120" s="683">
        <v>0</v>
      </c>
      <c r="J120" s="683">
        <v>0</v>
      </c>
      <c r="K120" s="683">
        <v>71.650000000000006</v>
      </c>
      <c r="L120" s="683">
        <v>0.26</v>
      </c>
      <c r="M120" s="683">
        <v>30.85</v>
      </c>
      <c r="N120" s="683">
        <v>381.95</v>
      </c>
      <c r="O120" s="683">
        <v>0.83</v>
      </c>
      <c r="P120" s="683">
        <v>0</v>
      </c>
      <c r="Q120" s="683">
        <v>389.89</v>
      </c>
      <c r="R120" s="683">
        <v>49.15</v>
      </c>
      <c r="T120" s="672"/>
      <c r="U120" s="686"/>
    </row>
    <row r="121" spans="1:22" ht="10.5" customHeight="1" x14ac:dyDescent="0.45">
      <c r="A121" s="655">
        <v>1993</v>
      </c>
      <c r="B121" s="683">
        <v>7.41</v>
      </c>
      <c r="C121" s="683">
        <v>15.04</v>
      </c>
      <c r="D121" s="683"/>
      <c r="E121" s="683"/>
      <c r="F121" s="683">
        <v>33.97</v>
      </c>
      <c r="G121" s="684">
        <v>0</v>
      </c>
      <c r="H121" s="683">
        <v>204.21</v>
      </c>
      <c r="I121" s="683">
        <v>236.75</v>
      </c>
      <c r="J121" s="683">
        <v>0</v>
      </c>
      <c r="K121" s="683">
        <v>71.650000000000006</v>
      </c>
      <c r="L121" s="683">
        <v>0.27</v>
      </c>
      <c r="M121" s="683">
        <v>28.21</v>
      </c>
      <c r="N121" s="683">
        <v>590.11</v>
      </c>
      <c r="O121" s="683">
        <v>0.83</v>
      </c>
      <c r="P121" s="683">
        <v>0</v>
      </c>
      <c r="Q121" s="683">
        <v>598.35</v>
      </c>
      <c r="R121" s="683">
        <v>53.58</v>
      </c>
      <c r="T121" s="672"/>
      <c r="U121" s="686"/>
    </row>
    <row r="122" spans="1:22" ht="10.5" customHeight="1" x14ac:dyDescent="0.45">
      <c r="A122" s="655">
        <v>1994</v>
      </c>
      <c r="B122" s="683">
        <v>7.74</v>
      </c>
      <c r="C122" s="683">
        <v>18.920000000000002</v>
      </c>
      <c r="D122" s="683"/>
      <c r="E122" s="683"/>
      <c r="F122" s="683">
        <v>52.06</v>
      </c>
      <c r="G122" s="684">
        <v>0</v>
      </c>
      <c r="H122" s="683">
        <v>204.21</v>
      </c>
      <c r="I122" s="683">
        <v>455.14</v>
      </c>
      <c r="J122" s="683">
        <v>0</v>
      </c>
      <c r="K122" s="683">
        <v>71.650000000000006</v>
      </c>
      <c r="L122" s="683">
        <v>0.28000000000000003</v>
      </c>
      <c r="M122" s="683">
        <v>29.48</v>
      </c>
      <c r="N122" s="683">
        <v>831.75</v>
      </c>
      <c r="O122" s="683">
        <v>0.83</v>
      </c>
      <c r="P122" s="683">
        <v>0</v>
      </c>
      <c r="Q122" s="683">
        <v>840.32</v>
      </c>
      <c r="R122" s="683">
        <v>60.64</v>
      </c>
      <c r="T122" s="672"/>
      <c r="U122" s="686"/>
    </row>
    <row r="123" spans="1:22" ht="10.5" customHeight="1" x14ac:dyDescent="0.45">
      <c r="A123" s="655">
        <v>1995</v>
      </c>
      <c r="B123" s="683">
        <v>8.11</v>
      </c>
      <c r="C123" s="683">
        <v>15.08</v>
      </c>
      <c r="D123" s="683"/>
      <c r="E123" s="683"/>
      <c r="F123" s="683">
        <v>58.54</v>
      </c>
      <c r="G123" s="684">
        <v>0</v>
      </c>
      <c r="H123" s="683">
        <v>204.21</v>
      </c>
      <c r="I123" s="683">
        <v>498.05</v>
      </c>
      <c r="J123" s="683">
        <v>0</v>
      </c>
      <c r="K123" s="683">
        <v>71.650000000000006</v>
      </c>
      <c r="L123" s="683">
        <v>0.28999999999999998</v>
      </c>
      <c r="M123" s="683">
        <v>30.53</v>
      </c>
      <c r="N123" s="683">
        <v>878.35</v>
      </c>
      <c r="O123" s="683">
        <v>0.83</v>
      </c>
      <c r="P123" s="683">
        <v>0</v>
      </c>
      <c r="Q123" s="683">
        <v>887.29</v>
      </c>
      <c r="R123" s="683">
        <v>68.319999999999993</v>
      </c>
      <c r="T123" s="672"/>
      <c r="U123" s="686"/>
    </row>
    <row r="124" spans="1:22" ht="10.5" customHeight="1" x14ac:dyDescent="0.45">
      <c r="A124" s="655">
        <v>1996</v>
      </c>
      <c r="B124" s="683">
        <v>8.66</v>
      </c>
      <c r="C124" s="683">
        <v>16.61</v>
      </c>
      <c r="D124" s="683"/>
      <c r="E124" s="683"/>
      <c r="F124" s="683">
        <v>58.54</v>
      </c>
      <c r="G124" s="684">
        <v>0</v>
      </c>
      <c r="H124" s="683">
        <v>204.21</v>
      </c>
      <c r="I124" s="683">
        <v>505.47</v>
      </c>
      <c r="J124" s="683">
        <v>0</v>
      </c>
      <c r="K124" s="683">
        <v>71.650000000000006</v>
      </c>
      <c r="L124" s="683">
        <v>0.28999999999999998</v>
      </c>
      <c r="M124" s="683">
        <v>31.85</v>
      </c>
      <c r="N124" s="683">
        <v>888.63</v>
      </c>
      <c r="O124" s="683">
        <v>0.83</v>
      </c>
      <c r="P124" s="683">
        <v>0</v>
      </c>
      <c r="Q124" s="683">
        <v>898.12</v>
      </c>
      <c r="R124" s="683">
        <v>63.09</v>
      </c>
      <c r="T124" s="672"/>
      <c r="U124" s="686"/>
    </row>
    <row r="125" spans="1:22" ht="10.5" customHeight="1" x14ac:dyDescent="0.45">
      <c r="A125" s="655">
        <v>1997</v>
      </c>
      <c r="B125" s="683">
        <v>8.8800000000000008</v>
      </c>
      <c r="C125" s="683">
        <v>15.45</v>
      </c>
      <c r="D125" s="683"/>
      <c r="E125" s="683"/>
      <c r="F125" s="683">
        <v>58.18</v>
      </c>
      <c r="G125" s="684">
        <v>0</v>
      </c>
      <c r="H125" s="683">
        <v>204.21</v>
      </c>
      <c r="I125" s="683">
        <v>506.08</v>
      </c>
      <c r="J125" s="683">
        <v>0</v>
      </c>
      <c r="K125" s="683">
        <v>71.650000000000006</v>
      </c>
      <c r="L125" s="683">
        <v>0.28999999999999998</v>
      </c>
      <c r="M125" s="683">
        <v>9.02</v>
      </c>
      <c r="N125" s="683">
        <v>864.88</v>
      </c>
      <c r="O125" s="683">
        <v>0.83</v>
      </c>
      <c r="P125" s="683">
        <v>0</v>
      </c>
      <c r="Q125" s="683">
        <v>874.6</v>
      </c>
      <c r="R125" s="683">
        <v>52.31</v>
      </c>
      <c r="T125" s="672"/>
      <c r="U125" s="686"/>
    </row>
    <row r="126" spans="1:22" ht="10.5" customHeight="1" x14ac:dyDescent="0.45">
      <c r="A126" s="655">
        <v>1998</v>
      </c>
      <c r="B126" s="683">
        <v>9.1199999999999992</v>
      </c>
      <c r="C126" s="683">
        <v>13.58</v>
      </c>
      <c r="D126" s="683"/>
      <c r="E126" s="683"/>
      <c r="F126" s="683">
        <v>54.07</v>
      </c>
      <c r="G126" s="684">
        <v>0</v>
      </c>
      <c r="H126" s="683">
        <v>204.21</v>
      </c>
      <c r="I126" s="683">
        <v>436.91</v>
      </c>
      <c r="J126" s="683">
        <v>0</v>
      </c>
      <c r="K126" s="683">
        <v>71.73</v>
      </c>
      <c r="L126" s="683">
        <v>0.28999999999999998</v>
      </c>
      <c r="M126" s="683">
        <v>15.2</v>
      </c>
      <c r="N126" s="683">
        <v>795.99</v>
      </c>
      <c r="O126" s="683">
        <v>0.83</v>
      </c>
      <c r="P126" s="683">
        <v>0</v>
      </c>
      <c r="Q126" s="683">
        <v>805.94</v>
      </c>
      <c r="R126" s="683">
        <v>49.6</v>
      </c>
      <c r="T126" s="685"/>
      <c r="U126" s="686"/>
    </row>
    <row r="127" spans="1:22" ht="10.5" customHeight="1" x14ac:dyDescent="0.45">
      <c r="A127" s="655">
        <v>1999</v>
      </c>
      <c r="B127" s="683">
        <v>9.3699999999999992</v>
      </c>
      <c r="C127" s="683">
        <v>13.58</v>
      </c>
      <c r="D127" s="683"/>
      <c r="E127" s="683"/>
      <c r="F127" s="683">
        <v>54.21</v>
      </c>
      <c r="G127" s="684">
        <v>0</v>
      </c>
      <c r="H127" s="683">
        <v>204.21</v>
      </c>
      <c r="I127" s="683">
        <v>367.74</v>
      </c>
      <c r="J127" s="683">
        <v>0</v>
      </c>
      <c r="K127" s="683">
        <v>71.87</v>
      </c>
      <c r="L127" s="683">
        <v>0.28999999999999998</v>
      </c>
      <c r="M127" s="683">
        <v>20.16</v>
      </c>
      <c r="N127" s="683">
        <v>732.07</v>
      </c>
      <c r="O127" s="683">
        <v>0.83</v>
      </c>
      <c r="P127" s="683">
        <v>0</v>
      </c>
      <c r="Q127" s="683">
        <v>742.27</v>
      </c>
      <c r="R127" s="683">
        <v>49.29</v>
      </c>
      <c r="T127" s="685"/>
      <c r="U127" s="686"/>
    </row>
    <row r="128" spans="1:22" ht="10.5" customHeight="1" x14ac:dyDescent="0.45">
      <c r="A128" s="658">
        <v>2000</v>
      </c>
      <c r="B128" s="683">
        <v>11.05</v>
      </c>
      <c r="C128" s="683">
        <v>13.58</v>
      </c>
      <c r="D128" s="683"/>
      <c r="E128" s="683"/>
      <c r="F128" s="683">
        <v>48.28</v>
      </c>
      <c r="G128" s="684">
        <v>0</v>
      </c>
      <c r="H128" s="683">
        <v>204.21</v>
      </c>
      <c r="I128" s="683">
        <v>254.19</v>
      </c>
      <c r="J128" s="683">
        <v>0</v>
      </c>
      <c r="K128" s="683">
        <v>71.87</v>
      </c>
      <c r="L128" s="683">
        <v>0.28999999999999998</v>
      </c>
      <c r="M128" s="683">
        <v>24.7</v>
      </c>
      <c r="N128" s="683">
        <v>617.11</v>
      </c>
      <c r="O128" s="683">
        <v>0.83</v>
      </c>
      <c r="P128" s="683">
        <v>0</v>
      </c>
      <c r="Q128" s="683">
        <v>628.99</v>
      </c>
      <c r="R128" s="683">
        <v>76.37</v>
      </c>
      <c r="T128" s="685"/>
      <c r="U128" s="686"/>
    </row>
    <row r="129" spans="1:22" ht="10.5" customHeight="1" x14ac:dyDescent="0.45">
      <c r="A129" s="658">
        <v>2001</v>
      </c>
      <c r="B129" s="683">
        <v>13.23</v>
      </c>
      <c r="C129" s="683">
        <v>13.58</v>
      </c>
      <c r="D129" s="683"/>
      <c r="E129" s="683"/>
      <c r="F129" s="683">
        <v>49.36</v>
      </c>
      <c r="G129" s="684">
        <v>0</v>
      </c>
      <c r="H129" s="683">
        <v>204.21</v>
      </c>
      <c r="I129" s="683">
        <v>225.24</v>
      </c>
      <c r="J129" s="683">
        <v>0</v>
      </c>
      <c r="K129" s="683">
        <v>71.87</v>
      </c>
      <c r="L129" s="683">
        <v>0.28999999999999998</v>
      </c>
      <c r="M129" s="683">
        <v>26.19</v>
      </c>
      <c r="N129" s="683">
        <v>590.74</v>
      </c>
      <c r="O129" s="683">
        <v>0.83</v>
      </c>
      <c r="P129" s="683">
        <v>0</v>
      </c>
      <c r="Q129" s="683">
        <v>604.79999999999995</v>
      </c>
      <c r="R129" s="683">
        <v>80.75</v>
      </c>
      <c r="T129" s="685"/>
      <c r="U129" s="686"/>
    </row>
    <row r="130" spans="1:22" ht="10.5" customHeight="1" x14ac:dyDescent="0.45">
      <c r="A130" s="658">
        <v>2002</v>
      </c>
      <c r="B130" s="683">
        <v>16.07</v>
      </c>
      <c r="C130" s="683">
        <v>13.58</v>
      </c>
      <c r="D130" s="683"/>
      <c r="E130" s="683"/>
      <c r="F130" s="683">
        <v>53.43</v>
      </c>
      <c r="G130" s="684">
        <v>0</v>
      </c>
      <c r="H130" s="683">
        <v>204.21</v>
      </c>
      <c r="I130" s="683">
        <v>225.24</v>
      </c>
      <c r="J130" s="683">
        <v>0</v>
      </c>
      <c r="K130" s="683">
        <v>71.87</v>
      </c>
      <c r="L130" s="683">
        <v>0.28999999999999998</v>
      </c>
      <c r="M130" s="683">
        <v>33.729999999999997</v>
      </c>
      <c r="N130" s="683">
        <v>602.36</v>
      </c>
      <c r="O130" s="683">
        <v>0.83</v>
      </c>
      <c r="P130" s="683">
        <v>0</v>
      </c>
      <c r="Q130" s="683">
        <v>619.26</v>
      </c>
      <c r="R130" s="683">
        <v>92.23</v>
      </c>
      <c r="T130" s="685"/>
      <c r="U130" s="686"/>
      <c r="V130" s="687"/>
    </row>
    <row r="131" spans="1:22" ht="10.5" customHeight="1" x14ac:dyDescent="0.45">
      <c r="A131" s="658">
        <v>2003</v>
      </c>
      <c r="B131" s="683">
        <v>19.760000000000002</v>
      </c>
      <c r="C131" s="683">
        <v>13.58</v>
      </c>
      <c r="D131" s="683"/>
      <c r="E131" s="683"/>
      <c r="F131" s="683">
        <v>52.36</v>
      </c>
      <c r="G131" s="684">
        <v>0</v>
      </c>
      <c r="H131" s="683">
        <v>205.84</v>
      </c>
      <c r="I131" s="683">
        <v>225.24</v>
      </c>
      <c r="J131" s="683">
        <v>0</v>
      </c>
      <c r="K131" s="683">
        <v>71.87</v>
      </c>
      <c r="L131" s="683">
        <v>0.28999999999999998</v>
      </c>
      <c r="M131" s="683">
        <v>33.729999999999997</v>
      </c>
      <c r="N131" s="683">
        <v>602.91</v>
      </c>
      <c r="O131" s="683">
        <v>0.83</v>
      </c>
      <c r="P131" s="683">
        <v>0</v>
      </c>
      <c r="Q131" s="683">
        <v>623.5</v>
      </c>
      <c r="R131" s="683">
        <v>117.13</v>
      </c>
      <c r="T131" s="685"/>
      <c r="U131" s="686"/>
      <c r="V131" s="687"/>
    </row>
    <row r="132" spans="1:22" ht="10.5" customHeight="1" x14ac:dyDescent="0.45">
      <c r="A132" s="658">
        <v>2004</v>
      </c>
      <c r="B132" s="683">
        <v>24.55</v>
      </c>
      <c r="C132" s="683">
        <v>13.58</v>
      </c>
      <c r="D132" s="683"/>
      <c r="E132" s="683"/>
      <c r="F132" s="683">
        <v>54.79</v>
      </c>
      <c r="G132" s="684">
        <v>0</v>
      </c>
      <c r="H132" s="683">
        <v>232.4</v>
      </c>
      <c r="I132" s="683">
        <v>225.24</v>
      </c>
      <c r="J132" s="683">
        <v>0</v>
      </c>
      <c r="K132" s="683">
        <v>71.87</v>
      </c>
      <c r="L132" s="683">
        <v>1.98</v>
      </c>
      <c r="M132" s="683">
        <v>33.729999999999997</v>
      </c>
      <c r="N132" s="683">
        <v>633.59</v>
      </c>
      <c r="O132" s="683">
        <v>0.83</v>
      </c>
      <c r="P132" s="683">
        <v>0</v>
      </c>
      <c r="Q132" s="683">
        <v>658.98</v>
      </c>
      <c r="R132" s="683">
        <v>115.68</v>
      </c>
      <c r="T132" s="685"/>
      <c r="U132" s="686"/>
      <c r="V132" s="687"/>
    </row>
    <row r="133" spans="1:22" ht="10.5" customHeight="1" x14ac:dyDescent="0.45">
      <c r="A133" s="688">
        <v>2005</v>
      </c>
      <c r="B133" s="683">
        <v>29.36</v>
      </c>
      <c r="C133" s="683">
        <v>13.58</v>
      </c>
      <c r="D133" s="683"/>
      <c r="E133" s="683"/>
      <c r="F133" s="683">
        <v>52.91</v>
      </c>
      <c r="G133" s="684">
        <v>0</v>
      </c>
      <c r="H133" s="683">
        <v>265.60000000000002</v>
      </c>
      <c r="I133" s="683">
        <v>93.13</v>
      </c>
      <c r="J133" s="683">
        <v>12.42</v>
      </c>
      <c r="K133" s="683">
        <v>92.44</v>
      </c>
      <c r="L133" s="683">
        <v>2</v>
      </c>
      <c r="M133" s="683">
        <v>33.729999999999997</v>
      </c>
      <c r="N133" s="683">
        <v>565.80999999999995</v>
      </c>
      <c r="O133" s="683">
        <v>0.83</v>
      </c>
      <c r="P133" s="683">
        <v>0</v>
      </c>
      <c r="Q133" s="683">
        <v>596</v>
      </c>
      <c r="R133" s="683">
        <v>127.45</v>
      </c>
      <c r="T133" s="685"/>
      <c r="U133" s="686"/>
      <c r="V133" s="687"/>
    </row>
    <row r="134" spans="1:22" ht="10.5" customHeight="1" x14ac:dyDescent="0.45">
      <c r="A134" s="688">
        <v>2006</v>
      </c>
      <c r="B134" s="683">
        <v>36.270000000000003</v>
      </c>
      <c r="C134" s="683">
        <v>13.58</v>
      </c>
      <c r="D134" s="683"/>
      <c r="E134" s="683"/>
      <c r="F134" s="683">
        <v>44.14</v>
      </c>
      <c r="G134" s="684">
        <v>0</v>
      </c>
      <c r="H134" s="683">
        <v>298.8</v>
      </c>
      <c r="I134" s="683">
        <v>96.96</v>
      </c>
      <c r="J134" s="683">
        <v>22.91</v>
      </c>
      <c r="K134" s="683">
        <v>103.01</v>
      </c>
      <c r="L134" s="683">
        <v>2</v>
      </c>
      <c r="M134" s="683">
        <v>33.729999999999997</v>
      </c>
      <c r="N134" s="683">
        <v>615.13</v>
      </c>
      <c r="O134" s="683">
        <v>0.83</v>
      </c>
      <c r="P134" s="683">
        <v>0</v>
      </c>
      <c r="Q134" s="683">
        <v>652.23</v>
      </c>
      <c r="R134" s="683">
        <v>111.6</v>
      </c>
      <c r="T134" s="685"/>
      <c r="U134" s="686"/>
      <c r="V134" s="687"/>
    </row>
    <row r="135" spans="1:22" ht="10.5" customHeight="1" x14ac:dyDescent="0.45">
      <c r="A135" s="688">
        <v>2007</v>
      </c>
      <c r="B135" s="683">
        <v>44.89</v>
      </c>
      <c r="C135" s="683">
        <v>13.58</v>
      </c>
      <c r="D135" s="683"/>
      <c r="E135" s="683"/>
      <c r="F135" s="683">
        <v>49.48</v>
      </c>
      <c r="G135" s="684">
        <v>0</v>
      </c>
      <c r="H135" s="683">
        <v>332</v>
      </c>
      <c r="I135" s="683">
        <v>101.19</v>
      </c>
      <c r="J135" s="683">
        <v>45.82</v>
      </c>
      <c r="K135" s="683">
        <v>112.89</v>
      </c>
      <c r="L135" s="683">
        <v>2</v>
      </c>
      <c r="M135" s="683">
        <v>33.729999999999997</v>
      </c>
      <c r="N135" s="683">
        <v>690.69</v>
      </c>
      <c r="O135" s="683">
        <v>0.83</v>
      </c>
      <c r="P135" s="683">
        <v>0</v>
      </c>
      <c r="Q135" s="683">
        <v>736.41</v>
      </c>
      <c r="R135" s="683">
        <v>137.31</v>
      </c>
      <c r="T135" s="685"/>
      <c r="U135" s="686"/>
      <c r="V135" s="687"/>
    </row>
    <row r="136" spans="1:22" s="660" customFormat="1" ht="10.5" customHeight="1" x14ac:dyDescent="0.45">
      <c r="A136" s="690">
        <v>2008</v>
      </c>
      <c r="B136" s="683">
        <v>29.56</v>
      </c>
      <c r="C136" s="683">
        <v>13.58</v>
      </c>
      <c r="D136" s="683"/>
      <c r="E136" s="683"/>
      <c r="F136" s="683">
        <v>49.73</v>
      </c>
      <c r="G136" s="691">
        <v>0</v>
      </c>
      <c r="H136" s="683">
        <v>895.69</v>
      </c>
      <c r="I136" s="683">
        <v>220.29</v>
      </c>
      <c r="J136" s="683">
        <v>40.43</v>
      </c>
      <c r="K136" s="683">
        <v>193.95</v>
      </c>
      <c r="L136" s="683">
        <v>2</v>
      </c>
      <c r="M136" s="683">
        <v>31.8</v>
      </c>
      <c r="N136" s="683">
        <v>1447.48</v>
      </c>
      <c r="O136" s="683">
        <v>0.83</v>
      </c>
      <c r="P136" s="683">
        <v>3.93</v>
      </c>
      <c r="Q136" s="683">
        <v>1481.79</v>
      </c>
      <c r="R136" s="683">
        <v>153.4</v>
      </c>
      <c r="T136" s="693"/>
      <c r="U136" s="686"/>
      <c r="V136" s="694"/>
    </row>
    <row r="137" spans="1:22" s="660" customFormat="1" ht="10.5" customHeight="1" x14ac:dyDescent="0.45">
      <c r="A137" s="690">
        <v>2009</v>
      </c>
      <c r="B137" s="683">
        <v>33.19</v>
      </c>
      <c r="C137" s="683">
        <v>13.58</v>
      </c>
      <c r="D137" s="683"/>
      <c r="E137" s="683"/>
      <c r="F137" s="683">
        <v>50.95</v>
      </c>
      <c r="G137" s="691">
        <v>0</v>
      </c>
      <c r="H137" s="683">
        <v>975.78</v>
      </c>
      <c r="I137" s="683">
        <v>223.45</v>
      </c>
      <c r="J137" s="683">
        <v>38.25</v>
      </c>
      <c r="K137" s="683">
        <v>227.77</v>
      </c>
      <c r="L137" s="683">
        <v>2</v>
      </c>
      <c r="M137" s="683">
        <v>31.6</v>
      </c>
      <c r="N137" s="683">
        <v>1563.38</v>
      </c>
      <c r="O137" s="683">
        <v>0.83</v>
      </c>
      <c r="P137" s="683">
        <v>15.67</v>
      </c>
      <c r="Q137" s="683">
        <v>1613.07</v>
      </c>
      <c r="R137" s="683">
        <v>143.91</v>
      </c>
      <c r="T137" s="693"/>
      <c r="U137" s="686"/>
      <c r="V137" s="694"/>
    </row>
    <row r="138" spans="1:22" s="660" customFormat="1" ht="10.5" customHeight="1" x14ac:dyDescent="0.45">
      <c r="A138" s="690">
        <v>2010</v>
      </c>
      <c r="B138" s="683">
        <v>38</v>
      </c>
      <c r="C138" s="683">
        <v>13.58</v>
      </c>
      <c r="D138" s="683">
        <v>0</v>
      </c>
      <c r="E138" s="683">
        <v>0</v>
      </c>
      <c r="F138" s="683">
        <v>57.75</v>
      </c>
      <c r="G138" s="683">
        <v>1374.39</v>
      </c>
      <c r="H138" s="683">
        <v>1374.39</v>
      </c>
      <c r="I138" s="683">
        <v>279.07</v>
      </c>
      <c r="J138" s="683">
        <v>40.32</v>
      </c>
      <c r="K138" s="683">
        <v>270.77999999999997</v>
      </c>
      <c r="L138" s="683">
        <v>4.74</v>
      </c>
      <c r="M138" s="683">
        <v>27.5</v>
      </c>
      <c r="N138" s="683">
        <v>2068.12</v>
      </c>
      <c r="O138" s="683">
        <v>0.83</v>
      </c>
      <c r="P138" s="683">
        <v>22.54</v>
      </c>
      <c r="Q138" s="683">
        <v>2129.4899999999998</v>
      </c>
      <c r="R138" s="683">
        <v>137.91</v>
      </c>
      <c r="T138" s="693"/>
      <c r="U138" s="686"/>
      <c r="V138" s="694"/>
    </row>
    <row r="139" spans="1:22" s="259" customFormat="1" ht="10.5" customHeight="1" x14ac:dyDescent="0.45">
      <c r="A139" s="690">
        <v>2011</v>
      </c>
      <c r="B139" s="683">
        <v>42.97</v>
      </c>
      <c r="C139" s="683">
        <v>13.58</v>
      </c>
      <c r="D139" s="683">
        <v>0</v>
      </c>
      <c r="E139" s="683">
        <v>0</v>
      </c>
      <c r="F139" s="683">
        <v>64.319999999999993</v>
      </c>
      <c r="G139" s="695">
        <v>1194.03</v>
      </c>
      <c r="H139" s="683">
        <v>1194.03</v>
      </c>
      <c r="I139" s="683">
        <v>307.63</v>
      </c>
      <c r="J139" s="683">
        <v>35.75</v>
      </c>
      <c r="K139" s="683">
        <v>289.58999999999997</v>
      </c>
      <c r="L139" s="683">
        <v>9.7200000000000006</v>
      </c>
      <c r="M139" s="683">
        <v>32.78</v>
      </c>
      <c r="N139" s="683">
        <v>1947.41</v>
      </c>
      <c r="O139" s="683">
        <v>0.83</v>
      </c>
      <c r="P139" s="683">
        <v>37.65</v>
      </c>
      <c r="Q139" s="683">
        <v>2028.85</v>
      </c>
      <c r="R139" s="683">
        <v>152.38999999999999</v>
      </c>
      <c r="T139" s="696"/>
      <c r="U139" s="697"/>
      <c r="V139" s="692"/>
    </row>
    <row r="140" spans="1:22" s="259" customFormat="1" ht="10.5" customHeight="1" x14ac:dyDescent="0.45">
      <c r="A140" s="690">
        <v>2012</v>
      </c>
      <c r="B140" s="683">
        <v>45.88</v>
      </c>
      <c r="C140" s="683">
        <v>13.58</v>
      </c>
      <c r="D140" s="683">
        <v>0</v>
      </c>
      <c r="E140" s="683">
        <v>0</v>
      </c>
      <c r="F140" s="683">
        <v>63.73</v>
      </c>
      <c r="G140" s="695">
        <v>1518.52</v>
      </c>
      <c r="H140" s="683">
        <v>1518.52</v>
      </c>
      <c r="I140" s="683">
        <v>309.14999999999998</v>
      </c>
      <c r="J140" s="683">
        <v>31.51</v>
      </c>
      <c r="K140" s="683">
        <v>285.39999999999998</v>
      </c>
      <c r="L140" s="683">
        <v>14.54</v>
      </c>
      <c r="M140" s="683">
        <v>29.77</v>
      </c>
      <c r="N140" s="683">
        <v>2266.1999999999998</v>
      </c>
      <c r="O140" s="683">
        <v>0.83</v>
      </c>
      <c r="P140" s="683">
        <v>54.85</v>
      </c>
      <c r="Q140" s="683">
        <v>2367.7600000000002</v>
      </c>
      <c r="R140" s="683">
        <v>144.06</v>
      </c>
      <c r="T140" s="696"/>
      <c r="U140" s="697"/>
      <c r="V140" s="692"/>
    </row>
    <row r="141" spans="1:22" s="259" customFormat="1" ht="10.5" customHeight="1" x14ac:dyDescent="0.45">
      <c r="A141" s="690">
        <v>2013</v>
      </c>
      <c r="B141" s="683">
        <v>47.89</v>
      </c>
      <c r="C141" s="683">
        <v>13.58</v>
      </c>
      <c r="D141" s="683">
        <v>0</v>
      </c>
      <c r="E141" s="683">
        <v>0</v>
      </c>
      <c r="F141" s="683">
        <v>68.31</v>
      </c>
      <c r="G141" s="695">
        <v>1787.68</v>
      </c>
      <c r="H141" s="683">
        <v>1787.68</v>
      </c>
      <c r="I141" s="683">
        <v>315.38</v>
      </c>
      <c r="J141" s="683">
        <v>29.07</v>
      </c>
      <c r="K141" s="683">
        <v>418.79</v>
      </c>
      <c r="L141" s="683">
        <v>18.52</v>
      </c>
      <c r="M141" s="683">
        <v>29.75</v>
      </c>
      <c r="N141" s="683">
        <v>2681.09</v>
      </c>
      <c r="O141" s="683">
        <v>0.83</v>
      </c>
      <c r="P141" s="683">
        <v>96.47</v>
      </c>
      <c r="Q141" s="683">
        <v>2826.28</v>
      </c>
      <c r="R141" s="683">
        <v>154.69999999999999</v>
      </c>
      <c r="T141" s="696"/>
      <c r="U141" s="697"/>
      <c r="V141" s="692"/>
    </row>
    <row r="142" spans="1:22" s="259" customFormat="1" ht="10.5" customHeight="1" x14ac:dyDescent="0.45">
      <c r="A142" s="690">
        <v>2014</v>
      </c>
      <c r="B142" s="683">
        <v>49.55</v>
      </c>
      <c r="C142" s="683">
        <v>13.58</v>
      </c>
      <c r="D142" s="683">
        <v>0</v>
      </c>
      <c r="E142" s="683">
        <v>0</v>
      </c>
      <c r="F142" s="683">
        <v>67.75</v>
      </c>
      <c r="G142" s="695">
        <v>1698.09</v>
      </c>
      <c r="H142" s="683">
        <v>1698.09</v>
      </c>
      <c r="I142" s="683">
        <v>319.08999999999997</v>
      </c>
      <c r="J142" s="683">
        <v>34.54</v>
      </c>
      <c r="K142" s="683">
        <v>561.20000000000005</v>
      </c>
      <c r="L142" s="683">
        <v>42.94</v>
      </c>
      <c r="M142" s="683">
        <v>22.38</v>
      </c>
      <c r="N142" s="683">
        <v>2759.57</v>
      </c>
      <c r="O142" s="683">
        <v>0.83</v>
      </c>
      <c r="P142" s="683">
        <v>106.67</v>
      </c>
      <c r="Q142" s="683">
        <v>2916.61</v>
      </c>
      <c r="R142" s="683">
        <v>158.41</v>
      </c>
      <c r="T142" s="696"/>
      <c r="U142" s="697"/>
      <c r="V142" s="692"/>
    </row>
    <row r="143" spans="1:22" s="258" customFormat="1" ht="10.5" customHeight="1" x14ac:dyDescent="0.45">
      <c r="A143" s="690">
        <v>2015</v>
      </c>
      <c r="B143" s="663">
        <v>50.68</v>
      </c>
      <c r="C143" s="663">
        <v>13.58</v>
      </c>
      <c r="D143" s="663">
        <v>0</v>
      </c>
      <c r="E143" s="663">
        <v>0</v>
      </c>
      <c r="F143" s="663">
        <v>73.099999999999994</v>
      </c>
      <c r="G143" s="698">
        <v>1918.32</v>
      </c>
      <c r="H143" s="663">
        <v>1918.32</v>
      </c>
      <c r="I143" s="663">
        <v>318.64999999999998</v>
      </c>
      <c r="J143" s="663">
        <v>30.73</v>
      </c>
      <c r="K143" s="663">
        <v>837.68</v>
      </c>
      <c r="L143" s="663">
        <v>118.88</v>
      </c>
      <c r="M143" s="663">
        <v>66.680000000000007</v>
      </c>
      <c r="N143" s="663">
        <v>3377.61</v>
      </c>
      <c r="O143" s="663">
        <v>0.83</v>
      </c>
      <c r="P143" s="663">
        <v>1007.13</v>
      </c>
      <c r="Q143" s="663">
        <v>4436.25</v>
      </c>
      <c r="R143" s="663">
        <v>137.43</v>
      </c>
      <c r="T143" s="699"/>
      <c r="U143" s="697"/>
      <c r="V143" s="689"/>
    </row>
    <row r="144" spans="1:22" s="258" customFormat="1" ht="10.5" customHeight="1" x14ac:dyDescent="0.45">
      <c r="A144" s="690">
        <v>2016</v>
      </c>
      <c r="B144" s="663">
        <v>51.24</v>
      </c>
      <c r="C144" s="663">
        <v>13.58</v>
      </c>
      <c r="D144" s="663">
        <v>0</v>
      </c>
      <c r="E144" s="663">
        <v>0</v>
      </c>
      <c r="F144" s="663">
        <v>72.06</v>
      </c>
      <c r="G144" s="698">
        <v>2061.36</v>
      </c>
      <c r="H144" s="666">
        <v>2061.36</v>
      </c>
      <c r="I144" s="663">
        <v>319.06</v>
      </c>
      <c r="J144" s="663">
        <v>23.01</v>
      </c>
      <c r="K144" s="666">
        <v>926.56</v>
      </c>
      <c r="L144" s="666">
        <v>269.17</v>
      </c>
      <c r="M144" s="663">
        <v>69.260000000000005</v>
      </c>
      <c r="N144" s="666">
        <v>3754.07</v>
      </c>
      <c r="O144" s="663">
        <v>0.83</v>
      </c>
      <c r="P144" s="666">
        <v>981.53</v>
      </c>
      <c r="Q144" s="666">
        <v>4787.67</v>
      </c>
      <c r="R144" s="663">
        <v>144</v>
      </c>
      <c r="T144" s="699"/>
      <c r="U144" s="697"/>
      <c r="V144" s="689"/>
    </row>
    <row r="145" spans="1:22" s="258" customFormat="1" ht="10.5" customHeight="1" x14ac:dyDescent="0.45">
      <c r="A145" s="690">
        <v>2017</v>
      </c>
      <c r="B145" s="663">
        <v>52.06</v>
      </c>
      <c r="C145" s="663">
        <v>13.58</v>
      </c>
      <c r="D145" s="663">
        <v>0</v>
      </c>
      <c r="E145" s="663">
        <v>0</v>
      </c>
      <c r="F145" s="663">
        <v>84.19</v>
      </c>
      <c r="G145" s="698">
        <v>2049.0300000000002</v>
      </c>
      <c r="H145" s="666">
        <v>2049.0300000000002</v>
      </c>
      <c r="I145" s="666">
        <v>320.97000000000003</v>
      </c>
      <c r="J145" s="666">
        <v>25.76</v>
      </c>
      <c r="K145" s="666">
        <v>1005.04</v>
      </c>
      <c r="L145" s="666">
        <v>302.73</v>
      </c>
      <c r="M145" s="666">
        <v>93.49</v>
      </c>
      <c r="N145" s="666">
        <v>3894.78</v>
      </c>
      <c r="O145" s="663">
        <v>0.83</v>
      </c>
      <c r="P145" s="666">
        <v>963.36</v>
      </c>
      <c r="Q145" s="666">
        <v>4911.04</v>
      </c>
      <c r="R145" s="666">
        <v>167.79</v>
      </c>
      <c r="T145" s="699"/>
      <c r="U145" s="697"/>
      <c r="V145" s="689"/>
    </row>
    <row r="146" spans="1:22" s="258" customFormat="1" ht="10.5" customHeight="1" thickBot="1" x14ac:dyDescent="0.5">
      <c r="A146" s="700">
        <v>2018</v>
      </c>
      <c r="B146" s="701">
        <v>52.73</v>
      </c>
      <c r="C146" s="701">
        <v>13.58</v>
      </c>
      <c r="D146" s="701">
        <v>0</v>
      </c>
      <c r="E146" s="701">
        <v>0</v>
      </c>
      <c r="F146" s="701">
        <v>83.27</v>
      </c>
      <c r="G146" s="702">
        <v>2238.85</v>
      </c>
      <c r="H146" s="701">
        <v>2238.85</v>
      </c>
      <c r="I146" s="701">
        <v>320.97000000000003</v>
      </c>
      <c r="J146" s="701">
        <v>25.76</v>
      </c>
      <c r="K146" s="701">
        <v>1245.03</v>
      </c>
      <c r="L146" s="701">
        <v>393.95</v>
      </c>
      <c r="M146" s="701">
        <v>91.02</v>
      </c>
      <c r="N146" s="701">
        <v>4412.43</v>
      </c>
      <c r="O146" s="701">
        <v>0.83</v>
      </c>
      <c r="P146" s="701">
        <v>978.99</v>
      </c>
      <c r="Q146" s="701">
        <v>5444.98</v>
      </c>
      <c r="R146" s="701">
        <v>165.32</v>
      </c>
      <c r="T146" s="699"/>
      <c r="U146" s="697"/>
      <c r="V146" s="689"/>
    </row>
    <row r="147" spans="1:22" ht="14.65" thickTop="1" x14ac:dyDescent="0.45">
      <c r="A147" s="658"/>
      <c r="B147" s="658"/>
      <c r="C147" s="658"/>
      <c r="D147" s="658"/>
      <c r="E147" s="658"/>
      <c r="F147" s="658"/>
      <c r="G147" s="658"/>
      <c r="H147" s="658"/>
      <c r="I147" s="658"/>
      <c r="J147" s="658"/>
      <c r="K147" s="658"/>
      <c r="L147" s="658"/>
      <c r="M147" s="658"/>
      <c r="N147" s="658"/>
      <c r="O147" s="658"/>
      <c r="P147" s="658"/>
      <c r="Q147" s="658"/>
      <c r="R147" s="658"/>
      <c r="T147" s="687"/>
      <c r="U147" s="686"/>
      <c r="V147" s="687"/>
    </row>
    <row r="148" spans="1:22" ht="14.65" thickBot="1" x14ac:dyDescent="0.5">
      <c r="A148" s="670"/>
      <c r="B148" s="670"/>
      <c r="C148" s="670"/>
      <c r="D148" s="670"/>
      <c r="E148" s="670"/>
      <c r="F148" s="670"/>
      <c r="G148" s="670"/>
      <c r="H148" s="670"/>
      <c r="I148" s="670"/>
      <c r="J148" s="670"/>
      <c r="K148" s="670"/>
      <c r="L148" s="670"/>
      <c r="M148" s="670"/>
      <c r="N148" s="670"/>
      <c r="O148" s="670"/>
      <c r="P148" s="670"/>
      <c r="Q148" s="670"/>
      <c r="R148" s="670"/>
      <c r="S148" s="670"/>
    </row>
    <row r="149" spans="1:22" ht="12.75" customHeight="1" thickTop="1" x14ac:dyDescent="0.45">
      <c r="B149" s="1467" t="s">
        <v>1088</v>
      </c>
      <c r="C149" s="1467"/>
      <c r="D149" s="703"/>
      <c r="E149" s="1462" t="s">
        <v>746</v>
      </c>
      <c r="F149" s="1462"/>
      <c r="G149" s="635"/>
      <c r="H149" s="636" t="s">
        <v>1042</v>
      </c>
      <c r="I149" s="640" t="s">
        <v>1089</v>
      </c>
      <c r="J149" s="640"/>
      <c r="K149" s="704" t="s">
        <v>1044</v>
      </c>
      <c r="L149" s="640"/>
      <c r="M149" s="640" t="s">
        <v>1074</v>
      </c>
      <c r="N149" s="640" t="s">
        <v>1075</v>
      </c>
      <c r="O149" s="640" t="s">
        <v>1090</v>
      </c>
      <c r="P149" s="640"/>
      <c r="Q149" s="703" t="s">
        <v>211</v>
      </c>
      <c r="R149" s="705"/>
      <c r="S149" s="671" t="s">
        <v>1076</v>
      </c>
      <c r="T149" s="258"/>
    </row>
    <row r="150" spans="1:22" ht="12.75" customHeight="1" x14ac:dyDescent="0.45">
      <c r="B150" s="1463" t="s">
        <v>1091</v>
      </c>
      <c r="C150" s="1463"/>
      <c r="D150" s="706"/>
      <c r="E150" s="639" t="s">
        <v>1046</v>
      </c>
      <c r="F150" s="639" t="s">
        <v>1047</v>
      </c>
      <c r="G150" s="639"/>
      <c r="H150" s="639" t="s">
        <v>1092</v>
      </c>
      <c r="I150" s="640"/>
      <c r="J150" s="640"/>
      <c r="K150" s="707"/>
      <c r="L150" s="640"/>
      <c r="M150" s="640" t="s">
        <v>1093</v>
      </c>
      <c r="N150" s="640" t="s">
        <v>1080</v>
      </c>
      <c r="O150" s="650" t="s">
        <v>1094</v>
      </c>
      <c r="P150" s="650"/>
      <c r="Q150" s="650"/>
      <c r="R150" s="649"/>
      <c r="S150" s="708"/>
      <c r="T150" s="258"/>
    </row>
    <row r="151" spans="1:22" ht="10.5" customHeight="1" x14ac:dyDescent="0.45">
      <c r="A151" s="709" t="s">
        <v>1095</v>
      </c>
      <c r="B151" s="710"/>
      <c r="C151" s="710"/>
      <c r="D151" s="710"/>
      <c r="E151" s="710"/>
      <c r="F151" s="710"/>
      <c r="G151" s="710"/>
      <c r="H151" s="710"/>
      <c r="I151" s="710"/>
      <c r="J151" s="710"/>
      <c r="K151" s="710"/>
      <c r="L151" s="710"/>
      <c r="M151" s="710"/>
      <c r="N151" s="710"/>
      <c r="O151" s="710"/>
      <c r="P151" s="710"/>
      <c r="Q151" s="711"/>
      <c r="R151" s="711"/>
      <c r="S151" s="654"/>
      <c r="T151" s="687"/>
      <c r="U151" s="654"/>
      <c r="V151" s="654"/>
    </row>
    <row r="152" spans="1:22" ht="10.5" customHeight="1" x14ac:dyDescent="0.45">
      <c r="A152" s="712">
        <v>1990</v>
      </c>
      <c r="B152" s="713">
        <v>6.42</v>
      </c>
      <c r="C152" s="713"/>
      <c r="D152" s="713"/>
      <c r="E152" s="713">
        <v>0.79</v>
      </c>
      <c r="F152" s="713">
        <v>0</v>
      </c>
      <c r="G152" s="713">
        <v>0</v>
      </c>
      <c r="H152" s="713">
        <v>0</v>
      </c>
      <c r="I152" s="713">
        <v>447.66</v>
      </c>
      <c r="J152" s="713"/>
      <c r="K152" s="713">
        <v>564.84</v>
      </c>
      <c r="L152" s="713"/>
      <c r="M152" s="714">
        <v>0.83</v>
      </c>
      <c r="N152" s="713">
        <v>0</v>
      </c>
      <c r="O152" s="713">
        <v>0</v>
      </c>
      <c r="P152" s="715"/>
      <c r="Q152" s="715">
        <v>1020.54</v>
      </c>
      <c r="R152" s="715"/>
      <c r="S152" s="716">
        <v>82.12</v>
      </c>
      <c r="T152" s="687"/>
      <c r="U152" s="686"/>
    </row>
    <row r="153" spans="1:22" ht="10.5" customHeight="1" x14ac:dyDescent="0.45">
      <c r="A153" s="712">
        <v>1991</v>
      </c>
      <c r="B153" s="713">
        <v>6.76</v>
      </c>
      <c r="C153" s="713"/>
      <c r="D153" s="713"/>
      <c r="E153" s="713">
        <v>0.74</v>
      </c>
      <c r="F153" s="713">
        <v>0</v>
      </c>
      <c r="G153" s="713">
        <v>0</v>
      </c>
      <c r="H153" s="713">
        <v>0</v>
      </c>
      <c r="I153" s="713">
        <v>397.56</v>
      </c>
      <c r="J153" s="713"/>
      <c r="K153" s="713">
        <v>606.19000000000005</v>
      </c>
      <c r="L153" s="713"/>
      <c r="M153" s="714">
        <v>0.83</v>
      </c>
      <c r="N153" s="713">
        <v>0</v>
      </c>
      <c r="O153" s="713">
        <v>0</v>
      </c>
      <c r="P153" s="715"/>
      <c r="Q153" s="715">
        <v>1012.07</v>
      </c>
      <c r="R153" s="715"/>
      <c r="S153" s="716">
        <v>84.32</v>
      </c>
      <c r="T153" s="687"/>
      <c r="U153" s="686"/>
    </row>
    <row r="154" spans="1:22" ht="10.5" customHeight="1" x14ac:dyDescent="0.45">
      <c r="A154" s="712">
        <v>1992</v>
      </c>
      <c r="B154" s="713">
        <v>7.11</v>
      </c>
      <c r="C154" s="713"/>
      <c r="D154" s="713"/>
      <c r="E154" s="713">
        <v>2.8</v>
      </c>
      <c r="F154" s="713">
        <v>0</v>
      </c>
      <c r="G154" s="713">
        <v>0</v>
      </c>
      <c r="H154" s="713">
        <v>0</v>
      </c>
      <c r="I154" s="713">
        <v>466.99</v>
      </c>
      <c r="J154" s="713"/>
      <c r="K154" s="713">
        <v>716.57</v>
      </c>
      <c r="L154" s="713"/>
      <c r="M154" s="714">
        <v>0.83</v>
      </c>
      <c r="N154" s="713">
        <v>0</v>
      </c>
      <c r="O154" s="713">
        <v>0</v>
      </c>
      <c r="P154" s="715"/>
      <c r="Q154" s="715">
        <v>1194.3</v>
      </c>
      <c r="R154" s="715"/>
      <c r="S154" s="716">
        <v>99.58</v>
      </c>
      <c r="T154" s="687"/>
      <c r="U154" s="686"/>
    </row>
    <row r="155" spans="1:22" ht="10.5" customHeight="1" x14ac:dyDescent="0.45">
      <c r="A155" s="712">
        <v>1993</v>
      </c>
      <c r="B155" s="713">
        <v>7.41</v>
      </c>
      <c r="C155" s="713"/>
      <c r="D155" s="713"/>
      <c r="E155" s="713">
        <v>18.690000000000001</v>
      </c>
      <c r="F155" s="713">
        <v>0</v>
      </c>
      <c r="G155" s="713">
        <v>0</v>
      </c>
      <c r="H155" s="713">
        <v>0</v>
      </c>
      <c r="I155" s="713">
        <v>369.86</v>
      </c>
      <c r="J155" s="713"/>
      <c r="K155" s="713">
        <v>1032.07</v>
      </c>
      <c r="L155" s="713"/>
      <c r="M155" s="714">
        <v>0.83</v>
      </c>
      <c r="N155" s="713">
        <v>0</v>
      </c>
      <c r="O155" s="713">
        <v>0</v>
      </c>
      <c r="P155" s="715"/>
      <c r="Q155" s="715">
        <v>1428.87</v>
      </c>
      <c r="R155" s="715"/>
      <c r="S155" s="716">
        <v>130.03</v>
      </c>
      <c r="T155" s="687"/>
      <c r="U155" s="686"/>
    </row>
    <row r="156" spans="1:22" ht="10.5" customHeight="1" x14ac:dyDescent="0.45">
      <c r="A156" s="712">
        <v>1994</v>
      </c>
      <c r="B156" s="713">
        <v>7.74</v>
      </c>
      <c r="C156" s="713"/>
      <c r="D156" s="713"/>
      <c r="E156" s="713">
        <v>29.53</v>
      </c>
      <c r="F156" s="713">
        <v>0</v>
      </c>
      <c r="G156" s="713">
        <v>0</v>
      </c>
      <c r="H156" s="713">
        <v>0</v>
      </c>
      <c r="I156" s="713">
        <v>437.96</v>
      </c>
      <c r="J156" s="713"/>
      <c r="K156" s="713">
        <v>1382.56</v>
      </c>
      <c r="L156" s="713"/>
      <c r="M156" s="714">
        <v>0.83</v>
      </c>
      <c r="N156" s="713">
        <v>0</v>
      </c>
      <c r="O156" s="713">
        <v>0</v>
      </c>
      <c r="P156" s="715"/>
      <c r="Q156" s="715">
        <v>1858.62</v>
      </c>
      <c r="R156" s="715"/>
      <c r="S156" s="716">
        <v>216.98</v>
      </c>
      <c r="T156" s="687"/>
      <c r="U156" s="686"/>
    </row>
    <row r="157" spans="1:22" ht="10.5" customHeight="1" x14ac:dyDescent="0.45">
      <c r="A157" s="712">
        <v>1995</v>
      </c>
      <c r="B157" s="713">
        <v>8.11</v>
      </c>
      <c r="C157" s="713"/>
      <c r="D157" s="713"/>
      <c r="E157" s="713">
        <v>33.729999999999997</v>
      </c>
      <c r="F157" s="713">
        <v>0</v>
      </c>
      <c r="G157" s="713">
        <v>0</v>
      </c>
      <c r="H157" s="713">
        <v>0</v>
      </c>
      <c r="I157" s="713">
        <v>415.94</v>
      </c>
      <c r="J157" s="713"/>
      <c r="K157" s="713">
        <v>1467.1</v>
      </c>
      <c r="L157" s="713"/>
      <c r="M157" s="714">
        <v>0.83</v>
      </c>
      <c r="N157" s="713">
        <v>0</v>
      </c>
      <c r="O157" s="713">
        <v>0</v>
      </c>
      <c r="P157" s="715"/>
      <c r="Q157" s="715">
        <v>1925.7</v>
      </c>
      <c r="R157" s="715"/>
      <c r="S157" s="716">
        <v>246.95</v>
      </c>
      <c r="T157" s="687"/>
      <c r="U157" s="686"/>
    </row>
    <row r="158" spans="1:22" ht="10.5" customHeight="1" x14ac:dyDescent="0.45">
      <c r="A158" s="712">
        <v>1996</v>
      </c>
      <c r="B158" s="713">
        <v>8.66</v>
      </c>
      <c r="C158" s="713"/>
      <c r="D158" s="713"/>
      <c r="E158" s="713">
        <v>41.94</v>
      </c>
      <c r="F158" s="713">
        <v>0</v>
      </c>
      <c r="G158" s="713">
        <v>0</v>
      </c>
      <c r="H158" s="713">
        <v>0</v>
      </c>
      <c r="I158" s="713">
        <v>291.68</v>
      </c>
      <c r="J158" s="713"/>
      <c r="K158" s="713">
        <v>1527.7</v>
      </c>
      <c r="L158" s="713"/>
      <c r="M158" s="714">
        <v>0.83</v>
      </c>
      <c r="N158" s="713">
        <v>0</v>
      </c>
      <c r="O158" s="713">
        <v>0</v>
      </c>
      <c r="P158" s="715"/>
      <c r="Q158" s="715">
        <v>1870.8</v>
      </c>
      <c r="R158" s="715"/>
      <c r="S158" s="716">
        <v>247.89</v>
      </c>
      <c r="T158" s="687"/>
      <c r="U158" s="686"/>
    </row>
    <row r="159" spans="1:22" ht="10.5" customHeight="1" x14ac:dyDescent="0.45">
      <c r="A159" s="712">
        <v>1997</v>
      </c>
      <c r="B159" s="713">
        <v>8.8800000000000008</v>
      </c>
      <c r="C159" s="713"/>
      <c r="D159" s="713"/>
      <c r="E159" s="713">
        <v>57.35</v>
      </c>
      <c r="F159" s="713">
        <v>0</v>
      </c>
      <c r="G159" s="713">
        <v>0</v>
      </c>
      <c r="H159" s="713">
        <v>0</v>
      </c>
      <c r="I159" s="713">
        <v>358.44</v>
      </c>
      <c r="J159" s="713"/>
      <c r="K159" s="713">
        <v>1625.73</v>
      </c>
      <c r="L159" s="713"/>
      <c r="M159" s="714">
        <v>0.83</v>
      </c>
      <c r="N159" s="713">
        <v>0</v>
      </c>
      <c r="O159" s="713">
        <v>0</v>
      </c>
      <c r="P159" s="717"/>
      <c r="Q159" s="715">
        <v>2051.23</v>
      </c>
      <c r="R159" s="717"/>
      <c r="S159" s="716">
        <v>288.27</v>
      </c>
      <c r="T159" s="687"/>
      <c r="U159" s="686"/>
    </row>
    <row r="160" spans="1:22" ht="10.5" customHeight="1" x14ac:dyDescent="0.45">
      <c r="A160" s="712">
        <v>1998</v>
      </c>
      <c r="B160" s="713">
        <v>9.1199999999999992</v>
      </c>
      <c r="C160" s="713"/>
      <c r="D160" s="713"/>
      <c r="E160" s="713">
        <v>75.400000000000006</v>
      </c>
      <c r="F160" s="713">
        <v>0</v>
      </c>
      <c r="G160" s="713">
        <v>0</v>
      </c>
      <c r="H160" s="713">
        <v>0</v>
      </c>
      <c r="I160" s="713">
        <v>440.01</v>
      </c>
      <c r="J160" s="713"/>
      <c r="K160" s="713">
        <v>1733.98</v>
      </c>
      <c r="L160" s="713"/>
      <c r="M160" s="714">
        <v>0.83</v>
      </c>
      <c r="N160" s="713">
        <v>0</v>
      </c>
      <c r="O160" s="713">
        <v>0</v>
      </c>
      <c r="P160" s="717"/>
      <c r="Q160" s="715">
        <v>2259.33</v>
      </c>
      <c r="R160" s="717"/>
      <c r="S160" s="716">
        <v>352.39</v>
      </c>
      <c r="T160" s="687"/>
      <c r="U160" s="686"/>
      <c r="V160" s="718"/>
    </row>
    <row r="161" spans="1:22" ht="10.5" customHeight="1" x14ac:dyDescent="0.45">
      <c r="A161" s="712">
        <v>1999</v>
      </c>
      <c r="B161" s="713">
        <v>9.3699999999999992</v>
      </c>
      <c r="C161" s="713"/>
      <c r="D161" s="713"/>
      <c r="E161" s="713">
        <v>73.099999999999994</v>
      </c>
      <c r="F161" s="713">
        <v>0</v>
      </c>
      <c r="G161" s="713">
        <v>0</v>
      </c>
      <c r="H161" s="713">
        <v>0</v>
      </c>
      <c r="I161" s="713">
        <v>458.8</v>
      </c>
      <c r="J161" s="713"/>
      <c r="K161" s="713">
        <v>1927.1</v>
      </c>
      <c r="L161" s="713"/>
      <c r="M161" s="714">
        <v>0.83</v>
      </c>
      <c r="N161" s="713">
        <v>0</v>
      </c>
      <c r="O161" s="713">
        <v>0</v>
      </c>
      <c r="P161" s="717"/>
      <c r="Q161" s="715">
        <v>2469.1999999999998</v>
      </c>
      <c r="R161" s="717"/>
      <c r="S161" s="716">
        <v>321.83</v>
      </c>
      <c r="T161" s="687"/>
      <c r="U161" s="686"/>
    </row>
    <row r="162" spans="1:22" ht="10.5" customHeight="1" x14ac:dyDescent="0.45">
      <c r="A162" s="690">
        <v>2000</v>
      </c>
      <c r="B162" s="713">
        <v>11.16</v>
      </c>
      <c r="C162" s="713"/>
      <c r="D162" s="713"/>
      <c r="E162" s="713">
        <v>81.260000000000005</v>
      </c>
      <c r="F162" s="713">
        <v>0.08</v>
      </c>
      <c r="G162" s="713">
        <v>0</v>
      </c>
      <c r="H162" s="713">
        <v>0</v>
      </c>
      <c r="I162" s="713">
        <v>437.26</v>
      </c>
      <c r="J162" s="713"/>
      <c r="K162" s="713">
        <v>1998.43</v>
      </c>
      <c r="L162" s="713"/>
      <c r="M162" s="714">
        <v>0.83</v>
      </c>
      <c r="N162" s="713">
        <v>0</v>
      </c>
      <c r="O162" s="713">
        <v>0</v>
      </c>
      <c r="P162" s="717"/>
      <c r="Q162" s="715">
        <v>2529.0100000000002</v>
      </c>
      <c r="R162" s="717"/>
      <c r="S162" s="716">
        <v>329.72</v>
      </c>
      <c r="T162" s="687"/>
      <c r="U162" s="686"/>
    </row>
    <row r="163" spans="1:22" ht="10.5" customHeight="1" x14ac:dyDescent="0.45">
      <c r="A163" s="690">
        <v>2001</v>
      </c>
      <c r="B163" s="713">
        <v>13.39</v>
      </c>
      <c r="C163" s="713"/>
      <c r="D163" s="713"/>
      <c r="E163" s="713">
        <v>82.55</v>
      </c>
      <c r="F163" s="713">
        <v>0.42</v>
      </c>
      <c r="G163" s="713">
        <v>0</v>
      </c>
      <c r="H163" s="713">
        <v>0</v>
      </c>
      <c r="I163" s="713">
        <v>348.73</v>
      </c>
      <c r="J163" s="713"/>
      <c r="K163" s="713">
        <v>2205.13</v>
      </c>
      <c r="L163" s="713"/>
      <c r="M163" s="714">
        <v>0.83</v>
      </c>
      <c r="N163" s="713">
        <v>0</v>
      </c>
      <c r="O163" s="713">
        <v>0</v>
      </c>
      <c r="P163" s="717"/>
      <c r="Q163" s="715">
        <v>2651.06</v>
      </c>
      <c r="R163" s="717"/>
      <c r="S163" s="716">
        <v>346.98</v>
      </c>
      <c r="T163" s="687"/>
      <c r="U163" s="686"/>
    </row>
    <row r="164" spans="1:22" ht="10.5" customHeight="1" x14ac:dyDescent="0.45">
      <c r="A164" s="690">
        <v>2002</v>
      </c>
      <c r="B164" s="713">
        <v>16.3</v>
      </c>
      <c r="C164" s="713"/>
      <c r="D164" s="713"/>
      <c r="E164" s="713">
        <v>107.59</v>
      </c>
      <c r="F164" s="713">
        <v>0.41</v>
      </c>
      <c r="G164" s="713">
        <v>0</v>
      </c>
      <c r="H164" s="713">
        <v>0</v>
      </c>
      <c r="I164" s="713">
        <v>411.69</v>
      </c>
      <c r="J164" s="713"/>
      <c r="K164" s="713">
        <v>2392.36</v>
      </c>
      <c r="L164" s="713"/>
      <c r="M164" s="714">
        <v>0.83</v>
      </c>
      <c r="N164" s="713">
        <v>0</v>
      </c>
      <c r="O164" s="719">
        <v>2.39</v>
      </c>
      <c r="P164" s="717"/>
      <c r="Q164" s="715">
        <v>2931.57</v>
      </c>
      <c r="R164" s="717"/>
      <c r="S164" s="716">
        <v>378.34</v>
      </c>
      <c r="T164" s="687"/>
      <c r="U164" s="686"/>
    </row>
    <row r="165" spans="1:22" ht="10.5" customHeight="1" x14ac:dyDescent="0.45">
      <c r="A165" s="690">
        <v>2003</v>
      </c>
      <c r="B165" s="713">
        <v>20.010000000000002</v>
      </c>
      <c r="C165" s="713"/>
      <c r="D165" s="713"/>
      <c r="E165" s="713">
        <v>109.67</v>
      </c>
      <c r="F165" s="713">
        <v>0.85</v>
      </c>
      <c r="G165" s="713">
        <v>0</v>
      </c>
      <c r="H165" s="713">
        <v>0</v>
      </c>
      <c r="I165" s="713">
        <v>269.77999999999997</v>
      </c>
      <c r="J165" s="713"/>
      <c r="K165" s="713">
        <v>2759.05</v>
      </c>
      <c r="L165" s="713"/>
      <c r="M165" s="714">
        <v>0.83</v>
      </c>
      <c r="N165" s="713">
        <v>0</v>
      </c>
      <c r="O165" s="719">
        <v>15.11</v>
      </c>
      <c r="P165" s="717"/>
      <c r="Q165" s="715">
        <v>3175.3</v>
      </c>
      <c r="R165" s="717"/>
      <c r="S165" s="716">
        <v>390.88</v>
      </c>
      <c r="T165" s="687"/>
      <c r="U165" s="686"/>
    </row>
    <row r="166" spans="1:22" ht="10.5" customHeight="1" x14ac:dyDescent="0.45">
      <c r="A166" s="690">
        <v>2004</v>
      </c>
      <c r="B166" s="713">
        <v>24.9</v>
      </c>
      <c r="C166" s="713"/>
      <c r="D166" s="713"/>
      <c r="E166" s="713">
        <v>149.30000000000001</v>
      </c>
      <c r="F166" s="713">
        <v>17.079999999999998</v>
      </c>
      <c r="G166" s="713">
        <v>0</v>
      </c>
      <c r="H166" s="713">
        <v>0</v>
      </c>
      <c r="I166" s="713">
        <v>416.51</v>
      </c>
      <c r="J166" s="713"/>
      <c r="K166" s="713">
        <v>3160.98</v>
      </c>
      <c r="L166" s="713"/>
      <c r="M166" s="714">
        <v>0.83</v>
      </c>
      <c r="N166" s="713">
        <v>0</v>
      </c>
      <c r="O166" s="719">
        <v>16.7</v>
      </c>
      <c r="P166" s="716"/>
      <c r="Q166" s="715">
        <v>3786.31</v>
      </c>
      <c r="R166" s="717"/>
      <c r="S166" s="716">
        <v>379.61</v>
      </c>
      <c r="T166" s="687"/>
      <c r="U166" s="686"/>
      <c r="V166" s="718"/>
    </row>
    <row r="167" spans="1:22" ht="10.5" customHeight="1" x14ac:dyDescent="0.45">
      <c r="A167" s="690">
        <v>2005</v>
      </c>
      <c r="B167" s="713">
        <v>30.06</v>
      </c>
      <c r="C167" s="713"/>
      <c r="D167" s="713"/>
      <c r="E167" s="713">
        <v>215.06</v>
      </c>
      <c r="F167" s="713">
        <v>34.630000000000003</v>
      </c>
      <c r="G167" s="713">
        <v>0</v>
      </c>
      <c r="H167" s="713">
        <v>0</v>
      </c>
      <c r="I167" s="713">
        <v>423.17</v>
      </c>
      <c r="J167" s="713"/>
      <c r="K167" s="713">
        <v>3673.61</v>
      </c>
      <c r="L167" s="713"/>
      <c r="M167" s="714">
        <v>0.83</v>
      </c>
      <c r="N167" s="713">
        <v>0</v>
      </c>
      <c r="O167" s="713">
        <v>74.05</v>
      </c>
      <c r="P167" s="717"/>
      <c r="Q167" s="715">
        <v>4451.42</v>
      </c>
      <c r="R167" s="717"/>
      <c r="S167" s="716">
        <v>389.46</v>
      </c>
      <c r="T167" s="687"/>
      <c r="U167" s="686"/>
    </row>
    <row r="168" spans="1:22" ht="10.5" customHeight="1" x14ac:dyDescent="0.45">
      <c r="A168" s="690">
        <v>2006</v>
      </c>
      <c r="B168" s="713">
        <v>37.19</v>
      </c>
      <c r="C168" s="713"/>
      <c r="D168" s="713"/>
      <c r="E168" s="713">
        <v>307.27999999999997</v>
      </c>
      <c r="F168" s="713">
        <v>56.01</v>
      </c>
      <c r="G168" s="713">
        <v>0</v>
      </c>
      <c r="H168" s="713">
        <v>0</v>
      </c>
      <c r="I168" s="713">
        <v>394.93</v>
      </c>
      <c r="J168" s="713"/>
      <c r="K168" s="713">
        <v>3791.57</v>
      </c>
      <c r="L168" s="713"/>
      <c r="M168" s="714">
        <v>0.83</v>
      </c>
      <c r="N168" s="713">
        <v>0</v>
      </c>
      <c r="O168" s="713">
        <v>187.79</v>
      </c>
      <c r="P168" s="717"/>
      <c r="Q168" s="715">
        <v>4775.6000000000004</v>
      </c>
      <c r="R168" s="717"/>
      <c r="S168" s="716">
        <v>405.29</v>
      </c>
      <c r="T168" s="687"/>
      <c r="U168" s="686"/>
    </row>
    <row r="169" spans="1:22" ht="10.5" customHeight="1" x14ac:dyDescent="0.45">
      <c r="A169" s="690">
        <v>2007</v>
      </c>
      <c r="B169" s="713">
        <v>46.09</v>
      </c>
      <c r="C169" s="713"/>
      <c r="D169" s="713"/>
      <c r="E169" s="713">
        <v>386.18</v>
      </c>
      <c r="F169" s="713">
        <v>67.290000000000006</v>
      </c>
      <c r="G169" s="713">
        <v>0</v>
      </c>
      <c r="H169" s="713">
        <v>0</v>
      </c>
      <c r="I169" s="713">
        <v>436.57</v>
      </c>
      <c r="J169" s="713"/>
      <c r="K169" s="713">
        <v>3809.86</v>
      </c>
      <c r="L169" s="713"/>
      <c r="M169" s="714">
        <v>0.83</v>
      </c>
      <c r="N169" s="713">
        <v>0</v>
      </c>
      <c r="O169" s="713">
        <v>361.69</v>
      </c>
      <c r="P169" s="717"/>
      <c r="Q169" s="715">
        <v>5108.51</v>
      </c>
      <c r="R169" s="717"/>
      <c r="S169" s="716">
        <v>435.65</v>
      </c>
      <c r="T169" s="687"/>
      <c r="U169" s="686"/>
    </row>
    <row r="170" spans="1:22" s="660" customFormat="1" ht="10.5" customHeight="1" x14ac:dyDescent="0.45">
      <c r="A170" s="690">
        <v>2008</v>
      </c>
      <c r="B170" s="713">
        <v>31.02</v>
      </c>
      <c r="C170" s="713"/>
      <c r="D170" s="713"/>
      <c r="E170" s="713">
        <v>497.52</v>
      </c>
      <c r="F170" s="713">
        <v>114.82</v>
      </c>
      <c r="G170" s="713">
        <v>0</v>
      </c>
      <c r="H170" s="713">
        <v>0</v>
      </c>
      <c r="I170" s="713">
        <v>442.06</v>
      </c>
      <c r="J170" s="713"/>
      <c r="K170" s="713">
        <v>4670.88</v>
      </c>
      <c r="L170" s="713"/>
      <c r="M170" s="714">
        <v>0.83</v>
      </c>
      <c r="N170" s="713">
        <v>3.93</v>
      </c>
      <c r="O170" s="713">
        <v>844.51</v>
      </c>
      <c r="P170" s="717"/>
      <c r="Q170" s="715">
        <v>6605.57</v>
      </c>
      <c r="R170" s="717"/>
      <c r="S170" s="716">
        <v>463.75</v>
      </c>
      <c r="T170" s="694"/>
      <c r="U170" s="686"/>
    </row>
    <row r="171" spans="1:22" s="660" customFormat="1" ht="10.5" customHeight="1" x14ac:dyDescent="0.45">
      <c r="A171" s="690">
        <v>2009</v>
      </c>
      <c r="B171" s="713">
        <v>34.909999999999997</v>
      </c>
      <c r="C171" s="713"/>
      <c r="D171" s="713"/>
      <c r="E171" s="713">
        <v>647.22</v>
      </c>
      <c r="F171" s="713">
        <v>150.81</v>
      </c>
      <c r="G171" s="713">
        <v>0</v>
      </c>
      <c r="H171" s="713">
        <v>0.05</v>
      </c>
      <c r="I171" s="713">
        <v>449.52</v>
      </c>
      <c r="J171" s="713"/>
      <c r="K171" s="713">
        <v>5071.28</v>
      </c>
      <c r="L171" s="713"/>
      <c r="M171" s="714">
        <v>0.83</v>
      </c>
      <c r="N171" s="713">
        <v>15.67</v>
      </c>
      <c r="O171" s="713">
        <v>1038.49</v>
      </c>
      <c r="P171" s="717"/>
      <c r="Q171" s="715">
        <v>7408.77</v>
      </c>
      <c r="R171" s="717"/>
      <c r="S171" s="716">
        <v>509.15</v>
      </c>
      <c r="T171" s="694"/>
      <c r="U171" s="686"/>
    </row>
    <row r="172" spans="1:22" s="660" customFormat="1" ht="10.5" customHeight="1" x14ac:dyDescent="0.45">
      <c r="A172" s="690">
        <v>2010</v>
      </c>
      <c r="B172" s="713">
        <v>41.46</v>
      </c>
      <c r="C172" s="713"/>
      <c r="D172" s="713"/>
      <c r="E172" s="713">
        <v>621.33000000000004</v>
      </c>
      <c r="F172" s="713">
        <v>263.08999999999997</v>
      </c>
      <c r="G172" s="713">
        <v>0.16</v>
      </c>
      <c r="H172" s="713">
        <v>0</v>
      </c>
      <c r="I172" s="713">
        <v>308.8</v>
      </c>
      <c r="J172" s="713"/>
      <c r="K172" s="713">
        <v>5984.32</v>
      </c>
      <c r="L172" s="713"/>
      <c r="M172" s="713">
        <v>0.83</v>
      </c>
      <c r="N172" s="713">
        <v>22.54</v>
      </c>
      <c r="O172" s="713">
        <v>1217.58</v>
      </c>
      <c r="P172" s="713"/>
      <c r="Q172" s="713">
        <v>8460.1200000000008</v>
      </c>
      <c r="R172" s="717"/>
      <c r="S172" s="713">
        <v>533.71</v>
      </c>
      <c r="T172" s="694"/>
      <c r="U172" s="686"/>
      <c r="V172" s="718"/>
    </row>
    <row r="173" spans="1:22" s="259" customFormat="1" ht="10.5" customHeight="1" x14ac:dyDescent="0.45">
      <c r="A173" s="690">
        <v>2011</v>
      </c>
      <c r="B173" s="713">
        <v>63.92</v>
      </c>
      <c r="C173" s="713"/>
      <c r="D173" s="713"/>
      <c r="E173" s="713">
        <v>929.84</v>
      </c>
      <c r="F173" s="713">
        <v>442.74</v>
      </c>
      <c r="G173" s="713">
        <v>0.08</v>
      </c>
      <c r="H173" s="713">
        <v>0</v>
      </c>
      <c r="I173" s="713">
        <v>489.4</v>
      </c>
      <c r="J173" s="713"/>
      <c r="K173" s="713">
        <v>6132.23</v>
      </c>
      <c r="L173" s="713"/>
      <c r="M173" s="714">
        <v>0.83</v>
      </c>
      <c r="N173" s="713">
        <v>37.65</v>
      </c>
      <c r="O173" s="713">
        <v>1127.54</v>
      </c>
      <c r="P173" s="717"/>
      <c r="Q173" s="715">
        <v>9224.23</v>
      </c>
      <c r="R173" s="717"/>
      <c r="S173" s="716">
        <v>567.89</v>
      </c>
      <c r="T173" s="692"/>
      <c r="U173" s="697"/>
    </row>
    <row r="174" spans="1:22" s="259" customFormat="1" ht="10.5" customHeight="1" x14ac:dyDescent="0.45">
      <c r="A174" s="690">
        <v>2012</v>
      </c>
      <c r="B174" s="713">
        <v>162.28</v>
      </c>
      <c r="C174" s="713"/>
      <c r="D174" s="713"/>
      <c r="E174" s="713">
        <v>1052.8</v>
      </c>
      <c r="F174" s="713">
        <v>653.76</v>
      </c>
      <c r="G174" s="713">
        <v>0.36</v>
      </c>
      <c r="H174" s="713">
        <v>0</v>
      </c>
      <c r="I174" s="713">
        <v>456.55</v>
      </c>
      <c r="J174" s="713"/>
      <c r="K174" s="713">
        <v>6705.28</v>
      </c>
      <c r="L174" s="713"/>
      <c r="M174" s="714">
        <v>0.83</v>
      </c>
      <c r="N174" s="713">
        <v>54.85</v>
      </c>
      <c r="O174" s="713">
        <v>957.78</v>
      </c>
      <c r="P174" s="717"/>
      <c r="Q174" s="715">
        <v>10044.49</v>
      </c>
      <c r="R174" s="717"/>
      <c r="S174" s="716">
        <v>664.39</v>
      </c>
      <c r="T174" s="692"/>
      <c r="U174" s="697"/>
    </row>
    <row r="175" spans="1:22" s="259" customFormat="1" ht="10.5" customHeight="1" x14ac:dyDescent="0.45">
      <c r="A175" s="690">
        <v>2013</v>
      </c>
      <c r="B175" s="713">
        <v>220.74</v>
      </c>
      <c r="C175" s="713"/>
      <c r="D175" s="713"/>
      <c r="E175" s="713">
        <v>1455.33</v>
      </c>
      <c r="F175" s="713">
        <v>986.39</v>
      </c>
      <c r="G175" s="713">
        <v>0.41</v>
      </c>
      <c r="H175" s="713">
        <v>0</v>
      </c>
      <c r="I175" s="713">
        <v>404.26</v>
      </c>
      <c r="J175" s="713"/>
      <c r="K175" s="713">
        <v>7716.35</v>
      </c>
      <c r="L175" s="713"/>
      <c r="M175" s="714">
        <v>0.83</v>
      </c>
      <c r="N175" s="713">
        <v>96.47</v>
      </c>
      <c r="O175" s="713">
        <v>1091.5999999999999</v>
      </c>
      <c r="P175" s="717"/>
      <c r="Q175" s="715">
        <v>11972.37</v>
      </c>
      <c r="R175" s="717"/>
      <c r="S175" s="716">
        <v>667.79</v>
      </c>
      <c r="T175" s="692"/>
      <c r="U175" s="697"/>
    </row>
    <row r="176" spans="1:22" s="259" customFormat="1" ht="10.5" customHeight="1" x14ac:dyDescent="0.45">
      <c r="A176" s="690">
        <v>2014</v>
      </c>
      <c r="B176" s="713">
        <v>398.14</v>
      </c>
      <c r="C176" s="713"/>
      <c r="D176" s="713"/>
      <c r="E176" s="713">
        <v>1595.43</v>
      </c>
      <c r="F176" s="713">
        <v>1152.5899999999999</v>
      </c>
      <c r="G176" s="713">
        <v>0.19</v>
      </c>
      <c r="H176" s="713">
        <v>0</v>
      </c>
      <c r="I176" s="713">
        <v>506.26</v>
      </c>
      <c r="J176" s="713"/>
      <c r="K176" s="713">
        <v>8866.2099999999991</v>
      </c>
      <c r="L176" s="713"/>
      <c r="M176" s="714">
        <v>0.83</v>
      </c>
      <c r="N176" s="713">
        <v>106.67</v>
      </c>
      <c r="O176" s="713">
        <v>1242.69</v>
      </c>
      <c r="P176" s="717"/>
      <c r="Q176" s="715">
        <v>13869.01</v>
      </c>
      <c r="R176" s="717"/>
      <c r="S176" s="716">
        <v>846.83</v>
      </c>
      <c r="T176" s="692"/>
      <c r="U176" s="697"/>
    </row>
    <row r="177" spans="1:22" s="258" customFormat="1" ht="10.5" customHeight="1" x14ac:dyDescent="0.45">
      <c r="A177" s="690">
        <v>2015</v>
      </c>
      <c r="B177" s="720">
        <v>698.4</v>
      </c>
      <c r="C177" s="720"/>
      <c r="D177" s="720"/>
      <c r="E177" s="720">
        <v>1964.93</v>
      </c>
      <c r="F177" s="720">
        <v>1498.09</v>
      </c>
      <c r="G177" s="720">
        <v>0.17</v>
      </c>
      <c r="H177" s="720">
        <v>0</v>
      </c>
      <c r="I177" s="720">
        <v>541.47</v>
      </c>
      <c r="J177" s="720"/>
      <c r="K177" s="720">
        <v>10784.24</v>
      </c>
      <c r="L177" s="720"/>
      <c r="M177" s="721">
        <v>0.83</v>
      </c>
      <c r="N177" s="720">
        <v>1007.13</v>
      </c>
      <c r="O177" s="720">
        <v>997.79</v>
      </c>
      <c r="P177" s="722"/>
      <c r="Q177" s="723">
        <v>17493.060000000001</v>
      </c>
      <c r="R177" s="722"/>
      <c r="S177" s="724">
        <v>1048.96</v>
      </c>
      <c r="T177" s="689"/>
      <c r="U177" s="697"/>
      <c r="V177" s="725"/>
    </row>
    <row r="178" spans="1:22" s="258" customFormat="1" ht="10.5" customHeight="1" x14ac:dyDescent="0.45">
      <c r="A178" s="690">
        <v>2016</v>
      </c>
      <c r="B178" s="720">
        <v>946.16</v>
      </c>
      <c r="C178" s="720"/>
      <c r="D178" s="720"/>
      <c r="E178" s="726">
        <v>1784.12</v>
      </c>
      <c r="F178" s="720">
        <v>1410.65</v>
      </c>
      <c r="G178" s="720">
        <v>0</v>
      </c>
      <c r="H178" s="720">
        <v>0</v>
      </c>
      <c r="I178" s="726">
        <v>463.8</v>
      </c>
      <c r="J178" s="720"/>
      <c r="K178" s="726">
        <v>11537.48</v>
      </c>
      <c r="L178" s="720"/>
      <c r="M178" s="721">
        <v>0.83</v>
      </c>
      <c r="N178" s="726">
        <v>981.53</v>
      </c>
      <c r="O178" s="720">
        <v>1009.54</v>
      </c>
      <c r="P178" s="722"/>
      <c r="Q178" s="727">
        <v>18134.11</v>
      </c>
      <c r="R178" s="722"/>
      <c r="S178" s="724">
        <v>1267.74</v>
      </c>
      <c r="T178" s="689"/>
      <c r="U178" s="697"/>
      <c r="V178" s="725"/>
    </row>
    <row r="179" spans="1:22" s="258" customFormat="1" ht="10.5" customHeight="1" x14ac:dyDescent="0.45">
      <c r="A179" s="690">
        <v>2017</v>
      </c>
      <c r="B179" s="726">
        <v>1038.78</v>
      </c>
      <c r="C179" s="720"/>
      <c r="D179" s="720"/>
      <c r="E179" s="726">
        <v>2469.2399999999998</v>
      </c>
      <c r="F179" s="720">
        <v>1798.45</v>
      </c>
      <c r="G179" s="720">
        <v>0.36</v>
      </c>
      <c r="H179" s="720">
        <v>0</v>
      </c>
      <c r="I179" s="726">
        <v>507.45</v>
      </c>
      <c r="J179" s="720"/>
      <c r="K179" s="726">
        <v>12067.23</v>
      </c>
      <c r="L179" s="720"/>
      <c r="M179" s="721">
        <v>0.83</v>
      </c>
      <c r="N179" s="726">
        <v>963.36</v>
      </c>
      <c r="O179" s="720">
        <v>997.12</v>
      </c>
      <c r="P179" s="722"/>
      <c r="Q179" s="727">
        <v>19842.830000000002</v>
      </c>
      <c r="R179" s="722"/>
      <c r="S179" s="724">
        <v>1358.71</v>
      </c>
      <c r="T179" s="689"/>
      <c r="U179" s="697"/>
      <c r="V179" s="725"/>
    </row>
    <row r="180" spans="1:22" ht="10.5" customHeight="1" thickBot="1" x14ac:dyDescent="0.5">
      <c r="A180" s="700">
        <v>2018</v>
      </c>
      <c r="B180" s="728">
        <v>1158.27</v>
      </c>
      <c r="C180" s="728"/>
      <c r="D180" s="728"/>
      <c r="E180" s="728">
        <v>2598.1999999999998</v>
      </c>
      <c r="F180" s="728">
        <v>2294.69</v>
      </c>
      <c r="G180" s="728">
        <v>0.8</v>
      </c>
      <c r="H180" s="728">
        <v>0</v>
      </c>
      <c r="I180" s="728">
        <v>472.04</v>
      </c>
      <c r="J180" s="728"/>
      <c r="K180" s="728">
        <v>13368.63</v>
      </c>
      <c r="L180" s="728"/>
      <c r="M180" s="729">
        <v>0.83</v>
      </c>
      <c r="N180" s="728">
        <v>978.99</v>
      </c>
      <c r="O180" s="730">
        <v>1362.59</v>
      </c>
      <c r="P180" s="728"/>
      <c r="Q180" s="731">
        <v>22235.03</v>
      </c>
      <c r="R180" s="728"/>
      <c r="S180" s="732">
        <v>1576.27</v>
      </c>
      <c r="T180" s="687"/>
      <c r="U180" s="686"/>
      <c r="V180" s="718"/>
    </row>
    <row r="181" spans="1:22" ht="15.75" thickTop="1" x14ac:dyDescent="0.45">
      <c r="A181" s="658"/>
      <c r="B181" s="733"/>
      <c r="C181" s="733"/>
      <c r="D181" s="733"/>
      <c r="E181" s="733"/>
      <c r="F181" s="733"/>
      <c r="G181" s="733"/>
      <c r="H181" s="733"/>
      <c r="I181" s="733"/>
      <c r="J181" s="733"/>
      <c r="K181" s="733"/>
      <c r="L181" s="733"/>
      <c r="M181" s="733"/>
      <c r="N181" s="733"/>
      <c r="O181" s="733"/>
      <c r="P181" s="734"/>
      <c r="Q181" s="735"/>
      <c r="R181" s="735"/>
      <c r="T181" s="687"/>
    </row>
    <row r="182" spans="1:22" ht="15.4" x14ac:dyDescent="0.45">
      <c r="A182" s="658"/>
      <c r="B182" s="736"/>
      <c r="C182" s="733"/>
      <c r="D182" s="733"/>
      <c r="E182" s="733"/>
      <c r="F182" s="736"/>
      <c r="G182" s="736"/>
      <c r="H182" s="737"/>
      <c r="I182" s="733"/>
      <c r="J182" s="736"/>
      <c r="K182" s="733"/>
      <c r="L182" s="736"/>
      <c r="M182" s="733"/>
      <c r="N182" s="737"/>
      <c r="O182" s="737"/>
      <c r="P182" s="738"/>
      <c r="Q182" s="733"/>
      <c r="R182" s="739"/>
      <c r="S182" s="429"/>
      <c r="T182" s="740"/>
    </row>
    <row r="183" spans="1:22" ht="22.5" x14ac:dyDescent="0.6">
      <c r="A183" s="741" t="s">
        <v>1039</v>
      </c>
      <c r="B183" s="742"/>
      <c r="C183" s="742"/>
      <c r="D183" s="742"/>
      <c r="E183" s="742"/>
      <c r="F183" s="742"/>
      <c r="G183" s="742"/>
      <c r="H183" s="742"/>
      <c r="I183" s="742"/>
      <c r="J183" s="742"/>
      <c r="K183" s="742"/>
      <c r="L183" s="742"/>
      <c r="M183" s="742"/>
      <c r="N183" s="742"/>
      <c r="O183" s="743"/>
      <c r="P183" s="743"/>
      <c r="Q183" s="660"/>
      <c r="R183" s="744"/>
      <c r="S183" s="744"/>
      <c r="T183" s="660"/>
      <c r="U183" s="660"/>
      <c r="V183" s="660"/>
    </row>
    <row r="184" spans="1:22" ht="22.5" x14ac:dyDescent="0.6">
      <c r="A184" s="741" t="s">
        <v>1096</v>
      </c>
      <c r="B184" s="742"/>
      <c r="C184" s="742"/>
      <c r="D184" s="742"/>
      <c r="E184" s="742"/>
      <c r="F184" s="742"/>
      <c r="G184" s="742"/>
      <c r="H184" s="742"/>
      <c r="I184" s="742"/>
      <c r="J184" s="742"/>
      <c r="K184" s="742"/>
      <c r="L184" s="742"/>
      <c r="M184" s="742"/>
      <c r="N184" s="742"/>
      <c r="O184" s="743"/>
      <c r="P184" s="743"/>
      <c r="Q184" s="660"/>
      <c r="R184" s="660"/>
      <c r="S184" s="660"/>
      <c r="T184" s="660"/>
      <c r="U184" s="660"/>
      <c r="V184" s="660"/>
    </row>
    <row r="185" spans="1:22" ht="22.5" x14ac:dyDescent="0.6">
      <c r="A185" s="741" t="s">
        <v>1097</v>
      </c>
      <c r="B185" s="742"/>
      <c r="C185" s="742"/>
      <c r="D185" s="742"/>
      <c r="E185" s="742"/>
      <c r="F185" s="742"/>
      <c r="G185" s="742"/>
      <c r="H185" s="742"/>
      <c r="I185" s="742"/>
      <c r="J185" s="742"/>
      <c r="K185" s="742"/>
      <c r="L185" s="742"/>
      <c r="M185" s="742"/>
      <c r="N185" s="742"/>
      <c r="O185" s="743"/>
      <c r="P185" s="743"/>
      <c r="Q185" s="660"/>
      <c r="R185" s="660"/>
      <c r="S185" s="660"/>
      <c r="T185" s="660"/>
      <c r="U185" s="660"/>
      <c r="V185" s="660"/>
    </row>
    <row r="186" spans="1:22" ht="14.65" thickBot="1" x14ac:dyDescent="0.5">
      <c r="A186" s="1464" t="s">
        <v>203</v>
      </c>
      <c r="B186" s="1464"/>
      <c r="C186" s="1464"/>
      <c r="D186" s="1464"/>
      <c r="E186" s="1464"/>
      <c r="F186" s="1464"/>
      <c r="G186" s="1464"/>
      <c r="H186" s="1464"/>
      <c r="I186" s="1464"/>
      <c r="J186" s="1464"/>
      <c r="K186" s="1464"/>
      <c r="L186" s="1464"/>
      <c r="M186" s="1464"/>
      <c r="N186" s="1464"/>
      <c r="O186" s="1464"/>
      <c r="P186" s="1464"/>
      <c r="Q186" s="1464"/>
      <c r="R186" s="1464"/>
      <c r="S186" s="1464"/>
      <c r="T186" s="1464"/>
      <c r="U186" s="1464"/>
      <c r="V186" s="1464"/>
    </row>
    <row r="187" spans="1:22" ht="12.75" customHeight="1" thickTop="1" x14ac:dyDescent="0.45">
      <c r="A187" s="634"/>
      <c r="B187" s="1462" t="s">
        <v>1041</v>
      </c>
      <c r="C187" s="1462"/>
      <c r="D187" s="635"/>
      <c r="E187" s="636" t="s">
        <v>1042</v>
      </c>
      <c r="F187" s="636" t="s">
        <v>1038</v>
      </c>
      <c r="G187" s="636"/>
      <c r="H187" s="634"/>
      <c r="I187" s="1465" t="s">
        <v>1043</v>
      </c>
      <c r="J187" s="1465"/>
      <c r="K187" s="635"/>
      <c r="L187" s="1465" t="s">
        <v>1044</v>
      </c>
      <c r="M187" s="1465"/>
      <c r="N187" s="1465"/>
      <c r="O187" s="1465"/>
      <c r="P187" s="1465"/>
      <c r="Q187" s="1465"/>
      <c r="R187" s="1465"/>
      <c r="S187" s="1465"/>
      <c r="T187" s="637" t="s">
        <v>211</v>
      </c>
      <c r="U187" s="638"/>
      <c r="V187" s="636" t="s">
        <v>1045</v>
      </c>
    </row>
    <row r="188" spans="1:22" ht="12.75" customHeight="1" x14ac:dyDescent="0.45">
      <c r="B188" s="639" t="s">
        <v>1046</v>
      </c>
      <c r="C188" s="639" t="s">
        <v>1047</v>
      </c>
      <c r="D188" s="639"/>
      <c r="E188" s="639" t="s">
        <v>1048</v>
      </c>
      <c r="F188" s="640" t="s">
        <v>1049</v>
      </c>
      <c r="G188" s="640"/>
      <c r="I188" s="640" t="s">
        <v>1050</v>
      </c>
      <c r="J188" s="640" t="s">
        <v>1051</v>
      </c>
      <c r="K188" s="640"/>
      <c r="L188" s="640" t="s">
        <v>1052</v>
      </c>
      <c r="M188" s="640" t="s">
        <v>1053</v>
      </c>
      <c r="N188" s="641" t="s">
        <v>1054</v>
      </c>
      <c r="O188" s="642" t="s">
        <v>1058</v>
      </c>
      <c r="P188" s="640" t="s">
        <v>1055</v>
      </c>
      <c r="Q188" s="640" t="s">
        <v>1056</v>
      </c>
      <c r="R188" s="640" t="s">
        <v>1057</v>
      </c>
      <c r="S188" s="640" t="s">
        <v>1059</v>
      </c>
      <c r="T188" s="640"/>
      <c r="V188" s="643" t="s">
        <v>33</v>
      </c>
    </row>
    <row r="189" spans="1:22" ht="12.75" customHeight="1" x14ac:dyDescent="0.45">
      <c r="B189" s="640"/>
      <c r="C189" s="640"/>
      <c r="D189" s="640"/>
      <c r="E189" s="640"/>
      <c r="F189" s="640" t="s">
        <v>1060</v>
      </c>
      <c r="G189" s="640"/>
      <c r="I189" s="640" t="s">
        <v>1061</v>
      </c>
      <c r="J189" s="640" t="s">
        <v>1062</v>
      </c>
      <c r="K189" s="640"/>
      <c r="L189" s="640" t="s">
        <v>1063</v>
      </c>
      <c r="M189" s="640" t="s">
        <v>1064</v>
      </c>
      <c r="N189" s="641" t="s">
        <v>1065</v>
      </c>
      <c r="O189" s="642" t="s">
        <v>1068</v>
      </c>
      <c r="P189" s="640" t="s">
        <v>1066</v>
      </c>
      <c r="Q189" s="640" t="s">
        <v>1066</v>
      </c>
      <c r="R189" s="640" t="s">
        <v>1067</v>
      </c>
      <c r="S189" s="640" t="s">
        <v>1069</v>
      </c>
      <c r="T189" s="640"/>
    </row>
    <row r="190" spans="1:22" ht="12.75" customHeight="1" x14ac:dyDescent="0.45">
      <c r="A190" s="258"/>
      <c r="B190" s="639"/>
      <c r="C190" s="639"/>
      <c r="D190" s="639"/>
      <c r="E190" s="639"/>
      <c r="F190" s="639"/>
      <c r="G190" s="639"/>
      <c r="H190" s="644"/>
      <c r="I190" s="645"/>
      <c r="J190" s="645"/>
      <c r="K190" s="645"/>
      <c r="L190" s="645"/>
      <c r="M190" s="645" t="s">
        <v>1070</v>
      </c>
      <c r="N190" s="646" t="s">
        <v>1071</v>
      </c>
      <c r="O190" s="648" t="s">
        <v>749</v>
      </c>
      <c r="P190" s="643" t="s">
        <v>30</v>
      </c>
      <c r="Q190" s="643" t="s">
        <v>31</v>
      </c>
      <c r="R190" s="647" t="s">
        <v>32</v>
      </c>
      <c r="S190" s="645"/>
      <c r="T190" s="645"/>
      <c r="V190" s="645"/>
    </row>
    <row r="191" spans="1:22" ht="12.75" customHeight="1" x14ac:dyDescent="0.45">
      <c r="A191" s="649"/>
      <c r="B191" s="650"/>
      <c r="C191" s="650"/>
      <c r="D191" s="650"/>
      <c r="E191" s="650"/>
      <c r="F191" s="650"/>
      <c r="G191" s="650"/>
      <c r="H191" s="650"/>
      <c r="I191" s="650"/>
      <c r="J191" s="650"/>
      <c r="K191" s="650"/>
      <c r="L191" s="650"/>
      <c r="M191" s="651"/>
      <c r="N191" s="652" t="s">
        <v>29</v>
      </c>
      <c r="O191" s="650"/>
      <c r="P191" s="649"/>
      <c r="Q191" s="649"/>
      <c r="R191" s="650"/>
      <c r="S191" s="650"/>
      <c r="T191" s="650"/>
      <c r="U191" s="649"/>
      <c r="V191" s="650"/>
    </row>
    <row r="192" spans="1:22" ht="10.5" customHeight="1" x14ac:dyDescent="0.45">
      <c r="A192" s="745" t="s">
        <v>1098</v>
      </c>
      <c r="B192" s="745"/>
      <c r="C192" s="745"/>
      <c r="D192" s="745"/>
      <c r="E192" s="745"/>
      <c r="F192" s="746"/>
      <c r="G192" s="746"/>
      <c r="H192" s="746"/>
      <c r="I192" s="746"/>
      <c r="J192" s="746"/>
      <c r="K192" s="746"/>
      <c r="L192" s="746"/>
      <c r="M192" s="746"/>
      <c r="N192" s="746"/>
      <c r="O192" s="746"/>
      <c r="P192" s="746"/>
      <c r="Q192" s="746"/>
      <c r="R192" s="746"/>
      <c r="S192" s="746"/>
      <c r="T192" s="746"/>
      <c r="U192" s="746"/>
      <c r="V192" s="746"/>
    </row>
    <row r="193" spans="1:23" ht="10.5" customHeight="1" x14ac:dyDescent="0.45">
      <c r="A193" s="747">
        <v>1990</v>
      </c>
      <c r="B193" s="748">
        <v>9.2200000000000006</v>
      </c>
      <c r="C193" s="748">
        <v>0</v>
      </c>
      <c r="D193" s="748"/>
      <c r="E193" s="748"/>
      <c r="F193" s="748">
        <v>0</v>
      </c>
      <c r="G193" s="748">
        <v>0</v>
      </c>
      <c r="H193" s="748"/>
      <c r="I193" s="748">
        <v>126.57</v>
      </c>
      <c r="J193" s="748">
        <v>5080</v>
      </c>
      <c r="K193" s="748"/>
      <c r="L193" s="748">
        <v>139</v>
      </c>
      <c r="M193" s="748">
        <v>316</v>
      </c>
      <c r="N193" s="748">
        <v>140.72</v>
      </c>
      <c r="O193" s="748">
        <v>0</v>
      </c>
      <c r="P193" s="748">
        <v>0</v>
      </c>
      <c r="Q193" s="748">
        <v>0</v>
      </c>
      <c r="R193" s="748">
        <v>0.11</v>
      </c>
      <c r="S193" s="748">
        <v>595.83000000000004</v>
      </c>
      <c r="T193" s="748">
        <v>5811.62</v>
      </c>
      <c r="U193" s="748"/>
      <c r="V193" s="748">
        <v>82.65</v>
      </c>
      <c r="W193" s="749"/>
    </row>
    <row r="194" spans="1:23" ht="10.5" customHeight="1" x14ac:dyDescent="0.45">
      <c r="A194" s="747">
        <v>1991</v>
      </c>
      <c r="B194" s="748">
        <v>8.58</v>
      </c>
      <c r="C194" s="748">
        <v>0</v>
      </c>
      <c r="D194" s="748"/>
      <c r="E194" s="748"/>
      <c r="F194" s="748">
        <v>0</v>
      </c>
      <c r="G194" s="748">
        <v>0</v>
      </c>
      <c r="H194" s="748"/>
      <c r="I194" s="748">
        <v>141.91999999999999</v>
      </c>
      <c r="J194" s="748">
        <v>4482</v>
      </c>
      <c r="K194" s="748"/>
      <c r="L194" s="748">
        <v>208</v>
      </c>
      <c r="M194" s="748">
        <v>328</v>
      </c>
      <c r="N194" s="748">
        <v>150.47</v>
      </c>
      <c r="O194" s="748">
        <v>0</v>
      </c>
      <c r="P194" s="748">
        <v>1.04</v>
      </c>
      <c r="Q194" s="748">
        <v>0</v>
      </c>
      <c r="R194" s="748">
        <v>0.39</v>
      </c>
      <c r="S194" s="748">
        <v>687.9</v>
      </c>
      <c r="T194" s="748">
        <v>5320.4</v>
      </c>
      <c r="U194" s="748"/>
      <c r="V194" s="748">
        <v>88.37</v>
      </c>
      <c r="W194" s="749"/>
    </row>
    <row r="195" spans="1:23" ht="10.5" customHeight="1" x14ac:dyDescent="0.45">
      <c r="A195" s="747">
        <v>1992</v>
      </c>
      <c r="B195" s="748">
        <v>32.51</v>
      </c>
      <c r="C195" s="748">
        <v>0</v>
      </c>
      <c r="D195" s="748"/>
      <c r="E195" s="748"/>
      <c r="F195" s="748">
        <v>0</v>
      </c>
      <c r="G195" s="748">
        <v>0</v>
      </c>
      <c r="H195" s="748"/>
      <c r="I195" s="748">
        <v>149.38</v>
      </c>
      <c r="J195" s="748">
        <v>5282</v>
      </c>
      <c r="K195" s="748"/>
      <c r="L195" s="748">
        <v>377</v>
      </c>
      <c r="M195" s="748">
        <v>328</v>
      </c>
      <c r="N195" s="748">
        <v>176.85</v>
      </c>
      <c r="O195" s="748">
        <v>0</v>
      </c>
      <c r="P195" s="748">
        <v>51.8</v>
      </c>
      <c r="Q195" s="748">
        <v>0</v>
      </c>
      <c r="R195" s="748">
        <v>0.54</v>
      </c>
      <c r="S195" s="748">
        <v>934.19</v>
      </c>
      <c r="T195" s="748">
        <v>6398.08</v>
      </c>
      <c r="U195" s="748"/>
      <c r="V195" s="748">
        <v>103.86</v>
      </c>
      <c r="W195" s="749"/>
    </row>
    <row r="196" spans="1:23" ht="10.5" customHeight="1" x14ac:dyDescent="0.45">
      <c r="A196" s="747">
        <v>1993</v>
      </c>
      <c r="B196" s="748">
        <v>217.43</v>
      </c>
      <c r="C196" s="748">
        <v>0</v>
      </c>
      <c r="D196" s="748"/>
      <c r="E196" s="748"/>
      <c r="F196" s="748">
        <v>0</v>
      </c>
      <c r="G196" s="748">
        <v>0</v>
      </c>
      <c r="H196" s="748"/>
      <c r="I196" s="748">
        <v>158.75</v>
      </c>
      <c r="J196" s="748">
        <v>4143</v>
      </c>
      <c r="K196" s="748"/>
      <c r="L196" s="748">
        <v>446.93</v>
      </c>
      <c r="M196" s="748">
        <v>377.58</v>
      </c>
      <c r="N196" s="748">
        <v>251.52</v>
      </c>
      <c r="O196" s="748">
        <v>0</v>
      </c>
      <c r="P196" s="748">
        <v>121.42</v>
      </c>
      <c r="Q196" s="748">
        <v>0</v>
      </c>
      <c r="R196" s="748">
        <v>0.5</v>
      </c>
      <c r="S196" s="748">
        <v>1197.95</v>
      </c>
      <c r="T196" s="748">
        <v>5717.13</v>
      </c>
      <c r="U196" s="748"/>
      <c r="V196" s="748">
        <v>165.4</v>
      </c>
      <c r="W196" s="749"/>
    </row>
    <row r="197" spans="1:23" ht="10.5" customHeight="1" x14ac:dyDescent="0.45">
      <c r="A197" s="747">
        <v>1994</v>
      </c>
      <c r="B197" s="748">
        <v>343.5</v>
      </c>
      <c r="C197" s="748">
        <v>0</v>
      </c>
      <c r="D197" s="748"/>
      <c r="E197" s="748"/>
      <c r="F197" s="748">
        <v>0</v>
      </c>
      <c r="G197" s="748">
        <v>0</v>
      </c>
      <c r="H197" s="748"/>
      <c r="I197" s="748">
        <v>158.75</v>
      </c>
      <c r="J197" s="748">
        <v>4935</v>
      </c>
      <c r="K197" s="748"/>
      <c r="L197" s="748">
        <v>516.96</v>
      </c>
      <c r="M197" s="748">
        <v>360.77</v>
      </c>
      <c r="N197" s="748">
        <v>448.6</v>
      </c>
      <c r="O197" s="748">
        <v>0</v>
      </c>
      <c r="P197" s="748">
        <v>191.7</v>
      </c>
      <c r="Q197" s="748">
        <v>0</v>
      </c>
      <c r="R197" s="748">
        <v>0.43</v>
      </c>
      <c r="S197" s="748">
        <v>1518.45</v>
      </c>
      <c r="T197" s="748">
        <v>6955.71</v>
      </c>
      <c r="U197" s="748"/>
      <c r="V197" s="748">
        <v>351.64</v>
      </c>
      <c r="W197" s="749"/>
    </row>
    <row r="198" spans="1:23" ht="10.5" customHeight="1" x14ac:dyDescent="0.45">
      <c r="A198" s="747">
        <v>1995</v>
      </c>
      <c r="B198" s="748">
        <v>392.3</v>
      </c>
      <c r="C198" s="748">
        <v>0</v>
      </c>
      <c r="D198" s="748"/>
      <c r="E198" s="748"/>
      <c r="F198" s="748">
        <v>7.0000000000000007E-2</v>
      </c>
      <c r="G198" s="748">
        <v>0</v>
      </c>
      <c r="H198" s="748"/>
      <c r="I198" s="748">
        <v>165.58</v>
      </c>
      <c r="J198" s="748">
        <v>4672</v>
      </c>
      <c r="K198" s="748"/>
      <c r="L198" s="748">
        <v>561.86</v>
      </c>
      <c r="M198" s="748">
        <v>410.4</v>
      </c>
      <c r="N198" s="748">
        <v>470.76</v>
      </c>
      <c r="O198" s="748">
        <v>0</v>
      </c>
      <c r="P198" s="748">
        <v>198.3</v>
      </c>
      <c r="Q198" s="748">
        <v>0</v>
      </c>
      <c r="R198" s="748">
        <v>0.25</v>
      </c>
      <c r="S198" s="748">
        <v>1641.57</v>
      </c>
      <c r="T198" s="748">
        <v>6871.53</v>
      </c>
      <c r="U198" s="748"/>
      <c r="V198" s="748">
        <v>411.86</v>
      </c>
      <c r="W198" s="749"/>
    </row>
    <row r="199" spans="1:23" ht="10.5" customHeight="1" x14ac:dyDescent="0.45">
      <c r="A199" s="747">
        <v>1996</v>
      </c>
      <c r="B199" s="748">
        <v>487.72</v>
      </c>
      <c r="C199" s="748">
        <v>0</v>
      </c>
      <c r="D199" s="748"/>
      <c r="E199" s="748"/>
      <c r="F199" s="748">
        <v>0.14000000000000001</v>
      </c>
      <c r="G199" s="748">
        <v>0</v>
      </c>
      <c r="H199" s="748"/>
      <c r="I199" s="748">
        <v>117.58</v>
      </c>
      <c r="J199" s="748">
        <v>3274.63</v>
      </c>
      <c r="K199" s="748"/>
      <c r="L199" s="748">
        <v>707.54</v>
      </c>
      <c r="M199" s="748">
        <v>410.4</v>
      </c>
      <c r="N199" s="748">
        <v>489.43</v>
      </c>
      <c r="O199" s="748">
        <v>0</v>
      </c>
      <c r="P199" s="748">
        <v>196.96</v>
      </c>
      <c r="Q199" s="748">
        <v>0</v>
      </c>
      <c r="R199" s="748">
        <v>0.25</v>
      </c>
      <c r="S199" s="748">
        <v>1804.57</v>
      </c>
      <c r="T199" s="748">
        <v>5684.64</v>
      </c>
      <c r="U199" s="748"/>
      <c r="V199" s="748">
        <v>416.7</v>
      </c>
      <c r="W199" s="749"/>
    </row>
    <row r="200" spans="1:23" ht="10.5" customHeight="1" x14ac:dyDescent="0.45">
      <c r="A200" s="747">
        <v>1997</v>
      </c>
      <c r="B200" s="748">
        <v>666.98</v>
      </c>
      <c r="C200" s="748">
        <v>0</v>
      </c>
      <c r="D200" s="748"/>
      <c r="E200" s="748"/>
      <c r="F200" s="748">
        <v>0.21</v>
      </c>
      <c r="G200" s="748">
        <v>0</v>
      </c>
      <c r="H200" s="748"/>
      <c r="I200" s="748">
        <v>163.56</v>
      </c>
      <c r="J200" s="748">
        <v>4005.11</v>
      </c>
      <c r="K200" s="748"/>
      <c r="L200" s="748">
        <v>917.91</v>
      </c>
      <c r="M200" s="748">
        <v>407.7</v>
      </c>
      <c r="N200" s="748">
        <v>585.49</v>
      </c>
      <c r="O200" s="748">
        <v>0</v>
      </c>
      <c r="P200" s="748">
        <v>198.5</v>
      </c>
      <c r="Q200" s="748">
        <v>0.05</v>
      </c>
      <c r="R200" s="748">
        <v>0.14000000000000001</v>
      </c>
      <c r="S200" s="748">
        <v>2109.79</v>
      </c>
      <c r="T200" s="748">
        <v>6945.64</v>
      </c>
      <c r="U200" s="748"/>
      <c r="V200" s="748">
        <v>482.9</v>
      </c>
      <c r="W200" s="749"/>
    </row>
    <row r="201" spans="1:23" ht="10.5" customHeight="1" x14ac:dyDescent="0.45">
      <c r="A201" s="747">
        <v>1998</v>
      </c>
      <c r="B201" s="748">
        <v>876.86</v>
      </c>
      <c r="C201" s="748">
        <v>0</v>
      </c>
      <c r="D201" s="748"/>
      <c r="E201" s="748"/>
      <c r="F201" s="748">
        <v>0.27</v>
      </c>
      <c r="G201" s="748">
        <v>0</v>
      </c>
      <c r="H201" s="748"/>
      <c r="I201" s="748">
        <v>206.38</v>
      </c>
      <c r="J201" s="748">
        <v>4910.87</v>
      </c>
      <c r="K201" s="748"/>
      <c r="L201" s="748">
        <v>1185.3699999999999</v>
      </c>
      <c r="M201" s="748">
        <v>385.59</v>
      </c>
      <c r="N201" s="748">
        <v>848.95</v>
      </c>
      <c r="O201" s="748">
        <v>0</v>
      </c>
      <c r="P201" s="748">
        <v>234.1</v>
      </c>
      <c r="Q201" s="748">
        <v>0.23</v>
      </c>
      <c r="R201" s="748">
        <v>0</v>
      </c>
      <c r="S201" s="748">
        <v>2654.24</v>
      </c>
      <c r="T201" s="748">
        <v>8648.6299999999992</v>
      </c>
      <c r="U201" s="748"/>
      <c r="V201" s="748">
        <v>582.94000000000005</v>
      </c>
      <c r="W201" s="749"/>
    </row>
    <row r="202" spans="1:23" ht="10.5" customHeight="1" x14ac:dyDescent="0.45">
      <c r="A202" s="747">
        <v>1999</v>
      </c>
      <c r="B202" s="748">
        <v>850.17</v>
      </c>
      <c r="C202" s="748">
        <v>0</v>
      </c>
      <c r="D202" s="748"/>
      <c r="E202" s="748"/>
      <c r="F202" s="748">
        <v>0.67</v>
      </c>
      <c r="G202" s="748">
        <v>0</v>
      </c>
      <c r="H202" s="748"/>
      <c r="I202" s="748">
        <v>207.33</v>
      </c>
      <c r="J202" s="748">
        <v>5128.4399999999996</v>
      </c>
      <c r="K202" s="748"/>
      <c r="L202" s="748">
        <v>1702.6</v>
      </c>
      <c r="M202" s="748">
        <v>410.4</v>
      </c>
      <c r="N202" s="748">
        <v>856.4</v>
      </c>
      <c r="O202" s="748">
        <v>0</v>
      </c>
      <c r="P202" s="748">
        <v>458.96</v>
      </c>
      <c r="Q202" s="748">
        <v>0.76</v>
      </c>
      <c r="R202" s="748">
        <v>0</v>
      </c>
      <c r="S202" s="748">
        <v>3429.12</v>
      </c>
      <c r="T202" s="748">
        <v>9615.73</v>
      </c>
      <c r="U202" s="748"/>
      <c r="V202" s="748">
        <v>558.71</v>
      </c>
      <c r="W202" s="749"/>
    </row>
    <row r="203" spans="1:23" ht="10.5" customHeight="1" x14ac:dyDescent="0.45">
      <c r="A203" s="747">
        <v>2000</v>
      </c>
      <c r="B203" s="748">
        <v>944.93</v>
      </c>
      <c r="C203" s="748">
        <v>0.9</v>
      </c>
      <c r="D203" s="748"/>
      <c r="E203" s="748"/>
      <c r="F203" s="748">
        <v>1.27</v>
      </c>
      <c r="G203" s="748">
        <v>0</v>
      </c>
      <c r="H203" s="748"/>
      <c r="I203" s="748">
        <v>214.21</v>
      </c>
      <c r="J203" s="748">
        <v>4871.04</v>
      </c>
      <c r="K203" s="748"/>
      <c r="L203" s="748">
        <v>2187.8200000000002</v>
      </c>
      <c r="M203" s="748">
        <v>367.1</v>
      </c>
      <c r="N203" s="748">
        <v>839.78</v>
      </c>
      <c r="O203" s="748">
        <v>0</v>
      </c>
      <c r="P203" s="748">
        <v>455.7</v>
      </c>
      <c r="Q203" s="748">
        <v>31.43</v>
      </c>
      <c r="R203" s="748">
        <v>0</v>
      </c>
      <c r="S203" s="748">
        <v>3881.82</v>
      </c>
      <c r="T203" s="748">
        <v>9914.17</v>
      </c>
      <c r="U203" s="748"/>
      <c r="V203" s="748">
        <v>519.27</v>
      </c>
      <c r="W203" s="749"/>
    </row>
    <row r="204" spans="1:23" ht="10.5" customHeight="1" x14ac:dyDescent="0.45">
      <c r="A204" s="659">
        <v>2001</v>
      </c>
      <c r="B204" s="748">
        <v>960.14</v>
      </c>
      <c r="C204" s="748">
        <v>4.9400000000000004</v>
      </c>
      <c r="D204" s="748"/>
      <c r="E204" s="748"/>
      <c r="F204" s="748">
        <v>1.82</v>
      </c>
      <c r="G204" s="748">
        <v>0</v>
      </c>
      <c r="H204" s="748"/>
      <c r="I204" s="748">
        <v>210.23</v>
      </c>
      <c r="J204" s="748">
        <v>3845.48</v>
      </c>
      <c r="K204" s="748"/>
      <c r="L204" s="748">
        <v>2507.02</v>
      </c>
      <c r="M204" s="748">
        <v>362.9</v>
      </c>
      <c r="N204" s="748">
        <v>879.7</v>
      </c>
      <c r="O204" s="748">
        <v>0</v>
      </c>
      <c r="P204" s="748">
        <v>542.1</v>
      </c>
      <c r="Q204" s="748">
        <v>234.31</v>
      </c>
      <c r="R204" s="748">
        <v>0</v>
      </c>
      <c r="S204" s="748">
        <v>4526.04</v>
      </c>
      <c r="T204" s="748">
        <v>9548.68</v>
      </c>
      <c r="U204" s="748"/>
      <c r="V204" s="748">
        <v>528.21</v>
      </c>
      <c r="W204" s="749"/>
    </row>
    <row r="205" spans="1:23" ht="10.5" customHeight="1" x14ac:dyDescent="0.45">
      <c r="A205" s="659">
        <v>2002</v>
      </c>
      <c r="B205" s="748">
        <v>1251.24</v>
      </c>
      <c r="C205" s="748">
        <v>4.78</v>
      </c>
      <c r="D205" s="748"/>
      <c r="E205" s="748"/>
      <c r="F205" s="748">
        <v>2.7</v>
      </c>
      <c r="G205" s="748">
        <v>0</v>
      </c>
      <c r="H205" s="748"/>
      <c r="I205" s="748">
        <v>203.5</v>
      </c>
      <c r="J205" s="748">
        <v>4584.42</v>
      </c>
      <c r="K205" s="748"/>
      <c r="L205" s="748">
        <v>2678.63</v>
      </c>
      <c r="M205" s="748">
        <v>367.56</v>
      </c>
      <c r="N205" s="748">
        <v>907.29</v>
      </c>
      <c r="O205" s="748">
        <v>286.49</v>
      </c>
      <c r="P205" s="748">
        <v>568.24</v>
      </c>
      <c r="Q205" s="748">
        <v>271.91000000000003</v>
      </c>
      <c r="R205" s="748">
        <v>0</v>
      </c>
      <c r="S205" s="748">
        <v>5080.13</v>
      </c>
      <c r="T205" s="748">
        <v>11126.82</v>
      </c>
      <c r="U205" s="748"/>
      <c r="V205" s="748">
        <v>544.76</v>
      </c>
      <c r="W205" s="749"/>
    </row>
    <row r="206" spans="1:23" ht="10.5" customHeight="1" x14ac:dyDescent="0.45">
      <c r="A206" s="659">
        <v>2003</v>
      </c>
      <c r="B206" s="748">
        <v>1275.51</v>
      </c>
      <c r="C206" s="748">
        <v>9.84</v>
      </c>
      <c r="D206" s="748"/>
      <c r="E206" s="748"/>
      <c r="F206" s="748">
        <v>2.94</v>
      </c>
      <c r="G206" s="748">
        <v>0</v>
      </c>
      <c r="H206" s="748"/>
      <c r="I206" s="748">
        <v>150.1</v>
      </c>
      <c r="J206" s="748">
        <v>2987.41</v>
      </c>
      <c r="K206" s="748"/>
      <c r="L206" s="748">
        <v>3276.21</v>
      </c>
      <c r="M206" s="748">
        <v>394.27</v>
      </c>
      <c r="N206" s="748">
        <v>964.96</v>
      </c>
      <c r="O206" s="748">
        <v>601.70000000000005</v>
      </c>
      <c r="P206" s="748">
        <v>525.35</v>
      </c>
      <c r="Q206" s="748">
        <v>401.96</v>
      </c>
      <c r="R206" s="748">
        <v>9.26</v>
      </c>
      <c r="S206" s="748">
        <v>6173.71</v>
      </c>
      <c r="T206" s="748">
        <v>10599.54</v>
      </c>
      <c r="U206" s="748"/>
      <c r="V206" s="748">
        <v>579.07000000000005</v>
      </c>
      <c r="W206" s="749"/>
    </row>
    <row r="207" spans="1:23" ht="10.5" customHeight="1" x14ac:dyDescent="0.45">
      <c r="A207" s="659">
        <v>2004</v>
      </c>
      <c r="B207" s="748">
        <v>1736.39</v>
      </c>
      <c r="C207" s="748">
        <v>198.68</v>
      </c>
      <c r="D207" s="748"/>
      <c r="E207" s="748"/>
      <c r="F207" s="748">
        <v>4.01</v>
      </c>
      <c r="G207" s="748">
        <v>0</v>
      </c>
      <c r="H207" s="748"/>
      <c r="I207" s="748">
        <v>282.64999999999998</v>
      </c>
      <c r="J207" s="748">
        <v>4561.3</v>
      </c>
      <c r="K207" s="748"/>
      <c r="L207" s="748">
        <v>4003.74</v>
      </c>
      <c r="M207" s="748">
        <v>440.01</v>
      </c>
      <c r="N207" s="748">
        <v>971.07</v>
      </c>
      <c r="O207" s="748">
        <v>1021.57</v>
      </c>
      <c r="P207" s="748">
        <v>556.4</v>
      </c>
      <c r="Q207" s="748">
        <v>362.26</v>
      </c>
      <c r="R207" s="748">
        <v>8.83</v>
      </c>
      <c r="S207" s="748">
        <v>7363.88</v>
      </c>
      <c r="T207" s="748">
        <v>14146.95</v>
      </c>
      <c r="U207" s="748"/>
      <c r="V207" s="748">
        <v>582.73</v>
      </c>
      <c r="W207" s="749"/>
    </row>
    <row r="208" spans="1:23" ht="10.5" customHeight="1" x14ac:dyDescent="0.45">
      <c r="A208" s="659">
        <v>2005</v>
      </c>
      <c r="B208" s="748">
        <v>2501.19</v>
      </c>
      <c r="C208" s="748">
        <v>402.71</v>
      </c>
      <c r="D208" s="748"/>
      <c r="E208" s="748"/>
      <c r="F208" s="748">
        <v>8.18</v>
      </c>
      <c r="G208" s="748">
        <v>0</v>
      </c>
      <c r="H208" s="748"/>
      <c r="I208" s="748">
        <v>443.83</v>
      </c>
      <c r="J208" s="748">
        <v>4477.6499999999996</v>
      </c>
      <c r="K208" s="748"/>
      <c r="L208" s="748">
        <v>4290.4799999999996</v>
      </c>
      <c r="M208" s="748">
        <v>465.91</v>
      </c>
      <c r="N208" s="748">
        <v>963.83</v>
      </c>
      <c r="O208" s="748">
        <v>2532.69</v>
      </c>
      <c r="P208" s="748">
        <v>459.68</v>
      </c>
      <c r="Q208" s="748">
        <v>381.71</v>
      </c>
      <c r="R208" s="748">
        <v>8</v>
      </c>
      <c r="S208" s="748">
        <v>9102.2999999999993</v>
      </c>
      <c r="T208" s="748">
        <v>16935.88</v>
      </c>
      <c r="U208" s="748"/>
      <c r="V208" s="748">
        <v>578.39</v>
      </c>
      <c r="W208" s="749"/>
    </row>
    <row r="209" spans="1:23" ht="10.5" customHeight="1" x14ac:dyDescent="0.45">
      <c r="A209" s="659">
        <v>2006</v>
      </c>
      <c r="B209" s="748">
        <v>3573.65</v>
      </c>
      <c r="C209" s="748">
        <v>651.4</v>
      </c>
      <c r="D209" s="748"/>
      <c r="E209" s="748"/>
      <c r="F209" s="748">
        <v>10.7</v>
      </c>
      <c r="G209" s="748">
        <v>0</v>
      </c>
      <c r="H209" s="748"/>
      <c r="I209" s="748">
        <v>477.57</v>
      </c>
      <c r="J209" s="748">
        <v>4115.5</v>
      </c>
      <c r="K209" s="748"/>
      <c r="L209" s="748">
        <v>4424.47</v>
      </c>
      <c r="M209" s="748">
        <v>444.89</v>
      </c>
      <c r="N209" s="748">
        <v>1083.0899999999999</v>
      </c>
      <c r="O209" s="748">
        <v>2527.5100000000002</v>
      </c>
      <c r="P209" s="748">
        <v>422.66</v>
      </c>
      <c r="Q209" s="748">
        <v>362.76</v>
      </c>
      <c r="R209" s="748">
        <v>11.5</v>
      </c>
      <c r="S209" s="748">
        <v>9276.8700000000008</v>
      </c>
      <c r="T209" s="748">
        <v>18105.689999999999</v>
      </c>
      <c r="U209" s="748"/>
      <c r="V209" s="748">
        <v>650.63</v>
      </c>
      <c r="W209" s="749"/>
    </row>
    <row r="210" spans="1:23" ht="10.5" customHeight="1" x14ac:dyDescent="0.45">
      <c r="A210" s="659">
        <v>2007</v>
      </c>
      <c r="B210" s="748">
        <v>4491.28</v>
      </c>
      <c r="C210" s="748">
        <v>782.54</v>
      </c>
      <c r="D210" s="748"/>
      <c r="E210" s="748"/>
      <c r="F210" s="748">
        <v>14</v>
      </c>
      <c r="G210" s="748">
        <v>0</v>
      </c>
      <c r="H210" s="748"/>
      <c r="I210" s="748">
        <v>523.30999999999995</v>
      </c>
      <c r="J210" s="748">
        <v>4553.99</v>
      </c>
      <c r="K210" s="748"/>
      <c r="L210" s="748">
        <v>4676.8100000000004</v>
      </c>
      <c r="M210" s="748">
        <v>493.55</v>
      </c>
      <c r="N210" s="748">
        <v>1189.49</v>
      </c>
      <c r="O210" s="748">
        <v>1757.36</v>
      </c>
      <c r="P210" s="748">
        <v>585.15</v>
      </c>
      <c r="Q210" s="748">
        <v>607.14</v>
      </c>
      <c r="R210" s="748">
        <v>14.99</v>
      </c>
      <c r="S210" s="748">
        <v>9324.5</v>
      </c>
      <c r="T210" s="748">
        <v>19689.64</v>
      </c>
      <c r="U210" s="748"/>
      <c r="V210" s="748">
        <v>714.47</v>
      </c>
      <c r="W210" s="749"/>
    </row>
    <row r="211" spans="1:23" s="660" customFormat="1" ht="10.5" customHeight="1" x14ac:dyDescent="0.45">
      <c r="A211" s="659">
        <v>2008</v>
      </c>
      <c r="B211" s="748">
        <v>5786.13</v>
      </c>
      <c r="C211" s="748">
        <v>1335.4</v>
      </c>
      <c r="D211" s="748"/>
      <c r="E211" s="748"/>
      <c r="F211" s="748">
        <v>17</v>
      </c>
      <c r="G211" s="748">
        <v>0</v>
      </c>
      <c r="H211" s="748"/>
      <c r="I211" s="748">
        <v>541.25</v>
      </c>
      <c r="J211" s="748">
        <v>4599.93</v>
      </c>
      <c r="K211" s="748"/>
      <c r="L211" s="748">
        <v>4695.91</v>
      </c>
      <c r="M211" s="748">
        <v>548.29</v>
      </c>
      <c r="N211" s="748">
        <v>1239.3699999999999</v>
      </c>
      <c r="O211" s="748">
        <v>1575.49</v>
      </c>
      <c r="P211" s="748">
        <v>620.27</v>
      </c>
      <c r="Q211" s="748">
        <v>866.77</v>
      </c>
      <c r="R211" s="748">
        <v>20.149999999999999</v>
      </c>
      <c r="S211" s="748">
        <v>9566.24</v>
      </c>
      <c r="T211" s="748">
        <v>21845.98</v>
      </c>
      <c r="U211" s="748"/>
      <c r="V211" s="748">
        <v>744.4</v>
      </c>
      <c r="W211" s="749"/>
    </row>
    <row r="212" spans="1:23" s="660" customFormat="1" ht="10.5" customHeight="1" x14ac:dyDescent="0.45">
      <c r="A212" s="659">
        <v>2009</v>
      </c>
      <c r="B212" s="748">
        <v>7527.08</v>
      </c>
      <c r="C212" s="748">
        <v>1753.89</v>
      </c>
      <c r="D212" s="748"/>
      <c r="E212" s="748"/>
      <c r="F212" s="748">
        <v>20</v>
      </c>
      <c r="G212" s="748">
        <v>0</v>
      </c>
      <c r="H212" s="748"/>
      <c r="I212" s="748">
        <v>564.25</v>
      </c>
      <c r="J212" s="748">
        <v>4663.67</v>
      </c>
      <c r="K212" s="748"/>
      <c r="L212" s="748">
        <v>4917.51</v>
      </c>
      <c r="M212" s="748">
        <v>603.03</v>
      </c>
      <c r="N212" s="748">
        <v>1509.31</v>
      </c>
      <c r="O212" s="748">
        <v>1625.02</v>
      </c>
      <c r="P212" s="748">
        <v>636.58000000000004</v>
      </c>
      <c r="Q212" s="748">
        <v>1379.39</v>
      </c>
      <c r="R212" s="748">
        <v>43.49</v>
      </c>
      <c r="S212" s="748">
        <v>10714.32</v>
      </c>
      <c r="T212" s="748">
        <v>25243.83</v>
      </c>
      <c r="U212" s="748"/>
      <c r="V212" s="748">
        <v>868.33</v>
      </c>
      <c r="W212" s="749"/>
    </row>
    <row r="213" spans="1:23" s="660" customFormat="1" ht="10.5" customHeight="1" x14ac:dyDescent="0.45">
      <c r="A213" s="659">
        <v>2010</v>
      </c>
      <c r="B213" s="748">
        <v>7225.97</v>
      </c>
      <c r="C213" s="748">
        <v>3059.67</v>
      </c>
      <c r="D213" s="748"/>
      <c r="E213" s="748"/>
      <c r="F213" s="748">
        <v>40.28</v>
      </c>
      <c r="G213" s="748">
        <v>0</v>
      </c>
      <c r="H213" s="748"/>
      <c r="I213" s="748">
        <v>499.53</v>
      </c>
      <c r="J213" s="748">
        <v>3091.84</v>
      </c>
      <c r="K213" s="748"/>
      <c r="L213" s="748">
        <v>5216.8599999999997</v>
      </c>
      <c r="M213" s="748">
        <v>723.46</v>
      </c>
      <c r="N213" s="748">
        <v>1528.76</v>
      </c>
      <c r="O213" s="748">
        <v>2432.44</v>
      </c>
      <c r="P213" s="748">
        <v>627.49</v>
      </c>
      <c r="Q213" s="748">
        <v>1614.76</v>
      </c>
      <c r="R213" s="748">
        <v>117.49</v>
      </c>
      <c r="S213" s="748">
        <v>12261.26</v>
      </c>
      <c r="T213" s="748">
        <v>26180.44</v>
      </c>
      <c r="V213" s="748">
        <v>986.42</v>
      </c>
      <c r="W213" s="749"/>
    </row>
    <row r="214" spans="1:23" s="259" customFormat="1" ht="10.5" customHeight="1" x14ac:dyDescent="0.45">
      <c r="A214" s="659">
        <v>2011</v>
      </c>
      <c r="B214" s="748">
        <v>10813.94</v>
      </c>
      <c r="C214" s="748">
        <v>5149.0200000000004</v>
      </c>
      <c r="D214" s="748"/>
      <c r="E214" s="748"/>
      <c r="F214" s="748">
        <v>243.62</v>
      </c>
      <c r="G214" s="748">
        <v>0</v>
      </c>
      <c r="H214" s="748"/>
      <c r="I214" s="748">
        <v>704.13</v>
      </c>
      <c r="J214" s="748">
        <v>4987.62</v>
      </c>
      <c r="K214" s="748"/>
      <c r="L214" s="748">
        <v>5318.02</v>
      </c>
      <c r="M214" s="748">
        <v>775</v>
      </c>
      <c r="N214" s="748">
        <v>1503.99</v>
      </c>
      <c r="O214" s="748">
        <v>3093.03</v>
      </c>
      <c r="P214" s="748">
        <v>614.62</v>
      </c>
      <c r="Q214" s="748">
        <v>1771.2</v>
      </c>
      <c r="R214" s="748">
        <v>237.18</v>
      </c>
      <c r="S214" s="748">
        <v>13313.03</v>
      </c>
      <c r="T214" s="748">
        <v>35212.300000000003</v>
      </c>
      <c r="U214" s="748"/>
      <c r="V214" s="748">
        <v>1085.4100000000001</v>
      </c>
      <c r="W214" s="749"/>
    </row>
    <row r="215" spans="1:23" s="259" customFormat="1" ht="10.5" customHeight="1" x14ac:dyDescent="0.45">
      <c r="A215" s="659">
        <v>2012</v>
      </c>
      <c r="B215" s="748">
        <v>12243.98</v>
      </c>
      <c r="C215" s="748">
        <v>7603.14</v>
      </c>
      <c r="D215" s="748"/>
      <c r="E215" s="748"/>
      <c r="F215" s="748">
        <v>1353.75</v>
      </c>
      <c r="G215" s="748">
        <v>0</v>
      </c>
      <c r="H215" s="748"/>
      <c r="I215" s="748">
        <v>678.13</v>
      </c>
      <c r="J215" s="748">
        <v>4631.5200000000004</v>
      </c>
      <c r="K215" s="748"/>
      <c r="L215" s="748">
        <v>5208.5</v>
      </c>
      <c r="M215" s="748">
        <v>738.54</v>
      </c>
      <c r="N215" s="748">
        <v>1772.92</v>
      </c>
      <c r="O215" s="748">
        <v>1828.51</v>
      </c>
      <c r="P215" s="748">
        <v>642.91999999999996</v>
      </c>
      <c r="Q215" s="748">
        <v>4047.82</v>
      </c>
      <c r="R215" s="748">
        <v>494.63</v>
      </c>
      <c r="S215" s="748">
        <v>14733.84</v>
      </c>
      <c r="T215" s="748">
        <v>41248.559999999998</v>
      </c>
      <c r="U215" s="748"/>
      <c r="V215" s="748">
        <v>1428.07</v>
      </c>
      <c r="W215" s="749"/>
    </row>
    <row r="216" spans="1:23" s="259" customFormat="1" ht="10.5" customHeight="1" x14ac:dyDescent="0.45">
      <c r="A216" s="659">
        <v>2013</v>
      </c>
      <c r="B216" s="748">
        <v>16925.38</v>
      </c>
      <c r="C216" s="748">
        <v>11471.64</v>
      </c>
      <c r="D216" s="748"/>
      <c r="E216" s="748"/>
      <c r="F216" s="748">
        <v>2010.16</v>
      </c>
      <c r="G216" s="748">
        <v>0</v>
      </c>
      <c r="H216" s="748"/>
      <c r="I216" s="748">
        <v>675.06</v>
      </c>
      <c r="J216" s="748">
        <v>4026.42</v>
      </c>
      <c r="K216" s="748"/>
      <c r="L216" s="748">
        <v>5174.6499999999996</v>
      </c>
      <c r="M216" s="748">
        <v>765.98</v>
      </c>
      <c r="N216" s="748">
        <v>1648.16</v>
      </c>
      <c r="O216" s="748">
        <v>337.26</v>
      </c>
      <c r="P216" s="748">
        <v>628.36</v>
      </c>
      <c r="Q216" s="748">
        <v>8832.39</v>
      </c>
      <c r="R216" s="748">
        <v>713.05</v>
      </c>
      <c r="S216" s="748">
        <v>18099.849999999999</v>
      </c>
      <c r="T216" s="748">
        <v>53213.25</v>
      </c>
      <c r="U216" s="748"/>
      <c r="V216" s="748">
        <v>1480.05</v>
      </c>
      <c r="W216" s="749"/>
    </row>
    <row r="217" spans="1:23" s="259" customFormat="1" ht="10.5" customHeight="1" x14ac:dyDescent="0.45">
      <c r="A217" s="659">
        <v>2014</v>
      </c>
      <c r="B217" s="748">
        <v>18554.72</v>
      </c>
      <c r="C217" s="748">
        <v>13404.6</v>
      </c>
      <c r="D217" s="748"/>
      <c r="E217" s="748"/>
      <c r="F217" s="748">
        <v>4054.09</v>
      </c>
      <c r="G217" s="748">
        <v>0</v>
      </c>
      <c r="H217" s="748"/>
      <c r="I217" s="748">
        <v>834.54</v>
      </c>
      <c r="J217" s="748">
        <v>5053.26</v>
      </c>
      <c r="K217" s="748"/>
      <c r="L217" s="748">
        <v>5033.22</v>
      </c>
      <c r="M217" s="748">
        <v>840.14</v>
      </c>
      <c r="N217" s="748">
        <v>1899.89</v>
      </c>
      <c r="O217" s="748">
        <v>124.05</v>
      </c>
      <c r="P217" s="748">
        <v>613.59</v>
      </c>
      <c r="Q217" s="748">
        <v>13085.61</v>
      </c>
      <c r="R217" s="748">
        <v>1022.57</v>
      </c>
      <c r="S217" s="748">
        <v>22619.06</v>
      </c>
      <c r="T217" s="748">
        <v>64522.5</v>
      </c>
      <c r="U217" s="748"/>
      <c r="V217" s="748">
        <v>1900.67</v>
      </c>
      <c r="W217" s="749"/>
    </row>
    <row r="218" spans="1:23" s="258" customFormat="1" ht="10.5" customHeight="1" x14ac:dyDescent="0.45">
      <c r="A218" s="659">
        <v>2015</v>
      </c>
      <c r="B218" s="720">
        <v>22851.98</v>
      </c>
      <c r="C218" s="720">
        <v>17422.740000000002</v>
      </c>
      <c r="D218" s="720"/>
      <c r="E218" s="720"/>
      <c r="F218" s="720">
        <v>7532.86</v>
      </c>
      <c r="G218" s="720">
        <v>0</v>
      </c>
      <c r="H218" s="720"/>
      <c r="I218" s="720">
        <v>983.2</v>
      </c>
      <c r="J218" s="720">
        <v>5314.07</v>
      </c>
      <c r="K218" s="720"/>
      <c r="L218" s="720">
        <v>4872.1899999999996</v>
      </c>
      <c r="M218" s="720">
        <v>894.38</v>
      </c>
      <c r="N218" s="720">
        <v>2582.4299999999998</v>
      </c>
      <c r="O218" s="720">
        <v>183.31</v>
      </c>
      <c r="P218" s="720">
        <v>647.79999999999995</v>
      </c>
      <c r="Q218" s="720">
        <v>18592.21</v>
      </c>
      <c r="R218" s="720">
        <v>1484.67</v>
      </c>
      <c r="S218" s="720">
        <v>29256.98</v>
      </c>
      <c r="T218" s="720">
        <v>83363.83</v>
      </c>
      <c r="U218" s="720"/>
      <c r="V218" s="720">
        <v>2583.9</v>
      </c>
      <c r="W218" s="749"/>
    </row>
    <row r="219" spans="1:23" s="258" customFormat="1" ht="10.5" customHeight="1" x14ac:dyDescent="0.45">
      <c r="A219" s="659">
        <v>2016</v>
      </c>
      <c r="B219" s="726">
        <v>20749.21</v>
      </c>
      <c r="C219" s="720">
        <v>16405.740000000002</v>
      </c>
      <c r="D219" s="720"/>
      <c r="E219" s="720"/>
      <c r="F219" s="726">
        <v>10407.92</v>
      </c>
      <c r="G219" s="720">
        <v>0</v>
      </c>
      <c r="H219" s="720"/>
      <c r="I219" s="726">
        <v>1015.2</v>
      </c>
      <c r="J219" s="720">
        <v>4378.71</v>
      </c>
      <c r="K219" s="720"/>
      <c r="L219" s="720">
        <v>4702.87</v>
      </c>
      <c r="M219" s="720">
        <v>950.28</v>
      </c>
      <c r="N219" s="720">
        <v>2739.75</v>
      </c>
      <c r="O219" s="720">
        <v>117.46</v>
      </c>
      <c r="P219" s="720">
        <v>650.24</v>
      </c>
      <c r="Q219" s="726">
        <v>18779.71</v>
      </c>
      <c r="R219" s="726">
        <v>2120.0300000000002</v>
      </c>
      <c r="S219" s="726">
        <v>30060.34</v>
      </c>
      <c r="T219" s="726">
        <v>83017.119999999995</v>
      </c>
      <c r="U219" s="720"/>
      <c r="V219" s="720">
        <v>2741.23</v>
      </c>
      <c r="W219" s="749"/>
    </row>
    <row r="220" spans="1:23" s="258" customFormat="1" ht="10.5" customHeight="1" x14ac:dyDescent="0.45">
      <c r="A220" s="659">
        <v>2017</v>
      </c>
      <c r="B220" s="726">
        <v>28717.15</v>
      </c>
      <c r="C220" s="720">
        <v>20915.91</v>
      </c>
      <c r="D220" s="720"/>
      <c r="E220" s="720"/>
      <c r="F220" s="726">
        <v>11475.45</v>
      </c>
      <c r="G220" s="720">
        <v>0</v>
      </c>
      <c r="H220" s="720"/>
      <c r="I220" s="726">
        <v>1295.81</v>
      </c>
      <c r="J220" s="720">
        <v>4605.75</v>
      </c>
      <c r="K220" s="720"/>
      <c r="L220" s="720">
        <v>4283.78</v>
      </c>
      <c r="M220" s="720">
        <v>967.35</v>
      </c>
      <c r="N220" s="726">
        <v>3446.8</v>
      </c>
      <c r="O220" s="720">
        <v>53.88</v>
      </c>
      <c r="P220" s="720">
        <v>649.17999999999995</v>
      </c>
      <c r="Q220" s="726">
        <v>19838.45</v>
      </c>
      <c r="R220" s="726">
        <v>2538.79</v>
      </c>
      <c r="S220" s="726">
        <v>31778.23</v>
      </c>
      <c r="T220" s="726">
        <v>98792.49</v>
      </c>
      <c r="U220" s="720"/>
      <c r="V220" s="726">
        <v>3448.28</v>
      </c>
      <c r="W220" s="749"/>
    </row>
    <row r="221" spans="1:23" ht="10.5" customHeight="1" thickBot="1" x14ac:dyDescent="0.5">
      <c r="A221" s="750">
        <v>2018</v>
      </c>
      <c r="B221" s="751">
        <v>30216.9</v>
      </c>
      <c r="C221" s="751">
        <v>26687.06</v>
      </c>
      <c r="D221" s="751"/>
      <c r="E221" s="751"/>
      <c r="F221" s="751">
        <v>12857.35</v>
      </c>
      <c r="G221" s="751">
        <v>0</v>
      </c>
      <c r="H221" s="751"/>
      <c r="I221" s="751">
        <v>1293.92</v>
      </c>
      <c r="J221" s="751">
        <v>4195.8599999999997</v>
      </c>
      <c r="K221" s="751"/>
      <c r="L221" s="751">
        <v>3915.78</v>
      </c>
      <c r="M221" s="751">
        <v>992.03</v>
      </c>
      <c r="N221" s="751">
        <v>3637.63</v>
      </c>
      <c r="O221" s="751">
        <v>1.07</v>
      </c>
      <c r="P221" s="751">
        <v>633.95000000000005</v>
      </c>
      <c r="Q221" s="751">
        <v>22896.52</v>
      </c>
      <c r="R221" s="751">
        <v>2681.42</v>
      </c>
      <c r="S221" s="751">
        <v>34758.39</v>
      </c>
      <c r="T221" s="751">
        <v>110018.79</v>
      </c>
      <c r="U221" s="751"/>
      <c r="V221" s="751">
        <v>3639.1</v>
      </c>
      <c r="W221" s="749"/>
    </row>
    <row r="222" spans="1:23" ht="14.65" thickTop="1" x14ac:dyDescent="0.45">
      <c r="A222" s="752"/>
      <c r="B222" s="752"/>
      <c r="C222" s="752"/>
      <c r="D222" s="752"/>
      <c r="E222" s="752"/>
      <c r="F222" s="752"/>
      <c r="G222" s="752"/>
      <c r="H222" s="752"/>
      <c r="I222" s="752"/>
      <c r="J222" s="752"/>
      <c r="K222" s="752"/>
      <c r="L222" s="752"/>
      <c r="M222" s="752"/>
      <c r="N222" s="752"/>
      <c r="O222" s="752"/>
      <c r="P222" s="752"/>
      <c r="Q222" s="749"/>
      <c r="R222" s="749"/>
      <c r="S222" s="749"/>
      <c r="T222" s="752"/>
      <c r="U222" s="660"/>
      <c r="V222" s="660"/>
    </row>
    <row r="223" spans="1:23" ht="14.65" thickBot="1" x14ac:dyDescent="0.5">
      <c r="A223" s="750"/>
      <c r="B223" s="753"/>
      <c r="C223" s="753"/>
      <c r="D223" s="753"/>
      <c r="E223" s="753"/>
      <c r="F223" s="753"/>
      <c r="G223" s="753"/>
      <c r="H223" s="753"/>
      <c r="I223" s="753"/>
      <c r="J223" s="753"/>
      <c r="K223" s="753"/>
      <c r="L223" s="753"/>
      <c r="M223" s="753"/>
      <c r="N223" s="753"/>
      <c r="O223" s="753"/>
      <c r="P223" s="753"/>
      <c r="Q223" s="753"/>
      <c r="R223" s="753"/>
      <c r="S223" s="641"/>
      <c r="T223" s="641"/>
      <c r="U223" s="754"/>
      <c r="V223" s="754"/>
    </row>
    <row r="224" spans="1:23" ht="12.75" customHeight="1" thickTop="1" x14ac:dyDescent="0.45">
      <c r="A224" s="755"/>
      <c r="B224" s="1466" t="s">
        <v>746</v>
      </c>
      <c r="C224" s="1466"/>
      <c r="D224" s="756"/>
      <c r="E224" s="646" t="s">
        <v>1042</v>
      </c>
      <c r="F224" s="641" t="s">
        <v>1038</v>
      </c>
      <c r="G224" s="641"/>
      <c r="H224" s="1466" t="s">
        <v>1089</v>
      </c>
      <c r="I224" s="1466"/>
      <c r="J224" s="756"/>
      <c r="K224" s="1466" t="s">
        <v>1044</v>
      </c>
      <c r="L224" s="1466"/>
      <c r="M224" s="1466"/>
      <c r="N224" s="1466"/>
      <c r="O224" s="1466"/>
      <c r="P224" s="1466"/>
      <c r="Q224" s="1466"/>
      <c r="R224" s="641" t="s">
        <v>211</v>
      </c>
      <c r="S224" s="641"/>
      <c r="T224" s="641"/>
      <c r="U224" s="660"/>
      <c r="V224" s="660"/>
    </row>
    <row r="225" spans="1:22" ht="12.75" customHeight="1" x14ac:dyDescent="0.45">
      <c r="A225" s="757"/>
      <c r="B225" s="758" t="s">
        <v>1046</v>
      </c>
      <c r="C225" s="758" t="s">
        <v>1047</v>
      </c>
      <c r="D225" s="758"/>
      <c r="E225" s="758" t="s">
        <v>1092</v>
      </c>
      <c r="F225" s="641" t="s">
        <v>1049</v>
      </c>
      <c r="G225" s="641"/>
      <c r="H225" s="641" t="s">
        <v>1050</v>
      </c>
      <c r="I225" s="641" t="s">
        <v>1051</v>
      </c>
      <c r="J225" s="641"/>
      <c r="K225" s="641" t="s">
        <v>1052</v>
      </c>
      <c r="L225" s="641" t="s">
        <v>1053</v>
      </c>
      <c r="M225" s="641" t="s">
        <v>1054</v>
      </c>
      <c r="N225" s="641" t="s">
        <v>1055</v>
      </c>
      <c r="O225" s="641" t="s">
        <v>1056</v>
      </c>
      <c r="P225" s="640" t="s">
        <v>1057</v>
      </c>
      <c r="Q225" s="641" t="s">
        <v>1059</v>
      </c>
      <c r="R225" s="641"/>
      <c r="S225" s="641"/>
      <c r="T225" s="694"/>
      <c r="U225" s="660"/>
      <c r="V225" s="660"/>
    </row>
    <row r="226" spans="1:22" ht="12.75" customHeight="1" x14ac:dyDescent="0.45">
      <c r="A226" s="660"/>
      <c r="B226" s="646"/>
      <c r="C226" s="646"/>
      <c r="D226" s="646"/>
      <c r="E226" s="646"/>
      <c r="F226" s="641" t="s">
        <v>1060</v>
      </c>
      <c r="G226" s="641"/>
      <c r="H226" s="641" t="s">
        <v>1061</v>
      </c>
      <c r="I226" s="641" t="s">
        <v>1061</v>
      </c>
      <c r="J226" s="641"/>
      <c r="K226" s="641" t="s">
        <v>1063</v>
      </c>
      <c r="L226" s="641" t="s">
        <v>1064</v>
      </c>
      <c r="M226" s="641" t="s">
        <v>1065</v>
      </c>
      <c r="N226" s="759" t="s">
        <v>1066</v>
      </c>
      <c r="O226" s="759" t="s">
        <v>1066</v>
      </c>
      <c r="P226" s="640" t="s">
        <v>1067</v>
      </c>
      <c r="Q226" s="760" t="s">
        <v>1069</v>
      </c>
      <c r="R226" s="641"/>
      <c r="S226" s="641"/>
      <c r="T226" s="694"/>
      <c r="U226" s="660"/>
      <c r="V226" s="660"/>
    </row>
    <row r="227" spans="1:22" ht="12.75" customHeight="1" x14ac:dyDescent="0.45">
      <c r="A227" s="761"/>
      <c r="B227" s="641"/>
      <c r="C227" s="641"/>
      <c r="D227" s="641"/>
      <c r="E227" s="641"/>
      <c r="G227" s="641"/>
      <c r="H227" s="641"/>
      <c r="I227" s="762" t="s">
        <v>29</v>
      </c>
      <c r="J227" s="762"/>
      <c r="K227" s="646"/>
      <c r="L227" s="646" t="s">
        <v>1070</v>
      </c>
      <c r="M227" s="646" t="s">
        <v>1071</v>
      </c>
      <c r="N227" s="762" t="s">
        <v>41</v>
      </c>
      <c r="O227" s="762" t="s">
        <v>42</v>
      </c>
      <c r="P227" s="762"/>
      <c r="Q227" s="760" t="s">
        <v>747</v>
      </c>
      <c r="R227" s="646"/>
      <c r="S227" s="646"/>
      <c r="T227" s="694"/>
      <c r="U227" s="660"/>
      <c r="V227" s="660"/>
    </row>
    <row r="228" spans="1:22" ht="12.75" customHeight="1" x14ac:dyDescent="0.45">
      <c r="A228" s="763"/>
      <c r="B228" s="764"/>
      <c r="C228" s="764"/>
      <c r="D228" s="764"/>
      <c r="E228" s="764"/>
      <c r="F228" s="765"/>
      <c r="G228" s="765"/>
      <c r="H228" s="765"/>
      <c r="I228" s="764"/>
      <c r="J228" s="764"/>
      <c r="K228" s="764"/>
      <c r="L228" s="766"/>
      <c r="M228" s="767" t="s">
        <v>40</v>
      </c>
      <c r="N228" s="764"/>
      <c r="O228" s="764"/>
      <c r="P228" s="764"/>
      <c r="Q228" s="768" t="s">
        <v>1099</v>
      </c>
      <c r="R228" s="764"/>
      <c r="S228" s="706"/>
      <c r="T228" s="694"/>
      <c r="U228" s="660"/>
      <c r="V228" s="660"/>
    </row>
    <row r="229" spans="1:22" ht="10.5" customHeight="1" x14ac:dyDescent="0.45">
      <c r="A229" s="745" t="s">
        <v>1100</v>
      </c>
      <c r="B229" s="660"/>
      <c r="C229" s="660"/>
      <c r="D229" s="660"/>
      <c r="E229" s="660"/>
      <c r="F229" s="660"/>
      <c r="G229" s="660"/>
      <c r="H229" s="660"/>
      <c r="I229" s="660"/>
      <c r="J229" s="660"/>
      <c r="K229" s="660"/>
      <c r="L229" s="660"/>
      <c r="M229" s="660"/>
      <c r="N229" s="660"/>
      <c r="O229" s="660"/>
      <c r="P229" s="660"/>
      <c r="Q229" s="769"/>
      <c r="R229" s="660"/>
      <c r="S229" s="660"/>
      <c r="T229" s="694"/>
      <c r="U229" s="660"/>
      <c r="V229" s="660"/>
    </row>
    <row r="230" spans="1:22" ht="10.5" customHeight="1" x14ac:dyDescent="0.45">
      <c r="A230" s="747">
        <v>1990</v>
      </c>
      <c r="B230" s="770">
        <v>4.26</v>
      </c>
      <c r="C230" s="770">
        <v>0</v>
      </c>
      <c r="D230" s="770"/>
      <c r="E230" s="770">
        <v>0</v>
      </c>
      <c r="F230" s="770">
        <v>0</v>
      </c>
      <c r="G230" s="770">
        <v>0</v>
      </c>
      <c r="H230" s="770">
        <v>26.27</v>
      </c>
      <c r="I230" s="770">
        <v>1084</v>
      </c>
      <c r="J230" s="770"/>
      <c r="K230" s="770">
        <v>16.52</v>
      </c>
      <c r="L230" s="770">
        <v>72.7</v>
      </c>
      <c r="M230" s="770">
        <v>30.94</v>
      </c>
      <c r="N230" s="770">
        <v>0</v>
      </c>
      <c r="O230" s="770">
        <v>0</v>
      </c>
      <c r="P230" s="770">
        <v>0.1</v>
      </c>
      <c r="Q230" s="770">
        <v>120.26</v>
      </c>
      <c r="R230" s="770">
        <v>1234.8</v>
      </c>
      <c r="S230" s="771"/>
      <c r="T230" s="694"/>
      <c r="U230" s="660"/>
      <c r="V230" s="660"/>
    </row>
    <row r="231" spans="1:22" ht="10.5" customHeight="1" x14ac:dyDescent="0.45">
      <c r="A231" s="747">
        <v>1991</v>
      </c>
      <c r="B231" s="770">
        <v>6.33</v>
      </c>
      <c r="C231" s="770">
        <v>0</v>
      </c>
      <c r="D231" s="770"/>
      <c r="E231" s="770">
        <v>0</v>
      </c>
      <c r="F231" s="770">
        <v>0</v>
      </c>
      <c r="G231" s="770">
        <v>0</v>
      </c>
      <c r="H231" s="770">
        <v>37.93</v>
      </c>
      <c r="I231" s="770">
        <v>1377.1</v>
      </c>
      <c r="J231" s="770"/>
      <c r="K231" s="770">
        <v>28.72</v>
      </c>
      <c r="L231" s="770">
        <v>91.4</v>
      </c>
      <c r="M231" s="770">
        <v>30.94</v>
      </c>
      <c r="N231" s="770">
        <v>0.15</v>
      </c>
      <c r="O231" s="770">
        <v>0</v>
      </c>
      <c r="P231" s="770">
        <v>0.1</v>
      </c>
      <c r="Q231" s="770">
        <v>151.31</v>
      </c>
      <c r="R231" s="770">
        <v>1572.67</v>
      </c>
      <c r="S231" s="772"/>
      <c r="T231" s="694"/>
      <c r="U231" s="660"/>
      <c r="V231" s="660"/>
    </row>
    <row r="232" spans="1:22" ht="10.5" customHeight="1" x14ac:dyDescent="0.45">
      <c r="A232" s="747">
        <v>1992</v>
      </c>
      <c r="B232" s="770">
        <v>21.29</v>
      </c>
      <c r="C232" s="770">
        <v>0</v>
      </c>
      <c r="D232" s="770"/>
      <c r="E232" s="770">
        <v>0</v>
      </c>
      <c r="F232" s="770">
        <v>0</v>
      </c>
      <c r="G232" s="770">
        <v>0</v>
      </c>
      <c r="H232" s="770">
        <v>40.26</v>
      </c>
      <c r="I232" s="770">
        <v>1383</v>
      </c>
      <c r="J232" s="770"/>
      <c r="K232" s="770">
        <v>51.06</v>
      </c>
      <c r="L232" s="770">
        <v>91.4</v>
      </c>
      <c r="M232" s="770">
        <v>44.57</v>
      </c>
      <c r="N232" s="770">
        <v>12.84</v>
      </c>
      <c r="O232" s="770">
        <v>0</v>
      </c>
      <c r="P232" s="770">
        <v>0.1</v>
      </c>
      <c r="Q232" s="770">
        <v>199.97</v>
      </c>
      <c r="R232" s="770">
        <v>1644.53</v>
      </c>
      <c r="S232" s="772"/>
      <c r="T232" s="694"/>
      <c r="U232" s="660"/>
      <c r="V232" s="660"/>
    </row>
    <row r="233" spans="1:22" ht="10.5" customHeight="1" x14ac:dyDescent="0.45">
      <c r="A233" s="747">
        <v>1993</v>
      </c>
      <c r="B233" s="770">
        <v>55.24</v>
      </c>
      <c r="C233" s="770">
        <v>0</v>
      </c>
      <c r="D233" s="770"/>
      <c r="E233" s="770">
        <v>0</v>
      </c>
      <c r="F233" s="770">
        <v>0</v>
      </c>
      <c r="G233" s="770">
        <v>0</v>
      </c>
      <c r="H233" s="770">
        <v>42.21</v>
      </c>
      <c r="I233" s="770">
        <v>1383</v>
      </c>
      <c r="J233" s="770"/>
      <c r="K233" s="770">
        <v>78.66</v>
      </c>
      <c r="L233" s="770">
        <v>88.4</v>
      </c>
      <c r="M233" s="770">
        <v>69.819999999999993</v>
      </c>
      <c r="N233" s="770">
        <v>25.53</v>
      </c>
      <c r="O233" s="770">
        <v>0</v>
      </c>
      <c r="P233" s="770">
        <v>0.1</v>
      </c>
      <c r="Q233" s="770">
        <v>262.51</v>
      </c>
      <c r="R233" s="770">
        <v>1742.96</v>
      </c>
      <c r="S233" s="772"/>
      <c r="T233" s="694"/>
      <c r="U233" s="660"/>
      <c r="V233" s="660"/>
    </row>
    <row r="234" spans="1:22" ht="10.5" customHeight="1" x14ac:dyDescent="0.45">
      <c r="A234" s="747">
        <v>1994</v>
      </c>
      <c r="B234" s="770">
        <v>65.69</v>
      </c>
      <c r="C234" s="770">
        <v>0</v>
      </c>
      <c r="D234" s="770"/>
      <c r="E234" s="770">
        <v>0</v>
      </c>
      <c r="F234" s="770">
        <v>0</v>
      </c>
      <c r="G234" s="770">
        <v>0</v>
      </c>
      <c r="H234" s="770">
        <v>42.21</v>
      </c>
      <c r="I234" s="770">
        <v>1383</v>
      </c>
      <c r="J234" s="770"/>
      <c r="K234" s="770">
        <v>84.87</v>
      </c>
      <c r="L234" s="770">
        <v>87.1</v>
      </c>
      <c r="M234" s="770">
        <v>106.82</v>
      </c>
      <c r="N234" s="770">
        <v>25.53</v>
      </c>
      <c r="O234" s="770">
        <v>0</v>
      </c>
      <c r="P234" s="770">
        <v>0.1</v>
      </c>
      <c r="Q234" s="770">
        <v>304.42</v>
      </c>
      <c r="R234" s="770">
        <v>1795.32</v>
      </c>
      <c r="S234" s="772"/>
      <c r="T234" s="694"/>
      <c r="U234" s="660"/>
      <c r="V234" s="660"/>
    </row>
    <row r="235" spans="1:22" ht="10.5" customHeight="1" x14ac:dyDescent="0.45">
      <c r="A235" s="747">
        <v>1995</v>
      </c>
      <c r="B235" s="770">
        <v>85.12</v>
      </c>
      <c r="C235" s="770">
        <v>0</v>
      </c>
      <c r="D235" s="770"/>
      <c r="E235" s="770">
        <v>0</v>
      </c>
      <c r="F235" s="770">
        <v>0.22</v>
      </c>
      <c r="G235" s="770">
        <v>0</v>
      </c>
      <c r="H235" s="770">
        <v>48.56</v>
      </c>
      <c r="I235" s="770">
        <v>1383</v>
      </c>
      <c r="J235" s="770"/>
      <c r="K235" s="770">
        <v>94.73</v>
      </c>
      <c r="L235" s="770">
        <v>87.2</v>
      </c>
      <c r="M235" s="770">
        <v>106.82</v>
      </c>
      <c r="N235" s="770">
        <v>25.38</v>
      </c>
      <c r="O235" s="770">
        <v>0</v>
      </c>
      <c r="P235" s="770">
        <v>0.1</v>
      </c>
      <c r="Q235" s="770">
        <v>314.23</v>
      </c>
      <c r="R235" s="770">
        <v>1831.13</v>
      </c>
      <c r="S235" s="772"/>
      <c r="T235" s="694"/>
      <c r="U235" s="660"/>
      <c r="V235" s="660"/>
    </row>
    <row r="236" spans="1:22" ht="10.5" customHeight="1" x14ac:dyDescent="0.45">
      <c r="A236" s="747">
        <v>1996</v>
      </c>
      <c r="B236" s="770">
        <v>113.05</v>
      </c>
      <c r="C236" s="770">
        <v>0</v>
      </c>
      <c r="D236" s="770"/>
      <c r="E236" s="770">
        <v>0</v>
      </c>
      <c r="F236" s="770">
        <v>0.34</v>
      </c>
      <c r="G236" s="770">
        <v>0</v>
      </c>
      <c r="H236" s="770">
        <v>49.05</v>
      </c>
      <c r="I236" s="770">
        <v>1405.8</v>
      </c>
      <c r="J236" s="770"/>
      <c r="K236" s="770">
        <v>145.69</v>
      </c>
      <c r="L236" s="770">
        <v>87.2</v>
      </c>
      <c r="M236" s="770">
        <v>135.02000000000001</v>
      </c>
      <c r="N236" s="770">
        <v>25.38</v>
      </c>
      <c r="O236" s="770">
        <v>0</v>
      </c>
      <c r="P236" s="770">
        <v>0.1</v>
      </c>
      <c r="Q236" s="770">
        <v>393.39</v>
      </c>
      <c r="R236" s="770">
        <v>1961.63</v>
      </c>
      <c r="S236" s="772"/>
      <c r="T236" s="694"/>
      <c r="U236" s="660"/>
      <c r="V236" s="660"/>
    </row>
    <row r="237" spans="1:22" ht="10.5" customHeight="1" x14ac:dyDescent="0.45">
      <c r="A237" s="747">
        <v>1997</v>
      </c>
      <c r="B237" s="770">
        <v>135.38</v>
      </c>
      <c r="C237" s="770">
        <v>0</v>
      </c>
      <c r="D237" s="770"/>
      <c r="E237" s="770">
        <v>0</v>
      </c>
      <c r="F237" s="770">
        <v>0.46</v>
      </c>
      <c r="G237" s="770">
        <v>0</v>
      </c>
      <c r="H237" s="770">
        <v>58.51</v>
      </c>
      <c r="I237" s="770">
        <v>1428.8</v>
      </c>
      <c r="J237" s="770"/>
      <c r="K237" s="770">
        <v>169.38</v>
      </c>
      <c r="L237" s="770">
        <v>86.8</v>
      </c>
      <c r="M237" s="770">
        <v>135.02000000000001</v>
      </c>
      <c r="N237" s="770">
        <v>25.38</v>
      </c>
      <c r="O237" s="770">
        <v>0.1</v>
      </c>
      <c r="P237" s="770">
        <v>0.1</v>
      </c>
      <c r="Q237" s="770">
        <v>416.78</v>
      </c>
      <c r="R237" s="770">
        <v>2039.93</v>
      </c>
      <c r="S237" s="772"/>
      <c r="T237" s="694"/>
      <c r="U237" s="660"/>
      <c r="V237" s="660"/>
    </row>
    <row r="238" spans="1:22" ht="10.5" customHeight="1" x14ac:dyDescent="0.45">
      <c r="A238" s="747">
        <v>1998</v>
      </c>
      <c r="B238" s="770">
        <v>139.43</v>
      </c>
      <c r="C238" s="770">
        <v>0</v>
      </c>
      <c r="D238" s="770"/>
      <c r="E238" s="770">
        <v>0</v>
      </c>
      <c r="F238" s="770">
        <v>0.57999999999999996</v>
      </c>
      <c r="G238" s="770">
        <v>0</v>
      </c>
      <c r="H238" s="770">
        <v>61.59</v>
      </c>
      <c r="I238" s="770">
        <v>1413</v>
      </c>
      <c r="J238" s="770"/>
      <c r="K238" s="770">
        <v>220.6</v>
      </c>
      <c r="L238" s="770">
        <v>89.8</v>
      </c>
      <c r="M238" s="770">
        <v>182.14</v>
      </c>
      <c r="N238" s="770">
        <v>63.88</v>
      </c>
      <c r="O238" s="770">
        <v>0.3</v>
      </c>
      <c r="P238" s="770">
        <v>0</v>
      </c>
      <c r="Q238" s="770">
        <v>556.72</v>
      </c>
      <c r="R238" s="770">
        <v>2171.3200000000002</v>
      </c>
      <c r="S238" s="773"/>
      <c r="T238" s="694"/>
      <c r="U238" s="660"/>
      <c r="V238" s="660"/>
    </row>
    <row r="239" spans="1:22" ht="10.5" customHeight="1" x14ac:dyDescent="0.45">
      <c r="A239" s="747">
        <v>1999</v>
      </c>
      <c r="B239" s="770">
        <v>150.47</v>
      </c>
      <c r="C239" s="770">
        <v>0</v>
      </c>
      <c r="D239" s="770"/>
      <c r="E239" s="770">
        <v>0</v>
      </c>
      <c r="F239" s="770">
        <v>1.24</v>
      </c>
      <c r="G239" s="770">
        <v>0</v>
      </c>
      <c r="H239" s="770">
        <v>63.61</v>
      </c>
      <c r="I239" s="770">
        <v>1413</v>
      </c>
      <c r="J239" s="770"/>
      <c r="K239" s="770">
        <v>308.97000000000003</v>
      </c>
      <c r="L239" s="770">
        <v>91.3</v>
      </c>
      <c r="M239" s="770">
        <v>180.63</v>
      </c>
      <c r="N239" s="770">
        <v>63.88</v>
      </c>
      <c r="O239" s="770">
        <v>0.3</v>
      </c>
      <c r="P239" s="770">
        <v>0</v>
      </c>
      <c r="Q239" s="770">
        <v>645.08000000000004</v>
      </c>
      <c r="R239" s="770">
        <v>2273.4</v>
      </c>
      <c r="S239" s="773"/>
      <c r="T239" s="694"/>
      <c r="U239" s="660"/>
      <c r="V239" s="660"/>
    </row>
    <row r="240" spans="1:22" ht="10.5" customHeight="1" x14ac:dyDescent="0.45">
      <c r="A240" s="747">
        <v>2000</v>
      </c>
      <c r="B240" s="770">
        <v>174.96</v>
      </c>
      <c r="C240" s="770">
        <v>1.63</v>
      </c>
      <c r="D240" s="770"/>
      <c r="E240" s="770">
        <v>0.2</v>
      </c>
      <c r="F240" s="770">
        <v>1.95</v>
      </c>
      <c r="G240" s="770">
        <v>0</v>
      </c>
      <c r="H240" s="770">
        <v>66.08</v>
      </c>
      <c r="I240" s="770">
        <v>1419</v>
      </c>
      <c r="J240" s="770"/>
      <c r="K240" s="770">
        <v>382.62</v>
      </c>
      <c r="L240" s="770">
        <v>85.3</v>
      </c>
      <c r="M240" s="770">
        <v>203.97</v>
      </c>
      <c r="N240" s="770">
        <v>73.680000000000007</v>
      </c>
      <c r="O240" s="770">
        <v>39.299999999999997</v>
      </c>
      <c r="P240" s="770">
        <v>0</v>
      </c>
      <c r="Q240" s="770">
        <v>784.87</v>
      </c>
      <c r="R240" s="770">
        <v>2448.6999999999998</v>
      </c>
      <c r="S240" s="773"/>
      <c r="T240" s="694"/>
      <c r="U240" s="774"/>
      <c r="V240" s="774"/>
    </row>
    <row r="241" spans="1:22" ht="10.5" customHeight="1" x14ac:dyDescent="0.45">
      <c r="A241" s="659">
        <v>2001</v>
      </c>
      <c r="B241" s="770">
        <v>181.74</v>
      </c>
      <c r="C241" s="770">
        <v>1.63</v>
      </c>
      <c r="D241" s="770"/>
      <c r="E241" s="770">
        <v>0.2</v>
      </c>
      <c r="F241" s="770">
        <v>2.8</v>
      </c>
      <c r="G241" s="770">
        <v>0</v>
      </c>
      <c r="H241" s="770">
        <v>67.930000000000007</v>
      </c>
      <c r="I241" s="770">
        <v>1440</v>
      </c>
      <c r="J241" s="770"/>
      <c r="K241" s="770">
        <v>418.27</v>
      </c>
      <c r="L241" s="770">
        <v>85</v>
      </c>
      <c r="M241" s="770">
        <v>208.94</v>
      </c>
      <c r="N241" s="770">
        <v>73.680000000000007</v>
      </c>
      <c r="O241" s="770">
        <v>39.299999999999997</v>
      </c>
      <c r="P241" s="770">
        <v>0</v>
      </c>
      <c r="Q241" s="770">
        <v>825.19</v>
      </c>
      <c r="R241" s="770">
        <v>2519.5</v>
      </c>
      <c r="S241" s="773"/>
      <c r="T241" s="774"/>
      <c r="U241" s="774"/>
      <c r="V241" s="774"/>
    </row>
    <row r="242" spans="1:22" ht="10.5" customHeight="1" x14ac:dyDescent="0.45">
      <c r="A242" s="659">
        <v>2002</v>
      </c>
      <c r="B242" s="770">
        <v>223.36</v>
      </c>
      <c r="C242" s="770">
        <v>1.58</v>
      </c>
      <c r="D242" s="770"/>
      <c r="E242" s="770">
        <v>0.2</v>
      </c>
      <c r="F242" s="770">
        <v>0.7</v>
      </c>
      <c r="G242" s="770">
        <v>0</v>
      </c>
      <c r="H242" s="770">
        <v>70.290000000000006</v>
      </c>
      <c r="I242" s="770">
        <v>1388.8</v>
      </c>
      <c r="J242" s="770"/>
      <c r="K242" s="770">
        <v>439.15</v>
      </c>
      <c r="L242" s="770">
        <v>96.03</v>
      </c>
      <c r="M242" s="770">
        <v>217.78</v>
      </c>
      <c r="N242" s="770">
        <v>76.66</v>
      </c>
      <c r="O242" s="770">
        <v>58.46</v>
      </c>
      <c r="P242" s="770">
        <v>0</v>
      </c>
      <c r="Q242" s="770">
        <v>888.09</v>
      </c>
      <c r="R242" s="770">
        <v>2573.0100000000002</v>
      </c>
      <c r="S242" s="773"/>
      <c r="T242" s="694"/>
      <c r="U242" s="774"/>
      <c r="V242" s="774"/>
    </row>
    <row r="243" spans="1:22" ht="10.5" customHeight="1" x14ac:dyDescent="0.45">
      <c r="A243" s="659">
        <v>2003</v>
      </c>
      <c r="B243" s="770">
        <v>285.63</v>
      </c>
      <c r="C243" s="770">
        <v>26.6</v>
      </c>
      <c r="D243" s="770"/>
      <c r="E243" s="770">
        <v>0.2</v>
      </c>
      <c r="F243" s="770">
        <v>1.02</v>
      </c>
      <c r="G243" s="770">
        <v>0</v>
      </c>
      <c r="H243" s="770">
        <v>47.05</v>
      </c>
      <c r="I243" s="770">
        <v>1354.52</v>
      </c>
      <c r="J243" s="770"/>
      <c r="K243" s="770">
        <v>575.11</v>
      </c>
      <c r="L243" s="770">
        <v>123.72</v>
      </c>
      <c r="M243" s="770">
        <v>237.21</v>
      </c>
      <c r="N243" s="770">
        <v>76.66</v>
      </c>
      <c r="O243" s="770">
        <v>64.489999999999995</v>
      </c>
      <c r="P243" s="770">
        <v>1.43</v>
      </c>
      <c r="Q243" s="770">
        <v>1078.6300000000001</v>
      </c>
      <c r="R243" s="770">
        <v>2793.65</v>
      </c>
      <c r="S243" s="773"/>
      <c r="T243" s="694"/>
      <c r="U243" s="774"/>
      <c r="V243" s="774"/>
    </row>
    <row r="244" spans="1:22" ht="10.5" customHeight="1" x14ac:dyDescent="0.45">
      <c r="A244" s="659">
        <v>2004</v>
      </c>
      <c r="B244" s="770">
        <v>340.84</v>
      </c>
      <c r="C244" s="770">
        <v>51.62</v>
      </c>
      <c r="D244" s="770"/>
      <c r="E244" s="770">
        <v>0.2</v>
      </c>
      <c r="F244" s="770">
        <v>1.39</v>
      </c>
      <c r="G244" s="770">
        <v>0</v>
      </c>
      <c r="H244" s="770">
        <v>51.74</v>
      </c>
      <c r="I244" s="770">
        <v>1355.85</v>
      </c>
      <c r="J244" s="770"/>
      <c r="K244" s="770">
        <v>670.94</v>
      </c>
      <c r="L244" s="770">
        <v>131.94</v>
      </c>
      <c r="M244" s="770">
        <v>238.54</v>
      </c>
      <c r="N244" s="770">
        <v>70.28</v>
      </c>
      <c r="O244" s="770">
        <v>64.790000000000006</v>
      </c>
      <c r="P244" s="770">
        <v>1.47</v>
      </c>
      <c r="Q244" s="770">
        <v>1177.96</v>
      </c>
      <c r="R244" s="770">
        <v>2979.6</v>
      </c>
      <c r="S244" s="773"/>
      <c r="T244" s="694"/>
      <c r="U244" s="774"/>
      <c r="V244" s="774"/>
    </row>
    <row r="245" spans="1:22" ht="10.5" customHeight="1" x14ac:dyDescent="0.45">
      <c r="A245" s="659">
        <v>2005</v>
      </c>
      <c r="B245" s="770">
        <v>569.02</v>
      </c>
      <c r="C245" s="770">
        <v>89.15</v>
      </c>
      <c r="D245" s="770"/>
      <c r="E245" s="770">
        <v>0.2</v>
      </c>
      <c r="F245" s="770">
        <v>1.85</v>
      </c>
      <c r="G245" s="770">
        <v>0</v>
      </c>
      <c r="H245" s="770">
        <v>57.17</v>
      </c>
      <c r="I245" s="770">
        <v>1343.15</v>
      </c>
      <c r="J245" s="770"/>
      <c r="K245" s="770">
        <v>759.74</v>
      </c>
      <c r="L245" s="770">
        <v>137.83000000000001</v>
      </c>
      <c r="M245" s="770">
        <v>248.71</v>
      </c>
      <c r="N245" s="770">
        <v>70.28</v>
      </c>
      <c r="O245" s="770">
        <v>74.510000000000005</v>
      </c>
      <c r="P245" s="770">
        <v>1.6</v>
      </c>
      <c r="Q245" s="770">
        <v>1292.67</v>
      </c>
      <c r="R245" s="770">
        <v>3353.23</v>
      </c>
      <c r="S245" s="773"/>
      <c r="T245" s="694"/>
      <c r="U245" s="774"/>
      <c r="V245" s="774"/>
    </row>
    <row r="246" spans="1:22" ht="10.5" customHeight="1" x14ac:dyDescent="0.45">
      <c r="A246" s="659">
        <v>2006</v>
      </c>
      <c r="B246" s="770">
        <v>695.04</v>
      </c>
      <c r="C246" s="770">
        <v>126.68</v>
      </c>
      <c r="D246" s="770"/>
      <c r="E246" s="770">
        <v>0.2</v>
      </c>
      <c r="F246" s="770">
        <v>2.42</v>
      </c>
      <c r="G246" s="770">
        <v>0</v>
      </c>
      <c r="H246" s="770">
        <v>55.51</v>
      </c>
      <c r="I246" s="770">
        <v>1361.39</v>
      </c>
      <c r="J246" s="770"/>
      <c r="K246" s="770">
        <v>795.39</v>
      </c>
      <c r="L246" s="770">
        <v>143.76</v>
      </c>
      <c r="M246" s="770">
        <v>257.33</v>
      </c>
      <c r="N246" s="770">
        <v>70.28</v>
      </c>
      <c r="O246" s="770">
        <v>107.26</v>
      </c>
      <c r="P246" s="770">
        <v>3.89</v>
      </c>
      <c r="Q246" s="770">
        <v>1377.9</v>
      </c>
      <c r="R246" s="770">
        <v>3619.15</v>
      </c>
      <c r="S246" s="773"/>
      <c r="T246" s="694"/>
      <c r="U246" s="774"/>
      <c r="V246" s="428"/>
    </row>
    <row r="247" spans="1:22" ht="10.5" customHeight="1" x14ac:dyDescent="0.45">
      <c r="A247" s="659">
        <v>2007</v>
      </c>
      <c r="B247" s="770">
        <v>877.19</v>
      </c>
      <c r="C247" s="770">
        <v>164.21</v>
      </c>
      <c r="D247" s="770"/>
      <c r="E247" s="770">
        <v>0.2</v>
      </c>
      <c r="F247" s="770">
        <v>3.08</v>
      </c>
      <c r="G247" s="770">
        <v>0</v>
      </c>
      <c r="H247" s="770">
        <v>58.98</v>
      </c>
      <c r="I247" s="770">
        <v>1358.68</v>
      </c>
      <c r="J247" s="770"/>
      <c r="K247" s="770">
        <v>836.69</v>
      </c>
      <c r="L247" s="770">
        <v>150.19</v>
      </c>
      <c r="M247" s="770">
        <v>257.3</v>
      </c>
      <c r="N247" s="770">
        <v>94.25</v>
      </c>
      <c r="O247" s="770">
        <v>211.29</v>
      </c>
      <c r="P247" s="770">
        <v>3.89</v>
      </c>
      <c r="Q247" s="770">
        <v>1553.61</v>
      </c>
      <c r="R247" s="770">
        <v>4015.94</v>
      </c>
      <c r="S247" s="773"/>
      <c r="T247" s="694"/>
      <c r="U247" s="774"/>
      <c r="V247" s="774"/>
    </row>
    <row r="248" spans="1:22" s="660" customFormat="1" ht="10.5" customHeight="1" x14ac:dyDescent="0.45">
      <c r="A248" s="659">
        <v>2008</v>
      </c>
      <c r="B248" s="770">
        <v>1199.94</v>
      </c>
      <c r="C248" s="770">
        <v>248.75</v>
      </c>
      <c r="D248" s="770"/>
      <c r="E248" s="770">
        <v>0.2</v>
      </c>
      <c r="F248" s="770">
        <v>3.83</v>
      </c>
      <c r="G248" s="770">
        <v>0</v>
      </c>
      <c r="H248" s="770">
        <v>59.36</v>
      </c>
      <c r="I248" s="770">
        <v>1463.78</v>
      </c>
      <c r="J248" s="770"/>
      <c r="K248" s="770">
        <v>829.1</v>
      </c>
      <c r="L248" s="770">
        <v>150.59</v>
      </c>
      <c r="M248" s="770">
        <v>267.39</v>
      </c>
      <c r="N248" s="770">
        <v>94.25</v>
      </c>
      <c r="O248" s="770">
        <v>211.47</v>
      </c>
      <c r="P248" s="770">
        <v>7.16</v>
      </c>
      <c r="Q248" s="770">
        <v>1559.96</v>
      </c>
      <c r="R248" s="770">
        <v>4535.8100000000004</v>
      </c>
      <c r="S248" s="773"/>
      <c r="T248" s="694"/>
      <c r="U248" s="774"/>
      <c r="V248" s="775"/>
    </row>
    <row r="249" spans="1:22" s="660" customFormat="1" ht="10.5" customHeight="1" x14ac:dyDescent="0.45">
      <c r="A249" s="659">
        <v>2009</v>
      </c>
      <c r="B249" s="770">
        <v>1461.59</v>
      </c>
      <c r="C249" s="770">
        <v>396.75</v>
      </c>
      <c r="D249" s="770"/>
      <c r="E249" s="770">
        <v>0.98</v>
      </c>
      <c r="F249" s="770">
        <v>4.51</v>
      </c>
      <c r="G249" s="770">
        <v>0</v>
      </c>
      <c r="H249" s="770">
        <v>63.44</v>
      </c>
      <c r="I249" s="770">
        <v>1464.41</v>
      </c>
      <c r="J249" s="770"/>
      <c r="K249" s="770">
        <v>898.89</v>
      </c>
      <c r="L249" s="770">
        <v>156.74</v>
      </c>
      <c r="M249" s="770">
        <v>276.64999999999998</v>
      </c>
      <c r="N249" s="770">
        <v>94.25</v>
      </c>
      <c r="O249" s="770">
        <v>285.49</v>
      </c>
      <c r="P249" s="770">
        <v>11.99</v>
      </c>
      <c r="Q249" s="770">
        <v>1724.02</v>
      </c>
      <c r="R249" s="770">
        <v>5115.7</v>
      </c>
      <c r="S249" s="773"/>
      <c r="T249" s="694"/>
      <c r="U249" s="774"/>
      <c r="V249" s="775"/>
    </row>
    <row r="250" spans="1:22" s="660" customFormat="1" ht="10.5" customHeight="1" x14ac:dyDescent="0.45">
      <c r="A250" s="659">
        <v>2010</v>
      </c>
      <c r="B250" s="770">
        <v>1717.83</v>
      </c>
      <c r="C250" s="770">
        <v>559.38</v>
      </c>
      <c r="D250" s="660">
        <v>0</v>
      </c>
      <c r="E250" s="770">
        <v>1.5</v>
      </c>
      <c r="F250" s="770">
        <v>16.16</v>
      </c>
      <c r="G250" s="770">
        <v>0</v>
      </c>
      <c r="H250" s="770">
        <v>67.930000000000007</v>
      </c>
      <c r="I250" s="770">
        <v>1458.78</v>
      </c>
      <c r="J250" s="770"/>
      <c r="K250" s="770">
        <v>948.44</v>
      </c>
      <c r="L250" s="770">
        <v>193.25</v>
      </c>
      <c r="M250" s="770">
        <v>300.38</v>
      </c>
      <c r="N250" s="770">
        <v>94.25</v>
      </c>
      <c r="O250" s="770">
        <v>320.89</v>
      </c>
      <c r="P250" s="770">
        <v>30.47</v>
      </c>
      <c r="Q250" s="770">
        <v>1887.68</v>
      </c>
      <c r="R250" s="770">
        <v>5709.26</v>
      </c>
      <c r="S250" s="773"/>
      <c r="T250" s="694"/>
      <c r="U250" s="774"/>
      <c r="V250" s="775"/>
    </row>
    <row r="251" spans="1:22" s="259" customFormat="1" ht="10.5" customHeight="1" x14ac:dyDescent="0.45">
      <c r="A251" s="659">
        <v>2011</v>
      </c>
      <c r="B251" s="770">
        <v>2003.43</v>
      </c>
      <c r="C251" s="770">
        <v>766.55</v>
      </c>
      <c r="D251" s="770"/>
      <c r="E251" s="770">
        <v>1.54</v>
      </c>
      <c r="F251" s="770">
        <v>170.04</v>
      </c>
      <c r="G251" s="770">
        <v>0</v>
      </c>
      <c r="H251" s="770">
        <v>72.95</v>
      </c>
      <c r="I251" s="770">
        <v>1476.78</v>
      </c>
      <c r="J251" s="770"/>
      <c r="K251" s="770">
        <v>978.7</v>
      </c>
      <c r="L251" s="770">
        <v>199.3</v>
      </c>
      <c r="M251" s="770">
        <v>364.69</v>
      </c>
      <c r="N251" s="770">
        <v>94.25</v>
      </c>
      <c r="O251" s="770">
        <v>1163.5</v>
      </c>
      <c r="P251" s="770">
        <v>73.94</v>
      </c>
      <c r="Q251" s="770">
        <v>2874.38</v>
      </c>
      <c r="R251" s="770">
        <v>7365.67</v>
      </c>
      <c r="S251" s="773"/>
      <c r="T251" s="692"/>
      <c r="U251" s="776"/>
    </row>
    <row r="252" spans="1:22" s="259" customFormat="1" ht="11.25" customHeight="1" x14ac:dyDescent="0.45">
      <c r="A252" s="659">
        <v>2012</v>
      </c>
      <c r="B252" s="770">
        <v>2541.02</v>
      </c>
      <c r="C252" s="770">
        <v>1249.0999999999999</v>
      </c>
      <c r="D252" s="770"/>
      <c r="E252" s="770">
        <v>3.42</v>
      </c>
      <c r="F252" s="770">
        <v>298.08999999999997</v>
      </c>
      <c r="G252" s="770">
        <v>0</v>
      </c>
      <c r="H252" s="770">
        <v>78.180000000000007</v>
      </c>
      <c r="I252" s="770">
        <v>1476.78</v>
      </c>
      <c r="J252" s="770"/>
      <c r="K252" s="770">
        <v>968.15</v>
      </c>
      <c r="L252" s="770">
        <v>211.63</v>
      </c>
      <c r="M252" s="770">
        <v>372.57</v>
      </c>
      <c r="N252" s="770">
        <v>94.25</v>
      </c>
      <c r="O252" s="770">
        <v>1165.92</v>
      </c>
      <c r="P252" s="770">
        <v>120.52</v>
      </c>
      <c r="Q252" s="770">
        <v>2933.05</v>
      </c>
      <c r="R252" s="770">
        <v>8579.64</v>
      </c>
      <c r="S252" s="773"/>
      <c r="T252" s="692"/>
      <c r="U252" s="776"/>
    </row>
    <row r="253" spans="1:22" s="259" customFormat="1" ht="11.25" customHeight="1" x14ac:dyDescent="0.45">
      <c r="A253" s="659">
        <v>2013</v>
      </c>
      <c r="B253" s="770">
        <v>3194.14</v>
      </c>
      <c r="C253" s="770">
        <v>1541.21</v>
      </c>
      <c r="D253" s="770"/>
      <c r="E253" s="770">
        <v>3.22</v>
      </c>
      <c r="F253" s="770">
        <v>499.33</v>
      </c>
      <c r="G253" s="770">
        <v>0</v>
      </c>
      <c r="H253" s="770">
        <v>83.96</v>
      </c>
      <c r="I253" s="770">
        <v>1476.78</v>
      </c>
      <c r="J253" s="770"/>
      <c r="K253" s="770">
        <v>975.88</v>
      </c>
      <c r="L253" s="770">
        <v>201.37</v>
      </c>
      <c r="M253" s="770">
        <v>396.02</v>
      </c>
      <c r="N253" s="770">
        <v>94.25</v>
      </c>
      <c r="O253" s="770">
        <v>1954.77</v>
      </c>
      <c r="P253" s="770">
        <v>162.58000000000001</v>
      </c>
      <c r="Q253" s="770">
        <v>3784.86</v>
      </c>
      <c r="R253" s="770">
        <v>10583.5</v>
      </c>
      <c r="S253" s="773"/>
      <c r="T253" s="692"/>
      <c r="U253" s="776"/>
    </row>
    <row r="254" spans="1:22" s="259" customFormat="1" ht="11.25" customHeight="1" x14ac:dyDescent="0.45">
      <c r="A254" s="659">
        <v>2014</v>
      </c>
      <c r="B254" s="770">
        <v>3609.39</v>
      </c>
      <c r="C254" s="770">
        <v>1877.04</v>
      </c>
      <c r="D254" s="770"/>
      <c r="E254" s="770">
        <v>3.48</v>
      </c>
      <c r="F254" s="770">
        <v>939.77</v>
      </c>
      <c r="G254" s="770">
        <v>0</v>
      </c>
      <c r="H254" s="770">
        <v>91.43</v>
      </c>
      <c r="I254" s="770">
        <v>1476.78</v>
      </c>
      <c r="J254" s="770"/>
      <c r="K254" s="770">
        <v>982.46</v>
      </c>
      <c r="L254" s="770">
        <v>230.42</v>
      </c>
      <c r="M254" s="770">
        <v>494.49</v>
      </c>
      <c r="N254" s="770">
        <v>94.25</v>
      </c>
      <c r="O254" s="770">
        <v>2258.0300000000002</v>
      </c>
      <c r="P254" s="770">
        <v>242.61</v>
      </c>
      <c r="Q254" s="770">
        <v>4302.26</v>
      </c>
      <c r="R254" s="770">
        <v>12300.14</v>
      </c>
      <c r="S254" s="773"/>
      <c r="T254" s="692"/>
      <c r="U254" s="776"/>
    </row>
    <row r="255" spans="1:22" s="258" customFormat="1" ht="10.5" customHeight="1" x14ac:dyDescent="0.45">
      <c r="A255" s="659">
        <v>2015</v>
      </c>
      <c r="B255" s="777">
        <v>3878.65</v>
      </c>
      <c r="C255" s="777">
        <v>2123.9499999999998</v>
      </c>
      <c r="D255" s="777"/>
      <c r="E255" s="777">
        <v>3.58</v>
      </c>
      <c r="F255" s="777">
        <v>1632.21</v>
      </c>
      <c r="G255" s="778">
        <v>0</v>
      </c>
      <c r="H255" s="777">
        <v>108.67</v>
      </c>
      <c r="I255" s="777">
        <v>1476.78</v>
      </c>
      <c r="J255" s="777"/>
      <c r="K255" s="777">
        <v>985.97</v>
      </c>
      <c r="L255" s="777">
        <v>231.3</v>
      </c>
      <c r="M255" s="777">
        <v>675.93</v>
      </c>
      <c r="N255" s="777">
        <v>94.25</v>
      </c>
      <c r="O255" s="777">
        <v>2604.0700000000002</v>
      </c>
      <c r="P255" s="777">
        <v>335.74</v>
      </c>
      <c r="Q255" s="777">
        <v>4927.2700000000004</v>
      </c>
      <c r="R255" s="777">
        <v>14151.1</v>
      </c>
      <c r="S255" s="773"/>
      <c r="T255" s="692"/>
      <c r="U255" s="776"/>
      <c r="V255" s="259"/>
    </row>
    <row r="256" spans="1:22" s="258" customFormat="1" ht="10.5" customHeight="1" x14ac:dyDescent="0.45">
      <c r="A256" s="659">
        <v>2016</v>
      </c>
      <c r="B256" s="778">
        <v>4560.6400000000003</v>
      </c>
      <c r="C256" s="777">
        <v>2207.35</v>
      </c>
      <c r="D256" s="777"/>
      <c r="E256" s="777">
        <v>5.39</v>
      </c>
      <c r="F256" s="778">
        <v>2028.18</v>
      </c>
      <c r="G256" s="777">
        <v>0</v>
      </c>
      <c r="H256" s="777">
        <v>130</v>
      </c>
      <c r="I256" s="777">
        <v>1476.78</v>
      </c>
      <c r="J256" s="777"/>
      <c r="K256" s="777">
        <v>986.52</v>
      </c>
      <c r="L256" s="777">
        <v>257.33</v>
      </c>
      <c r="M256" s="777">
        <v>747.43</v>
      </c>
      <c r="N256" s="777">
        <v>111.92</v>
      </c>
      <c r="O256" s="778">
        <v>2839.95</v>
      </c>
      <c r="P256" s="778">
        <v>442.33</v>
      </c>
      <c r="Q256" s="778">
        <v>5385.48</v>
      </c>
      <c r="R256" s="778">
        <v>15793.82</v>
      </c>
      <c r="S256" s="773"/>
      <c r="T256" s="692"/>
      <c r="U256" s="776"/>
      <c r="V256" s="259"/>
    </row>
    <row r="257" spans="1:22" s="258" customFormat="1" ht="10.5" customHeight="1" x14ac:dyDescent="0.45">
      <c r="A257" s="659">
        <v>2017</v>
      </c>
      <c r="B257" s="778">
        <v>5303.54</v>
      </c>
      <c r="C257" s="777">
        <v>2913.93</v>
      </c>
      <c r="D257" s="777"/>
      <c r="E257" s="777">
        <v>7.36</v>
      </c>
      <c r="F257" s="778">
        <v>2172.9</v>
      </c>
      <c r="G257" s="777">
        <v>0</v>
      </c>
      <c r="H257" s="777">
        <v>143.44</v>
      </c>
      <c r="I257" s="778">
        <v>1476.68</v>
      </c>
      <c r="J257" s="777"/>
      <c r="K257" s="777">
        <v>990.42</v>
      </c>
      <c r="L257" s="777">
        <v>245.49</v>
      </c>
      <c r="M257" s="778">
        <v>822.05</v>
      </c>
      <c r="N257" s="777">
        <v>111.92</v>
      </c>
      <c r="O257" s="778">
        <v>2988.7</v>
      </c>
      <c r="P257" s="778">
        <v>481.88</v>
      </c>
      <c r="Q257" s="778">
        <v>5640.47</v>
      </c>
      <c r="R257" s="778">
        <v>17658.32</v>
      </c>
      <c r="S257" s="773"/>
      <c r="T257" s="692"/>
      <c r="U257" s="776"/>
      <c r="V257" s="259"/>
    </row>
    <row r="258" spans="1:22" ht="10.5" customHeight="1" thickBot="1" x14ac:dyDescent="0.5">
      <c r="A258" s="750">
        <v>2018</v>
      </c>
      <c r="B258" s="779">
        <v>5706.42</v>
      </c>
      <c r="C258" s="779">
        <v>3426.28</v>
      </c>
      <c r="D258" s="779"/>
      <c r="E258" s="779">
        <v>8.16</v>
      </c>
      <c r="F258" s="779">
        <v>2230.12</v>
      </c>
      <c r="G258" s="779">
        <v>0</v>
      </c>
      <c r="H258" s="779">
        <v>145.4</v>
      </c>
      <c r="I258" s="779">
        <v>1476.68</v>
      </c>
      <c r="J258" s="779"/>
      <c r="K258" s="779">
        <v>987.59</v>
      </c>
      <c r="L258" s="779">
        <v>246.11</v>
      </c>
      <c r="M258" s="779">
        <v>856.8</v>
      </c>
      <c r="N258" s="779">
        <v>111.92</v>
      </c>
      <c r="O258" s="779">
        <v>4433.68</v>
      </c>
      <c r="P258" s="779">
        <v>502.07</v>
      </c>
      <c r="Q258" s="779">
        <v>7138.17</v>
      </c>
      <c r="R258" s="779">
        <v>20131.23</v>
      </c>
      <c r="S258" s="773"/>
      <c r="T258" s="694"/>
      <c r="U258" s="774"/>
      <c r="V258" s="660"/>
    </row>
    <row r="259" spans="1:22" ht="15.75" thickTop="1" x14ac:dyDescent="0.45">
      <c r="A259" s="780"/>
      <c r="B259" s="780"/>
      <c r="C259" s="781"/>
      <c r="D259" s="781"/>
      <c r="E259" s="782"/>
      <c r="F259" s="782"/>
      <c r="G259" s="782"/>
      <c r="H259" s="783"/>
      <c r="I259" s="782"/>
      <c r="J259" s="784"/>
      <c r="K259" s="784"/>
      <c r="L259" s="782"/>
      <c r="M259" s="782"/>
      <c r="N259" s="694"/>
      <c r="O259" s="785"/>
      <c r="P259" s="785"/>
      <c r="Q259" s="785"/>
      <c r="R259" s="775"/>
      <c r="S259" s="660"/>
      <c r="T259" s="660"/>
      <c r="U259" s="261"/>
      <c r="V259" s="261"/>
    </row>
    <row r="260" spans="1:22" ht="10.5" customHeight="1" thickBot="1" x14ac:dyDescent="0.5">
      <c r="A260" s="786"/>
      <c r="B260" s="787"/>
      <c r="C260" s="787"/>
      <c r="D260" s="787"/>
      <c r="E260" s="787"/>
      <c r="F260" s="787"/>
      <c r="G260" s="787"/>
      <c r="H260" s="788"/>
      <c r="I260" s="789"/>
      <c r="J260" s="789"/>
      <c r="K260" s="670"/>
      <c r="L260" s="670"/>
      <c r="M260" s="789"/>
      <c r="N260" s="789"/>
      <c r="O260" s="790" t="s">
        <v>1101</v>
      </c>
      <c r="R260" s="428"/>
      <c r="S260" s="428"/>
      <c r="T260" s="428"/>
    </row>
    <row r="261" spans="1:22" s="675" customFormat="1" ht="11.25" customHeight="1" thickTop="1" x14ac:dyDescent="0.45">
      <c r="A261" s="634"/>
      <c r="B261" s="1461" t="s">
        <v>746</v>
      </c>
      <c r="C261" s="1461"/>
      <c r="D261" s="791"/>
      <c r="E261" s="1461" t="s">
        <v>1089</v>
      </c>
      <c r="F261" s="1461"/>
      <c r="G261" s="791"/>
      <c r="H261" s="1462" t="s">
        <v>1044</v>
      </c>
      <c r="I261" s="1462"/>
      <c r="J261" s="1462"/>
      <c r="K261" s="1462"/>
      <c r="L261" s="1462"/>
      <c r="M261" s="792"/>
      <c r="N261" s="791"/>
      <c r="O261" s="793" t="s">
        <v>211</v>
      </c>
    </row>
    <row r="262" spans="1:22" s="675" customFormat="1" ht="10.5" customHeight="1" x14ac:dyDescent="0.35">
      <c r="B262" s="794" t="s">
        <v>1046</v>
      </c>
      <c r="C262" s="794" t="s">
        <v>1047</v>
      </c>
      <c r="D262" s="637"/>
      <c r="E262" s="794" t="s">
        <v>1050</v>
      </c>
      <c r="F262" s="794" t="s">
        <v>1051</v>
      </c>
      <c r="G262" s="636"/>
      <c r="H262" s="636" t="s">
        <v>1052</v>
      </c>
      <c r="I262" s="636" t="s">
        <v>1053</v>
      </c>
      <c r="J262" s="641" t="s">
        <v>1054</v>
      </c>
      <c r="K262" s="645" t="s">
        <v>1055</v>
      </c>
      <c r="L262" s="645" t="s">
        <v>1056</v>
      </c>
      <c r="M262" s="640" t="s">
        <v>1057</v>
      </c>
      <c r="N262" s="794" t="s">
        <v>1059</v>
      </c>
      <c r="O262" s="643" t="s">
        <v>43</v>
      </c>
    </row>
    <row r="263" spans="1:22" s="675" customFormat="1" ht="10.5" customHeight="1" x14ac:dyDescent="0.3">
      <c r="B263" s="637"/>
      <c r="C263" s="637"/>
      <c r="D263" s="637"/>
      <c r="E263" s="637" t="s">
        <v>1061</v>
      </c>
      <c r="F263" s="637" t="s">
        <v>1061</v>
      </c>
      <c r="G263" s="637"/>
      <c r="H263" s="637" t="s">
        <v>1063</v>
      </c>
      <c r="I263" s="637" t="s">
        <v>1064</v>
      </c>
      <c r="J263" s="641" t="s">
        <v>1065</v>
      </c>
      <c r="K263" s="640" t="s">
        <v>1066</v>
      </c>
      <c r="L263" s="640" t="s">
        <v>1066</v>
      </c>
      <c r="M263" s="640" t="s">
        <v>1067</v>
      </c>
      <c r="N263" s="640" t="s">
        <v>1069</v>
      </c>
    </row>
    <row r="264" spans="1:22" ht="10.5" customHeight="1" x14ac:dyDescent="0.45">
      <c r="A264" s="673"/>
      <c r="B264" s="795"/>
      <c r="C264" s="795"/>
      <c r="D264" s="795"/>
      <c r="E264" s="636"/>
      <c r="F264" s="647" t="s">
        <v>28</v>
      </c>
      <c r="G264" s="647"/>
      <c r="H264" s="636"/>
      <c r="I264" s="636" t="s">
        <v>1070</v>
      </c>
      <c r="J264" s="646" t="s">
        <v>1071</v>
      </c>
      <c r="K264" s="647" t="s">
        <v>30</v>
      </c>
      <c r="L264" s="647" t="s">
        <v>31</v>
      </c>
      <c r="M264" s="647" t="s">
        <v>32</v>
      </c>
      <c r="N264" s="637"/>
    </row>
    <row r="265" spans="1:22" s="654" customFormat="1" ht="10.5" customHeight="1" x14ac:dyDescent="0.45">
      <c r="A265" s="649"/>
      <c r="B265" s="650"/>
      <c r="C265" s="650"/>
      <c r="D265" s="650"/>
      <c r="E265" s="650"/>
      <c r="F265" s="650"/>
      <c r="G265" s="650"/>
      <c r="H265" s="650"/>
      <c r="I265" s="651"/>
      <c r="J265" s="652" t="s">
        <v>29</v>
      </c>
      <c r="K265" s="796"/>
      <c r="L265" s="650"/>
      <c r="M265" s="650"/>
      <c r="N265" s="650"/>
      <c r="O265" s="797"/>
    </row>
    <row r="266" spans="1:22" ht="10.5" customHeight="1" x14ac:dyDescent="0.45">
      <c r="A266" s="653" t="s">
        <v>1102</v>
      </c>
      <c r="B266" s="653"/>
      <c r="C266" s="653"/>
      <c r="D266" s="653"/>
      <c r="E266" s="640"/>
      <c r="F266" s="640"/>
      <c r="G266" s="640"/>
      <c r="H266" s="640"/>
      <c r="I266" s="640"/>
      <c r="J266" s="640"/>
      <c r="L266" s="640"/>
      <c r="M266" s="640"/>
      <c r="N266" s="640"/>
    </row>
    <row r="267" spans="1:22" ht="10.5" customHeight="1" x14ac:dyDescent="0.45">
      <c r="A267" s="658">
        <v>2002</v>
      </c>
      <c r="B267" s="798">
        <v>28.88</v>
      </c>
      <c r="C267" s="799"/>
      <c r="D267" s="799"/>
      <c r="E267" s="799"/>
      <c r="F267" s="799"/>
      <c r="G267" s="799"/>
      <c r="H267" s="799"/>
      <c r="I267" s="799"/>
      <c r="J267" s="799"/>
      <c r="K267" s="798"/>
      <c r="L267" s="799"/>
      <c r="M267" s="799"/>
      <c r="N267" s="800"/>
      <c r="O267" s="801"/>
    </row>
    <row r="268" spans="1:22" s="258" customFormat="1" ht="11.25" customHeight="1" x14ac:dyDescent="0.45">
      <c r="A268" s="658">
        <v>2003</v>
      </c>
      <c r="B268" s="798">
        <v>27.93</v>
      </c>
      <c r="C268" s="799"/>
      <c r="D268" s="799"/>
      <c r="E268" s="799"/>
      <c r="F268" s="799"/>
      <c r="G268" s="799"/>
      <c r="H268" s="799"/>
      <c r="I268" s="799"/>
      <c r="J268" s="799"/>
      <c r="K268" s="798"/>
      <c r="L268" s="799"/>
      <c r="M268" s="799"/>
      <c r="N268" s="800"/>
      <c r="O268" s="801"/>
    </row>
    <row r="269" spans="1:22" ht="11.25" customHeight="1" x14ac:dyDescent="0.45">
      <c r="A269" s="658">
        <v>2004</v>
      </c>
      <c r="B269" s="798">
        <v>27.64</v>
      </c>
      <c r="C269" s="799"/>
      <c r="D269" s="799"/>
      <c r="E269" s="799"/>
      <c r="F269" s="799"/>
      <c r="G269" s="799"/>
      <c r="H269" s="799"/>
      <c r="I269" s="799"/>
      <c r="J269" s="799"/>
      <c r="K269" s="798"/>
      <c r="L269" s="799"/>
      <c r="M269" s="799"/>
      <c r="N269" s="800"/>
      <c r="O269" s="801"/>
    </row>
    <row r="270" spans="1:22" ht="11.25" customHeight="1" x14ac:dyDescent="0.45">
      <c r="A270" s="658">
        <v>2005</v>
      </c>
      <c r="B270" s="798">
        <v>27.46</v>
      </c>
      <c r="C270" s="799"/>
      <c r="D270" s="799"/>
      <c r="E270" s="799"/>
      <c r="F270" s="799"/>
      <c r="G270" s="799"/>
      <c r="H270" s="799"/>
      <c r="I270" s="799"/>
      <c r="J270" s="799"/>
      <c r="K270" s="798"/>
      <c r="L270" s="799"/>
      <c r="M270" s="799"/>
      <c r="N270" s="800"/>
      <c r="O270" s="801"/>
    </row>
    <row r="271" spans="1:22" ht="11.25" customHeight="1" x14ac:dyDescent="0.45">
      <c r="A271" s="658">
        <v>2006</v>
      </c>
      <c r="B271" s="798">
        <v>27.68</v>
      </c>
      <c r="C271" s="799"/>
      <c r="D271" s="799"/>
      <c r="E271" s="799"/>
      <c r="F271" s="799"/>
      <c r="G271" s="799"/>
      <c r="H271" s="799"/>
      <c r="I271" s="799"/>
      <c r="J271" s="799"/>
      <c r="K271" s="798"/>
      <c r="L271" s="799"/>
      <c r="M271" s="799"/>
      <c r="N271" s="800"/>
      <c r="O271" s="801"/>
    </row>
    <row r="272" spans="1:22" ht="11.25" customHeight="1" x14ac:dyDescent="0.45">
      <c r="A272" s="658">
        <v>2007</v>
      </c>
      <c r="B272" s="798">
        <v>27.47</v>
      </c>
      <c r="C272" s="799"/>
      <c r="D272" s="799"/>
      <c r="E272" s="799"/>
      <c r="F272" s="799"/>
      <c r="G272" s="799"/>
      <c r="H272" s="799"/>
      <c r="I272" s="799"/>
      <c r="J272" s="799"/>
      <c r="K272" s="798"/>
      <c r="L272" s="799"/>
      <c r="M272" s="799"/>
      <c r="N272" s="800"/>
      <c r="O272" s="801"/>
    </row>
    <row r="273" spans="1:20" ht="11.25" customHeight="1" x14ac:dyDescent="0.45">
      <c r="A273" s="658">
        <v>2008</v>
      </c>
      <c r="B273" s="798">
        <v>28.11</v>
      </c>
      <c r="C273" s="798"/>
      <c r="D273" s="799"/>
      <c r="E273" s="799"/>
      <c r="F273" s="799"/>
      <c r="G273" s="799"/>
      <c r="H273" s="799"/>
      <c r="I273" s="799"/>
      <c r="J273" s="799"/>
      <c r="K273" s="798"/>
      <c r="L273" s="799"/>
      <c r="M273" s="799"/>
      <c r="N273" s="800"/>
      <c r="O273" s="801"/>
    </row>
    <row r="274" spans="1:20" ht="11.25" customHeight="1" x14ac:dyDescent="0.45">
      <c r="A274" s="658">
        <v>2009</v>
      </c>
      <c r="B274" s="798">
        <v>27.59</v>
      </c>
      <c r="C274" s="798"/>
      <c r="D274" s="799"/>
      <c r="E274" s="799"/>
      <c r="F274" s="799"/>
      <c r="G274" s="799"/>
      <c r="H274" s="799"/>
      <c r="I274" s="799"/>
      <c r="J274" s="799"/>
      <c r="K274" s="798"/>
      <c r="L274" s="799"/>
      <c r="M274" s="799"/>
      <c r="N274" s="800"/>
      <c r="O274" s="801"/>
    </row>
    <row r="275" spans="1:20" ht="11.25" customHeight="1" x14ac:dyDescent="0.45">
      <c r="A275" s="658">
        <v>2010</v>
      </c>
      <c r="B275" s="798">
        <v>26.27</v>
      </c>
      <c r="C275" s="798">
        <v>30.49</v>
      </c>
      <c r="D275" s="798"/>
      <c r="E275" s="802"/>
      <c r="F275" s="802"/>
      <c r="G275" s="802"/>
      <c r="H275" s="802"/>
      <c r="I275" s="802"/>
      <c r="J275" s="802"/>
      <c r="K275" s="738"/>
      <c r="L275" s="802"/>
      <c r="M275" s="802"/>
      <c r="N275" s="800"/>
      <c r="O275" s="801"/>
    </row>
    <row r="276" spans="1:20" ht="11.25" customHeight="1" x14ac:dyDescent="0.45">
      <c r="A276" s="658">
        <v>2011</v>
      </c>
      <c r="B276" s="798">
        <v>26.49</v>
      </c>
      <c r="C276" s="798">
        <v>32.03</v>
      </c>
      <c r="D276" s="798"/>
      <c r="E276" s="802"/>
      <c r="F276" s="802"/>
      <c r="G276" s="802"/>
      <c r="H276" s="802"/>
      <c r="I276" s="802"/>
      <c r="J276" s="802"/>
      <c r="K276" s="738"/>
      <c r="L276" s="802"/>
      <c r="M276" s="802"/>
      <c r="N276" s="800"/>
      <c r="O276" s="801"/>
    </row>
    <row r="277" spans="1:20" ht="11.25" customHeight="1" x14ac:dyDescent="0.45">
      <c r="A277" s="658">
        <v>2012</v>
      </c>
      <c r="B277" s="798">
        <v>26.14</v>
      </c>
      <c r="C277" s="798">
        <v>33.19</v>
      </c>
      <c r="D277" s="798"/>
      <c r="E277" s="798">
        <v>37.520000000000003</v>
      </c>
      <c r="F277" s="798">
        <v>36.229999999999997</v>
      </c>
      <c r="G277" s="798">
        <v>0</v>
      </c>
      <c r="H277" s="798">
        <v>59.4</v>
      </c>
      <c r="I277" s="798">
        <v>47.74</v>
      </c>
      <c r="J277" s="798">
        <v>41.31</v>
      </c>
      <c r="K277" s="798">
        <v>65.930000000000007</v>
      </c>
      <c r="L277" s="798">
        <v>64.349999999999994</v>
      </c>
      <c r="M277" s="798">
        <v>53.91</v>
      </c>
      <c r="N277" s="798">
        <v>61.49</v>
      </c>
      <c r="O277" s="798">
        <v>37.21</v>
      </c>
      <c r="P277" s="798"/>
    </row>
    <row r="278" spans="1:20" ht="11.25" customHeight="1" x14ac:dyDescent="0.45">
      <c r="A278" s="658">
        <v>2013</v>
      </c>
      <c r="B278" s="798">
        <v>25.86</v>
      </c>
      <c r="C278" s="798">
        <v>33.74</v>
      </c>
      <c r="D278" s="798"/>
      <c r="E278" s="798">
        <v>36.42</v>
      </c>
      <c r="F278" s="798">
        <v>34.81</v>
      </c>
      <c r="G278" s="798">
        <v>0</v>
      </c>
      <c r="H278" s="798">
        <v>58.93</v>
      </c>
      <c r="I278" s="798">
        <v>49.07</v>
      </c>
      <c r="J278" s="798">
        <v>40.19</v>
      </c>
      <c r="K278" s="798">
        <v>67.23</v>
      </c>
      <c r="L278" s="798">
        <v>64.97</v>
      </c>
      <c r="M278" s="798">
        <v>56.36</v>
      </c>
      <c r="N278" s="798">
        <v>61.71</v>
      </c>
      <c r="O278" s="798">
        <v>36.11</v>
      </c>
      <c r="P278" s="798"/>
    </row>
    <row r="279" spans="1:20" ht="11.25" customHeight="1" x14ac:dyDescent="0.45">
      <c r="A279" s="658">
        <v>2014</v>
      </c>
      <c r="B279" s="798">
        <v>25.75</v>
      </c>
      <c r="C279" s="798">
        <v>34.869999999999997</v>
      </c>
      <c r="D279" s="798"/>
      <c r="E279" s="798">
        <v>36.69</v>
      </c>
      <c r="F279" s="798">
        <v>34.92</v>
      </c>
      <c r="G279" s="798">
        <v>0</v>
      </c>
      <c r="H279" s="798">
        <v>58.09</v>
      </c>
      <c r="I279" s="798">
        <v>48.68</v>
      </c>
      <c r="J279" s="798">
        <v>38.270000000000003</v>
      </c>
      <c r="K279" s="798">
        <v>66.760000000000005</v>
      </c>
      <c r="L279" s="798">
        <v>66.150000000000006</v>
      </c>
      <c r="M279" s="798">
        <v>58.5</v>
      </c>
      <c r="N279" s="798">
        <v>62.28</v>
      </c>
      <c r="O279" s="798">
        <v>36.14</v>
      </c>
      <c r="P279" s="798"/>
    </row>
    <row r="280" spans="1:20" s="258" customFormat="1" ht="11.25" customHeight="1" x14ac:dyDescent="0.45">
      <c r="A280" s="658">
        <v>2015</v>
      </c>
      <c r="B280" s="803">
        <v>27.32</v>
      </c>
      <c r="C280" s="803">
        <v>36.880000000000003</v>
      </c>
      <c r="D280" s="663"/>
      <c r="E280" s="804">
        <v>38.53</v>
      </c>
      <c r="F280" s="803">
        <v>37.549999999999997</v>
      </c>
      <c r="G280" s="803">
        <v>0</v>
      </c>
      <c r="H280" s="803">
        <v>56.7</v>
      </c>
      <c r="I280" s="803">
        <v>48.47</v>
      </c>
      <c r="J280" s="803">
        <v>36.83</v>
      </c>
      <c r="K280" s="803">
        <v>67.180000000000007</v>
      </c>
      <c r="L280" s="803">
        <v>68.099999999999994</v>
      </c>
      <c r="M280" s="803">
        <v>57.47</v>
      </c>
      <c r="N280" s="803">
        <v>63.4</v>
      </c>
      <c r="O280" s="803">
        <v>37.29</v>
      </c>
      <c r="P280" s="733"/>
    </row>
    <row r="281" spans="1:20" s="258" customFormat="1" ht="11.25" customHeight="1" x14ac:dyDescent="0.45">
      <c r="A281" s="658">
        <v>2016</v>
      </c>
      <c r="B281" s="803">
        <v>26.6</v>
      </c>
      <c r="C281" s="803">
        <v>37.18</v>
      </c>
      <c r="D281" s="663"/>
      <c r="E281" s="804">
        <v>37.28</v>
      </c>
      <c r="F281" s="803">
        <v>36.03</v>
      </c>
      <c r="G281" s="803">
        <v>0</v>
      </c>
      <c r="H281" s="803">
        <v>54.72</v>
      </c>
      <c r="I281" s="803">
        <v>46.9</v>
      </c>
      <c r="J281" s="803">
        <v>36.26</v>
      </c>
      <c r="K281" s="803">
        <v>64.83</v>
      </c>
      <c r="L281" s="804">
        <v>70.900000000000006</v>
      </c>
      <c r="M281" s="804">
        <v>58.35</v>
      </c>
      <c r="N281" s="804">
        <v>64.900000000000006</v>
      </c>
      <c r="O281" s="803">
        <v>36.21</v>
      </c>
      <c r="P281" s="733"/>
    </row>
    <row r="282" spans="1:20" s="258" customFormat="1" ht="11.25" customHeight="1" x14ac:dyDescent="0.45">
      <c r="A282" s="658">
        <v>2017</v>
      </c>
      <c r="B282" s="803">
        <v>26.94</v>
      </c>
      <c r="C282" s="803">
        <v>38.369999999999997</v>
      </c>
      <c r="D282" s="663"/>
      <c r="E282" s="804">
        <v>37.71</v>
      </c>
      <c r="F282" s="804">
        <v>35.700000000000003</v>
      </c>
      <c r="G282" s="663">
        <v>0</v>
      </c>
      <c r="H282" s="803">
        <v>52.2</v>
      </c>
      <c r="I282" s="803">
        <v>47.03</v>
      </c>
      <c r="J282" s="803">
        <v>35.61</v>
      </c>
      <c r="K282" s="803">
        <v>63.05</v>
      </c>
      <c r="L282" s="804">
        <v>72.75</v>
      </c>
      <c r="M282" s="804">
        <v>58.78</v>
      </c>
      <c r="N282" s="804">
        <v>66.19</v>
      </c>
      <c r="O282" s="803">
        <v>35.700000000000003</v>
      </c>
      <c r="P282" s="733"/>
    </row>
    <row r="283" spans="1:20" ht="11.25" customHeight="1" thickBot="1" x14ac:dyDescent="0.5">
      <c r="A283" s="667">
        <v>2018</v>
      </c>
      <c r="B283" s="805">
        <v>26.56</v>
      </c>
      <c r="C283" s="805">
        <v>38.51</v>
      </c>
      <c r="D283" s="805"/>
      <c r="E283" s="805">
        <v>38.24</v>
      </c>
      <c r="F283" s="805">
        <v>35.909999999999997</v>
      </c>
      <c r="G283" s="805">
        <v>0</v>
      </c>
      <c r="H283" s="805">
        <v>49.17</v>
      </c>
      <c r="I283" s="805">
        <v>46.38</v>
      </c>
      <c r="J283" s="805">
        <v>35.74</v>
      </c>
      <c r="K283" s="805">
        <v>60.16</v>
      </c>
      <c r="L283" s="805">
        <v>75.13</v>
      </c>
      <c r="M283" s="805">
        <v>59.03</v>
      </c>
      <c r="N283" s="805">
        <v>67.099999999999994</v>
      </c>
      <c r="O283" s="805">
        <v>34.85</v>
      </c>
      <c r="P283" s="733"/>
    </row>
    <row r="284" spans="1:20" ht="11.25" customHeight="1" thickTop="1" x14ac:dyDescent="0.45">
      <c r="A284" s="658"/>
      <c r="B284" s="733"/>
      <c r="C284" s="733"/>
      <c r="D284" s="733"/>
      <c r="E284" s="733"/>
      <c r="F284" s="733"/>
      <c r="G284" s="733"/>
      <c r="H284" s="733"/>
      <c r="I284" s="733"/>
      <c r="J284" s="733"/>
      <c r="K284" s="733"/>
      <c r="L284" s="733"/>
      <c r="M284" s="733"/>
      <c r="N284" s="733"/>
      <c r="O284" s="733"/>
    </row>
    <row r="285" spans="1:20" s="387" customFormat="1" ht="10.5" customHeight="1" x14ac:dyDescent="0.45">
      <c r="A285" s="806" t="s">
        <v>1103</v>
      </c>
      <c r="B285" s="806"/>
      <c r="C285" s="781"/>
      <c r="D285" s="780"/>
      <c r="E285" s="807"/>
      <c r="F285" s="807"/>
      <c r="G285" s="807"/>
      <c r="H285" s="808"/>
      <c r="I285" s="807"/>
      <c r="J285" s="809"/>
      <c r="K285" s="809"/>
      <c r="L285" s="807"/>
      <c r="M285" s="807"/>
      <c r="N285" s="810"/>
      <c r="O285" s="810"/>
      <c r="P285" s="810"/>
      <c r="Q285" s="810"/>
      <c r="R285" s="744"/>
      <c r="S285" s="744"/>
      <c r="T285" s="744"/>
    </row>
    <row r="286" spans="1:20" s="387" customFormat="1" ht="10.5" customHeight="1" x14ac:dyDescent="0.45">
      <c r="A286" s="806" t="s">
        <v>1104</v>
      </c>
      <c r="B286" s="687"/>
      <c r="C286" s="781"/>
      <c r="D286" s="780"/>
      <c r="E286" s="807"/>
      <c r="F286" s="807"/>
      <c r="G286" s="807"/>
      <c r="H286" s="808"/>
      <c r="I286" s="807"/>
      <c r="J286" s="809"/>
      <c r="K286" s="809"/>
      <c r="L286" s="807"/>
      <c r="M286" s="807"/>
      <c r="N286" s="810"/>
      <c r="O286" s="810"/>
      <c r="P286" s="810"/>
      <c r="Q286" s="810"/>
      <c r="R286" s="744"/>
      <c r="S286" s="744"/>
      <c r="T286" s="744"/>
    </row>
    <row r="287" spans="1:20" s="387" customFormat="1" ht="11.65" customHeight="1" x14ac:dyDescent="0.45">
      <c r="A287" s="806" t="s">
        <v>1105</v>
      </c>
      <c r="B287" s="687"/>
      <c r="C287" s="781"/>
      <c r="D287" s="780"/>
      <c r="E287" s="807"/>
      <c r="F287" s="807"/>
      <c r="G287" s="807"/>
      <c r="H287" s="808"/>
      <c r="I287" s="807"/>
      <c r="J287" s="809"/>
      <c r="K287" s="809"/>
      <c r="L287" s="807"/>
      <c r="M287" s="807"/>
      <c r="N287" s="810"/>
      <c r="O287" s="810"/>
      <c r="P287" s="810"/>
      <c r="Q287" s="810"/>
      <c r="R287" s="744"/>
      <c r="S287" s="744"/>
      <c r="T287" s="744"/>
    </row>
    <row r="288" spans="1:20" s="387" customFormat="1" ht="10.5" customHeight="1" x14ac:dyDescent="0.45">
      <c r="A288" s="806" t="s">
        <v>1106</v>
      </c>
      <c r="B288" s="687"/>
      <c r="C288" s="781"/>
      <c r="D288" s="780"/>
      <c r="E288" s="807"/>
      <c r="F288" s="807"/>
      <c r="G288" s="807"/>
      <c r="H288" s="808"/>
      <c r="I288" s="807"/>
      <c r="J288" s="809"/>
      <c r="K288" s="809"/>
      <c r="L288" s="807"/>
      <c r="M288" s="807"/>
      <c r="N288" s="810"/>
      <c r="O288" s="810"/>
      <c r="P288" s="810"/>
      <c r="Q288" s="810"/>
      <c r="R288" s="744"/>
      <c r="S288" s="744"/>
      <c r="T288" s="744"/>
    </row>
    <row r="289" spans="1:22" s="387" customFormat="1" ht="10.5" customHeight="1" x14ac:dyDescent="0.45">
      <c r="A289" s="806" t="s">
        <v>1107</v>
      </c>
      <c r="B289" s="687"/>
      <c r="C289" s="781"/>
      <c r="D289" s="780"/>
      <c r="E289" s="807"/>
      <c r="F289" s="807"/>
      <c r="G289" s="807"/>
      <c r="H289" s="808"/>
      <c r="I289" s="807"/>
      <c r="J289" s="809"/>
      <c r="K289" s="809"/>
      <c r="L289" s="807"/>
      <c r="M289" s="807"/>
      <c r="N289" s="810"/>
      <c r="O289" s="810"/>
      <c r="P289" s="810"/>
      <c r="Q289" s="810"/>
      <c r="R289" s="744"/>
      <c r="S289" s="744"/>
      <c r="T289" s="811"/>
    </row>
    <row r="290" spans="1:22" s="387" customFormat="1" ht="10.5" customHeight="1" x14ac:dyDescent="0.45">
      <c r="A290" s="806" t="s">
        <v>1108</v>
      </c>
      <c r="B290" s="687"/>
      <c r="C290" s="781"/>
      <c r="D290" s="780"/>
      <c r="E290" s="807"/>
      <c r="F290" s="807"/>
      <c r="G290" s="807"/>
      <c r="H290" s="808"/>
      <c r="I290" s="807"/>
      <c r="J290" s="809"/>
      <c r="K290" s="809"/>
      <c r="L290" s="807"/>
      <c r="M290" s="807"/>
      <c r="N290" s="810"/>
      <c r="O290" s="810"/>
      <c r="P290" s="810"/>
      <c r="Q290" s="744"/>
      <c r="R290" s="744"/>
      <c r="S290" s="744"/>
      <c r="T290" s="811"/>
    </row>
    <row r="291" spans="1:22" s="387" customFormat="1" ht="10.5" customHeight="1" x14ac:dyDescent="0.45">
      <c r="A291" s="806" t="s">
        <v>1109</v>
      </c>
      <c r="B291" s="795"/>
      <c r="C291" s="781"/>
      <c r="D291" s="780"/>
      <c r="E291" s="780"/>
      <c r="F291" s="780"/>
      <c r="G291" s="780"/>
      <c r="H291" s="780"/>
      <c r="I291" s="807"/>
      <c r="J291" s="809"/>
      <c r="K291" s="809"/>
      <c r="L291" s="807"/>
      <c r="M291" s="807"/>
      <c r="N291" s="810"/>
      <c r="O291" s="810"/>
      <c r="P291" s="810"/>
      <c r="Q291" s="744"/>
      <c r="R291" s="744"/>
      <c r="S291" s="744"/>
      <c r="T291" s="811"/>
    </row>
    <row r="292" spans="1:22" s="387" customFormat="1" ht="10.5" customHeight="1" x14ac:dyDescent="0.45">
      <c r="A292" s="806" t="s">
        <v>1110</v>
      </c>
      <c r="B292" s="687"/>
      <c r="C292" s="781"/>
      <c r="D292" s="780"/>
      <c r="E292" s="780"/>
      <c r="F292" s="780"/>
      <c r="G292" s="780"/>
      <c r="H292" s="780"/>
      <c r="I292" s="807"/>
      <c r="J292" s="809"/>
      <c r="K292" s="809"/>
      <c r="L292" s="807"/>
      <c r="M292" s="807"/>
      <c r="N292" s="810"/>
      <c r="O292" s="810"/>
      <c r="P292" s="810"/>
      <c r="Q292" s="744"/>
      <c r="R292" s="744"/>
      <c r="S292" s="744"/>
      <c r="T292" s="811"/>
    </row>
    <row r="293" spans="1:22" s="387" customFormat="1" ht="10.5" customHeight="1" x14ac:dyDescent="0.45">
      <c r="A293" s="806" t="s">
        <v>1111</v>
      </c>
      <c r="B293" s="687"/>
      <c r="C293" s="781"/>
      <c r="D293" s="780"/>
      <c r="E293" s="809"/>
      <c r="F293" s="809"/>
      <c r="G293" s="809"/>
      <c r="H293" s="809"/>
      <c r="I293" s="809"/>
      <c r="J293" s="809"/>
      <c r="K293" s="809"/>
      <c r="L293" s="809"/>
      <c r="M293" s="809"/>
      <c r="N293" s="744"/>
      <c r="O293" s="744"/>
      <c r="P293" s="744"/>
      <c r="Q293" s="744"/>
      <c r="R293" s="744"/>
      <c r="S293" s="744"/>
      <c r="T293" s="811"/>
    </row>
    <row r="294" spans="1:22" s="387" customFormat="1" ht="10.5" customHeight="1" x14ac:dyDescent="0.45">
      <c r="A294" s="806" t="s">
        <v>1112</v>
      </c>
      <c r="B294" s="687"/>
      <c r="C294" s="781"/>
      <c r="D294" s="780"/>
      <c r="E294" s="809"/>
      <c r="F294" s="809"/>
      <c r="G294" s="809"/>
      <c r="H294" s="809"/>
      <c r="I294" s="809"/>
      <c r="J294" s="809"/>
      <c r="K294" s="809"/>
      <c r="L294" s="809"/>
      <c r="M294" s="809"/>
      <c r="N294" s="744"/>
      <c r="O294" s="744"/>
      <c r="P294" s="744"/>
      <c r="Q294" s="744"/>
      <c r="R294" s="744"/>
      <c r="S294" s="744"/>
      <c r="T294" s="811"/>
    </row>
    <row r="295" spans="1:22" s="387" customFormat="1" ht="10.5" customHeight="1" x14ac:dyDescent="0.45">
      <c r="A295" s="806" t="s">
        <v>1113</v>
      </c>
      <c r="B295" s="428"/>
      <c r="C295" s="781"/>
      <c r="D295" s="780"/>
      <c r="E295" s="809"/>
      <c r="F295" s="809"/>
      <c r="G295" s="809"/>
      <c r="H295" s="809"/>
      <c r="I295" s="809"/>
      <c r="J295" s="809"/>
      <c r="K295" s="809"/>
      <c r="L295" s="809"/>
      <c r="M295" s="809"/>
      <c r="N295" s="744"/>
      <c r="O295" s="744"/>
      <c r="P295" s="744"/>
      <c r="Q295" s="744"/>
      <c r="R295" s="744"/>
      <c r="S295" s="744"/>
      <c r="T295" s="811"/>
    </row>
    <row r="296" spans="1:22" s="387" customFormat="1" ht="10.5" customHeight="1" x14ac:dyDescent="0.45">
      <c r="A296" s="806" t="s">
        <v>1114</v>
      </c>
      <c r="B296" s="687"/>
      <c r="C296" s="781"/>
      <c r="D296" s="780"/>
      <c r="E296" s="809"/>
      <c r="F296" s="809"/>
      <c r="G296" s="809"/>
      <c r="H296" s="809"/>
      <c r="I296" s="809"/>
      <c r="J296" s="809"/>
      <c r="K296" s="809"/>
      <c r="L296" s="809"/>
      <c r="M296" s="809"/>
      <c r="N296" s="744"/>
      <c r="O296" s="744"/>
      <c r="P296" s="744"/>
      <c r="Q296" s="744"/>
      <c r="R296" s="744"/>
      <c r="S296" s="744"/>
      <c r="T296" s="811"/>
    </row>
    <row r="297" spans="1:22" s="387" customFormat="1" ht="10.5" customHeight="1" x14ac:dyDescent="0.45">
      <c r="A297" s="806" t="s">
        <v>1115</v>
      </c>
      <c r="B297" s="687"/>
      <c r="C297" s="781"/>
      <c r="D297" s="780"/>
      <c r="E297" s="809"/>
      <c r="F297" s="809"/>
      <c r="G297" s="809"/>
      <c r="H297" s="809"/>
      <c r="I297" s="809"/>
      <c r="J297" s="809"/>
      <c r="K297" s="809"/>
      <c r="L297" s="809"/>
      <c r="M297" s="809"/>
      <c r="N297" s="744"/>
      <c r="O297" s="744"/>
      <c r="P297" s="744"/>
      <c r="Q297" s="744"/>
      <c r="R297" s="744"/>
      <c r="S297" s="744"/>
      <c r="T297" s="811"/>
    </row>
    <row r="298" spans="1:22" s="387" customFormat="1" ht="10.5" customHeight="1" x14ac:dyDescent="0.45">
      <c r="A298" s="806" t="s">
        <v>1116</v>
      </c>
      <c r="B298" s="687"/>
      <c r="C298" s="781"/>
      <c r="D298" s="780"/>
      <c r="E298" s="780"/>
      <c r="F298" s="780"/>
      <c r="G298" s="780"/>
      <c r="H298" s="780"/>
      <c r="I298" s="780"/>
      <c r="J298" s="780"/>
      <c r="K298" s="780"/>
      <c r="L298" s="780"/>
      <c r="M298" s="809"/>
      <c r="N298" s="744"/>
      <c r="O298" s="744"/>
      <c r="P298" s="744"/>
      <c r="Q298" s="744"/>
      <c r="R298" s="744"/>
      <c r="S298" s="744"/>
      <c r="T298" s="811"/>
    </row>
    <row r="299" spans="1:22" s="387" customFormat="1" ht="10.5" customHeight="1" x14ac:dyDescent="0.45">
      <c r="A299" s="781" t="s">
        <v>1117</v>
      </c>
      <c r="B299" s="781"/>
      <c r="C299" s="781"/>
      <c r="D299" s="780"/>
      <c r="E299" s="809"/>
      <c r="F299" s="809"/>
      <c r="G299" s="809"/>
      <c r="H299" s="809"/>
      <c r="I299" s="809"/>
      <c r="J299" s="809"/>
      <c r="K299" s="809"/>
      <c r="L299" s="809"/>
      <c r="M299" s="809"/>
      <c r="N299" s="744"/>
      <c r="O299" s="744"/>
      <c r="P299" s="744"/>
      <c r="Q299" s="744"/>
      <c r="R299" s="744"/>
      <c r="S299" s="744"/>
      <c r="T299" s="811"/>
    </row>
    <row r="300" spans="1:22" s="387" customFormat="1" ht="10.5" customHeight="1" x14ac:dyDescent="0.45">
      <c r="A300" s="781" t="s">
        <v>1118</v>
      </c>
      <c r="B300" s="694"/>
      <c r="C300" s="781"/>
      <c r="D300" s="780"/>
      <c r="E300" s="809"/>
      <c r="F300" s="809"/>
      <c r="G300" s="809"/>
      <c r="H300" s="809"/>
      <c r="I300" s="809"/>
      <c r="J300" s="809"/>
      <c r="K300" s="809"/>
      <c r="L300" s="809"/>
      <c r="M300" s="809"/>
      <c r="N300" s="744"/>
      <c r="O300" s="744"/>
      <c r="P300" s="744"/>
      <c r="Q300" s="744"/>
      <c r="R300" s="744"/>
      <c r="S300" s="744"/>
      <c r="T300" s="811"/>
    </row>
    <row r="301" spans="1:22" s="387" customFormat="1" ht="10.5" customHeight="1" x14ac:dyDescent="0.45">
      <c r="A301" s="781" t="s">
        <v>1119</v>
      </c>
      <c r="B301" s="687"/>
      <c r="C301" s="781"/>
      <c r="D301" s="780"/>
      <c r="E301" s="809"/>
      <c r="F301" s="809"/>
      <c r="G301" s="809"/>
      <c r="H301" s="809"/>
      <c r="I301" s="809"/>
      <c r="J301" s="809"/>
      <c r="K301" s="809"/>
      <c r="L301" s="809"/>
      <c r="M301" s="809"/>
      <c r="N301" s="744"/>
      <c r="O301" s="744"/>
      <c r="P301" s="744"/>
      <c r="Q301" s="744"/>
      <c r="R301" s="744"/>
      <c r="S301" s="744"/>
      <c r="T301" s="744"/>
      <c r="U301" s="744"/>
      <c r="V301" s="744"/>
    </row>
    <row r="302" spans="1:22" s="387" customFormat="1" ht="12" customHeight="1" x14ac:dyDescent="0.4">
      <c r="A302" s="781" t="s">
        <v>1120</v>
      </c>
      <c r="B302" s="428"/>
      <c r="C302" s="428"/>
    </row>
    <row r="303" spans="1:22" s="387" customFormat="1" ht="10.5" customHeight="1" x14ac:dyDescent="0.4">
      <c r="A303" s="781" t="s">
        <v>1121</v>
      </c>
      <c r="B303" s="428"/>
      <c r="C303" s="428"/>
    </row>
  </sheetData>
  <mergeCells count="18">
    <mergeCell ref="B149:C149"/>
    <mergeCell ref="E149:F149"/>
    <mergeCell ref="A4:V4"/>
    <mergeCell ref="B5:C5"/>
    <mergeCell ref="I5:J5"/>
    <mergeCell ref="L5:S5"/>
    <mergeCell ref="C111:N111"/>
    <mergeCell ref="B261:C261"/>
    <mergeCell ref="E261:F261"/>
    <mergeCell ref="H261:L261"/>
    <mergeCell ref="B150:C150"/>
    <mergeCell ref="A186:V186"/>
    <mergeCell ref="B187:C187"/>
    <mergeCell ref="I187:J187"/>
    <mergeCell ref="L187:S187"/>
    <mergeCell ref="B224:C224"/>
    <mergeCell ref="H224:I224"/>
    <mergeCell ref="K224:Q22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329"/>
  <sheetViews>
    <sheetView workbookViewId="0">
      <pane xSplit="1" ySplit="8" topLeftCell="B314" activePane="bottomRight" state="frozen"/>
      <selection pane="topRight" activeCell="B1" sqref="B1"/>
      <selection pane="bottomLeft" activeCell="A8" sqref="A8"/>
      <selection pane="bottomRight" activeCell="A2" sqref="A2"/>
    </sheetView>
  </sheetViews>
  <sheetFormatPr defaultRowHeight="14.25" x14ac:dyDescent="0.45"/>
  <sheetData>
    <row r="1" spans="1:22" ht="17.649999999999999" x14ac:dyDescent="0.5">
      <c r="A1" s="1095" t="s">
        <v>2508</v>
      </c>
    </row>
    <row r="2" spans="1:22" ht="15.4" x14ac:dyDescent="0.45">
      <c r="B2" s="428" t="s">
        <v>2289</v>
      </c>
    </row>
    <row r="3" spans="1:22" ht="14.65" thickBot="1" x14ac:dyDescent="0.5">
      <c r="A3" s="1464" t="s">
        <v>1040</v>
      </c>
      <c r="B3" s="1464"/>
      <c r="C3" s="1464"/>
      <c r="D3" s="1464"/>
      <c r="E3" s="1464"/>
      <c r="F3" s="1464"/>
      <c r="G3" s="1464"/>
      <c r="H3" s="1464"/>
      <c r="I3" s="1464"/>
      <c r="J3" s="1464"/>
      <c r="K3" s="1464"/>
      <c r="L3" s="1464"/>
      <c r="M3" s="1464"/>
      <c r="N3" s="1464"/>
      <c r="O3" s="1464"/>
      <c r="P3" s="1464"/>
      <c r="Q3" s="1464"/>
      <c r="R3" s="1464"/>
      <c r="S3" s="1464"/>
      <c r="T3" s="1464"/>
      <c r="U3" s="1464"/>
      <c r="V3" s="1464"/>
    </row>
    <row r="4" spans="1:22" ht="14.65" thickTop="1" x14ac:dyDescent="0.45">
      <c r="A4" s="671"/>
      <c r="B4" s="645" t="s">
        <v>1073</v>
      </c>
      <c r="C4" s="1468" t="s">
        <v>1044</v>
      </c>
      <c r="D4" s="1468"/>
      <c r="E4" s="1468"/>
      <c r="F4" s="1468"/>
      <c r="G4" s="1468"/>
      <c r="H4" s="1468"/>
      <c r="I4" s="1468"/>
      <c r="J4" s="1468"/>
      <c r="K4" s="1468"/>
      <c r="L4" s="1468"/>
      <c r="M4" s="1468"/>
      <c r="N4" s="1468"/>
      <c r="O4" s="645" t="s">
        <v>1074</v>
      </c>
      <c r="P4" s="645" t="s">
        <v>1075</v>
      </c>
      <c r="Q4" s="636" t="s">
        <v>211</v>
      </c>
      <c r="R4" s="645" t="s">
        <v>1076</v>
      </c>
      <c r="S4" s="672"/>
    </row>
    <row r="5" spans="1:22" x14ac:dyDescent="0.45">
      <c r="A5" s="673"/>
      <c r="B5" s="640" t="s">
        <v>1077</v>
      </c>
      <c r="C5" s="637" t="s">
        <v>1052</v>
      </c>
      <c r="D5" s="637"/>
      <c r="E5" s="637"/>
      <c r="F5" s="637" t="s">
        <v>1053</v>
      </c>
      <c r="G5" s="637"/>
      <c r="H5" s="637" t="s">
        <v>1078</v>
      </c>
      <c r="I5" s="637" t="s">
        <v>1078</v>
      </c>
      <c r="J5" s="640" t="s">
        <v>1055</v>
      </c>
      <c r="K5" s="640" t="s">
        <v>1056</v>
      </c>
      <c r="L5" s="640" t="s">
        <v>1057</v>
      </c>
      <c r="M5" s="641" t="s">
        <v>1054</v>
      </c>
      <c r="N5" s="636" t="s">
        <v>1059</v>
      </c>
      <c r="O5" s="637" t="s">
        <v>1079</v>
      </c>
      <c r="P5" s="637" t="s">
        <v>1080</v>
      </c>
      <c r="Q5" s="636"/>
      <c r="R5" s="674" t="s">
        <v>38</v>
      </c>
      <c r="S5" s="675"/>
    </row>
    <row r="6" spans="1:22" ht="15.4" x14ac:dyDescent="0.45">
      <c r="A6" s="257"/>
      <c r="B6" s="640" t="s">
        <v>1081</v>
      </c>
      <c r="C6" s="640" t="s">
        <v>1063</v>
      </c>
      <c r="D6" s="640"/>
      <c r="E6" s="640"/>
      <c r="F6" s="640" t="s">
        <v>1064</v>
      </c>
      <c r="G6" s="640"/>
      <c r="H6" s="640" t="s">
        <v>1082</v>
      </c>
      <c r="I6" s="640" t="s">
        <v>1082</v>
      </c>
      <c r="J6" s="640" t="s">
        <v>1066</v>
      </c>
      <c r="K6" s="640" t="s">
        <v>1066</v>
      </c>
      <c r="L6" s="640" t="s">
        <v>1067</v>
      </c>
      <c r="M6" s="641" t="s">
        <v>1065</v>
      </c>
      <c r="N6" s="640" t="s">
        <v>1069</v>
      </c>
      <c r="O6" s="637" t="s">
        <v>1083</v>
      </c>
      <c r="P6" s="674" t="s">
        <v>37</v>
      </c>
      <c r="Q6" s="428"/>
      <c r="R6" s="428"/>
      <c r="S6" s="257"/>
    </row>
    <row r="7" spans="1:22" ht="15.4" x14ac:dyDescent="0.45">
      <c r="A7" s="257"/>
      <c r="B7" s="674"/>
      <c r="C7" s="645"/>
      <c r="D7" s="645"/>
      <c r="E7" s="645"/>
      <c r="F7" s="645" t="s">
        <v>1070</v>
      </c>
      <c r="G7" s="645"/>
      <c r="H7" s="645" t="s">
        <v>1084</v>
      </c>
      <c r="I7" s="645" t="s">
        <v>1084</v>
      </c>
      <c r="J7" s="677" t="s">
        <v>34</v>
      </c>
      <c r="K7" s="677" t="s">
        <v>35</v>
      </c>
      <c r="L7" s="674" t="s">
        <v>36</v>
      </c>
      <c r="M7" s="646" t="s">
        <v>1071</v>
      </c>
      <c r="N7" s="640"/>
      <c r="O7" s="674"/>
      <c r="P7" s="674"/>
      <c r="Q7" s="428"/>
      <c r="R7" s="428"/>
      <c r="S7" s="257"/>
    </row>
    <row r="8" spans="1:22" ht="15.4" x14ac:dyDescent="0.45">
      <c r="A8" s="257"/>
      <c r="B8" s="674"/>
      <c r="C8" s="428"/>
      <c r="D8" s="428"/>
      <c r="E8" s="428"/>
      <c r="F8" s="674"/>
      <c r="G8" s="674"/>
      <c r="H8" s="645" t="s">
        <v>1085</v>
      </c>
      <c r="I8" s="645" t="s">
        <v>1086</v>
      </c>
      <c r="J8" s="678"/>
      <c r="K8" s="257"/>
      <c r="L8" s="257"/>
      <c r="M8" s="645"/>
      <c r="N8" s="640"/>
      <c r="O8" s="428"/>
      <c r="P8" s="428"/>
      <c r="Q8" s="428"/>
      <c r="R8" s="428"/>
      <c r="S8" s="257"/>
    </row>
    <row r="9" spans="1:22" x14ac:dyDescent="0.45">
      <c r="A9" s="680" t="s">
        <v>1087</v>
      </c>
      <c r="B9" s="681"/>
      <c r="C9" s="681"/>
      <c r="D9" s="681"/>
      <c r="E9" s="681"/>
      <c r="F9" s="681"/>
      <c r="G9" s="681"/>
      <c r="H9" s="681"/>
      <c r="I9" s="681"/>
      <c r="J9" s="682"/>
      <c r="K9" s="654"/>
      <c r="L9" s="654"/>
      <c r="M9" s="681"/>
      <c r="N9" s="681"/>
      <c r="O9" s="681"/>
      <c r="P9" s="682"/>
      <c r="Q9" s="682"/>
      <c r="R9" s="682"/>
      <c r="S9" s="654"/>
    </row>
    <row r="10" spans="1:22" x14ac:dyDescent="0.45">
      <c r="A10" s="655">
        <v>1700</v>
      </c>
      <c r="B10" s="682"/>
      <c r="C10" s="682"/>
      <c r="D10" s="682"/>
      <c r="E10" s="682"/>
      <c r="F10" s="682"/>
      <c r="G10" s="682"/>
      <c r="H10" s="946">
        <v>517.54970457282138</v>
      </c>
      <c r="I10" s="946">
        <v>68.281010729295218</v>
      </c>
      <c r="J10" s="682"/>
      <c r="K10" s="654"/>
      <c r="L10" s="654"/>
      <c r="M10" s="682"/>
      <c r="N10" s="683">
        <f t="shared" ref="N10:N73" si="0">SUM(H10:M10)</f>
        <v>585.83071530211657</v>
      </c>
      <c r="O10" s="682"/>
      <c r="P10" s="682"/>
      <c r="Q10" s="683">
        <f t="shared" ref="Q10:Q73" si="1">B10+N10+O10+P10</f>
        <v>585.83071530211657</v>
      </c>
      <c r="R10" s="682"/>
      <c r="S10" s="654"/>
    </row>
    <row r="11" spans="1:22" x14ac:dyDescent="0.45">
      <c r="A11" s="655">
        <v>1701</v>
      </c>
      <c r="B11" s="682"/>
      <c r="C11" s="682"/>
      <c r="D11" s="682"/>
      <c r="E11" s="682"/>
      <c r="F11" s="682"/>
      <c r="G11" s="682"/>
      <c r="H11" s="946">
        <v>517.83299425150642</v>
      </c>
      <c r="I11" s="946">
        <v>66.955974513989801</v>
      </c>
      <c r="J11" s="682"/>
      <c r="K11" s="654"/>
      <c r="L11" s="654"/>
      <c r="M11" s="682"/>
      <c r="N11" s="683">
        <f t="shared" si="0"/>
        <v>584.78896876549618</v>
      </c>
      <c r="O11" s="682"/>
      <c r="P11" s="682"/>
      <c r="Q11" s="683">
        <f t="shared" si="1"/>
        <v>584.78896876549618</v>
      </c>
      <c r="R11" s="682"/>
      <c r="S11" s="654"/>
    </row>
    <row r="12" spans="1:22" x14ac:dyDescent="0.45">
      <c r="A12" s="655">
        <v>1702</v>
      </c>
      <c r="B12" s="682"/>
      <c r="C12" s="682"/>
      <c r="D12" s="682"/>
      <c r="E12" s="682"/>
      <c r="F12" s="682"/>
      <c r="G12" s="682"/>
      <c r="H12" s="946">
        <v>518.03461575801884</v>
      </c>
      <c r="I12" s="946">
        <v>66.669276044263725</v>
      </c>
      <c r="J12" s="682"/>
      <c r="K12" s="654"/>
      <c r="L12" s="654"/>
      <c r="M12" s="682"/>
      <c r="N12" s="683">
        <f t="shared" si="0"/>
        <v>584.70389180228256</v>
      </c>
      <c r="O12" s="682"/>
      <c r="P12" s="682"/>
      <c r="Q12" s="683">
        <f t="shared" si="1"/>
        <v>584.70389180228256</v>
      </c>
      <c r="R12" s="682"/>
      <c r="S12" s="654"/>
    </row>
    <row r="13" spans="1:22" x14ac:dyDescent="0.45">
      <c r="A13" s="655">
        <v>1703</v>
      </c>
      <c r="B13" s="682"/>
      <c r="C13" s="682"/>
      <c r="D13" s="682"/>
      <c r="E13" s="682"/>
      <c r="F13" s="682"/>
      <c r="G13" s="682"/>
      <c r="H13" s="946">
        <v>518.15554600045505</v>
      </c>
      <c r="I13" s="946">
        <v>66.07075135237092</v>
      </c>
      <c r="J13" s="682"/>
      <c r="K13" s="654"/>
      <c r="L13" s="654"/>
      <c r="M13" s="682"/>
      <c r="N13" s="683">
        <f t="shared" si="0"/>
        <v>584.22629735282601</v>
      </c>
      <c r="O13" s="682"/>
      <c r="P13" s="682"/>
      <c r="Q13" s="683">
        <f t="shared" si="1"/>
        <v>584.22629735282601</v>
      </c>
      <c r="R13" s="682"/>
      <c r="S13" s="654"/>
    </row>
    <row r="14" spans="1:22" x14ac:dyDescent="0.45">
      <c r="A14" s="655">
        <v>1704</v>
      </c>
      <c r="B14" s="682"/>
      <c r="C14" s="682"/>
      <c r="D14" s="682"/>
      <c r="E14" s="682"/>
      <c r="F14" s="682"/>
      <c r="G14" s="682"/>
      <c r="H14" s="946">
        <v>518.19674636786237</v>
      </c>
      <c r="I14" s="946">
        <v>65.944369641743918</v>
      </c>
      <c r="J14" s="682"/>
      <c r="K14" s="654"/>
      <c r="L14" s="654"/>
      <c r="M14" s="682"/>
      <c r="N14" s="683">
        <f t="shared" si="0"/>
        <v>584.14111600960632</v>
      </c>
      <c r="O14" s="682"/>
      <c r="P14" s="682"/>
      <c r="Q14" s="683">
        <f t="shared" si="1"/>
        <v>584.14111600960632</v>
      </c>
      <c r="R14" s="682"/>
      <c r="S14" s="654"/>
    </row>
    <row r="15" spans="1:22" x14ac:dyDescent="0.45">
      <c r="A15" s="655">
        <v>1705</v>
      </c>
      <c r="B15" s="682"/>
      <c r="C15" s="682"/>
      <c r="D15" s="682"/>
      <c r="E15" s="682"/>
      <c r="F15" s="682"/>
      <c r="G15" s="682"/>
      <c r="H15" s="946">
        <v>518.1591630371878</v>
      </c>
      <c r="I15" s="946">
        <v>64.937671705941838</v>
      </c>
      <c r="J15" s="682"/>
      <c r="K15" s="654"/>
      <c r="L15" s="654"/>
      <c r="M15" s="682"/>
      <c r="N15" s="683">
        <f t="shared" si="0"/>
        <v>583.09683474312965</v>
      </c>
      <c r="O15" s="682"/>
      <c r="P15" s="682"/>
      <c r="Q15" s="683">
        <f t="shared" si="1"/>
        <v>583.09683474312965</v>
      </c>
      <c r="R15" s="682"/>
      <c r="S15" s="654"/>
    </row>
    <row r="16" spans="1:22" x14ac:dyDescent="0.45">
      <c r="A16" s="655">
        <v>1706</v>
      </c>
      <c r="B16" s="682"/>
      <c r="C16" s="682"/>
      <c r="D16" s="682"/>
      <c r="E16" s="682"/>
      <c r="F16" s="682"/>
      <c r="G16" s="682"/>
      <c r="H16" s="946">
        <v>518.04372727296925</v>
      </c>
      <c r="I16" s="946">
        <v>64.616158494564914</v>
      </c>
      <c r="J16" s="682"/>
      <c r="K16" s="654"/>
      <c r="L16" s="654"/>
      <c r="M16" s="682"/>
      <c r="N16" s="683">
        <f t="shared" si="0"/>
        <v>582.65988576753421</v>
      </c>
      <c r="O16" s="682"/>
      <c r="P16" s="682"/>
      <c r="Q16" s="683">
        <f t="shared" si="1"/>
        <v>582.65988576753421</v>
      </c>
      <c r="R16" s="682"/>
      <c r="S16" s="654"/>
    </row>
    <row r="17" spans="1:19" x14ac:dyDescent="0.45">
      <c r="A17" s="655">
        <v>1707</v>
      </c>
      <c r="B17" s="682"/>
      <c r="C17" s="682"/>
      <c r="D17" s="682"/>
      <c r="E17" s="682"/>
      <c r="F17" s="682"/>
      <c r="G17" s="682"/>
      <c r="H17" s="946">
        <v>517.85135571996989</v>
      </c>
      <c r="I17" s="946">
        <v>63.93268395232046</v>
      </c>
      <c r="J17" s="682"/>
      <c r="K17" s="654"/>
      <c r="L17" s="654"/>
      <c r="M17" s="682"/>
      <c r="N17" s="683">
        <f t="shared" si="0"/>
        <v>581.78403967229031</v>
      </c>
      <c r="O17" s="682"/>
      <c r="P17" s="682"/>
      <c r="Q17" s="683">
        <f t="shared" si="1"/>
        <v>581.78403967229031</v>
      </c>
      <c r="R17" s="682"/>
      <c r="S17" s="654"/>
    </row>
    <row r="18" spans="1:19" x14ac:dyDescent="0.45">
      <c r="A18" s="655">
        <v>1708</v>
      </c>
      <c r="B18" s="682"/>
      <c r="C18" s="682"/>
      <c r="D18" s="682"/>
      <c r="E18" s="682"/>
      <c r="F18" s="682"/>
      <c r="G18" s="682"/>
      <c r="H18" s="946">
        <v>517.58295068894972</v>
      </c>
      <c r="I18" s="946">
        <v>62.917678192772051</v>
      </c>
      <c r="J18" s="682"/>
      <c r="K18" s="654"/>
      <c r="L18" s="654"/>
      <c r="M18" s="682"/>
      <c r="N18" s="683">
        <f t="shared" si="0"/>
        <v>580.50062888172181</v>
      </c>
      <c r="O18" s="682"/>
      <c r="P18" s="682"/>
      <c r="Q18" s="683">
        <f t="shared" si="1"/>
        <v>580.50062888172181</v>
      </c>
      <c r="R18" s="682"/>
      <c r="S18" s="654"/>
    </row>
    <row r="19" spans="1:19" x14ac:dyDescent="0.45">
      <c r="A19" s="655">
        <v>1709</v>
      </c>
      <c r="B19" s="682"/>
      <c r="C19" s="682"/>
      <c r="D19" s="682"/>
      <c r="E19" s="682"/>
      <c r="F19" s="682"/>
      <c r="G19" s="682"/>
      <c r="H19" s="946">
        <v>517.2394004357576</v>
      </c>
      <c r="I19" s="946">
        <v>62.245041626899287</v>
      </c>
      <c r="J19" s="682"/>
      <c r="K19" s="654"/>
      <c r="L19" s="654"/>
      <c r="M19" s="682"/>
      <c r="N19" s="683">
        <f t="shared" si="0"/>
        <v>579.48444206265685</v>
      </c>
      <c r="O19" s="682"/>
      <c r="P19" s="682"/>
      <c r="Q19" s="683">
        <f t="shared" si="1"/>
        <v>579.48444206265685</v>
      </c>
      <c r="R19" s="682"/>
      <c r="S19" s="654"/>
    </row>
    <row r="20" spans="1:19" x14ac:dyDescent="0.45">
      <c r="A20" s="655">
        <v>1710</v>
      </c>
      <c r="B20" s="682"/>
      <c r="C20" s="682"/>
      <c r="D20" s="682"/>
      <c r="E20" s="682"/>
      <c r="F20" s="682"/>
      <c r="G20" s="682"/>
      <c r="H20" s="946">
        <v>516.82157943392883</v>
      </c>
      <c r="I20" s="946">
        <v>62.312159128871258</v>
      </c>
      <c r="J20" s="682"/>
      <c r="K20" s="654"/>
      <c r="L20" s="654"/>
      <c r="M20" s="682"/>
      <c r="N20" s="683">
        <f t="shared" si="0"/>
        <v>579.13373856280009</v>
      </c>
      <c r="O20" s="682"/>
      <c r="P20" s="682"/>
      <c r="Q20" s="683">
        <f t="shared" si="1"/>
        <v>579.13373856280009</v>
      </c>
      <c r="R20" s="682"/>
      <c r="S20" s="654"/>
    </row>
    <row r="21" spans="1:19" x14ac:dyDescent="0.45">
      <c r="A21" s="655">
        <v>1711</v>
      </c>
      <c r="B21" s="682"/>
      <c r="C21" s="682"/>
      <c r="D21" s="682"/>
      <c r="E21" s="682"/>
      <c r="F21" s="682"/>
      <c r="G21" s="682"/>
      <c r="H21" s="946">
        <v>516.33034864096385</v>
      </c>
      <c r="I21" s="946">
        <v>62.695006973530724</v>
      </c>
      <c r="J21" s="682"/>
      <c r="K21" s="654"/>
      <c r="L21" s="654"/>
      <c r="M21" s="682"/>
      <c r="N21" s="683">
        <f t="shared" si="0"/>
        <v>579.02535561449463</v>
      </c>
      <c r="O21" s="682"/>
      <c r="P21" s="682"/>
      <c r="Q21" s="683">
        <f t="shared" si="1"/>
        <v>579.02535561449463</v>
      </c>
      <c r="R21" s="682"/>
      <c r="S21" s="654"/>
    </row>
    <row r="22" spans="1:19" x14ac:dyDescent="0.45">
      <c r="A22" s="655">
        <v>1712</v>
      </c>
      <c r="B22" s="682"/>
      <c r="C22" s="682"/>
      <c r="D22" s="682"/>
      <c r="E22" s="682"/>
      <c r="F22" s="682"/>
      <c r="G22" s="682"/>
      <c r="H22" s="946">
        <v>515.76655575845598</v>
      </c>
      <c r="I22" s="946">
        <v>62.7769995783936</v>
      </c>
      <c r="J22" s="682"/>
      <c r="K22" s="654"/>
      <c r="L22" s="654"/>
      <c r="M22" s="682"/>
      <c r="N22" s="683">
        <f t="shared" si="0"/>
        <v>578.54355533684952</v>
      </c>
      <c r="O22" s="682"/>
      <c r="P22" s="682"/>
      <c r="Q22" s="683">
        <f t="shared" si="1"/>
        <v>578.54355533684952</v>
      </c>
      <c r="R22" s="682"/>
      <c r="S22" s="654"/>
    </row>
    <row r="23" spans="1:19" x14ac:dyDescent="0.45">
      <c r="A23" s="655">
        <v>1713</v>
      </c>
      <c r="B23" s="682"/>
      <c r="C23" s="682"/>
      <c r="D23" s="682"/>
      <c r="E23" s="682"/>
      <c r="F23" s="682"/>
      <c r="G23" s="682"/>
      <c r="H23" s="946">
        <v>515.13103548623405</v>
      </c>
      <c r="I23" s="946">
        <v>62.471067099102399</v>
      </c>
      <c r="J23" s="682"/>
      <c r="K23" s="654"/>
      <c r="L23" s="654"/>
      <c r="M23" s="682"/>
      <c r="N23" s="683">
        <f t="shared" si="0"/>
        <v>577.60210258533641</v>
      </c>
      <c r="O23" s="682"/>
      <c r="P23" s="682"/>
      <c r="Q23" s="683">
        <f t="shared" si="1"/>
        <v>577.60210258533641</v>
      </c>
      <c r="R23" s="682"/>
      <c r="S23" s="654"/>
    </row>
    <row r="24" spans="1:19" x14ac:dyDescent="0.45">
      <c r="A24" s="655">
        <v>1714</v>
      </c>
      <c r="B24" s="682"/>
      <c r="C24" s="682"/>
      <c r="D24" s="682"/>
      <c r="E24" s="682"/>
      <c r="F24" s="682"/>
      <c r="G24" s="682"/>
      <c r="H24" s="946">
        <v>514.42460977068117</v>
      </c>
      <c r="I24" s="946">
        <v>62.671683096877125</v>
      </c>
      <c r="J24" s="682"/>
      <c r="K24" s="654"/>
      <c r="L24" s="654"/>
      <c r="M24" s="682"/>
      <c r="N24" s="683">
        <f t="shared" si="0"/>
        <v>577.0962928675583</v>
      </c>
      <c r="O24" s="682"/>
      <c r="P24" s="682"/>
      <c r="Q24" s="683">
        <f t="shared" si="1"/>
        <v>577.0962928675583</v>
      </c>
      <c r="R24" s="682"/>
      <c r="S24" s="654"/>
    </row>
    <row r="25" spans="1:19" x14ac:dyDescent="0.45">
      <c r="A25" s="655">
        <v>1715</v>
      </c>
      <c r="B25" s="682"/>
      <c r="C25" s="682"/>
      <c r="D25" s="682"/>
      <c r="E25" s="682"/>
      <c r="F25" s="682"/>
      <c r="G25" s="682"/>
      <c r="H25" s="946">
        <v>513.64808804738539</v>
      </c>
      <c r="I25" s="946">
        <v>62.648125563317485</v>
      </c>
      <c r="J25" s="682"/>
      <c r="K25" s="654"/>
      <c r="L25" s="654"/>
      <c r="M25" s="682"/>
      <c r="N25" s="683">
        <f t="shared" si="0"/>
        <v>576.29621361070292</v>
      </c>
      <c r="O25" s="682"/>
      <c r="P25" s="682"/>
      <c r="Q25" s="683">
        <f t="shared" si="1"/>
        <v>576.29621361070292</v>
      </c>
      <c r="R25" s="682"/>
      <c r="S25" s="654"/>
    </row>
    <row r="26" spans="1:19" x14ac:dyDescent="0.45">
      <c r="A26" s="655">
        <v>1716</v>
      </c>
      <c r="B26" s="682"/>
      <c r="C26" s="682"/>
      <c r="D26" s="682"/>
      <c r="E26" s="682"/>
      <c r="F26" s="682"/>
      <c r="G26" s="682"/>
      <c r="H26" s="946">
        <v>512.80226747826862</v>
      </c>
      <c r="I26" s="946">
        <v>64.17518284447813</v>
      </c>
      <c r="J26" s="682"/>
      <c r="K26" s="654"/>
      <c r="L26" s="654"/>
      <c r="M26" s="682"/>
      <c r="N26" s="683">
        <f t="shared" si="0"/>
        <v>576.97745032274679</v>
      </c>
      <c r="O26" s="682"/>
      <c r="P26" s="682"/>
      <c r="Q26" s="683">
        <f t="shared" si="1"/>
        <v>576.97745032274679</v>
      </c>
      <c r="R26" s="682"/>
      <c r="S26" s="654"/>
    </row>
    <row r="27" spans="1:19" x14ac:dyDescent="0.45">
      <c r="A27" s="655">
        <v>1717</v>
      </c>
      <c r="B27" s="682"/>
      <c r="C27" s="682"/>
      <c r="D27" s="682"/>
      <c r="E27" s="682"/>
      <c r="F27" s="682"/>
      <c r="G27" s="682"/>
      <c r="H27" s="946">
        <v>511.8879331833437</v>
      </c>
      <c r="I27" s="946">
        <v>65.571692306065742</v>
      </c>
      <c r="J27" s="682"/>
      <c r="K27" s="654"/>
      <c r="L27" s="654"/>
      <c r="M27" s="682"/>
      <c r="N27" s="683">
        <f t="shared" si="0"/>
        <v>577.4596254894094</v>
      </c>
      <c r="O27" s="682"/>
      <c r="P27" s="682"/>
      <c r="Q27" s="683">
        <f t="shared" si="1"/>
        <v>577.4596254894094</v>
      </c>
      <c r="R27" s="682"/>
      <c r="S27" s="654"/>
    </row>
    <row r="28" spans="1:19" x14ac:dyDescent="0.45">
      <c r="A28" s="655">
        <v>1718</v>
      </c>
      <c r="B28" s="682"/>
      <c r="C28" s="682"/>
      <c r="D28" s="682"/>
      <c r="E28" s="682"/>
      <c r="F28" s="682"/>
      <c r="G28" s="682"/>
      <c r="H28" s="946">
        <v>510.90585846724082</v>
      </c>
      <c r="I28" s="946">
        <v>67.938447214149377</v>
      </c>
      <c r="J28" s="682"/>
      <c r="K28" s="654"/>
      <c r="L28" s="654"/>
      <c r="M28" s="682"/>
      <c r="N28" s="683">
        <f t="shared" si="0"/>
        <v>578.84430568139021</v>
      </c>
      <c r="O28" s="682"/>
      <c r="P28" s="682"/>
      <c r="Q28" s="683">
        <f t="shared" si="1"/>
        <v>578.84430568139021</v>
      </c>
      <c r="R28" s="682"/>
      <c r="S28" s="654"/>
    </row>
    <row r="29" spans="1:19" x14ac:dyDescent="0.45">
      <c r="A29" s="655">
        <v>1719</v>
      </c>
      <c r="B29" s="682"/>
      <c r="C29" s="682"/>
      <c r="D29" s="682"/>
      <c r="E29" s="682"/>
      <c r="F29" s="682"/>
      <c r="G29" s="682"/>
      <c r="H29" s="946">
        <v>509.85680504063799</v>
      </c>
      <c r="I29" s="946">
        <v>67.80601294329432</v>
      </c>
      <c r="J29" s="682"/>
      <c r="K29" s="654"/>
      <c r="L29" s="654"/>
      <c r="M29" s="682"/>
      <c r="N29" s="683">
        <f t="shared" si="0"/>
        <v>577.66281798393231</v>
      </c>
      <c r="O29" s="682"/>
      <c r="P29" s="682"/>
      <c r="Q29" s="683">
        <f t="shared" si="1"/>
        <v>577.66281798393231</v>
      </c>
      <c r="R29" s="682"/>
      <c r="S29" s="654"/>
    </row>
    <row r="30" spans="1:19" x14ac:dyDescent="0.45">
      <c r="A30" s="655">
        <v>1720</v>
      </c>
      <c r="B30" s="682"/>
      <c r="C30" s="682"/>
      <c r="D30" s="682"/>
      <c r="E30" s="682"/>
      <c r="F30" s="682"/>
      <c r="G30" s="682"/>
      <c r="H30" s="946">
        <v>508.74152323673104</v>
      </c>
      <c r="I30" s="946">
        <v>69.207274427976174</v>
      </c>
      <c r="J30" s="682"/>
      <c r="K30" s="654"/>
      <c r="L30" s="654"/>
      <c r="M30" s="682"/>
      <c r="N30" s="683">
        <f t="shared" si="0"/>
        <v>577.94879766470717</v>
      </c>
      <c r="O30" s="682"/>
      <c r="P30" s="682"/>
      <c r="Q30" s="683">
        <f t="shared" si="1"/>
        <v>577.94879766470717</v>
      </c>
      <c r="R30" s="682"/>
      <c r="S30" s="654"/>
    </row>
    <row r="31" spans="1:19" x14ac:dyDescent="0.45">
      <c r="A31" s="655">
        <v>1721</v>
      </c>
      <c r="B31" s="682"/>
      <c r="C31" s="682"/>
      <c r="D31" s="682"/>
      <c r="E31" s="682"/>
      <c r="F31" s="682"/>
      <c r="G31" s="682"/>
      <c r="H31" s="946">
        <v>507.56075222287211</v>
      </c>
      <c r="I31" s="946">
        <v>67.627640257598898</v>
      </c>
      <c r="J31" s="682"/>
      <c r="K31" s="654"/>
      <c r="L31" s="654"/>
      <c r="M31" s="682"/>
      <c r="N31" s="683">
        <f t="shared" si="0"/>
        <v>575.18839248047107</v>
      </c>
      <c r="O31" s="682"/>
      <c r="P31" s="682"/>
      <c r="Q31" s="683">
        <f t="shared" si="1"/>
        <v>575.18839248047107</v>
      </c>
      <c r="R31" s="682"/>
      <c r="S31" s="654"/>
    </row>
    <row r="32" spans="1:19" x14ac:dyDescent="0.45">
      <c r="A32" s="655">
        <v>1722</v>
      </c>
      <c r="B32" s="682"/>
      <c r="C32" s="682"/>
      <c r="D32" s="682"/>
      <c r="E32" s="682"/>
      <c r="F32" s="682"/>
      <c r="G32" s="682"/>
      <c r="H32" s="946">
        <v>506.31522020749986</v>
      </c>
      <c r="I32" s="946">
        <v>66.263532688236282</v>
      </c>
      <c r="J32" s="682"/>
      <c r="K32" s="654"/>
      <c r="L32" s="654"/>
      <c r="M32" s="682"/>
      <c r="N32" s="683">
        <f t="shared" si="0"/>
        <v>572.5787528957361</v>
      </c>
      <c r="O32" s="682"/>
      <c r="P32" s="682"/>
      <c r="Q32" s="683">
        <f t="shared" si="1"/>
        <v>572.5787528957361</v>
      </c>
      <c r="R32" s="682"/>
      <c r="S32" s="654"/>
    </row>
    <row r="33" spans="1:19" x14ac:dyDescent="0.45">
      <c r="A33" s="655">
        <v>1723</v>
      </c>
      <c r="B33" s="682"/>
      <c r="C33" s="682"/>
      <c r="D33" s="682"/>
      <c r="E33" s="682"/>
      <c r="F33" s="682"/>
      <c r="G33" s="682"/>
      <c r="H33" s="946">
        <v>505.00564464248743</v>
      </c>
      <c r="I33" s="946">
        <v>66.166408645763781</v>
      </c>
      <c r="J33" s="682"/>
      <c r="K33" s="654"/>
      <c r="L33" s="654"/>
      <c r="M33" s="682"/>
      <c r="N33" s="683">
        <f t="shared" si="0"/>
        <v>571.17205328825116</v>
      </c>
      <c r="O33" s="682"/>
      <c r="P33" s="682"/>
      <c r="Q33" s="683">
        <f t="shared" si="1"/>
        <v>571.17205328825116</v>
      </c>
      <c r="R33" s="682"/>
      <c r="S33" s="654"/>
    </row>
    <row r="34" spans="1:19" x14ac:dyDescent="0.45">
      <c r="A34" s="655">
        <v>1724</v>
      </c>
      <c r="B34" s="682"/>
      <c r="C34" s="682"/>
      <c r="D34" s="682"/>
      <c r="E34" s="682"/>
      <c r="F34" s="682"/>
      <c r="G34" s="682"/>
      <c r="H34" s="946">
        <v>503.63273242102036</v>
      </c>
      <c r="I34" s="946">
        <v>65.931932424770338</v>
      </c>
      <c r="J34" s="682"/>
      <c r="K34" s="654"/>
      <c r="L34" s="654"/>
      <c r="M34" s="682"/>
      <c r="N34" s="683">
        <f t="shared" si="0"/>
        <v>569.56466484579073</v>
      </c>
      <c r="O34" s="682"/>
      <c r="P34" s="682"/>
      <c r="Q34" s="683">
        <f t="shared" si="1"/>
        <v>569.56466484579073</v>
      </c>
      <c r="R34" s="682"/>
      <c r="S34" s="654"/>
    </row>
    <row r="35" spans="1:19" x14ac:dyDescent="0.45">
      <c r="A35" s="655">
        <v>1725</v>
      </c>
      <c r="B35" s="682"/>
      <c r="C35" s="682"/>
      <c r="D35" s="682"/>
      <c r="E35" s="682"/>
      <c r="F35" s="682"/>
      <c r="G35" s="682"/>
      <c r="H35" s="946">
        <v>502.1971800711251</v>
      </c>
      <c r="I35" s="946">
        <v>66.086937610238351</v>
      </c>
      <c r="J35" s="682"/>
      <c r="K35" s="654"/>
      <c r="L35" s="654"/>
      <c r="M35" s="682"/>
      <c r="N35" s="683">
        <f t="shared" si="0"/>
        <v>568.28411768136345</v>
      </c>
      <c r="O35" s="682"/>
      <c r="P35" s="682"/>
      <c r="Q35" s="683">
        <f t="shared" si="1"/>
        <v>568.28411768136345</v>
      </c>
      <c r="R35" s="682"/>
      <c r="S35" s="654"/>
    </row>
    <row r="36" spans="1:19" x14ac:dyDescent="0.45">
      <c r="A36" s="655">
        <v>1726</v>
      </c>
      <c r="B36" s="682"/>
      <c r="C36" s="682"/>
      <c r="D36" s="682"/>
      <c r="E36" s="682"/>
      <c r="F36" s="682"/>
      <c r="G36" s="682"/>
      <c r="H36" s="946">
        <v>500.69967394495472</v>
      </c>
      <c r="I36" s="946">
        <v>65.504391990433206</v>
      </c>
      <c r="J36" s="682"/>
      <c r="K36" s="654"/>
      <c r="L36" s="654"/>
      <c r="M36" s="682"/>
      <c r="N36" s="683">
        <f t="shared" si="0"/>
        <v>566.20406593538792</v>
      </c>
      <c r="O36" s="682"/>
      <c r="P36" s="682"/>
      <c r="Q36" s="683">
        <f t="shared" si="1"/>
        <v>566.20406593538792</v>
      </c>
      <c r="R36" s="682"/>
      <c r="S36" s="654"/>
    </row>
    <row r="37" spans="1:19" x14ac:dyDescent="0.45">
      <c r="A37" s="655">
        <v>1727</v>
      </c>
      <c r="B37" s="682"/>
      <c r="C37" s="682"/>
      <c r="D37" s="682"/>
      <c r="E37" s="682"/>
      <c r="F37" s="682"/>
      <c r="G37" s="682"/>
      <c r="H37" s="946">
        <v>499.1408904039418</v>
      </c>
      <c r="I37" s="946">
        <v>65.546327790077271</v>
      </c>
      <c r="J37" s="682"/>
      <c r="K37" s="654"/>
      <c r="L37" s="654"/>
      <c r="M37" s="682"/>
      <c r="N37" s="683">
        <f t="shared" si="0"/>
        <v>564.68721819401912</v>
      </c>
      <c r="O37" s="682"/>
      <c r="P37" s="682"/>
      <c r="Q37" s="683">
        <f t="shared" si="1"/>
        <v>564.68721819401912</v>
      </c>
      <c r="R37" s="682"/>
      <c r="S37" s="654"/>
    </row>
    <row r="38" spans="1:19" x14ac:dyDescent="0.45">
      <c r="A38" s="655">
        <v>1728</v>
      </c>
      <c r="B38" s="682"/>
      <c r="C38" s="682"/>
      <c r="D38" s="682"/>
      <c r="E38" s="682"/>
      <c r="F38" s="682"/>
      <c r="G38" s="682"/>
      <c r="H38" s="946">
        <v>497.52149599992435</v>
      </c>
      <c r="I38" s="946">
        <v>64.951742553963101</v>
      </c>
      <c r="J38" s="682"/>
      <c r="K38" s="654"/>
      <c r="L38" s="654"/>
      <c r="M38" s="682"/>
      <c r="N38" s="683">
        <f t="shared" si="0"/>
        <v>562.47323855388743</v>
      </c>
      <c r="O38" s="682"/>
      <c r="P38" s="682"/>
      <c r="Q38" s="683">
        <f t="shared" si="1"/>
        <v>562.47323855388743</v>
      </c>
      <c r="R38" s="682"/>
      <c r="S38" s="654"/>
    </row>
    <row r="39" spans="1:19" x14ac:dyDescent="0.45">
      <c r="A39" s="655">
        <v>1729</v>
      </c>
      <c r="B39" s="682"/>
      <c r="C39" s="682"/>
      <c r="D39" s="682"/>
      <c r="E39" s="682"/>
      <c r="F39" s="682"/>
      <c r="G39" s="682"/>
      <c r="H39" s="946">
        <v>495.84214765234492</v>
      </c>
      <c r="I39" s="946">
        <v>64.612316578810308</v>
      </c>
      <c r="J39" s="682"/>
      <c r="K39" s="654"/>
      <c r="L39" s="654"/>
      <c r="M39" s="682"/>
      <c r="N39" s="683">
        <f t="shared" si="0"/>
        <v>560.45446423115527</v>
      </c>
      <c r="O39" s="682"/>
      <c r="P39" s="682"/>
      <c r="Q39" s="683">
        <f t="shared" si="1"/>
        <v>560.45446423115527</v>
      </c>
      <c r="R39" s="682"/>
      <c r="S39" s="654"/>
    </row>
    <row r="40" spans="1:19" x14ac:dyDescent="0.45">
      <c r="A40" s="655">
        <v>1730</v>
      </c>
      <c r="B40" s="682"/>
      <c r="C40" s="682"/>
      <c r="D40" s="682"/>
      <c r="E40" s="682"/>
      <c r="F40" s="682"/>
      <c r="G40" s="682"/>
      <c r="H40" s="946">
        <v>494.10349282162201</v>
      </c>
      <c r="I40" s="946">
        <v>64.053667408839061</v>
      </c>
      <c r="J40" s="682"/>
      <c r="K40" s="654"/>
      <c r="L40" s="654"/>
      <c r="M40" s="682"/>
      <c r="N40" s="683">
        <f t="shared" si="0"/>
        <v>558.15716023046105</v>
      </c>
      <c r="O40" s="682"/>
      <c r="P40" s="682"/>
      <c r="Q40" s="683">
        <f t="shared" si="1"/>
        <v>558.15716023046105</v>
      </c>
      <c r="R40" s="682"/>
      <c r="S40" s="654"/>
    </row>
    <row r="41" spans="1:19" x14ac:dyDescent="0.45">
      <c r="A41" s="655">
        <v>1731</v>
      </c>
      <c r="B41" s="682"/>
      <c r="C41" s="682"/>
      <c r="D41" s="682"/>
      <c r="E41" s="682"/>
      <c r="F41" s="682"/>
      <c r="G41" s="682"/>
      <c r="H41" s="946">
        <v>492.30616967879087</v>
      </c>
      <c r="I41" s="946">
        <v>64.024818279730866</v>
      </c>
      <c r="J41" s="682"/>
      <c r="K41" s="654"/>
      <c r="L41" s="654"/>
      <c r="M41" s="682"/>
      <c r="N41" s="683">
        <f t="shared" si="0"/>
        <v>556.33098795852175</v>
      </c>
      <c r="O41" s="682"/>
      <c r="P41" s="682"/>
      <c r="Q41" s="683">
        <f t="shared" si="1"/>
        <v>556.33098795852175</v>
      </c>
      <c r="R41" s="682"/>
      <c r="S41" s="654"/>
    </row>
    <row r="42" spans="1:19" x14ac:dyDescent="0.45">
      <c r="A42" s="655">
        <v>1732</v>
      </c>
      <c r="B42" s="682"/>
      <c r="C42" s="682"/>
      <c r="D42" s="682"/>
      <c r="E42" s="682"/>
      <c r="F42" s="682"/>
      <c r="G42" s="682"/>
      <c r="H42" s="946">
        <v>490.45080727150679</v>
      </c>
      <c r="I42" s="946">
        <v>62.043091175783871</v>
      </c>
      <c r="J42" s="682"/>
      <c r="K42" s="654"/>
      <c r="L42" s="654"/>
      <c r="M42" s="682"/>
      <c r="N42" s="683">
        <f t="shared" si="0"/>
        <v>552.49389844729069</v>
      </c>
      <c r="O42" s="682"/>
      <c r="P42" s="682"/>
      <c r="Q42" s="683">
        <f t="shared" si="1"/>
        <v>552.49389844729069</v>
      </c>
      <c r="R42" s="682"/>
      <c r="S42" s="654"/>
    </row>
    <row r="43" spans="1:19" x14ac:dyDescent="0.45">
      <c r="A43" s="655">
        <v>1733</v>
      </c>
      <c r="B43" s="682"/>
      <c r="C43" s="682"/>
      <c r="D43" s="682"/>
      <c r="E43" s="682"/>
      <c r="F43" s="682"/>
      <c r="G43" s="682"/>
      <c r="H43" s="946">
        <v>488.53802568649979</v>
      </c>
      <c r="I43" s="946">
        <v>61.548057214367873</v>
      </c>
      <c r="J43" s="682"/>
      <c r="K43" s="654"/>
      <c r="L43" s="654"/>
      <c r="M43" s="682"/>
      <c r="N43" s="683">
        <f t="shared" si="0"/>
        <v>550.08608290086772</v>
      </c>
      <c r="O43" s="682"/>
      <c r="P43" s="682"/>
      <c r="Q43" s="683">
        <f t="shared" si="1"/>
        <v>550.08608290086772</v>
      </c>
      <c r="R43" s="682"/>
      <c r="S43" s="654"/>
    </row>
    <row r="44" spans="1:19" x14ac:dyDescent="0.45">
      <c r="A44" s="655">
        <v>1734</v>
      </c>
      <c r="B44" s="682"/>
      <c r="C44" s="682"/>
      <c r="D44" s="682"/>
      <c r="E44" s="682"/>
      <c r="F44" s="682"/>
      <c r="G44" s="682"/>
      <c r="H44" s="946">
        <v>486.56843620857273</v>
      </c>
      <c r="I44" s="946">
        <v>60.552313114426433</v>
      </c>
      <c r="J44" s="682"/>
      <c r="K44" s="654"/>
      <c r="L44" s="654"/>
      <c r="M44" s="682"/>
      <c r="N44" s="683">
        <f t="shared" si="0"/>
        <v>547.12074932299913</v>
      </c>
      <c r="O44" s="682"/>
      <c r="P44" s="682"/>
      <c r="Q44" s="683">
        <f t="shared" si="1"/>
        <v>547.12074932299913</v>
      </c>
      <c r="R44" s="682"/>
      <c r="S44" s="654"/>
    </row>
    <row r="45" spans="1:19" x14ac:dyDescent="0.45">
      <c r="A45" s="655">
        <v>1735</v>
      </c>
      <c r="B45" s="682"/>
      <c r="C45" s="682"/>
      <c r="D45" s="682"/>
      <c r="E45" s="682"/>
      <c r="F45" s="682"/>
      <c r="G45" s="682"/>
      <c r="H45" s="946">
        <v>484.54264147622354</v>
      </c>
      <c r="I45" s="946">
        <v>60.752039735891017</v>
      </c>
      <c r="J45" s="682"/>
      <c r="K45" s="654"/>
      <c r="L45" s="654"/>
      <c r="M45" s="682"/>
      <c r="N45" s="683">
        <f t="shared" si="0"/>
        <v>545.2946812121146</v>
      </c>
      <c r="O45" s="682"/>
      <c r="P45" s="682"/>
      <c r="Q45" s="683">
        <f t="shared" si="1"/>
        <v>545.2946812121146</v>
      </c>
      <c r="R45" s="682"/>
      <c r="S45" s="654"/>
    </row>
    <row r="46" spans="1:19" x14ac:dyDescent="0.45">
      <c r="A46" s="655">
        <v>1736</v>
      </c>
      <c r="B46" s="682"/>
      <c r="C46" s="682"/>
      <c r="D46" s="682"/>
      <c r="E46" s="682"/>
      <c r="F46" s="682"/>
      <c r="G46" s="682"/>
      <c r="H46" s="946">
        <v>482.46123563397907</v>
      </c>
      <c r="I46" s="946">
        <v>59.265177905012855</v>
      </c>
      <c r="J46" s="682"/>
      <c r="K46" s="654"/>
      <c r="L46" s="654"/>
      <c r="M46" s="682"/>
      <c r="N46" s="683">
        <f t="shared" si="0"/>
        <v>541.72641353899189</v>
      </c>
      <c r="O46" s="682"/>
      <c r="P46" s="682"/>
      <c r="Q46" s="683">
        <f t="shared" si="1"/>
        <v>541.72641353899189</v>
      </c>
      <c r="R46" s="682"/>
      <c r="S46" s="654"/>
    </row>
    <row r="47" spans="1:19" x14ac:dyDescent="0.45">
      <c r="A47" s="655">
        <v>1737</v>
      </c>
      <c r="B47" s="682"/>
      <c r="C47" s="682"/>
      <c r="D47" s="682"/>
      <c r="E47" s="682"/>
      <c r="F47" s="682"/>
      <c r="G47" s="682"/>
      <c r="H47" s="946">
        <v>480.32480448151864</v>
      </c>
      <c r="I47" s="946">
        <v>59.092658283438432</v>
      </c>
      <c r="J47" s="682"/>
      <c r="K47" s="654"/>
      <c r="L47" s="654"/>
      <c r="M47" s="682"/>
      <c r="N47" s="683">
        <f t="shared" si="0"/>
        <v>539.41746276495712</v>
      </c>
      <c r="O47" s="682"/>
      <c r="P47" s="682"/>
      <c r="Q47" s="683">
        <f t="shared" si="1"/>
        <v>539.41746276495712</v>
      </c>
      <c r="R47" s="682"/>
      <c r="S47" s="654"/>
    </row>
    <row r="48" spans="1:19" x14ac:dyDescent="0.45">
      <c r="A48" s="655">
        <v>1738</v>
      </c>
      <c r="B48" s="682"/>
      <c r="C48" s="682"/>
      <c r="D48" s="682"/>
      <c r="E48" s="682"/>
      <c r="F48" s="682"/>
      <c r="G48" s="682"/>
      <c r="H48" s="946">
        <v>478.1339256196668</v>
      </c>
      <c r="I48" s="946">
        <v>59.733449494774611</v>
      </c>
      <c r="J48" s="682"/>
      <c r="K48" s="654"/>
      <c r="L48" s="654"/>
      <c r="M48" s="682"/>
      <c r="N48" s="683">
        <f t="shared" si="0"/>
        <v>537.86737511444142</v>
      </c>
      <c r="O48" s="682"/>
      <c r="P48" s="682"/>
      <c r="Q48" s="683">
        <f t="shared" si="1"/>
        <v>537.86737511444142</v>
      </c>
      <c r="R48" s="682"/>
      <c r="S48" s="654"/>
    </row>
    <row r="49" spans="1:19" x14ac:dyDescent="0.45">
      <c r="A49" s="655">
        <v>1739</v>
      </c>
      <c r="B49" s="682"/>
      <c r="C49" s="682"/>
      <c r="D49" s="682"/>
      <c r="E49" s="682"/>
      <c r="F49" s="682"/>
      <c r="G49" s="682"/>
      <c r="H49" s="946">
        <v>475.88916859333307</v>
      </c>
      <c r="I49" s="946">
        <v>61.475838708894877</v>
      </c>
      <c r="J49" s="682"/>
      <c r="K49" s="654"/>
      <c r="L49" s="654"/>
      <c r="M49" s="682"/>
      <c r="N49" s="683">
        <f t="shared" si="0"/>
        <v>537.36500730222792</v>
      </c>
      <c r="O49" s="682"/>
      <c r="P49" s="682"/>
      <c r="Q49" s="683">
        <f t="shared" si="1"/>
        <v>537.36500730222792</v>
      </c>
      <c r="R49" s="682"/>
      <c r="S49" s="654"/>
    </row>
    <row r="50" spans="1:19" x14ac:dyDescent="0.45">
      <c r="A50" s="655">
        <v>1740</v>
      </c>
      <c r="B50" s="682"/>
      <c r="C50" s="682"/>
      <c r="D50" s="682"/>
      <c r="E50" s="682"/>
      <c r="F50" s="682"/>
      <c r="G50" s="682"/>
      <c r="H50" s="946">
        <v>473.59109503147067</v>
      </c>
      <c r="I50" s="946">
        <v>62.368098921122233</v>
      </c>
      <c r="J50" s="682"/>
      <c r="K50" s="654"/>
      <c r="L50" s="654"/>
      <c r="M50" s="682"/>
      <c r="N50" s="683">
        <f t="shared" si="0"/>
        <v>535.95919395259295</v>
      </c>
      <c r="O50" s="682"/>
      <c r="P50" s="682"/>
      <c r="Q50" s="683">
        <f t="shared" si="1"/>
        <v>535.95919395259295</v>
      </c>
      <c r="R50" s="682"/>
      <c r="S50" s="654"/>
    </row>
    <row r="51" spans="1:19" x14ac:dyDescent="0.45">
      <c r="A51" s="655">
        <v>1741</v>
      </c>
      <c r="B51" s="682"/>
      <c r="C51" s="682"/>
      <c r="D51" s="682"/>
      <c r="E51" s="682"/>
      <c r="F51" s="682"/>
      <c r="G51" s="682"/>
      <c r="H51" s="946">
        <v>471.24025878412607</v>
      </c>
      <c r="I51" s="946">
        <v>62.398527857918566</v>
      </c>
      <c r="J51" s="682"/>
      <c r="K51" s="654"/>
      <c r="L51" s="654"/>
      <c r="M51" s="682"/>
      <c r="N51" s="683">
        <f t="shared" si="0"/>
        <v>533.63878664204458</v>
      </c>
      <c r="O51" s="682"/>
      <c r="P51" s="682"/>
      <c r="Q51" s="683">
        <f t="shared" si="1"/>
        <v>533.63878664204458</v>
      </c>
      <c r="R51" s="682"/>
      <c r="S51" s="654"/>
    </row>
    <row r="52" spans="1:19" x14ac:dyDescent="0.45">
      <c r="A52" s="655">
        <v>1742</v>
      </c>
      <c r="B52" s="682"/>
      <c r="C52" s="682"/>
      <c r="D52" s="682"/>
      <c r="E52" s="682"/>
      <c r="F52" s="682"/>
      <c r="G52" s="682"/>
      <c r="H52" s="946">
        <v>468.83720605665479</v>
      </c>
      <c r="I52" s="946">
        <v>63.504345622250504</v>
      </c>
      <c r="J52" s="682"/>
      <c r="K52" s="654"/>
      <c r="L52" s="654"/>
      <c r="M52" s="682"/>
      <c r="N52" s="683">
        <f t="shared" si="0"/>
        <v>532.34155167890526</v>
      </c>
      <c r="O52" s="682"/>
      <c r="P52" s="682"/>
      <c r="Q52" s="683">
        <f t="shared" si="1"/>
        <v>532.34155167890526</v>
      </c>
      <c r="R52" s="682"/>
      <c r="S52" s="654"/>
    </row>
    <row r="53" spans="1:19" x14ac:dyDescent="0.45">
      <c r="A53" s="655">
        <v>1743</v>
      </c>
      <c r="B53" s="682"/>
      <c r="C53" s="682"/>
      <c r="D53" s="682"/>
      <c r="E53" s="682"/>
      <c r="F53" s="682"/>
      <c r="G53" s="682"/>
      <c r="H53" s="946">
        <v>466.38247554116379</v>
      </c>
      <c r="I53" s="946">
        <v>63.273298798134853</v>
      </c>
      <c r="J53" s="682"/>
      <c r="K53" s="654"/>
      <c r="L53" s="654"/>
      <c r="M53" s="682"/>
      <c r="N53" s="683">
        <f t="shared" si="0"/>
        <v>529.65577433929866</v>
      </c>
      <c r="O53" s="682"/>
      <c r="P53" s="682"/>
      <c r="Q53" s="683">
        <f t="shared" si="1"/>
        <v>529.65577433929866</v>
      </c>
      <c r="R53" s="682"/>
      <c r="S53" s="654"/>
    </row>
    <row r="54" spans="1:19" x14ac:dyDescent="0.45">
      <c r="A54" s="655">
        <v>1744</v>
      </c>
      <c r="B54" s="682"/>
      <c r="C54" s="682"/>
      <c r="D54" s="682"/>
      <c r="E54" s="682"/>
      <c r="F54" s="682"/>
      <c r="G54" s="682"/>
      <c r="H54" s="946">
        <v>463.87659854525469</v>
      </c>
      <c r="I54" s="946">
        <v>63.390184602884716</v>
      </c>
      <c r="J54" s="682"/>
      <c r="K54" s="654"/>
      <c r="L54" s="654"/>
      <c r="M54" s="682"/>
      <c r="N54" s="683">
        <f t="shared" si="0"/>
        <v>527.26678314813944</v>
      </c>
      <c r="O54" s="682"/>
      <c r="P54" s="682"/>
      <c r="Q54" s="683">
        <f t="shared" si="1"/>
        <v>527.26678314813944</v>
      </c>
      <c r="R54" s="682"/>
      <c r="S54" s="654"/>
    </row>
    <row r="55" spans="1:19" x14ac:dyDescent="0.45">
      <c r="A55" s="655">
        <v>1745</v>
      </c>
      <c r="B55" s="682"/>
      <c r="C55" s="682"/>
      <c r="D55" s="682"/>
      <c r="E55" s="682"/>
      <c r="F55" s="682"/>
      <c r="G55" s="682"/>
      <c r="H55" s="946">
        <v>461.32009911812526</v>
      </c>
      <c r="I55" s="946">
        <v>63.815765287667304</v>
      </c>
      <c r="J55" s="682"/>
      <c r="K55" s="654"/>
      <c r="L55" s="654"/>
      <c r="M55" s="682"/>
      <c r="N55" s="683">
        <f t="shared" si="0"/>
        <v>525.13586440579252</v>
      </c>
      <c r="O55" s="682"/>
      <c r="P55" s="682"/>
      <c r="Q55" s="683">
        <f t="shared" si="1"/>
        <v>525.13586440579252</v>
      </c>
      <c r="R55" s="682"/>
      <c r="S55" s="654"/>
    </row>
    <row r="56" spans="1:19" x14ac:dyDescent="0.45">
      <c r="A56" s="655">
        <v>1746</v>
      </c>
      <c r="B56" s="682"/>
      <c r="C56" s="682"/>
      <c r="D56" s="682"/>
      <c r="E56" s="682"/>
      <c r="F56" s="682"/>
      <c r="G56" s="682"/>
      <c r="H56" s="946">
        <v>458.71349417409908</v>
      </c>
      <c r="I56" s="946">
        <v>65.287639626964079</v>
      </c>
      <c r="J56" s="682"/>
      <c r="K56" s="654"/>
      <c r="L56" s="654"/>
      <c r="M56" s="682"/>
      <c r="N56" s="683">
        <f t="shared" si="0"/>
        <v>524.00113380106313</v>
      </c>
      <c r="O56" s="682"/>
      <c r="P56" s="682"/>
      <c r="Q56" s="683">
        <f t="shared" si="1"/>
        <v>524.00113380106313</v>
      </c>
      <c r="R56" s="682"/>
      <c r="S56" s="654"/>
    </row>
    <row r="57" spans="1:19" x14ac:dyDescent="0.45">
      <c r="A57" s="655">
        <v>1747</v>
      </c>
      <c r="B57" s="682"/>
      <c r="C57" s="682"/>
      <c r="D57" s="682"/>
      <c r="E57" s="682"/>
      <c r="F57" s="682"/>
      <c r="G57" s="682"/>
      <c r="H57" s="946">
        <v>456.05729361363836</v>
      </c>
      <c r="I57" s="946">
        <v>66.323928482358696</v>
      </c>
      <c r="J57" s="682"/>
      <c r="K57" s="654"/>
      <c r="L57" s="654"/>
      <c r="M57" s="682"/>
      <c r="N57" s="683">
        <f t="shared" si="0"/>
        <v>522.38122209599703</v>
      </c>
      <c r="O57" s="682"/>
      <c r="P57" s="682"/>
      <c r="Q57" s="683">
        <f t="shared" si="1"/>
        <v>522.38122209599703</v>
      </c>
      <c r="R57" s="682"/>
      <c r="S57" s="654"/>
    </row>
    <row r="58" spans="1:19" x14ac:dyDescent="0.45">
      <c r="A58" s="655">
        <v>1748</v>
      </c>
      <c r="B58" s="682"/>
      <c r="C58" s="682"/>
      <c r="D58" s="682"/>
      <c r="E58" s="682"/>
      <c r="F58" s="682"/>
      <c r="G58" s="682"/>
      <c r="H58" s="946">
        <v>453.35200044190276</v>
      </c>
      <c r="I58" s="946">
        <v>67.979299337198668</v>
      </c>
      <c r="J58" s="682"/>
      <c r="K58" s="654"/>
      <c r="L58" s="654"/>
      <c r="M58" s="682"/>
      <c r="N58" s="683">
        <f t="shared" si="0"/>
        <v>521.33129977910141</v>
      </c>
      <c r="O58" s="682"/>
      <c r="P58" s="682"/>
      <c r="Q58" s="683">
        <f t="shared" si="1"/>
        <v>521.33129977910141</v>
      </c>
      <c r="R58" s="682"/>
      <c r="S58" s="654"/>
    </row>
    <row r="59" spans="1:19" x14ac:dyDescent="0.45">
      <c r="A59" s="655">
        <v>1749</v>
      </c>
      <c r="B59" s="682"/>
      <c r="C59" s="682"/>
      <c r="D59" s="682"/>
      <c r="E59" s="682"/>
      <c r="F59" s="682"/>
      <c r="G59" s="682"/>
      <c r="H59" s="946">
        <v>450.59811088491324</v>
      </c>
      <c r="I59" s="946">
        <v>68.318936810046537</v>
      </c>
      <c r="J59" s="682"/>
      <c r="K59" s="654"/>
      <c r="L59" s="654"/>
      <c r="M59" s="682"/>
      <c r="N59" s="683">
        <f t="shared" si="0"/>
        <v>518.91704769495982</v>
      </c>
      <c r="O59" s="682"/>
      <c r="P59" s="682"/>
      <c r="Q59" s="683">
        <f t="shared" si="1"/>
        <v>518.91704769495982</v>
      </c>
      <c r="R59" s="682"/>
      <c r="S59" s="654"/>
    </row>
    <row r="60" spans="1:19" x14ac:dyDescent="0.45">
      <c r="A60" s="655">
        <v>1750</v>
      </c>
      <c r="B60" s="682"/>
      <c r="C60" s="682"/>
      <c r="D60" s="682"/>
      <c r="E60" s="682"/>
      <c r="F60" s="682"/>
      <c r="G60" s="682"/>
      <c r="H60" s="946">
        <v>447.79611450337262</v>
      </c>
      <c r="I60" s="946">
        <v>68.499124714868429</v>
      </c>
      <c r="J60" s="682"/>
      <c r="K60" s="654"/>
      <c r="L60" s="654"/>
      <c r="M60" s="682"/>
      <c r="N60" s="683">
        <f t="shared" si="0"/>
        <v>516.29523921824102</v>
      </c>
      <c r="O60" s="682"/>
      <c r="P60" s="682"/>
      <c r="Q60" s="683">
        <f t="shared" si="1"/>
        <v>516.29523921824102</v>
      </c>
      <c r="R60" s="682"/>
      <c r="S60" s="654"/>
    </row>
    <row r="61" spans="1:19" x14ac:dyDescent="0.45">
      <c r="A61" s="655">
        <v>1751</v>
      </c>
      <c r="B61" s="682"/>
      <c r="C61" s="682"/>
      <c r="D61" s="682"/>
      <c r="E61" s="682"/>
      <c r="F61" s="682"/>
      <c r="G61" s="682"/>
      <c r="H61" s="946">
        <v>453.29928047886619</v>
      </c>
      <c r="I61" s="946">
        <v>69.611018633990142</v>
      </c>
      <c r="J61" s="682"/>
      <c r="K61" s="654"/>
      <c r="L61" s="654"/>
      <c r="M61" s="682"/>
      <c r="N61" s="683">
        <f t="shared" si="0"/>
        <v>522.91029911285636</v>
      </c>
      <c r="O61" s="682"/>
      <c r="P61" s="682"/>
      <c r="Q61" s="683">
        <f t="shared" si="1"/>
        <v>522.91029911285636</v>
      </c>
      <c r="R61" s="682"/>
      <c r="S61" s="654"/>
    </row>
    <row r="62" spans="1:19" x14ac:dyDescent="0.45">
      <c r="A62" s="655">
        <v>1752</v>
      </c>
      <c r="B62" s="682"/>
      <c r="C62" s="682"/>
      <c r="D62" s="682"/>
      <c r="E62" s="682"/>
      <c r="F62" s="682"/>
      <c r="G62" s="682"/>
      <c r="H62" s="946">
        <v>458.52756613027128</v>
      </c>
      <c r="I62" s="946">
        <v>69.793829222064232</v>
      </c>
      <c r="J62" s="682"/>
      <c r="K62" s="654"/>
      <c r="L62" s="654"/>
      <c r="M62" s="682"/>
      <c r="N62" s="683">
        <f t="shared" si="0"/>
        <v>528.32139535233546</v>
      </c>
      <c r="O62" s="682"/>
      <c r="P62" s="682"/>
      <c r="Q62" s="683">
        <f t="shared" si="1"/>
        <v>528.32139535233546</v>
      </c>
      <c r="R62" s="682"/>
      <c r="S62" s="654"/>
    </row>
    <row r="63" spans="1:19" x14ac:dyDescent="0.45">
      <c r="A63" s="655">
        <v>1753</v>
      </c>
      <c r="B63" s="682"/>
      <c r="C63" s="682"/>
      <c r="D63" s="682"/>
      <c r="E63" s="682"/>
      <c r="F63" s="682"/>
      <c r="G63" s="682"/>
      <c r="H63" s="946">
        <v>463.48371298781728</v>
      </c>
      <c r="I63" s="946">
        <v>69.68622788644322</v>
      </c>
      <c r="J63" s="682"/>
      <c r="K63" s="654"/>
      <c r="L63" s="654"/>
      <c r="M63" s="682"/>
      <c r="N63" s="683">
        <f t="shared" si="0"/>
        <v>533.16994087426053</v>
      </c>
      <c r="O63" s="682"/>
      <c r="P63" s="682"/>
      <c r="Q63" s="683">
        <f t="shared" si="1"/>
        <v>533.16994087426053</v>
      </c>
      <c r="R63" s="682"/>
      <c r="S63" s="654"/>
    </row>
    <row r="64" spans="1:19" x14ac:dyDescent="0.45">
      <c r="A64" s="655">
        <v>1754</v>
      </c>
      <c r="B64" s="682"/>
      <c r="C64" s="682"/>
      <c r="D64" s="682"/>
      <c r="E64" s="682"/>
      <c r="F64" s="682"/>
      <c r="G64" s="682"/>
      <c r="H64" s="946">
        <v>468.17042624551385</v>
      </c>
      <c r="I64" s="946">
        <v>70.394203263740408</v>
      </c>
      <c r="J64" s="682"/>
      <c r="K64" s="654"/>
      <c r="L64" s="654"/>
      <c r="M64" s="682"/>
      <c r="N64" s="683">
        <f t="shared" si="0"/>
        <v>538.56462950925425</v>
      </c>
      <c r="O64" s="682"/>
      <c r="P64" s="682"/>
      <c r="Q64" s="683">
        <f t="shared" si="1"/>
        <v>538.56462950925425</v>
      </c>
      <c r="R64" s="682"/>
      <c r="S64" s="654"/>
    </row>
    <row r="65" spans="1:19" x14ac:dyDescent="0.45">
      <c r="A65" s="655">
        <v>1755</v>
      </c>
      <c r="B65" s="682"/>
      <c r="C65" s="682"/>
      <c r="D65" s="682"/>
      <c r="E65" s="682"/>
      <c r="F65" s="682"/>
      <c r="G65" s="682"/>
      <c r="H65" s="946">
        <v>472.59037536116386</v>
      </c>
      <c r="I65" s="946">
        <v>72.161853898158938</v>
      </c>
      <c r="J65" s="682"/>
      <c r="K65" s="654"/>
      <c r="L65" s="654"/>
      <c r="M65" s="682"/>
      <c r="N65" s="683">
        <f t="shared" si="0"/>
        <v>544.7522292593228</v>
      </c>
      <c r="O65" s="682"/>
      <c r="P65" s="682"/>
      <c r="Q65" s="683">
        <f t="shared" si="1"/>
        <v>544.7522292593228</v>
      </c>
      <c r="R65" s="682"/>
      <c r="S65" s="654"/>
    </row>
    <row r="66" spans="1:19" x14ac:dyDescent="0.45">
      <c r="A66" s="655">
        <v>1756</v>
      </c>
      <c r="B66" s="682"/>
      <c r="C66" s="682"/>
      <c r="D66" s="682"/>
      <c r="E66" s="682"/>
      <c r="F66" s="682"/>
      <c r="G66" s="682"/>
      <c r="H66" s="946">
        <v>476.746194644524</v>
      </c>
      <c r="I66" s="946">
        <v>72.603117857787296</v>
      </c>
      <c r="J66" s="682"/>
      <c r="K66" s="654"/>
      <c r="L66" s="654"/>
      <c r="M66" s="682"/>
      <c r="N66" s="683">
        <f t="shared" si="0"/>
        <v>549.34931250231125</v>
      </c>
      <c r="O66" s="682"/>
      <c r="P66" s="682"/>
      <c r="Q66" s="683">
        <f t="shared" si="1"/>
        <v>549.34931250231125</v>
      </c>
      <c r="R66" s="682"/>
      <c r="S66" s="654"/>
    </row>
    <row r="67" spans="1:19" x14ac:dyDescent="0.45">
      <c r="A67" s="655">
        <v>1757</v>
      </c>
      <c r="B67" s="682"/>
      <c r="C67" s="682"/>
      <c r="D67" s="682"/>
      <c r="E67" s="682"/>
      <c r="F67" s="682"/>
      <c r="G67" s="682"/>
      <c r="H67" s="946">
        <v>480.64048383388871</v>
      </c>
      <c r="I67" s="946">
        <v>74.485864936579802</v>
      </c>
      <c r="J67" s="682"/>
      <c r="K67" s="654"/>
      <c r="L67" s="654"/>
      <c r="M67" s="682"/>
      <c r="N67" s="683">
        <f t="shared" si="0"/>
        <v>555.12634877046855</v>
      </c>
      <c r="O67" s="682"/>
      <c r="P67" s="682"/>
      <c r="Q67" s="683">
        <f t="shared" si="1"/>
        <v>555.12634877046855</v>
      </c>
      <c r="R67" s="682"/>
      <c r="S67" s="654"/>
    </row>
    <row r="68" spans="1:19" x14ac:dyDescent="0.45">
      <c r="A68" s="655">
        <v>1758</v>
      </c>
      <c r="B68" s="682"/>
      <c r="C68" s="682"/>
      <c r="D68" s="682"/>
      <c r="E68" s="682"/>
      <c r="F68" s="682"/>
      <c r="G68" s="682"/>
      <c r="H68" s="946">
        <v>484.27580866135912</v>
      </c>
      <c r="I68" s="946">
        <v>75.364197519750476</v>
      </c>
      <c r="J68" s="682"/>
      <c r="K68" s="654"/>
      <c r="L68" s="654"/>
      <c r="M68" s="682"/>
      <c r="N68" s="683">
        <f t="shared" si="0"/>
        <v>559.64000618110958</v>
      </c>
      <c r="O68" s="682"/>
      <c r="P68" s="682"/>
      <c r="Q68" s="683">
        <f t="shared" si="1"/>
        <v>559.64000618110958</v>
      </c>
      <c r="R68" s="682"/>
      <c r="S68" s="654"/>
    </row>
    <row r="69" spans="1:19" x14ac:dyDescent="0.45">
      <c r="A69" s="655">
        <v>1759</v>
      </c>
      <c r="B69" s="682"/>
      <c r="C69" s="682"/>
      <c r="D69" s="682"/>
      <c r="E69" s="682"/>
      <c r="F69" s="682"/>
      <c r="G69" s="682"/>
      <c r="H69" s="946">
        <v>487.65470140706083</v>
      </c>
      <c r="I69" s="946">
        <v>77.510502371490603</v>
      </c>
      <c r="J69" s="682"/>
      <c r="K69" s="654"/>
      <c r="L69" s="654"/>
      <c r="M69" s="682"/>
      <c r="N69" s="683">
        <f t="shared" si="0"/>
        <v>565.16520377855147</v>
      </c>
      <c r="O69" s="682"/>
      <c r="P69" s="682"/>
      <c r="Q69" s="683">
        <f t="shared" si="1"/>
        <v>565.16520377855147</v>
      </c>
      <c r="R69" s="682"/>
      <c r="S69" s="654"/>
    </row>
    <row r="70" spans="1:19" x14ac:dyDescent="0.45">
      <c r="A70" s="655">
        <v>1760</v>
      </c>
      <c r="B70" s="682"/>
      <c r="C70" s="682"/>
      <c r="D70" s="682"/>
      <c r="E70" s="682"/>
      <c r="F70" s="682"/>
      <c r="G70" s="682"/>
      <c r="H70" s="946">
        <v>490.77966144255282</v>
      </c>
      <c r="I70" s="946">
        <v>78.357985622810517</v>
      </c>
      <c r="J70" s="682"/>
      <c r="K70" s="654"/>
      <c r="L70" s="654"/>
      <c r="M70" s="682"/>
      <c r="N70" s="683">
        <f t="shared" si="0"/>
        <v>569.13764706536335</v>
      </c>
      <c r="O70" s="682"/>
      <c r="P70" s="682"/>
      <c r="Q70" s="683">
        <f t="shared" si="1"/>
        <v>569.13764706536335</v>
      </c>
      <c r="R70" s="682"/>
      <c r="S70" s="654"/>
    </row>
    <row r="71" spans="1:19" x14ac:dyDescent="0.45">
      <c r="A71" s="655">
        <v>1761</v>
      </c>
      <c r="B71" s="682"/>
      <c r="C71" s="682"/>
      <c r="D71" s="682"/>
      <c r="E71" s="682"/>
      <c r="F71" s="682"/>
      <c r="G71" s="682"/>
      <c r="H71" s="946">
        <v>493.65315576368289</v>
      </c>
      <c r="I71" s="946">
        <v>76.89559339743694</v>
      </c>
      <c r="J71" s="682"/>
      <c r="K71" s="654"/>
      <c r="L71" s="654"/>
      <c r="M71" s="682"/>
      <c r="N71" s="683">
        <f t="shared" si="0"/>
        <v>570.54874916111987</v>
      </c>
      <c r="O71" s="682"/>
      <c r="P71" s="682"/>
      <c r="Q71" s="683">
        <f t="shared" si="1"/>
        <v>570.54874916111987</v>
      </c>
      <c r="R71" s="682"/>
      <c r="S71" s="654"/>
    </row>
    <row r="72" spans="1:19" x14ac:dyDescent="0.45">
      <c r="A72" s="655">
        <v>1762</v>
      </c>
      <c r="B72" s="682"/>
      <c r="C72" s="682"/>
      <c r="D72" s="682"/>
      <c r="E72" s="682"/>
      <c r="F72" s="682"/>
      <c r="G72" s="682"/>
      <c r="H72" s="946">
        <v>496.27761951311925</v>
      </c>
      <c r="I72" s="946">
        <v>77.755194717546573</v>
      </c>
      <c r="J72" s="682"/>
      <c r="K72" s="654"/>
      <c r="L72" s="654"/>
      <c r="M72" s="682"/>
      <c r="N72" s="683">
        <f t="shared" si="0"/>
        <v>574.03281423066585</v>
      </c>
      <c r="O72" s="682"/>
      <c r="P72" s="682"/>
      <c r="Q72" s="683">
        <f t="shared" si="1"/>
        <v>574.03281423066585</v>
      </c>
      <c r="R72" s="682"/>
      <c r="S72" s="654"/>
    </row>
    <row r="73" spans="1:19" x14ac:dyDescent="0.45">
      <c r="A73" s="655">
        <v>1763</v>
      </c>
      <c r="B73" s="682"/>
      <c r="C73" s="682"/>
      <c r="D73" s="682"/>
      <c r="E73" s="682"/>
      <c r="F73" s="682"/>
      <c r="G73" s="682"/>
      <c r="H73" s="946">
        <v>498.65545649279591</v>
      </c>
      <c r="I73" s="946">
        <v>77.415842270484106</v>
      </c>
      <c r="J73" s="682"/>
      <c r="K73" s="654"/>
      <c r="L73" s="654"/>
      <c r="M73" s="682"/>
      <c r="N73" s="683">
        <f t="shared" si="0"/>
        <v>576.07129876327997</v>
      </c>
      <c r="O73" s="682"/>
      <c r="P73" s="682"/>
      <c r="Q73" s="683">
        <f t="shared" si="1"/>
        <v>576.07129876327997</v>
      </c>
      <c r="R73" s="682"/>
      <c r="S73" s="654"/>
    </row>
    <row r="74" spans="1:19" x14ac:dyDescent="0.45">
      <c r="A74" s="655">
        <v>1764</v>
      </c>
      <c r="B74" s="682"/>
      <c r="C74" s="682"/>
      <c r="D74" s="682"/>
      <c r="E74" s="682"/>
      <c r="F74" s="682"/>
      <c r="G74" s="682"/>
      <c r="H74" s="946">
        <v>500.78903966649779</v>
      </c>
      <c r="I74" s="946">
        <v>78.417574602499272</v>
      </c>
      <c r="J74" s="682"/>
      <c r="K74" s="654"/>
      <c r="L74" s="654"/>
      <c r="M74" s="682"/>
      <c r="N74" s="683">
        <f t="shared" ref="N74:N137" si="2">SUM(H74:M74)</f>
        <v>579.2066142689971</v>
      </c>
      <c r="O74" s="682"/>
      <c r="P74" s="682"/>
      <c r="Q74" s="683">
        <f t="shared" ref="Q74:Q137" si="3">B74+N74+O74+P74</f>
        <v>579.2066142689971</v>
      </c>
      <c r="R74" s="682"/>
      <c r="S74" s="654"/>
    </row>
    <row r="75" spans="1:19" x14ac:dyDescent="0.45">
      <c r="A75" s="655">
        <v>1765</v>
      </c>
      <c r="B75" s="682"/>
      <c r="C75" s="682"/>
      <c r="D75" s="682"/>
      <c r="E75" s="682"/>
      <c r="F75" s="682"/>
      <c r="G75" s="682"/>
      <c r="H75" s="946">
        <v>502.68071165280327</v>
      </c>
      <c r="I75" s="946">
        <v>79.446948813813663</v>
      </c>
      <c r="J75" s="682"/>
      <c r="K75" s="654"/>
      <c r="L75" s="654"/>
      <c r="M75" s="682"/>
      <c r="N75" s="683">
        <f t="shared" si="2"/>
        <v>582.12766046661693</v>
      </c>
      <c r="O75" s="682"/>
      <c r="P75" s="682"/>
      <c r="Q75" s="683">
        <f t="shared" si="3"/>
        <v>582.12766046661693</v>
      </c>
      <c r="R75" s="682"/>
      <c r="S75" s="654"/>
    </row>
    <row r="76" spans="1:19" x14ac:dyDescent="0.45">
      <c r="A76" s="655">
        <v>1766</v>
      </c>
      <c r="B76" s="682"/>
      <c r="C76" s="682"/>
      <c r="D76" s="682"/>
      <c r="E76" s="682"/>
      <c r="F76" s="682"/>
      <c r="G76" s="682"/>
      <c r="H76" s="946">
        <v>504.33278520860301</v>
      </c>
      <c r="I76" s="946">
        <v>77.591139397338779</v>
      </c>
      <c r="J76" s="682"/>
      <c r="K76" s="654"/>
      <c r="L76" s="654"/>
      <c r="M76" s="682"/>
      <c r="N76" s="683">
        <f t="shared" si="2"/>
        <v>581.92392460594181</v>
      </c>
      <c r="O76" s="682"/>
      <c r="P76" s="682"/>
      <c r="Q76" s="683">
        <f t="shared" si="3"/>
        <v>581.92392460594181</v>
      </c>
      <c r="R76" s="682"/>
      <c r="S76" s="654"/>
    </row>
    <row r="77" spans="1:19" x14ac:dyDescent="0.45">
      <c r="A77" s="655">
        <v>1767</v>
      </c>
      <c r="B77" s="682"/>
      <c r="C77" s="682"/>
      <c r="D77" s="682"/>
      <c r="E77" s="682"/>
      <c r="F77" s="682"/>
      <c r="G77" s="682"/>
      <c r="H77" s="946">
        <v>505.74754370340258</v>
      </c>
      <c r="I77" s="946">
        <v>77.701763485532581</v>
      </c>
      <c r="J77" s="682"/>
      <c r="K77" s="654"/>
      <c r="L77" s="654"/>
      <c r="M77" s="682"/>
      <c r="N77" s="683">
        <f t="shared" si="2"/>
        <v>583.44930718893511</v>
      </c>
      <c r="O77" s="682"/>
      <c r="P77" s="682"/>
      <c r="Q77" s="683">
        <f t="shared" si="3"/>
        <v>583.44930718893511</v>
      </c>
      <c r="R77" s="682"/>
      <c r="S77" s="654"/>
    </row>
    <row r="78" spans="1:19" x14ac:dyDescent="0.45">
      <c r="A78" s="655">
        <v>1768</v>
      </c>
      <c r="B78" s="682"/>
      <c r="C78" s="682"/>
      <c r="D78" s="682"/>
      <c r="E78" s="682"/>
      <c r="F78" s="682"/>
      <c r="G78" s="682"/>
      <c r="H78" s="946">
        <v>506.92724158461311</v>
      </c>
      <c r="I78" s="946">
        <v>77.872486346708158</v>
      </c>
      <c r="J78" s="682"/>
      <c r="K78" s="654"/>
      <c r="L78" s="654"/>
      <c r="M78" s="682"/>
      <c r="N78" s="683">
        <f t="shared" si="2"/>
        <v>584.79972793132129</v>
      </c>
      <c r="O78" s="682"/>
      <c r="P78" s="682"/>
      <c r="Q78" s="683">
        <f t="shared" si="3"/>
        <v>584.79972793132129</v>
      </c>
      <c r="R78" s="682"/>
      <c r="S78" s="654"/>
    </row>
    <row r="79" spans="1:19" x14ac:dyDescent="0.45">
      <c r="A79" s="655">
        <v>1769</v>
      </c>
      <c r="B79" s="682"/>
      <c r="C79" s="682"/>
      <c r="D79" s="682"/>
      <c r="E79" s="682"/>
      <c r="F79" s="682"/>
      <c r="G79" s="682"/>
      <c r="H79" s="946">
        <v>507.87410483402908</v>
      </c>
      <c r="I79" s="946">
        <v>78.272740816476968</v>
      </c>
      <c r="J79" s="682"/>
      <c r="K79" s="654"/>
      <c r="L79" s="654"/>
      <c r="M79" s="682"/>
      <c r="N79" s="683">
        <f t="shared" si="2"/>
        <v>586.14684565050607</v>
      </c>
      <c r="O79" s="682"/>
      <c r="P79" s="682"/>
      <c r="Q79" s="683">
        <f t="shared" si="3"/>
        <v>586.14684565050607</v>
      </c>
      <c r="R79" s="682"/>
      <c r="S79" s="654"/>
    </row>
    <row r="80" spans="1:19" x14ac:dyDescent="0.45">
      <c r="A80" s="655">
        <v>1770</v>
      </c>
      <c r="B80" s="682"/>
      <c r="C80" s="682"/>
      <c r="D80" s="682"/>
      <c r="E80" s="682"/>
      <c r="F80" s="682"/>
      <c r="G80" s="682"/>
      <c r="H80" s="946">
        <v>508.59033141568932</v>
      </c>
      <c r="I80" s="946">
        <v>78.721958716687411</v>
      </c>
      <c r="J80" s="682"/>
      <c r="K80" s="654"/>
      <c r="L80" s="654"/>
      <c r="M80" s="682"/>
      <c r="N80" s="683">
        <f t="shared" si="2"/>
        <v>587.31229013237669</v>
      </c>
      <c r="O80" s="682"/>
      <c r="P80" s="682"/>
      <c r="Q80" s="683">
        <f t="shared" si="3"/>
        <v>587.31229013237669</v>
      </c>
      <c r="R80" s="682"/>
      <c r="S80" s="654"/>
    </row>
    <row r="81" spans="1:19" x14ac:dyDescent="0.45">
      <c r="A81" s="655">
        <v>1771</v>
      </c>
      <c r="B81" s="682"/>
      <c r="C81" s="682"/>
      <c r="D81" s="682"/>
      <c r="E81" s="682"/>
      <c r="F81" s="682"/>
      <c r="G81" s="682"/>
      <c r="H81" s="946">
        <v>509.07809171530738</v>
      </c>
      <c r="I81" s="946">
        <v>78.947518314579668</v>
      </c>
      <c r="J81" s="682"/>
      <c r="K81" s="654"/>
      <c r="L81" s="654"/>
      <c r="M81" s="682"/>
      <c r="N81" s="683">
        <f t="shared" si="2"/>
        <v>588.02561002988705</v>
      </c>
      <c r="O81" s="682"/>
      <c r="P81" s="682"/>
      <c r="Q81" s="683">
        <f t="shared" si="3"/>
        <v>588.02561002988705</v>
      </c>
      <c r="R81" s="682"/>
      <c r="S81" s="654"/>
    </row>
    <row r="82" spans="1:19" x14ac:dyDescent="0.45">
      <c r="A82" s="655">
        <v>1772</v>
      </c>
      <c r="B82" s="682"/>
      <c r="C82" s="682"/>
      <c r="D82" s="682"/>
      <c r="E82" s="682"/>
      <c r="F82" s="682"/>
      <c r="G82" s="682"/>
      <c r="H82" s="946">
        <v>509.33952897145872</v>
      </c>
      <c r="I82" s="946">
        <v>77.920330433711825</v>
      </c>
      <c r="J82" s="682"/>
      <c r="K82" s="654"/>
      <c r="L82" s="654"/>
      <c r="M82" s="682"/>
      <c r="N82" s="683">
        <f t="shared" si="2"/>
        <v>587.25985940517057</v>
      </c>
      <c r="O82" s="682"/>
      <c r="P82" s="682"/>
      <c r="Q82" s="683">
        <f t="shared" si="3"/>
        <v>587.25985940517057</v>
      </c>
      <c r="R82" s="682"/>
      <c r="S82" s="654"/>
    </row>
    <row r="83" spans="1:19" x14ac:dyDescent="0.45">
      <c r="A83" s="655">
        <v>1773</v>
      </c>
      <c r="B83" s="682"/>
      <c r="C83" s="682"/>
      <c r="D83" s="682"/>
      <c r="E83" s="682"/>
      <c r="F83" s="682"/>
      <c r="G83" s="682"/>
      <c r="H83" s="946">
        <v>509.37675969870077</v>
      </c>
      <c r="I83" s="946">
        <v>76.843773341706353</v>
      </c>
      <c r="J83" s="682"/>
      <c r="K83" s="654"/>
      <c r="L83" s="654"/>
      <c r="M83" s="682"/>
      <c r="N83" s="683">
        <f t="shared" si="2"/>
        <v>586.22053304040708</v>
      </c>
      <c r="O83" s="682"/>
      <c r="P83" s="682"/>
      <c r="Q83" s="683">
        <f t="shared" si="3"/>
        <v>586.22053304040708</v>
      </c>
      <c r="R83" s="682"/>
      <c r="S83" s="654"/>
    </row>
    <row r="84" spans="1:19" x14ac:dyDescent="0.45">
      <c r="A84" s="655">
        <v>1774</v>
      </c>
      <c r="B84" s="682"/>
      <c r="C84" s="682"/>
      <c r="D84" s="682"/>
      <c r="E84" s="682"/>
      <c r="F84" s="682"/>
      <c r="G84" s="682"/>
      <c r="H84" s="946">
        <v>509.19187410280676</v>
      </c>
      <c r="I84" s="946">
        <v>76.634899476174326</v>
      </c>
      <c r="J84" s="682"/>
      <c r="K84" s="654"/>
      <c r="L84" s="654"/>
      <c r="M84" s="682"/>
      <c r="N84" s="683">
        <f t="shared" si="2"/>
        <v>585.82677357898115</v>
      </c>
      <c r="O84" s="682"/>
      <c r="P84" s="682"/>
      <c r="Q84" s="683">
        <f t="shared" si="3"/>
        <v>585.82677357898115</v>
      </c>
      <c r="R84" s="682"/>
      <c r="S84" s="654"/>
    </row>
    <row r="85" spans="1:19" x14ac:dyDescent="0.45">
      <c r="A85" s="655">
        <v>1775</v>
      </c>
      <c r="B85" s="682"/>
      <c r="C85" s="682"/>
      <c r="D85" s="682"/>
      <c r="E85" s="682"/>
      <c r="F85" s="682"/>
      <c r="G85" s="682"/>
      <c r="H85" s="946">
        <v>508.78693648828067</v>
      </c>
      <c r="I85" s="946">
        <v>76.438233143402414</v>
      </c>
      <c r="J85" s="682"/>
      <c r="K85" s="654"/>
      <c r="L85" s="654"/>
      <c r="M85" s="682"/>
      <c r="N85" s="683">
        <f t="shared" si="2"/>
        <v>585.22516963168312</v>
      </c>
      <c r="O85" s="682"/>
      <c r="P85" s="682"/>
      <c r="Q85" s="683">
        <f t="shared" si="3"/>
        <v>585.22516963168312</v>
      </c>
      <c r="R85" s="682"/>
      <c r="S85" s="654"/>
    </row>
    <row r="86" spans="1:19" x14ac:dyDescent="0.45">
      <c r="A86" s="655">
        <v>1776</v>
      </c>
      <c r="B86" s="682"/>
      <c r="C86" s="682"/>
      <c r="D86" s="682"/>
      <c r="E86" s="682"/>
      <c r="F86" s="682"/>
      <c r="G86" s="682"/>
      <c r="H86" s="946">
        <v>508.16398565831713</v>
      </c>
      <c r="I86" s="946">
        <v>76.571102717154744</v>
      </c>
      <c r="J86" s="682"/>
      <c r="K86" s="654"/>
      <c r="L86" s="654"/>
      <c r="M86" s="682"/>
      <c r="N86" s="683">
        <f t="shared" si="2"/>
        <v>584.73508837547183</v>
      </c>
      <c r="O86" s="682"/>
      <c r="P86" s="682"/>
      <c r="Q86" s="683">
        <f t="shared" si="3"/>
        <v>584.73508837547183</v>
      </c>
      <c r="R86" s="682"/>
      <c r="S86" s="654"/>
    </row>
    <row r="87" spans="1:19" x14ac:dyDescent="0.45">
      <c r="A87" s="655">
        <v>1777</v>
      </c>
      <c r="B87" s="682"/>
      <c r="C87" s="682"/>
      <c r="D87" s="682"/>
      <c r="E87" s="682"/>
      <c r="F87" s="682"/>
      <c r="G87" s="682"/>
      <c r="H87" s="946">
        <v>507.32503530737995</v>
      </c>
      <c r="I87" s="946">
        <v>77.628984307727634</v>
      </c>
      <c r="J87" s="682"/>
      <c r="K87" s="654"/>
      <c r="L87" s="654"/>
      <c r="M87" s="682"/>
      <c r="N87" s="683">
        <f t="shared" si="2"/>
        <v>584.95401961510754</v>
      </c>
      <c r="O87" s="682"/>
      <c r="P87" s="682"/>
      <c r="Q87" s="683">
        <f t="shared" si="3"/>
        <v>584.95401961510754</v>
      </c>
      <c r="R87" s="682"/>
      <c r="S87" s="654"/>
    </row>
    <row r="88" spans="1:19" x14ac:dyDescent="0.45">
      <c r="A88" s="655">
        <v>1778</v>
      </c>
      <c r="B88" s="682"/>
      <c r="C88" s="682"/>
      <c r="D88" s="682"/>
      <c r="E88" s="682"/>
      <c r="F88" s="682"/>
      <c r="G88" s="682"/>
      <c r="H88" s="946">
        <v>506.27207440654274</v>
      </c>
      <c r="I88" s="946">
        <v>77.34606594678128</v>
      </c>
      <c r="J88" s="682"/>
      <c r="K88" s="654"/>
      <c r="L88" s="654"/>
      <c r="M88" s="682"/>
      <c r="N88" s="683">
        <f t="shared" si="2"/>
        <v>583.61814035332407</v>
      </c>
      <c r="O88" s="682"/>
      <c r="P88" s="682"/>
      <c r="Q88" s="683">
        <f t="shared" si="3"/>
        <v>583.61814035332407</v>
      </c>
      <c r="R88" s="682"/>
      <c r="S88" s="654"/>
    </row>
    <row r="89" spans="1:19" x14ac:dyDescent="0.45">
      <c r="A89" s="655">
        <v>1779</v>
      </c>
      <c r="B89" s="682"/>
      <c r="C89" s="682"/>
      <c r="D89" s="682"/>
      <c r="E89" s="682"/>
      <c r="F89" s="682"/>
      <c r="G89" s="682"/>
      <c r="H89" s="946">
        <v>505.00706758176193</v>
      </c>
      <c r="I89" s="946">
        <v>76.73943166722627</v>
      </c>
      <c r="J89" s="682"/>
      <c r="K89" s="654"/>
      <c r="L89" s="654"/>
      <c r="M89" s="682"/>
      <c r="N89" s="683">
        <f t="shared" si="2"/>
        <v>581.74649924898824</v>
      </c>
      <c r="O89" s="682"/>
      <c r="P89" s="682"/>
      <c r="Q89" s="683">
        <f t="shared" si="3"/>
        <v>581.74649924898824</v>
      </c>
      <c r="R89" s="682"/>
      <c r="S89" s="654"/>
    </row>
    <row r="90" spans="1:19" x14ac:dyDescent="0.45">
      <c r="A90" s="655">
        <v>1780</v>
      </c>
      <c r="B90" s="682"/>
      <c r="C90" s="682"/>
      <c r="D90" s="682"/>
      <c r="E90" s="682"/>
      <c r="F90" s="682"/>
      <c r="G90" s="682"/>
      <c r="H90" s="946">
        <v>503.53195548522001</v>
      </c>
      <c r="I90" s="946">
        <v>75.822967718183733</v>
      </c>
      <c r="J90" s="682"/>
      <c r="K90" s="654"/>
      <c r="L90" s="654"/>
      <c r="M90" s="682"/>
      <c r="N90" s="683">
        <f t="shared" si="2"/>
        <v>579.3549232034037</v>
      </c>
      <c r="O90" s="682"/>
      <c r="P90" s="682"/>
      <c r="Q90" s="683">
        <f t="shared" si="3"/>
        <v>579.3549232034037</v>
      </c>
      <c r="R90" s="682"/>
      <c r="S90" s="654"/>
    </row>
    <row r="91" spans="1:19" x14ac:dyDescent="0.45">
      <c r="A91" s="655">
        <v>1781</v>
      </c>
      <c r="B91" s="682"/>
      <c r="C91" s="682"/>
      <c r="D91" s="682"/>
      <c r="E91" s="682"/>
      <c r="F91" s="682"/>
      <c r="G91" s="682"/>
      <c r="H91" s="946">
        <v>501.8486551598952</v>
      </c>
      <c r="I91" s="946">
        <v>73.573669598903422</v>
      </c>
      <c r="J91" s="682"/>
      <c r="K91" s="654"/>
      <c r="L91" s="654"/>
      <c r="M91" s="682"/>
      <c r="N91" s="683">
        <f t="shared" si="2"/>
        <v>575.4223247587986</v>
      </c>
      <c r="O91" s="682"/>
      <c r="P91" s="682"/>
      <c r="Q91" s="683">
        <f t="shared" si="3"/>
        <v>575.4223247587986</v>
      </c>
      <c r="R91" s="682"/>
      <c r="S91" s="654"/>
    </row>
    <row r="92" spans="1:19" x14ac:dyDescent="0.45">
      <c r="A92" s="655">
        <v>1782</v>
      </c>
      <c r="B92" s="682"/>
      <c r="C92" s="682"/>
      <c r="D92" s="682"/>
      <c r="E92" s="682"/>
      <c r="F92" s="682"/>
      <c r="G92" s="682"/>
      <c r="H92" s="946">
        <v>499.95906039749877</v>
      </c>
      <c r="I92" s="946">
        <v>73.979048409304738</v>
      </c>
      <c r="J92" s="682"/>
      <c r="K92" s="654"/>
      <c r="L92" s="654"/>
      <c r="M92" s="682"/>
      <c r="N92" s="683">
        <f t="shared" si="2"/>
        <v>573.93810880680348</v>
      </c>
      <c r="O92" s="682"/>
      <c r="P92" s="682"/>
      <c r="Q92" s="683">
        <f t="shared" si="3"/>
        <v>573.93810880680348</v>
      </c>
      <c r="R92" s="682"/>
      <c r="S92" s="654"/>
    </row>
    <row r="93" spans="1:19" x14ac:dyDescent="0.45">
      <c r="A93" s="655">
        <v>1783</v>
      </c>
      <c r="B93" s="682"/>
      <c r="C93" s="682"/>
      <c r="D93" s="682"/>
      <c r="E93" s="682"/>
      <c r="F93" s="682"/>
      <c r="G93" s="682"/>
      <c r="H93" s="946">
        <v>497.86504208991988</v>
      </c>
      <c r="I93" s="946">
        <v>74.830564886163998</v>
      </c>
      <c r="J93" s="682"/>
      <c r="K93" s="654"/>
      <c r="L93" s="654"/>
      <c r="M93" s="682"/>
      <c r="N93" s="683">
        <f t="shared" si="2"/>
        <v>572.69560697608392</v>
      </c>
      <c r="O93" s="682"/>
      <c r="P93" s="682"/>
      <c r="Q93" s="683">
        <f t="shared" si="3"/>
        <v>572.69560697608392</v>
      </c>
      <c r="R93" s="682"/>
      <c r="S93" s="654"/>
    </row>
    <row r="94" spans="1:19" x14ac:dyDescent="0.45">
      <c r="A94" s="655">
        <v>1784</v>
      </c>
      <c r="B94" s="682"/>
      <c r="C94" s="682"/>
      <c r="D94" s="682"/>
      <c r="E94" s="682"/>
      <c r="F94" s="682"/>
      <c r="G94" s="682"/>
      <c r="H94" s="946">
        <v>495.56844857431253</v>
      </c>
      <c r="I94" s="946">
        <v>73.573432074934132</v>
      </c>
      <c r="J94" s="682"/>
      <c r="K94" s="654"/>
      <c r="L94" s="654"/>
      <c r="M94" s="682"/>
      <c r="N94" s="683">
        <f t="shared" si="2"/>
        <v>569.14188064924667</v>
      </c>
      <c r="O94" s="682"/>
      <c r="P94" s="682"/>
      <c r="Q94" s="683">
        <f t="shared" si="3"/>
        <v>569.14188064924667</v>
      </c>
      <c r="R94" s="682"/>
      <c r="S94" s="654"/>
    </row>
    <row r="95" spans="1:19" x14ac:dyDescent="0.45">
      <c r="A95" s="655">
        <v>1785</v>
      </c>
      <c r="B95" s="682"/>
      <c r="C95" s="682"/>
      <c r="D95" s="682"/>
      <c r="E95" s="682"/>
      <c r="F95" s="682"/>
      <c r="G95" s="682"/>
      <c r="H95" s="946">
        <v>493.07110597196584</v>
      </c>
      <c r="I95" s="946">
        <v>73.028561758649019</v>
      </c>
      <c r="J95" s="682"/>
      <c r="K95" s="654"/>
      <c r="L95" s="654"/>
      <c r="M95" s="682"/>
      <c r="N95" s="683">
        <f t="shared" si="2"/>
        <v>566.0996677306149</v>
      </c>
      <c r="O95" s="682"/>
      <c r="P95" s="682"/>
      <c r="Q95" s="683">
        <f t="shared" si="3"/>
        <v>566.0996677306149</v>
      </c>
      <c r="R95" s="682"/>
      <c r="S95" s="654"/>
    </row>
    <row r="96" spans="1:19" x14ac:dyDescent="0.45">
      <c r="A96" s="655">
        <v>1786</v>
      </c>
      <c r="B96" s="682"/>
      <c r="C96" s="682"/>
      <c r="D96" s="682"/>
      <c r="E96" s="682"/>
      <c r="F96" s="682"/>
      <c r="G96" s="682"/>
      <c r="H96" s="946">
        <v>490.37481852107777</v>
      </c>
      <c r="I96" s="946">
        <v>72.551634177921855</v>
      </c>
      <c r="J96" s="682"/>
      <c r="K96" s="654"/>
      <c r="L96" s="654"/>
      <c r="M96" s="682"/>
      <c r="N96" s="683">
        <f t="shared" si="2"/>
        <v>562.92645269899958</v>
      </c>
      <c r="O96" s="682"/>
      <c r="P96" s="682"/>
      <c r="Q96" s="683">
        <f t="shared" si="3"/>
        <v>562.92645269899958</v>
      </c>
      <c r="R96" s="682"/>
      <c r="S96" s="654"/>
    </row>
    <row r="97" spans="1:19" x14ac:dyDescent="0.45">
      <c r="A97" s="655">
        <v>1787</v>
      </c>
      <c r="B97" s="682"/>
      <c r="C97" s="682"/>
      <c r="D97" s="682"/>
      <c r="E97" s="682"/>
      <c r="F97" s="682"/>
      <c r="G97" s="682"/>
      <c r="H97" s="946">
        <v>487.48136890356869</v>
      </c>
      <c r="I97" s="946">
        <v>71.960081119409509</v>
      </c>
      <c r="J97" s="682"/>
      <c r="K97" s="654"/>
      <c r="L97" s="654"/>
      <c r="M97" s="682"/>
      <c r="N97" s="683">
        <f t="shared" si="2"/>
        <v>559.44145002297819</v>
      </c>
      <c r="O97" s="682"/>
      <c r="P97" s="682"/>
      <c r="Q97" s="683">
        <f t="shared" si="3"/>
        <v>559.44145002297819</v>
      </c>
      <c r="R97" s="682"/>
      <c r="S97" s="654"/>
    </row>
    <row r="98" spans="1:19" x14ac:dyDescent="0.45">
      <c r="A98" s="655">
        <v>1788</v>
      </c>
      <c r="B98" s="682"/>
      <c r="C98" s="682"/>
      <c r="D98" s="682"/>
      <c r="E98" s="682"/>
      <c r="F98" s="682"/>
      <c r="G98" s="682"/>
      <c r="H98" s="946">
        <v>484.39251856605324</v>
      </c>
      <c r="I98" s="946">
        <v>71.554465595129216</v>
      </c>
      <c r="J98" s="682"/>
      <c r="K98" s="654"/>
      <c r="L98" s="654"/>
      <c r="M98" s="682"/>
      <c r="N98" s="683">
        <f t="shared" si="2"/>
        <v>555.9469841611824</v>
      </c>
      <c r="O98" s="682"/>
      <c r="P98" s="682"/>
      <c r="Q98" s="683">
        <f t="shared" si="3"/>
        <v>555.9469841611824</v>
      </c>
      <c r="R98" s="682"/>
      <c r="S98" s="654"/>
    </row>
    <row r="99" spans="1:19" x14ac:dyDescent="0.45">
      <c r="A99" s="655">
        <v>1789</v>
      </c>
      <c r="B99" s="682"/>
      <c r="C99" s="682"/>
      <c r="D99" s="682"/>
      <c r="E99" s="682"/>
      <c r="F99" s="682"/>
      <c r="G99" s="682"/>
      <c r="H99" s="946">
        <v>481.11000803509785</v>
      </c>
      <c r="I99" s="946">
        <v>70.284048392410782</v>
      </c>
      <c r="J99" s="682"/>
      <c r="K99" s="654"/>
      <c r="L99" s="654"/>
      <c r="M99" s="682"/>
      <c r="N99" s="683">
        <f t="shared" si="2"/>
        <v>551.39405642750864</v>
      </c>
      <c r="O99" s="682"/>
      <c r="P99" s="682"/>
      <c r="Q99" s="683">
        <f t="shared" si="3"/>
        <v>551.39405642750864</v>
      </c>
      <c r="R99" s="682"/>
      <c r="S99" s="654"/>
    </row>
    <row r="100" spans="1:19" x14ac:dyDescent="0.45">
      <c r="A100" s="655">
        <v>1790</v>
      </c>
      <c r="B100" s="682"/>
      <c r="C100" s="682"/>
      <c r="D100" s="682"/>
      <c r="E100" s="682"/>
      <c r="F100" s="682"/>
      <c r="G100" s="682"/>
      <c r="H100" s="946">
        <v>477.63555722687227</v>
      </c>
      <c r="I100" s="946">
        <v>69.052074397511603</v>
      </c>
      <c r="J100" s="682"/>
      <c r="K100" s="654"/>
      <c r="L100" s="654"/>
      <c r="M100" s="682"/>
      <c r="N100" s="683">
        <f t="shared" si="2"/>
        <v>546.68763162438381</v>
      </c>
      <c r="O100" s="682"/>
      <c r="P100" s="682"/>
      <c r="Q100" s="683">
        <f t="shared" si="3"/>
        <v>546.68763162438381</v>
      </c>
      <c r="R100" s="682"/>
      <c r="S100" s="654"/>
    </row>
    <row r="101" spans="1:19" x14ac:dyDescent="0.45">
      <c r="A101" s="655">
        <v>1791</v>
      </c>
      <c r="B101" s="682"/>
      <c r="C101" s="682"/>
      <c r="D101" s="682"/>
      <c r="E101" s="682"/>
      <c r="F101" s="682"/>
      <c r="G101" s="682"/>
      <c r="H101" s="946">
        <v>473.97086575132442</v>
      </c>
      <c r="I101" s="946">
        <v>68.609939812007909</v>
      </c>
      <c r="J101" s="682"/>
      <c r="K101" s="654"/>
      <c r="L101" s="654"/>
      <c r="M101" s="682"/>
      <c r="N101" s="683">
        <f t="shared" si="2"/>
        <v>542.58080556333232</v>
      </c>
      <c r="O101" s="682"/>
      <c r="P101" s="682"/>
      <c r="Q101" s="683">
        <f t="shared" si="3"/>
        <v>542.58080556333232</v>
      </c>
      <c r="R101" s="682"/>
      <c r="S101" s="654"/>
    </row>
    <row r="102" spans="1:19" x14ac:dyDescent="0.45">
      <c r="A102" s="655">
        <v>1792</v>
      </c>
      <c r="B102" s="682"/>
      <c r="C102" s="682"/>
      <c r="D102" s="682"/>
      <c r="E102" s="682"/>
      <c r="F102" s="682"/>
      <c r="G102" s="682"/>
      <c r="H102" s="946">
        <v>470.11761321097731</v>
      </c>
      <c r="I102" s="946">
        <v>68.877681787696474</v>
      </c>
      <c r="J102" s="682"/>
      <c r="K102" s="654"/>
      <c r="L102" s="654"/>
      <c r="M102" s="682"/>
      <c r="N102" s="683">
        <f t="shared" si="2"/>
        <v>538.99529499867378</v>
      </c>
      <c r="O102" s="682"/>
      <c r="P102" s="682"/>
      <c r="Q102" s="683">
        <f t="shared" si="3"/>
        <v>538.99529499867378</v>
      </c>
      <c r="R102" s="682"/>
      <c r="S102" s="654"/>
    </row>
    <row r="103" spans="1:19" x14ac:dyDescent="0.45">
      <c r="A103" s="655">
        <v>1793</v>
      </c>
      <c r="B103" s="682"/>
      <c r="C103" s="682"/>
      <c r="D103" s="682"/>
      <c r="E103" s="682"/>
      <c r="F103" s="682"/>
      <c r="G103" s="682"/>
      <c r="H103" s="946">
        <v>466.07745949447178</v>
      </c>
      <c r="I103" s="946">
        <v>69.47653006709379</v>
      </c>
      <c r="J103" s="682"/>
      <c r="K103" s="654"/>
      <c r="L103" s="654"/>
      <c r="M103" s="682"/>
      <c r="N103" s="683">
        <f t="shared" si="2"/>
        <v>535.55398956156557</v>
      </c>
      <c r="O103" s="682"/>
      <c r="P103" s="682"/>
      <c r="Q103" s="683">
        <f t="shared" si="3"/>
        <v>535.55398956156557</v>
      </c>
      <c r="R103" s="682"/>
      <c r="S103" s="654"/>
    </row>
    <row r="104" spans="1:19" x14ac:dyDescent="0.45">
      <c r="A104" s="655">
        <v>1794</v>
      </c>
      <c r="B104" s="682"/>
      <c r="C104" s="682"/>
      <c r="D104" s="682"/>
      <c r="E104" s="682"/>
      <c r="F104" s="682"/>
      <c r="G104" s="682"/>
      <c r="H104" s="946">
        <v>461.85204506495126</v>
      </c>
      <c r="I104" s="946">
        <v>69.660972838066911</v>
      </c>
      <c r="J104" s="682"/>
      <c r="K104" s="654"/>
      <c r="L104" s="654"/>
      <c r="M104" s="682"/>
      <c r="N104" s="683">
        <f t="shared" si="2"/>
        <v>531.51301790301818</v>
      </c>
      <c r="O104" s="682"/>
      <c r="P104" s="682"/>
      <c r="Q104" s="683">
        <f t="shared" si="3"/>
        <v>531.51301790301818</v>
      </c>
      <c r="R104" s="682"/>
      <c r="S104" s="654"/>
    </row>
    <row r="105" spans="1:19" x14ac:dyDescent="0.45">
      <c r="A105" s="655">
        <v>1795</v>
      </c>
      <c r="B105" s="682"/>
      <c r="C105" s="682"/>
      <c r="D105" s="682"/>
      <c r="E105" s="682"/>
      <c r="F105" s="682"/>
      <c r="G105" s="682"/>
      <c r="H105" s="946">
        <v>457.44299124340199</v>
      </c>
      <c r="I105" s="946">
        <v>69.488649819874126</v>
      </c>
      <c r="J105" s="682"/>
      <c r="K105" s="654"/>
      <c r="L105" s="654"/>
      <c r="M105" s="682"/>
      <c r="N105" s="683">
        <f t="shared" si="2"/>
        <v>526.93164106327617</v>
      </c>
      <c r="O105" s="682"/>
      <c r="P105" s="682"/>
      <c r="Q105" s="683">
        <f t="shared" si="3"/>
        <v>526.93164106327617</v>
      </c>
      <c r="R105" s="682"/>
      <c r="S105" s="654"/>
    </row>
    <row r="106" spans="1:19" x14ac:dyDescent="0.45">
      <c r="A106" s="655">
        <v>1796</v>
      </c>
      <c r="B106" s="682"/>
      <c r="C106" s="682"/>
      <c r="D106" s="682"/>
      <c r="E106" s="682"/>
      <c r="F106" s="682"/>
      <c r="G106" s="682"/>
      <c r="H106" s="946">
        <v>452.85190048704646</v>
      </c>
      <c r="I106" s="946">
        <v>69.315126152049899</v>
      </c>
      <c r="J106" s="682"/>
      <c r="K106" s="654"/>
      <c r="L106" s="654"/>
      <c r="M106" s="682"/>
      <c r="N106" s="683">
        <f t="shared" si="2"/>
        <v>522.16702663909632</v>
      </c>
      <c r="O106" s="682"/>
      <c r="P106" s="682"/>
      <c r="Q106" s="683">
        <f t="shared" si="3"/>
        <v>522.16702663909632</v>
      </c>
      <c r="R106" s="682"/>
      <c r="S106" s="654"/>
    </row>
    <row r="107" spans="1:19" x14ac:dyDescent="0.45">
      <c r="A107" s="655">
        <v>1797</v>
      </c>
      <c r="B107" s="682"/>
      <c r="C107" s="682"/>
      <c r="D107" s="682"/>
      <c r="E107" s="682"/>
      <c r="F107" s="682"/>
      <c r="G107" s="682"/>
      <c r="H107" s="946">
        <v>448.08035666289385</v>
      </c>
      <c r="I107" s="946">
        <v>68.094947769838925</v>
      </c>
      <c r="J107" s="682"/>
      <c r="K107" s="654"/>
      <c r="L107" s="654"/>
      <c r="M107" s="682"/>
      <c r="N107" s="683">
        <f t="shared" si="2"/>
        <v>516.17530443273279</v>
      </c>
      <c r="O107" s="682"/>
      <c r="P107" s="682"/>
      <c r="Q107" s="683">
        <f t="shared" si="3"/>
        <v>516.17530443273279</v>
      </c>
      <c r="R107" s="682"/>
      <c r="S107" s="654"/>
    </row>
    <row r="108" spans="1:19" x14ac:dyDescent="0.45">
      <c r="A108" s="655">
        <v>1798</v>
      </c>
      <c r="B108" s="682"/>
      <c r="C108" s="682"/>
      <c r="D108" s="682"/>
      <c r="E108" s="682"/>
      <c r="F108" s="682"/>
      <c r="G108" s="682"/>
      <c r="H108" s="946">
        <v>443.12992531654265</v>
      </c>
      <c r="I108" s="946">
        <v>66.649481707171859</v>
      </c>
      <c r="J108" s="682"/>
      <c r="K108" s="654"/>
      <c r="L108" s="654"/>
      <c r="M108" s="682"/>
      <c r="N108" s="683">
        <f t="shared" si="2"/>
        <v>509.7794070237145</v>
      </c>
      <c r="O108" s="682"/>
      <c r="P108" s="682"/>
      <c r="Q108" s="683">
        <f t="shared" si="3"/>
        <v>509.7794070237145</v>
      </c>
      <c r="R108" s="682"/>
      <c r="S108" s="654"/>
    </row>
    <row r="109" spans="1:19" x14ac:dyDescent="0.45">
      <c r="A109" s="655">
        <v>1799</v>
      </c>
      <c r="B109" s="682"/>
      <c r="C109" s="682"/>
      <c r="D109" s="682"/>
      <c r="E109" s="682"/>
      <c r="F109" s="682"/>
      <c r="G109" s="682"/>
      <c r="H109" s="946">
        <v>438.00215393633459</v>
      </c>
      <c r="I109" s="946">
        <v>67.095611248922822</v>
      </c>
      <c r="J109" s="682"/>
      <c r="K109" s="654"/>
      <c r="L109" s="654"/>
      <c r="M109" s="682"/>
      <c r="N109" s="683">
        <f t="shared" si="2"/>
        <v>505.0977651852574</v>
      </c>
      <c r="O109" s="682"/>
      <c r="P109" s="682"/>
      <c r="Q109" s="683">
        <f t="shared" si="3"/>
        <v>505.0977651852574</v>
      </c>
      <c r="R109" s="682"/>
      <c r="S109" s="654"/>
    </row>
    <row r="110" spans="1:19" x14ac:dyDescent="0.45">
      <c r="A110" s="655">
        <v>1800</v>
      </c>
      <c r="B110" s="682"/>
      <c r="C110" s="682"/>
      <c r="D110" s="682"/>
      <c r="E110" s="682"/>
      <c r="F110" s="682"/>
      <c r="G110" s="682"/>
      <c r="H110" s="946">
        <v>432.69857221294831</v>
      </c>
      <c r="I110" s="946">
        <v>67.665576167251857</v>
      </c>
      <c r="J110" s="682"/>
      <c r="K110" s="654"/>
      <c r="L110" s="654"/>
      <c r="M110" s="682"/>
      <c r="N110" s="683">
        <f t="shared" si="2"/>
        <v>500.36414838020016</v>
      </c>
      <c r="O110" s="682"/>
      <c r="P110" s="682"/>
      <c r="Q110" s="683">
        <f t="shared" si="3"/>
        <v>500.36414838020016</v>
      </c>
      <c r="R110" s="682"/>
      <c r="S110" s="654"/>
    </row>
    <row r="111" spans="1:19" x14ac:dyDescent="0.45">
      <c r="A111" s="655">
        <v>1801</v>
      </c>
      <c r="B111" s="682"/>
      <c r="C111" s="682"/>
      <c r="D111" s="682"/>
      <c r="E111" s="682"/>
      <c r="F111" s="682"/>
      <c r="G111" s="682"/>
      <c r="H111" s="946">
        <v>444.36323856448553</v>
      </c>
      <c r="I111" s="946">
        <v>67.52418442742885</v>
      </c>
      <c r="J111" s="682"/>
      <c r="K111" s="654"/>
      <c r="L111" s="654"/>
      <c r="M111" s="682"/>
      <c r="N111" s="683">
        <f t="shared" si="2"/>
        <v>511.88742299191438</v>
      </c>
      <c r="O111" s="682"/>
      <c r="P111" s="682"/>
      <c r="Q111" s="683">
        <f t="shared" si="3"/>
        <v>511.88742299191438</v>
      </c>
      <c r="R111" s="682"/>
      <c r="S111" s="654"/>
    </row>
    <row r="112" spans="1:19" x14ac:dyDescent="0.45">
      <c r="A112" s="655">
        <v>1802</v>
      </c>
      <c r="B112" s="682"/>
      <c r="C112" s="682"/>
      <c r="D112" s="682"/>
      <c r="E112" s="682"/>
      <c r="F112" s="682"/>
      <c r="G112" s="682"/>
      <c r="H112" s="946">
        <v>455.02652942668425</v>
      </c>
      <c r="I112" s="946">
        <v>66.925722864045383</v>
      </c>
      <c r="J112" s="682"/>
      <c r="K112" s="654"/>
      <c r="L112" s="654"/>
      <c r="M112" s="682"/>
      <c r="N112" s="683">
        <f t="shared" si="2"/>
        <v>521.95225229072958</v>
      </c>
      <c r="O112" s="682"/>
      <c r="P112" s="682"/>
      <c r="Q112" s="683">
        <f t="shared" si="3"/>
        <v>521.95225229072958</v>
      </c>
      <c r="R112" s="682"/>
      <c r="S112" s="654"/>
    </row>
    <row r="113" spans="1:19" x14ac:dyDescent="0.45">
      <c r="A113" s="655">
        <v>1803</v>
      </c>
      <c r="B113" s="682"/>
      <c r="C113" s="682"/>
      <c r="D113" s="682"/>
      <c r="E113" s="682"/>
      <c r="F113" s="682"/>
      <c r="G113" s="682"/>
      <c r="H113" s="946">
        <v>464.69700854478566</v>
      </c>
      <c r="I113" s="946">
        <v>66.875045394551051</v>
      </c>
      <c r="J113" s="682"/>
      <c r="K113" s="654"/>
      <c r="L113" s="654"/>
      <c r="M113" s="682"/>
      <c r="N113" s="683">
        <f t="shared" si="2"/>
        <v>531.57205393933668</v>
      </c>
      <c r="O113" s="682"/>
      <c r="P113" s="682"/>
      <c r="Q113" s="683">
        <f t="shared" si="3"/>
        <v>531.57205393933668</v>
      </c>
      <c r="R113" s="682"/>
      <c r="S113" s="654"/>
    </row>
    <row r="114" spans="1:19" x14ac:dyDescent="0.45">
      <c r="A114" s="655">
        <v>1804</v>
      </c>
      <c r="B114" s="682"/>
      <c r="C114" s="682"/>
      <c r="D114" s="682"/>
      <c r="E114" s="682"/>
      <c r="F114" s="682"/>
      <c r="G114" s="682"/>
      <c r="H114" s="946">
        <v>473.38314229227734</v>
      </c>
      <c r="I114" s="946">
        <v>67.411254792071489</v>
      </c>
      <c r="J114" s="682"/>
      <c r="K114" s="654"/>
      <c r="L114" s="654"/>
      <c r="M114" s="682"/>
      <c r="N114" s="683">
        <f t="shared" si="2"/>
        <v>540.79439708434882</v>
      </c>
      <c r="O114" s="682"/>
      <c r="P114" s="682"/>
      <c r="Q114" s="683">
        <f t="shared" si="3"/>
        <v>540.79439708434882</v>
      </c>
      <c r="R114" s="682"/>
      <c r="S114" s="654"/>
    </row>
    <row r="115" spans="1:19" x14ac:dyDescent="0.45">
      <c r="A115" s="655">
        <v>1805</v>
      </c>
      <c r="B115" s="682"/>
      <c r="C115" s="682"/>
      <c r="D115" s="682"/>
      <c r="E115" s="682"/>
      <c r="F115" s="682"/>
      <c r="G115" s="682"/>
      <c r="H115" s="946">
        <v>481.09330105089316</v>
      </c>
      <c r="I115" s="946">
        <v>67.544617973434399</v>
      </c>
      <c r="J115" s="682"/>
      <c r="K115" s="654"/>
      <c r="L115" s="654"/>
      <c r="M115" s="682"/>
      <c r="N115" s="683">
        <f t="shared" si="2"/>
        <v>548.63791902432752</v>
      </c>
      <c r="O115" s="682"/>
      <c r="P115" s="682"/>
      <c r="Q115" s="683">
        <f t="shared" si="3"/>
        <v>548.63791902432752</v>
      </c>
      <c r="R115" s="682"/>
      <c r="S115" s="654"/>
    </row>
    <row r="116" spans="1:19" x14ac:dyDescent="0.45">
      <c r="A116" s="655">
        <v>1806</v>
      </c>
      <c r="B116" s="682"/>
      <c r="C116" s="682"/>
      <c r="D116" s="682"/>
      <c r="E116" s="682"/>
      <c r="F116" s="682"/>
      <c r="G116" s="682"/>
      <c r="H116" s="946">
        <v>487.83576056721319</v>
      </c>
      <c r="I116" s="946">
        <v>67.594581053759185</v>
      </c>
      <c r="J116" s="682"/>
      <c r="K116" s="654"/>
      <c r="L116" s="654"/>
      <c r="M116" s="682"/>
      <c r="N116" s="683">
        <f t="shared" si="2"/>
        <v>555.4303416209724</v>
      </c>
      <c r="O116" s="682"/>
      <c r="P116" s="682"/>
      <c r="Q116" s="683">
        <f t="shared" si="3"/>
        <v>555.4303416209724</v>
      </c>
      <c r="R116" s="682"/>
      <c r="S116" s="654"/>
    </row>
    <row r="117" spans="1:19" x14ac:dyDescent="0.45">
      <c r="A117" s="655">
        <v>1807</v>
      </c>
      <c r="B117" s="682"/>
      <c r="C117" s="682"/>
      <c r="D117" s="682"/>
      <c r="E117" s="682"/>
      <c r="F117" s="682"/>
      <c r="G117" s="682"/>
      <c r="H117" s="946">
        <v>493.61870328631881</v>
      </c>
      <c r="I117" s="946">
        <v>67.792670039334382</v>
      </c>
      <c r="J117" s="682"/>
      <c r="K117" s="654"/>
      <c r="L117" s="654"/>
      <c r="M117" s="682"/>
      <c r="N117" s="683">
        <f t="shared" si="2"/>
        <v>561.41137332565313</v>
      </c>
      <c r="O117" s="682"/>
      <c r="P117" s="682"/>
      <c r="Q117" s="683">
        <f t="shared" si="3"/>
        <v>561.41137332565313</v>
      </c>
      <c r="R117" s="682"/>
      <c r="S117" s="654"/>
    </row>
    <row r="118" spans="1:19" x14ac:dyDescent="0.45">
      <c r="A118" s="655">
        <v>1808</v>
      </c>
      <c r="B118" s="682"/>
      <c r="C118" s="682"/>
      <c r="D118" s="682"/>
      <c r="E118" s="682"/>
      <c r="F118" s="682"/>
      <c r="G118" s="682"/>
      <c r="H118" s="946">
        <v>498.45021966295951</v>
      </c>
      <c r="I118" s="946">
        <v>67.508564199990957</v>
      </c>
      <c r="J118" s="682"/>
      <c r="K118" s="654"/>
      <c r="L118" s="654"/>
      <c r="M118" s="682"/>
      <c r="N118" s="683">
        <f t="shared" si="2"/>
        <v>565.95878386295044</v>
      </c>
      <c r="O118" s="682"/>
      <c r="P118" s="682"/>
      <c r="Q118" s="683">
        <f t="shared" si="3"/>
        <v>565.95878386295044</v>
      </c>
      <c r="R118" s="682"/>
      <c r="S118" s="654"/>
    </row>
    <row r="119" spans="1:19" x14ac:dyDescent="0.45">
      <c r="A119" s="655">
        <v>1809</v>
      </c>
      <c r="B119" s="682"/>
      <c r="C119" s="682"/>
      <c r="D119" s="682"/>
      <c r="E119" s="682"/>
      <c r="F119" s="682"/>
      <c r="G119" s="682"/>
      <c r="H119" s="946">
        <v>502.33830945067047</v>
      </c>
      <c r="I119" s="946">
        <v>67.258265632134396</v>
      </c>
      <c r="J119" s="682"/>
      <c r="K119" s="654"/>
      <c r="L119" s="654"/>
      <c r="M119" s="682"/>
      <c r="N119" s="683">
        <f t="shared" si="2"/>
        <v>569.59657508280486</v>
      </c>
      <c r="O119" s="682"/>
      <c r="P119" s="682"/>
      <c r="Q119" s="683">
        <f t="shared" si="3"/>
        <v>569.59657508280486</v>
      </c>
      <c r="R119" s="682"/>
      <c r="S119" s="654"/>
    </row>
    <row r="120" spans="1:19" x14ac:dyDescent="0.45">
      <c r="A120" s="655">
        <v>1810</v>
      </c>
      <c r="B120" s="682"/>
      <c r="C120" s="682"/>
      <c r="D120" s="682"/>
      <c r="E120" s="682"/>
      <c r="F120" s="682"/>
      <c r="G120" s="682"/>
      <c r="H120" s="946">
        <v>505.2908829692683</v>
      </c>
      <c r="I120" s="946">
        <v>67.981197056342936</v>
      </c>
      <c r="J120" s="682"/>
      <c r="K120" s="654"/>
      <c r="L120" s="654"/>
      <c r="M120" s="682"/>
      <c r="N120" s="683">
        <f t="shared" si="2"/>
        <v>573.27208002561122</v>
      </c>
      <c r="O120" s="682"/>
      <c r="P120" s="682"/>
      <c r="Q120" s="683">
        <f t="shared" si="3"/>
        <v>573.27208002561122</v>
      </c>
      <c r="R120" s="682"/>
      <c r="S120" s="654"/>
    </row>
    <row r="121" spans="1:19" x14ac:dyDescent="0.45">
      <c r="A121" s="655">
        <v>1811</v>
      </c>
      <c r="B121" s="682"/>
      <c r="C121" s="682"/>
      <c r="D121" s="682"/>
      <c r="E121" s="682"/>
      <c r="F121" s="682"/>
      <c r="G121" s="682"/>
      <c r="H121" s="946">
        <v>507.31576235116125</v>
      </c>
      <c r="I121" s="946">
        <v>68.608276585595775</v>
      </c>
      <c r="J121" s="682"/>
      <c r="K121" s="654"/>
      <c r="L121" s="654"/>
      <c r="M121" s="682"/>
      <c r="N121" s="683">
        <f t="shared" si="2"/>
        <v>575.92403893675703</v>
      </c>
      <c r="O121" s="682"/>
      <c r="P121" s="682"/>
      <c r="Q121" s="683">
        <f t="shared" si="3"/>
        <v>575.92403893675703</v>
      </c>
      <c r="R121" s="682"/>
      <c r="S121" s="654"/>
    </row>
    <row r="122" spans="1:19" x14ac:dyDescent="0.45">
      <c r="A122" s="655">
        <v>1812</v>
      </c>
      <c r="B122" s="682"/>
      <c r="C122" s="682"/>
      <c r="D122" s="682"/>
      <c r="E122" s="682"/>
      <c r="F122" s="682"/>
      <c r="G122" s="682"/>
      <c r="H122" s="946">
        <v>508.42068276686513</v>
      </c>
      <c r="I122" s="946">
        <v>68.899929971515363</v>
      </c>
      <c r="J122" s="682"/>
      <c r="K122" s="654"/>
      <c r="L122" s="654"/>
      <c r="M122" s="682"/>
      <c r="N122" s="683">
        <f t="shared" si="2"/>
        <v>577.32061273838053</v>
      </c>
      <c r="O122" s="682"/>
      <c r="P122" s="682"/>
      <c r="Q122" s="683">
        <f t="shared" si="3"/>
        <v>577.32061273838053</v>
      </c>
      <c r="R122" s="682"/>
      <c r="S122" s="654"/>
    </row>
    <row r="123" spans="1:19" x14ac:dyDescent="0.45">
      <c r="A123" s="655">
        <v>1813</v>
      </c>
      <c r="B123" s="682"/>
      <c r="C123" s="682"/>
      <c r="D123" s="682"/>
      <c r="E123" s="682"/>
      <c r="F123" s="682"/>
      <c r="G123" s="682"/>
      <c r="H123" s="946">
        <v>508.61329363013965</v>
      </c>
      <c r="I123" s="946">
        <v>68.292474792467175</v>
      </c>
      <c r="J123" s="682"/>
      <c r="K123" s="654"/>
      <c r="L123" s="654"/>
      <c r="M123" s="682"/>
      <c r="N123" s="683">
        <f t="shared" si="2"/>
        <v>576.9057684226068</v>
      </c>
      <c r="O123" s="682"/>
      <c r="P123" s="682"/>
      <c r="Q123" s="683">
        <f t="shared" si="3"/>
        <v>576.9057684226068</v>
      </c>
      <c r="R123" s="682"/>
      <c r="S123" s="654"/>
    </row>
    <row r="124" spans="1:19" x14ac:dyDescent="0.45">
      <c r="A124" s="655">
        <v>1814</v>
      </c>
      <c r="B124" s="682"/>
      <c r="C124" s="682"/>
      <c r="D124" s="682"/>
      <c r="E124" s="682"/>
      <c r="F124" s="682"/>
      <c r="G124" s="682"/>
      <c r="H124" s="946">
        <v>507.90115978315129</v>
      </c>
      <c r="I124" s="946">
        <v>68.17060497053447</v>
      </c>
      <c r="J124" s="682"/>
      <c r="K124" s="654"/>
      <c r="L124" s="654"/>
      <c r="M124" s="682"/>
      <c r="N124" s="683">
        <f t="shared" si="2"/>
        <v>576.07176475368578</v>
      </c>
      <c r="O124" s="682"/>
      <c r="P124" s="682"/>
      <c r="Q124" s="683">
        <f t="shared" si="3"/>
        <v>576.07176475368578</v>
      </c>
      <c r="R124" s="682"/>
      <c r="S124" s="654"/>
    </row>
    <row r="125" spans="1:19" x14ac:dyDescent="0.45">
      <c r="A125" s="655">
        <v>1815</v>
      </c>
      <c r="B125" s="682"/>
      <c r="C125" s="682"/>
      <c r="D125" s="682"/>
      <c r="E125" s="682"/>
      <c r="F125" s="682"/>
      <c r="G125" s="682"/>
      <c r="H125" s="946">
        <v>506.29176266201904</v>
      </c>
      <c r="I125" s="946">
        <v>68.510236704997112</v>
      </c>
      <c r="J125" s="682"/>
      <c r="K125" s="654"/>
      <c r="L125" s="654"/>
      <c r="M125" s="682"/>
      <c r="N125" s="683">
        <f t="shared" si="2"/>
        <v>574.80199936701615</v>
      </c>
      <c r="O125" s="682"/>
      <c r="P125" s="682"/>
      <c r="Q125" s="683">
        <f t="shared" si="3"/>
        <v>574.80199936701615</v>
      </c>
      <c r="R125" s="682"/>
      <c r="S125" s="654"/>
    </row>
    <row r="126" spans="1:19" x14ac:dyDescent="0.45">
      <c r="A126" s="655">
        <v>1816</v>
      </c>
      <c r="B126" s="682"/>
      <c r="C126" s="682"/>
      <c r="D126" s="682"/>
      <c r="E126" s="682"/>
      <c r="F126" s="682"/>
      <c r="G126" s="682"/>
      <c r="H126" s="946">
        <v>503.79250144314778</v>
      </c>
      <c r="I126" s="946">
        <v>68.379602089864989</v>
      </c>
      <c r="J126" s="682"/>
      <c r="K126" s="654"/>
      <c r="L126" s="654"/>
      <c r="M126" s="682"/>
      <c r="N126" s="683">
        <f t="shared" si="2"/>
        <v>572.17210353301277</v>
      </c>
      <c r="O126" s="682"/>
      <c r="P126" s="682"/>
      <c r="Q126" s="683">
        <f t="shared" si="3"/>
        <v>572.17210353301277</v>
      </c>
      <c r="R126" s="682"/>
      <c r="S126" s="654"/>
    </row>
    <row r="127" spans="1:19" x14ac:dyDescent="0.45">
      <c r="A127" s="655">
        <v>1817</v>
      </c>
      <c r="B127" s="682"/>
      <c r="C127" s="682"/>
      <c r="D127" s="682"/>
      <c r="E127" s="682"/>
      <c r="F127" s="682"/>
      <c r="G127" s="682"/>
      <c r="H127" s="946">
        <v>496.79767756945211</v>
      </c>
      <c r="I127" s="946">
        <v>68.156998340986249</v>
      </c>
      <c r="J127" s="682"/>
      <c r="K127" s="654"/>
      <c r="L127" s="654"/>
      <c r="M127" s="682"/>
      <c r="N127" s="683">
        <f t="shared" si="2"/>
        <v>564.95467591043837</v>
      </c>
      <c r="O127" s="682"/>
      <c r="P127" s="682"/>
      <c r="Q127" s="683">
        <f t="shared" si="3"/>
        <v>564.95467591043837</v>
      </c>
      <c r="R127" s="682"/>
      <c r="S127" s="654"/>
    </row>
    <row r="128" spans="1:19" x14ac:dyDescent="0.45">
      <c r="A128" s="655">
        <v>1818</v>
      </c>
      <c r="B128" s="682"/>
      <c r="C128" s="682"/>
      <c r="D128" s="682"/>
      <c r="E128" s="682"/>
      <c r="F128" s="682"/>
      <c r="G128" s="682"/>
      <c r="H128" s="946">
        <v>489.1813014081352</v>
      </c>
      <c r="I128" s="946">
        <v>68.716716337309208</v>
      </c>
      <c r="J128" s="682"/>
      <c r="K128" s="654"/>
      <c r="L128" s="654"/>
      <c r="M128" s="682"/>
      <c r="N128" s="683">
        <f t="shared" si="2"/>
        <v>557.89801774544435</v>
      </c>
      <c r="O128" s="682"/>
      <c r="P128" s="682"/>
      <c r="Q128" s="683">
        <f t="shared" si="3"/>
        <v>557.89801774544435</v>
      </c>
      <c r="R128" s="682"/>
      <c r="S128" s="654"/>
    </row>
    <row r="129" spans="1:19" x14ac:dyDescent="0.45">
      <c r="A129" s="655">
        <v>1819</v>
      </c>
      <c r="B129" s="682"/>
      <c r="C129" s="682"/>
      <c r="D129" s="682"/>
      <c r="E129" s="682"/>
      <c r="F129" s="682"/>
      <c r="G129" s="682"/>
      <c r="H129" s="946">
        <v>480.94845659566113</v>
      </c>
      <c r="I129" s="946">
        <v>68.775559752843833</v>
      </c>
      <c r="J129" s="682"/>
      <c r="K129" s="654"/>
      <c r="L129" s="654"/>
      <c r="M129" s="682"/>
      <c r="N129" s="683">
        <f t="shared" si="2"/>
        <v>549.72401634850496</v>
      </c>
      <c r="O129" s="682"/>
      <c r="P129" s="682"/>
      <c r="Q129" s="683">
        <f t="shared" si="3"/>
        <v>549.72401634850496</v>
      </c>
      <c r="R129" s="682"/>
      <c r="S129" s="654"/>
    </row>
    <row r="130" spans="1:19" x14ac:dyDescent="0.45">
      <c r="A130" s="655">
        <v>1820</v>
      </c>
      <c r="B130" s="682"/>
      <c r="C130" s="682"/>
      <c r="D130" s="682"/>
      <c r="E130" s="682"/>
      <c r="F130" s="682"/>
      <c r="G130" s="682"/>
      <c r="H130" s="946">
        <v>472.10417148090733</v>
      </c>
      <c r="I130" s="946">
        <v>69.609947694948829</v>
      </c>
      <c r="J130" s="682"/>
      <c r="K130" s="654"/>
      <c r="L130" s="654"/>
      <c r="M130" s="682"/>
      <c r="N130" s="683">
        <f t="shared" si="2"/>
        <v>541.71411917585613</v>
      </c>
      <c r="O130" s="682"/>
      <c r="P130" s="682"/>
      <c r="Q130" s="683">
        <f t="shared" si="3"/>
        <v>541.71411917585613</v>
      </c>
      <c r="R130" s="682"/>
      <c r="S130" s="654"/>
    </row>
    <row r="131" spans="1:19" x14ac:dyDescent="0.45">
      <c r="A131" s="655">
        <v>1821</v>
      </c>
      <c r="B131" s="682"/>
      <c r="C131" s="682"/>
      <c r="D131" s="682"/>
      <c r="E131" s="682"/>
      <c r="F131" s="682"/>
      <c r="G131" s="682"/>
      <c r="H131" s="946">
        <v>462.65341987473482</v>
      </c>
      <c r="I131" s="946">
        <v>70.427746449888161</v>
      </c>
      <c r="J131" s="682"/>
      <c r="K131" s="654"/>
      <c r="L131" s="654"/>
      <c r="M131" s="682"/>
      <c r="N131" s="683">
        <f t="shared" si="2"/>
        <v>533.08116632462293</v>
      </c>
      <c r="O131" s="682"/>
      <c r="P131" s="682"/>
      <c r="Q131" s="683">
        <f t="shared" si="3"/>
        <v>533.08116632462293</v>
      </c>
      <c r="R131" s="682"/>
      <c r="S131" s="654"/>
    </row>
    <row r="132" spans="1:19" x14ac:dyDescent="0.45">
      <c r="A132" s="655">
        <v>1822</v>
      </c>
      <c r="B132" s="682"/>
      <c r="C132" s="682"/>
      <c r="D132" s="682"/>
      <c r="E132" s="682"/>
      <c r="F132" s="682"/>
      <c r="G132" s="682"/>
      <c r="H132" s="946">
        <v>452.60112178739456</v>
      </c>
      <c r="I132" s="946">
        <v>71.060208506770522</v>
      </c>
      <c r="J132" s="682"/>
      <c r="K132" s="654"/>
      <c r="L132" s="654"/>
      <c r="M132" s="682"/>
      <c r="N132" s="683">
        <f t="shared" si="2"/>
        <v>523.66133029416505</v>
      </c>
      <c r="O132" s="682"/>
      <c r="P132" s="682"/>
      <c r="Q132" s="683">
        <f t="shared" si="3"/>
        <v>523.66133029416505</v>
      </c>
      <c r="R132" s="682"/>
      <c r="S132" s="654"/>
    </row>
    <row r="133" spans="1:19" x14ac:dyDescent="0.45">
      <c r="A133" s="655">
        <v>1823</v>
      </c>
      <c r="B133" s="682"/>
      <c r="C133" s="682"/>
      <c r="D133" s="682"/>
      <c r="E133" s="682"/>
      <c r="F133" s="682"/>
      <c r="G133" s="682"/>
      <c r="H133" s="946">
        <v>441.95214415400011</v>
      </c>
      <c r="I133" s="946">
        <v>71.695380523248474</v>
      </c>
      <c r="J133" s="682"/>
      <c r="K133" s="654"/>
      <c r="L133" s="654"/>
      <c r="M133" s="682"/>
      <c r="N133" s="683">
        <f t="shared" si="2"/>
        <v>513.64752467724861</v>
      </c>
      <c r="O133" s="682"/>
      <c r="P133" s="682"/>
      <c r="Q133" s="683">
        <f t="shared" si="3"/>
        <v>513.64752467724861</v>
      </c>
      <c r="R133" s="682"/>
      <c r="S133" s="654"/>
    </row>
    <row r="134" spans="1:19" x14ac:dyDescent="0.45">
      <c r="A134" s="655">
        <v>1824</v>
      </c>
      <c r="B134" s="682"/>
      <c r="C134" s="682"/>
      <c r="D134" s="682"/>
      <c r="E134" s="682"/>
      <c r="F134" s="682"/>
      <c r="G134" s="682"/>
      <c r="H134" s="946">
        <v>430.71130154829967</v>
      </c>
      <c r="I134" s="946">
        <v>72.300051459146843</v>
      </c>
      <c r="J134" s="682"/>
      <c r="K134" s="654"/>
      <c r="L134" s="654"/>
      <c r="M134" s="682"/>
      <c r="N134" s="683">
        <f t="shared" si="2"/>
        <v>503.01135300744653</v>
      </c>
      <c r="O134" s="682"/>
      <c r="P134" s="682"/>
      <c r="Q134" s="683">
        <f t="shared" si="3"/>
        <v>503.01135300744653</v>
      </c>
      <c r="R134" s="682"/>
      <c r="S134" s="654"/>
    </row>
    <row r="135" spans="1:19" x14ac:dyDescent="0.45">
      <c r="A135" s="655">
        <v>1825</v>
      </c>
      <c r="B135" s="682"/>
      <c r="C135" s="682"/>
      <c r="D135" s="682"/>
      <c r="E135" s="682"/>
      <c r="F135" s="682"/>
      <c r="G135" s="682"/>
      <c r="H135" s="946">
        <v>418.88335688495056</v>
      </c>
      <c r="I135" s="946">
        <v>72.803440545175818</v>
      </c>
      <c r="J135" s="682"/>
      <c r="K135" s="654"/>
      <c r="L135" s="654"/>
      <c r="M135" s="682"/>
      <c r="N135" s="683">
        <f t="shared" si="2"/>
        <v>491.68679743012638</v>
      </c>
      <c r="O135" s="682"/>
      <c r="P135" s="682"/>
      <c r="Q135" s="683">
        <f t="shared" si="3"/>
        <v>491.68679743012638</v>
      </c>
      <c r="R135" s="682"/>
      <c r="S135" s="654"/>
    </row>
    <row r="136" spans="1:19" x14ac:dyDescent="0.45">
      <c r="A136" s="655">
        <v>1826</v>
      </c>
      <c r="B136" s="682"/>
      <c r="C136" s="682"/>
      <c r="D136" s="682"/>
      <c r="E136" s="682"/>
      <c r="F136" s="682"/>
      <c r="G136" s="682"/>
      <c r="H136" s="946">
        <v>406.47302211052914</v>
      </c>
      <c r="I136" s="946">
        <v>73.684442062268545</v>
      </c>
      <c r="J136" s="682"/>
      <c r="K136" s="654"/>
      <c r="L136" s="654"/>
      <c r="M136" s="682"/>
      <c r="N136" s="683">
        <f t="shared" si="2"/>
        <v>480.15746417279769</v>
      </c>
      <c r="O136" s="682"/>
      <c r="P136" s="682"/>
      <c r="Q136" s="683">
        <f t="shared" si="3"/>
        <v>480.15746417279769</v>
      </c>
      <c r="R136" s="682"/>
      <c r="S136" s="654"/>
    </row>
    <row r="137" spans="1:19" x14ac:dyDescent="0.45">
      <c r="A137" s="655">
        <v>1827</v>
      </c>
      <c r="B137" s="682"/>
      <c r="C137" s="682"/>
      <c r="D137" s="682"/>
      <c r="E137" s="682"/>
      <c r="F137" s="682"/>
      <c r="G137" s="682"/>
      <c r="H137" s="946">
        <v>393.48495888347463</v>
      </c>
      <c r="I137" s="946">
        <v>72.982395332956074</v>
      </c>
      <c r="J137" s="682"/>
      <c r="K137" s="654"/>
      <c r="L137" s="654"/>
      <c r="M137" s="682"/>
      <c r="N137" s="683">
        <f t="shared" si="2"/>
        <v>466.46735421643069</v>
      </c>
      <c r="O137" s="682"/>
      <c r="P137" s="682"/>
      <c r="Q137" s="683">
        <f t="shared" si="3"/>
        <v>466.46735421643069</v>
      </c>
      <c r="R137" s="682"/>
      <c r="S137" s="654"/>
    </row>
    <row r="138" spans="1:19" x14ac:dyDescent="0.45">
      <c r="A138" s="655">
        <v>1828</v>
      </c>
      <c r="B138" s="682"/>
      <c r="C138" s="682"/>
      <c r="D138" s="682"/>
      <c r="E138" s="682"/>
      <c r="F138" s="682"/>
      <c r="G138" s="682"/>
      <c r="H138" s="946">
        <v>379.92377924317657</v>
      </c>
      <c r="I138" s="946">
        <v>73.605637751345512</v>
      </c>
      <c r="J138" s="682"/>
      <c r="K138" s="654"/>
      <c r="L138" s="654"/>
      <c r="M138" s="682"/>
      <c r="N138" s="683">
        <f t="shared" ref="N138:N201" si="4">SUM(H138:M138)</f>
        <v>453.52941699452208</v>
      </c>
      <c r="O138" s="682"/>
      <c r="P138" s="682"/>
      <c r="Q138" s="683">
        <f t="shared" ref="Q138:Q201" si="5">B138+N138+O138+P138</f>
        <v>453.52941699452208</v>
      </c>
      <c r="R138" s="682"/>
      <c r="S138" s="654"/>
    </row>
    <row r="139" spans="1:19" x14ac:dyDescent="0.45">
      <c r="A139" s="655">
        <v>1829</v>
      </c>
      <c r="B139" s="682"/>
      <c r="C139" s="682"/>
      <c r="D139" s="682"/>
      <c r="E139" s="682"/>
      <c r="F139" s="682"/>
      <c r="G139" s="682"/>
      <c r="H139" s="946">
        <v>365.79404626840852</v>
      </c>
      <c r="I139" s="946">
        <v>74.146981954625403</v>
      </c>
      <c r="J139" s="682"/>
      <c r="K139" s="654"/>
      <c r="L139" s="654"/>
      <c r="M139" s="682"/>
      <c r="N139" s="683">
        <f t="shared" si="4"/>
        <v>439.94102822303392</v>
      </c>
      <c r="O139" s="682"/>
      <c r="P139" s="682"/>
      <c r="Q139" s="683">
        <f t="shared" si="5"/>
        <v>439.94102822303392</v>
      </c>
      <c r="R139" s="682"/>
      <c r="S139" s="654"/>
    </row>
    <row r="140" spans="1:19" x14ac:dyDescent="0.45">
      <c r="A140" s="655">
        <v>1830</v>
      </c>
      <c r="B140" s="682"/>
      <c r="C140" s="682"/>
      <c r="D140" s="682"/>
      <c r="E140" s="682"/>
      <c r="F140" s="682"/>
      <c r="G140" s="682"/>
      <c r="H140" s="946">
        <v>335.30587249869774</v>
      </c>
      <c r="I140" s="946">
        <v>74.53793894701154</v>
      </c>
      <c r="J140" s="682"/>
      <c r="K140" s="654"/>
      <c r="L140" s="654"/>
      <c r="M140" s="682"/>
      <c r="N140" s="683">
        <f t="shared" si="4"/>
        <v>409.84381144570926</v>
      </c>
      <c r="O140" s="682"/>
      <c r="P140" s="682"/>
      <c r="Q140" s="683">
        <f t="shared" si="5"/>
        <v>409.84381144570926</v>
      </c>
      <c r="R140" s="682"/>
      <c r="S140" s="654"/>
    </row>
    <row r="141" spans="1:19" x14ac:dyDescent="0.45">
      <c r="A141" s="655">
        <v>1831</v>
      </c>
      <c r="B141" s="682"/>
      <c r="C141" s="682"/>
      <c r="D141" s="682"/>
      <c r="E141" s="682"/>
      <c r="F141" s="682"/>
      <c r="G141" s="682"/>
      <c r="H141" s="946">
        <v>333.77989220937457</v>
      </c>
      <c r="I141" s="946">
        <v>74.986060714286154</v>
      </c>
      <c r="J141" s="682"/>
      <c r="K141" s="654"/>
      <c r="L141" s="654"/>
      <c r="M141" s="682"/>
      <c r="N141" s="683">
        <f t="shared" si="4"/>
        <v>408.76595292366073</v>
      </c>
      <c r="O141" s="682"/>
      <c r="P141" s="682"/>
      <c r="Q141" s="683">
        <f t="shared" si="5"/>
        <v>408.76595292366073</v>
      </c>
      <c r="R141" s="682"/>
      <c r="S141" s="654"/>
    </row>
    <row r="142" spans="1:19" x14ac:dyDescent="0.45">
      <c r="A142" s="655">
        <v>1832</v>
      </c>
      <c r="B142" s="682"/>
      <c r="C142" s="682"/>
      <c r="D142" s="682"/>
      <c r="E142" s="682"/>
      <c r="F142" s="682"/>
      <c r="G142" s="682"/>
      <c r="H142" s="946">
        <v>334.93484634966302</v>
      </c>
      <c r="I142" s="946">
        <v>75.949385888674414</v>
      </c>
      <c r="J142" s="682"/>
      <c r="K142" s="654"/>
      <c r="L142" s="654"/>
      <c r="M142" s="682"/>
      <c r="N142" s="683">
        <f t="shared" si="4"/>
        <v>410.8842322383374</v>
      </c>
      <c r="O142" s="682"/>
      <c r="P142" s="682"/>
      <c r="Q142" s="683">
        <f t="shared" si="5"/>
        <v>410.8842322383374</v>
      </c>
      <c r="R142" s="682"/>
      <c r="S142" s="654"/>
    </row>
    <row r="143" spans="1:19" x14ac:dyDescent="0.45">
      <c r="A143" s="655">
        <v>1833</v>
      </c>
      <c r="B143" s="682"/>
      <c r="C143" s="682"/>
      <c r="D143" s="682"/>
      <c r="E143" s="682"/>
      <c r="F143" s="682"/>
      <c r="G143" s="682"/>
      <c r="H143" s="946">
        <v>335.01088990037425</v>
      </c>
      <c r="I143" s="946">
        <v>76.927160940678519</v>
      </c>
      <c r="J143" s="682"/>
      <c r="K143" s="654"/>
      <c r="L143" s="654"/>
      <c r="M143" s="682"/>
      <c r="N143" s="683">
        <f t="shared" si="4"/>
        <v>411.93805084105276</v>
      </c>
      <c r="O143" s="682"/>
      <c r="P143" s="682"/>
      <c r="Q143" s="683">
        <f t="shared" si="5"/>
        <v>411.93805084105276</v>
      </c>
      <c r="R143" s="682"/>
      <c r="S143" s="654"/>
    </row>
    <row r="144" spans="1:19" x14ac:dyDescent="0.45">
      <c r="A144" s="655">
        <v>1834</v>
      </c>
      <c r="B144" s="682"/>
      <c r="C144" s="682"/>
      <c r="D144" s="682"/>
      <c r="E144" s="682"/>
      <c r="F144" s="682"/>
      <c r="G144" s="682"/>
      <c r="H144" s="946">
        <v>336.73638203466737</v>
      </c>
      <c r="I144" s="946">
        <v>77.819409203565229</v>
      </c>
      <c r="J144" s="682"/>
      <c r="K144" s="654"/>
      <c r="L144" s="654"/>
      <c r="M144" s="682"/>
      <c r="N144" s="683">
        <f t="shared" si="4"/>
        <v>414.55579123823259</v>
      </c>
      <c r="O144" s="682"/>
      <c r="P144" s="682"/>
      <c r="Q144" s="683">
        <f t="shared" si="5"/>
        <v>414.55579123823259</v>
      </c>
      <c r="R144" s="682"/>
      <c r="S144" s="654"/>
    </row>
    <row r="145" spans="1:19" x14ac:dyDescent="0.45">
      <c r="A145" s="655">
        <v>1835</v>
      </c>
      <c r="B145" s="682"/>
      <c r="C145" s="682"/>
      <c r="D145" s="682"/>
      <c r="E145" s="682"/>
      <c r="F145" s="682"/>
      <c r="G145" s="682"/>
      <c r="H145" s="946">
        <v>342.36275293469021</v>
      </c>
      <c r="I145" s="946">
        <v>78.826737506516139</v>
      </c>
      <c r="J145" s="682"/>
      <c r="K145" s="654"/>
      <c r="L145" s="654"/>
      <c r="M145" s="682"/>
      <c r="N145" s="683">
        <f t="shared" si="4"/>
        <v>421.18949044120632</v>
      </c>
      <c r="O145" s="682"/>
      <c r="P145" s="682"/>
      <c r="Q145" s="683">
        <f t="shared" si="5"/>
        <v>421.18949044120632</v>
      </c>
      <c r="R145" s="682"/>
      <c r="S145" s="654"/>
    </row>
    <row r="146" spans="1:19" x14ac:dyDescent="0.45">
      <c r="A146" s="655">
        <v>1836</v>
      </c>
      <c r="B146" s="682"/>
      <c r="C146" s="682"/>
      <c r="D146" s="682"/>
      <c r="E146" s="682"/>
      <c r="F146" s="682"/>
      <c r="G146" s="682"/>
      <c r="H146" s="946">
        <v>346.74477653881416</v>
      </c>
      <c r="I146" s="946">
        <v>79.849175734011325</v>
      </c>
      <c r="J146" s="682"/>
      <c r="K146" s="654"/>
      <c r="L146" s="654"/>
      <c r="M146" s="682"/>
      <c r="N146" s="683">
        <f t="shared" si="4"/>
        <v>426.5939522728255</v>
      </c>
      <c r="O146" s="682"/>
      <c r="P146" s="682"/>
      <c r="Q146" s="683">
        <f t="shared" si="5"/>
        <v>426.5939522728255</v>
      </c>
      <c r="R146" s="682"/>
      <c r="S146" s="654"/>
    </row>
    <row r="147" spans="1:19" x14ac:dyDescent="0.45">
      <c r="A147" s="655">
        <v>1837</v>
      </c>
      <c r="B147" s="682"/>
      <c r="C147" s="682"/>
      <c r="D147" s="682"/>
      <c r="E147" s="682"/>
      <c r="F147" s="682"/>
      <c r="G147" s="682"/>
      <c r="H147" s="946">
        <v>348.31041834981806</v>
      </c>
      <c r="I147" s="946">
        <v>80.886950534918938</v>
      </c>
      <c r="J147" s="682"/>
      <c r="K147" s="654"/>
      <c r="L147" s="654"/>
      <c r="M147" s="682"/>
      <c r="N147" s="683">
        <f t="shared" si="4"/>
        <v>429.19736888473699</v>
      </c>
      <c r="O147" s="682"/>
      <c r="P147" s="682"/>
      <c r="Q147" s="683">
        <f t="shared" si="5"/>
        <v>429.19736888473699</v>
      </c>
      <c r="R147" s="682"/>
      <c r="S147" s="654"/>
    </row>
    <row r="148" spans="1:19" x14ac:dyDescent="0.45">
      <c r="A148" s="655">
        <v>1838</v>
      </c>
      <c r="B148" s="682"/>
      <c r="C148" s="682"/>
      <c r="D148" s="682"/>
      <c r="E148" s="682"/>
      <c r="F148" s="682"/>
      <c r="G148" s="682"/>
      <c r="H148" s="946">
        <v>352.66408942784204</v>
      </c>
      <c r="I148" s="946">
        <v>81.611374181661688</v>
      </c>
      <c r="J148" s="682"/>
      <c r="K148" s="654"/>
      <c r="L148" s="654"/>
      <c r="M148" s="682"/>
      <c r="N148" s="683">
        <f t="shared" si="4"/>
        <v>434.27546360950373</v>
      </c>
      <c r="O148" s="682"/>
      <c r="P148" s="682"/>
      <c r="Q148" s="683">
        <f t="shared" si="5"/>
        <v>434.27546360950373</v>
      </c>
      <c r="R148" s="682"/>
      <c r="S148" s="654"/>
    </row>
    <row r="149" spans="1:19" x14ac:dyDescent="0.45">
      <c r="A149" s="655">
        <v>1839</v>
      </c>
      <c r="B149" s="682"/>
      <c r="C149" s="682"/>
      <c r="D149" s="682"/>
      <c r="E149" s="682"/>
      <c r="F149" s="682"/>
      <c r="G149" s="682"/>
      <c r="H149" s="946">
        <v>357.23991660075893</v>
      </c>
      <c r="I149" s="946">
        <v>82.680515725926711</v>
      </c>
      <c r="J149" s="682"/>
      <c r="K149" s="654"/>
      <c r="L149" s="654"/>
      <c r="M149" s="682"/>
      <c r="N149" s="683">
        <f t="shared" si="4"/>
        <v>439.92043232668561</v>
      </c>
      <c r="O149" s="682"/>
      <c r="P149" s="682"/>
      <c r="Q149" s="683">
        <f t="shared" si="5"/>
        <v>439.92043232668561</v>
      </c>
      <c r="R149" s="682"/>
      <c r="S149" s="654"/>
    </row>
    <row r="150" spans="1:19" x14ac:dyDescent="0.45">
      <c r="A150" s="655">
        <v>1840</v>
      </c>
      <c r="B150" s="682"/>
      <c r="C150" s="682"/>
      <c r="D150" s="682"/>
      <c r="E150" s="682"/>
      <c r="F150" s="682"/>
      <c r="G150" s="682"/>
      <c r="H150" s="946">
        <v>364.08749245566753</v>
      </c>
      <c r="I150" s="946">
        <v>83.248930831822804</v>
      </c>
      <c r="J150" s="682"/>
      <c r="K150" s="654"/>
      <c r="L150" s="654"/>
      <c r="M150" s="682"/>
      <c r="N150" s="683">
        <f t="shared" si="4"/>
        <v>447.33642328749033</v>
      </c>
      <c r="O150" s="682"/>
      <c r="P150" s="682"/>
      <c r="Q150" s="683">
        <f t="shared" si="5"/>
        <v>447.33642328749033</v>
      </c>
      <c r="R150" s="682"/>
      <c r="S150" s="654"/>
    </row>
    <row r="151" spans="1:19" x14ac:dyDescent="0.45">
      <c r="A151" s="655">
        <v>1841</v>
      </c>
      <c r="B151" s="682"/>
      <c r="C151" s="682"/>
      <c r="D151" s="682"/>
      <c r="E151" s="682"/>
      <c r="F151" s="682"/>
      <c r="G151" s="682"/>
      <c r="H151" s="946">
        <v>364.3411337900244</v>
      </c>
      <c r="I151" s="946">
        <v>83.859461795806979</v>
      </c>
      <c r="J151" s="682"/>
      <c r="K151" s="654"/>
      <c r="L151" s="654"/>
      <c r="M151" s="682"/>
      <c r="N151" s="683">
        <f t="shared" si="4"/>
        <v>448.20059558583137</v>
      </c>
      <c r="O151" s="682"/>
      <c r="P151" s="682"/>
      <c r="Q151" s="683">
        <f t="shared" si="5"/>
        <v>448.20059558583137</v>
      </c>
      <c r="R151" s="682"/>
      <c r="S151" s="654"/>
    </row>
    <row r="152" spans="1:19" x14ac:dyDescent="0.45">
      <c r="A152" s="655">
        <v>1842</v>
      </c>
      <c r="B152" s="682"/>
      <c r="C152" s="682"/>
      <c r="D152" s="682"/>
      <c r="E152" s="682"/>
      <c r="F152" s="682"/>
      <c r="G152" s="682"/>
      <c r="H152" s="946">
        <v>357.24292642602643</v>
      </c>
      <c r="I152" s="946">
        <v>84.51106087417557</v>
      </c>
      <c r="J152" s="682"/>
      <c r="K152" s="654"/>
      <c r="L152" s="654"/>
      <c r="M152" s="682"/>
      <c r="N152" s="683">
        <f t="shared" si="4"/>
        <v>441.75398730020197</v>
      </c>
      <c r="O152" s="682"/>
      <c r="P152" s="682"/>
      <c r="Q152" s="683">
        <f t="shared" si="5"/>
        <v>441.75398730020197</v>
      </c>
      <c r="R152" s="682"/>
      <c r="S152" s="654"/>
    </row>
    <row r="153" spans="1:19" x14ac:dyDescent="0.45">
      <c r="A153" s="655">
        <v>1843</v>
      </c>
      <c r="B153" s="682"/>
      <c r="C153" s="682"/>
      <c r="D153" s="682"/>
      <c r="E153" s="682"/>
      <c r="F153" s="682"/>
      <c r="G153" s="682"/>
      <c r="H153" s="946">
        <v>366.88570673746057</v>
      </c>
      <c r="I153" s="946">
        <v>85.202748581148114</v>
      </c>
      <c r="J153" s="682"/>
      <c r="K153" s="654"/>
      <c r="L153" s="654"/>
      <c r="M153" s="682"/>
      <c r="N153" s="683">
        <f t="shared" si="4"/>
        <v>452.08845531860868</v>
      </c>
      <c r="O153" s="682"/>
      <c r="P153" s="682"/>
      <c r="Q153" s="683">
        <f t="shared" si="5"/>
        <v>452.08845531860868</v>
      </c>
      <c r="R153" s="682"/>
      <c r="S153" s="654"/>
    </row>
    <row r="154" spans="1:19" x14ac:dyDescent="0.45">
      <c r="A154" s="655">
        <v>1844</v>
      </c>
      <c r="B154" s="682"/>
      <c r="C154" s="682"/>
      <c r="D154" s="682"/>
      <c r="E154" s="682"/>
      <c r="F154" s="682"/>
      <c r="G154" s="682"/>
      <c r="H154" s="946">
        <v>373.62224774782248</v>
      </c>
      <c r="I154" s="946">
        <v>85.933610514032253</v>
      </c>
      <c r="J154" s="682"/>
      <c r="K154" s="654"/>
      <c r="L154" s="654"/>
      <c r="M154" s="682"/>
      <c r="N154" s="683">
        <f t="shared" si="4"/>
        <v>459.55585826185472</v>
      </c>
      <c r="O154" s="682"/>
      <c r="P154" s="682"/>
      <c r="Q154" s="683">
        <f t="shared" si="5"/>
        <v>459.55585826185472</v>
      </c>
      <c r="R154" s="682"/>
      <c r="S154" s="654"/>
    </row>
    <row r="155" spans="1:19" x14ac:dyDescent="0.45">
      <c r="A155" s="655">
        <v>1845</v>
      </c>
      <c r="B155" s="682"/>
      <c r="C155" s="682"/>
      <c r="D155" s="682"/>
      <c r="E155" s="682"/>
      <c r="F155" s="682"/>
      <c r="G155" s="682"/>
      <c r="H155" s="946">
        <v>389.66241025793443</v>
      </c>
      <c r="I155" s="946">
        <v>86.702794340701303</v>
      </c>
      <c r="J155" s="682"/>
      <c r="K155" s="654"/>
      <c r="L155" s="654"/>
      <c r="M155" s="682"/>
      <c r="N155" s="683">
        <f t="shared" si="4"/>
        <v>476.36520459863573</v>
      </c>
      <c r="O155" s="682"/>
      <c r="P155" s="682"/>
      <c r="Q155" s="683">
        <f t="shared" si="5"/>
        <v>476.36520459863573</v>
      </c>
      <c r="R155" s="682"/>
      <c r="S155" s="654"/>
    </row>
    <row r="156" spans="1:19" x14ac:dyDescent="0.45">
      <c r="A156" s="655">
        <v>1846</v>
      </c>
      <c r="B156" s="682"/>
      <c r="C156" s="682"/>
      <c r="D156" s="682"/>
      <c r="E156" s="682"/>
      <c r="F156" s="682"/>
      <c r="G156" s="682"/>
      <c r="H156" s="946">
        <v>398.09782114129973</v>
      </c>
      <c r="I156" s="946">
        <v>87.509506941322456</v>
      </c>
      <c r="J156" s="682"/>
      <c r="K156" s="654"/>
      <c r="L156" s="654"/>
      <c r="M156" s="682"/>
      <c r="N156" s="683">
        <f t="shared" si="4"/>
        <v>485.60732808262219</v>
      </c>
      <c r="O156" s="682"/>
      <c r="P156" s="682"/>
      <c r="Q156" s="683">
        <f t="shared" si="5"/>
        <v>485.60732808262219</v>
      </c>
      <c r="R156" s="682"/>
      <c r="S156" s="654"/>
    </row>
    <row r="157" spans="1:19" x14ac:dyDescent="0.45">
      <c r="A157" s="655">
        <v>1847</v>
      </c>
      <c r="B157" s="682"/>
      <c r="C157" s="682"/>
      <c r="D157" s="682"/>
      <c r="E157" s="682"/>
      <c r="F157" s="682"/>
      <c r="G157" s="682"/>
      <c r="H157" s="946">
        <v>398.98983451768657</v>
      </c>
      <c r="I157" s="946">
        <v>88.353011696677413</v>
      </c>
      <c r="J157" s="682"/>
      <c r="K157" s="654"/>
      <c r="L157" s="654"/>
      <c r="M157" s="682"/>
      <c r="N157" s="683">
        <f t="shared" si="4"/>
        <v>487.34284621436399</v>
      </c>
      <c r="O157" s="682"/>
      <c r="P157" s="682"/>
      <c r="Q157" s="683">
        <f t="shared" si="5"/>
        <v>487.34284621436399</v>
      </c>
      <c r="R157" s="682"/>
      <c r="S157" s="654"/>
    </row>
    <row r="158" spans="1:19" x14ac:dyDescent="0.45">
      <c r="A158" s="655">
        <v>1848</v>
      </c>
      <c r="B158" s="682"/>
      <c r="C158" s="682"/>
      <c r="D158" s="682"/>
      <c r="E158" s="682"/>
      <c r="F158" s="682"/>
      <c r="G158" s="682"/>
      <c r="H158" s="946">
        <v>404.72217041881078</v>
      </c>
      <c r="I158" s="946">
        <v>89.232625915800938</v>
      </c>
      <c r="J158" s="682"/>
      <c r="K158" s="654"/>
      <c r="L158" s="654"/>
      <c r="M158" s="682"/>
      <c r="N158" s="683">
        <f t="shared" si="4"/>
        <v>493.95479633461173</v>
      </c>
      <c r="O158" s="682"/>
      <c r="P158" s="682"/>
      <c r="Q158" s="683">
        <f t="shared" si="5"/>
        <v>493.95479633461173</v>
      </c>
      <c r="R158" s="682"/>
      <c r="S158" s="654"/>
    </row>
    <row r="159" spans="1:19" x14ac:dyDescent="0.45">
      <c r="A159" s="655">
        <v>1849</v>
      </c>
      <c r="B159" s="682"/>
      <c r="C159" s="682"/>
      <c r="D159" s="682"/>
      <c r="E159" s="682"/>
      <c r="F159" s="682"/>
      <c r="G159" s="682"/>
      <c r="H159" s="946">
        <v>416.59536237672398</v>
      </c>
      <c r="I159" s="946">
        <v>90.147718396027628</v>
      </c>
      <c r="J159" s="682"/>
      <c r="K159" s="654"/>
      <c r="L159" s="654"/>
      <c r="M159" s="682"/>
      <c r="N159" s="683">
        <f t="shared" si="4"/>
        <v>506.74308077275163</v>
      </c>
      <c r="O159" s="682"/>
      <c r="P159" s="682"/>
      <c r="Q159" s="683">
        <f t="shared" si="5"/>
        <v>506.74308077275163</v>
      </c>
      <c r="R159" s="682"/>
      <c r="S159" s="654"/>
    </row>
    <row r="160" spans="1:19" x14ac:dyDescent="0.45">
      <c r="A160" s="655">
        <v>1850</v>
      </c>
      <c r="B160" s="682"/>
      <c r="C160" s="682"/>
      <c r="D160" s="682"/>
      <c r="E160" s="682"/>
      <c r="F160" s="682"/>
      <c r="G160" s="682"/>
      <c r="H160" s="946">
        <v>428.01720281539201</v>
      </c>
      <c r="I160" s="946">
        <v>90.169490809456804</v>
      </c>
      <c r="J160" s="682"/>
      <c r="K160" s="654"/>
      <c r="L160" s="654"/>
      <c r="M160" s="682"/>
      <c r="N160" s="683">
        <f t="shared" si="4"/>
        <v>518.18669362484877</v>
      </c>
      <c r="O160" s="682"/>
      <c r="P160" s="682"/>
      <c r="Q160" s="683">
        <f t="shared" si="5"/>
        <v>518.18669362484877</v>
      </c>
      <c r="R160" s="682"/>
      <c r="S160" s="654"/>
    </row>
    <row r="161" spans="1:19" x14ac:dyDescent="0.45">
      <c r="A161" s="655">
        <v>1851</v>
      </c>
      <c r="B161" s="682"/>
      <c r="C161" s="682"/>
      <c r="D161" s="682"/>
      <c r="E161" s="682"/>
      <c r="F161" s="682"/>
      <c r="G161" s="682"/>
      <c r="H161" s="946">
        <v>437.37346055689079</v>
      </c>
      <c r="I161" s="946">
        <v>90.457678481589639</v>
      </c>
      <c r="J161" s="682"/>
      <c r="K161" s="654"/>
      <c r="L161" s="654"/>
      <c r="M161" s="682"/>
      <c r="N161" s="683">
        <f t="shared" si="4"/>
        <v>527.83113903848039</v>
      </c>
      <c r="O161" s="682"/>
      <c r="P161" s="682"/>
      <c r="Q161" s="683">
        <f t="shared" si="5"/>
        <v>527.83113903848039</v>
      </c>
      <c r="R161" s="682"/>
      <c r="S161" s="654"/>
    </row>
    <row r="162" spans="1:19" x14ac:dyDescent="0.45">
      <c r="A162" s="655">
        <v>1852</v>
      </c>
      <c r="B162" s="682"/>
      <c r="C162" s="682"/>
      <c r="D162" s="682"/>
      <c r="E162" s="682"/>
      <c r="F162" s="682"/>
      <c r="G162" s="682"/>
      <c r="H162" s="946">
        <v>448.39014520472296</v>
      </c>
      <c r="I162" s="946">
        <v>90.963059906806279</v>
      </c>
      <c r="J162" s="682"/>
      <c r="K162" s="654"/>
      <c r="L162" s="654"/>
      <c r="M162" s="682"/>
      <c r="N162" s="683">
        <f t="shared" si="4"/>
        <v>539.35320511152918</v>
      </c>
      <c r="O162" s="682"/>
      <c r="P162" s="682"/>
      <c r="Q162" s="683">
        <f t="shared" si="5"/>
        <v>539.35320511152918</v>
      </c>
      <c r="R162" s="682"/>
      <c r="S162" s="654"/>
    </row>
    <row r="163" spans="1:19" x14ac:dyDescent="0.45">
      <c r="A163" s="655">
        <v>1853</v>
      </c>
      <c r="B163" s="682"/>
      <c r="C163" s="682"/>
      <c r="D163" s="682"/>
      <c r="E163" s="682"/>
      <c r="F163" s="682"/>
      <c r="G163" s="682"/>
      <c r="H163" s="946">
        <v>455.97307219116595</v>
      </c>
      <c r="I163" s="946">
        <v>91.646318803802615</v>
      </c>
      <c r="J163" s="682"/>
      <c r="K163" s="654"/>
      <c r="L163" s="654"/>
      <c r="M163" s="682"/>
      <c r="N163" s="683">
        <f t="shared" si="4"/>
        <v>547.61939099496863</v>
      </c>
      <c r="O163" s="682"/>
      <c r="P163" s="682"/>
      <c r="Q163" s="683">
        <f t="shared" si="5"/>
        <v>547.61939099496863</v>
      </c>
      <c r="R163" s="682"/>
      <c r="S163" s="654"/>
    </row>
    <row r="164" spans="1:19" x14ac:dyDescent="0.45">
      <c r="A164" s="655">
        <v>1854</v>
      </c>
      <c r="B164" s="682"/>
      <c r="C164" s="682"/>
      <c r="D164" s="682"/>
      <c r="E164" s="682"/>
      <c r="F164" s="682"/>
      <c r="G164" s="682"/>
      <c r="H164" s="946">
        <v>469.7049010860049</v>
      </c>
      <c r="I164" s="946">
        <v>92.476063984575049</v>
      </c>
      <c r="J164" s="682"/>
      <c r="K164" s="654"/>
      <c r="L164" s="654"/>
      <c r="M164" s="682"/>
      <c r="N164" s="683">
        <f t="shared" si="4"/>
        <v>562.18096507057999</v>
      </c>
      <c r="O164" s="682"/>
      <c r="P164" s="682"/>
      <c r="Q164" s="683">
        <f t="shared" si="5"/>
        <v>562.18096507057999</v>
      </c>
      <c r="R164" s="682"/>
      <c r="S164" s="654"/>
    </row>
    <row r="165" spans="1:19" x14ac:dyDescent="0.45">
      <c r="A165" s="655">
        <v>1855</v>
      </c>
      <c r="B165" s="682"/>
      <c r="C165" s="682"/>
      <c r="D165" s="682"/>
      <c r="E165" s="682"/>
      <c r="F165" s="682"/>
      <c r="G165" s="682"/>
      <c r="H165" s="946">
        <v>460.50591931151621</v>
      </c>
      <c r="I165" s="946">
        <v>93.427245263315982</v>
      </c>
      <c r="J165" s="682"/>
      <c r="K165" s="654"/>
      <c r="L165" s="654"/>
      <c r="M165" s="682"/>
      <c r="N165" s="683">
        <f t="shared" si="4"/>
        <v>553.93316457483218</v>
      </c>
      <c r="O165" s="682"/>
      <c r="P165" s="682"/>
      <c r="Q165" s="683">
        <f t="shared" si="5"/>
        <v>553.93316457483218</v>
      </c>
      <c r="R165" s="682"/>
      <c r="S165" s="654"/>
    </row>
    <row r="166" spans="1:19" x14ac:dyDescent="0.45">
      <c r="A166" s="655">
        <v>1856</v>
      </c>
      <c r="B166" s="682"/>
      <c r="C166" s="682"/>
      <c r="D166" s="682"/>
      <c r="E166" s="682"/>
      <c r="F166" s="682"/>
      <c r="G166" s="682"/>
      <c r="H166" s="946">
        <v>467.74346435209236</v>
      </c>
      <c r="I166" s="946">
        <v>94.479886197443562</v>
      </c>
      <c r="J166" s="682"/>
      <c r="K166" s="654"/>
      <c r="L166" s="654"/>
      <c r="M166" s="682"/>
      <c r="N166" s="683">
        <f t="shared" si="4"/>
        <v>562.22335054953589</v>
      </c>
      <c r="O166" s="682"/>
      <c r="P166" s="682"/>
      <c r="Q166" s="683">
        <f t="shared" si="5"/>
        <v>562.22335054953589</v>
      </c>
      <c r="R166" s="682"/>
      <c r="S166" s="654"/>
    </row>
    <row r="167" spans="1:19" x14ac:dyDescent="0.45">
      <c r="A167" s="655">
        <v>1857</v>
      </c>
      <c r="B167" s="682"/>
      <c r="C167" s="682"/>
      <c r="D167" s="682"/>
      <c r="E167" s="682"/>
      <c r="F167" s="682"/>
      <c r="G167" s="682"/>
      <c r="H167" s="946">
        <v>473.06251421731849</v>
      </c>
      <c r="I167" s="946">
        <v>95.618070294547493</v>
      </c>
      <c r="J167" s="682"/>
      <c r="K167" s="654"/>
      <c r="L167" s="654"/>
      <c r="M167" s="682"/>
      <c r="N167" s="683">
        <f t="shared" si="4"/>
        <v>568.68058451186596</v>
      </c>
      <c r="O167" s="682"/>
      <c r="P167" s="682"/>
      <c r="Q167" s="683">
        <f t="shared" si="5"/>
        <v>568.68058451186596</v>
      </c>
      <c r="R167" s="682"/>
      <c r="S167" s="654"/>
    </row>
    <row r="168" spans="1:19" x14ac:dyDescent="0.45">
      <c r="A168" s="655">
        <v>1858</v>
      </c>
      <c r="B168" s="682"/>
      <c r="C168" s="682"/>
      <c r="D168" s="682"/>
      <c r="E168" s="682"/>
      <c r="F168" s="682"/>
      <c r="G168" s="682"/>
      <c r="H168" s="946">
        <v>458.11212223074267</v>
      </c>
      <c r="I168" s="946">
        <v>96.829129992279519</v>
      </c>
      <c r="J168" s="682"/>
      <c r="K168" s="654"/>
      <c r="L168" s="654"/>
      <c r="M168" s="682"/>
      <c r="N168" s="683">
        <f t="shared" si="4"/>
        <v>554.94125222302216</v>
      </c>
      <c r="O168" s="682"/>
      <c r="P168" s="682"/>
      <c r="Q168" s="683">
        <f t="shared" si="5"/>
        <v>554.94125222302216</v>
      </c>
      <c r="R168" s="682"/>
      <c r="S168" s="654"/>
    </row>
    <row r="169" spans="1:19" x14ac:dyDescent="0.45">
      <c r="A169" s="655">
        <v>1859</v>
      </c>
      <c r="B169" s="682"/>
      <c r="C169" s="682"/>
      <c r="D169" s="682"/>
      <c r="E169" s="682"/>
      <c r="F169" s="682"/>
      <c r="G169" s="682"/>
      <c r="H169" s="946">
        <v>466.84297898083349</v>
      </c>
      <c r="I169" s="946">
        <v>98.102997856814781</v>
      </c>
      <c r="J169" s="682"/>
      <c r="K169" s="654"/>
      <c r="L169" s="654"/>
      <c r="M169" s="682"/>
      <c r="N169" s="683">
        <f t="shared" si="4"/>
        <v>564.94597683764823</v>
      </c>
      <c r="O169" s="682"/>
      <c r="P169" s="682"/>
      <c r="Q169" s="683">
        <f t="shared" si="5"/>
        <v>564.94597683764823</v>
      </c>
      <c r="R169" s="682"/>
      <c r="S169" s="654"/>
    </row>
    <row r="170" spans="1:19" x14ac:dyDescent="0.45">
      <c r="A170" s="655">
        <v>1860</v>
      </c>
      <c r="B170" s="682"/>
      <c r="C170" s="682"/>
      <c r="D170" s="682"/>
      <c r="E170" s="682"/>
      <c r="F170" s="682"/>
      <c r="G170" s="682"/>
      <c r="H170" s="946">
        <v>495.71786051429029</v>
      </c>
      <c r="I170" s="946">
        <v>98.900133069767747</v>
      </c>
      <c r="J170" s="682"/>
      <c r="K170" s="654"/>
      <c r="L170" s="654"/>
      <c r="M170" s="682"/>
      <c r="N170" s="683">
        <f t="shared" si="4"/>
        <v>594.61799358405801</v>
      </c>
      <c r="O170" s="682"/>
      <c r="P170" s="682"/>
      <c r="Q170" s="683">
        <f t="shared" si="5"/>
        <v>594.61799358405801</v>
      </c>
      <c r="R170" s="682"/>
      <c r="S170" s="654"/>
    </row>
    <row r="171" spans="1:19" x14ac:dyDescent="0.45">
      <c r="A171" s="655">
        <v>1861</v>
      </c>
      <c r="B171" s="682"/>
      <c r="C171" s="682"/>
      <c r="D171" s="682"/>
      <c r="E171" s="682"/>
      <c r="F171" s="682"/>
      <c r="G171" s="682"/>
      <c r="H171" s="946">
        <v>495.33237719095808</v>
      </c>
      <c r="I171" s="946">
        <v>100.38363506581427</v>
      </c>
      <c r="J171" s="682"/>
      <c r="K171" s="654"/>
      <c r="L171" s="654"/>
      <c r="M171" s="682"/>
      <c r="N171" s="683">
        <f t="shared" si="4"/>
        <v>595.71601225677239</v>
      </c>
      <c r="O171" s="682"/>
      <c r="P171" s="682"/>
      <c r="Q171" s="683">
        <f t="shared" si="5"/>
        <v>595.71601225677239</v>
      </c>
      <c r="R171" s="682"/>
      <c r="S171" s="654"/>
    </row>
    <row r="172" spans="1:19" x14ac:dyDescent="0.45">
      <c r="A172" s="655">
        <v>1862</v>
      </c>
      <c r="B172" s="682"/>
      <c r="C172" s="682"/>
      <c r="D172" s="682"/>
      <c r="E172" s="682"/>
      <c r="F172" s="682"/>
      <c r="G172" s="682"/>
      <c r="H172" s="946">
        <v>499.19441432533893</v>
      </c>
      <c r="I172" s="946">
        <v>101.88938959180147</v>
      </c>
      <c r="J172" s="682"/>
      <c r="K172" s="654"/>
      <c r="L172" s="654"/>
      <c r="M172" s="682"/>
      <c r="N172" s="683">
        <f t="shared" si="4"/>
        <v>601.08380391714036</v>
      </c>
      <c r="O172" s="682"/>
      <c r="P172" s="682"/>
      <c r="Q172" s="683">
        <f t="shared" si="5"/>
        <v>601.08380391714036</v>
      </c>
      <c r="R172" s="682"/>
      <c r="S172" s="654"/>
    </row>
    <row r="173" spans="1:19" x14ac:dyDescent="0.45">
      <c r="A173" s="655">
        <v>1863</v>
      </c>
      <c r="B173" s="682"/>
      <c r="C173" s="682"/>
      <c r="D173" s="682"/>
      <c r="E173" s="682"/>
      <c r="F173" s="682"/>
      <c r="G173" s="682"/>
      <c r="H173" s="946">
        <v>526.38515222234014</v>
      </c>
      <c r="I173" s="946">
        <v>103.41773043567849</v>
      </c>
      <c r="J173" s="682"/>
      <c r="K173" s="654"/>
      <c r="L173" s="654"/>
      <c r="M173" s="682"/>
      <c r="N173" s="683">
        <f t="shared" si="4"/>
        <v>629.80288265801869</v>
      </c>
      <c r="O173" s="682"/>
      <c r="P173" s="682"/>
      <c r="Q173" s="683">
        <f t="shared" si="5"/>
        <v>629.80288265801869</v>
      </c>
      <c r="R173" s="682"/>
      <c r="S173" s="654"/>
    </row>
    <row r="174" spans="1:19" x14ac:dyDescent="0.45">
      <c r="A174" s="655">
        <v>1864</v>
      </c>
      <c r="B174" s="682"/>
      <c r="C174" s="682"/>
      <c r="D174" s="682"/>
      <c r="E174" s="682"/>
      <c r="F174" s="682"/>
      <c r="G174" s="682"/>
      <c r="H174" s="946">
        <v>539.74072578003552</v>
      </c>
      <c r="I174" s="946">
        <v>104.96899639221365</v>
      </c>
      <c r="J174" s="682"/>
      <c r="K174" s="654"/>
      <c r="L174" s="654"/>
      <c r="M174" s="682"/>
      <c r="N174" s="683">
        <f t="shared" si="4"/>
        <v>644.70972217224914</v>
      </c>
      <c r="O174" s="682"/>
      <c r="P174" s="682"/>
      <c r="Q174" s="683">
        <f t="shared" si="5"/>
        <v>644.70972217224914</v>
      </c>
      <c r="R174" s="682"/>
      <c r="S174" s="654"/>
    </row>
    <row r="175" spans="1:19" x14ac:dyDescent="0.45">
      <c r="A175" s="655">
        <v>1865</v>
      </c>
      <c r="B175" s="682"/>
      <c r="C175" s="682"/>
      <c r="D175" s="682"/>
      <c r="E175" s="682"/>
      <c r="F175" s="682"/>
      <c r="G175" s="682"/>
      <c r="H175" s="946">
        <v>552.84952163478852</v>
      </c>
      <c r="I175" s="946">
        <v>106.54353133809686</v>
      </c>
      <c r="J175" s="682"/>
      <c r="K175" s="654"/>
      <c r="L175" s="654"/>
      <c r="M175" s="682"/>
      <c r="N175" s="683">
        <f t="shared" si="4"/>
        <v>659.39305297288536</v>
      </c>
      <c r="O175" s="682"/>
      <c r="P175" s="682"/>
      <c r="Q175" s="683">
        <f t="shared" si="5"/>
        <v>659.39305297288536</v>
      </c>
      <c r="R175" s="682"/>
      <c r="S175" s="654"/>
    </row>
    <row r="176" spans="1:19" x14ac:dyDescent="0.45">
      <c r="A176" s="655">
        <v>1866</v>
      </c>
      <c r="B176" s="682"/>
      <c r="C176" s="682"/>
      <c r="D176" s="682"/>
      <c r="E176" s="682"/>
      <c r="F176" s="682"/>
      <c r="G176" s="682"/>
      <c r="H176" s="946">
        <v>558.76298604294834</v>
      </c>
      <c r="I176" s="946">
        <v>108.14168430816829</v>
      </c>
      <c r="J176" s="682"/>
      <c r="K176" s="654"/>
      <c r="L176" s="654"/>
      <c r="M176" s="682"/>
      <c r="N176" s="683">
        <f t="shared" si="4"/>
        <v>666.90467035111669</v>
      </c>
      <c r="O176" s="682"/>
      <c r="P176" s="682"/>
      <c r="Q176" s="683">
        <f t="shared" si="5"/>
        <v>666.90467035111669</v>
      </c>
      <c r="R176" s="682"/>
      <c r="S176" s="654"/>
    </row>
    <row r="177" spans="1:19" x14ac:dyDescent="0.45">
      <c r="A177" s="655">
        <v>1867</v>
      </c>
      <c r="B177" s="682"/>
      <c r="C177" s="682"/>
      <c r="D177" s="682"/>
      <c r="E177" s="682"/>
      <c r="F177" s="682"/>
      <c r="G177" s="682"/>
      <c r="H177" s="946">
        <v>559.01308984082448</v>
      </c>
      <c r="I177" s="946">
        <v>109.76380957279081</v>
      </c>
      <c r="J177" s="682"/>
      <c r="K177" s="654"/>
      <c r="L177" s="654"/>
      <c r="M177" s="682"/>
      <c r="N177" s="683">
        <f t="shared" si="4"/>
        <v>668.7768994136153</v>
      </c>
      <c r="O177" s="682"/>
      <c r="P177" s="682"/>
      <c r="Q177" s="683">
        <f t="shared" si="5"/>
        <v>668.7768994136153</v>
      </c>
      <c r="R177" s="682"/>
      <c r="S177" s="654"/>
    </row>
    <row r="178" spans="1:19" x14ac:dyDescent="0.45">
      <c r="A178" s="655">
        <v>1868</v>
      </c>
      <c r="B178" s="682"/>
      <c r="C178" s="682"/>
      <c r="D178" s="682"/>
      <c r="E178" s="682"/>
      <c r="F178" s="682"/>
      <c r="G178" s="682"/>
      <c r="H178" s="946">
        <v>561.93809752079665</v>
      </c>
      <c r="I178" s="946">
        <v>111.41026671638265</v>
      </c>
      <c r="J178" s="682"/>
      <c r="K178" s="654"/>
      <c r="L178" s="654"/>
      <c r="M178" s="682"/>
      <c r="N178" s="683">
        <f t="shared" si="4"/>
        <v>673.34836423717934</v>
      </c>
      <c r="O178" s="682"/>
      <c r="P178" s="682"/>
      <c r="Q178" s="683">
        <f t="shared" si="5"/>
        <v>673.34836423717934</v>
      </c>
      <c r="R178" s="682"/>
      <c r="S178" s="654"/>
    </row>
    <row r="179" spans="1:19" x14ac:dyDescent="0.45">
      <c r="A179" s="655">
        <v>1869</v>
      </c>
      <c r="B179" s="682"/>
      <c r="C179" s="682"/>
      <c r="D179" s="682"/>
      <c r="E179" s="682"/>
      <c r="F179" s="682"/>
      <c r="G179" s="682"/>
      <c r="H179" s="946">
        <v>575.63239913939526</v>
      </c>
      <c r="I179" s="946">
        <v>113.08142071712838</v>
      </c>
      <c r="J179" s="682"/>
      <c r="K179" s="654"/>
      <c r="L179" s="654"/>
      <c r="M179" s="682"/>
      <c r="N179" s="683">
        <f t="shared" si="4"/>
        <v>688.71381985652363</v>
      </c>
      <c r="O179" s="682"/>
      <c r="P179" s="682"/>
      <c r="Q179" s="683">
        <f t="shared" si="5"/>
        <v>688.71381985652363</v>
      </c>
      <c r="R179" s="682"/>
      <c r="S179" s="654"/>
    </row>
    <row r="180" spans="1:19" x14ac:dyDescent="0.45">
      <c r="A180" s="655">
        <v>1870</v>
      </c>
      <c r="B180" s="682"/>
      <c r="C180" s="682"/>
      <c r="D180" s="682"/>
      <c r="E180" s="682"/>
      <c r="F180" s="682"/>
      <c r="G180" s="682"/>
      <c r="H180" s="946">
        <v>598.06089856644417</v>
      </c>
      <c r="I180" s="946">
        <v>114.77764202788529</v>
      </c>
      <c r="J180" s="682"/>
      <c r="K180" s="654"/>
      <c r="L180" s="654"/>
      <c r="M180" s="682"/>
      <c r="N180" s="683">
        <f t="shared" si="4"/>
        <v>712.83854059432952</v>
      </c>
      <c r="O180" s="682"/>
      <c r="P180" s="682"/>
      <c r="Q180" s="683">
        <f t="shared" si="5"/>
        <v>712.83854059432952</v>
      </c>
      <c r="R180" s="682"/>
      <c r="S180" s="654"/>
    </row>
    <row r="181" spans="1:19" x14ac:dyDescent="0.45">
      <c r="A181" s="655">
        <v>1871</v>
      </c>
      <c r="B181" s="682"/>
      <c r="C181" s="682"/>
      <c r="D181" s="682"/>
      <c r="E181" s="682"/>
      <c r="F181" s="682"/>
      <c r="G181" s="682"/>
      <c r="H181" s="946">
        <v>628.80945771077131</v>
      </c>
      <c r="I181" s="946">
        <v>116.49930665830357</v>
      </c>
      <c r="J181" s="682"/>
      <c r="K181" s="654"/>
      <c r="L181" s="654"/>
      <c r="M181" s="682"/>
      <c r="N181" s="683">
        <f t="shared" si="4"/>
        <v>745.30876436907488</v>
      </c>
      <c r="O181" s="682"/>
      <c r="P181" s="682"/>
      <c r="Q181" s="683">
        <f t="shared" si="5"/>
        <v>745.30876436907488</v>
      </c>
      <c r="R181" s="682"/>
      <c r="S181" s="654"/>
    </row>
    <row r="182" spans="1:19" x14ac:dyDescent="0.45">
      <c r="A182" s="655">
        <v>1872</v>
      </c>
      <c r="B182" s="682"/>
      <c r="C182" s="682"/>
      <c r="D182" s="682"/>
      <c r="E182" s="682"/>
      <c r="F182" s="682"/>
      <c r="G182" s="682"/>
      <c r="H182" s="946">
        <v>649.44132490054278</v>
      </c>
      <c r="I182" s="946">
        <v>118.24679625817811</v>
      </c>
      <c r="J182" s="682"/>
      <c r="K182" s="654"/>
      <c r="L182" s="654"/>
      <c r="M182" s="682"/>
      <c r="N182" s="683">
        <f t="shared" si="4"/>
        <v>767.68812115872083</v>
      </c>
      <c r="O182" s="682"/>
      <c r="P182" s="682"/>
      <c r="Q182" s="683">
        <f t="shared" si="5"/>
        <v>767.68812115872083</v>
      </c>
      <c r="R182" s="682"/>
      <c r="S182" s="654"/>
    </row>
    <row r="183" spans="1:19" x14ac:dyDescent="0.45">
      <c r="A183" s="655">
        <v>1873</v>
      </c>
      <c r="B183" s="682"/>
      <c r="C183" s="682"/>
      <c r="D183" s="682"/>
      <c r="E183" s="682"/>
      <c r="F183" s="682"/>
      <c r="G183" s="682"/>
      <c r="H183" s="946">
        <v>683.54517174519583</v>
      </c>
      <c r="I183" s="946">
        <v>120.02049820205077</v>
      </c>
      <c r="J183" s="682"/>
      <c r="K183" s="654"/>
      <c r="L183" s="654"/>
      <c r="M183" s="682"/>
      <c r="N183" s="683">
        <f t="shared" si="4"/>
        <v>803.56566994724665</v>
      </c>
      <c r="O183" s="682"/>
      <c r="P183" s="682"/>
      <c r="Q183" s="683">
        <f t="shared" si="5"/>
        <v>803.56566994724665</v>
      </c>
      <c r="R183" s="682"/>
      <c r="S183" s="654"/>
    </row>
    <row r="184" spans="1:19" x14ac:dyDescent="0.45">
      <c r="A184" s="655">
        <v>1874</v>
      </c>
      <c r="B184" s="682"/>
      <c r="C184" s="682"/>
      <c r="D184" s="682"/>
      <c r="E184" s="682"/>
      <c r="F184" s="682"/>
      <c r="G184" s="682"/>
      <c r="H184" s="946">
        <v>670.38402203669341</v>
      </c>
      <c r="I184" s="946">
        <v>121.82080567508152</v>
      </c>
      <c r="J184" s="682"/>
      <c r="K184" s="654"/>
      <c r="L184" s="654"/>
      <c r="M184" s="682"/>
      <c r="N184" s="683">
        <f t="shared" si="4"/>
        <v>792.2048277117749</v>
      </c>
      <c r="O184" s="682"/>
      <c r="P184" s="682"/>
      <c r="Q184" s="683">
        <f t="shared" si="5"/>
        <v>792.2048277117749</v>
      </c>
      <c r="R184" s="682"/>
      <c r="S184" s="654"/>
    </row>
    <row r="185" spans="1:19" x14ac:dyDescent="0.45">
      <c r="A185" s="655">
        <v>1875</v>
      </c>
      <c r="B185" s="682"/>
      <c r="C185" s="682"/>
      <c r="D185" s="682"/>
      <c r="E185" s="682"/>
      <c r="F185" s="682"/>
      <c r="G185" s="682"/>
      <c r="H185" s="946">
        <v>707.59850595077069</v>
      </c>
      <c r="I185" s="946">
        <v>123.64811776020774</v>
      </c>
      <c r="J185" s="682"/>
      <c r="K185" s="654"/>
      <c r="L185" s="654"/>
      <c r="M185" s="682"/>
      <c r="N185" s="683">
        <f t="shared" si="4"/>
        <v>831.24662371097838</v>
      </c>
      <c r="O185" s="682"/>
      <c r="P185" s="682"/>
      <c r="Q185" s="683">
        <f t="shared" si="5"/>
        <v>831.24662371097838</v>
      </c>
      <c r="R185" s="682"/>
      <c r="S185" s="654"/>
    </row>
    <row r="186" spans="1:19" x14ac:dyDescent="0.45">
      <c r="A186" s="655">
        <v>1876</v>
      </c>
      <c r="B186" s="682"/>
      <c r="C186" s="682"/>
      <c r="D186" s="682"/>
      <c r="E186" s="682"/>
      <c r="F186" s="682"/>
      <c r="G186" s="682"/>
      <c r="H186" s="946">
        <v>698.56821356166972</v>
      </c>
      <c r="I186" s="946">
        <v>125.50283952661084</v>
      </c>
      <c r="J186" s="682"/>
      <c r="K186" s="654"/>
      <c r="L186" s="654"/>
      <c r="M186" s="682"/>
      <c r="N186" s="683">
        <f t="shared" si="4"/>
        <v>824.07105308828056</v>
      </c>
      <c r="O186" s="682"/>
      <c r="P186" s="682"/>
      <c r="Q186" s="683">
        <f t="shared" si="5"/>
        <v>824.07105308828056</v>
      </c>
      <c r="R186" s="682"/>
      <c r="S186" s="654"/>
    </row>
    <row r="187" spans="1:19" x14ac:dyDescent="0.45">
      <c r="A187" s="655">
        <v>1877</v>
      </c>
      <c r="B187" s="682"/>
      <c r="C187" s="682"/>
      <c r="D187" s="682"/>
      <c r="E187" s="682"/>
      <c r="F187" s="682"/>
      <c r="G187" s="682"/>
      <c r="H187" s="946">
        <v>704.0737511110234</v>
      </c>
      <c r="I187" s="946">
        <v>127.38538211951</v>
      </c>
      <c r="J187" s="682"/>
      <c r="K187" s="654"/>
      <c r="L187" s="654"/>
      <c r="M187" s="682"/>
      <c r="N187" s="683">
        <f t="shared" si="4"/>
        <v>831.45913323053344</v>
      </c>
      <c r="O187" s="682"/>
      <c r="P187" s="682"/>
      <c r="Q187" s="683">
        <f t="shared" si="5"/>
        <v>831.45913323053344</v>
      </c>
      <c r="R187" s="682"/>
      <c r="S187" s="654"/>
    </row>
    <row r="188" spans="1:19" x14ac:dyDescent="0.45">
      <c r="A188" s="655">
        <v>1878</v>
      </c>
      <c r="B188" s="682"/>
      <c r="C188" s="682"/>
      <c r="D188" s="682"/>
      <c r="E188" s="682"/>
      <c r="F188" s="682"/>
      <c r="G188" s="682"/>
      <c r="H188" s="946">
        <v>690.77868760616764</v>
      </c>
      <c r="I188" s="946">
        <v>129.29616285130263</v>
      </c>
      <c r="J188" s="682"/>
      <c r="K188" s="654"/>
      <c r="L188" s="654"/>
      <c r="M188" s="682"/>
      <c r="N188" s="683">
        <f t="shared" si="4"/>
        <v>820.07485045747023</v>
      </c>
      <c r="O188" s="682"/>
      <c r="P188" s="682"/>
      <c r="Q188" s="683">
        <f t="shared" si="5"/>
        <v>820.07485045747023</v>
      </c>
      <c r="R188" s="682"/>
      <c r="S188" s="654"/>
    </row>
    <row r="189" spans="1:19" x14ac:dyDescent="0.45">
      <c r="A189" s="655">
        <v>1879</v>
      </c>
      <c r="B189" s="682"/>
      <c r="C189" s="682"/>
      <c r="D189" s="682"/>
      <c r="E189" s="682"/>
      <c r="F189" s="682"/>
      <c r="G189" s="682"/>
      <c r="H189" s="946">
        <v>689.28162455694121</v>
      </c>
      <c r="I189" s="946">
        <v>131.23560529407217</v>
      </c>
      <c r="J189" s="682"/>
      <c r="K189" s="654"/>
      <c r="L189" s="654"/>
      <c r="M189" s="682"/>
      <c r="N189" s="683">
        <f t="shared" si="4"/>
        <v>820.51722985101333</v>
      </c>
      <c r="O189" s="682"/>
      <c r="P189" s="682"/>
      <c r="Q189" s="683">
        <f t="shared" si="5"/>
        <v>820.51722985101333</v>
      </c>
      <c r="R189" s="682"/>
      <c r="S189" s="654"/>
    </row>
    <row r="190" spans="1:19" x14ac:dyDescent="0.45">
      <c r="A190" s="655">
        <v>1880</v>
      </c>
      <c r="B190" s="682"/>
      <c r="C190" s="682"/>
      <c r="D190" s="682"/>
      <c r="E190" s="682"/>
      <c r="F190" s="682"/>
      <c r="G190" s="682"/>
      <c r="H190" s="946">
        <v>762.06392794816907</v>
      </c>
      <c r="I190" s="946">
        <v>133.20413937348323</v>
      </c>
      <c r="J190" s="682"/>
      <c r="K190" s="654"/>
      <c r="L190" s="654"/>
      <c r="M190" s="682"/>
      <c r="N190" s="683">
        <f t="shared" si="4"/>
        <v>895.26806732165232</v>
      </c>
      <c r="O190" s="682"/>
      <c r="P190" s="682"/>
      <c r="Q190" s="683">
        <f t="shared" si="5"/>
        <v>895.26806732165232</v>
      </c>
      <c r="R190" s="682"/>
      <c r="S190" s="654"/>
    </row>
    <row r="191" spans="1:19" x14ac:dyDescent="0.45">
      <c r="A191" s="655">
        <v>1881</v>
      </c>
      <c r="B191" s="682"/>
      <c r="C191" s="682"/>
      <c r="D191" s="682"/>
      <c r="E191" s="682"/>
      <c r="F191" s="682"/>
      <c r="G191" s="682"/>
      <c r="H191" s="946">
        <v>805.01486831714226</v>
      </c>
      <c r="I191" s="946">
        <v>135.20220146408545</v>
      </c>
      <c r="J191" s="682"/>
      <c r="K191" s="654"/>
      <c r="L191" s="654"/>
      <c r="M191" s="682"/>
      <c r="N191" s="683">
        <f t="shared" si="4"/>
        <v>940.21706978122768</v>
      </c>
      <c r="O191" s="682"/>
      <c r="P191" s="682"/>
      <c r="Q191" s="683">
        <f t="shared" si="5"/>
        <v>940.21706978122768</v>
      </c>
      <c r="R191" s="682"/>
      <c r="S191" s="654"/>
    </row>
    <row r="192" spans="1:19" x14ac:dyDescent="0.45">
      <c r="A192" s="655">
        <v>1882</v>
      </c>
      <c r="B192" s="682"/>
      <c r="C192" s="682"/>
      <c r="D192" s="682"/>
      <c r="E192" s="682"/>
      <c r="F192" s="682"/>
      <c r="G192" s="682"/>
      <c r="H192" s="946">
        <v>808.72205126527854</v>
      </c>
      <c r="I192" s="946">
        <v>137.23023448604673</v>
      </c>
      <c r="J192" s="682"/>
      <c r="K192" s="654"/>
      <c r="L192" s="654"/>
      <c r="M192" s="682"/>
      <c r="N192" s="683">
        <f t="shared" si="4"/>
        <v>945.95228575132523</v>
      </c>
      <c r="O192" s="682"/>
      <c r="P192" s="682"/>
      <c r="Q192" s="683">
        <f t="shared" si="5"/>
        <v>945.95228575132523</v>
      </c>
      <c r="R192" s="682"/>
      <c r="S192" s="654"/>
    </row>
    <row r="193" spans="1:19" x14ac:dyDescent="0.45">
      <c r="A193" s="655">
        <v>1883</v>
      </c>
      <c r="B193" s="682"/>
      <c r="C193" s="682"/>
      <c r="D193" s="682"/>
      <c r="E193" s="682"/>
      <c r="F193" s="682"/>
      <c r="G193" s="682"/>
      <c r="H193" s="946">
        <v>841.41377406364109</v>
      </c>
      <c r="I193" s="946">
        <v>139.28868800333743</v>
      </c>
      <c r="J193" s="682"/>
      <c r="K193" s="654"/>
      <c r="L193" s="654"/>
      <c r="M193" s="682"/>
      <c r="N193" s="683">
        <f t="shared" si="4"/>
        <v>980.70246206697857</v>
      </c>
      <c r="O193" s="682"/>
      <c r="P193" s="682"/>
      <c r="Q193" s="683">
        <f t="shared" si="5"/>
        <v>980.70246206697857</v>
      </c>
      <c r="R193" s="682"/>
      <c r="S193" s="654"/>
    </row>
    <row r="194" spans="1:19" x14ac:dyDescent="0.45">
      <c r="A194" s="655">
        <v>1884</v>
      </c>
      <c r="B194" s="682"/>
      <c r="C194" s="682"/>
      <c r="D194" s="682"/>
      <c r="E194" s="682"/>
      <c r="F194" s="682"/>
      <c r="G194" s="682"/>
      <c r="H194" s="946">
        <v>815.4522827340835</v>
      </c>
      <c r="I194" s="946">
        <v>141.37801832338747</v>
      </c>
      <c r="J194" s="682"/>
      <c r="K194" s="654"/>
      <c r="L194" s="654"/>
      <c r="M194" s="682"/>
      <c r="N194" s="683">
        <f t="shared" si="4"/>
        <v>956.83030105747093</v>
      </c>
      <c r="O194" s="682"/>
      <c r="P194" s="682"/>
      <c r="Q194" s="683">
        <f t="shared" si="5"/>
        <v>956.83030105747093</v>
      </c>
      <c r="R194" s="682"/>
      <c r="S194" s="654"/>
    </row>
    <row r="195" spans="1:19" x14ac:dyDescent="0.45">
      <c r="A195" s="655">
        <v>1885</v>
      </c>
      <c r="B195" s="682"/>
      <c r="C195" s="682"/>
      <c r="D195" s="682"/>
      <c r="E195" s="682"/>
      <c r="F195" s="682"/>
      <c r="G195" s="682"/>
      <c r="H195" s="946">
        <v>801.41667738271735</v>
      </c>
      <c r="I195" s="946">
        <v>143.49868859823829</v>
      </c>
      <c r="J195" s="682"/>
      <c r="K195" s="654"/>
      <c r="L195" s="654"/>
      <c r="M195" s="682"/>
      <c r="N195" s="683">
        <f t="shared" si="4"/>
        <v>944.91536598095558</v>
      </c>
      <c r="O195" s="682"/>
      <c r="P195" s="682"/>
      <c r="Q195" s="683">
        <f t="shared" si="5"/>
        <v>944.91536598095558</v>
      </c>
      <c r="R195" s="682"/>
      <c r="S195" s="654"/>
    </row>
    <row r="196" spans="1:19" x14ac:dyDescent="0.45">
      <c r="A196" s="655">
        <v>1886</v>
      </c>
      <c r="B196" s="682"/>
      <c r="C196" s="682"/>
      <c r="D196" s="682"/>
      <c r="E196" s="682"/>
      <c r="F196" s="682"/>
      <c r="G196" s="682"/>
      <c r="H196" s="946">
        <v>790.85513745083654</v>
      </c>
      <c r="I196" s="946">
        <v>145.65116892721184</v>
      </c>
      <c r="J196" s="682"/>
      <c r="K196" s="654"/>
      <c r="L196" s="654"/>
      <c r="M196" s="682"/>
      <c r="N196" s="683">
        <f t="shared" si="4"/>
        <v>936.50630637804841</v>
      </c>
      <c r="O196" s="682"/>
      <c r="P196" s="682"/>
      <c r="Q196" s="683">
        <f t="shared" si="5"/>
        <v>936.50630637804841</v>
      </c>
      <c r="R196" s="682"/>
      <c r="S196" s="654"/>
    </row>
    <row r="197" spans="1:19" x14ac:dyDescent="0.45">
      <c r="A197" s="655">
        <v>1887</v>
      </c>
      <c r="B197" s="682"/>
      <c r="C197" s="682"/>
      <c r="D197" s="682"/>
      <c r="E197" s="682"/>
      <c r="F197" s="682"/>
      <c r="G197" s="682"/>
      <c r="H197" s="946">
        <v>814.51984478224438</v>
      </c>
      <c r="I197" s="946">
        <v>147.83593646112001</v>
      </c>
      <c r="J197" s="682"/>
      <c r="K197" s="654"/>
      <c r="L197" s="654"/>
      <c r="M197" s="682"/>
      <c r="N197" s="683">
        <f t="shared" si="4"/>
        <v>962.35578124336439</v>
      </c>
      <c r="O197" s="682"/>
      <c r="P197" s="682"/>
      <c r="Q197" s="683">
        <f t="shared" si="5"/>
        <v>962.35578124336439</v>
      </c>
      <c r="R197" s="682"/>
      <c r="S197" s="654"/>
    </row>
    <row r="198" spans="1:19" x14ac:dyDescent="0.45">
      <c r="A198" s="655">
        <v>1888</v>
      </c>
      <c r="B198" s="682"/>
      <c r="C198" s="682"/>
      <c r="D198" s="682"/>
      <c r="E198" s="682"/>
      <c r="F198" s="682"/>
      <c r="G198" s="682"/>
      <c r="H198" s="946">
        <v>846.17962673491104</v>
      </c>
      <c r="I198" s="946">
        <v>150.0534755080368</v>
      </c>
      <c r="J198" s="682"/>
      <c r="K198" s="654"/>
      <c r="L198" s="654"/>
      <c r="M198" s="682"/>
      <c r="N198" s="683">
        <f t="shared" si="4"/>
        <v>996.23310224294778</v>
      </c>
      <c r="O198" s="682"/>
      <c r="P198" s="682"/>
      <c r="Q198" s="683">
        <f t="shared" si="5"/>
        <v>996.23310224294778</v>
      </c>
      <c r="R198" s="682"/>
      <c r="S198" s="654"/>
    </row>
    <row r="199" spans="1:19" x14ac:dyDescent="0.45">
      <c r="A199" s="655">
        <v>1889</v>
      </c>
      <c r="B199" s="682"/>
      <c r="C199" s="682"/>
      <c r="D199" s="682"/>
      <c r="E199" s="682"/>
      <c r="F199" s="682"/>
      <c r="G199" s="682"/>
      <c r="H199" s="946">
        <v>877.83940868757782</v>
      </c>
      <c r="I199" s="946">
        <v>152.30427764065732</v>
      </c>
      <c r="J199" s="682"/>
      <c r="K199" s="654"/>
      <c r="L199" s="654"/>
      <c r="M199" s="682"/>
      <c r="N199" s="683">
        <f t="shared" si="4"/>
        <v>1030.1436863282352</v>
      </c>
      <c r="O199" s="682"/>
      <c r="P199" s="682"/>
      <c r="Q199" s="683">
        <f t="shared" si="5"/>
        <v>1030.1436863282352</v>
      </c>
      <c r="R199" s="682"/>
      <c r="S199" s="654"/>
    </row>
    <row r="200" spans="1:19" x14ac:dyDescent="0.45">
      <c r="A200" s="655">
        <v>1890</v>
      </c>
      <c r="B200" s="682"/>
      <c r="C200" s="682"/>
      <c r="D200" s="682"/>
      <c r="E200" s="682"/>
      <c r="F200" s="682"/>
      <c r="G200" s="682"/>
      <c r="H200" s="946">
        <v>909.49919064024459</v>
      </c>
      <c r="I200" s="946">
        <v>154.58884180526715</v>
      </c>
      <c r="J200" s="682"/>
      <c r="K200" s="654"/>
      <c r="L200" s="654"/>
      <c r="M200" s="682"/>
      <c r="N200" s="683">
        <f t="shared" si="4"/>
        <v>1064.0880324455118</v>
      </c>
      <c r="O200" s="682"/>
      <c r="P200" s="682"/>
      <c r="Q200" s="683">
        <f t="shared" si="5"/>
        <v>1064.0880324455118</v>
      </c>
      <c r="R200" s="682"/>
      <c r="S200" s="654"/>
    </row>
    <row r="201" spans="1:19" x14ac:dyDescent="0.45">
      <c r="A201" s="655">
        <v>1891</v>
      </c>
      <c r="B201" s="682"/>
      <c r="C201" s="682"/>
      <c r="D201" s="682"/>
      <c r="E201" s="682"/>
      <c r="F201" s="682"/>
      <c r="G201" s="682"/>
      <c r="H201" s="946">
        <v>941.15897259291148</v>
      </c>
      <c r="I201" s="946">
        <v>156.90767443234617</v>
      </c>
      <c r="J201" s="682"/>
      <c r="K201" s="654"/>
      <c r="L201" s="654"/>
      <c r="M201" s="682"/>
      <c r="N201" s="683">
        <f t="shared" si="4"/>
        <v>1098.0666470252577</v>
      </c>
      <c r="O201" s="682"/>
      <c r="P201" s="682"/>
      <c r="Q201" s="683">
        <f t="shared" si="5"/>
        <v>1098.0666470252577</v>
      </c>
      <c r="R201" s="682"/>
      <c r="S201" s="654"/>
    </row>
    <row r="202" spans="1:19" x14ac:dyDescent="0.45">
      <c r="A202" s="655">
        <v>1892</v>
      </c>
      <c r="B202" s="682"/>
      <c r="C202" s="682"/>
      <c r="D202" s="682"/>
      <c r="E202" s="682"/>
      <c r="F202" s="682"/>
      <c r="G202" s="682"/>
      <c r="H202" s="946">
        <v>972.81875454557826</v>
      </c>
      <c r="I202" s="946">
        <v>159.26128954883134</v>
      </c>
      <c r="J202" s="682"/>
      <c r="K202" s="654"/>
      <c r="L202" s="654"/>
      <c r="M202" s="682"/>
      <c r="N202" s="683">
        <f t="shared" ref="N202:N265" si="6">SUM(H202:M202)</f>
        <v>1132.0800440944097</v>
      </c>
      <c r="O202" s="682"/>
      <c r="P202" s="682"/>
      <c r="Q202" s="683">
        <f t="shared" ref="Q202:Q265" si="7">B202+N202+O202+P202</f>
        <v>1132.0800440944097</v>
      </c>
      <c r="R202" s="682"/>
      <c r="S202" s="654"/>
    </row>
    <row r="203" spans="1:19" x14ac:dyDescent="0.45">
      <c r="A203" s="655">
        <v>1893</v>
      </c>
      <c r="B203" s="682"/>
      <c r="C203" s="682"/>
      <c r="D203" s="682"/>
      <c r="E203" s="682"/>
      <c r="F203" s="682"/>
      <c r="G203" s="682"/>
      <c r="H203" s="946">
        <v>1004.4785364982451</v>
      </c>
      <c r="I203" s="946">
        <v>161.6502088920638</v>
      </c>
      <c r="J203" s="682"/>
      <c r="K203" s="654"/>
      <c r="L203" s="654"/>
      <c r="M203" s="682"/>
      <c r="N203" s="683">
        <f t="shared" si="6"/>
        <v>1166.1287453903089</v>
      </c>
      <c r="O203" s="682"/>
      <c r="P203" s="682"/>
      <c r="Q203" s="683">
        <f t="shared" si="7"/>
        <v>1166.1287453903089</v>
      </c>
      <c r="R203" s="682"/>
      <c r="S203" s="654"/>
    </row>
    <row r="204" spans="1:19" x14ac:dyDescent="0.45">
      <c r="A204" s="655">
        <v>1894</v>
      </c>
      <c r="B204" s="682"/>
      <c r="C204" s="682"/>
      <c r="D204" s="682"/>
      <c r="E204" s="682"/>
      <c r="F204" s="682"/>
      <c r="G204" s="682"/>
      <c r="H204" s="946">
        <v>1036.1383184509118</v>
      </c>
      <c r="I204" s="946">
        <v>164.07496202544473</v>
      </c>
      <c r="J204" s="682"/>
      <c r="K204" s="654"/>
      <c r="L204" s="654"/>
      <c r="M204" s="682"/>
      <c r="N204" s="683">
        <f t="shared" si="6"/>
        <v>1200.2132804763564</v>
      </c>
      <c r="O204" s="682"/>
      <c r="P204" s="682"/>
      <c r="Q204" s="683">
        <f t="shared" si="7"/>
        <v>1200.2132804763564</v>
      </c>
      <c r="R204" s="682"/>
      <c r="S204" s="654"/>
    </row>
    <row r="205" spans="1:19" x14ac:dyDescent="0.45">
      <c r="A205" s="655">
        <v>1895</v>
      </c>
      <c r="B205" s="682"/>
      <c r="C205" s="682"/>
      <c r="D205" s="682"/>
      <c r="E205" s="682"/>
      <c r="F205" s="682"/>
      <c r="G205" s="682"/>
      <c r="H205" s="946">
        <v>1067.7981004035787</v>
      </c>
      <c r="I205" s="946">
        <v>166.53608645582636</v>
      </c>
      <c r="J205" s="682"/>
      <c r="K205" s="654"/>
      <c r="L205" s="654"/>
      <c r="M205" s="682"/>
      <c r="N205" s="683">
        <f t="shared" si="6"/>
        <v>1234.334186859405</v>
      </c>
      <c r="O205" s="682"/>
      <c r="P205" s="682"/>
      <c r="Q205" s="683">
        <f t="shared" si="7"/>
        <v>1234.334186859405</v>
      </c>
      <c r="R205" s="682"/>
      <c r="S205" s="654"/>
    </row>
    <row r="206" spans="1:19" x14ac:dyDescent="0.45">
      <c r="A206" s="655">
        <v>1896</v>
      </c>
      <c r="B206" s="682"/>
      <c r="C206" s="682"/>
      <c r="D206" s="682"/>
      <c r="E206" s="682"/>
      <c r="F206" s="682"/>
      <c r="G206" s="682"/>
      <c r="H206" s="946">
        <v>1099.4578823562456</v>
      </c>
      <c r="I206" s="946">
        <v>169.03412775266375</v>
      </c>
      <c r="J206" s="682"/>
      <c r="K206" s="654"/>
      <c r="L206" s="654"/>
      <c r="M206" s="682"/>
      <c r="N206" s="683">
        <f t="shared" si="6"/>
        <v>1268.4920101089094</v>
      </c>
      <c r="O206" s="682"/>
      <c r="P206" s="682"/>
      <c r="Q206" s="683">
        <f t="shared" si="7"/>
        <v>1268.4920101089094</v>
      </c>
      <c r="R206" s="682"/>
      <c r="S206" s="654"/>
    </row>
    <row r="207" spans="1:19" x14ac:dyDescent="0.45">
      <c r="A207" s="655">
        <v>1897</v>
      </c>
      <c r="B207" s="682"/>
      <c r="C207" s="682"/>
      <c r="D207" s="682"/>
      <c r="E207" s="682"/>
      <c r="F207" s="682"/>
      <c r="G207" s="682"/>
      <c r="H207" s="946">
        <v>1131.1176643089123</v>
      </c>
      <c r="I207" s="946">
        <v>171.5696396689537</v>
      </c>
      <c r="J207" s="682"/>
      <c r="K207" s="654"/>
      <c r="L207" s="654"/>
      <c r="M207" s="682"/>
      <c r="N207" s="683">
        <f t="shared" si="6"/>
        <v>1302.6873039778659</v>
      </c>
      <c r="O207" s="682"/>
      <c r="P207" s="682"/>
      <c r="Q207" s="683">
        <f t="shared" si="7"/>
        <v>1302.6873039778659</v>
      </c>
      <c r="R207" s="682"/>
      <c r="S207" s="654"/>
    </row>
    <row r="208" spans="1:19" x14ac:dyDescent="0.45">
      <c r="A208" s="655">
        <v>1898</v>
      </c>
      <c r="B208" s="682"/>
      <c r="C208" s="682"/>
      <c r="D208" s="682"/>
      <c r="E208" s="682"/>
      <c r="F208" s="682"/>
      <c r="G208" s="682"/>
      <c r="H208" s="946">
        <v>1162.7774462615791</v>
      </c>
      <c r="I208" s="946">
        <v>174.14318426398799</v>
      </c>
      <c r="J208" s="682"/>
      <c r="K208" s="654"/>
      <c r="L208" s="654"/>
      <c r="M208" s="682"/>
      <c r="N208" s="683">
        <f t="shared" si="6"/>
        <v>1336.920630525567</v>
      </c>
      <c r="O208" s="682"/>
      <c r="P208" s="682"/>
      <c r="Q208" s="683">
        <f t="shared" si="7"/>
        <v>1336.920630525567</v>
      </c>
      <c r="R208" s="682"/>
      <c r="S208" s="654"/>
    </row>
    <row r="209" spans="1:19" x14ac:dyDescent="0.45">
      <c r="A209" s="655">
        <v>1899</v>
      </c>
      <c r="B209" s="682"/>
      <c r="C209" s="682"/>
      <c r="D209" s="682"/>
      <c r="E209" s="682"/>
      <c r="F209" s="682"/>
      <c r="G209" s="682"/>
      <c r="H209" s="946">
        <v>1194.4372282142458</v>
      </c>
      <c r="I209" s="946">
        <v>176.75533202794776</v>
      </c>
      <c r="J209" s="682"/>
      <c r="K209" s="654"/>
      <c r="L209" s="654"/>
      <c r="M209" s="682"/>
      <c r="N209" s="683">
        <f t="shared" si="6"/>
        <v>1371.1925602421936</v>
      </c>
      <c r="O209" s="682"/>
      <c r="P209" s="682"/>
      <c r="Q209" s="683">
        <f t="shared" si="7"/>
        <v>1371.1925602421936</v>
      </c>
      <c r="R209" s="682"/>
      <c r="S209" s="654"/>
    </row>
    <row r="210" spans="1:19" x14ac:dyDescent="0.45">
      <c r="A210" s="655">
        <v>1900</v>
      </c>
      <c r="B210" s="682"/>
      <c r="C210" s="682"/>
      <c r="D210" s="682"/>
      <c r="E210" s="682"/>
      <c r="F210" s="682"/>
      <c r="G210" s="682"/>
      <c r="H210" s="946">
        <v>1226.097010166912</v>
      </c>
      <c r="I210" s="946">
        <v>179.40666200836696</v>
      </c>
      <c r="J210" s="682"/>
      <c r="K210" s="654"/>
      <c r="L210" s="654"/>
      <c r="M210" s="682"/>
      <c r="N210" s="683">
        <f t="shared" si="6"/>
        <v>1405.503672175279</v>
      </c>
      <c r="O210" s="682"/>
      <c r="P210" s="682"/>
      <c r="Q210" s="683">
        <f t="shared" si="7"/>
        <v>1405.503672175279</v>
      </c>
      <c r="R210" s="682"/>
      <c r="S210" s="654"/>
    </row>
    <row r="211" spans="1:19" x14ac:dyDescent="0.45">
      <c r="A211" s="655">
        <v>1901</v>
      </c>
      <c r="B211" s="682"/>
      <c r="C211" s="682"/>
      <c r="D211" s="682"/>
      <c r="E211" s="682"/>
      <c r="F211" s="682"/>
      <c r="G211" s="682"/>
      <c r="H211" s="946">
        <v>1216.0234431819724</v>
      </c>
      <c r="I211" s="946">
        <v>182.09776193849248</v>
      </c>
      <c r="J211" s="682"/>
      <c r="K211" s="654"/>
      <c r="L211" s="654"/>
      <c r="M211" s="682"/>
      <c r="N211" s="683">
        <f t="shared" si="6"/>
        <v>1398.121205120465</v>
      </c>
      <c r="O211" s="682"/>
      <c r="P211" s="682"/>
      <c r="Q211" s="683">
        <f t="shared" si="7"/>
        <v>1398.121205120465</v>
      </c>
      <c r="R211" s="682"/>
      <c r="S211" s="654"/>
    </row>
    <row r="212" spans="1:19" x14ac:dyDescent="0.45">
      <c r="A212" s="655">
        <v>1902</v>
      </c>
      <c r="B212" s="682"/>
      <c r="C212" s="682"/>
      <c r="D212" s="682"/>
      <c r="E212" s="682"/>
      <c r="F212" s="682"/>
      <c r="G212" s="682"/>
      <c r="H212" s="946">
        <v>1263.2252999114028</v>
      </c>
      <c r="I212" s="946">
        <v>184.82922836756981</v>
      </c>
      <c r="J212" s="682"/>
      <c r="K212" s="654"/>
      <c r="L212" s="654"/>
      <c r="M212" s="682"/>
      <c r="N212" s="683">
        <f t="shared" si="6"/>
        <v>1448.0545282789726</v>
      </c>
      <c r="O212" s="682"/>
      <c r="P212" s="682"/>
      <c r="Q212" s="683">
        <f t="shared" si="7"/>
        <v>1448.0545282789726</v>
      </c>
      <c r="R212" s="682"/>
      <c r="S212" s="654"/>
    </row>
    <row r="213" spans="1:19" x14ac:dyDescent="0.45">
      <c r="A213" s="655">
        <v>1903</v>
      </c>
      <c r="B213" s="682"/>
      <c r="C213" s="682"/>
      <c r="D213" s="682"/>
      <c r="E213" s="682"/>
      <c r="F213" s="682"/>
      <c r="G213" s="682"/>
      <c r="H213" s="946">
        <v>1232.7167827570149</v>
      </c>
      <c r="I213" s="946">
        <v>187.60166679308335</v>
      </c>
      <c r="J213" s="682"/>
      <c r="K213" s="654"/>
      <c r="L213" s="654"/>
      <c r="M213" s="682"/>
      <c r="N213" s="683">
        <f t="shared" si="6"/>
        <v>1420.3184495500982</v>
      </c>
      <c r="O213" s="682"/>
      <c r="P213" s="682"/>
      <c r="Q213" s="683">
        <f t="shared" si="7"/>
        <v>1420.3184495500982</v>
      </c>
      <c r="R213" s="682"/>
      <c r="S213" s="654"/>
    </row>
    <row r="214" spans="1:19" x14ac:dyDescent="0.45">
      <c r="A214" s="655">
        <v>1904</v>
      </c>
      <c r="B214" s="682"/>
      <c r="C214" s="682"/>
      <c r="D214" s="682"/>
      <c r="E214" s="682"/>
      <c r="F214" s="682"/>
      <c r="G214" s="682"/>
      <c r="H214" s="946">
        <v>1241.3512687441059</v>
      </c>
      <c r="I214" s="946">
        <v>190.41569179497961</v>
      </c>
      <c r="J214" s="682"/>
      <c r="K214" s="654"/>
      <c r="L214" s="654"/>
      <c r="M214" s="682"/>
      <c r="N214" s="683">
        <f t="shared" si="6"/>
        <v>1431.7669605390856</v>
      </c>
      <c r="O214" s="682"/>
      <c r="P214" s="682"/>
      <c r="Q214" s="683">
        <f t="shared" si="7"/>
        <v>1431.7669605390856</v>
      </c>
      <c r="R214" s="682"/>
      <c r="S214" s="654"/>
    </row>
    <row r="215" spans="1:19" x14ac:dyDescent="0.45">
      <c r="A215" s="655">
        <v>1905</v>
      </c>
      <c r="B215" s="682"/>
      <c r="C215" s="682"/>
      <c r="D215" s="682"/>
      <c r="E215" s="682"/>
      <c r="F215" s="682"/>
      <c r="G215" s="682"/>
      <c r="H215" s="946">
        <v>1146.6597390856755</v>
      </c>
      <c r="I215" s="946">
        <v>193.27192717190428</v>
      </c>
      <c r="J215" s="682"/>
      <c r="K215" s="654"/>
      <c r="L215" s="654"/>
      <c r="M215" s="682"/>
      <c r="N215" s="683">
        <f t="shared" si="6"/>
        <v>1339.9316662575798</v>
      </c>
      <c r="O215" s="682"/>
      <c r="P215" s="682"/>
      <c r="Q215" s="683">
        <f t="shared" si="7"/>
        <v>1339.9316662575798</v>
      </c>
      <c r="R215" s="682"/>
      <c r="S215" s="654"/>
    </row>
    <row r="216" spans="1:19" x14ac:dyDescent="0.45">
      <c r="A216" s="655">
        <v>1906</v>
      </c>
      <c r="B216" s="682"/>
      <c r="C216" s="682"/>
      <c r="D216" s="682"/>
      <c r="E216" s="682"/>
      <c r="F216" s="682"/>
      <c r="G216" s="682"/>
      <c r="H216" s="946">
        <v>1126.8004213153661</v>
      </c>
      <c r="I216" s="946">
        <v>196.17100607948282</v>
      </c>
      <c r="J216" s="682"/>
      <c r="K216" s="654"/>
      <c r="L216" s="654"/>
      <c r="M216" s="682"/>
      <c r="N216" s="683">
        <f t="shared" si="6"/>
        <v>1322.9714273948489</v>
      </c>
      <c r="O216" s="682"/>
      <c r="P216" s="682"/>
      <c r="Q216" s="683">
        <f t="shared" si="7"/>
        <v>1322.9714273948489</v>
      </c>
      <c r="R216" s="682"/>
      <c r="S216" s="654"/>
    </row>
    <row r="217" spans="1:19" x14ac:dyDescent="0.45">
      <c r="A217" s="655">
        <v>1907</v>
      </c>
      <c r="B217" s="682"/>
      <c r="C217" s="682"/>
      <c r="D217" s="682"/>
      <c r="E217" s="682"/>
      <c r="F217" s="682"/>
      <c r="G217" s="682"/>
      <c r="H217" s="946">
        <v>1236.4583933514211</v>
      </c>
      <c r="I217" s="946">
        <v>199.11357117067504</v>
      </c>
      <c r="J217" s="682"/>
      <c r="K217" s="654"/>
      <c r="L217" s="654"/>
      <c r="M217" s="682"/>
      <c r="N217" s="683">
        <f t="shared" si="6"/>
        <v>1435.5719645220961</v>
      </c>
      <c r="O217" s="682"/>
      <c r="P217" s="682"/>
      <c r="Q217" s="683">
        <f t="shared" si="7"/>
        <v>1435.5719645220961</v>
      </c>
      <c r="R217" s="682"/>
      <c r="S217" s="654"/>
    </row>
    <row r="218" spans="1:19" x14ac:dyDescent="0.45">
      <c r="A218" s="655">
        <v>1908</v>
      </c>
      <c r="B218" s="682"/>
      <c r="C218" s="682"/>
      <c r="D218" s="682"/>
      <c r="E218" s="682"/>
      <c r="F218" s="682"/>
      <c r="G218" s="682"/>
      <c r="H218" s="946">
        <v>1188.6809042228513</v>
      </c>
      <c r="I218" s="946">
        <v>202.10027473823513</v>
      </c>
      <c r="J218" s="682"/>
      <c r="K218" s="654"/>
      <c r="L218" s="654"/>
      <c r="M218" s="682"/>
      <c r="N218" s="683">
        <f t="shared" si="6"/>
        <v>1390.7811789610864</v>
      </c>
      <c r="O218" s="682"/>
      <c r="P218" s="682"/>
      <c r="Q218" s="683">
        <f t="shared" si="7"/>
        <v>1390.7811789610864</v>
      </c>
      <c r="R218" s="682"/>
      <c r="S218" s="654"/>
    </row>
    <row r="219" spans="1:19" x14ac:dyDescent="0.45">
      <c r="A219" s="655">
        <v>1909</v>
      </c>
      <c r="B219" s="682"/>
      <c r="C219" s="682"/>
      <c r="D219" s="682"/>
      <c r="E219" s="682"/>
      <c r="F219" s="682"/>
      <c r="G219" s="682"/>
      <c r="H219" s="946">
        <v>1184.0758450297362</v>
      </c>
      <c r="I219" s="946">
        <v>205.13177885930864</v>
      </c>
      <c r="J219" s="682"/>
      <c r="K219" s="654"/>
      <c r="L219" s="654"/>
      <c r="M219" s="682"/>
      <c r="N219" s="683">
        <f t="shared" si="6"/>
        <v>1389.207623889045</v>
      </c>
      <c r="O219" s="682"/>
      <c r="P219" s="682"/>
      <c r="Q219" s="683">
        <f t="shared" si="7"/>
        <v>1389.207623889045</v>
      </c>
      <c r="R219" s="682"/>
      <c r="S219" s="654"/>
    </row>
    <row r="220" spans="1:19" x14ac:dyDescent="0.45">
      <c r="A220" s="655">
        <v>1910</v>
      </c>
      <c r="B220" s="682"/>
      <c r="C220" s="682"/>
      <c r="D220" s="682"/>
      <c r="E220" s="682"/>
      <c r="F220" s="682"/>
      <c r="G220" s="682"/>
      <c r="H220" s="946">
        <v>1211.1305677892874</v>
      </c>
      <c r="I220" s="946">
        <v>208.20875554219822</v>
      </c>
      <c r="J220" s="682"/>
      <c r="K220" s="654"/>
      <c r="L220" s="654"/>
      <c r="M220" s="682"/>
      <c r="N220" s="683">
        <f t="shared" si="6"/>
        <v>1419.3393233314855</v>
      </c>
      <c r="O220" s="682"/>
      <c r="P220" s="682"/>
      <c r="Q220" s="683">
        <f t="shared" si="7"/>
        <v>1419.3393233314855</v>
      </c>
      <c r="R220" s="682"/>
      <c r="S220" s="654"/>
    </row>
    <row r="221" spans="1:19" x14ac:dyDescent="0.45">
      <c r="A221" s="655">
        <v>1911</v>
      </c>
      <c r="B221" s="682"/>
      <c r="C221" s="682"/>
      <c r="D221" s="682"/>
      <c r="E221" s="682"/>
      <c r="F221" s="682"/>
      <c r="G221" s="682"/>
      <c r="H221" s="946">
        <v>1250.5613871303362</v>
      </c>
      <c r="I221" s="946">
        <v>211.33188687533118</v>
      </c>
      <c r="J221" s="682"/>
      <c r="K221" s="654"/>
      <c r="L221" s="654"/>
      <c r="M221" s="682"/>
      <c r="N221" s="683">
        <f t="shared" si="6"/>
        <v>1461.8932740056675</v>
      </c>
      <c r="O221" s="682"/>
      <c r="P221" s="682"/>
      <c r="Q221" s="683">
        <f t="shared" si="7"/>
        <v>1461.8932740056675</v>
      </c>
      <c r="R221" s="682"/>
      <c r="S221" s="654"/>
    </row>
    <row r="222" spans="1:19" x14ac:dyDescent="0.45">
      <c r="A222" s="655">
        <v>1912</v>
      </c>
      <c r="B222" s="682"/>
      <c r="C222" s="682"/>
      <c r="D222" s="682"/>
      <c r="E222" s="682"/>
      <c r="F222" s="682"/>
      <c r="G222" s="682"/>
      <c r="H222" s="946">
        <v>1070.6762623992752</v>
      </c>
      <c r="I222" s="946">
        <v>214.50186517846114</v>
      </c>
      <c r="J222" s="682"/>
      <c r="K222" s="654"/>
      <c r="L222" s="654"/>
      <c r="M222" s="682"/>
      <c r="N222" s="683">
        <f t="shared" si="6"/>
        <v>1285.1781275777364</v>
      </c>
      <c r="O222" s="682"/>
      <c r="P222" s="682"/>
      <c r="Q222" s="683">
        <f t="shared" si="7"/>
        <v>1285.1781275777364</v>
      </c>
      <c r="R222" s="682"/>
      <c r="S222" s="654"/>
    </row>
    <row r="223" spans="1:19" x14ac:dyDescent="0.45">
      <c r="A223" s="655">
        <v>1913</v>
      </c>
      <c r="B223" s="682"/>
      <c r="C223" s="682"/>
      <c r="D223" s="682"/>
      <c r="E223" s="682"/>
      <c r="F223" s="682"/>
      <c r="G223" s="682"/>
      <c r="H223" s="946">
        <v>991.49281347828912</v>
      </c>
      <c r="I223" s="946">
        <v>217.71939315613804</v>
      </c>
      <c r="J223" s="682"/>
      <c r="K223" s="654"/>
      <c r="L223" s="654"/>
      <c r="M223" s="682"/>
      <c r="N223" s="683">
        <f t="shared" si="6"/>
        <v>1209.2122066344273</v>
      </c>
      <c r="O223" s="682"/>
      <c r="P223" s="682"/>
      <c r="Q223" s="683">
        <f t="shared" si="7"/>
        <v>1209.2122066344273</v>
      </c>
      <c r="R223" s="682"/>
      <c r="S223" s="654"/>
    </row>
    <row r="224" spans="1:19" x14ac:dyDescent="0.45">
      <c r="A224" s="655">
        <v>1914</v>
      </c>
      <c r="B224" s="682"/>
      <c r="C224" s="682"/>
      <c r="D224" s="682"/>
      <c r="E224" s="682"/>
      <c r="F224" s="682"/>
      <c r="G224" s="682"/>
      <c r="H224" s="946">
        <v>970.14687923144868</v>
      </c>
      <c r="I224" s="946">
        <v>218.33829890180084</v>
      </c>
      <c r="J224" s="682"/>
      <c r="K224" s="654"/>
      <c r="L224" s="654"/>
      <c r="M224" s="682"/>
      <c r="N224" s="683">
        <f t="shared" si="6"/>
        <v>1188.4851781332495</v>
      </c>
      <c r="O224" s="682"/>
      <c r="P224" s="682"/>
      <c r="Q224" s="683">
        <f t="shared" si="7"/>
        <v>1188.4851781332495</v>
      </c>
      <c r="R224" s="682"/>
      <c r="S224" s="654"/>
    </row>
    <row r="225" spans="1:19" x14ac:dyDescent="0.45">
      <c r="A225" s="655">
        <v>1915</v>
      </c>
      <c r="B225" s="682"/>
      <c r="C225" s="682"/>
      <c r="D225" s="682"/>
      <c r="E225" s="682"/>
      <c r="F225" s="682"/>
      <c r="G225" s="682"/>
      <c r="H225" s="946">
        <v>1014.8794144042641</v>
      </c>
      <c r="I225" s="946">
        <v>218.95720464746367</v>
      </c>
      <c r="J225" s="682"/>
      <c r="K225" s="654"/>
      <c r="L225" s="654"/>
      <c r="M225" s="682"/>
      <c r="N225" s="683">
        <f t="shared" si="6"/>
        <v>1233.8366190517279</v>
      </c>
      <c r="O225" s="682"/>
      <c r="P225" s="682"/>
      <c r="Q225" s="683">
        <f t="shared" si="7"/>
        <v>1233.8366190517279</v>
      </c>
      <c r="R225" s="682"/>
      <c r="S225" s="654"/>
    </row>
    <row r="226" spans="1:19" x14ac:dyDescent="0.45">
      <c r="A226" s="655">
        <v>1916</v>
      </c>
      <c r="B226" s="682"/>
      <c r="C226" s="682"/>
      <c r="D226" s="682"/>
      <c r="E226" s="682"/>
      <c r="F226" s="682"/>
      <c r="G226" s="682"/>
      <c r="H226" s="946">
        <v>1066.1713427369448</v>
      </c>
      <c r="I226" s="946">
        <v>219.5761103931265</v>
      </c>
      <c r="J226" s="682"/>
      <c r="K226" s="654"/>
      <c r="L226" s="654"/>
      <c r="M226" s="682"/>
      <c r="N226" s="683">
        <f t="shared" si="6"/>
        <v>1285.7474531300713</v>
      </c>
      <c r="O226" s="682"/>
      <c r="P226" s="682"/>
      <c r="Q226" s="683">
        <f t="shared" si="7"/>
        <v>1285.7474531300713</v>
      </c>
      <c r="R226" s="682"/>
      <c r="S226" s="654"/>
    </row>
    <row r="227" spans="1:19" x14ac:dyDescent="0.45">
      <c r="A227" s="655">
        <v>1917</v>
      </c>
      <c r="B227" s="682"/>
      <c r="C227" s="682"/>
      <c r="D227" s="682"/>
      <c r="E227" s="682"/>
      <c r="F227" s="682"/>
      <c r="G227" s="682"/>
      <c r="H227" s="946">
        <v>1060.9503106156985</v>
      </c>
      <c r="I227" s="946">
        <v>220.1950161387893</v>
      </c>
      <c r="J227" s="682"/>
      <c r="K227" s="654"/>
      <c r="L227" s="654"/>
      <c r="M227" s="682"/>
      <c r="N227" s="683">
        <f t="shared" si="6"/>
        <v>1281.1453267544878</v>
      </c>
      <c r="O227" s="682"/>
      <c r="P227" s="682"/>
      <c r="Q227" s="683">
        <f t="shared" si="7"/>
        <v>1281.1453267544878</v>
      </c>
      <c r="R227" s="682"/>
      <c r="S227" s="654"/>
    </row>
    <row r="228" spans="1:19" x14ac:dyDescent="0.45">
      <c r="A228" s="655">
        <v>1918</v>
      </c>
      <c r="B228" s="682"/>
      <c r="C228" s="682"/>
      <c r="D228" s="682"/>
      <c r="E228" s="682"/>
      <c r="F228" s="682"/>
      <c r="G228" s="682"/>
      <c r="H228" s="946">
        <v>980.73851511602095</v>
      </c>
      <c r="I228" s="946">
        <v>220.81392188445216</v>
      </c>
      <c r="J228" s="682"/>
      <c r="K228" s="654"/>
      <c r="L228" s="654"/>
      <c r="M228" s="682"/>
      <c r="N228" s="683">
        <f t="shared" si="6"/>
        <v>1201.5524370004732</v>
      </c>
      <c r="O228" s="682"/>
      <c r="P228" s="682"/>
      <c r="Q228" s="683">
        <f t="shared" si="7"/>
        <v>1201.5524370004732</v>
      </c>
      <c r="R228" s="682"/>
      <c r="S228" s="654"/>
    </row>
    <row r="229" spans="1:19" x14ac:dyDescent="0.45">
      <c r="A229" s="655">
        <v>1919</v>
      </c>
      <c r="B229" s="682"/>
      <c r="C229" s="682"/>
      <c r="D229" s="682"/>
      <c r="E229" s="682"/>
      <c r="F229" s="682"/>
      <c r="G229" s="682"/>
      <c r="H229" s="946">
        <v>959.82802805661868</v>
      </c>
      <c r="I229" s="946">
        <v>221.43282763011496</v>
      </c>
      <c r="J229" s="682"/>
      <c r="K229" s="654"/>
      <c r="L229" s="654"/>
      <c r="M229" s="682"/>
      <c r="N229" s="683">
        <f t="shared" si="6"/>
        <v>1181.2608556867335</v>
      </c>
      <c r="O229" s="682"/>
      <c r="P229" s="682"/>
      <c r="Q229" s="683">
        <f t="shared" si="7"/>
        <v>1181.2608556867335</v>
      </c>
      <c r="R229" s="682"/>
      <c r="S229" s="654"/>
    </row>
    <row r="230" spans="1:19" x14ac:dyDescent="0.45">
      <c r="A230" s="655">
        <v>1920</v>
      </c>
      <c r="B230" s="682"/>
      <c r="C230" s="682"/>
      <c r="D230" s="682"/>
      <c r="E230" s="682"/>
      <c r="F230" s="682"/>
      <c r="G230" s="682"/>
      <c r="H230" s="946">
        <v>1006.8341229503158</v>
      </c>
      <c r="I230" s="946">
        <v>222.05173337577779</v>
      </c>
      <c r="J230" s="682"/>
      <c r="K230" s="654"/>
      <c r="L230" s="654"/>
      <c r="M230" s="682"/>
      <c r="N230" s="683">
        <f t="shared" si="6"/>
        <v>1228.8858563260935</v>
      </c>
      <c r="O230" s="682"/>
      <c r="P230" s="682"/>
      <c r="Q230" s="683">
        <f t="shared" si="7"/>
        <v>1228.8858563260935</v>
      </c>
      <c r="R230" s="682"/>
      <c r="S230" s="654"/>
    </row>
    <row r="231" spans="1:19" x14ac:dyDescent="0.45">
      <c r="A231" s="655">
        <v>1921</v>
      </c>
      <c r="B231" s="682"/>
      <c r="C231" s="682"/>
      <c r="D231" s="682"/>
      <c r="E231" s="682"/>
      <c r="F231" s="682"/>
      <c r="G231" s="682"/>
      <c r="H231" s="946">
        <v>691.1225288349757</v>
      </c>
      <c r="I231" s="946">
        <v>222.67063912144062</v>
      </c>
      <c r="J231" s="682"/>
      <c r="K231" s="654"/>
      <c r="L231" s="654"/>
      <c r="M231" s="682"/>
      <c r="N231" s="683">
        <f t="shared" si="6"/>
        <v>913.79316795641626</v>
      </c>
      <c r="O231" s="682"/>
      <c r="P231" s="682"/>
      <c r="Q231" s="683">
        <f t="shared" si="7"/>
        <v>913.79316795641626</v>
      </c>
      <c r="R231" s="682"/>
      <c r="S231" s="654"/>
    </row>
    <row r="232" spans="1:19" x14ac:dyDescent="0.45">
      <c r="A232" s="655">
        <v>1922</v>
      </c>
      <c r="B232" s="682"/>
      <c r="C232" s="682"/>
      <c r="D232" s="682"/>
      <c r="E232" s="682"/>
      <c r="F232" s="682"/>
      <c r="G232" s="682"/>
      <c r="H232" s="946">
        <v>889.56473691604867</v>
      </c>
      <c r="I232" s="946">
        <v>223.28954486710342</v>
      </c>
      <c r="J232" s="682"/>
      <c r="K232" s="654"/>
      <c r="L232" s="654"/>
      <c r="M232" s="682"/>
      <c r="N232" s="683">
        <f t="shared" si="6"/>
        <v>1112.8542817831521</v>
      </c>
      <c r="O232" s="682"/>
      <c r="P232" s="682"/>
      <c r="Q232" s="683">
        <f t="shared" si="7"/>
        <v>1112.8542817831521</v>
      </c>
      <c r="R232" s="682"/>
      <c r="S232" s="654"/>
    </row>
    <row r="233" spans="1:19" x14ac:dyDescent="0.45">
      <c r="A233" s="655">
        <v>1923</v>
      </c>
      <c r="B233" s="682"/>
      <c r="C233" s="682"/>
      <c r="D233" s="682"/>
      <c r="E233" s="682"/>
      <c r="F233" s="682"/>
      <c r="G233" s="682"/>
      <c r="H233" s="946">
        <v>959.72507040352536</v>
      </c>
      <c r="I233" s="946">
        <v>223.90845061276627</v>
      </c>
      <c r="J233" s="682"/>
      <c r="K233" s="654"/>
      <c r="L233" s="654"/>
      <c r="M233" s="682"/>
      <c r="N233" s="683">
        <f t="shared" si="6"/>
        <v>1183.6335210162915</v>
      </c>
      <c r="O233" s="682"/>
      <c r="P233" s="682"/>
      <c r="Q233" s="683">
        <f t="shared" si="7"/>
        <v>1183.6335210162915</v>
      </c>
      <c r="R233" s="682"/>
      <c r="S233" s="654"/>
    </row>
    <row r="234" spans="1:19" x14ac:dyDescent="0.45">
      <c r="A234" s="655">
        <v>1924</v>
      </c>
      <c r="B234" s="682"/>
      <c r="C234" s="682"/>
      <c r="D234" s="682"/>
      <c r="E234" s="682"/>
      <c r="F234" s="682"/>
      <c r="G234" s="682"/>
      <c r="H234" s="946">
        <v>994.47495890271898</v>
      </c>
      <c r="I234" s="946">
        <v>224.52735635842907</v>
      </c>
      <c r="J234" s="682"/>
      <c r="K234" s="654"/>
      <c r="L234" s="654"/>
      <c r="M234" s="682"/>
      <c r="N234" s="683">
        <f t="shared" si="6"/>
        <v>1219.0023152611479</v>
      </c>
      <c r="O234" s="682"/>
      <c r="P234" s="682"/>
      <c r="Q234" s="683">
        <f t="shared" si="7"/>
        <v>1219.0023152611479</v>
      </c>
      <c r="R234" s="682"/>
      <c r="S234" s="654"/>
    </row>
    <row r="235" spans="1:19" x14ac:dyDescent="0.45">
      <c r="A235" s="655">
        <v>1925</v>
      </c>
      <c r="B235" s="682"/>
      <c r="C235" s="682"/>
      <c r="D235" s="682"/>
      <c r="E235" s="682"/>
      <c r="F235" s="682"/>
      <c r="G235" s="682"/>
      <c r="H235" s="946">
        <v>949.27805287188073</v>
      </c>
      <c r="I235" s="946">
        <v>225.1462621040919</v>
      </c>
      <c r="J235" s="682"/>
      <c r="K235" s="654"/>
      <c r="L235" s="654"/>
      <c r="M235" s="682"/>
      <c r="N235" s="683">
        <f t="shared" si="6"/>
        <v>1174.4243149759727</v>
      </c>
      <c r="O235" s="682"/>
      <c r="P235" s="682"/>
      <c r="Q235" s="683">
        <f t="shared" si="7"/>
        <v>1174.4243149759727</v>
      </c>
      <c r="R235" s="682"/>
      <c r="S235" s="654"/>
    </row>
    <row r="236" spans="1:19" x14ac:dyDescent="0.45">
      <c r="A236" s="655">
        <v>1926</v>
      </c>
      <c r="B236" s="682"/>
      <c r="C236" s="682"/>
      <c r="D236" s="682"/>
      <c r="E236" s="682"/>
      <c r="F236" s="682"/>
      <c r="G236" s="682"/>
      <c r="H236" s="946">
        <v>655.23090718618857</v>
      </c>
      <c r="I236" s="946">
        <v>225.76516784975473</v>
      </c>
      <c r="J236" s="682"/>
      <c r="K236" s="654"/>
      <c r="L236" s="654"/>
      <c r="M236" s="682"/>
      <c r="N236" s="683">
        <f t="shared" si="6"/>
        <v>880.99607503594325</v>
      </c>
      <c r="O236" s="682"/>
      <c r="P236" s="682"/>
      <c r="Q236" s="683">
        <f t="shared" si="7"/>
        <v>880.99607503594325</v>
      </c>
      <c r="R236" s="682"/>
      <c r="S236" s="654"/>
    </row>
    <row r="237" spans="1:19" x14ac:dyDescent="0.45">
      <c r="A237" s="655">
        <v>1927</v>
      </c>
      <c r="B237" s="682"/>
      <c r="C237" s="682"/>
      <c r="D237" s="682"/>
      <c r="E237" s="682"/>
      <c r="F237" s="682"/>
      <c r="G237" s="682"/>
      <c r="H237" s="946">
        <v>994.40994698259601</v>
      </c>
      <c r="I237" s="946">
        <v>226.38407359541756</v>
      </c>
      <c r="J237" s="682"/>
      <c r="K237" s="654"/>
      <c r="L237" s="654"/>
      <c r="M237" s="682"/>
      <c r="N237" s="683">
        <f t="shared" si="6"/>
        <v>1220.7940205780135</v>
      </c>
      <c r="O237" s="682"/>
      <c r="P237" s="682"/>
      <c r="Q237" s="683">
        <f t="shared" si="7"/>
        <v>1220.7940205780135</v>
      </c>
      <c r="R237" s="682"/>
      <c r="S237" s="654"/>
    </row>
    <row r="238" spans="1:19" x14ac:dyDescent="0.45">
      <c r="A238" s="655">
        <v>1928</v>
      </c>
      <c r="B238" s="682"/>
      <c r="C238" s="682"/>
      <c r="D238" s="682"/>
      <c r="E238" s="682"/>
      <c r="F238" s="682"/>
      <c r="G238" s="682"/>
      <c r="H238" s="946">
        <v>932.28765191852312</v>
      </c>
      <c r="I238" s="946">
        <v>227.00297934108039</v>
      </c>
      <c r="J238" s="682"/>
      <c r="K238" s="654"/>
      <c r="L238" s="654"/>
      <c r="M238" s="682"/>
      <c r="N238" s="683">
        <f t="shared" si="6"/>
        <v>1159.2906312596035</v>
      </c>
      <c r="O238" s="682"/>
      <c r="P238" s="682"/>
      <c r="Q238" s="683">
        <f t="shared" si="7"/>
        <v>1159.2906312596035</v>
      </c>
      <c r="R238" s="682"/>
      <c r="S238" s="654"/>
    </row>
    <row r="239" spans="1:19" x14ac:dyDescent="0.45">
      <c r="A239" s="655">
        <v>1929</v>
      </c>
      <c r="B239" s="682"/>
      <c r="C239" s="682"/>
      <c r="D239" s="682"/>
      <c r="E239" s="682"/>
      <c r="F239" s="682"/>
      <c r="G239" s="682"/>
      <c r="H239" s="946">
        <v>991.49281347828912</v>
      </c>
      <c r="I239" s="946">
        <v>227.62188508674319</v>
      </c>
      <c r="J239" s="682"/>
      <c r="K239" s="654"/>
      <c r="L239" s="654"/>
      <c r="M239" s="682"/>
      <c r="N239" s="683">
        <f t="shared" si="6"/>
        <v>1219.1146985650323</v>
      </c>
      <c r="O239" s="682"/>
      <c r="P239" s="682"/>
      <c r="Q239" s="683">
        <f t="shared" si="7"/>
        <v>1219.1146985650323</v>
      </c>
      <c r="R239" s="682"/>
      <c r="S239" s="654"/>
    </row>
    <row r="240" spans="1:19" x14ac:dyDescent="0.45">
      <c r="A240" s="655">
        <v>1930</v>
      </c>
      <c r="B240" s="682"/>
      <c r="C240" s="682"/>
      <c r="D240" s="682"/>
      <c r="E240" s="682"/>
      <c r="F240" s="682"/>
      <c r="G240" s="682"/>
      <c r="H240" s="946">
        <v>957.82418866889429</v>
      </c>
      <c r="I240" s="946">
        <v>228.24079083240602</v>
      </c>
      <c r="J240" s="682"/>
      <c r="K240" s="654"/>
      <c r="L240" s="654"/>
      <c r="M240" s="682"/>
      <c r="N240" s="683">
        <f t="shared" si="6"/>
        <v>1186.0649795013003</v>
      </c>
      <c r="O240" s="682"/>
      <c r="P240" s="682"/>
      <c r="Q240" s="683">
        <f t="shared" si="7"/>
        <v>1186.0649795013003</v>
      </c>
      <c r="R240" s="682"/>
      <c r="S240" s="654"/>
    </row>
    <row r="241" spans="1:19" x14ac:dyDescent="0.45">
      <c r="A241" s="655">
        <v>1931</v>
      </c>
      <c r="B241" s="682"/>
      <c r="C241" s="682"/>
      <c r="D241" s="682"/>
      <c r="E241" s="682"/>
      <c r="F241" s="682"/>
      <c r="G241" s="682"/>
      <c r="H241" s="946">
        <v>906.15128768431771</v>
      </c>
      <c r="I241" s="946">
        <v>228.85969657806885</v>
      </c>
      <c r="J241" s="682"/>
      <c r="K241" s="654"/>
      <c r="L241" s="654"/>
      <c r="M241" s="682"/>
      <c r="N241" s="683">
        <f t="shared" si="6"/>
        <v>1135.0109842623865</v>
      </c>
      <c r="O241" s="682"/>
      <c r="P241" s="682"/>
      <c r="Q241" s="683">
        <f t="shared" si="7"/>
        <v>1135.0109842623865</v>
      </c>
      <c r="R241" s="682"/>
      <c r="S241" s="654"/>
    </row>
    <row r="242" spans="1:19" x14ac:dyDescent="0.45">
      <c r="A242" s="655">
        <v>1932</v>
      </c>
      <c r="B242" s="682"/>
      <c r="C242" s="682"/>
      <c r="D242" s="682"/>
      <c r="E242" s="682"/>
      <c r="F242" s="682"/>
      <c r="G242" s="682"/>
      <c r="H242" s="946">
        <v>906.77879836180762</v>
      </c>
      <c r="I242" s="946">
        <v>229.47860232373168</v>
      </c>
      <c r="J242" s="682"/>
      <c r="K242" s="654"/>
      <c r="L242" s="654"/>
      <c r="M242" s="682"/>
      <c r="N242" s="683">
        <f t="shared" si="6"/>
        <v>1136.2574006855393</v>
      </c>
      <c r="O242" s="682"/>
      <c r="P242" s="682"/>
      <c r="Q242" s="683">
        <f t="shared" si="7"/>
        <v>1136.2574006855393</v>
      </c>
      <c r="R242" s="682"/>
      <c r="S242" s="654"/>
    </row>
    <row r="243" spans="1:19" x14ac:dyDescent="0.45">
      <c r="A243" s="655">
        <v>1933</v>
      </c>
      <c r="B243" s="682"/>
      <c r="C243" s="682"/>
      <c r="D243" s="682"/>
      <c r="E243" s="682"/>
      <c r="F243" s="682"/>
      <c r="G243" s="682"/>
      <c r="H243" s="946">
        <v>923.29182417024833</v>
      </c>
      <c r="I243" s="946">
        <v>230.09750806939451</v>
      </c>
      <c r="J243" s="682"/>
      <c r="K243" s="654"/>
      <c r="L243" s="654"/>
      <c r="M243" s="682"/>
      <c r="N243" s="683">
        <f t="shared" si="6"/>
        <v>1153.389332239643</v>
      </c>
      <c r="O243" s="682"/>
      <c r="P243" s="682"/>
      <c r="Q243" s="683">
        <f t="shared" si="7"/>
        <v>1153.389332239643</v>
      </c>
      <c r="R243" s="682"/>
      <c r="S243" s="654"/>
    </row>
    <row r="244" spans="1:19" x14ac:dyDescent="0.45">
      <c r="A244" s="655">
        <v>1934</v>
      </c>
      <c r="B244" s="682"/>
      <c r="C244" s="682"/>
      <c r="D244" s="682"/>
      <c r="E244" s="682"/>
      <c r="F244" s="682"/>
      <c r="G244" s="682"/>
      <c r="H244" s="946">
        <v>1008.283814502855</v>
      </c>
      <c r="I244" s="946">
        <v>230.71641381505734</v>
      </c>
      <c r="J244" s="682"/>
      <c r="K244" s="654"/>
      <c r="L244" s="654"/>
      <c r="M244" s="682"/>
      <c r="N244" s="683">
        <f t="shared" si="6"/>
        <v>1239.0002283179124</v>
      </c>
      <c r="O244" s="682"/>
      <c r="P244" s="682"/>
      <c r="Q244" s="683">
        <f t="shared" si="7"/>
        <v>1239.0002283179124</v>
      </c>
      <c r="R244" s="682"/>
      <c r="S244" s="654"/>
    </row>
    <row r="245" spans="1:19" x14ac:dyDescent="0.45">
      <c r="A245" s="655">
        <v>1935</v>
      </c>
      <c r="B245" s="682"/>
      <c r="C245" s="682"/>
      <c r="D245" s="682"/>
      <c r="E245" s="682"/>
      <c r="F245" s="682"/>
      <c r="G245" s="682"/>
      <c r="H245" s="946">
        <v>1057.8120973303423</v>
      </c>
      <c r="I245" s="946">
        <v>231.33531956072014</v>
      </c>
      <c r="J245" s="682"/>
      <c r="K245" s="654"/>
      <c r="L245" s="654"/>
      <c r="M245" s="682"/>
      <c r="N245" s="683">
        <f t="shared" si="6"/>
        <v>1289.1474168910624</v>
      </c>
      <c r="O245" s="682"/>
      <c r="P245" s="682"/>
      <c r="Q245" s="683">
        <f t="shared" si="7"/>
        <v>1289.1474168910624</v>
      </c>
      <c r="R245" s="682"/>
      <c r="S245" s="654"/>
    </row>
    <row r="246" spans="1:19" x14ac:dyDescent="0.45">
      <c r="A246" s="655">
        <v>1936</v>
      </c>
      <c r="B246" s="682"/>
      <c r="C246" s="682"/>
      <c r="D246" s="682"/>
      <c r="E246" s="682"/>
      <c r="F246" s="682"/>
      <c r="G246" s="682"/>
      <c r="H246" s="946">
        <v>1134.6089091889601</v>
      </c>
      <c r="I246" s="946">
        <v>231.95422530638297</v>
      </c>
      <c r="J246" s="682"/>
      <c r="K246" s="654"/>
      <c r="L246" s="654"/>
      <c r="M246" s="682"/>
      <c r="N246" s="683">
        <f t="shared" si="6"/>
        <v>1366.5631344953431</v>
      </c>
      <c r="O246" s="682"/>
      <c r="P246" s="682"/>
      <c r="Q246" s="683">
        <f t="shared" si="7"/>
        <v>1366.5631344953431</v>
      </c>
      <c r="R246" s="682"/>
      <c r="S246" s="654"/>
    </row>
    <row r="247" spans="1:19" x14ac:dyDescent="0.45">
      <c r="A247" s="655">
        <v>1937</v>
      </c>
      <c r="B247" s="682"/>
      <c r="C247" s="682"/>
      <c r="D247" s="682"/>
      <c r="E247" s="682"/>
      <c r="F247" s="682"/>
      <c r="G247" s="682"/>
      <c r="H247" s="946">
        <v>1198.2295435822216</v>
      </c>
      <c r="I247" s="946">
        <v>232.5731310520458</v>
      </c>
      <c r="J247" s="682"/>
      <c r="K247" s="654"/>
      <c r="L247" s="654"/>
      <c r="M247" s="682"/>
      <c r="N247" s="683">
        <f t="shared" si="6"/>
        <v>1430.8026746342673</v>
      </c>
      <c r="O247" s="682"/>
      <c r="P247" s="682"/>
      <c r="Q247" s="683">
        <f t="shared" si="7"/>
        <v>1430.8026746342673</v>
      </c>
      <c r="R247" s="682"/>
      <c r="S247" s="654"/>
    </row>
    <row r="248" spans="1:19" x14ac:dyDescent="0.45">
      <c r="A248" s="655">
        <v>1938</v>
      </c>
      <c r="B248" s="682"/>
      <c r="C248" s="682"/>
      <c r="D248" s="682"/>
      <c r="E248" s="682"/>
      <c r="F248" s="682"/>
      <c r="G248" s="682"/>
      <c r="H248" s="946">
        <v>1147.3347252298513</v>
      </c>
      <c r="I248" s="946">
        <v>233.19203679770862</v>
      </c>
      <c r="J248" s="682"/>
      <c r="K248" s="654"/>
      <c r="L248" s="654"/>
      <c r="M248" s="682"/>
      <c r="N248" s="683">
        <f t="shared" si="6"/>
        <v>1380.5267620275599</v>
      </c>
      <c r="O248" s="682"/>
      <c r="P248" s="682"/>
      <c r="Q248" s="683">
        <f t="shared" si="7"/>
        <v>1380.5267620275599</v>
      </c>
      <c r="R248" s="682"/>
      <c r="S248" s="654"/>
    </row>
    <row r="249" spans="1:19" x14ac:dyDescent="0.45">
      <c r="A249" s="655">
        <v>1939</v>
      </c>
      <c r="B249" s="682"/>
      <c r="C249" s="682"/>
      <c r="D249" s="682"/>
      <c r="E249" s="682"/>
      <c r="F249" s="682"/>
      <c r="G249" s="682"/>
      <c r="H249" s="946">
        <v>1223.1471745201495</v>
      </c>
      <c r="I249" s="946">
        <v>233.81094254337145</v>
      </c>
      <c r="J249" s="682"/>
      <c r="K249" s="654"/>
      <c r="L249" s="654"/>
      <c r="M249" s="682"/>
      <c r="N249" s="683">
        <f t="shared" si="6"/>
        <v>1456.9581170635211</v>
      </c>
      <c r="O249" s="682"/>
      <c r="P249" s="682"/>
      <c r="Q249" s="683">
        <f t="shared" si="7"/>
        <v>1456.9581170635211</v>
      </c>
      <c r="R249" s="682"/>
      <c r="S249" s="654"/>
    </row>
    <row r="250" spans="1:19" x14ac:dyDescent="0.45">
      <c r="A250" s="655">
        <v>1940</v>
      </c>
      <c r="B250" s="682"/>
      <c r="C250" s="682"/>
      <c r="D250" s="682"/>
      <c r="E250" s="682"/>
      <c r="F250" s="682"/>
      <c r="G250" s="682"/>
      <c r="H250" s="946">
        <v>1326.2207873085592</v>
      </c>
      <c r="I250" s="946">
        <v>234.42984828903425</v>
      </c>
      <c r="J250" s="682"/>
      <c r="K250" s="654"/>
      <c r="L250" s="654"/>
      <c r="M250" s="682"/>
      <c r="N250" s="683">
        <f t="shared" si="6"/>
        <v>1560.6506355975935</v>
      </c>
      <c r="O250" s="682"/>
      <c r="P250" s="682"/>
      <c r="Q250" s="683">
        <f t="shared" si="7"/>
        <v>1560.6506355975935</v>
      </c>
      <c r="R250" s="682"/>
      <c r="S250" s="654"/>
    </row>
    <row r="251" spans="1:19" x14ac:dyDescent="0.45">
      <c r="A251" s="655">
        <v>1941</v>
      </c>
      <c r="B251" s="682"/>
      <c r="C251" s="682"/>
      <c r="D251" s="682"/>
      <c r="E251" s="682"/>
      <c r="F251" s="682"/>
      <c r="G251" s="682"/>
      <c r="H251" s="946">
        <v>1326.2207873085592</v>
      </c>
      <c r="I251" s="946">
        <v>235.04875403469711</v>
      </c>
      <c r="J251" s="682"/>
      <c r="K251" s="654"/>
      <c r="L251" s="654"/>
      <c r="M251" s="682"/>
      <c r="N251" s="683">
        <f t="shared" si="6"/>
        <v>1561.2695413432564</v>
      </c>
      <c r="O251" s="682"/>
      <c r="P251" s="682"/>
      <c r="Q251" s="683">
        <f t="shared" si="7"/>
        <v>1561.2695413432564</v>
      </c>
      <c r="R251" s="682"/>
      <c r="S251" s="654"/>
    </row>
    <row r="252" spans="1:19" x14ac:dyDescent="0.45">
      <c r="A252" s="655">
        <v>1942</v>
      </c>
      <c r="B252" s="682"/>
      <c r="C252" s="682"/>
      <c r="D252" s="682"/>
      <c r="E252" s="682"/>
      <c r="F252" s="682"/>
      <c r="G252" s="682"/>
      <c r="H252" s="946">
        <v>1231.8533341583061</v>
      </c>
      <c r="I252" s="946">
        <v>235.66765978035991</v>
      </c>
      <c r="J252" s="682"/>
      <c r="K252" s="654"/>
      <c r="L252" s="654"/>
      <c r="M252" s="682"/>
      <c r="N252" s="683">
        <f t="shared" si="6"/>
        <v>1467.5209939386659</v>
      </c>
      <c r="O252" s="682"/>
      <c r="P252" s="682"/>
      <c r="Q252" s="683">
        <f t="shared" si="7"/>
        <v>1467.5209939386659</v>
      </c>
      <c r="R252" s="682"/>
      <c r="S252" s="654"/>
    </row>
    <row r="253" spans="1:19" x14ac:dyDescent="0.45">
      <c r="A253" s="655">
        <v>1943</v>
      </c>
      <c r="B253" s="682"/>
      <c r="C253" s="682"/>
      <c r="D253" s="682"/>
      <c r="E253" s="682"/>
      <c r="F253" s="682"/>
      <c r="G253" s="682"/>
      <c r="H253" s="946">
        <v>1220.3406861755179</v>
      </c>
      <c r="I253" s="946">
        <v>236.28656552602274</v>
      </c>
      <c r="J253" s="682"/>
      <c r="K253" s="654"/>
      <c r="L253" s="654"/>
      <c r="M253" s="682"/>
      <c r="N253" s="683">
        <f t="shared" si="6"/>
        <v>1456.6272517015407</v>
      </c>
      <c r="O253" s="682"/>
      <c r="P253" s="682"/>
      <c r="Q253" s="683">
        <f t="shared" si="7"/>
        <v>1456.6272517015407</v>
      </c>
      <c r="R253" s="682"/>
      <c r="S253" s="654"/>
    </row>
    <row r="254" spans="1:19" x14ac:dyDescent="0.45">
      <c r="A254" s="655">
        <v>1944</v>
      </c>
      <c r="B254" s="682"/>
      <c r="C254" s="682"/>
      <c r="D254" s="682"/>
      <c r="E254" s="682"/>
      <c r="F254" s="682"/>
      <c r="G254" s="682"/>
      <c r="H254" s="946">
        <v>1139.7521502960026</v>
      </c>
      <c r="I254" s="946">
        <v>236.90547127168557</v>
      </c>
      <c r="J254" s="682"/>
      <c r="K254" s="654"/>
      <c r="L254" s="654"/>
      <c r="M254" s="682"/>
      <c r="N254" s="683">
        <f t="shared" si="6"/>
        <v>1376.6576215676882</v>
      </c>
      <c r="O254" s="682"/>
      <c r="P254" s="682"/>
      <c r="Q254" s="683">
        <f t="shared" si="7"/>
        <v>1376.6576215676882</v>
      </c>
      <c r="R254" s="682"/>
      <c r="S254" s="654"/>
    </row>
    <row r="255" spans="1:19" x14ac:dyDescent="0.45">
      <c r="A255" s="655">
        <v>1945</v>
      </c>
      <c r="B255" s="682"/>
      <c r="C255" s="682"/>
      <c r="D255" s="682"/>
      <c r="E255" s="682"/>
      <c r="F255" s="682"/>
      <c r="G255" s="682"/>
      <c r="H255" s="946">
        <v>1129.0641127220019</v>
      </c>
      <c r="I255" s="946">
        <v>237.52437701734837</v>
      </c>
      <c r="J255" s="682"/>
      <c r="K255" s="654"/>
      <c r="L255" s="654"/>
      <c r="M255" s="682"/>
      <c r="N255" s="683">
        <f t="shared" si="6"/>
        <v>1366.5884897393503</v>
      </c>
      <c r="O255" s="682"/>
      <c r="P255" s="682"/>
      <c r="Q255" s="683">
        <f t="shared" si="7"/>
        <v>1366.5884897393503</v>
      </c>
      <c r="R255" s="682"/>
      <c r="S255" s="654"/>
    </row>
    <row r="256" spans="1:19" x14ac:dyDescent="0.45">
      <c r="A256" s="655">
        <v>1946</v>
      </c>
      <c r="B256" s="682"/>
      <c r="C256" s="682"/>
      <c r="D256" s="682"/>
      <c r="E256" s="682"/>
      <c r="F256" s="682"/>
      <c r="G256" s="682"/>
      <c r="H256" s="946">
        <v>1118.3760751480015</v>
      </c>
      <c r="I256" s="946">
        <v>238.14328276301123</v>
      </c>
      <c r="J256" s="682"/>
      <c r="K256" s="654"/>
      <c r="L256" s="654"/>
      <c r="M256" s="682"/>
      <c r="N256" s="683">
        <f t="shared" si="6"/>
        <v>1356.5193579110128</v>
      </c>
      <c r="O256" s="682"/>
      <c r="P256" s="682"/>
      <c r="Q256" s="683">
        <f t="shared" si="7"/>
        <v>1356.5193579110128</v>
      </c>
      <c r="R256" s="682"/>
      <c r="S256" s="654"/>
    </row>
    <row r="257" spans="1:19" x14ac:dyDescent="0.45">
      <c r="A257" s="655">
        <v>1947</v>
      </c>
      <c r="B257" s="682"/>
      <c r="C257" s="682"/>
      <c r="D257" s="682"/>
      <c r="E257" s="682"/>
      <c r="F257" s="682"/>
      <c r="G257" s="682"/>
      <c r="H257" s="946">
        <v>1107.6880375740009</v>
      </c>
      <c r="I257" s="946">
        <v>238.76218850867403</v>
      </c>
      <c r="J257" s="682"/>
      <c r="K257" s="654"/>
      <c r="L257" s="654"/>
      <c r="M257" s="682"/>
      <c r="N257" s="683">
        <f t="shared" si="6"/>
        <v>1346.4502260826748</v>
      </c>
      <c r="O257" s="682"/>
      <c r="P257" s="682"/>
      <c r="Q257" s="683">
        <f t="shared" si="7"/>
        <v>1346.4502260826748</v>
      </c>
      <c r="R257" s="682"/>
      <c r="S257" s="654"/>
    </row>
    <row r="258" spans="1:19" x14ac:dyDescent="0.45">
      <c r="A258" s="655">
        <v>1948</v>
      </c>
      <c r="B258" s="682"/>
      <c r="C258" s="682"/>
      <c r="D258" s="682"/>
      <c r="E258" s="682"/>
      <c r="F258" s="682"/>
      <c r="G258" s="682"/>
      <c r="H258" s="946">
        <v>1097</v>
      </c>
      <c r="I258" s="946">
        <v>239.38109425433686</v>
      </c>
      <c r="J258" s="682"/>
      <c r="K258" s="654"/>
      <c r="L258" s="654"/>
      <c r="M258" s="682"/>
      <c r="N258" s="683">
        <f t="shared" si="6"/>
        <v>1336.3810942543369</v>
      </c>
      <c r="O258" s="682"/>
      <c r="P258" s="682"/>
      <c r="Q258" s="683">
        <f t="shared" si="7"/>
        <v>1336.3810942543369</v>
      </c>
      <c r="R258" s="682"/>
      <c r="S258" s="654"/>
    </row>
    <row r="259" spans="1:19" x14ac:dyDescent="0.45">
      <c r="A259" s="655">
        <v>1949</v>
      </c>
      <c r="B259" s="682"/>
      <c r="C259" s="682"/>
      <c r="D259" s="682"/>
      <c r="E259" s="682"/>
      <c r="F259" s="682"/>
      <c r="G259" s="682"/>
      <c r="H259" s="946">
        <v>1103.4000000000001</v>
      </c>
      <c r="I259" s="946">
        <v>240</v>
      </c>
      <c r="J259" s="682"/>
      <c r="K259" s="654"/>
      <c r="L259" s="654"/>
      <c r="M259" s="682"/>
      <c r="N259" s="683">
        <f t="shared" si="6"/>
        <v>1343.4</v>
      </c>
      <c r="O259" s="682"/>
      <c r="P259" s="682"/>
      <c r="Q259" s="683">
        <f t="shared" si="7"/>
        <v>1343.4</v>
      </c>
      <c r="R259" s="682"/>
      <c r="S259" s="654"/>
    </row>
    <row r="260" spans="1:19" x14ac:dyDescent="0.45">
      <c r="A260" s="655">
        <v>1950</v>
      </c>
      <c r="B260" s="682"/>
      <c r="C260" s="682"/>
      <c r="D260" s="682"/>
      <c r="E260" s="682"/>
      <c r="F260" s="682"/>
      <c r="G260" s="682"/>
      <c r="H260" s="946">
        <v>1109.8000000000002</v>
      </c>
      <c r="I260" s="946">
        <v>240</v>
      </c>
      <c r="J260" s="682"/>
      <c r="K260" s="654"/>
      <c r="L260" s="654"/>
      <c r="M260" s="682"/>
      <c r="N260" s="683">
        <f t="shared" si="6"/>
        <v>1349.8000000000002</v>
      </c>
      <c r="O260" s="682"/>
      <c r="P260" s="682"/>
      <c r="Q260" s="683">
        <f t="shared" si="7"/>
        <v>1349.8000000000002</v>
      </c>
      <c r="R260" s="682"/>
      <c r="S260" s="654"/>
    </row>
    <row r="261" spans="1:19" x14ac:dyDescent="0.45">
      <c r="A261" s="655">
        <v>1951</v>
      </c>
      <c r="B261" s="682"/>
      <c r="C261" s="682"/>
      <c r="D261" s="682"/>
      <c r="E261" s="682"/>
      <c r="F261" s="682"/>
      <c r="G261" s="682"/>
      <c r="H261" s="946">
        <v>1116.2000000000003</v>
      </c>
      <c r="I261" s="946">
        <v>240</v>
      </c>
      <c r="J261" s="682"/>
      <c r="K261" s="654"/>
      <c r="L261" s="654"/>
      <c r="M261" s="682"/>
      <c r="N261" s="683">
        <f t="shared" si="6"/>
        <v>1356.2000000000003</v>
      </c>
      <c r="O261" s="682"/>
      <c r="P261" s="682"/>
      <c r="Q261" s="683">
        <f t="shared" si="7"/>
        <v>1356.2000000000003</v>
      </c>
      <c r="R261" s="682"/>
      <c r="S261" s="654"/>
    </row>
    <row r="262" spans="1:19" x14ac:dyDescent="0.45">
      <c r="A262" s="655">
        <v>1952</v>
      </c>
      <c r="B262" s="682"/>
      <c r="C262" s="682"/>
      <c r="D262" s="682"/>
      <c r="E262" s="682"/>
      <c r="F262" s="682"/>
      <c r="G262" s="682"/>
      <c r="H262" s="946">
        <v>1122.6000000000004</v>
      </c>
      <c r="I262" s="946">
        <v>240</v>
      </c>
      <c r="J262" s="682"/>
      <c r="K262" s="654"/>
      <c r="L262" s="654"/>
      <c r="M262" s="682"/>
      <c r="N262" s="683">
        <f t="shared" si="6"/>
        <v>1362.6000000000004</v>
      </c>
      <c r="O262" s="682"/>
      <c r="P262" s="682"/>
      <c r="Q262" s="683">
        <f t="shared" si="7"/>
        <v>1362.6000000000004</v>
      </c>
      <c r="R262" s="682"/>
      <c r="S262" s="654"/>
    </row>
    <row r="263" spans="1:19" x14ac:dyDescent="0.45">
      <c r="A263" s="655">
        <v>1953</v>
      </c>
      <c r="B263" s="682"/>
      <c r="C263" s="682"/>
      <c r="D263" s="682"/>
      <c r="E263" s="682"/>
      <c r="F263" s="682"/>
      <c r="G263" s="682"/>
      <c r="H263" s="946">
        <v>1129</v>
      </c>
      <c r="I263" s="946">
        <v>240</v>
      </c>
      <c r="J263" s="682"/>
      <c r="K263" s="654"/>
      <c r="L263" s="654"/>
      <c r="M263" s="682"/>
      <c r="N263" s="683">
        <f t="shared" si="6"/>
        <v>1369</v>
      </c>
      <c r="O263" s="682"/>
      <c r="P263" s="682"/>
      <c r="Q263" s="683">
        <f t="shared" si="7"/>
        <v>1369</v>
      </c>
      <c r="R263" s="682"/>
      <c r="S263" s="654"/>
    </row>
    <row r="264" spans="1:19" x14ac:dyDescent="0.45">
      <c r="A264" s="655">
        <v>1954</v>
      </c>
      <c r="B264" s="682"/>
      <c r="C264" s="682"/>
      <c r="D264" s="682"/>
      <c r="E264" s="682"/>
      <c r="F264" s="682"/>
      <c r="G264" s="682"/>
      <c r="H264" s="946">
        <v>1123.8</v>
      </c>
      <c r="I264" s="946">
        <v>240</v>
      </c>
      <c r="J264" s="682"/>
      <c r="K264" s="654"/>
      <c r="L264" s="654"/>
      <c r="M264" s="682"/>
      <c r="N264" s="683">
        <f t="shared" si="6"/>
        <v>1363.8</v>
      </c>
      <c r="O264" s="682"/>
      <c r="P264" s="682"/>
      <c r="Q264" s="683">
        <f t="shared" si="7"/>
        <v>1363.8</v>
      </c>
      <c r="R264" s="682"/>
      <c r="S264" s="654"/>
    </row>
    <row r="265" spans="1:19" x14ac:dyDescent="0.45">
      <c r="A265" s="655">
        <v>1955</v>
      </c>
      <c r="B265" s="682"/>
      <c r="C265" s="682"/>
      <c r="D265" s="682"/>
      <c r="E265" s="682"/>
      <c r="F265" s="682"/>
      <c r="G265" s="682"/>
      <c r="H265" s="946">
        <v>1118.5999999999999</v>
      </c>
      <c r="I265" s="946">
        <v>240</v>
      </c>
      <c r="J265" s="682"/>
      <c r="K265" s="654"/>
      <c r="L265" s="654"/>
      <c r="M265" s="682"/>
      <c r="N265" s="683">
        <f t="shared" si="6"/>
        <v>1358.6</v>
      </c>
      <c r="O265" s="682"/>
      <c r="P265" s="682"/>
      <c r="Q265" s="683">
        <f t="shared" si="7"/>
        <v>1358.6</v>
      </c>
      <c r="R265" s="682"/>
      <c r="S265" s="654"/>
    </row>
    <row r="266" spans="1:19" x14ac:dyDescent="0.45">
      <c r="A266" s="655">
        <v>1956</v>
      </c>
      <c r="B266" s="682"/>
      <c r="C266" s="682"/>
      <c r="D266" s="682"/>
      <c r="E266" s="682"/>
      <c r="F266" s="682"/>
      <c r="G266" s="682"/>
      <c r="H266" s="946">
        <v>1113.3999999999999</v>
      </c>
      <c r="I266" s="946">
        <v>240</v>
      </c>
      <c r="J266" s="682"/>
      <c r="K266" s="654"/>
      <c r="L266" s="654"/>
      <c r="M266" s="682"/>
      <c r="N266" s="683">
        <f t="shared" ref="N266:N301" si="8">SUM(H266:M266)</f>
        <v>1353.3999999999999</v>
      </c>
      <c r="O266" s="682"/>
      <c r="P266" s="682"/>
      <c r="Q266" s="683">
        <f t="shared" ref="Q266:Q301" si="9">B266+N266+O266+P266</f>
        <v>1353.3999999999999</v>
      </c>
      <c r="R266" s="682"/>
      <c r="S266" s="654"/>
    </row>
    <row r="267" spans="1:19" x14ac:dyDescent="0.45">
      <c r="A267" s="655">
        <v>1957</v>
      </c>
      <c r="B267" s="682"/>
      <c r="C267" s="682"/>
      <c r="D267" s="682"/>
      <c r="E267" s="682"/>
      <c r="F267" s="682"/>
      <c r="G267" s="682"/>
      <c r="H267" s="946">
        <v>1108.1999999999998</v>
      </c>
      <c r="I267" s="946">
        <v>240</v>
      </c>
      <c r="J267" s="682"/>
      <c r="K267" s="654"/>
      <c r="L267" s="654"/>
      <c r="M267" s="682"/>
      <c r="N267" s="683">
        <f t="shared" si="8"/>
        <v>1348.1999999999998</v>
      </c>
      <c r="O267" s="682"/>
      <c r="P267" s="682"/>
      <c r="Q267" s="683">
        <f t="shared" si="9"/>
        <v>1348.1999999999998</v>
      </c>
      <c r="R267" s="682"/>
      <c r="S267" s="654"/>
    </row>
    <row r="268" spans="1:19" x14ac:dyDescent="0.45">
      <c r="A268" s="655">
        <v>1958</v>
      </c>
      <c r="B268" s="682"/>
      <c r="C268" s="682"/>
      <c r="D268" s="682"/>
      <c r="E268" s="682"/>
      <c r="F268" s="682"/>
      <c r="G268" s="682"/>
      <c r="H268" s="946">
        <v>1103</v>
      </c>
      <c r="I268" s="946">
        <v>240</v>
      </c>
      <c r="J268" s="682"/>
      <c r="K268" s="654"/>
      <c r="L268" s="654"/>
      <c r="M268" s="682"/>
      <c r="N268" s="683">
        <f t="shared" si="8"/>
        <v>1343</v>
      </c>
      <c r="O268" s="682"/>
      <c r="P268" s="682"/>
      <c r="Q268" s="683">
        <f t="shared" si="9"/>
        <v>1343</v>
      </c>
      <c r="R268" s="682"/>
      <c r="S268" s="654"/>
    </row>
    <row r="269" spans="1:19" x14ac:dyDescent="0.45">
      <c r="A269" s="655">
        <v>1959</v>
      </c>
      <c r="B269" s="682"/>
      <c r="C269" s="682"/>
      <c r="D269" s="682"/>
      <c r="E269" s="682"/>
      <c r="F269" s="682"/>
      <c r="G269" s="682"/>
      <c r="H269" s="946">
        <v>1092.4000000000001</v>
      </c>
      <c r="I269" s="946">
        <v>240</v>
      </c>
      <c r="J269" s="682"/>
      <c r="K269" s="654"/>
      <c r="L269" s="654"/>
      <c r="M269" s="682"/>
      <c r="N269" s="683">
        <f t="shared" si="8"/>
        <v>1332.4</v>
      </c>
      <c r="O269" s="682"/>
      <c r="P269" s="682"/>
      <c r="Q269" s="683">
        <f t="shared" si="9"/>
        <v>1332.4</v>
      </c>
      <c r="R269" s="682"/>
      <c r="S269" s="654"/>
    </row>
    <row r="270" spans="1:19" x14ac:dyDescent="0.45">
      <c r="A270" s="655">
        <v>1960</v>
      </c>
      <c r="B270" s="682"/>
      <c r="C270" s="682"/>
      <c r="D270" s="682"/>
      <c r="E270" s="682"/>
      <c r="F270" s="682"/>
      <c r="G270" s="682"/>
      <c r="H270" s="946">
        <v>1081.8000000000002</v>
      </c>
      <c r="I270" s="946">
        <v>240</v>
      </c>
      <c r="J270" s="682"/>
      <c r="K270" s="654"/>
      <c r="L270" s="654"/>
      <c r="M270" s="682"/>
      <c r="N270" s="683">
        <f t="shared" si="8"/>
        <v>1321.8000000000002</v>
      </c>
      <c r="O270" s="682"/>
      <c r="P270" s="682"/>
      <c r="Q270" s="683">
        <f t="shared" si="9"/>
        <v>1321.8000000000002</v>
      </c>
      <c r="R270" s="682"/>
      <c r="S270" s="654"/>
    </row>
    <row r="271" spans="1:19" x14ac:dyDescent="0.45">
      <c r="A271" s="655">
        <v>1961</v>
      </c>
      <c r="B271" s="682"/>
      <c r="C271" s="682"/>
      <c r="D271" s="682"/>
      <c r="E271" s="682"/>
      <c r="F271" s="682"/>
      <c r="G271" s="682"/>
      <c r="H271" s="946">
        <v>1071.2000000000003</v>
      </c>
      <c r="I271" s="946">
        <v>240</v>
      </c>
      <c r="J271" s="682"/>
      <c r="K271" s="654"/>
      <c r="L271" s="654"/>
      <c r="M271" s="682"/>
      <c r="N271" s="683">
        <f t="shared" si="8"/>
        <v>1311.2000000000003</v>
      </c>
      <c r="O271" s="682"/>
      <c r="P271" s="682"/>
      <c r="Q271" s="683">
        <f t="shared" si="9"/>
        <v>1311.2000000000003</v>
      </c>
      <c r="R271" s="682"/>
      <c r="S271" s="654"/>
    </row>
    <row r="272" spans="1:19" x14ac:dyDescent="0.45">
      <c r="A272" s="655">
        <v>1962</v>
      </c>
      <c r="B272" s="682"/>
      <c r="C272" s="682"/>
      <c r="D272" s="682"/>
      <c r="E272" s="682"/>
      <c r="F272" s="682"/>
      <c r="G272" s="682"/>
      <c r="H272" s="946">
        <v>1060.6000000000004</v>
      </c>
      <c r="I272" s="946">
        <v>240</v>
      </c>
      <c r="J272" s="682"/>
      <c r="K272" s="654"/>
      <c r="L272" s="654"/>
      <c r="M272" s="682"/>
      <c r="N272" s="683">
        <f t="shared" si="8"/>
        <v>1300.6000000000004</v>
      </c>
      <c r="O272" s="682"/>
      <c r="P272" s="682"/>
      <c r="Q272" s="683">
        <f t="shared" si="9"/>
        <v>1300.6000000000004</v>
      </c>
      <c r="R272" s="682"/>
      <c r="S272" s="654"/>
    </row>
    <row r="273" spans="1:19" x14ac:dyDescent="0.45">
      <c r="A273" s="655">
        <v>1963</v>
      </c>
      <c r="B273" s="682"/>
      <c r="C273" s="682"/>
      <c r="D273" s="682"/>
      <c r="E273" s="682"/>
      <c r="F273" s="682"/>
      <c r="G273" s="682"/>
      <c r="H273" s="946">
        <v>1050</v>
      </c>
      <c r="I273" s="946">
        <v>240</v>
      </c>
      <c r="J273" s="682"/>
      <c r="K273" s="654"/>
      <c r="L273" s="654"/>
      <c r="M273" s="682"/>
      <c r="N273" s="683">
        <f t="shared" si="8"/>
        <v>1290</v>
      </c>
      <c r="O273" s="682"/>
      <c r="P273" s="682"/>
      <c r="Q273" s="683">
        <f t="shared" si="9"/>
        <v>1290</v>
      </c>
      <c r="R273" s="682"/>
      <c r="S273" s="654"/>
    </row>
    <row r="274" spans="1:19" x14ac:dyDescent="0.45">
      <c r="A274" s="655">
        <v>1964</v>
      </c>
      <c r="B274" s="682"/>
      <c r="C274" s="682"/>
      <c r="D274" s="682"/>
      <c r="E274" s="682"/>
      <c r="F274" s="682"/>
      <c r="G274" s="682"/>
      <c r="H274" s="946">
        <v>991.8</v>
      </c>
      <c r="I274" s="946">
        <v>240</v>
      </c>
      <c r="J274" s="682"/>
      <c r="K274" s="654"/>
      <c r="L274" s="654"/>
      <c r="M274" s="682"/>
      <c r="N274" s="683">
        <f t="shared" si="8"/>
        <v>1231.8</v>
      </c>
      <c r="O274" s="682"/>
      <c r="P274" s="682"/>
      <c r="Q274" s="683">
        <f t="shared" si="9"/>
        <v>1231.8</v>
      </c>
      <c r="R274" s="682"/>
      <c r="S274" s="654"/>
    </row>
    <row r="275" spans="1:19" x14ac:dyDescent="0.45">
      <c r="A275" s="655">
        <v>1965</v>
      </c>
      <c r="B275" s="682"/>
      <c r="C275" s="682"/>
      <c r="D275" s="682"/>
      <c r="E275" s="682"/>
      <c r="F275" s="682"/>
      <c r="G275" s="682"/>
      <c r="H275" s="946">
        <v>933.59999999999991</v>
      </c>
      <c r="I275" s="946">
        <v>240</v>
      </c>
      <c r="J275" s="682"/>
      <c r="K275" s="654"/>
      <c r="L275" s="654"/>
      <c r="M275" s="682"/>
      <c r="N275" s="683">
        <f t="shared" si="8"/>
        <v>1173.5999999999999</v>
      </c>
      <c r="O275" s="682"/>
      <c r="P275" s="682"/>
      <c r="Q275" s="683">
        <f t="shared" si="9"/>
        <v>1173.5999999999999</v>
      </c>
      <c r="R275" s="682"/>
      <c r="S275" s="654"/>
    </row>
    <row r="276" spans="1:19" x14ac:dyDescent="0.45">
      <c r="A276" s="655">
        <v>1966</v>
      </c>
      <c r="B276" s="682"/>
      <c r="C276" s="682"/>
      <c r="D276" s="682"/>
      <c r="E276" s="682"/>
      <c r="F276" s="682"/>
      <c r="G276" s="682"/>
      <c r="H276" s="946">
        <v>875.39999999999986</v>
      </c>
      <c r="I276" s="946">
        <v>240</v>
      </c>
      <c r="J276" s="682"/>
      <c r="K276" s="654"/>
      <c r="L276" s="654"/>
      <c r="M276" s="682"/>
      <c r="N276" s="683">
        <f t="shared" si="8"/>
        <v>1115.3999999999999</v>
      </c>
      <c r="O276" s="682"/>
      <c r="P276" s="682"/>
      <c r="Q276" s="683">
        <f t="shared" si="9"/>
        <v>1115.3999999999999</v>
      </c>
      <c r="R276" s="682"/>
      <c r="S276" s="654"/>
    </row>
    <row r="277" spans="1:19" x14ac:dyDescent="0.45">
      <c r="A277" s="655">
        <v>1967</v>
      </c>
      <c r="B277" s="682"/>
      <c r="C277" s="682"/>
      <c r="D277" s="682"/>
      <c r="E277" s="682"/>
      <c r="F277" s="682"/>
      <c r="G277" s="682"/>
      <c r="H277" s="946">
        <v>817.19999999999982</v>
      </c>
      <c r="I277" s="946">
        <v>240</v>
      </c>
      <c r="J277" s="682"/>
      <c r="K277" s="654"/>
      <c r="L277" s="654"/>
      <c r="M277" s="682"/>
      <c r="N277" s="683">
        <f t="shared" si="8"/>
        <v>1057.1999999999998</v>
      </c>
      <c r="O277" s="682"/>
      <c r="P277" s="682"/>
      <c r="Q277" s="683">
        <f t="shared" si="9"/>
        <v>1057.1999999999998</v>
      </c>
      <c r="R277" s="682"/>
      <c r="S277" s="654"/>
    </row>
    <row r="278" spans="1:19" x14ac:dyDescent="0.45">
      <c r="A278" s="655">
        <v>1968</v>
      </c>
      <c r="B278" s="682"/>
      <c r="C278" s="682"/>
      <c r="D278" s="682"/>
      <c r="E278" s="682"/>
      <c r="F278" s="682"/>
      <c r="G278" s="682"/>
      <c r="H278" s="946">
        <v>759</v>
      </c>
      <c r="I278" s="946">
        <v>240</v>
      </c>
      <c r="J278" s="682"/>
      <c r="K278" s="654"/>
      <c r="L278" s="654"/>
      <c r="M278" s="682"/>
      <c r="N278" s="683">
        <f t="shared" si="8"/>
        <v>999</v>
      </c>
      <c r="O278" s="682"/>
      <c r="P278" s="682"/>
      <c r="Q278" s="683">
        <f t="shared" si="9"/>
        <v>999</v>
      </c>
      <c r="R278" s="682"/>
      <c r="S278" s="654"/>
    </row>
    <row r="279" spans="1:19" x14ac:dyDescent="0.45">
      <c r="A279" s="655">
        <v>1969</v>
      </c>
      <c r="B279" s="682"/>
      <c r="C279" s="682"/>
      <c r="D279" s="682"/>
      <c r="E279" s="682"/>
      <c r="F279" s="682"/>
      <c r="G279" s="682"/>
      <c r="H279" s="946">
        <v>696.2</v>
      </c>
      <c r="I279" s="946">
        <v>240</v>
      </c>
      <c r="J279" s="682"/>
      <c r="K279" s="654"/>
      <c r="L279" s="654"/>
      <c r="M279" s="682"/>
      <c r="N279" s="683">
        <f t="shared" si="8"/>
        <v>936.2</v>
      </c>
      <c r="O279" s="682"/>
      <c r="P279" s="682"/>
      <c r="Q279" s="683">
        <f t="shared" si="9"/>
        <v>936.2</v>
      </c>
      <c r="R279" s="682"/>
      <c r="S279" s="654"/>
    </row>
    <row r="280" spans="1:19" x14ac:dyDescent="0.45">
      <c r="A280" s="655">
        <v>1970</v>
      </c>
      <c r="B280" s="682"/>
      <c r="C280" s="682"/>
      <c r="D280" s="682"/>
      <c r="E280" s="682"/>
      <c r="F280" s="682"/>
      <c r="G280" s="682"/>
      <c r="H280" s="946">
        <v>633.4000000000002</v>
      </c>
      <c r="I280" s="946">
        <v>240</v>
      </c>
      <c r="J280" s="682"/>
      <c r="K280" s="654"/>
      <c r="L280" s="654"/>
      <c r="M280" s="682"/>
      <c r="N280" s="683">
        <f t="shared" si="8"/>
        <v>873.4000000000002</v>
      </c>
      <c r="O280" s="682"/>
      <c r="P280" s="682"/>
      <c r="Q280" s="683">
        <f t="shared" si="9"/>
        <v>873.4000000000002</v>
      </c>
      <c r="R280" s="682"/>
      <c r="S280" s="654"/>
    </row>
    <row r="281" spans="1:19" x14ac:dyDescent="0.45">
      <c r="A281" s="655">
        <v>1971</v>
      </c>
      <c r="B281" s="682"/>
      <c r="C281" s="682"/>
      <c r="D281" s="682"/>
      <c r="E281" s="682"/>
      <c r="F281" s="682"/>
      <c r="G281" s="682"/>
      <c r="H281" s="946">
        <v>570.60000000000014</v>
      </c>
      <c r="I281" s="946">
        <v>240</v>
      </c>
      <c r="J281" s="682"/>
      <c r="K281" s="654"/>
      <c r="L281" s="654"/>
      <c r="M281" s="682"/>
      <c r="N281" s="683">
        <f t="shared" si="8"/>
        <v>810.60000000000014</v>
      </c>
      <c r="O281" s="682"/>
      <c r="P281" s="682"/>
      <c r="Q281" s="683">
        <f t="shared" si="9"/>
        <v>810.60000000000014</v>
      </c>
      <c r="R281" s="682"/>
      <c r="S281" s="654"/>
    </row>
    <row r="282" spans="1:19" x14ac:dyDescent="0.45">
      <c r="A282" s="655">
        <v>1972</v>
      </c>
      <c r="B282" s="682"/>
      <c r="C282" s="682"/>
      <c r="D282" s="682"/>
      <c r="E282" s="682"/>
      <c r="F282" s="682"/>
      <c r="G282" s="682"/>
      <c r="H282" s="946">
        <v>507.80000000000013</v>
      </c>
      <c r="I282" s="946">
        <v>240</v>
      </c>
      <c r="J282" s="682"/>
      <c r="K282" s="654"/>
      <c r="L282" s="654"/>
      <c r="M282" s="682"/>
      <c r="N282" s="683">
        <f t="shared" si="8"/>
        <v>747.80000000000018</v>
      </c>
      <c r="O282" s="682"/>
      <c r="P282" s="682"/>
      <c r="Q282" s="683">
        <f t="shared" si="9"/>
        <v>747.80000000000018</v>
      </c>
      <c r="R282" s="682"/>
      <c r="S282" s="654"/>
    </row>
    <row r="283" spans="1:19" x14ac:dyDescent="0.45">
      <c r="A283" s="655">
        <v>1973</v>
      </c>
      <c r="B283" s="682"/>
      <c r="C283" s="682"/>
      <c r="D283" s="682"/>
      <c r="E283" s="682"/>
      <c r="F283" s="682"/>
      <c r="G283" s="682"/>
      <c r="H283" s="946">
        <v>445</v>
      </c>
      <c r="I283" s="946">
        <v>240</v>
      </c>
      <c r="J283" s="682"/>
      <c r="K283" s="654"/>
      <c r="L283" s="654"/>
      <c r="M283" s="682"/>
      <c r="N283" s="683">
        <f t="shared" si="8"/>
        <v>685</v>
      </c>
      <c r="O283" s="682"/>
      <c r="P283" s="682"/>
      <c r="Q283" s="683">
        <f t="shared" si="9"/>
        <v>685</v>
      </c>
      <c r="R283" s="682"/>
      <c r="S283" s="654"/>
    </row>
    <row r="284" spans="1:19" x14ac:dyDescent="0.45">
      <c r="A284" s="655">
        <v>1974</v>
      </c>
      <c r="B284" s="682"/>
      <c r="C284" s="682"/>
      <c r="D284" s="682"/>
      <c r="E284" s="682"/>
      <c r="F284" s="682"/>
      <c r="G284" s="682"/>
      <c r="H284" s="946">
        <v>418.8</v>
      </c>
      <c r="I284" s="946">
        <v>240</v>
      </c>
      <c r="J284" s="682"/>
      <c r="K284" s="654"/>
      <c r="L284" s="654"/>
      <c r="M284" s="682"/>
      <c r="N284" s="683">
        <f t="shared" si="8"/>
        <v>658.8</v>
      </c>
      <c r="O284" s="682"/>
      <c r="P284" s="682"/>
      <c r="Q284" s="683">
        <f t="shared" si="9"/>
        <v>658.8</v>
      </c>
      <c r="R284" s="682"/>
      <c r="S284" s="654"/>
    </row>
    <row r="285" spans="1:19" x14ac:dyDescent="0.45">
      <c r="A285" s="655">
        <v>1975</v>
      </c>
      <c r="B285" s="682"/>
      <c r="C285" s="682"/>
      <c r="D285" s="682"/>
      <c r="E285" s="682"/>
      <c r="F285" s="682"/>
      <c r="G285" s="682"/>
      <c r="H285" s="946">
        <v>392.6</v>
      </c>
      <c r="I285" s="946">
        <v>240</v>
      </c>
      <c r="J285" s="682"/>
      <c r="K285" s="654"/>
      <c r="L285" s="654"/>
      <c r="M285" s="682"/>
      <c r="N285" s="683">
        <f t="shared" si="8"/>
        <v>632.6</v>
      </c>
      <c r="O285" s="682"/>
      <c r="P285" s="682"/>
      <c r="Q285" s="683">
        <f t="shared" si="9"/>
        <v>632.6</v>
      </c>
      <c r="R285" s="682"/>
      <c r="S285" s="654"/>
    </row>
    <row r="286" spans="1:19" x14ac:dyDescent="0.45">
      <c r="A286" s="655">
        <v>1976</v>
      </c>
      <c r="B286" s="682"/>
      <c r="C286" s="682"/>
      <c r="D286" s="682"/>
      <c r="E286" s="682"/>
      <c r="F286" s="682"/>
      <c r="G286" s="682"/>
      <c r="H286" s="946">
        <v>366.40000000000003</v>
      </c>
      <c r="I286" s="946">
        <v>240</v>
      </c>
      <c r="J286" s="682"/>
      <c r="K286" s="654"/>
      <c r="L286" s="654"/>
      <c r="M286" s="682"/>
      <c r="N286" s="683">
        <f t="shared" si="8"/>
        <v>606.40000000000009</v>
      </c>
      <c r="O286" s="682"/>
      <c r="P286" s="682"/>
      <c r="Q286" s="683">
        <f t="shared" si="9"/>
        <v>606.40000000000009</v>
      </c>
      <c r="R286" s="682"/>
      <c r="S286" s="654"/>
    </row>
    <row r="287" spans="1:19" x14ac:dyDescent="0.45">
      <c r="A287" s="655">
        <v>1977</v>
      </c>
      <c r="B287" s="682"/>
      <c r="C287" s="682"/>
      <c r="D287" s="682"/>
      <c r="E287" s="682"/>
      <c r="F287" s="682"/>
      <c r="G287" s="682"/>
      <c r="H287" s="946">
        <v>340.20000000000005</v>
      </c>
      <c r="I287" s="946">
        <v>240</v>
      </c>
      <c r="J287" s="682"/>
      <c r="K287" s="654"/>
      <c r="L287" s="654"/>
      <c r="M287" s="682"/>
      <c r="N287" s="683">
        <f t="shared" si="8"/>
        <v>580.20000000000005</v>
      </c>
      <c r="O287" s="682"/>
      <c r="P287" s="682"/>
      <c r="Q287" s="683">
        <f t="shared" si="9"/>
        <v>580.20000000000005</v>
      </c>
      <c r="R287" s="682"/>
      <c r="S287" s="654"/>
    </row>
    <row r="288" spans="1:19" x14ac:dyDescent="0.45">
      <c r="A288" s="655">
        <v>1978</v>
      </c>
      <c r="B288" s="682"/>
      <c r="C288" s="682"/>
      <c r="D288" s="682"/>
      <c r="E288" s="682"/>
      <c r="F288" s="682"/>
      <c r="G288" s="682"/>
      <c r="H288" s="946">
        <v>314</v>
      </c>
      <c r="I288" s="946">
        <v>240</v>
      </c>
      <c r="J288" s="682"/>
      <c r="K288" s="654"/>
      <c r="L288" s="654"/>
      <c r="M288" s="682"/>
      <c r="N288" s="683">
        <f t="shared" si="8"/>
        <v>554</v>
      </c>
      <c r="O288" s="682"/>
      <c r="P288" s="682"/>
      <c r="Q288" s="683">
        <f t="shared" si="9"/>
        <v>554</v>
      </c>
      <c r="R288" s="682"/>
      <c r="S288" s="654"/>
    </row>
    <row r="289" spans="1:19" x14ac:dyDescent="0.45">
      <c r="A289" s="655">
        <v>1979</v>
      </c>
      <c r="B289" s="682"/>
      <c r="C289" s="682"/>
      <c r="D289" s="682"/>
      <c r="E289" s="682"/>
      <c r="F289" s="682"/>
      <c r="G289" s="682"/>
      <c r="H289" s="946">
        <v>299.39999999999998</v>
      </c>
      <c r="I289" s="946">
        <v>240</v>
      </c>
      <c r="J289" s="682"/>
      <c r="K289" s="654"/>
      <c r="L289" s="654"/>
      <c r="M289" s="682"/>
      <c r="N289" s="683">
        <f t="shared" si="8"/>
        <v>539.4</v>
      </c>
      <c r="O289" s="682"/>
      <c r="P289" s="682"/>
      <c r="Q289" s="683">
        <f t="shared" si="9"/>
        <v>539.4</v>
      </c>
      <c r="R289" s="682"/>
      <c r="S289" s="654"/>
    </row>
    <row r="290" spans="1:19" x14ac:dyDescent="0.45">
      <c r="A290" s="655">
        <v>1980</v>
      </c>
      <c r="B290" s="682"/>
      <c r="C290" s="682"/>
      <c r="D290" s="682"/>
      <c r="E290" s="682"/>
      <c r="F290" s="682"/>
      <c r="G290" s="682"/>
      <c r="H290" s="946">
        <v>284.79999999999995</v>
      </c>
      <c r="I290" s="946">
        <v>240</v>
      </c>
      <c r="J290" s="682"/>
      <c r="K290" s="654"/>
      <c r="L290" s="654"/>
      <c r="M290" s="682"/>
      <c r="N290" s="683">
        <f t="shared" si="8"/>
        <v>524.79999999999995</v>
      </c>
      <c r="O290" s="682"/>
      <c r="P290" s="682"/>
      <c r="Q290" s="683">
        <f t="shared" si="9"/>
        <v>524.79999999999995</v>
      </c>
      <c r="R290" s="682"/>
      <c r="S290" s="654"/>
    </row>
    <row r="291" spans="1:19" x14ac:dyDescent="0.45">
      <c r="A291" s="655">
        <v>1981</v>
      </c>
      <c r="B291" s="682"/>
      <c r="C291" s="682"/>
      <c r="D291" s="682"/>
      <c r="E291" s="682"/>
      <c r="F291" s="682"/>
      <c r="G291" s="682"/>
      <c r="H291" s="946">
        <v>270.19999999999993</v>
      </c>
      <c r="I291" s="946">
        <v>240</v>
      </c>
      <c r="J291" s="682"/>
      <c r="K291" s="654"/>
      <c r="L291" s="654"/>
      <c r="M291" s="682"/>
      <c r="N291" s="683">
        <f t="shared" si="8"/>
        <v>510.19999999999993</v>
      </c>
      <c r="O291" s="682"/>
      <c r="P291" s="682"/>
      <c r="Q291" s="683">
        <f t="shared" si="9"/>
        <v>510.19999999999993</v>
      </c>
      <c r="R291" s="682"/>
      <c r="S291" s="654"/>
    </row>
    <row r="292" spans="1:19" x14ac:dyDescent="0.45">
      <c r="A292" s="655">
        <v>1982</v>
      </c>
      <c r="B292" s="682"/>
      <c r="C292" s="682"/>
      <c r="D292" s="682"/>
      <c r="E292" s="682"/>
      <c r="F292" s="682"/>
      <c r="G292" s="682"/>
      <c r="H292" s="946">
        <v>255.59999999999994</v>
      </c>
      <c r="I292" s="946">
        <v>240</v>
      </c>
      <c r="J292" s="682"/>
      <c r="K292" s="654"/>
      <c r="L292" s="654"/>
      <c r="M292" s="682"/>
      <c r="N292" s="683">
        <f t="shared" si="8"/>
        <v>495.59999999999991</v>
      </c>
      <c r="O292" s="682"/>
      <c r="P292" s="682"/>
      <c r="Q292" s="683">
        <f t="shared" si="9"/>
        <v>495.59999999999991</v>
      </c>
      <c r="R292" s="682"/>
      <c r="S292" s="654"/>
    </row>
    <row r="293" spans="1:19" x14ac:dyDescent="0.45">
      <c r="A293" s="655">
        <v>1983</v>
      </c>
      <c r="B293" s="682"/>
      <c r="C293" s="682"/>
      <c r="D293" s="682"/>
      <c r="E293" s="682"/>
      <c r="F293" s="682"/>
      <c r="G293" s="682"/>
      <c r="H293" s="946">
        <v>241</v>
      </c>
      <c r="I293" s="946">
        <v>240</v>
      </c>
      <c r="J293" s="682"/>
      <c r="K293" s="654"/>
      <c r="L293" s="654"/>
      <c r="M293" s="682"/>
      <c r="N293" s="683">
        <f t="shared" si="8"/>
        <v>481</v>
      </c>
      <c r="O293" s="682"/>
      <c r="P293" s="682"/>
      <c r="Q293" s="683">
        <f t="shared" si="9"/>
        <v>481</v>
      </c>
      <c r="R293" s="682"/>
      <c r="S293" s="654"/>
    </row>
    <row r="294" spans="1:19" x14ac:dyDescent="0.45">
      <c r="A294" s="655">
        <v>1984</v>
      </c>
      <c r="B294" s="682"/>
      <c r="C294" s="682"/>
      <c r="D294" s="682"/>
      <c r="E294" s="682"/>
      <c r="F294" s="682"/>
      <c r="G294" s="682"/>
      <c r="H294" s="946">
        <v>228</v>
      </c>
      <c r="I294" s="946">
        <v>240</v>
      </c>
      <c r="J294" s="682"/>
      <c r="K294" s="654"/>
      <c r="L294" s="654"/>
      <c r="M294" s="682"/>
      <c r="N294" s="683">
        <f t="shared" si="8"/>
        <v>468</v>
      </c>
      <c r="O294" s="682"/>
      <c r="P294" s="682"/>
      <c r="Q294" s="683">
        <f t="shared" si="9"/>
        <v>468</v>
      </c>
      <c r="R294" s="682"/>
      <c r="S294" s="654"/>
    </row>
    <row r="295" spans="1:19" x14ac:dyDescent="0.45">
      <c r="A295" s="655">
        <v>1985</v>
      </c>
      <c r="B295" s="682"/>
      <c r="C295" s="682"/>
      <c r="D295" s="682"/>
      <c r="E295" s="682"/>
      <c r="F295" s="682"/>
      <c r="G295" s="682"/>
      <c r="H295" s="946">
        <v>215</v>
      </c>
      <c r="I295" s="946">
        <v>240</v>
      </c>
      <c r="J295" s="682"/>
      <c r="K295" s="654"/>
      <c r="L295" s="654"/>
      <c r="M295" s="682"/>
      <c r="N295" s="683">
        <f t="shared" si="8"/>
        <v>455</v>
      </c>
      <c r="O295" s="682"/>
      <c r="P295" s="682"/>
      <c r="Q295" s="683">
        <f t="shared" si="9"/>
        <v>455</v>
      </c>
      <c r="R295" s="682"/>
      <c r="S295" s="654"/>
    </row>
    <row r="296" spans="1:19" x14ac:dyDescent="0.45">
      <c r="A296" s="655">
        <v>1986</v>
      </c>
      <c r="B296" s="682"/>
      <c r="C296" s="682"/>
      <c r="D296" s="682"/>
      <c r="E296" s="682"/>
      <c r="F296" s="682"/>
      <c r="G296" s="682"/>
      <c r="H296" s="946">
        <v>202.00000000000003</v>
      </c>
      <c r="I296" s="946">
        <v>240</v>
      </c>
      <c r="J296" s="682"/>
      <c r="K296" s="654"/>
      <c r="L296" s="654"/>
      <c r="M296" s="682"/>
      <c r="N296" s="683">
        <f t="shared" si="8"/>
        <v>442</v>
      </c>
      <c r="O296" s="682"/>
      <c r="P296" s="682"/>
      <c r="Q296" s="683">
        <f t="shared" si="9"/>
        <v>442</v>
      </c>
      <c r="R296" s="682"/>
      <c r="S296" s="654"/>
    </row>
    <row r="297" spans="1:19" x14ac:dyDescent="0.45">
      <c r="A297" s="655">
        <v>1987</v>
      </c>
      <c r="B297" s="682"/>
      <c r="C297" s="682"/>
      <c r="D297" s="682"/>
      <c r="E297" s="682"/>
      <c r="F297" s="682"/>
      <c r="G297" s="682"/>
      <c r="H297" s="946">
        <v>189</v>
      </c>
      <c r="I297" s="946">
        <v>240</v>
      </c>
      <c r="J297" s="682"/>
      <c r="K297" s="654"/>
      <c r="L297" s="654"/>
      <c r="M297" s="682"/>
      <c r="N297" s="683">
        <f t="shared" si="8"/>
        <v>429</v>
      </c>
      <c r="O297" s="682"/>
      <c r="P297" s="682"/>
      <c r="Q297" s="683">
        <f t="shared" si="9"/>
        <v>429</v>
      </c>
      <c r="R297" s="682"/>
      <c r="S297" s="654"/>
    </row>
    <row r="298" spans="1:19" x14ac:dyDescent="0.45">
      <c r="A298" s="655">
        <v>1988</v>
      </c>
      <c r="B298" s="682"/>
      <c r="C298" s="682"/>
      <c r="D298" s="682"/>
      <c r="E298" s="682"/>
      <c r="F298" s="682"/>
      <c r="G298" s="682"/>
      <c r="H298" s="946">
        <v>176</v>
      </c>
      <c r="I298" s="946">
        <v>240</v>
      </c>
      <c r="J298" s="682"/>
      <c r="K298" s="654"/>
      <c r="L298" s="654"/>
      <c r="M298" s="682"/>
      <c r="N298" s="683">
        <f t="shared" si="8"/>
        <v>416</v>
      </c>
      <c r="O298" s="682"/>
      <c r="P298" s="682"/>
      <c r="Q298" s="683">
        <f t="shared" si="9"/>
        <v>416</v>
      </c>
      <c r="R298" s="682"/>
      <c r="S298" s="654"/>
    </row>
    <row r="299" spans="1:19" x14ac:dyDescent="0.45">
      <c r="A299" s="655">
        <v>1989</v>
      </c>
      <c r="B299" s="682"/>
      <c r="C299" s="682"/>
      <c r="D299" s="682"/>
      <c r="E299" s="682"/>
      <c r="F299" s="682"/>
      <c r="G299" s="682"/>
      <c r="H299" s="946">
        <v>181.6</v>
      </c>
      <c r="I299" s="946">
        <v>239.4</v>
      </c>
      <c r="J299" s="682"/>
      <c r="K299" s="654"/>
      <c r="L299" s="654"/>
      <c r="M299" s="682"/>
      <c r="N299" s="683">
        <f t="shared" si="8"/>
        <v>421</v>
      </c>
      <c r="O299" s="682"/>
      <c r="P299" s="682"/>
      <c r="Q299" s="683">
        <f t="shared" si="9"/>
        <v>421</v>
      </c>
      <c r="R299" s="682"/>
      <c r="S299" s="654"/>
    </row>
    <row r="300" spans="1:19" x14ac:dyDescent="0.45">
      <c r="A300" s="655">
        <v>1990</v>
      </c>
      <c r="B300" s="683">
        <v>6.42</v>
      </c>
      <c r="C300" s="683">
        <v>34.159999999999997</v>
      </c>
      <c r="D300" s="683"/>
      <c r="E300" s="683"/>
      <c r="F300" s="683">
        <v>34.6</v>
      </c>
      <c r="G300" s="684">
        <v>0</v>
      </c>
      <c r="H300" s="683">
        <v>174.12</v>
      </c>
      <c r="I300" s="1071">
        <f>+I299+(I$303-I$299)/4</f>
        <v>238.73750000000001</v>
      </c>
      <c r="J300" s="683">
        <v>0</v>
      </c>
      <c r="K300" s="683">
        <v>71.650000000000006</v>
      </c>
      <c r="L300" s="683">
        <v>0.21</v>
      </c>
      <c r="M300" s="683">
        <v>31.06</v>
      </c>
      <c r="N300" s="683">
        <f t="shared" si="8"/>
        <v>515.77750000000003</v>
      </c>
      <c r="O300" s="683">
        <v>0.83</v>
      </c>
      <c r="P300" s="683">
        <v>0</v>
      </c>
      <c r="Q300" s="683">
        <f t="shared" si="9"/>
        <v>523.02750000000003</v>
      </c>
      <c r="R300" s="683">
        <v>41.15</v>
      </c>
      <c r="S300" s="257"/>
    </row>
    <row r="301" spans="1:19" x14ac:dyDescent="0.45">
      <c r="A301" s="655">
        <v>1991</v>
      </c>
      <c r="B301" s="683">
        <v>6.76</v>
      </c>
      <c r="C301" s="683">
        <v>36.31</v>
      </c>
      <c r="D301" s="683"/>
      <c r="E301" s="683"/>
      <c r="F301" s="683">
        <v>43.48</v>
      </c>
      <c r="G301" s="684">
        <v>0</v>
      </c>
      <c r="H301" s="683">
        <v>174.12</v>
      </c>
      <c r="I301" s="1071">
        <f t="shared" ref="I301:I302" si="10">+I300+(I$303-I$299)/4</f>
        <v>238.07500000000002</v>
      </c>
      <c r="J301" s="683">
        <v>0</v>
      </c>
      <c r="K301" s="683">
        <v>71.650000000000006</v>
      </c>
      <c r="L301" s="683">
        <v>0.21</v>
      </c>
      <c r="M301" s="683">
        <v>33.54</v>
      </c>
      <c r="N301" s="683">
        <f t="shared" si="8"/>
        <v>517.59500000000003</v>
      </c>
      <c r="O301" s="683">
        <v>0.83</v>
      </c>
      <c r="P301" s="683">
        <v>0</v>
      </c>
      <c r="Q301" s="683">
        <f t="shared" si="9"/>
        <v>525.18500000000006</v>
      </c>
      <c r="R301" s="683">
        <v>42.93</v>
      </c>
      <c r="S301" s="257"/>
    </row>
    <row r="302" spans="1:19" x14ac:dyDescent="0.45">
      <c r="A302" s="655">
        <v>1992</v>
      </c>
      <c r="B302" s="683">
        <v>7.11</v>
      </c>
      <c r="C302" s="683">
        <v>31.49</v>
      </c>
      <c r="D302" s="683"/>
      <c r="E302" s="683"/>
      <c r="F302" s="683">
        <v>43.48</v>
      </c>
      <c r="G302" s="684">
        <v>0</v>
      </c>
      <c r="H302" s="683">
        <v>204.21</v>
      </c>
      <c r="I302" s="1071">
        <f t="shared" si="10"/>
        <v>237.41250000000002</v>
      </c>
      <c r="J302" s="683">
        <v>0</v>
      </c>
      <c r="K302" s="683">
        <v>71.650000000000006</v>
      </c>
      <c r="L302" s="683">
        <v>0.26</v>
      </c>
      <c r="M302" s="683">
        <v>30.85</v>
      </c>
      <c r="N302" s="683">
        <f>SUM(H302:M302)</f>
        <v>544.38250000000005</v>
      </c>
      <c r="O302" s="683">
        <v>0.83</v>
      </c>
      <c r="P302" s="683">
        <v>0</v>
      </c>
      <c r="Q302" s="683">
        <f>B302+N302+O302+P302</f>
        <v>552.3225000000001</v>
      </c>
      <c r="R302" s="683">
        <v>49.15</v>
      </c>
      <c r="S302" s="257"/>
    </row>
    <row r="303" spans="1:19" x14ac:dyDescent="0.45">
      <c r="A303" s="655">
        <v>1993</v>
      </c>
      <c r="B303" s="683">
        <v>7.41</v>
      </c>
      <c r="C303" s="683">
        <v>15.04</v>
      </c>
      <c r="D303" s="683"/>
      <c r="E303" s="683"/>
      <c r="F303" s="683">
        <v>33.97</v>
      </c>
      <c r="G303" s="684">
        <v>0</v>
      </c>
      <c r="H303" s="683">
        <v>204.21</v>
      </c>
      <c r="I303" s="683">
        <v>236.75</v>
      </c>
      <c r="J303" s="683">
        <v>0</v>
      </c>
      <c r="K303" s="683">
        <v>71.650000000000006</v>
      </c>
      <c r="L303" s="683">
        <v>0.27</v>
      </c>
      <c r="M303" s="683">
        <v>28.21</v>
      </c>
      <c r="N303" s="683">
        <v>590.11</v>
      </c>
      <c r="O303" s="683">
        <v>0.83</v>
      </c>
      <c r="P303" s="683">
        <v>0</v>
      </c>
      <c r="Q303" s="683">
        <v>598.35</v>
      </c>
      <c r="R303" s="683">
        <v>53.58</v>
      </c>
      <c r="S303" s="257"/>
    </row>
    <row r="304" spans="1:19" x14ac:dyDescent="0.45">
      <c r="A304" s="655">
        <v>1994</v>
      </c>
      <c r="B304" s="683">
        <v>7.74</v>
      </c>
      <c r="C304" s="683">
        <v>18.920000000000002</v>
      </c>
      <c r="D304" s="683"/>
      <c r="E304" s="683"/>
      <c r="F304" s="683">
        <v>52.06</v>
      </c>
      <c r="G304" s="684">
        <v>0</v>
      </c>
      <c r="H304" s="683">
        <v>204.21</v>
      </c>
      <c r="I304" s="683">
        <v>455.14</v>
      </c>
      <c r="J304" s="683">
        <v>0</v>
      </c>
      <c r="K304" s="683">
        <v>71.650000000000006</v>
      </c>
      <c r="L304" s="683">
        <v>0.28000000000000003</v>
      </c>
      <c r="M304" s="683">
        <v>29.48</v>
      </c>
      <c r="N304" s="683">
        <v>831.75</v>
      </c>
      <c r="O304" s="683">
        <v>0.83</v>
      </c>
      <c r="P304" s="683">
        <v>0</v>
      </c>
      <c r="Q304" s="683">
        <v>840.32</v>
      </c>
      <c r="R304" s="683">
        <v>60.64</v>
      </c>
      <c r="S304" s="257"/>
    </row>
    <row r="305" spans="1:19" x14ac:dyDescent="0.45">
      <c r="A305" s="655">
        <v>1995</v>
      </c>
      <c r="B305" s="683">
        <v>8.11</v>
      </c>
      <c r="C305" s="683">
        <v>15.08</v>
      </c>
      <c r="D305" s="683"/>
      <c r="E305" s="683"/>
      <c r="F305" s="683">
        <v>58.54</v>
      </c>
      <c r="G305" s="684">
        <v>0</v>
      </c>
      <c r="H305" s="683">
        <v>204.21</v>
      </c>
      <c r="I305" s="683">
        <v>498.05</v>
      </c>
      <c r="J305" s="683">
        <v>0</v>
      </c>
      <c r="K305" s="683">
        <v>71.650000000000006</v>
      </c>
      <c r="L305" s="683">
        <v>0.28999999999999998</v>
      </c>
      <c r="M305" s="683">
        <v>30.53</v>
      </c>
      <c r="N305" s="683">
        <v>878.35</v>
      </c>
      <c r="O305" s="683">
        <v>0.83</v>
      </c>
      <c r="P305" s="683">
        <v>0</v>
      </c>
      <c r="Q305" s="683">
        <v>887.29</v>
      </c>
      <c r="R305" s="683">
        <v>68.319999999999993</v>
      </c>
      <c r="S305" s="257"/>
    </row>
    <row r="306" spans="1:19" x14ac:dyDescent="0.45">
      <c r="A306" s="655">
        <v>1996</v>
      </c>
      <c r="B306" s="683">
        <v>8.66</v>
      </c>
      <c r="C306" s="683">
        <v>16.61</v>
      </c>
      <c r="D306" s="683"/>
      <c r="E306" s="683"/>
      <c r="F306" s="683">
        <v>58.54</v>
      </c>
      <c r="G306" s="684">
        <v>0</v>
      </c>
      <c r="H306" s="683">
        <v>204.21</v>
      </c>
      <c r="I306" s="683">
        <v>505.47</v>
      </c>
      <c r="J306" s="683">
        <v>0</v>
      </c>
      <c r="K306" s="683">
        <v>71.650000000000006</v>
      </c>
      <c r="L306" s="683">
        <v>0.28999999999999998</v>
      </c>
      <c r="M306" s="683">
        <v>31.85</v>
      </c>
      <c r="N306" s="683">
        <v>888.63</v>
      </c>
      <c r="O306" s="683">
        <v>0.83</v>
      </c>
      <c r="P306" s="683">
        <v>0</v>
      </c>
      <c r="Q306" s="683">
        <v>898.12</v>
      </c>
      <c r="R306" s="683">
        <v>63.09</v>
      </c>
      <c r="S306" s="257"/>
    </row>
    <row r="307" spans="1:19" x14ac:dyDescent="0.45">
      <c r="A307" s="655">
        <v>1997</v>
      </c>
      <c r="B307" s="683">
        <v>8.8800000000000008</v>
      </c>
      <c r="C307" s="683">
        <v>15.45</v>
      </c>
      <c r="D307" s="683"/>
      <c r="E307" s="683"/>
      <c r="F307" s="683">
        <v>58.18</v>
      </c>
      <c r="G307" s="684">
        <v>0</v>
      </c>
      <c r="H307" s="683">
        <v>204.21</v>
      </c>
      <c r="I307" s="683">
        <v>506.08</v>
      </c>
      <c r="J307" s="683">
        <v>0</v>
      </c>
      <c r="K307" s="683">
        <v>71.650000000000006</v>
      </c>
      <c r="L307" s="683">
        <v>0.28999999999999998</v>
      </c>
      <c r="M307" s="683">
        <v>9.02</v>
      </c>
      <c r="N307" s="683">
        <v>864.88</v>
      </c>
      <c r="O307" s="683">
        <v>0.83</v>
      </c>
      <c r="P307" s="683">
        <v>0</v>
      </c>
      <c r="Q307" s="683">
        <v>874.6</v>
      </c>
      <c r="R307" s="683">
        <v>52.31</v>
      </c>
      <c r="S307" s="257"/>
    </row>
    <row r="308" spans="1:19" x14ac:dyDescent="0.45">
      <c r="A308" s="655">
        <v>1998</v>
      </c>
      <c r="B308" s="683">
        <v>9.1199999999999992</v>
      </c>
      <c r="C308" s="683">
        <v>13.58</v>
      </c>
      <c r="D308" s="683"/>
      <c r="E308" s="683"/>
      <c r="F308" s="683">
        <v>54.07</v>
      </c>
      <c r="G308" s="684">
        <v>0</v>
      </c>
      <c r="H308" s="683">
        <v>204.21</v>
      </c>
      <c r="I308" s="683">
        <v>436.91</v>
      </c>
      <c r="J308" s="683">
        <v>0</v>
      </c>
      <c r="K308" s="683">
        <v>71.73</v>
      </c>
      <c r="L308" s="683">
        <v>0.28999999999999998</v>
      </c>
      <c r="M308" s="683">
        <v>15.2</v>
      </c>
      <c r="N308" s="683">
        <v>795.99</v>
      </c>
      <c r="O308" s="683">
        <v>0.83</v>
      </c>
      <c r="P308" s="683">
        <v>0</v>
      </c>
      <c r="Q308" s="683">
        <v>805.94</v>
      </c>
      <c r="R308" s="683">
        <v>49.6</v>
      </c>
      <c r="S308" s="257"/>
    </row>
    <row r="309" spans="1:19" x14ac:dyDescent="0.45">
      <c r="A309" s="655">
        <v>1999</v>
      </c>
      <c r="B309" s="683">
        <v>9.3699999999999992</v>
      </c>
      <c r="C309" s="683">
        <v>13.58</v>
      </c>
      <c r="D309" s="683"/>
      <c r="E309" s="683"/>
      <c r="F309" s="683">
        <v>54.21</v>
      </c>
      <c r="G309" s="684">
        <v>0</v>
      </c>
      <c r="H309" s="683">
        <v>204.21</v>
      </c>
      <c r="I309" s="683">
        <v>367.74</v>
      </c>
      <c r="J309" s="683">
        <v>0</v>
      </c>
      <c r="K309" s="683">
        <v>71.87</v>
      </c>
      <c r="L309" s="683">
        <v>0.28999999999999998</v>
      </c>
      <c r="M309" s="683">
        <v>20.16</v>
      </c>
      <c r="N309" s="683">
        <v>732.07</v>
      </c>
      <c r="O309" s="683">
        <v>0.83</v>
      </c>
      <c r="P309" s="683">
        <v>0</v>
      </c>
      <c r="Q309" s="683">
        <v>742.27</v>
      </c>
      <c r="R309" s="683">
        <v>49.29</v>
      </c>
      <c r="S309" s="257"/>
    </row>
    <row r="310" spans="1:19" x14ac:dyDescent="0.45">
      <c r="A310" s="658">
        <v>2000</v>
      </c>
      <c r="B310" s="683">
        <v>11.05</v>
      </c>
      <c r="C310" s="683">
        <v>13.58</v>
      </c>
      <c r="D310" s="683"/>
      <c r="E310" s="683"/>
      <c r="F310" s="683">
        <v>48.28</v>
      </c>
      <c r="G310" s="684">
        <v>0</v>
      </c>
      <c r="H310" s="683">
        <v>204.21</v>
      </c>
      <c r="I310" s="683">
        <v>254.19</v>
      </c>
      <c r="J310" s="683">
        <v>0</v>
      </c>
      <c r="K310" s="683">
        <v>71.87</v>
      </c>
      <c r="L310" s="683">
        <v>0.28999999999999998</v>
      </c>
      <c r="M310" s="683">
        <v>24.7</v>
      </c>
      <c r="N310" s="683">
        <v>617.11</v>
      </c>
      <c r="O310" s="683">
        <v>0.83</v>
      </c>
      <c r="P310" s="683">
        <v>0</v>
      </c>
      <c r="Q310" s="683">
        <v>628.99</v>
      </c>
      <c r="R310" s="683">
        <v>76.37</v>
      </c>
      <c r="S310" s="257"/>
    </row>
    <row r="311" spans="1:19" x14ac:dyDescent="0.45">
      <c r="A311" s="658">
        <v>2001</v>
      </c>
      <c r="B311" s="683">
        <v>13.23</v>
      </c>
      <c r="C311" s="683">
        <v>13.58</v>
      </c>
      <c r="D311" s="683"/>
      <c r="E311" s="683"/>
      <c r="F311" s="683">
        <v>49.36</v>
      </c>
      <c r="G311" s="684">
        <v>0</v>
      </c>
      <c r="H311" s="683">
        <v>204.21</v>
      </c>
      <c r="I311" s="683">
        <v>225.24</v>
      </c>
      <c r="J311" s="683">
        <v>0</v>
      </c>
      <c r="K311" s="683">
        <v>71.87</v>
      </c>
      <c r="L311" s="683">
        <v>0.28999999999999998</v>
      </c>
      <c r="M311" s="683">
        <v>26.19</v>
      </c>
      <c r="N311" s="683">
        <v>590.74</v>
      </c>
      <c r="O311" s="683">
        <v>0.83</v>
      </c>
      <c r="P311" s="683">
        <v>0</v>
      </c>
      <c r="Q311" s="683">
        <v>604.79999999999995</v>
      </c>
      <c r="R311" s="683">
        <v>80.75</v>
      </c>
      <c r="S311" s="257"/>
    </row>
    <row r="312" spans="1:19" x14ac:dyDescent="0.45">
      <c r="A312" s="658">
        <v>2002</v>
      </c>
      <c r="B312" s="683">
        <v>16.07</v>
      </c>
      <c r="C312" s="683">
        <v>13.58</v>
      </c>
      <c r="D312" s="683"/>
      <c r="E312" s="683"/>
      <c r="F312" s="683">
        <v>53.43</v>
      </c>
      <c r="G312" s="684">
        <v>0</v>
      </c>
      <c r="H312" s="683">
        <v>204.21</v>
      </c>
      <c r="I312" s="683">
        <v>225.24</v>
      </c>
      <c r="J312" s="683">
        <v>0</v>
      </c>
      <c r="K312" s="683">
        <v>71.87</v>
      </c>
      <c r="L312" s="683">
        <v>0.28999999999999998</v>
      </c>
      <c r="M312" s="683">
        <v>33.729999999999997</v>
      </c>
      <c r="N312" s="683">
        <v>602.36</v>
      </c>
      <c r="O312" s="683">
        <v>0.83</v>
      </c>
      <c r="P312" s="683">
        <v>0</v>
      </c>
      <c r="Q312" s="683">
        <v>619.26</v>
      </c>
      <c r="R312" s="683">
        <v>92.23</v>
      </c>
      <c r="S312" s="687"/>
    </row>
    <row r="313" spans="1:19" x14ac:dyDescent="0.45">
      <c r="A313" s="658">
        <v>2003</v>
      </c>
      <c r="B313" s="683">
        <v>19.760000000000002</v>
      </c>
      <c r="C313" s="683">
        <v>13.58</v>
      </c>
      <c r="D313" s="683"/>
      <c r="E313" s="683"/>
      <c r="F313" s="683">
        <v>52.36</v>
      </c>
      <c r="G313" s="684">
        <v>0</v>
      </c>
      <c r="H313" s="683">
        <v>205.84</v>
      </c>
      <c r="I313" s="683">
        <v>225.24</v>
      </c>
      <c r="J313" s="683">
        <v>0</v>
      </c>
      <c r="K313" s="683">
        <v>71.87</v>
      </c>
      <c r="L313" s="683">
        <v>0.28999999999999998</v>
      </c>
      <c r="M313" s="683">
        <v>33.729999999999997</v>
      </c>
      <c r="N313" s="683">
        <v>602.91</v>
      </c>
      <c r="O313" s="683">
        <v>0.83</v>
      </c>
      <c r="P313" s="683">
        <v>0</v>
      </c>
      <c r="Q313" s="683">
        <v>623.5</v>
      </c>
      <c r="R313" s="683">
        <v>117.13</v>
      </c>
      <c r="S313" s="687"/>
    </row>
    <row r="314" spans="1:19" x14ac:dyDescent="0.45">
      <c r="A314" s="658">
        <v>2004</v>
      </c>
      <c r="B314" s="683">
        <v>24.55</v>
      </c>
      <c r="C314" s="683">
        <v>13.58</v>
      </c>
      <c r="D314" s="683"/>
      <c r="E314" s="683"/>
      <c r="F314" s="683">
        <v>54.79</v>
      </c>
      <c r="G314" s="684">
        <v>0</v>
      </c>
      <c r="H314" s="683">
        <v>232.4</v>
      </c>
      <c r="I314" s="683">
        <v>225.24</v>
      </c>
      <c r="J314" s="683">
        <v>0</v>
      </c>
      <c r="K314" s="683">
        <v>71.87</v>
      </c>
      <c r="L314" s="683">
        <v>1.98</v>
      </c>
      <c r="M314" s="683">
        <v>33.729999999999997</v>
      </c>
      <c r="N314" s="683">
        <v>633.59</v>
      </c>
      <c r="O314" s="683">
        <v>0.83</v>
      </c>
      <c r="P314" s="683">
        <v>0</v>
      </c>
      <c r="Q314" s="683">
        <v>658.98</v>
      </c>
      <c r="R314" s="683">
        <v>115.68</v>
      </c>
      <c r="S314" s="687"/>
    </row>
    <row r="315" spans="1:19" x14ac:dyDescent="0.45">
      <c r="A315" s="688">
        <v>2005</v>
      </c>
      <c r="B315" s="683">
        <v>29.36</v>
      </c>
      <c r="C315" s="683">
        <v>13.58</v>
      </c>
      <c r="D315" s="683"/>
      <c r="E315" s="683"/>
      <c r="F315" s="683">
        <v>52.91</v>
      </c>
      <c r="G315" s="684">
        <v>0</v>
      </c>
      <c r="H315" s="683">
        <v>265.60000000000002</v>
      </c>
      <c r="I315" s="683">
        <v>93.13</v>
      </c>
      <c r="J315" s="683">
        <v>12.42</v>
      </c>
      <c r="K315" s="683">
        <v>92.44</v>
      </c>
      <c r="L315" s="683">
        <v>2</v>
      </c>
      <c r="M315" s="683">
        <v>33.729999999999997</v>
      </c>
      <c r="N315" s="683">
        <v>565.80999999999995</v>
      </c>
      <c r="O315" s="683">
        <v>0.83</v>
      </c>
      <c r="P315" s="683">
        <v>0</v>
      </c>
      <c r="Q315" s="683">
        <v>596</v>
      </c>
      <c r="R315" s="683">
        <v>127.45</v>
      </c>
      <c r="S315" s="687"/>
    </row>
    <row r="316" spans="1:19" x14ac:dyDescent="0.45">
      <c r="A316" s="688">
        <v>2006</v>
      </c>
      <c r="B316" s="683">
        <v>36.270000000000003</v>
      </c>
      <c r="C316" s="683">
        <v>13.58</v>
      </c>
      <c r="D316" s="683"/>
      <c r="E316" s="683"/>
      <c r="F316" s="683">
        <v>44.14</v>
      </c>
      <c r="G316" s="684">
        <v>0</v>
      </c>
      <c r="H316" s="683">
        <v>298.8</v>
      </c>
      <c r="I316" s="683">
        <v>96.96</v>
      </c>
      <c r="J316" s="683">
        <v>22.91</v>
      </c>
      <c r="K316" s="683">
        <v>103.01</v>
      </c>
      <c r="L316" s="683">
        <v>2</v>
      </c>
      <c r="M316" s="683">
        <v>33.729999999999997</v>
      </c>
      <c r="N316" s="683">
        <v>615.13</v>
      </c>
      <c r="O316" s="683">
        <v>0.83</v>
      </c>
      <c r="P316" s="683">
        <v>0</v>
      </c>
      <c r="Q316" s="683">
        <v>652.23</v>
      </c>
      <c r="R316" s="683">
        <v>111.6</v>
      </c>
      <c r="S316" s="687"/>
    </row>
    <row r="317" spans="1:19" x14ac:dyDescent="0.45">
      <c r="A317" s="688">
        <v>2007</v>
      </c>
      <c r="B317" s="683">
        <v>44.89</v>
      </c>
      <c r="C317" s="683">
        <v>13.58</v>
      </c>
      <c r="D317" s="683"/>
      <c r="E317" s="683"/>
      <c r="F317" s="683">
        <v>49.48</v>
      </c>
      <c r="G317" s="684">
        <v>0</v>
      </c>
      <c r="H317" s="683">
        <v>332</v>
      </c>
      <c r="I317" s="683">
        <v>101.19</v>
      </c>
      <c r="J317" s="683">
        <v>45.82</v>
      </c>
      <c r="K317" s="683">
        <v>112.89</v>
      </c>
      <c r="L317" s="683">
        <v>2</v>
      </c>
      <c r="M317" s="683">
        <v>33.729999999999997</v>
      </c>
      <c r="N317" s="683">
        <v>690.69</v>
      </c>
      <c r="O317" s="683">
        <v>0.83</v>
      </c>
      <c r="P317" s="683">
        <v>0</v>
      </c>
      <c r="Q317" s="683">
        <v>736.41</v>
      </c>
      <c r="R317" s="683">
        <v>137.31</v>
      </c>
      <c r="S317" s="689"/>
    </row>
    <row r="318" spans="1:19" x14ac:dyDescent="0.45">
      <c r="A318" s="690">
        <v>2008</v>
      </c>
      <c r="B318" s="683">
        <v>29.56</v>
      </c>
      <c r="C318" s="683">
        <v>13.58</v>
      </c>
      <c r="D318" s="683"/>
      <c r="E318" s="683"/>
      <c r="F318" s="683">
        <v>49.73</v>
      </c>
      <c r="G318" s="691">
        <v>0</v>
      </c>
      <c r="H318" s="683">
        <v>895.69</v>
      </c>
      <c r="I318" s="683">
        <v>220.29</v>
      </c>
      <c r="J318" s="683">
        <v>40.43</v>
      </c>
      <c r="K318" s="683">
        <v>193.95</v>
      </c>
      <c r="L318" s="683">
        <v>2</v>
      </c>
      <c r="M318" s="683">
        <v>31.8</v>
      </c>
      <c r="N318" s="683">
        <v>1447.48</v>
      </c>
      <c r="O318" s="683">
        <v>0.83</v>
      </c>
      <c r="P318" s="683">
        <v>3.93</v>
      </c>
      <c r="Q318" s="683">
        <v>1481.79</v>
      </c>
      <c r="R318" s="683">
        <v>153.4</v>
      </c>
      <c r="S318" s="692"/>
    </row>
    <row r="319" spans="1:19" x14ac:dyDescent="0.45">
      <c r="A319" s="690">
        <v>2009</v>
      </c>
      <c r="B319" s="683">
        <v>33.19</v>
      </c>
      <c r="C319" s="683">
        <v>13.58</v>
      </c>
      <c r="D319" s="683"/>
      <c r="E319" s="683"/>
      <c r="F319" s="683">
        <v>50.95</v>
      </c>
      <c r="G319" s="691">
        <v>0</v>
      </c>
      <c r="H319" s="683">
        <v>975.78</v>
      </c>
      <c r="I319" s="683">
        <v>223.45</v>
      </c>
      <c r="J319" s="683">
        <v>38.25</v>
      </c>
      <c r="K319" s="683">
        <v>227.77</v>
      </c>
      <c r="L319" s="683">
        <v>2</v>
      </c>
      <c r="M319" s="683">
        <v>31.6</v>
      </c>
      <c r="N319" s="683">
        <v>1563.38</v>
      </c>
      <c r="O319" s="683">
        <v>0.83</v>
      </c>
      <c r="P319" s="683">
        <v>15.67</v>
      </c>
      <c r="Q319" s="683">
        <v>1613.07</v>
      </c>
      <c r="R319" s="683">
        <v>143.91</v>
      </c>
      <c r="S319" s="692"/>
    </row>
    <row r="320" spans="1:19" x14ac:dyDescent="0.45">
      <c r="A320" s="690">
        <v>2010</v>
      </c>
      <c r="B320" s="683">
        <v>38</v>
      </c>
      <c r="C320" s="683">
        <v>13.58</v>
      </c>
      <c r="D320" s="683">
        <v>0</v>
      </c>
      <c r="E320" s="683">
        <v>0</v>
      </c>
      <c r="F320" s="683">
        <v>57.75</v>
      </c>
      <c r="G320" s="683">
        <v>1374.39</v>
      </c>
      <c r="H320" s="683">
        <v>1374.39</v>
      </c>
      <c r="I320" s="683">
        <v>279.07</v>
      </c>
      <c r="J320" s="683">
        <v>40.32</v>
      </c>
      <c r="K320" s="683">
        <v>270.77999999999997</v>
      </c>
      <c r="L320" s="683">
        <v>4.74</v>
      </c>
      <c r="M320" s="683">
        <v>27.5</v>
      </c>
      <c r="N320" s="683">
        <v>2068.12</v>
      </c>
      <c r="O320" s="683">
        <v>0.83</v>
      </c>
      <c r="P320" s="683">
        <v>22.54</v>
      </c>
      <c r="Q320" s="683">
        <v>2129.4899999999998</v>
      </c>
      <c r="R320" s="683">
        <v>137.91</v>
      </c>
      <c r="S320" s="692"/>
    </row>
    <row r="321" spans="1:19" x14ac:dyDescent="0.45">
      <c r="A321" s="690">
        <v>2011</v>
      </c>
      <c r="B321" s="683">
        <v>42.97</v>
      </c>
      <c r="C321" s="683">
        <v>13.58</v>
      </c>
      <c r="D321" s="683">
        <v>0</v>
      </c>
      <c r="E321" s="683">
        <v>0</v>
      </c>
      <c r="F321" s="683">
        <v>64.319999999999993</v>
      </c>
      <c r="G321" s="695">
        <v>1194.03</v>
      </c>
      <c r="H321" s="683">
        <v>1194.03</v>
      </c>
      <c r="I321" s="683">
        <v>307.63</v>
      </c>
      <c r="J321" s="683">
        <v>35.75</v>
      </c>
      <c r="K321" s="683">
        <v>289.58999999999997</v>
      </c>
      <c r="L321" s="683">
        <v>9.7200000000000006</v>
      </c>
      <c r="M321" s="683">
        <v>32.78</v>
      </c>
      <c r="N321" s="683">
        <v>1947.41</v>
      </c>
      <c r="O321" s="683">
        <v>0.83</v>
      </c>
      <c r="P321" s="683">
        <v>37.65</v>
      </c>
      <c r="Q321" s="683">
        <v>2028.85</v>
      </c>
      <c r="R321" s="683">
        <v>152.38999999999999</v>
      </c>
      <c r="S321" s="259"/>
    </row>
    <row r="322" spans="1:19" x14ac:dyDescent="0.45">
      <c r="A322" s="690">
        <v>2012</v>
      </c>
      <c r="B322" s="683">
        <v>45.88</v>
      </c>
      <c r="C322" s="683">
        <v>13.58</v>
      </c>
      <c r="D322" s="683">
        <v>0</v>
      </c>
      <c r="E322" s="683">
        <v>0</v>
      </c>
      <c r="F322" s="683">
        <v>63.73</v>
      </c>
      <c r="G322" s="695">
        <v>1518.52</v>
      </c>
      <c r="H322" s="683">
        <v>1518.52</v>
      </c>
      <c r="I322" s="683">
        <v>309.14999999999998</v>
      </c>
      <c r="J322" s="683">
        <v>31.51</v>
      </c>
      <c r="K322" s="683">
        <v>285.39999999999998</v>
      </c>
      <c r="L322" s="683">
        <v>14.54</v>
      </c>
      <c r="M322" s="683">
        <v>29.77</v>
      </c>
      <c r="N322" s="683">
        <v>2266.1999999999998</v>
      </c>
      <c r="O322" s="683">
        <v>0.83</v>
      </c>
      <c r="P322" s="683">
        <v>54.85</v>
      </c>
      <c r="Q322" s="683">
        <v>2367.7600000000002</v>
      </c>
      <c r="R322" s="683">
        <v>144.06</v>
      </c>
      <c r="S322" s="259"/>
    </row>
    <row r="323" spans="1:19" x14ac:dyDescent="0.45">
      <c r="A323" s="690">
        <v>2013</v>
      </c>
      <c r="B323" s="683">
        <v>47.89</v>
      </c>
      <c r="C323" s="683">
        <v>13.58</v>
      </c>
      <c r="D323" s="683">
        <v>0</v>
      </c>
      <c r="E323" s="683">
        <v>0</v>
      </c>
      <c r="F323" s="683">
        <v>68.31</v>
      </c>
      <c r="G323" s="695">
        <v>1787.68</v>
      </c>
      <c r="H323" s="683">
        <v>1787.68</v>
      </c>
      <c r="I323" s="683">
        <v>315.38</v>
      </c>
      <c r="J323" s="683">
        <v>29.07</v>
      </c>
      <c r="K323" s="683">
        <v>418.79</v>
      </c>
      <c r="L323" s="683">
        <v>18.52</v>
      </c>
      <c r="M323" s="683">
        <v>29.75</v>
      </c>
      <c r="N323" s="683">
        <v>2681.09</v>
      </c>
      <c r="O323" s="683">
        <v>0.83</v>
      </c>
      <c r="P323" s="683">
        <v>96.47</v>
      </c>
      <c r="Q323" s="683">
        <v>2826.28</v>
      </c>
      <c r="R323" s="683">
        <v>154.69999999999999</v>
      </c>
      <c r="S323" s="259"/>
    </row>
    <row r="324" spans="1:19" x14ac:dyDescent="0.45">
      <c r="A324" s="690">
        <v>2014</v>
      </c>
      <c r="B324" s="683">
        <v>49.55</v>
      </c>
      <c r="C324" s="683">
        <v>13.58</v>
      </c>
      <c r="D324" s="683">
        <v>0</v>
      </c>
      <c r="E324" s="683">
        <v>0</v>
      </c>
      <c r="F324" s="683">
        <v>67.75</v>
      </c>
      <c r="G324" s="695">
        <v>1698.09</v>
      </c>
      <c r="H324" s="683">
        <v>1698.09</v>
      </c>
      <c r="I324" s="683">
        <v>319.08999999999997</v>
      </c>
      <c r="J324" s="683">
        <v>34.54</v>
      </c>
      <c r="K324" s="683">
        <v>561.20000000000005</v>
      </c>
      <c r="L324" s="683">
        <v>42.94</v>
      </c>
      <c r="M324" s="683">
        <v>22.38</v>
      </c>
      <c r="N324" s="683">
        <v>2759.57</v>
      </c>
      <c r="O324" s="683">
        <v>0.83</v>
      </c>
      <c r="P324" s="683">
        <v>106.67</v>
      </c>
      <c r="Q324" s="683">
        <v>2916.61</v>
      </c>
      <c r="R324" s="683">
        <v>158.41</v>
      </c>
      <c r="S324" s="259"/>
    </row>
    <row r="325" spans="1:19" x14ac:dyDescent="0.45">
      <c r="A325" s="690">
        <v>2015</v>
      </c>
      <c r="B325" s="663">
        <v>50.68</v>
      </c>
      <c r="C325" s="663">
        <v>13.58</v>
      </c>
      <c r="D325" s="663">
        <v>0</v>
      </c>
      <c r="E325" s="663">
        <v>0</v>
      </c>
      <c r="F325" s="663">
        <v>73.099999999999994</v>
      </c>
      <c r="G325" s="698">
        <v>1918.32</v>
      </c>
      <c r="H325" s="663">
        <v>1918.32</v>
      </c>
      <c r="I325" s="663">
        <v>318.64999999999998</v>
      </c>
      <c r="J325" s="663">
        <v>30.73</v>
      </c>
      <c r="K325" s="663">
        <v>837.68</v>
      </c>
      <c r="L325" s="663">
        <v>118.88</v>
      </c>
      <c r="M325" s="663">
        <v>66.680000000000007</v>
      </c>
      <c r="N325" s="663">
        <v>3377.61</v>
      </c>
      <c r="O325" s="663">
        <v>0.83</v>
      </c>
      <c r="P325" s="663">
        <v>1007.13</v>
      </c>
      <c r="Q325" s="663">
        <v>4436.25</v>
      </c>
      <c r="R325" s="663">
        <v>137.43</v>
      </c>
      <c r="S325" s="258"/>
    </row>
    <row r="326" spans="1:19" x14ac:dyDescent="0.45">
      <c r="A326" s="690">
        <v>2016</v>
      </c>
      <c r="B326" s="663">
        <v>51.24</v>
      </c>
      <c r="C326" s="663">
        <v>13.58</v>
      </c>
      <c r="D326" s="663">
        <v>0</v>
      </c>
      <c r="E326" s="663">
        <v>0</v>
      </c>
      <c r="F326" s="663">
        <v>72.06</v>
      </c>
      <c r="G326" s="698">
        <v>2061.36</v>
      </c>
      <c r="H326" s="666">
        <v>2061.36</v>
      </c>
      <c r="I326" s="663">
        <v>319.06</v>
      </c>
      <c r="J326" s="663">
        <v>23.01</v>
      </c>
      <c r="K326" s="666">
        <v>926.56</v>
      </c>
      <c r="L326" s="666">
        <v>269.17</v>
      </c>
      <c r="M326" s="663">
        <v>69.260000000000005</v>
      </c>
      <c r="N326" s="666">
        <v>3754.07</v>
      </c>
      <c r="O326" s="663">
        <v>0.83</v>
      </c>
      <c r="P326" s="666">
        <v>981.53</v>
      </c>
      <c r="Q326" s="666">
        <v>4787.67</v>
      </c>
      <c r="R326" s="663">
        <v>144</v>
      </c>
      <c r="S326" s="258"/>
    </row>
    <row r="327" spans="1:19" x14ac:dyDescent="0.45">
      <c r="A327" s="690">
        <v>2017</v>
      </c>
      <c r="B327" s="663">
        <v>52.06</v>
      </c>
      <c r="C327" s="663">
        <v>13.58</v>
      </c>
      <c r="D327" s="663">
        <v>0</v>
      </c>
      <c r="E327" s="663">
        <v>0</v>
      </c>
      <c r="F327" s="663">
        <v>84.19</v>
      </c>
      <c r="G327" s="698">
        <v>2049.0300000000002</v>
      </c>
      <c r="H327" s="666">
        <v>2049.0300000000002</v>
      </c>
      <c r="I327" s="666">
        <v>320.97000000000003</v>
      </c>
      <c r="J327" s="666">
        <v>25.76</v>
      </c>
      <c r="K327" s="666">
        <v>1005.04</v>
      </c>
      <c r="L327" s="666">
        <v>302.73</v>
      </c>
      <c r="M327" s="666">
        <v>93.49</v>
      </c>
      <c r="N327" s="666">
        <v>3894.78</v>
      </c>
      <c r="O327" s="663">
        <v>0.83</v>
      </c>
      <c r="P327" s="666">
        <v>963.36</v>
      </c>
      <c r="Q327" s="666">
        <v>4911.04</v>
      </c>
      <c r="R327" s="666">
        <v>167.79</v>
      </c>
      <c r="S327" s="258"/>
    </row>
    <row r="328" spans="1:19" ht="14.65" thickBot="1" x14ac:dyDescent="0.5">
      <c r="A328" s="700">
        <v>2018</v>
      </c>
      <c r="B328" s="701">
        <v>52.73</v>
      </c>
      <c r="C328" s="701">
        <v>13.58</v>
      </c>
      <c r="D328" s="701">
        <v>0</v>
      </c>
      <c r="E328" s="701">
        <v>0</v>
      </c>
      <c r="F328" s="701">
        <v>83.27</v>
      </c>
      <c r="G328" s="702">
        <v>2238.85</v>
      </c>
      <c r="H328" s="701">
        <v>2238.85</v>
      </c>
      <c r="I328" s="701">
        <v>320.97000000000003</v>
      </c>
      <c r="J328" s="701">
        <v>25.76</v>
      </c>
      <c r="K328" s="701">
        <v>1245.03</v>
      </c>
      <c r="L328" s="701">
        <v>393.95</v>
      </c>
      <c r="M328" s="701">
        <v>91.02</v>
      </c>
      <c r="N328" s="701">
        <v>4412.43</v>
      </c>
      <c r="O328" s="701">
        <v>0.83</v>
      </c>
      <c r="P328" s="701">
        <v>978.99</v>
      </c>
      <c r="Q328" s="701">
        <v>5444.98</v>
      </c>
      <c r="R328" s="701">
        <v>165.32</v>
      </c>
      <c r="S328" s="258"/>
    </row>
    <row r="329" spans="1:19" ht="14.65" thickTop="1" x14ac:dyDescent="0.45">
      <c r="A329" s="658"/>
      <c r="B329" s="658"/>
      <c r="C329" s="658"/>
      <c r="D329" s="658"/>
      <c r="E329" s="658"/>
      <c r="F329" s="658"/>
      <c r="G329" s="658"/>
      <c r="H329" s="658"/>
      <c r="I329" s="658"/>
      <c r="J329" s="658"/>
      <c r="K329" s="658"/>
      <c r="L329" s="658"/>
      <c r="M329" s="658"/>
      <c r="N329" s="658"/>
      <c r="O329" s="658"/>
      <c r="P329" s="658"/>
      <c r="Q329" s="658"/>
      <c r="R329" s="658"/>
      <c r="S329" s="658"/>
    </row>
  </sheetData>
  <mergeCells count="2">
    <mergeCell ref="C4:N4"/>
    <mergeCell ref="A3:V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30"/>
  <sheetViews>
    <sheetView zoomScaleNormal="100" workbookViewId="0">
      <pane xSplit="1" ySplit="9" topLeftCell="B10" activePane="bottomRight" state="frozen"/>
      <selection pane="topRight" activeCell="B1" sqref="B1"/>
      <selection pane="bottomLeft" activeCell="A10" sqref="A10"/>
      <selection pane="bottomRight" activeCell="A10" sqref="A10"/>
    </sheetView>
  </sheetViews>
  <sheetFormatPr defaultRowHeight="14.25" x14ac:dyDescent="0.45"/>
  <sheetData>
    <row r="1" spans="1:13" ht="22.15" x14ac:dyDescent="0.55000000000000004">
      <c r="A1" s="1095" t="s">
        <v>2509</v>
      </c>
      <c r="B1" s="631"/>
      <c r="C1" s="631"/>
      <c r="D1" s="631"/>
      <c r="E1" s="631"/>
      <c r="F1" s="631"/>
      <c r="G1" s="631"/>
      <c r="H1" s="631"/>
      <c r="I1" s="631"/>
      <c r="J1" s="631"/>
      <c r="K1" s="631"/>
      <c r="L1" s="631"/>
      <c r="M1" s="631"/>
    </row>
    <row r="2" spans="1:13" ht="15" customHeight="1" x14ac:dyDescent="0.6">
      <c r="A2" s="630" t="s">
        <v>1122</v>
      </c>
      <c r="D2" s="632"/>
      <c r="E2" s="632"/>
      <c r="F2" s="632"/>
      <c r="G2" s="631"/>
      <c r="H2" s="631"/>
      <c r="I2" s="633"/>
      <c r="J2" s="633"/>
      <c r="K2" s="633"/>
      <c r="L2" s="633"/>
      <c r="M2" s="633"/>
    </row>
    <row r="3" spans="1:13" ht="15.75" customHeight="1" x14ac:dyDescent="0.6">
      <c r="A3" s="630"/>
      <c r="B3" s="428" t="s">
        <v>2288</v>
      </c>
      <c r="C3" s="632"/>
      <c r="D3" s="632"/>
      <c r="E3" s="632"/>
      <c r="F3" s="632"/>
      <c r="G3" s="631"/>
      <c r="H3" s="631"/>
      <c r="I3" s="633"/>
      <c r="J3" s="633"/>
      <c r="K3" s="633"/>
      <c r="L3" s="633"/>
      <c r="M3" s="633"/>
    </row>
    <row r="4" spans="1:13" ht="14.65" thickBot="1" x14ac:dyDescent="0.5">
      <c r="A4" s="1464" t="s">
        <v>1040</v>
      </c>
      <c r="B4" s="1464"/>
      <c r="C4" s="1464"/>
      <c r="D4" s="1464"/>
      <c r="E4" s="1464"/>
      <c r="F4" s="1464"/>
      <c r="G4" s="1464"/>
      <c r="H4" s="1464"/>
      <c r="I4" s="1464"/>
      <c r="J4" s="1464"/>
      <c r="K4" s="1464"/>
      <c r="L4" s="1464"/>
      <c r="M4" s="1464"/>
    </row>
    <row r="5" spans="1:13" ht="14.65" thickTop="1" x14ac:dyDescent="0.45">
      <c r="A5" s="634"/>
      <c r="B5" s="1462" t="s">
        <v>746</v>
      </c>
      <c r="C5" s="1462"/>
      <c r="D5" s="635"/>
      <c r="E5" s="1070" t="s">
        <v>1089</v>
      </c>
      <c r="F5" s="635"/>
      <c r="G5" s="1462" t="s">
        <v>2286</v>
      </c>
      <c r="H5" s="1462"/>
      <c r="I5" s="1462"/>
      <c r="J5" s="1462"/>
      <c r="K5" s="1072" t="s">
        <v>211</v>
      </c>
      <c r="L5" s="638"/>
      <c r="M5" s="636"/>
    </row>
    <row r="6" spans="1:13" x14ac:dyDescent="0.45">
      <c r="A6" s="257"/>
      <c r="B6" s="639" t="s">
        <v>2285</v>
      </c>
      <c r="C6" s="639" t="s">
        <v>1090</v>
      </c>
      <c r="D6" s="639"/>
      <c r="E6" s="642" t="s">
        <v>2285</v>
      </c>
      <c r="F6" s="640"/>
      <c r="G6" s="640" t="s">
        <v>2285</v>
      </c>
      <c r="H6" s="640" t="s">
        <v>1090</v>
      </c>
      <c r="I6" s="642"/>
      <c r="J6" s="640" t="s">
        <v>1059</v>
      </c>
      <c r="K6" s="640"/>
      <c r="L6" s="257"/>
      <c r="M6" s="643"/>
    </row>
    <row r="7" spans="1:13" x14ac:dyDescent="0.45">
      <c r="A7" s="257"/>
      <c r="B7" s="640"/>
      <c r="C7" s="640"/>
      <c r="D7" s="640"/>
      <c r="E7" s="640"/>
      <c r="F7" s="640"/>
      <c r="G7" s="640"/>
      <c r="H7" s="640"/>
      <c r="I7" s="642"/>
      <c r="J7" s="640" t="s">
        <v>1069</v>
      </c>
      <c r="K7" s="640"/>
      <c r="L7" s="257"/>
      <c r="M7" s="257"/>
    </row>
    <row r="8" spans="1:13" x14ac:dyDescent="0.45">
      <c r="A8" s="258"/>
      <c r="B8" s="639"/>
      <c r="C8" s="639"/>
      <c r="D8" s="639"/>
      <c r="E8" s="645"/>
      <c r="F8" s="645"/>
      <c r="G8" s="643"/>
      <c r="H8" s="647"/>
      <c r="I8" s="648"/>
      <c r="J8" s="645"/>
      <c r="K8" s="645"/>
      <c r="L8" s="257"/>
      <c r="M8" s="645"/>
    </row>
    <row r="9" spans="1:13" x14ac:dyDescent="0.45">
      <c r="A9" s="653" t="s">
        <v>2287</v>
      </c>
      <c r="B9" s="650"/>
      <c r="C9" s="650"/>
      <c r="D9" s="650"/>
      <c r="E9" s="650"/>
      <c r="F9" s="650"/>
      <c r="G9" s="649"/>
      <c r="H9" s="649"/>
      <c r="I9" s="650"/>
      <c r="J9" s="650"/>
      <c r="K9" s="650"/>
      <c r="L9" s="649"/>
      <c r="M9" s="650"/>
    </row>
    <row r="10" spans="1:13" x14ac:dyDescent="0.45">
      <c r="A10" s="655">
        <v>1700</v>
      </c>
      <c r="B10" s="1076">
        <v>1.0174051934651764</v>
      </c>
      <c r="C10" s="1076">
        <v>107.86131567920876</v>
      </c>
      <c r="D10" s="1076"/>
      <c r="E10" s="1076">
        <v>12.123817712811691</v>
      </c>
      <c r="F10" s="1077"/>
      <c r="G10" s="1078">
        <v>459.20670962926636</v>
      </c>
      <c r="H10" s="1078">
        <v>0</v>
      </c>
      <c r="I10" s="1077"/>
      <c r="J10" s="1078">
        <f>G10+H10</f>
        <v>459.20670962926636</v>
      </c>
      <c r="K10" s="1079">
        <f t="shared" ref="K10:K73" si="0">J10+E10+C10+B10</f>
        <v>580.20924821475194</v>
      </c>
      <c r="L10" s="258"/>
      <c r="M10" s="645"/>
    </row>
    <row r="11" spans="1:13" x14ac:dyDescent="0.45">
      <c r="A11" s="655">
        <v>1701</v>
      </c>
      <c r="B11" s="1076">
        <v>1.0210677709372316</v>
      </c>
      <c r="C11" s="1076">
        <v>107.61836002960247</v>
      </c>
      <c r="D11" s="1076"/>
      <c r="E11" s="1076">
        <v>12.162510748065348</v>
      </c>
      <c r="F11" s="1077"/>
      <c r="G11" s="1078">
        <v>458.77760585824541</v>
      </c>
      <c r="H11" s="1078">
        <v>0</v>
      </c>
      <c r="I11" s="1077"/>
      <c r="J11" s="1078">
        <f t="shared" ref="J11:J74" si="1">G11+H11</f>
        <v>458.77760585824541</v>
      </c>
      <c r="K11" s="1079">
        <f t="shared" si="0"/>
        <v>579.57954440685046</v>
      </c>
      <c r="L11" s="258"/>
      <c r="M11" s="645"/>
    </row>
    <row r="12" spans="1:13" x14ac:dyDescent="0.45">
      <c r="A12" s="655">
        <v>1702</v>
      </c>
      <c r="B12" s="1076">
        <v>1.0247303484092869</v>
      </c>
      <c r="C12" s="1076">
        <v>107.37500904317889</v>
      </c>
      <c r="D12" s="1076"/>
      <c r="E12" s="1076">
        <v>12.201203783319002</v>
      </c>
      <c r="F12" s="1077"/>
      <c r="G12" s="1078">
        <v>458.38874482853072</v>
      </c>
      <c r="H12" s="1078">
        <v>0</v>
      </c>
      <c r="I12" s="1077"/>
      <c r="J12" s="1078">
        <f t="shared" si="1"/>
        <v>458.38874482853072</v>
      </c>
      <c r="K12" s="1079">
        <f t="shared" si="0"/>
        <v>578.98968800343789</v>
      </c>
      <c r="L12" s="258"/>
      <c r="M12" s="645"/>
    </row>
    <row r="13" spans="1:13" x14ac:dyDescent="0.45">
      <c r="A13" s="655">
        <v>1703</v>
      </c>
      <c r="B13" s="1076">
        <v>1.0283929258813418</v>
      </c>
      <c r="C13" s="1076">
        <v>108.04864734141351</v>
      </c>
      <c r="D13" s="1076"/>
      <c r="E13" s="1076">
        <v>12.239896818572657</v>
      </c>
      <c r="F13" s="1077"/>
      <c r="G13" s="1078">
        <v>458.0702070415237</v>
      </c>
      <c r="H13" s="1078">
        <v>0</v>
      </c>
      <c r="I13" s="1077"/>
      <c r="J13" s="1078">
        <f t="shared" si="1"/>
        <v>458.0702070415237</v>
      </c>
      <c r="K13" s="1079">
        <f t="shared" si="0"/>
        <v>579.38714412739125</v>
      </c>
      <c r="L13" s="258"/>
      <c r="M13" s="645"/>
    </row>
    <row r="14" spans="1:13" x14ac:dyDescent="0.45">
      <c r="A14" s="655">
        <v>1704</v>
      </c>
      <c r="B14" s="1076">
        <v>1.0320555033533965</v>
      </c>
      <c r="C14" s="1076">
        <v>108.72356927961995</v>
      </c>
      <c r="D14" s="1076"/>
      <c r="E14" s="1076">
        <v>12.278589853826311</v>
      </c>
      <c r="F14" s="1077"/>
      <c r="G14" s="1078">
        <v>457.55383421161417</v>
      </c>
      <c r="H14" s="1078">
        <v>0</v>
      </c>
      <c r="I14" s="1077"/>
      <c r="J14" s="1078">
        <f t="shared" si="1"/>
        <v>457.55383421161417</v>
      </c>
      <c r="K14" s="1079">
        <f t="shared" si="0"/>
        <v>579.58804884841379</v>
      </c>
      <c r="L14" s="258"/>
      <c r="M14" s="645"/>
    </row>
    <row r="15" spans="1:13" x14ac:dyDescent="0.45">
      <c r="A15" s="655">
        <v>1705</v>
      </c>
      <c r="B15" s="1076">
        <v>1.0357180808254518</v>
      </c>
      <c r="C15" s="1076">
        <v>109.39977924394162</v>
      </c>
      <c r="D15" s="1076"/>
      <c r="E15" s="1076">
        <v>12.317282889079962</v>
      </c>
      <c r="F15" s="1077"/>
      <c r="G15" s="1078">
        <v>456.90173751869753</v>
      </c>
      <c r="H15" s="1078">
        <v>0</v>
      </c>
      <c r="I15" s="1077"/>
      <c r="J15" s="1078">
        <f t="shared" si="1"/>
        <v>456.90173751869753</v>
      </c>
      <c r="K15" s="1079">
        <f t="shared" si="0"/>
        <v>579.6545177325446</v>
      </c>
      <c r="L15" s="258"/>
      <c r="M15" s="645"/>
    </row>
    <row r="16" spans="1:13" x14ac:dyDescent="0.45">
      <c r="A16" s="655">
        <v>1706</v>
      </c>
      <c r="B16" s="1076">
        <v>1.0393806582975071</v>
      </c>
      <c r="C16" s="1076">
        <v>110.0772816375389</v>
      </c>
      <c r="D16" s="1076"/>
      <c r="E16" s="1076">
        <v>12.355975924333618</v>
      </c>
      <c r="F16" s="1077"/>
      <c r="G16" s="1078">
        <v>456.29191035198517</v>
      </c>
      <c r="H16" s="1078">
        <v>0</v>
      </c>
      <c r="I16" s="1077"/>
      <c r="J16" s="1078">
        <f t="shared" si="1"/>
        <v>456.29191035198517</v>
      </c>
      <c r="K16" s="1079">
        <f t="shared" si="0"/>
        <v>579.76454857215526</v>
      </c>
      <c r="L16" s="258"/>
      <c r="M16" s="645"/>
    </row>
    <row r="17" spans="1:13" x14ac:dyDescent="0.45">
      <c r="A17" s="655">
        <v>1707</v>
      </c>
      <c r="B17" s="1076">
        <v>1.043043235769562</v>
      </c>
      <c r="C17" s="1076">
        <v>110.7560808806473</v>
      </c>
      <c r="D17" s="1076"/>
      <c r="E17" s="1076">
        <v>12.394668959587273</v>
      </c>
      <c r="F17" s="1077"/>
      <c r="G17" s="1078">
        <v>455.69434176223245</v>
      </c>
      <c r="H17" s="1078">
        <v>0</v>
      </c>
      <c r="I17" s="1077"/>
      <c r="J17" s="1078">
        <f t="shared" si="1"/>
        <v>455.69434176223245</v>
      </c>
      <c r="K17" s="1079">
        <f t="shared" si="0"/>
        <v>579.88813483823662</v>
      </c>
      <c r="L17" s="258"/>
      <c r="M17" s="645"/>
    </row>
    <row r="18" spans="1:13" x14ac:dyDescent="0.45">
      <c r="A18" s="655">
        <v>1708</v>
      </c>
      <c r="B18" s="1076">
        <v>1.0467058132416172</v>
      </c>
      <c r="C18" s="1076">
        <v>111.43618141063594</v>
      </c>
      <c r="D18" s="1076"/>
      <c r="E18" s="1076">
        <v>12.433361994840929</v>
      </c>
      <c r="F18" s="1077"/>
      <c r="G18" s="1078">
        <v>455.07969055497387</v>
      </c>
      <c r="H18" s="1078">
        <v>0</v>
      </c>
      <c r="I18" s="1077"/>
      <c r="J18" s="1078">
        <f t="shared" si="1"/>
        <v>455.07969055497387</v>
      </c>
      <c r="K18" s="1079">
        <f t="shared" si="0"/>
        <v>579.99593977369238</v>
      </c>
      <c r="L18" s="258"/>
      <c r="M18" s="645"/>
    </row>
    <row r="19" spans="1:13" x14ac:dyDescent="0.45">
      <c r="A19" s="655">
        <v>1709</v>
      </c>
      <c r="B19" s="1076">
        <v>1.0503683907136721</v>
      </c>
      <c r="C19" s="1076">
        <v>112.11758768206587</v>
      </c>
      <c r="D19" s="1076"/>
      <c r="E19" s="1076">
        <v>12.472055030094582</v>
      </c>
      <c r="F19" s="1077"/>
      <c r="G19" s="1078">
        <v>454.4000767798542</v>
      </c>
      <c r="H19" s="1078">
        <v>0</v>
      </c>
      <c r="I19" s="1077"/>
      <c r="J19" s="1078">
        <f t="shared" si="1"/>
        <v>454.4000767798542</v>
      </c>
      <c r="K19" s="1079">
        <f t="shared" si="0"/>
        <v>580.04008788272824</v>
      </c>
      <c r="L19" s="258"/>
      <c r="M19" s="645"/>
    </row>
    <row r="20" spans="1:13" x14ac:dyDescent="0.45">
      <c r="A20" s="655">
        <v>1710</v>
      </c>
      <c r="B20" s="1076">
        <v>1.0540309681857274</v>
      </c>
      <c r="C20" s="1076">
        <v>112.80030416674897</v>
      </c>
      <c r="D20" s="1076"/>
      <c r="E20" s="1076">
        <v>12.510748065348237</v>
      </c>
      <c r="F20" s="1077"/>
      <c r="G20" s="1078">
        <v>453.74238976497577</v>
      </c>
      <c r="H20" s="1078">
        <v>0</v>
      </c>
      <c r="I20" s="1077"/>
      <c r="J20" s="1078">
        <f t="shared" si="1"/>
        <v>453.74238976497577</v>
      </c>
      <c r="K20" s="1079">
        <f t="shared" si="0"/>
        <v>580.10747296525881</v>
      </c>
      <c r="L20" s="258"/>
      <c r="M20" s="645"/>
    </row>
    <row r="21" spans="1:13" x14ac:dyDescent="0.45">
      <c r="A21" s="655">
        <v>1711</v>
      </c>
      <c r="B21" s="1076">
        <v>1.0576935456577823</v>
      </c>
      <c r="C21" s="1076">
        <v>113.4843353538069</v>
      </c>
      <c r="D21" s="1076"/>
      <c r="E21" s="1076">
        <v>12.549441100601891</v>
      </c>
      <c r="F21" s="1077"/>
      <c r="G21" s="1078">
        <v>453.1198640334066</v>
      </c>
      <c r="H21" s="1078">
        <v>0</v>
      </c>
      <c r="I21" s="1077"/>
      <c r="J21" s="1078">
        <f t="shared" si="1"/>
        <v>453.1198640334066</v>
      </c>
      <c r="K21" s="1079">
        <f t="shared" si="0"/>
        <v>580.21133403347324</v>
      </c>
      <c r="L21" s="258"/>
      <c r="M21" s="645"/>
    </row>
    <row r="22" spans="1:13" x14ac:dyDescent="0.45">
      <c r="A22" s="655">
        <v>1712</v>
      </c>
      <c r="B22" s="1076">
        <v>1.0613561231298376</v>
      </c>
      <c r="C22" s="1076">
        <v>114.16968574972991</v>
      </c>
      <c r="D22" s="1076"/>
      <c r="E22" s="1076">
        <v>12.588134135855544</v>
      </c>
      <c r="F22" s="1077"/>
      <c r="G22" s="1078">
        <v>452.45332100411827</v>
      </c>
      <c r="H22" s="1078">
        <v>0</v>
      </c>
      <c r="I22" s="1077"/>
      <c r="J22" s="1078">
        <f t="shared" si="1"/>
        <v>452.45332100411827</v>
      </c>
      <c r="K22" s="1079">
        <f t="shared" si="0"/>
        <v>580.27249701283358</v>
      </c>
      <c r="L22" s="258"/>
      <c r="M22" s="645"/>
    </row>
    <row r="23" spans="1:13" x14ac:dyDescent="0.45">
      <c r="A23" s="655">
        <v>1713</v>
      </c>
      <c r="B23" s="1076">
        <v>1.0650187006018925</v>
      </c>
      <c r="C23" s="1076">
        <v>114.85635987843644</v>
      </c>
      <c r="D23" s="1076"/>
      <c r="E23" s="1076">
        <v>12.626827171109198</v>
      </c>
      <c r="F23" s="1077"/>
      <c r="G23" s="1078">
        <v>451.96187552183949</v>
      </c>
      <c r="H23" s="1078">
        <v>0</v>
      </c>
      <c r="I23" s="1077"/>
      <c r="J23" s="1078">
        <f t="shared" si="1"/>
        <v>451.96187552183949</v>
      </c>
      <c r="K23" s="1079">
        <f t="shared" si="0"/>
        <v>580.51008127198702</v>
      </c>
      <c r="L23" s="258"/>
      <c r="M23" s="645"/>
    </row>
    <row r="24" spans="1:13" x14ac:dyDescent="0.45">
      <c r="A24" s="655">
        <v>1714</v>
      </c>
      <c r="B24" s="1076">
        <v>1.0686812780739476</v>
      </c>
      <c r="C24" s="1076">
        <v>115.54436228133225</v>
      </c>
      <c r="D24" s="1076"/>
      <c r="E24" s="1076">
        <v>12.665520206362855</v>
      </c>
      <c r="F24" s="1077"/>
      <c r="G24" s="1078">
        <v>451.55940529978056</v>
      </c>
      <c r="H24" s="1078">
        <v>0</v>
      </c>
      <c r="I24" s="1077"/>
      <c r="J24" s="1078">
        <f t="shared" si="1"/>
        <v>451.55940529978056</v>
      </c>
      <c r="K24" s="1079">
        <f t="shared" si="0"/>
        <v>580.8379690655496</v>
      </c>
      <c r="L24" s="258"/>
      <c r="M24" s="645"/>
    </row>
    <row r="25" spans="1:13" x14ac:dyDescent="0.45">
      <c r="A25" s="655">
        <v>1715</v>
      </c>
      <c r="B25" s="1076">
        <v>1.072343855546003</v>
      </c>
      <c r="C25" s="1076">
        <v>116.23369751737027</v>
      </c>
      <c r="D25" s="1076"/>
      <c r="E25" s="1076">
        <v>12.704213241616507</v>
      </c>
      <c r="F25" s="1077"/>
      <c r="G25" s="1078">
        <v>454.72981608594097</v>
      </c>
      <c r="H25" s="1078">
        <v>3.8597964788698511</v>
      </c>
      <c r="I25" s="1077"/>
      <c r="J25" s="1078">
        <f t="shared" si="1"/>
        <v>458.58961256481081</v>
      </c>
      <c r="K25" s="1079">
        <f t="shared" si="0"/>
        <v>588.59986717934362</v>
      </c>
      <c r="L25" s="258"/>
      <c r="M25" s="645"/>
    </row>
    <row r="26" spans="1:13" x14ac:dyDescent="0.45">
      <c r="A26" s="655">
        <v>1716</v>
      </c>
      <c r="B26" s="1076">
        <v>1.0760064330180579</v>
      </c>
      <c r="C26" s="1076">
        <v>116.92437016311025</v>
      </c>
      <c r="D26" s="1076"/>
      <c r="E26" s="1076">
        <v>12.742906276870162</v>
      </c>
      <c r="F26" s="1077"/>
      <c r="G26" s="1078">
        <v>458.17304690508104</v>
      </c>
      <c r="H26" s="1078">
        <v>4.1397738720386963</v>
      </c>
      <c r="I26" s="1077"/>
      <c r="J26" s="1078">
        <f t="shared" si="1"/>
        <v>462.31282077711973</v>
      </c>
      <c r="K26" s="1079">
        <f t="shared" si="0"/>
        <v>593.05610365011819</v>
      </c>
      <c r="L26" s="258"/>
      <c r="M26" s="645"/>
    </row>
    <row r="27" spans="1:13" x14ac:dyDescent="0.45">
      <c r="A27" s="655">
        <v>1717</v>
      </c>
      <c r="B27" s="1076">
        <v>1.0796690104901128</v>
      </c>
      <c r="C27" s="1076">
        <v>117.6163848127788</v>
      </c>
      <c r="D27" s="1076"/>
      <c r="E27" s="1076">
        <v>12.781599312123818</v>
      </c>
      <c r="F27" s="1077"/>
      <c r="G27" s="1078">
        <v>461.67984757755812</v>
      </c>
      <c r="H27" s="1078">
        <v>4.4218317698198879</v>
      </c>
      <c r="I27" s="1077"/>
      <c r="J27" s="1078">
        <f t="shared" si="1"/>
        <v>466.10167934737802</v>
      </c>
      <c r="K27" s="1079">
        <f t="shared" si="0"/>
        <v>597.57933248277072</v>
      </c>
      <c r="L27" s="258"/>
      <c r="M27" s="645"/>
    </row>
    <row r="28" spans="1:13" x14ac:dyDescent="0.45">
      <c r="A28" s="655">
        <v>1718</v>
      </c>
      <c r="B28" s="1076">
        <v>1.0833315879621679</v>
      </c>
      <c r="C28" s="1076">
        <v>118.30974607832954</v>
      </c>
      <c r="D28" s="1076"/>
      <c r="E28" s="1076">
        <v>12.820292347377469</v>
      </c>
      <c r="F28" s="1077"/>
      <c r="G28" s="1078">
        <v>465.21239265639605</v>
      </c>
      <c r="H28" s="1078">
        <v>4.7060058712790909</v>
      </c>
      <c r="I28" s="1077"/>
      <c r="J28" s="1078">
        <f t="shared" si="1"/>
        <v>469.91839852767515</v>
      </c>
      <c r="K28" s="1079">
        <f t="shared" si="0"/>
        <v>602.1317685413444</v>
      </c>
      <c r="L28" s="258"/>
      <c r="M28" s="645"/>
    </row>
    <row r="29" spans="1:13" x14ac:dyDescent="0.45">
      <c r="A29" s="655">
        <v>1719</v>
      </c>
      <c r="B29" s="1076">
        <v>1.086994165434223</v>
      </c>
      <c r="C29" s="1076">
        <v>119.00445858950357</v>
      </c>
      <c r="D29" s="1076"/>
      <c r="E29" s="1076">
        <v>12.858985382631126</v>
      </c>
      <c r="F29" s="1077"/>
      <c r="G29" s="1078">
        <v>468.770895062389</v>
      </c>
      <c r="H29" s="1078">
        <v>4.9923326526966658</v>
      </c>
      <c r="I29" s="1077"/>
      <c r="J29" s="1078">
        <f t="shared" si="1"/>
        <v>473.76322771508569</v>
      </c>
      <c r="K29" s="1079">
        <f t="shared" si="0"/>
        <v>606.71366585265469</v>
      </c>
      <c r="L29" s="258"/>
      <c r="M29" s="645"/>
    </row>
    <row r="30" spans="1:13" x14ac:dyDescent="0.45">
      <c r="A30" s="655">
        <v>1720</v>
      </c>
      <c r="B30" s="1076">
        <v>1.0906567429062781</v>
      </c>
      <c r="C30" s="1076">
        <v>119.70052699388975</v>
      </c>
      <c r="D30" s="1076"/>
      <c r="E30" s="1076">
        <v>12.89767841788478</v>
      </c>
      <c r="F30" s="1077"/>
      <c r="G30" s="1078">
        <v>471.84410310918815</v>
      </c>
      <c r="H30" s="1078">
        <v>5.2808493893508359</v>
      </c>
      <c r="I30" s="1077"/>
      <c r="J30" s="1078">
        <f t="shared" si="1"/>
        <v>477.12495249853902</v>
      </c>
      <c r="K30" s="1079">
        <f t="shared" si="0"/>
        <v>610.81381465321988</v>
      </c>
      <c r="L30" s="258"/>
      <c r="M30" s="645"/>
    </row>
    <row r="31" spans="1:13" x14ac:dyDescent="0.45">
      <c r="A31" s="655">
        <v>1721</v>
      </c>
      <c r="B31" s="1076">
        <v>1.094319320378333</v>
      </c>
      <c r="C31" s="1076">
        <v>120.39795595698568</v>
      </c>
      <c r="D31" s="1076"/>
      <c r="E31" s="1076">
        <v>12.936371453138435</v>
      </c>
      <c r="F31" s="1077"/>
      <c r="G31" s="1078">
        <v>475.05807331899194</v>
      </c>
      <c r="H31" s="1078">
        <v>5.5715941780518161</v>
      </c>
      <c r="I31" s="1077"/>
      <c r="J31" s="1078">
        <f t="shared" si="1"/>
        <v>480.62966749704378</v>
      </c>
      <c r="K31" s="1079">
        <f t="shared" si="0"/>
        <v>615.05831422754625</v>
      </c>
      <c r="L31" s="258"/>
      <c r="M31" s="645"/>
    </row>
    <row r="32" spans="1:13" x14ac:dyDescent="0.45">
      <c r="A32" s="655">
        <v>1722</v>
      </c>
      <c r="B32" s="1076">
        <v>1.0979818978503884</v>
      </c>
      <c r="C32" s="1076">
        <v>121.09675016225826</v>
      </c>
      <c r="D32" s="1076"/>
      <c r="E32" s="1076">
        <v>12.975064488392089</v>
      </c>
      <c r="F32" s="1077"/>
      <c r="G32" s="1078">
        <v>478.40329602990619</v>
      </c>
      <c r="H32" s="1078">
        <v>5.8646059604579843</v>
      </c>
      <c r="I32" s="1077"/>
      <c r="J32" s="1078">
        <f t="shared" si="1"/>
        <v>484.26790199036418</v>
      </c>
      <c r="K32" s="1079">
        <f t="shared" si="0"/>
        <v>619.43769853886488</v>
      </c>
      <c r="L32" s="258"/>
      <c r="M32" s="645"/>
    </row>
    <row r="33" spans="1:13" x14ac:dyDescent="0.45">
      <c r="A33" s="655">
        <v>1723</v>
      </c>
      <c r="B33" s="1076">
        <v>1.1016444753224435</v>
      </c>
      <c r="C33" s="1076">
        <v>121.79691431120524</v>
      </c>
      <c r="D33" s="1076"/>
      <c r="E33" s="1076">
        <v>13.013757523645742</v>
      </c>
      <c r="F33" s="1077"/>
      <c r="G33" s="1078">
        <v>481.91754123042779</v>
      </c>
      <c r="H33" s="1078">
        <v>6.1599245472065673</v>
      </c>
      <c r="I33" s="1077"/>
      <c r="J33" s="1078">
        <f t="shared" si="1"/>
        <v>488.07746577763436</v>
      </c>
      <c r="K33" s="1079">
        <f t="shared" si="0"/>
        <v>623.98978208780784</v>
      </c>
      <c r="L33" s="258"/>
      <c r="M33" s="645"/>
    </row>
    <row r="34" spans="1:13" x14ac:dyDescent="0.45">
      <c r="A34" s="655">
        <v>1724</v>
      </c>
      <c r="B34" s="1076">
        <v>1.1053070527944984</v>
      </c>
      <c r="C34" s="1076">
        <v>122.49845312341606</v>
      </c>
      <c r="D34" s="1076"/>
      <c r="E34" s="1076">
        <v>13.0524505588994</v>
      </c>
      <c r="F34" s="1077"/>
      <c r="G34" s="1078">
        <v>485.44962506311947</v>
      </c>
      <c r="H34" s="1078">
        <v>6.4575906428930399</v>
      </c>
      <c r="I34" s="1077"/>
      <c r="J34" s="1078">
        <f t="shared" si="1"/>
        <v>491.90721570601249</v>
      </c>
      <c r="K34" s="1079">
        <f t="shared" si="0"/>
        <v>628.56342644112249</v>
      </c>
      <c r="L34" s="258"/>
      <c r="M34" s="645"/>
    </row>
    <row r="35" spans="1:13" x14ac:dyDescent="0.45">
      <c r="A35" s="655">
        <v>1725</v>
      </c>
      <c r="B35" s="1076">
        <v>1.1089696302665533</v>
      </c>
      <c r="C35" s="1076">
        <v>123.20137133663364</v>
      </c>
      <c r="D35" s="1076"/>
      <c r="E35" s="1076">
        <v>13.091143594153051</v>
      </c>
      <c r="F35" s="1077"/>
      <c r="G35" s="1078">
        <v>489.01866093275817</v>
      </c>
      <c r="H35" s="1078">
        <v>6.7576458719350629</v>
      </c>
      <c r="I35" s="1077"/>
      <c r="J35" s="1078">
        <f t="shared" si="1"/>
        <v>495.77630680469321</v>
      </c>
      <c r="K35" s="1079">
        <f t="shared" si="0"/>
        <v>633.17779136574643</v>
      </c>
      <c r="L35" s="258"/>
      <c r="M35" s="645"/>
    </row>
    <row r="36" spans="1:13" x14ac:dyDescent="0.45">
      <c r="A36" s="655">
        <v>1726</v>
      </c>
      <c r="B36" s="1076">
        <v>1.1126322077386086</v>
      </c>
      <c r="C36" s="1076">
        <v>123.90567370681556</v>
      </c>
      <c r="D36" s="1076"/>
      <c r="E36" s="1076">
        <v>13.129836629406705</v>
      </c>
      <c r="F36" s="1077"/>
      <c r="G36" s="1078">
        <v>492.86053241266529</v>
      </c>
      <c r="H36" s="1078">
        <v>7.0601328053585055</v>
      </c>
      <c r="I36" s="1077"/>
      <c r="J36" s="1078">
        <f t="shared" si="1"/>
        <v>499.92066521802377</v>
      </c>
      <c r="K36" s="1079">
        <f t="shared" si="0"/>
        <v>638.06880776198466</v>
      </c>
      <c r="L36" s="258"/>
      <c r="M36" s="645"/>
    </row>
    <row r="37" spans="1:13" x14ac:dyDescent="0.45">
      <c r="A37" s="655">
        <v>1727</v>
      </c>
      <c r="B37" s="1076">
        <v>1.1162947852106637</v>
      </c>
      <c r="C37" s="1076">
        <v>124.61136500819647</v>
      </c>
      <c r="D37" s="1076"/>
      <c r="E37" s="1076">
        <v>13.168529664660362</v>
      </c>
      <c r="F37" s="1077"/>
      <c r="G37" s="1078">
        <v>496.59809671413086</v>
      </c>
      <c r="H37" s="1078">
        <v>7.36509498854514</v>
      </c>
      <c r="I37" s="1077"/>
      <c r="J37" s="1078">
        <f t="shared" si="1"/>
        <v>503.963191702676</v>
      </c>
      <c r="K37" s="1079">
        <f t="shared" si="0"/>
        <v>642.85938116074351</v>
      </c>
      <c r="L37" s="258"/>
      <c r="M37" s="645"/>
    </row>
    <row r="38" spans="1:13" x14ac:dyDescent="0.45">
      <c r="A38" s="655">
        <v>1728</v>
      </c>
      <c r="B38" s="1076">
        <v>1.1199573626827184</v>
      </c>
      <c r="C38" s="1076">
        <v>125.31845003334971</v>
      </c>
      <c r="D38" s="1076"/>
      <c r="E38" s="1076">
        <v>13.207222699914013</v>
      </c>
      <c r="F38" s="1077"/>
      <c r="G38" s="1078">
        <v>499.56358930530433</v>
      </c>
      <c r="H38" s="1078">
        <v>7.6725769699833783</v>
      </c>
      <c r="I38" s="1077"/>
      <c r="J38" s="1078">
        <f t="shared" si="1"/>
        <v>507.2361662752877</v>
      </c>
      <c r="K38" s="1079">
        <f t="shared" si="0"/>
        <v>646.88179637123415</v>
      </c>
      <c r="L38" s="258"/>
      <c r="M38" s="645"/>
    </row>
    <row r="39" spans="1:13" x14ac:dyDescent="0.45">
      <c r="A39" s="655">
        <v>1729</v>
      </c>
      <c r="B39" s="1076">
        <v>1.123619940154774</v>
      </c>
      <c r="C39" s="1076">
        <v>126.02693359324954</v>
      </c>
      <c r="D39" s="1076"/>
      <c r="E39" s="1076">
        <v>13.245915735167671</v>
      </c>
      <c r="F39" s="1077"/>
      <c r="G39" s="1078">
        <v>502.23876855926318</v>
      </c>
      <c r="H39" s="1078">
        <v>7.9826243310657485</v>
      </c>
      <c r="I39" s="1077"/>
      <c r="J39" s="1078">
        <f t="shared" si="1"/>
        <v>510.2213928903289</v>
      </c>
      <c r="K39" s="1079">
        <f t="shared" si="0"/>
        <v>650.61786215890083</v>
      </c>
      <c r="L39" s="258"/>
      <c r="M39" s="645"/>
    </row>
    <row r="40" spans="1:13" x14ac:dyDescent="0.45">
      <c r="A40" s="655">
        <v>1730</v>
      </c>
      <c r="B40" s="1076">
        <v>1.1272825176268289</v>
      </c>
      <c r="C40" s="1076">
        <v>126.73682051733378</v>
      </c>
      <c r="D40" s="1076"/>
      <c r="E40" s="1076">
        <v>13.284608770421324</v>
      </c>
      <c r="F40" s="1077"/>
      <c r="G40" s="1078">
        <v>505.1508968221853</v>
      </c>
      <c r="H40" s="1078">
        <v>8.2952837169788278</v>
      </c>
      <c r="I40" s="1077"/>
      <c r="J40" s="1078">
        <f t="shared" si="1"/>
        <v>513.44618053916417</v>
      </c>
      <c r="K40" s="1079">
        <f t="shared" si="0"/>
        <v>654.594892344546</v>
      </c>
      <c r="L40" s="258"/>
      <c r="M40" s="645"/>
    </row>
    <row r="41" spans="1:13" x14ac:dyDescent="0.45">
      <c r="A41" s="655">
        <v>1731</v>
      </c>
      <c r="B41" s="1076">
        <v>1.130945095098884</v>
      </c>
      <c r="C41" s="1076">
        <v>127.44811565356601</v>
      </c>
      <c r="D41" s="1076"/>
      <c r="E41" s="1076">
        <v>13.323301805674976</v>
      </c>
      <c r="F41" s="1077"/>
      <c r="G41" s="1078">
        <v>508.6659704173573</v>
      </c>
      <c r="H41" s="1078">
        <v>8.6106028687339151</v>
      </c>
      <c r="I41" s="1077"/>
      <c r="J41" s="1078">
        <f t="shared" si="1"/>
        <v>517.27657328609121</v>
      </c>
      <c r="K41" s="1079">
        <f t="shared" si="0"/>
        <v>659.17893584043111</v>
      </c>
      <c r="L41" s="258"/>
      <c r="M41" s="645"/>
    </row>
    <row r="42" spans="1:13" x14ac:dyDescent="0.45">
      <c r="A42" s="655">
        <v>1732</v>
      </c>
      <c r="B42" s="1076">
        <v>1.1346076725709391</v>
      </c>
      <c r="C42" s="1076">
        <v>128.16082386849874</v>
      </c>
      <c r="D42" s="1076"/>
      <c r="E42" s="1076">
        <v>13.361994840928633</v>
      </c>
      <c r="F42" s="1077"/>
      <c r="G42" s="1078">
        <v>512.46385389504326</v>
      </c>
      <c r="H42" s="1078">
        <v>8.9286306563890534</v>
      </c>
      <c r="I42" s="1077"/>
      <c r="J42" s="1078">
        <f t="shared" si="1"/>
        <v>521.39248455143229</v>
      </c>
      <c r="K42" s="1079">
        <f t="shared" si="0"/>
        <v>664.04991093343062</v>
      </c>
      <c r="L42" s="258"/>
      <c r="M42" s="645"/>
    </row>
    <row r="43" spans="1:13" x14ac:dyDescent="0.45">
      <c r="A43" s="655">
        <v>1733</v>
      </c>
      <c r="B43" s="1076">
        <v>1.1382702500429942</v>
      </c>
      <c r="C43" s="1076">
        <v>128.87495004733597</v>
      </c>
      <c r="D43" s="1076"/>
      <c r="E43" s="1076">
        <v>13.400687876182285</v>
      </c>
      <c r="F43" s="1077"/>
      <c r="G43" s="1078">
        <v>516.33791655564289</v>
      </c>
      <c r="H43" s="1078">
        <v>9.2494171135158414</v>
      </c>
      <c r="I43" s="1077"/>
      <c r="J43" s="1078">
        <f t="shared" si="1"/>
        <v>525.58733366915874</v>
      </c>
      <c r="K43" s="1079">
        <f t="shared" si="0"/>
        <v>669.00124184271999</v>
      </c>
      <c r="L43" s="258"/>
      <c r="M43" s="645"/>
    </row>
    <row r="44" spans="1:13" x14ac:dyDescent="0.45">
      <c r="A44" s="655">
        <v>1734</v>
      </c>
      <c r="B44" s="1076">
        <v>1.1419328275150493</v>
      </c>
      <c r="C44" s="1076">
        <v>129.59049909399675</v>
      </c>
      <c r="D44" s="1076"/>
      <c r="E44" s="1076">
        <v>13.439380911435943</v>
      </c>
      <c r="F44" s="1077"/>
      <c r="G44" s="1078">
        <v>520.4944170932913</v>
      </c>
      <c r="H44" s="1078">
        <v>9.5730134729671068</v>
      </c>
      <c r="I44" s="1077"/>
      <c r="J44" s="1078">
        <f t="shared" si="1"/>
        <v>530.06743056625839</v>
      </c>
      <c r="K44" s="1079">
        <f t="shared" si="0"/>
        <v>674.23924339920609</v>
      </c>
      <c r="L44" s="258"/>
      <c r="M44" s="645"/>
    </row>
    <row r="45" spans="1:13" x14ac:dyDescent="0.45">
      <c r="A45" s="655">
        <v>1735</v>
      </c>
      <c r="B45" s="1076">
        <v>1.1455954049871042</v>
      </c>
      <c r="C45" s="1076">
        <v>130.30747593117817</v>
      </c>
      <c r="D45" s="1076"/>
      <c r="E45" s="1076">
        <v>13.478073946689594</v>
      </c>
      <c r="F45" s="1077"/>
      <c r="G45" s="1078">
        <v>524.61470111906795</v>
      </c>
      <c r="H45" s="1078">
        <v>9.8994722040047129</v>
      </c>
      <c r="I45" s="1077"/>
      <c r="J45" s="1078">
        <f t="shared" si="1"/>
        <v>534.51417332307267</v>
      </c>
      <c r="K45" s="1079">
        <f t="shared" si="0"/>
        <v>679.44531860592758</v>
      </c>
      <c r="L45" s="258"/>
      <c r="M45" s="645"/>
    </row>
    <row r="46" spans="1:13" x14ac:dyDescent="0.45">
      <c r="A46" s="655">
        <v>1736</v>
      </c>
      <c r="B46" s="1076">
        <v>1.1492579824591591</v>
      </c>
      <c r="C46" s="1076">
        <v>131.02588550041892</v>
      </c>
      <c r="D46" s="1076"/>
      <c r="E46" s="1076">
        <v>13.516766981943247</v>
      </c>
      <c r="F46" s="1077"/>
      <c r="G46" s="1078">
        <v>528.71787303862709</v>
      </c>
      <c r="H46" s="1078">
        <v>10.228847050849762</v>
      </c>
      <c r="I46" s="1077"/>
      <c r="J46" s="1078">
        <f t="shared" si="1"/>
        <v>538.9467200894768</v>
      </c>
      <c r="K46" s="1079">
        <f t="shared" si="0"/>
        <v>684.63863055429806</v>
      </c>
      <c r="L46" s="258"/>
      <c r="M46" s="645"/>
    </row>
    <row r="47" spans="1:13" x14ac:dyDescent="0.45">
      <c r="A47" s="655">
        <v>1737</v>
      </c>
      <c r="B47" s="1076">
        <v>1.1529205599312145</v>
      </c>
      <c r="C47" s="1076">
        <v>134.63489666980686</v>
      </c>
      <c r="D47" s="1076"/>
      <c r="E47" s="1076">
        <v>13.555460017196905</v>
      </c>
      <c r="F47" s="1077"/>
      <c r="G47" s="1078">
        <v>532.75754498280139</v>
      </c>
      <c r="H47" s="1078">
        <v>10.561193072720963</v>
      </c>
      <c r="I47" s="1077"/>
      <c r="J47" s="1078">
        <f t="shared" si="1"/>
        <v>543.31873805552232</v>
      </c>
      <c r="K47" s="1079">
        <f t="shared" si="0"/>
        <v>692.66201530245723</v>
      </c>
      <c r="L47" s="258"/>
      <c r="M47" s="645"/>
    </row>
    <row r="48" spans="1:13" x14ac:dyDescent="0.45">
      <c r="A48" s="655">
        <v>1738</v>
      </c>
      <c r="B48" s="1076">
        <v>1.1565831374032693</v>
      </c>
      <c r="C48" s="1076">
        <v>138.25090875491705</v>
      </c>
      <c r="D48" s="1076"/>
      <c r="E48" s="1076">
        <v>13.594153052450558</v>
      </c>
      <c r="F48" s="1077"/>
      <c r="G48" s="1078">
        <v>536.75285885540552</v>
      </c>
      <c r="H48" s="1078">
        <v>10.896566685430473</v>
      </c>
      <c r="I48" s="1077"/>
      <c r="J48" s="1078">
        <f t="shared" si="1"/>
        <v>547.64942554083598</v>
      </c>
      <c r="K48" s="1079">
        <f t="shared" si="0"/>
        <v>700.65107048560685</v>
      </c>
      <c r="L48" s="258"/>
      <c r="M48" s="645"/>
    </row>
    <row r="49" spans="1:13" x14ac:dyDescent="0.45">
      <c r="A49" s="655">
        <v>1739</v>
      </c>
      <c r="B49" s="1076">
        <v>1.1602457148753249</v>
      </c>
      <c r="C49" s="1076">
        <v>141.87394663654777</v>
      </c>
      <c r="D49" s="1076"/>
      <c r="E49" s="1076">
        <v>13.632846087704214</v>
      </c>
      <c r="F49" s="1077"/>
      <c r="G49" s="1078">
        <v>540.87224430025742</v>
      </c>
      <c r="H49" s="1078">
        <v>11.235025704610345</v>
      </c>
      <c r="I49" s="1077"/>
      <c r="J49" s="1078">
        <f t="shared" si="1"/>
        <v>552.10727000486781</v>
      </c>
      <c r="K49" s="1079">
        <f t="shared" si="0"/>
        <v>708.77430844399521</v>
      </c>
      <c r="L49" s="258"/>
      <c r="M49" s="645"/>
    </row>
    <row r="50" spans="1:13" x14ac:dyDescent="0.45">
      <c r="A50" s="655">
        <v>1740</v>
      </c>
      <c r="B50" s="1076">
        <v>1.1639082923473798</v>
      </c>
      <c r="C50" s="1076">
        <v>145.504035295075</v>
      </c>
      <c r="D50" s="1076"/>
      <c r="E50" s="1076">
        <v>13.671539122957865</v>
      </c>
      <c r="F50" s="1077"/>
      <c r="G50" s="1078">
        <v>544.97583703597093</v>
      </c>
      <c r="H50" s="1078">
        <v>11.576629390646742</v>
      </c>
      <c r="I50" s="1077"/>
      <c r="J50" s="1078">
        <f t="shared" si="1"/>
        <v>556.55246642661768</v>
      </c>
      <c r="K50" s="1079">
        <f t="shared" si="0"/>
        <v>716.89194913699794</v>
      </c>
      <c r="L50" s="258"/>
      <c r="M50" s="645"/>
    </row>
    <row r="51" spans="1:13" x14ac:dyDescent="0.45">
      <c r="A51" s="655">
        <v>1741</v>
      </c>
      <c r="B51" s="1076">
        <v>1.1675708698194347</v>
      </c>
      <c r="C51" s="1076">
        <v>149.1411998107987</v>
      </c>
      <c r="D51" s="1076"/>
      <c r="E51" s="1076">
        <v>13.71023215821152</v>
      </c>
      <c r="F51" s="1077"/>
      <c r="G51" s="1078">
        <v>548.95215619026601</v>
      </c>
      <c r="H51" s="1078">
        <v>11.921438495403526</v>
      </c>
      <c r="I51" s="1077"/>
      <c r="J51" s="1078">
        <f t="shared" si="1"/>
        <v>560.87359468566956</v>
      </c>
      <c r="K51" s="1079">
        <f t="shared" si="0"/>
        <v>724.89259752449925</v>
      </c>
      <c r="L51" s="258"/>
      <c r="M51" s="645"/>
    </row>
    <row r="52" spans="1:13" x14ac:dyDescent="0.45">
      <c r="A52" s="655">
        <v>1742</v>
      </c>
      <c r="B52" s="1076">
        <v>1.1712334472914896</v>
      </c>
      <c r="C52" s="1076">
        <v>152.78546536429022</v>
      </c>
      <c r="D52" s="1076"/>
      <c r="E52" s="1076">
        <v>13.748925193465176</v>
      </c>
      <c r="F52" s="1077"/>
      <c r="G52" s="1078">
        <v>552.298913811582</v>
      </c>
      <c r="H52" s="1078">
        <v>12.269515310821253</v>
      </c>
      <c r="I52" s="1077"/>
      <c r="J52" s="1078">
        <f t="shared" si="1"/>
        <v>564.56842912240324</v>
      </c>
      <c r="K52" s="1079">
        <f t="shared" si="0"/>
        <v>732.27405312745009</v>
      </c>
      <c r="L52" s="258"/>
      <c r="M52" s="645"/>
    </row>
    <row r="53" spans="1:13" x14ac:dyDescent="0.45">
      <c r="A53" s="655">
        <v>1743</v>
      </c>
      <c r="B53" s="1076">
        <v>1.1748960247635449</v>
      </c>
      <c r="C53" s="1076">
        <v>156.43685723674076</v>
      </c>
      <c r="D53" s="1076"/>
      <c r="E53" s="1076">
        <v>13.787618228718829</v>
      </c>
      <c r="F53" s="1077"/>
      <c r="G53" s="1078">
        <v>556.19970893681364</v>
      </c>
      <c r="H53" s="1078">
        <v>12.62092371948269</v>
      </c>
      <c r="I53" s="1077"/>
      <c r="J53" s="1078">
        <f t="shared" si="1"/>
        <v>568.82063265629631</v>
      </c>
      <c r="K53" s="1079">
        <f t="shared" si="0"/>
        <v>740.2200041465195</v>
      </c>
      <c r="L53" s="258"/>
      <c r="M53" s="645"/>
    </row>
    <row r="54" spans="1:13" x14ac:dyDescent="0.45">
      <c r="A54" s="655">
        <v>1744</v>
      </c>
      <c r="B54" s="1076">
        <v>1.1785586022355998</v>
      </c>
      <c r="C54" s="1076">
        <v>160.09540081031076</v>
      </c>
      <c r="D54" s="1076"/>
      <c r="E54" s="1076">
        <v>13.826311263972483</v>
      </c>
      <c r="F54" s="1077"/>
      <c r="G54" s="1078">
        <v>560.50484391542795</v>
      </c>
      <c r="H54" s="1078">
        <v>12.975729247241082</v>
      </c>
      <c r="I54" s="1077"/>
      <c r="J54" s="1078">
        <f t="shared" si="1"/>
        <v>573.48057316266909</v>
      </c>
      <c r="K54" s="1079">
        <f t="shared" si="0"/>
        <v>748.58084383918799</v>
      </c>
      <c r="L54" s="258"/>
      <c r="M54" s="645"/>
    </row>
    <row r="55" spans="1:13" x14ac:dyDescent="0.45">
      <c r="A55" s="655">
        <v>1745</v>
      </c>
      <c r="B55" s="1076">
        <v>1.1822211797076549</v>
      </c>
      <c r="C55" s="1076">
        <v>163.76112156848049</v>
      </c>
      <c r="D55" s="1076"/>
      <c r="E55" s="1076">
        <v>13.86500429922614</v>
      </c>
      <c r="F55" s="1077"/>
      <c r="G55" s="1078">
        <v>565.01861260572093</v>
      </c>
      <c r="H55" s="1078">
        <v>13.33399911801313</v>
      </c>
      <c r="I55" s="1077"/>
      <c r="J55" s="1078">
        <f t="shared" si="1"/>
        <v>578.35261172373407</v>
      </c>
      <c r="K55" s="1079">
        <f t="shared" si="0"/>
        <v>757.16095877114833</v>
      </c>
      <c r="L55" s="258"/>
      <c r="M55" s="645"/>
    </row>
    <row r="56" spans="1:13" x14ac:dyDescent="0.45">
      <c r="A56" s="655">
        <v>1746</v>
      </c>
      <c r="B56" s="1076">
        <v>1.1858837571797103</v>
      </c>
      <c r="C56" s="1076">
        <v>167.43404509640155</v>
      </c>
      <c r="D56" s="1076"/>
      <c r="E56" s="1076">
        <v>13.903697334479791</v>
      </c>
      <c r="F56" s="1077"/>
      <c r="G56" s="1078">
        <v>569.35090626087151</v>
      </c>
      <c r="H56" s="1078">
        <v>13.695802310844359</v>
      </c>
      <c r="I56" s="1077"/>
      <c r="J56" s="1078">
        <f t="shared" si="1"/>
        <v>583.04670857171584</v>
      </c>
      <c r="K56" s="1079">
        <f t="shared" si="0"/>
        <v>765.57033475977687</v>
      </c>
      <c r="L56" s="258"/>
      <c r="M56" s="645"/>
    </row>
    <row r="57" spans="1:13" x14ac:dyDescent="0.45">
      <c r="A57" s="655">
        <v>1747</v>
      </c>
      <c r="B57" s="1076">
        <v>1.1895463346517654</v>
      </c>
      <c r="C57" s="1076">
        <v>171.11419708124984</v>
      </c>
      <c r="D57" s="1076"/>
      <c r="E57" s="1076">
        <v>13.942390369733447</v>
      </c>
      <c r="F57" s="1077"/>
      <c r="G57" s="1078">
        <v>573.63236324862373</v>
      </c>
      <c r="H57" s="1078">
        <v>14.061209619361266</v>
      </c>
      <c r="I57" s="1077"/>
      <c r="J57" s="1078">
        <f t="shared" si="1"/>
        <v>587.69357286798504</v>
      </c>
      <c r="K57" s="1079">
        <f t="shared" si="0"/>
        <v>773.93970665361996</v>
      </c>
      <c r="L57" s="258"/>
      <c r="M57" s="645"/>
    </row>
    <row r="58" spans="1:13" x14ac:dyDescent="0.45">
      <c r="A58" s="655">
        <v>1748</v>
      </c>
      <c r="B58" s="1076">
        <v>1.1932089121238203</v>
      </c>
      <c r="C58" s="1076">
        <v>174.8016033125792</v>
      </c>
      <c r="D58" s="1076"/>
      <c r="E58" s="1076">
        <v>13.981083404987102</v>
      </c>
      <c r="F58" s="1077"/>
      <c r="G58" s="1078">
        <v>577.83562201691166</v>
      </c>
      <c r="H58" s="1078">
        <v>14.430293713731141</v>
      </c>
      <c r="I58" s="1077"/>
      <c r="J58" s="1078">
        <f t="shared" si="1"/>
        <v>592.26591573064275</v>
      </c>
      <c r="K58" s="1079">
        <f t="shared" si="0"/>
        <v>782.24181136033292</v>
      </c>
      <c r="L58" s="258"/>
      <c r="M58" s="645"/>
    </row>
    <row r="59" spans="1:13" x14ac:dyDescent="0.45">
      <c r="A59" s="655">
        <v>1749</v>
      </c>
      <c r="B59" s="1076">
        <v>1.1968714895958752</v>
      </c>
      <c r="C59" s="1076">
        <v>178.49628968267615</v>
      </c>
      <c r="D59" s="1076"/>
      <c r="E59" s="1076">
        <v>14.019776440240756</v>
      </c>
      <c r="F59" s="1077"/>
      <c r="G59" s="1078">
        <v>582.28545986341544</v>
      </c>
      <c r="H59" s="1078">
        <v>14.803129205257955</v>
      </c>
      <c r="I59" s="1077"/>
      <c r="J59" s="1078">
        <f t="shared" si="1"/>
        <v>597.0885890686734</v>
      </c>
      <c r="K59" s="1079">
        <f t="shared" si="0"/>
        <v>790.80152668118626</v>
      </c>
      <c r="L59" s="258"/>
      <c r="M59" s="645"/>
    </row>
    <row r="60" spans="1:13" x14ac:dyDescent="0.45">
      <c r="A60" s="655">
        <v>1750</v>
      </c>
      <c r="B60" s="1076">
        <v>1.2005340670679305</v>
      </c>
      <c r="C60" s="1076">
        <v>182.19828218691617</v>
      </c>
      <c r="D60" s="1076"/>
      <c r="E60" s="1076">
        <v>14.058469475494411</v>
      </c>
      <c r="F60" s="1077"/>
      <c r="G60" s="1078">
        <v>586.78726277006933</v>
      </c>
      <c r="H60" s="1078">
        <v>15.179792713750363</v>
      </c>
      <c r="I60" s="1077"/>
      <c r="J60" s="1078">
        <f t="shared" si="1"/>
        <v>601.96705548381965</v>
      </c>
      <c r="K60" s="1079">
        <f t="shared" si="0"/>
        <v>799.42434121329813</v>
      </c>
      <c r="L60" s="258"/>
      <c r="M60" s="645"/>
    </row>
    <row r="61" spans="1:13" x14ac:dyDescent="0.45">
      <c r="A61" s="655">
        <v>1751</v>
      </c>
      <c r="B61" s="1076">
        <v>1.2041966445399857</v>
      </c>
      <c r="C61" s="1076">
        <v>185.90760692412064</v>
      </c>
      <c r="D61" s="1076"/>
      <c r="E61" s="1076">
        <v>14.097162510748063</v>
      </c>
      <c r="F61" s="1077"/>
      <c r="G61" s="1078">
        <v>590.9032934811114</v>
      </c>
      <c r="H61" s="1078">
        <v>15.560362937806419</v>
      </c>
      <c r="I61" s="1077"/>
      <c r="J61" s="1078">
        <f t="shared" si="1"/>
        <v>606.46365641891782</v>
      </c>
      <c r="K61" s="1079">
        <f t="shared" si="0"/>
        <v>807.6726224983264</v>
      </c>
      <c r="L61" s="258"/>
      <c r="M61" s="645"/>
    </row>
    <row r="62" spans="1:13" x14ac:dyDescent="0.45">
      <c r="A62" s="655">
        <v>1752</v>
      </c>
      <c r="B62" s="1076">
        <v>1.2078592220120405</v>
      </c>
      <c r="C62" s="1076">
        <v>189.62429009691479</v>
      </c>
      <c r="D62" s="1076"/>
      <c r="E62" s="1076">
        <v>14.13585554600172</v>
      </c>
      <c r="F62" s="1077"/>
      <c r="G62" s="1078">
        <v>595.05710599127508</v>
      </c>
      <c r="H62" s="1078">
        <v>15.944920728168201</v>
      </c>
      <c r="I62" s="1077"/>
      <c r="J62" s="1078">
        <f t="shared" si="1"/>
        <v>611.00202671944328</v>
      </c>
      <c r="K62" s="1079">
        <f t="shared" si="0"/>
        <v>815.9700315843719</v>
      </c>
      <c r="L62" s="258"/>
      <c r="M62" s="645"/>
    </row>
    <row r="63" spans="1:13" x14ac:dyDescent="0.45">
      <c r="A63" s="655">
        <v>1753</v>
      </c>
      <c r="B63" s="1076">
        <v>1.2115217994840957</v>
      </c>
      <c r="C63" s="1076">
        <v>193.3483580120872</v>
      </c>
      <c r="D63" s="1076"/>
      <c r="E63" s="1076">
        <v>14.174548581255372</v>
      </c>
      <c r="F63" s="1077"/>
      <c r="G63" s="1078">
        <v>599.29831003948016</v>
      </c>
      <c r="H63" s="1078">
        <v>16.333549164309652</v>
      </c>
      <c r="I63" s="1077"/>
      <c r="J63" s="1078">
        <f t="shared" si="1"/>
        <v>615.63185920378976</v>
      </c>
      <c r="K63" s="1079">
        <f t="shared" si="0"/>
        <v>824.36628759661642</v>
      </c>
      <c r="L63" s="258"/>
      <c r="M63" s="645"/>
    </row>
    <row r="64" spans="1:13" x14ac:dyDescent="0.45">
      <c r="A64" s="655">
        <v>1754</v>
      </c>
      <c r="B64" s="1076">
        <v>1.2151843769561508</v>
      </c>
      <c r="C64" s="1076">
        <v>197.07983708095011</v>
      </c>
      <c r="D64" s="1076"/>
      <c r="E64" s="1076">
        <v>14.213241616509027</v>
      </c>
      <c r="F64" s="1077"/>
      <c r="G64" s="1078">
        <v>603.5625017802148</v>
      </c>
      <c r="H64" s="1078">
        <v>16.726333634430706</v>
      </c>
      <c r="I64" s="1077"/>
      <c r="J64" s="1078">
        <f t="shared" si="1"/>
        <v>620.28883541464552</v>
      </c>
      <c r="K64" s="1079">
        <f t="shared" si="0"/>
        <v>832.79709848906077</v>
      </c>
      <c r="L64" s="258"/>
      <c r="M64" s="645"/>
    </row>
    <row r="65" spans="1:13" x14ac:dyDescent="0.45">
      <c r="A65" s="655">
        <v>1755</v>
      </c>
      <c r="B65" s="1076">
        <v>1.2188469544282059</v>
      </c>
      <c r="C65" s="1076">
        <v>200.81875381970087</v>
      </c>
      <c r="D65" s="1076"/>
      <c r="E65" s="1076">
        <v>14.251934651762683</v>
      </c>
      <c r="F65" s="1077"/>
      <c r="G65" s="1078">
        <v>607.85001869148334</v>
      </c>
      <c r="H65" s="1078">
        <v>17.123361919042296</v>
      </c>
      <c r="I65" s="1077"/>
      <c r="J65" s="1078">
        <f t="shared" si="1"/>
        <v>624.97338061052562</v>
      </c>
      <c r="K65" s="1079">
        <f t="shared" si="0"/>
        <v>841.26291603641732</v>
      </c>
      <c r="L65" s="258"/>
      <c r="M65" s="645"/>
    </row>
    <row r="66" spans="1:13" x14ac:dyDescent="0.45">
      <c r="A66" s="655">
        <v>1756</v>
      </c>
      <c r="B66" s="1076">
        <v>1.222509531900261</v>
      </c>
      <c r="C66" s="1076">
        <v>204.56513484978436</v>
      </c>
      <c r="D66" s="1076"/>
      <c r="E66" s="1076">
        <v>14.290627687016334</v>
      </c>
      <c r="F66" s="1077"/>
      <c r="G66" s="1078">
        <v>612.23447791129286</v>
      </c>
      <c r="H66" s="1078">
        <v>17.524724278338336</v>
      </c>
      <c r="I66" s="1077"/>
      <c r="J66" s="1078">
        <f t="shared" si="1"/>
        <v>629.7592021896312</v>
      </c>
      <c r="K66" s="1079">
        <f t="shared" si="0"/>
        <v>849.83747425833224</v>
      </c>
      <c r="L66" s="258"/>
      <c r="M66" s="645"/>
    </row>
    <row r="67" spans="1:13" x14ac:dyDescent="0.45">
      <c r="A67" s="655">
        <v>1757</v>
      </c>
      <c r="B67" s="1076">
        <v>1.2261721093723157</v>
      </c>
      <c r="C67" s="1076">
        <v>208.31900689825693</v>
      </c>
      <c r="D67" s="1076"/>
      <c r="E67" s="1076">
        <v>14.329320722269991</v>
      </c>
      <c r="F67" s="1077"/>
      <c r="G67" s="1078">
        <v>616.45067663109569</v>
      </c>
      <c r="H67" s="1078">
        <v>17.93051354356394</v>
      </c>
      <c r="I67" s="1077"/>
      <c r="J67" s="1078">
        <f t="shared" si="1"/>
        <v>634.38119017465965</v>
      </c>
      <c r="K67" s="1079">
        <f t="shared" si="0"/>
        <v>858.25568990455895</v>
      </c>
      <c r="L67" s="258"/>
      <c r="M67" s="645"/>
    </row>
    <row r="68" spans="1:13" x14ac:dyDescent="0.45">
      <c r="A68" s="655">
        <v>1758</v>
      </c>
      <c r="B68" s="1076">
        <v>1.229834686844371</v>
      </c>
      <c r="C68" s="1076">
        <v>212.08039679815104</v>
      </c>
      <c r="D68" s="1076"/>
      <c r="E68" s="1076">
        <v>14.368013757523645</v>
      </c>
      <c r="F68" s="1077"/>
      <c r="G68" s="1078">
        <v>620.60955741563703</v>
      </c>
      <c r="H68" s="1078">
        <v>18.340825212602486</v>
      </c>
      <c r="I68" s="1077"/>
      <c r="J68" s="1078">
        <f t="shared" si="1"/>
        <v>638.95038262823948</v>
      </c>
      <c r="K68" s="1079">
        <f t="shared" si="0"/>
        <v>866.62862787075846</v>
      </c>
      <c r="L68" s="258"/>
      <c r="M68" s="645"/>
    </row>
    <row r="69" spans="1:13" x14ac:dyDescent="0.45">
      <c r="A69" s="655">
        <v>1759</v>
      </c>
      <c r="B69" s="1076">
        <v>1.2334972643164259</v>
      </c>
      <c r="C69" s="1076">
        <v>215.84933148884105</v>
      </c>
      <c r="D69" s="1076"/>
      <c r="E69" s="1076">
        <v>14.406706792777298</v>
      </c>
      <c r="F69" s="1077"/>
      <c r="G69" s="1078">
        <v>624.85764945004917</v>
      </c>
      <c r="H69" s="1078">
        <v>18.755757550019428</v>
      </c>
      <c r="I69" s="1077"/>
      <c r="J69" s="1078">
        <f t="shared" si="1"/>
        <v>643.61340700006861</v>
      </c>
      <c r="K69" s="1079">
        <f t="shared" si="0"/>
        <v>875.10294254600331</v>
      </c>
      <c r="L69" s="258"/>
      <c r="M69" s="645"/>
    </row>
    <row r="70" spans="1:13" x14ac:dyDescent="0.45">
      <c r="A70" s="655">
        <v>1760</v>
      </c>
      <c r="B70" s="1076">
        <v>1.2371598417884813</v>
      </c>
      <c r="C70" s="1076">
        <v>219.62583801640827</v>
      </c>
      <c r="D70" s="1076"/>
      <c r="E70" s="1076">
        <v>14.445399828030954</v>
      </c>
      <c r="F70" s="1077"/>
      <c r="G70" s="1078">
        <v>629.12128898689036</v>
      </c>
      <c r="H70" s="1078">
        <v>19.175411691816151</v>
      </c>
      <c r="I70" s="1077"/>
      <c r="J70" s="1078">
        <f t="shared" si="1"/>
        <v>648.29670067870654</v>
      </c>
      <c r="K70" s="1079">
        <f t="shared" si="0"/>
        <v>883.60509836493429</v>
      </c>
      <c r="L70" s="258"/>
      <c r="M70" s="645"/>
    </row>
    <row r="71" spans="1:13" x14ac:dyDescent="0.45">
      <c r="A71" s="655">
        <v>1761</v>
      </c>
      <c r="B71" s="1076">
        <v>1.2408224192605364</v>
      </c>
      <c r="C71" s="1076">
        <v>222.75452318386078</v>
      </c>
      <c r="D71" s="1076"/>
      <c r="E71" s="1076">
        <v>14.70335339638865</v>
      </c>
      <c r="F71" s="1077"/>
      <c r="G71" s="1078">
        <v>633.46849767429353</v>
      </c>
      <c r="H71" s="1078">
        <v>19.599891755165057</v>
      </c>
      <c r="I71" s="1077"/>
      <c r="J71" s="1078">
        <f t="shared" si="1"/>
        <v>653.06838942945853</v>
      </c>
      <c r="K71" s="1079">
        <f t="shared" si="0"/>
        <v>891.76708842896858</v>
      </c>
      <c r="L71" s="258"/>
      <c r="M71" s="645"/>
    </row>
    <row r="72" spans="1:13" x14ac:dyDescent="0.45">
      <c r="A72" s="655">
        <v>1762</v>
      </c>
      <c r="B72" s="1076">
        <v>1.2444849967325913</v>
      </c>
      <c r="C72" s="1076">
        <v>225.86871945562575</v>
      </c>
      <c r="D72" s="1076"/>
      <c r="E72" s="1076">
        <v>14.961306964746344</v>
      </c>
      <c r="F72" s="1077"/>
      <c r="G72" s="1078">
        <v>637.67796722975902</v>
      </c>
      <c r="H72" s="1078">
        <v>20.029304953414997</v>
      </c>
      <c r="I72" s="1077"/>
      <c r="J72" s="1078">
        <f t="shared" si="1"/>
        <v>657.70727218317404</v>
      </c>
      <c r="K72" s="1079">
        <f t="shared" si="0"/>
        <v>899.78178360027869</v>
      </c>
      <c r="L72" s="258"/>
      <c r="M72" s="645"/>
    </row>
    <row r="73" spans="1:13" x14ac:dyDescent="0.45">
      <c r="A73" s="655">
        <v>1763</v>
      </c>
      <c r="B73" s="1076">
        <v>1.2481475742046466</v>
      </c>
      <c r="C73" s="1076">
        <v>228.96839658067861</v>
      </c>
      <c r="D73" s="1076"/>
      <c r="E73" s="1076">
        <v>15.219260533104039</v>
      </c>
      <c r="F73" s="1077"/>
      <c r="G73" s="1078">
        <v>641.59167025204567</v>
      </c>
      <c r="H73" s="1078">
        <v>20.463761716676853</v>
      </c>
      <c r="I73" s="1077"/>
      <c r="J73" s="1078">
        <f t="shared" si="1"/>
        <v>662.05543196872247</v>
      </c>
      <c r="K73" s="1079">
        <f t="shared" si="0"/>
        <v>907.4912366567097</v>
      </c>
      <c r="L73" s="258"/>
      <c r="M73" s="645"/>
    </row>
    <row r="74" spans="1:13" x14ac:dyDescent="0.45">
      <c r="A74" s="655">
        <v>1764</v>
      </c>
      <c r="B74" s="1076">
        <v>1.2518101516767017</v>
      </c>
      <c r="C74" s="1076">
        <v>232.05352432915751</v>
      </c>
      <c r="D74" s="1076"/>
      <c r="E74" s="1076">
        <v>15.477214101461737</v>
      </c>
      <c r="F74" s="1077"/>
      <c r="G74" s="1078">
        <v>645.93482175433178</v>
      </c>
      <c r="H74" s="1078">
        <v>20.903375818320349</v>
      </c>
      <c r="I74" s="1077"/>
      <c r="J74" s="1078">
        <f t="shared" si="1"/>
        <v>666.83819757265212</v>
      </c>
      <c r="K74" s="1079">
        <f t="shared" ref="K74:K137" si="2">J74+E74+C74+B74</f>
        <v>915.62074615494816</v>
      </c>
      <c r="L74" s="258"/>
      <c r="M74" s="645"/>
    </row>
    <row r="75" spans="1:13" x14ac:dyDescent="0.45">
      <c r="A75" s="655">
        <v>1765</v>
      </c>
      <c r="B75" s="1076">
        <v>1.2554727291487566</v>
      </c>
      <c r="C75" s="1076">
        <v>235.12407249268142</v>
      </c>
      <c r="D75" s="1076"/>
      <c r="E75" s="1076">
        <v>15.735167669819431</v>
      </c>
      <c r="F75" s="1077"/>
      <c r="G75" s="1078">
        <v>650.47201433339205</v>
      </c>
      <c r="H75" s="1078">
        <v>21.348264507736953</v>
      </c>
      <c r="I75" s="1077"/>
      <c r="J75" s="1078">
        <f t="shared" ref="J75:J138" si="3">G75+H75</f>
        <v>671.82027884112904</v>
      </c>
      <c r="K75" s="1079">
        <f t="shared" si="2"/>
        <v>923.93499173277871</v>
      </c>
      <c r="L75" s="258"/>
      <c r="M75" s="645"/>
    </row>
    <row r="76" spans="1:13" x14ac:dyDescent="0.45">
      <c r="A76" s="655">
        <v>1766</v>
      </c>
      <c r="B76" s="1076">
        <v>1.2591353066208117</v>
      </c>
      <c r="C76" s="1076">
        <v>238.18001088466943</v>
      </c>
      <c r="D76" s="1076"/>
      <c r="E76" s="1076">
        <v>15.993121238177126</v>
      </c>
      <c r="F76" s="1077"/>
      <c r="G76" s="1078">
        <v>654.86667007741846</v>
      </c>
      <c r="H76" s="1078">
        <v>22.534820749833894</v>
      </c>
      <c r="I76" s="1077"/>
      <c r="J76" s="1078">
        <f t="shared" si="3"/>
        <v>677.40149082725236</v>
      </c>
      <c r="K76" s="1079">
        <f t="shared" si="2"/>
        <v>932.83375825671965</v>
      </c>
      <c r="L76" s="258"/>
      <c r="M76" s="645"/>
    </row>
    <row r="77" spans="1:13" x14ac:dyDescent="0.45">
      <c r="A77" s="655">
        <v>1767</v>
      </c>
      <c r="B77" s="1076">
        <v>1.2627978840928669</v>
      </c>
      <c r="C77" s="1076">
        <v>241.22130934066124</v>
      </c>
      <c r="D77" s="1076"/>
      <c r="E77" s="1076">
        <v>16.251074806534824</v>
      </c>
      <c r="F77" s="1077"/>
      <c r="G77" s="1078">
        <v>659.18300519872332</v>
      </c>
      <c r="H77" s="1078">
        <v>23.815494808471676</v>
      </c>
      <c r="I77" s="1077"/>
      <c r="J77" s="1078">
        <f t="shared" si="3"/>
        <v>682.99850000719505</v>
      </c>
      <c r="K77" s="1079">
        <f t="shared" si="2"/>
        <v>941.73368203848395</v>
      </c>
      <c r="L77" s="258"/>
      <c r="M77" s="645"/>
    </row>
    <row r="78" spans="1:13" x14ac:dyDescent="0.45">
      <c r="A78" s="655">
        <v>1768</v>
      </c>
      <c r="B78" s="1076">
        <v>1.2664604615649218</v>
      </c>
      <c r="C78" s="1076">
        <v>244.2479377186398</v>
      </c>
      <c r="D78" s="1076"/>
      <c r="E78" s="1076">
        <v>16.50902837489252</v>
      </c>
      <c r="F78" s="1077"/>
      <c r="G78" s="1078">
        <v>663.5450715506239</v>
      </c>
      <c r="H78" s="1078">
        <v>25.202714576060828</v>
      </c>
      <c r="I78" s="1077"/>
      <c r="J78" s="1078">
        <f t="shared" si="3"/>
        <v>688.74778612668479</v>
      </c>
      <c r="K78" s="1079">
        <f t="shared" si="2"/>
        <v>950.77121268178212</v>
      </c>
      <c r="L78" s="258"/>
      <c r="M78" s="645"/>
    </row>
    <row r="79" spans="1:13" x14ac:dyDescent="0.45">
      <c r="A79" s="655">
        <v>1769</v>
      </c>
      <c r="B79" s="1076">
        <v>1.2701230390369767</v>
      </c>
      <c r="C79" s="1076">
        <v>247.2598658993542</v>
      </c>
      <c r="D79" s="1076"/>
      <c r="E79" s="1076">
        <v>16.766981943250215</v>
      </c>
      <c r="F79" s="1077"/>
      <c r="G79" s="1078">
        <v>668.16132254615513</v>
      </c>
      <c r="H79" s="1078">
        <v>26.711274279107773</v>
      </c>
      <c r="I79" s="1077"/>
      <c r="J79" s="1078">
        <f t="shared" si="3"/>
        <v>694.87259682526292</v>
      </c>
      <c r="K79" s="1079">
        <f t="shared" si="2"/>
        <v>960.16956770690433</v>
      </c>
      <c r="L79" s="258"/>
      <c r="M79" s="645"/>
    </row>
    <row r="80" spans="1:13" x14ac:dyDescent="0.45">
      <c r="A80" s="655">
        <v>1770</v>
      </c>
      <c r="B80" s="1076">
        <v>1.273785616509032</v>
      </c>
      <c r="C80" s="1076">
        <v>250.25706378664452</v>
      </c>
      <c r="D80" s="1076"/>
      <c r="E80" s="1076">
        <v>17.024935511607911</v>
      </c>
      <c r="F80" s="1077"/>
      <c r="G80" s="1078">
        <v>672.83893709376366</v>
      </c>
      <c r="H80" s="1078">
        <v>28.358939267811405</v>
      </c>
      <c r="I80" s="1077"/>
      <c r="J80" s="1078">
        <f t="shared" si="3"/>
        <v>701.19787636157503</v>
      </c>
      <c r="K80" s="1079">
        <f t="shared" si="2"/>
        <v>969.75366127633652</v>
      </c>
      <c r="L80" s="258"/>
      <c r="M80" s="645"/>
    </row>
    <row r="81" spans="1:13" x14ac:dyDescent="0.45">
      <c r="A81" s="655">
        <v>1771</v>
      </c>
      <c r="B81" s="1076">
        <v>1.2774481939810871</v>
      </c>
      <c r="C81" s="1076">
        <v>253.23950130776791</v>
      </c>
      <c r="D81" s="1076"/>
      <c r="E81" s="1076">
        <v>17.282889079965607</v>
      </c>
      <c r="F81" s="1077"/>
      <c r="G81" s="1078">
        <v>677.51771511602954</v>
      </c>
      <c r="H81" s="1078">
        <v>30.167249062303974</v>
      </c>
      <c r="I81" s="1077"/>
      <c r="J81" s="1078">
        <f t="shared" si="3"/>
        <v>707.68496417833353</v>
      </c>
      <c r="K81" s="1079">
        <f t="shared" si="2"/>
        <v>979.48480276004807</v>
      </c>
      <c r="L81" s="258"/>
      <c r="M81" s="645"/>
    </row>
    <row r="82" spans="1:13" x14ac:dyDescent="0.45">
      <c r="A82" s="655">
        <v>1772</v>
      </c>
      <c r="B82" s="1076">
        <v>1.2811107714531422</v>
      </c>
      <c r="C82" s="1076">
        <v>256.20714841372626</v>
      </c>
      <c r="D82" s="1076"/>
      <c r="E82" s="1076">
        <v>17.540842648323299</v>
      </c>
      <c r="F82" s="1077"/>
      <c r="G82" s="1078">
        <v>682.30111781208439</v>
      </c>
      <c r="H82" s="1078">
        <v>32.162599540489424</v>
      </c>
      <c r="I82" s="1077"/>
      <c r="J82" s="1078">
        <f t="shared" si="3"/>
        <v>714.46371735257378</v>
      </c>
      <c r="K82" s="1079">
        <f t="shared" si="2"/>
        <v>989.49281918607642</v>
      </c>
      <c r="L82" s="258"/>
      <c r="M82" s="645"/>
    </row>
    <row r="83" spans="1:13" x14ac:dyDescent="0.45">
      <c r="A83" s="655">
        <v>1773</v>
      </c>
      <c r="B83" s="1076">
        <v>1.2847733489251971</v>
      </c>
      <c r="C83" s="1076">
        <v>259.15997507959435</v>
      </c>
      <c r="D83" s="1076"/>
      <c r="E83" s="1076">
        <v>17.798796216680994</v>
      </c>
      <c r="F83" s="1077"/>
      <c r="G83" s="1078">
        <v>687.13742239358157</v>
      </c>
      <c r="H83" s="1078">
        <v>34.377725395655332</v>
      </c>
      <c r="I83" s="1077"/>
      <c r="J83" s="1078">
        <f t="shared" si="3"/>
        <v>721.51514778923695</v>
      </c>
      <c r="K83" s="1079">
        <f t="shared" si="2"/>
        <v>999.75869243443753</v>
      </c>
      <c r="L83" s="258"/>
      <c r="M83" s="645"/>
    </row>
    <row r="84" spans="1:13" x14ac:dyDescent="0.45">
      <c r="A84" s="655">
        <v>1774</v>
      </c>
      <c r="B84" s="1076">
        <v>1.2884359263972522</v>
      </c>
      <c r="C84" s="1076">
        <v>262.09795130485094</v>
      </c>
      <c r="D84" s="1076"/>
      <c r="E84" s="1076">
        <v>18.05674978503869</v>
      </c>
      <c r="F84" s="1077"/>
      <c r="G84" s="1078">
        <v>691.98438003432273</v>
      </c>
      <c r="H84" s="1078">
        <v>37.270723205032958</v>
      </c>
      <c r="I84" s="1077"/>
      <c r="J84" s="1078">
        <f t="shared" si="3"/>
        <v>729.25510323935566</v>
      </c>
      <c r="K84" s="1079">
        <f t="shared" si="2"/>
        <v>1010.6982402556426</v>
      </c>
      <c r="L84" s="258"/>
      <c r="M84" s="645"/>
    </row>
    <row r="85" spans="1:13" x14ac:dyDescent="0.45">
      <c r="A85" s="655">
        <v>1775</v>
      </c>
      <c r="B85" s="1076">
        <v>1.2920985038693074</v>
      </c>
      <c r="C85" s="1076">
        <v>265.0210471137093</v>
      </c>
      <c r="D85" s="1076"/>
      <c r="E85" s="1076">
        <v>18.314703353396386</v>
      </c>
      <c r="F85" s="1077"/>
      <c r="G85" s="1078">
        <v>697.05339821814982</v>
      </c>
      <c r="H85" s="1078">
        <v>40.287997700612216</v>
      </c>
      <c r="I85" s="1077"/>
      <c r="J85" s="1078">
        <f t="shared" si="3"/>
        <v>737.34139591876203</v>
      </c>
      <c r="K85" s="1079">
        <f t="shared" si="2"/>
        <v>1021.969244889737</v>
      </c>
      <c r="L85" s="258"/>
      <c r="M85" s="645"/>
    </row>
    <row r="86" spans="1:13" x14ac:dyDescent="0.45">
      <c r="A86" s="655">
        <v>1776</v>
      </c>
      <c r="B86" s="1076">
        <v>1.2957610813413625</v>
      </c>
      <c r="C86" s="1076">
        <v>267.92923255545122</v>
      </c>
      <c r="D86" s="1076"/>
      <c r="E86" s="1076">
        <v>18.572656921754081</v>
      </c>
      <c r="F86" s="1077"/>
      <c r="G86" s="1078">
        <v>702.10729131493076</v>
      </c>
      <c r="H86" s="1078">
        <v>43.438237573538125</v>
      </c>
      <c r="I86" s="1077"/>
      <c r="J86" s="1078">
        <f t="shared" si="3"/>
        <v>745.54552888846888</v>
      </c>
      <c r="K86" s="1079">
        <f t="shared" si="2"/>
        <v>1033.3431794470157</v>
      </c>
      <c r="L86" s="258"/>
      <c r="M86" s="645"/>
    </row>
    <row r="87" spans="1:13" x14ac:dyDescent="0.45">
      <c r="A87" s="655">
        <v>1777</v>
      </c>
      <c r="B87" s="1076">
        <v>1.2994236588134178</v>
      </c>
      <c r="C87" s="1076">
        <v>268.30020032598884</v>
      </c>
      <c r="D87" s="1076"/>
      <c r="E87" s="1076">
        <v>18.830610490111777</v>
      </c>
      <c r="F87" s="1077"/>
      <c r="G87" s="1078">
        <v>707.21392191774669</v>
      </c>
      <c r="H87" s="1078">
        <v>46.73095896854629</v>
      </c>
      <c r="I87" s="1077"/>
      <c r="J87" s="1078">
        <f t="shared" si="3"/>
        <v>753.94488088629294</v>
      </c>
      <c r="K87" s="1079">
        <f t="shared" si="2"/>
        <v>1042.375115361207</v>
      </c>
      <c r="L87" s="258"/>
      <c r="M87" s="645"/>
    </row>
    <row r="88" spans="1:13" x14ac:dyDescent="0.45">
      <c r="A88" s="655">
        <v>1778</v>
      </c>
      <c r="B88" s="1076">
        <v>1.3030862362854727</v>
      </c>
      <c r="C88" s="1076">
        <v>268.66658946506004</v>
      </c>
      <c r="D88" s="1076"/>
      <c r="E88" s="1076">
        <v>19.088564058469476</v>
      </c>
      <c r="F88" s="1077"/>
      <c r="G88" s="1078">
        <v>712.40662446774627</v>
      </c>
      <c r="H88" s="1078">
        <v>50.176606393022901</v>
      </c>
      <c r="I88" s="1077"/>
      <c r="J88" s="1078">
        <f t="shared" si="3"/>
        <v>762.58323086076916</v>
      </c>
      <c r="K88" s="1079">
        <f t="shared" si="2"/>
        <v>1051.6414706205842</v>
      </c>
      <c r="L88" s="258"/>
      <c r="M88" s="645"/>
    </row>
    <row r="89" spans="1:13" x14ac:dyDescent="0.45">
      <c r="A89" s="655">
        <v>1779</v>
      </c>
      <c r="B89" s="1076">
        <v>1.3067488137575278</v>
      </c>
      <c r="C89" s="1076">
        <v>269.02839228334352</v>
      </c>
      <c r="D89" s="1076"/>
      <c r="E89" s="1076">
        <v>19.346517626827172</v>
      </c>
      <c r="F89" s="1077"/>
      <c r="G89" s="1078">
        <v>717.57760197855453</v>
      </c>
      <c r="H89" s="1078">
        <v>53.786668762423595</v>
      </c>
      <c r="I89" s="1077"/>
      <c r="J89" s="1078">
        <f t="shared" si="3"/>
        <v>771.3642707409781</v>
      </c>
      <c r="K89" s="1079">
        <f t="shared" si="2"/>
        <v>1061.0459294649065</v>
      </c>
      <c r="L89" s="258"/>
      <c r="M89" s="645"/>
    </row>
    <row r="90" spans="1:13" x14ac:dyDescent="0.45">
      <c r="A90" s="655">
        <v>1780</v>
      </c>
      <c r="B90" s="1076">
        <v>1.3104113912295827</v>
      </c>
      <c r="C90" s="1076">
        <v>269.38560110223756</v>
      </c>
      <c r="D90" s="1076"/>
      <c r="E90" s="1076">
        <v>19.604471195184868</v>
      </c>
      <c r="F90" s="1077"/>
      <c r="G90" s="1078">
        <v>722.56361167406885</v>
      </c>
      <c r="H90" s="1078">
        <v>57.573813298833713</v>
      </c>
      <c r="I90" s="1077"/>
      <c r="J90" s="1078">
        <f t="shared" si="3"/>
        <v>780.13742497290252</v>
      </c>
      <c r="K90" s="1079">
        <f t="shared" si="2"/>
        <v>1070.4379086615545</v>
      </c>
      <c r="L90" s="258"/>
      <c r="M90" s="645"/>
    </row>
    <row r="91" spans="1:13" x14ac:dyDescent="0.45">
      <c r="A91" s="655">
        <v>1781</v>
      </c>
      <c r="B91" s="1076">
        <v>1.3140739687016378</v>
      </c>
      <c r="C91" s="1076">
        <v>269.73820825396388</v>
      </c>
      <c r="D91" s="1076"/>
      <c r="E91" s="1076">
        <v>19.862424763542563</v>
      </c>
      <c r="F91" s="1077"/>
      <c r="G91" s="1078">
        <v>727.9165468820969</v>
      </c>
      <c r="H91" s="1078">
        <v>61.552040571405996</v>
      </c>
      <c r="I91" s="1077"/>
      <c r="J91" s="1078">
        <f t="shared" si="3"/>
        <v>789.46858745350289</v>
      </c>
      <c r="K91" s="1079">
        <f t="shared" si="2"/>
        <v>1080.3832944397111</v>
      </c>
      <c r="L91" s="258"/>
      <c r="M91" s="645"/>
    </row>
    <row r="92" spans="1:13" x14ac:dyDescent="0.45">
      <c r="A92" s="655">
        <v>1782</v>
      </c>
      <c r="B92" s="1076">
        <v>1.317736546173693</v>
      </c>
      <c r="C92" s="1076">
        <v>270.08620608167189</v>
      </c>
      <c r="D92" s="1076"/>
      <c r="E92" s="1076">
        <v>20.120378331900259</v>
      </c>
      <c r="F92" s="1077"/>
      <c r="G92" s="1078">
        <v>733.11901864728975</v>
      </c>
      <c r="H92" s="1078">
        <v>65.736864678490861</v>
      </c>
      <c r="I92" s="1077"/>
      <c r="J92" s="1078">
        <f t="shared" si="3"/>
        <v>798.85588332578061</v>
      </c>
      <c r="K92" s="1079">
        <f t="shared" si="2"/>
        <v>1090.3802042855264</v>
      </c>
      <c r="L92" s="258"/>
      <c r="M92" s="645"/>
    </row>
    <row r="93" spans="1:13" x14ac:dyDescent="0.45">
      <c r="A93" s="655">
        <v>1783</v>
      </c>
      <c r="B93" s="1076">
        <v>1.3213991236457479</v>
      </c>
      <c r="C93" s="1076">
        <v>270.42958693954267</v>
      </c>
      <c r="D93" s="1076"/>
      <c r="E93" s="1076">
        <v>20.378331900257951</v>
      </c>
      <c r="F93" s="1077"/>
      <c r="G93" s="1078">
        <v>738.0363681982933</v>
      </c>
      <c r="H93" s="1078">
        <v>70.145523460121737</v>
      </c>
      <c r="I93" s="1077"/>
      <c r="J93" s="1078">
        <f t="shared" si="3"/>
        <v>808.181891658415</v>
      </c>
      <c r="K93" s="1079">
        <f t="shared" si="2"/>
        <v>1100.3112096218615</v>
      </c>
      <c r="L93" s="258"/>
      <c r="M93" s="645"/>
    </row>
    <row r="94" spans="1:13" x14ac:dyDescent="0.45">
      <c r="A94" s="655">
        <v>1784</v>
      </c>
      <c r="B94" s="1076">
        <v>1.3250617011178032</v>
      </c>
      <c r="C94" s="1076">
        <v>270.76834319289389</v>
      </c>
      <c r="D94" s="1076"/>
      <c r="E94" s="1076">
        <v>20.636285468615647</v>
      </c>
      <c r="F94" s="1077"/>
      <c r="G94" s="1078">
        <v>743.43145983072873</v>
      </c>
      <c r="H94" s="1078">
        <v>74.79722474692565</v>
      </c>
      <c r="I94" s="1077"/>
      <c r="J94" s="1078">
        <f t="shared" si="3"/>
        <v>818.22868457765435</v>
      </c>
      <c r="K94" s="1079">
        <f t="shared" si="2"/>
        <v>1110.9583749402816</v>
      </c>
      <c r="L94" s="258"/>
      <c r="M94" s="645"/>
    </row>
    <row r="95" spans="1:13" x14ac:dyDescent="0.45">
      <c r="A95" s="655">
        <v>1785</v>
      </c>
      <c r="B95" s="1076">
        <v>1.3287242785898583</v>
      </c>
      <c r="C95" s="1076">
        <v>271.10246721828554</v>
      </c>
      <c r="D95" s="1076"/>
      <c r="E95" s="1076">
        <v>20.894239036973342</v>
      </c>
      <c r="F95" s="1077"/>
      <c r="G95" s="1078">
        <v>748.86504130074422</v>
      </c>
      <c r="H95" s="1078">
        <v>79.713436064724633</v>
      </c>
      <c r="I95" s="1077"/>
      <c r="J95" s="1078">
        <f t="shared" si="3"/>
        <v>828.57847736546887</v>
      </c>
      <c r="K95" s="1079">
        <f t="shared" si="2"/>
        <v>1121.9039078993176</v>
      </c>
      <c r="L95" s="258"/>
      <c r="M95" s="645"/>
    </row>
    <row r="96" spans="1:13" x14ac:dyDescent="0.45">
      <c r="A96" s="655">
        <v>1786</v>
      </c>
      <c r="B96" s="1076">
        <v>1.3323868560619132</v>
      </c>
      <c r="C96" s="1076">
        <v>271.43195140362513</v>
      </c>
      <c r="D96" s="1076"/>
      <c r="E96" s="1076">
        <v>21.152192605331038</v>
      </c>
      <c r="F96" s="1077"/>
      <c r="G96" s="1078">
        <v>754.4172762219838</v>
      </c>
      <c r="H96" s="1078">
        <v>84.918227012699717</v>
      </c>
      <c r="I96" s="1077"/>
      <c r="J96" s="1078">
        <f t="shared" si="3"/>
        <v>839.33550323468353</v>
      </c>
      <c r="K96" s="1079">
        <f t="shared" si="2"/>
        <v>1133.2520340997016</v>
      </c>
      <c r="L96" s="258"/>
      <c r="M96" s="645"/>
    </row>
    <row r="97" spans="1:13" x14ac:dyDescent="0.45">
      <c r="A97" s="655">
        <v>1787</v>
      </c>
      <c r="B97" s="1076">
        <v>1.3360494335339685</v>
      </c>
      <c r="C97" s="1076">
        <v>271.75678814827376</v>
      </c>
      <c r="D97" s="1076"/>
      <c r="E97" s="1076">
        <v>21.410146173688734</v>
      </c>
      <c r="F97" s="1077"/>
      <c r="G97" s="1078">
        <v>760.07940156497591</v>
      </c>
      <c r="H97" s="1078">
        <v>90.438675837461645</v>
      </c>
      <c r="I97" s="1077"/>
      <c r="J97" s="1078">
        <f t="shared" si="3"/>
        <v>850.5180774024376</v>
      </c>
      <c r="K97" s="1079">
        <f t="shared" si="2"/>
        <v>1145.0210611579341</v>
      </c>
      <c r="L97" s="258"/>
      <c r="M97" s="645"/>
    </row>
    <row r="98" spans="1:13" x14ac:dyDescent="0.45">
      <c r="A98" s="655">
        <v>1788</v>
      </c>
      <c r="B98" s="1076">
        <v>1.3397120110060234</v>
      </c>
      <c r="C98" s="1076">
        <v>272.07696986315295</v>
      </c>
      <c r="D98" s="1076"/>
      <c r="E98" s="1076">
        <v>21.668099742046429</v>
      </c>
      <c r="F98" s="1077"/>
      <c r="G98" s="1078">
        <v>765.70069176664106</v>
      </c>
      <c r="H98" s="1078">
        <v>96.30535469887586</v>
      </c>
      <c r="I98" s="1077"/>
      <c r="J98" s="1078">
        <f t="shared" si="3"/>
        <v>862.00604646551687</v>
      </c>
      <c r="K98" s="1079">
        <f t="shared" si="2"/>
        <v>1157.0908280817223</v>
      </c>
      <c r="L98" s="258"/>
      <c r="M98" s="645"/>
    </row>
    <row r="99" spans="1:13" x14ac:dyDescent="0.45">
      <c r="A99" s="655">
        <v>1789</v>
      </c>
      <c r="B99" s="1076">
        <v>1.3433745884780786</v>
      </c>
      <c r="C99" s="1076">
        <v>277.86756930856177</v>
      </c>
      <c r="D99" s="1076"/>
      <c r="E99" s="1076">
        <v>21.926053310404129</v>
      </c>
      <c r="F99" s="1077"/>
      <c r="G99" s="1078">
        <v>771.54987220584383</v>
      </c>
      <c r="H99" s="1078">
        <v>102.55291198905311</v>
      </c>
      <c r="I99" s="1077"/>
      <c r="J99" s="1078">
        <f t="shared" si="3"/>
        <v>874.10278419489691</v>
      </c>
      <c r="K99" s="1079">
        <f t="shared" si="2"/>
        <v>1175.2397814023409</v>
      </c>
      <c r="L99" s="258"/>
      <c r="M99" s="645"/>
    </row>
    <row r="100" spans="1:13" x14ac:dyDescent="0.45">
      <c r="A100" s="655">
        <v>1790</v>
      </c>
      <c r="B100" s="1076">
        <v>1.3470371659501337</v>
      </c>
      <c r="C100" s="1076">
        <v>293.16909614584813</v>
      </c>
      <c r="D100" s="1076"/>
      <c r="E100" s="1076">
        <v>22.184006878761824</v>
      </c>
      <c r="F100" s="1077"/>
      <c r="G100" s="1078">
        <v>777.33526356661548</v>
      </c>
      <c r="H100" s="1078">
        <v>109.22077513113057</v>
      </c>
      <c r="I100" s="1077"/>
      <c r="J100" s="1078">
        <f t="shared" si="3"/>
        <v>886.55603869774609</v>
      </c>
      <c r="K100" s="1079">
        <f t="shared" si="2"/>
        <v>1203.2561788883061</v>
      </c>
      <c r="L100" s="258"/>
      <c r="M100" s="645"/>
    </row>
    <row r="101" spans="1:13" x14ac:dyDescent="0.45">
      <c r="A101" s="655">
        <v>1791</v>
      </c>
      <c r="B101" s="1076">
        <v>1.3506997434221888</v>
      </c>
      <c r="C101" s="1076">
        <v>299.30572349780118</v>
      </c>
      <c r="D101" s="1076"/>
      <c r="E101" s="1076">
        <v>22.44196044711952</v>
      </c>
      <c r="F101" s="1077"/>
      <c r="G101" s="1078">
        <v>783.23769376504356</v>
      </c>
      <c r="H101" s="1078">
        <v>116.35400397779163</v>
      </c>
      <c r="I101" s="1077"/>
      <c r="J101" s="1078">
        <f t="shared" si="3"/>
        <v>899.59169774283521</v>
      </c>
      <c r="K101" s="1079">
        <f t="shared" si="2"/>
        <v>1222.6900814311782</v>
      </c>
      <c r="L101" s="258"/>
      <c r="M101" s="645"/>
    </row>
    <row r="102" spans="1:13" x14ac:dyDescent="0.45">
      <c r="A102" s="655">
        <v>1792</v>
      </c>
      <c r="B102" s="1076">
        <v>1.3543623208942437</v>
      </c>
      <c r="C102" s="1076">
        <v>303.3015233655405</v>
      </c>
      <c r="D102" s="1076"/>
      <c r="E102" s="1076">
        <v>22.699914015477216</v>
      </c>
      <c r="F102" s="1077"/>
      <c r="G102" s="1078">
        <v>789.12486639050871</v>
      </c>
      <c r="H102" s="1078">
        <v>124.00433385390082</v>
      </c>
      <c r="I102" s="1077"/>
      <c r="J102" s="1078">
        <f t="shared" si="3"/>
        <v>913.1292002444095</v>
      </c>
      <c r="K102" s="1079">
        <f t="shared" si="2"/>
        <v>1240.4849999463215</v>
      </c>
      <c r="L102" s="258"/>
      <c r="M102" s="645"/>
    </row>
    <row r="103" spans="1:13" x14ac:dyDescent="0.45">
      <c r="A103" s="655">
        <v>1793</v>
      </c>
      <c r="B103" s="1076">
        <v>1.358024898366299</v>
      </c>
      <c r="C103" s="1076">
        <v>306.0126152854246</v>
      </c>
      <c r="D103" s="1076"/>
      <c r="E103" s="1076">
        <v>22.957867583834911</v>
      </c>
      <c r="F103" s="1077"/>
      <c r="G103" s="1078">
        <v>794.9980369556705</v>
      </c>
      <c r="H103" s="1078">
        <v>132.23145930128544</v>
      </c>
      <c r="I103" s="1077"/>
      <c r="J103" s="1078">
        <f t="shared" si="3"/>
        <v>927.22949625695594</v>
      </c>
      <c r="K103" s="1079">
        <f t="shared" si="2"/>
        <v>1257.5580040245816</v>
      </c>
      <c r="L103" s="258"/>
      <c r="M103" s="645"/>
    </row>
    <row r="104" spans="1:13" x14ac:dyDescent="0.45">
      <c r="A104" s="655">
        <v>1794</v>
      </c>
      <c r="B104" s="1076">
        <v>1.3616874758383539</v>
      </c>
      <c r="C104" s="1076">
        <v>305.97618012528505</v>
      </c>
      <c r="D104" s="1076"/>
      <c r="E104" s="1076">
        <v>23.215821152192607</v>
      </c>
      <c r="F104" s="1077"/>
      <c r="G104" s="1078">
        <v>800.82017160876114</v>
      </c>
      <c r="H104" s="1078">
        <v>141.10462592226381</v>
      </c>
      <c r="I104" s="1077"/>
      <c r="J104" s="1078">
        <f t="shared" si="3"/>
        <v>941.92479753102498</v>
      </c>
      <c r="K104" s="1079">
        <f t="shared" si="2"/>
        <v>1272.478486284341</v>
      </c>
      <c r="L104" s="258"/>
      <c r="M104" s="645"/>
    </row>
    <row r="105" spans="1:13" x14ac:dyDescent="0.45">
      <c r="A105" s="655">
        <v>1795</v>
      </c>
      <c r="B105" s="1076">
        <v>1.365350053310409</v>
      </c>
      <c r="C105" s="1076">
        <v>299.01633503121701</v>
      </c>
      <c r="D105" s="1076"/>
      <c r="E105" s="1076">
        <v>23.473774720550303</v>
      </c>
      <c r="F105" s="1077"/>
      <c r="G105" s="1078">
        <v>806.8444974804197</v>
      </c>
      <c r="H105" s="1078">
        <v>150.70462018405584</v>
      </c>
      <c r="I105" s="1077"/>
      <c r="J105" s="1078">
        <f t="shared" si="3"/>
        <v>957.54911766447549</v>
      </c>
      <c r="K105" s="1079">
        <f t="shared" si="2"/>
        <v>1281.4045774695533</v>
      </c>
      <c r="L105" s="258"/>
      <c r="M105" s="645"/>
    </row>
    <row r="106" spans="1:13" x14ac:dyDescent="0.45">
      <c r="A106" s="655">
        <v>1796</v>
      </c>
      <c r="B106" s="1076">
        <v>1.3690126307824639</v>
      </c>
      <c r="C106" s="1076">
        <v>284.76018071234296</v>
      </c>
      <c r="D106" s="1076"/>
      <c r="E106" s="1076">
        <v>23.731728288907995</v>
      </c>
      <c r="F106" s="1077"/>
      <c r="G106" s="1078">
        <v>812.83402756706016</v>
      </c>
      <c r="H106" s="1078">
        <v>161.12627830260456</v>
      </c>
      <c r="I106" s="1077"/>
      <c r="J106" s="1078">
        <f t="shared" si="3"/>
        <v>973.96030586966469</v>
      </c>
      <c r="K106" s="1079">
        <f t="shared" si="2"/>
        <v>1283.8212275016981</v>
      </c>
      <c r="L106" s="258"/>
      <c r="M106" s="645"/>
    </row>
    <row r="107" spans="1:13" x14ac:dyDescent="0.45">
      <c r="A107" s="655">
        <v>1797</v>
      </c>
      <c r="B107" s="1076">
        <v>1.3726752082545193</v>
      </c>
      <c r="C107" s="1076">
        <v>303.5483462595314</v>
      </c>
      <c r="D107" s="1076"/>
      <c r="E107" s="1076">
        <v>23.98968185726569</v>
      </c>
      <c r="F107" s="1077"/>
      <c r="G107" s="1078">
        <v>819.06933035600059</v>
      </c>
      <c r="H107" s="1078">
        <v>170.92637845317353</v>
      </c>
      <c r="I107" s="1077"/>
      <c r="J107" s="1078">
        <f t="shared" si="3"/>
        <v>989.99570880917418</v>
      </c>
      <c r="K107" s="1079">
        <f t="shared" si="2"/>
        <v>1318.906412134226</v>
      </c>
      <c r="L107" s="258"/>
      <c r="M107" s="645"/>
    </row>
    <row r="108" spans="1:13" x14ac:dyDescent="0.45">
      <c r="A108" s="655">
        <v>1798</v>
      </c>
      <c r="B108" s="1076">
        <v>1.3763377857265744</v>
      </c>
      <c r="C108" s="1076">
        <v>311.20958102385805</v>
      </c>
      <c r="D108" s="1076"/>
      <c r="E108" s="1076">
        <v>24.247635425623383</v>
      </c>
      <c r="F108" s="1077"/>
      <c r="G108" s="1078">
        <v>825.25515944180836</v>
      </c>
      <c r="H108" s="1078">
        <v>180.99523071222956</v>
      </c>
      <c r="I108" s="1077"/>
      <c r="J108" s="1078">
        <f t="shared" si="3"/>
        <v>1006.2503901540379</v>
      </c>
      <c r="K108" s="1079">
        <f t="shared" si="2"/>
        <v>1343.0839443892457</v>
      </c>
      <c r="L108" s="258"/>
      <c r="M108" s="645"/>
    </row>
    <row r="109" spans="1:13" x14ac:dyDescent="0.45">
      <c r="A109" s="655">
        <v>1799</v>
      </c>
      <c r="B109" s="1076">
        <v>1.3800003631986295</v>
      </c>
      <c r="C109" s="1076">
        <v>322.36627841299236</v>
      </c>
      <c r="D109" s="1076"/>
      <c r="E109" s="1076">
        <v>24.505588993981078</v>
      </c>
      <c r="F109" s="1077"/>
      <c r="G109" s="1078">
        <v>831.50528505453099</v>
      </c>
      <c r="H109" s="1078">
        <v>191.35582269096565</v>
      </c>
      <c r="I109" s="1077"/>
      <c r="J109" s="1078">
        <f t="shared" si="3"/>
        <v>1022.8611077454966</v>
      </c>
      <c r="K109" s="1079">
        <f t="shared" si="2"/>
        <v>1371.1129755156687</v>
      </c>
      <c r="L109" s="258"/>
      <c r="M109" s="645"/>
    </row>
    <row r="110" spans="1:13" x14ac:dyDescent="0.45">
      <c r="A110" s="655">
        <v>1800</v>
      </c>
      <c r="B110" s="1076">
        <v>1.3836629406706791</v>
      </c>
      <c r="C110" s="1076">
        <v>352.34098569673176</v>
      </c>
      <c r="D110" s="1076"/>
      <c r="E110" s="1076">
        <v>24.763542562338777</v>
      </c>
      <c r="F110" s="1077"/>
      <c r="G110" s="1078">
        <v>837.44863696476159</v>
      </c>
      <c r="H110" s="1078">
        <v>202.03369220832633</v>
      </c>
      <c r="I110" s="1077"/>
      <c r="J110" s="1078">
        <f t="shared" si="3"/>
        <v>1039.4823291730879</v>
      </c>
      <c r="K110" s="1079">
        <f t="shared" si="2"/>
        <v>1417.9705203728292</v>
      </c>
      <c r="L110" s="258"/>
      <c r="M110" s="645"/>
    </row>
    <row r="111" spans="1:13" x14ac:dyDescent="0.45">
      <c r="A111" s="655">
        <v>1801</v>
      </c>
      <c r="B111" s="1076">
        <v>1.399036973344798</v>
      </c>
      <c r="C111" s="1076">
        <v>371.83165204889661</v>
      </c>
      <c r="D111" s="1076"/>
      <c r="E111" s="1076">
        <v>24.783662940670677</v>
      </c>
      <c r="F111" s="1077"/>
      <c r="G111" s="1078">
        <v>844.09800203302348</v>
      </c>
      <c r="H111" s="1078">
        <v>213.05729161746427</v>
      </c>
      <c r="I111" s="1077"/>
      <c r="J111" s="1078">
        <f t="shared" si="3"/>
        <v>1057.1552936504877</v>
      </c>
      <c r="K111" s="1079">
        <f t="shared" si="2"/>
        <v>1455.1696456133998</v>
      </c>
      <c r="L111" s="258"/>
      <c r="M111" s="645"/>
    </row>
    <row r="112" spans="1:13" x14ac:dyDescent="0.45">
      <c r="A112" s="655">
        <v>1802</v>
      </c>
      <c r="B112" s="1076">
        <v>1.4144110060189168</v>
      </c>
      <c r="C112" s="1076">
        <v>392.46902444108503</v>
      </c>
      <c r="D112" s="1076"/>
      <c r="E112" s="1076">
        <v>24.803783319002576</v>
      </c>
      <c r="F112" s="1077"/>
      <c r="G112" s="1078">
        <v>851.07869243441701</v>
      </c>
      <c r="H112" s="1078">
        <v>224.45841642507352</v>
      </c>
      <c r="I112" s="1077"/>
      <c r="J112" s="1078">
        <f t="shared" si="3"/>
        <v>1075.5371088594904</v>
      </c>
      <c r="K112" s="1079">
        <f t="shared" si="2"/>
        <v>1494.224327625597</v>
      </c>
      <c r="L112" s="258"/>
      <c r="M112" s="645"/>
    </row>
    <row r="113" spans="1:13" x14ac:dyDescent="0.45">
      <c r="A113" s="655">
        <v>1803</v>
      </c>
      <c r="B113" s="1076">
        <v>1.4297850386930355</v>
      </c>
      <c r="C113" s="1076">
        <v>409.09482148667541</v>
      </c>
      <c r="D113" s="1076"/>
      <c r="E113" s="1076">
        <v>24.82390369733448</v>
      </c>
      <c r="F113" s="1077"/>
      <c r="G113" s="1078">
        <v>858.32768979671891</v>
      </c>
      <c r="H113" s="1078">
        <v>236.27271184148219</v>
      </c>
      <c r="I113" s="1077"/>
      <c r="J113" s="1078">
        <f t="shared" si="3"/>
        <v>1094.6004016382012</v>
      </c>
      <c r="K113" s="1079">
        <f t="shared" si="2"/>
        <v>1529.9489118609042</v>
      </c>
      <c r="L113" s="258"/>
      <c r="M113" s="645"/>
    </row>
    <row r="114" spans="1:13" x14ac:dyDescent="0.45">
      <c r="A114" s="655">
        <v>1804</v>
      </c>
      <c r="B114" s="1076">
        <v>1.4451590713671545</v>
      </c>
      <c r="C114" s="1076">
        <v>426.87347000786872</v>
      </c>
      <c r="D114" s="1076"/>
      <c r="E114" s="1076">
        <v>24.844024075666372</v>
      </c>
      <c r="F114" s="1077"/>
      <c r="G114" s="1078">
        <v>865.79047180624093</v>
      </c>
      <c r="H114" s="1078">
        <v>248.54027430885691</v>
      </c>
      <c r="I114" s="1077"/>
      <c r="J114" s="1078">
        <f t="shared" si="3"/>
        <v>1114.3307461150978</v>
      </c>
      <c r="K114" s="1079">
        <f t="shared" si="2"/>
        <v>1567.4933992700001</v>
      </c>
      <c r="L114" s="258"/>
      <c r="M114" s="645"/>
    </row>
    <row r="115" spans="1:13" x14ac:dyDescent="0.45">
      <c r="A115" s="655">
        <v>1805</v>
      </c>
      <c r="B115" s="1076">
        <v>1.4605331040412732</v>
      </c>
      <c r="C115" s="1076">
        <v>429.18671388390561</v>
      </c>
      <c r="D115" s="1076"/>
      <c r="E115" s="1076">
        <v>24.864144453998279</v>
      </c>
      <c r="F115" s="1077"/>
      <c r="G115" s="1078">
        <v>873.39480276707843</v>
      </c>
      <c r="H115" s="1078">
        <v>261.30636945419241</v>
      </c>
      <c r="I115" s="1077"/>
      <c r="J115" s="1078">
        <f t="shared" si="3"/>
        <v>1134.7011722212708</v>
      </c>
      <c r="K115" s="1079">
        <f t="shared" si="2"/>
        <v>1590.2125636632161</v>
      </c>
      <c r="L115" s="258"/>
      <c r="M115" s="645"/>
    </row>
    <row r="116" spans="1:13" x14ac:dyDescent="0.45">
      <c r="A116" s="655">
        <v>1806</v>
      </c>
      <c r="B116" s="1076">
        <v>1.475907136715392</v>
      </c>
      <c r="C116" s="1076">
        <v>425.55056715388321</v>
      </c>
      <c r="D116" s="1076"/>
      <c r="E116" s="1076">
        <v>24.884264832330174</v>
      </c>
      <c r="F116" s="1077"/>
      <c r="G116" s="1078">
        <v>881.03287080931489</v>
      </c>
      <c r="H116" s="1078">
        <v>274.6222936328665</v>
      </c>
      <c r="I116" s="1077"/>
      <c r="J116" s="1078">
        <f t="shared" si="3"/>
        <v>1155.6551644421813</v>
      </c>
      <c r="K116" s="1079">
        <f t="shared" si="2"/>
        <v>1607.5659035651104</v>
      </c>
      <c r="L116" s="258"/>
      <c r="M116" s="645"/>
    </row>
    <row r="117" spans="1:13" x14ac:dyDescent="0.45">
      <c r="A117" s="655">
        <v>1807</v>
      </c>
      <c r="B117" s="1076">
        <v>1.4912811693895103</v>
      </c>
      <c r="C117" s="1076">
        <v>428.04898667097478</v>
      </c>
      <c r="D117" s="1076"/>
      <c r="E117" s="1076">
        <v>24.90438521066207</v>
      </c>
      <c r="F117" s="1077"/>
      <c r="G117" s="1078">
        <v>888.69321506223571</v>
      </c>
      <c r="H117" s="1078">
        <v>288.54641372255384</v>
      </c>
      <c r="I117" s="1077"/>
      <c r="J117" s="1078">
        <f t="shared" si="3"/>
        <v>1177.2396287847896</v>
      </c>
      <c r="K117" s="1079">
        <f t="shared" si="2"/>
        <v>1631.6842818358159</v>
      </c>
      <c r="L117" s="258"/>
      <c r="M117" s="645"/>
    </row>
    <row r="118" spans="1:13" x14ac:dyDescent="0.45">
      <c r="A118" s="655">
        <v>1808</v>
      </c>
      <c r="B118" s="1076">
        <v>1.506655202063629</v>
      </c>
      <c r="C118" s="1076">
        <v>433.78870350247433</v>
      </c>
      <c r="D118" s="1076"/>
      <c r="E118" s="1076">
        <v>24.924505588993974</v>
      </c>
      <c r="F118" s="1077"/>
      <c r="G118" s="1078">
        <v>896.35846328704827</v>
      </c>
      <c r="H118" s="1078">
        <v>303.1454297300881</v>
      </c>
      <c r="I118" s="1077"/>
      <c r="J118" s="1078">
        <f t="shared" si="3"/>
        <v>1199.5038930171363</v>
      </c>
      <c r="K118" s="1079">
        <f t="shared" si="2"/>
        <v>1659.7237573106684</v>
      </c>
      <c r="L118" s="258"/>
      <c r="M118" s="645"/>
    </row>
    <row r="119" spans="1:13" x14ac:dyDescent="0.45">
      <c r="A119" s="655">
        <v>1809</v>
      </c>
      <c r="B119" s="1076">
        <v>1.522029234737748</v>
      </c>
      <c r="C119" s="1076">
        <v>440.30894366789653</v>
      </c>
      <c r="D119" s="1076"/>
      <c r="E119" s="1076">
        <v>24.944625967325873</v>
      </c>
      <c r="F119" s="1077"/>
      <c r="G119" s="1078">
        <v>904.09492138022404</v>
      </c>
      <c r="H119" s="1078">
        <v>318.49591797759183</v>
      </c>
      <c r="I119" s="1077"/>
      <c r="J119" s="1078">
        <f t="shared" si="3"/>
        <v>1222.5908393578159</v>
      </c>
      <c r="K119" s="1079">
        <f t="shared" si="2"/>
        <v>1689.3664382277761</v>
      </c>
      <c r="L119" s="258"/>
      <c r="M119" s="645"/>
    </row>
    <row r="120" spans="1:13" x14ac:dyDescent="0.45">
      <c r="A120" s="655">
        <v>1810</v>
      </c>
      <c r="B120" s="1076">
        <v>1.5374032674118667</v>
      </c>
      <c r="C120" s="1076">
        <v>448.2121752786299</v>
      </c>
      <c r="D120" s="1076"/>
      <c r="E120" s="1076">
        <v>24.964746345657773</v>
      </c>
      <c r="F120" s="1077"/>
      <c r="G120" s="1078">
        <v>911.86719396201738</v>
      </c>
      <c r="H120" s="1078">
        <v>334.68623040844739</v>
      </c>
      <c r="I120" s="1077"/>
      <c r="J120" s="1078">
        <f t="shared" si="3"/>
        <v>1246.5534243704647</v>
      </c>
      <c r="K120" s="1079">
        <f t="shared" si="2"/>
        <v>1721.2677492621642</v>
      </c>
      <c r="L120" s="258"/>
      <c r="M120" s="645"/>
    </row>
    <row r="121" spans="1:13" x14ac:dyDescent="0.45">
      <c r="A121" s="655">
        <v>1811</v>
      </c>
      <c r="B121" s="1076">
        <v>1.5527773000859855</v>
      </c>
      <c r="C121" s="1076">
        <v>454.45472370869703</v>
      </c>
      <c r="D121" s="1076"/>
      <c r="E121" s="1076">
        <v>24.984866723989672</v>
      </c>
      <c r="F121" s="1077"/>
      <c r="G121" s="1078">
        <v>919.73534547734562</v>
      </c>
      <c r="H121" s="1078">
        <v>351.63394015748042</v>
      </c>
      <c r="I121" s="1077"/>
      <c r="J121" s="1078">
        <f t="shared" si="3"/>
        <v>1271.3692856348262</v>
      </c>
      <c r="K121" s="1079">
        <f t="shared" si="2"/>
        <v>1752.3616533675988</v>
      </c>
      <c r="L121" s="258"/>
      <c r="M121" s="645"/>
    </row>
    <row r="122" spans="1:13" x14ac:dyDescent="0.45">
      <c r="A122" s="655">
        <v>1812</v>
      </c>
      <c r="B122" s="1076">
        <v>1.5681513327601042</v>
      </c>
      <c r="C122" s="1076">
        <v>456.62644347663854</v>
      </c>
      <c r="D122" s="1076"/>
      <c r="E122" s="1076">
        <v>25.004987102321572</v>
      </c>
      <c r="F122" s="1077"/>
      <c r="G122" s="1078">
        <v>930.54993430500315</v>
      </c>
      <c r="H122" s="1078">
        <v>349.93714393700782</v>
      </c>
      <c r="I122" s="1077"/>
      <c r="J122" s="1078">
        <f t="shared" si="3"/>
        <v>1280.487078242011</v>
      </c>
      <c r="K122" s="1079">
        <f t="shared" si="2"/>
        <v>1763.6866601537313</v>
      </c>
      <c r="L122" s="258"/>
      <c r="M122" s="645"/>
    </row>
    <row r="123" spans="1:13" x14ac:dyDescent="0.45">
      <c r="A123" s="655">
        <v>1813</v>
      </c>
      <c r="B123" s="1076">
        <v>1.5835253654342232</v>
      </c>
      <c r="C123" s="1076">
        <v>472.87327316054501</v>
      </c>
      <c r="D123" s="1076"/>
      <c r="E123" s="1076">
        <v>25.025107480653471</v>
      </c>
      <c r="F123" s="1077"/>
      <c r="G123" s="1078">
        <v>941.46850565794409</v>
      </c>
      <c r="H123" s="1078">
        <v>348.24034771653544</v>
      </c>
      <c r="I123" s="1077"/>
      <c r="J123" s="1078">
        <f t="shared" si="3"/>
        <v>1289.7088533744795</v>
      </c>
      <c r="K123" s="1079">
        <f t="shared" si="2"/>
        <v>1789.1907593811125</v>
      </c>
      <c r="L123" s="258"/>
      <c r="M123" s="645"/>
    </row>
    <row r="124" spans="1:13" x14ac:dyDescent="0.45">
      <c r="A124" s="655">
        <v>1814</v>
      </c>
      <c r="B124" s="1076">
        <v>1.5988993981083419</v>
      </c>
      <c r="C124" s="1076">
        <v>484.82001210965763</v>
      </c>
      <c r="D124" s="1076"/>
      <c r="E124" s="1076">
        <v>25.045227858985374</v>
      </c>
      <c r="F124" s="1077"/>
      <c r="G124" s="1078">
        <v>952.41967521982701</v>
      </c>
      <c r="H124" s="1078">
        <v>346.54355149606295</v>
      </c>
      <c r="I124" s="1077"/>
      <c r="J124" s="1078">
        <f t="shared" si="3"/>
        <v>1298.96322671589</v>
      </c>
      <c r="K124" s="1079">
        <f t="shared" si="2"/>
        <v>1810.4273660826414</v>
      </c>
      <c r="L124" s="258"/>
      <c r="M124" s="645"/>
    </row>
    <row r="125" spans="1:13" x14ac:dyDescent="0.45">
      <c r="A125" s="655">
        <v>1815</v>
      </c>
      <c r="B125" s="1076">
        <v>1.6142734307824607</v>
      </c>
      <c r="C125" s="1076">
        <v>496.30317480025724</v>
      </c>
      <c r="D125" s="1076"/>
      <c r="E125" s="1076">
        <v>25.06534823731727</v>
      </c>
      <c r="F125" s="1077"/>
      <c r="G125" s="1078">
        <v>963.49234634283141</v>
      </c>
      <c r="H125" s="1078">
        <v>344.84675527559062</v>
      </c>
      <c r="I125" s="1077"/>
      <c r="J125" s="1078">
        <f t="shared" si="3"/>
        <v>1308.3391016184221</v>
      </c>
      <c r="K125" s="1079">
        <f t="shared" si="2"/>
        <v>1831.3218980867791</v>
      </c>
      <c r="L125" s="258"/>
      <c r="M125" s="645"/>
    </row>
    <row r="126" spans="1:13" x14ac:dyDescent="0.45">
      <c r="A126" s="655">
        <v>1816</v>
      </c>
      <c r="B126" s="1076">
        <v>1.629647463456579</v>
      </c>
      <c r="C126" s="1076">
        <v>500.32926334621794</v>
      </c>
      <c r="D126" s="1076"/>
      <c r="E126" s="1076">
        <v>25.085468615649166</v>
      </c>
      <c r="F126" s="1077"/>
      <c r="G126" s="1078">
        <v>974.63299774971142</v>
      </c>
      <c r="H126" s="1078">
        <v>343.14995905511813</v>
      </c>
      <c r="I126" s="1077"/>
      <c r="J126" s="1078">
        <f t="shared" si="3"/>
        <v>1317.7829568048296</v>
      </c>
      <c r="K126" s="1079">
        <f t="shared" si="2"/>
        <v>1844.8273362301534</v>
      </c>
      <c r="L126" s="258"/>
      <c r="M126" s="645"/>
    </row>
    <row r="127" spans="1:13" x14ac:dyDescent="0.45">
      <c r="A127" s="655">
        <v>1817</v>
      </c>
      <c r="B127" s="1076">
        <v>1.6450214961306981</v>
      </c>
      <c r="C127" s="1076">
        <v>482.59258353378539</v>
      </c>
      <c r="D127" s="1076"/>
      <c r="E127" s="1076">
        <v>25.105588993981073</v>
      </c>
      <c r="F127" s="1077"/>
      <c r="G127" s="1078">
        <v>985.75295151047919</v>
      </c>
      <c r="H127" s="1078">
        <v>341.45316283464564</v>
      </c>
      <c r="I127" s="1077"/>
      <c r="J127" s="1078">
        <f t="shared" si="3"/>
        <v>1327.2061143451249</v>
      </c>
      <c r="K127" s="1079">
        <f t="shared" si="2"/>
        <v>1836.5493083690219</v>
      </c>
      <c r="L127" s="258"/>
      <c r="M127" s="645"/>
    </row>
    <row r="128" spans="1:13" x14ac:dyDescent="0.45">
      <c r="A128" s="655">
        <v>1818</v>
      </c>
      <c r="B128" s="1076">
        <v>1.6603955288048167</v>
      </c>
      <c r="C128" s="1076">
        <v>487.4137515897533</v>
      </c>
      <c r="D128" s="1076"/>
      <c r="E128" s="1076">
        <v>25.125709372312965</v>
      </c>
      <c r="F128" s="1077"/>
      <c r="G128" s="1078">
        <v>996.3248638412141</v>
      </c>
      <c r="H128" s="1078">
        <v>339.7563666141732</v>
      </c>
      <c r="I128" s="1077"/>
      <c r="J128" s="1078">
        <f t="shared" si="3"/>
        <v>1336.0812304553874</v>
      </c>
      <c r="K128" s="1079">
        <f t="shared" si="2"/>
        <v>1850.2810869462585</v>
      </c>
      <c r="L128" s="258"/>
      <c r="M128" s="645"/>
    </row>
    <row r="129" spans="1:13" x14ac:dyDescent="0.45">
      <c r="A129" s="655">
        <v>1819</v>
      </c>
      <c r="B129" s="1076">
        <v>1.6757695614789356</v>
      </c>
      <c r="C129" s="1076">
        <v>486.05237370133511</v>
      </c>
      <c r="D129" s="1076"/>
      <c r="E129" s="1076">
        <v>25.145829750644868</v>
      </c>
      <c r="F129" s="1077"/>
      <c r="G129" s="1078">
        <v>1006.8613707317786</v>
      </c>
      <c r="H129" s="1078">
        <v>338.05957039370082</v>
      </c>
      <c r="I129" s="1077"/>
      <c r="J129" s="1078">
        <f t="shared" si="3"/>
        <v>1344.9209411254794</v>
      </c>
      <c r="K129" s="1079">
        <f t="shared" si="2"/>
        <v>1857.7949141389383</v>
      </c>
      <c r="L129" s="258"/>
      <c r="M129" s="645"/>
    </row>
    <row r="130" spans="1:13" x14ac:dyDescent="0.45">
      <c r="A130" s="655">
        <v>1820</v>
      </c>
      <c r="B130" s="1076">
        <v>1.6911435941530546</v>
      </c>
      <c r="C130" s="1076">
        <v>482.31449065112696</v>
      </c>
      <c r="D130" s="1076"/>
      <c r="E130" s="1076">
        <v>25.165950128976768</v>
      </c>
      <c r="F130" s="1077"/>
      <c r="G130" s="1078">
        <v>1017.4905925166599</v>
      </c>
      <c r="H130" s="1078">
        <v>336.36277417322833</v>
      </c>
      <c r="I130" s="1077"/>
      <c r="J130" s="1078">
        <f t="shared" si="3"/>
        <v>1353.8533666898884</v>
      </c>
      <c r="K130" s="1079">
        <f t="shared" si="2"/>
        <v>1863.0249510641454</v>
      </c>
      <c r="L130" s="258"/>
      <c r="M130" s="645"/>
    </row>
    <row r="131" spans="1:13" x14ac:dyDescent="0.45">
      <c r="A131" s="655">
        <v>1821</v>
      </c>
      <c r="B131" s="1076">
        <v>1.7065176268271729</v>
      </c>
      <c r="C131" s="1076">
        <v>464.16860601770617</v>
      </c>
      <c r="D131" s="1076"/>
      <c r="E131" s="1076">
        <v>25.186070507308667</v>
      </c>
      <c r="F131" s="1077"/>
      <c r="G131" s="1078">
        <v>1028.2677860462552</v>
      </c>
      <c r="H131" s="1078">
        <v>334.66597795275601</v>
      </c>
      <c r="I131" s="1077"/>
      <c r="J131" s="1078">
        <f t="shared" si="3"/>
        <v>1362.9337639990113</v>
      </c>
      <c r="K131" s="1079">
        <f t="shared" si="2"/>
        <v>1853.9949581508533</v>
      </c>
      <c r="L131" s="258"/>
      <c r="M131" s="645"/>
    </row>
    <row r="132" spans="1:13" x14ac:dyDescent="0.45">
      <c r="A132" s="655">
        <v>1822</v>
      </c>
      <c r="B132" s="1076">
        <v>1.7218916595012921</v>
      </c>
      <c r="C132" s="1076">
        <v>454.57597917981627</v>
      </c>
      <c r="D132" s="1076"/>
      <c r="E132" s="1076">
        <v>25.206190885640563</v>
      </c>
      <c r="F132" s="1077"/>
      <c r="G132" s="1078">
        <v>1039.1047753114099</v>
      </c>
      <c r="H132" s="1078">
        <v>332.96918173228352</v>
      </c>
      <c r="I132" s="1077"/>
      <c r="J132" s="1078">
        <f t="shared" si="3"/>
        <v>1372.0739570436933</v>
      </c>
      <c r="K132" s="1079">
        <f t="shared" si="2"/>
        <v>1853.5780187686516</v>
      </c>
      <c r="L132" s="258"/>
      <c r="M132" s="645"/>
    </row>
    <row r="133" spans="1:13" x14ac:dyDescent="0.45">
      <c r="A133" s="655">
        <v>1823</v>
      </c>
      <c r="B133" s="1076">
        <v>1.7372656921754108</v>
      </c>
      <c r="C133" s="1076">
        <v>450.72331186669265</v>
      </c>
      <c r="D133" s="1076"/>
      <c r="E133" s="1076">
        <v>25.226311263972466</v>
      </c>
      <c r="F133" s="1077"/>
      <c r="G133" s="1078">
        <v>1049.9275790461511</v>
      </c>
      <c r="H133" s="1078">
        <v>331.27238551181102</v>
      </c>
      <c r="I133" s="1077"/>
      <c r="J133" s="1078">
        <f t="shared" si="3"/>
        <v>1381.1999645579622</v>
      </c>
      <c r="K133" s="1079">
        <f t="shared" si="2"/>
        <v>1858.8868533808029</v>
      </c>
      <c r="L133" s="258"/>
      <c r="M133" s="645"/>
    </row>
    <row r="134" spans="1:13" x14ac:dyDescent="0.45">
      <c r="A134" s="655">
        <v>1824</v>
      </c>
      <c r="B134" s="1076">
        <v>1.7526397248495293</v>
      </c>
      <c r="C134" s="1076">
        <v>458.4517344944955</v>
      </c>
      <c r="D134" s="1076"/>
      <c r="E134" s="1076">
        <v>25.246431642304369</v>
      </c>
      <c r="F134" s="1077"/>
      <c r="G134" s="1078">
        <v>1060.6759040456564</v>
      </c>
      <c r="H134" s="1078">
        <v>329.57558929133864</v>
      </c>
      <c r="I134" s="1077"/>
      <c r="J134" s="1078">
        <f t="shared" si="3"/>
        <v>1390.2514933369951</v>
      </c>
      <c r="K134" s="1079">
        <f t="shared" si="2"/>
        <v>1875.7022991986444</v>
      </c>
      <c r="L134" s="258"/>
      <c r="M134" s="645"/>
    </row>
    <row r="135" spans="1:13" x14ac:dyDescent="0.45">
      <c r="A135" s="655">
        <v>1825</v>
      </c>
      <c r="B135" s="1076">
        <v>1.7680137575236481</v>
      </c>
      <c r="C135" s="1076">
        <v>452.44307108969736</v>
      </c>
      <c r="D135" s="1076"/>
      <c r="E135" s="1076">
        <v>25.266552020636265</v>
      </c>
      <c r="F135" s="1077"/>
      <c r="G135" s="1078">
        <v>1071.3797873408355</v>
      </c>
      <c r="H135" s="1078">
        <v>327.87879307086621</v>
      </c>
      <c r="I135" s="1077"/>
      <c r="J135" s="1078">
        <f t="shared" si="3"/>
        <v>1399.2585804117016</v>
      </c>
      <c r="K135" s="1079">
        <f t="shared" si="2"/>
        <v>1878.736217279559</v>
      </c>
      <c r="L135" s="258"/>
      <c r="M135" s="645"/>
    </row>
    <row r="136" spans="1:13" x14ac:dyDescent="0.45">
      <c r="A136" s="655">
        <v>1826</v>
      </c>
      <c r="B136" s="1076">
        <v>1.7833877901977671</v>
      </c>
      <c r="C136" s="1076">
        <v>465.77475933866322</v>
      </c>
      <c r="D136" s="1076"/>
      <c r="E136" s="1076">
        <v>25.286672398968168</v>
      </c>
      <c r="F136" s="1077"/>
      <c r="G136" s="1078">
        <v>1082.051890557409</v>
      </c>
      <c r="H136" s="1078">
        <v>326.18199685039372</v>
      </c>
      <c r="I136" s="1077"/>
      <c r="J136" s="1078">
        <f t="shared" si="3"/>
        <v>1408.2338874078027</v>
      </c>
      <c r="K136" s="1079">
        <f t="shared" si="2"/>
        <v>1901.078706935632</v>
      </c>
      <c r="L136" s="258"/>
      <c r="M136" s="645"/>
    </row>
    <row r="137" spans="1:13" x14ac:dyDescent="0.45">
      <c r="A137" s="655">
        <v>1827</v>
      </c>
      <c r="B137" s="1076">
        <v>1.7987618228718858</v>
      </c>
      <c r="C137" s="1076">
        <v>419.27643823925501</v>
      </c>
      <c r="D137" s="1076"/>
      <c r="E137" s="1076">
        <v>25.306792777300064</v>
      </c>
      <c r="F137" s="1077"/>
      <c r="G137" s="1078">
        <v>1092.7423626522609</v>
      </c>
      <c r="H137" s="1078">
        <v>324.48520062992139</v>
      </c>
      <c r="I137" s="1077"/>
      <c r="J137" s="1078">
        <f t="shared" si="3"/>
        <v>1417.2275632821822</v>
      </c>
      <c r="K137" s="1079">
        <f t="shared" si="2"/>
        <v>1863.6095561216091</v>
      </c>
      <c r="L137" s="258"/>
      <c r="M137" s="645"/>
    </row>
    <row r="138" spans="1:13" x14ac:dyDescent="0.45">
      <c r="A138" s="655">
        <v>1828</v>
      </c>
      <c r="B138" s="1076">
        <v>1.8141358555460041</v>
      </c>
      <c r="C138" s="1076">
        <v>420.37789345720807</v>
      </c>
      <c r="D138" s="1076"/>
      <c r="E138" s="1076">
        <v>25.326913155631967</v>
      </c>
      <c r="F138" s="1077"/>
      <c r="G138" s="1078">
        <v>1103.563944564987</v>
      </c>
      <c r="H138" s="1078">
        <v>322.7884044094489</v>
      </c>
      <c r="I138" s="1077"/>
      <c r="J138" s="1078">
        <f t="shared" si="3"/>
        <v>1426.3523489744359</v>
      </c>
      <c r="K138" s="1079">
        <f t="shared" ref="K138:K201" si="4">J138+E138+C138+B138</f>
        <v>1873.871291442822</v>
      </c>
      <c r="L138" s="258"/>
      <c r="M138" s="645"/>
    </row>
    <row r="139" spans="1:13" x14ac:dyDescent="0.45">
      <c r="A139" s="655">
        <v>1829</v>
      </c>
      <c r="B139" s="1076">
        <v>1.8295098882201226</v>
      </c>
      <c r="C139" s="1076">
        <v>420.30530763770747</v>
      </c>
      <c r="D139" s="1076"/>
      <c r="E139" s="1076">
        <v>25.347033533963863</v>
      </c>
      <c r="F139" s="1077"/>
      <c r="G139" s="1078">
        <v>1114.3754943277579</v>
      </c>
      <c r="H139" s="1078">
        <v>321.09160818897652</v>
      </c>
      <c r="I139" s="1077"/>
      <c r="J139" s="1078">
        <f t="shared" ref="J139:J202" si="5">G139+H139</f>
        <v>1435.4671025167345</v>
      </c>
      <c r="K139" s="1079">
        <f t="shared" si="4"/>
        <v>1882.9489535766261</v>
      </c>
      <c r="L139" s="258"/>
      <c r="M139" s="645"/>
    </row>
    <row r="140" spans="1:13" x14ac:dyDescent="0.45">
      <c r="A140" s="655">
        <v>1830</v>
      </c>
      <c r="B140" s="1076">
        <v>1.8448839208942387</v>
      </c>
      <c r="C140" s="1076">
        <v>418.87412035510647</v>
      </c>
      <c r="D140" s="1076"/>
      <c r="E140" s="1076">
        <v>25.367153912295784</v>
      </c>
      <c r="F140" s="1077"/>
      <c r="G140" s="1078">
        <v>1125.1725953338685</v>
      </c>
      <c r="H140" s="1078">
        <v>319.39481196850397</v>
      </c>
      <c r="I140" s="1077"/>
      <c r="J140" s="1078">
        <f t="shared" si="5"/>
        <v>1444.5674073023724</v>
      </c>
      <c r="K140" s="1079">
        <f t="shared" si="4"/>
        <v>1890.6535654906691</v>
      </c>
      <c r="L140" s="258"/>
      <c r="M140" s="645"/>
    </row>
    <row r="141" spans="1:13" x14ac:dyDescent="0.45">
      <c r="A141" s="655">
        <v>1831</v>
      </c>
      <c r="B141" s="1076">
        <v>1.8218228718830614</v>
      </c>
      <c r="C141" s="1076">
        <v>422.96650960673855</v>
      </c>
      <c r="D141" s="1076"/>
      <c r="E141" s="1076">
        <v>25.616981943250213</v>
      </c>
      <c r="F141" s="1077"/>
      <c r="G141" s="1078">
        <v>1135.8554074459607</v>
      </c>
      <c r="H141" s="1078">
        <v>317.93981014755326</v>
      </c>
      <c r="I141" s="1077"/>
      <c r="J141" s="1078">
        <f t="shared" si="5"/>
        <v>1453.7952175935141</v>
      </c>
      <c r="K141" s="1079">
        <f t="shared" si="4"/>
        <v>1904.200532015386</v>
      </c>
      <c r="L141" s="258"/>
      <c r="M141" s="645"/>
    </row>
    <row r="142" spans="1:13" x14ac:dyDescent="0.45">
      <c r="A142" s="655">
        <v>1832</v>
      </c>
      <c r="B142" s="1076">
        <v>1.7987618228718836</v>
      </c>
      <c r="C142" s="1076">
        <v>428.97660143840659</v>
      </c>
      <c r="D142" s="1076"/>
      <c r="E142" s="1076">
        <v>25.866809974204639</v>
      </c>
      <c r="F142" s="1077"/>
      <c r="G142" s="1078">
        <v>1146.4350321320228</v>
      </c>
      <c r="H142" s="1078">
        <v>316.34664009830425</v>
      </c>
      <c r="I142" s="1077"/>
      <c r="J142" s="1078">
        <f t="shared" si="5"/>
        <v>1462.7816722303271</v>
      </c>
      <c r="K142" s="1079">
        <f t="shared" si="4"/>
        <v>1919.4238454658102</v>
      </c>
      <c r="L142" s="258"/>
      <c r="M142" s="645"/>
    </row>
    <row r="143" spans="1:13" x14ac:dyDescent="0.45">
      <c r="A143" s="655">
        <v>1833</v>
      </c>
      <c r="B143" s="1076">
        <v>1.7757007738607058</v>
      </c>
      <c r="C143" s="1076">
        <v>429.77587752483254</v>
      </c>
      <c r="D143" s="1076"/>
      <c r="E143" s="1076">
        <v>26.116638005159061</v>
      </c>
      <c r="F143" s="1077"/>
      <c r="G143" s="1078">
        <v>1156.9921221983002</v>
      </c>
      <c r="H143" s="1078">
        <v>314.79788126529422</v>
      </c>
      <c r="I143" s="1077"/>
      <c r="J143" s="1078">
        <f t="shared" si="5"/>
        <v>1471.7900034635945</v>
      </c>
      <c r="K143" s="1079">
        <f t="shared" si="4"/>
        <v>1929.458219767447</v>
      </c>
      <c r="L143" s="258"/>
      <c r="M143" s="645"/>
    </row>
    <row r="144" spans="1:13" x14ac:dyDescent="0.45">
      <c r="A144" s="655">
        <v>1834</v>
      </c>
      <c r="B144" s="1076">
        <v>1.7526397248495278</v>
      </c>
      <c r="C144" s="1076">
        <v>435.95645375012634</v>
      </c>
      <c r="D144" s="1076"/>
      <c r="E144" s="1076">
        <v>26.36646603611349</v>
      </c>
      <c r="F144" s="1077"/>
      <c r="G144" s="1078">
        <v>1167.7193793408817</v>
      </c>
      <c r="H144" s="1078">
        <v>313.31256702691059</v>
      </c>
      <c r="I144" s="1077"/>
      <c r="J144" s="1078">
        <f t="shared" si="5"/>
        <v>1481.0319463677922</v>
      </c>
      <c r="K144" s="1079">
        <f t="shared" si="4"/>
        <v>1945.1075058788817</v>
      </c>
      <c r="L144" s="258"/>
      <c r="M144" s="645"/>
    </row>
    <row r="145" spans="1:13" x14ac:dyDescent="0.45">
      <c r="A145" s="655">
        <v>1835</v>
      </c>
      <c r="B145" s="1076">
        <v>1.7295786758383493</v>
      </c>
      <c r="C145" s="1076">
        <v>442.89044185401082</v>
      </c>
      <c r="D145" s="1076"/>
      <c r="E145" s="1076">
        <v>26.616294067067923</v>
      </c>
      <c r="F145" s="1077"/>
      <c r="G145" s="1078">
        <v>1178.5222980793546</v>
      </c>
      <c r="H145" s="1078">
        <v>311.91788792370812</v>
      </c>
      <c r="I145" s="1077"/>
      <c r="J145" s="1078">
        <f t="shared" si="5"/>
        <v>1490.4401860030628</v>
      </c>
      <c r="K145" s="1079">
        <f t="shared" si="4"/>
        <v>1961.6765005999798</v>
      </c>
      <c r="L145" s="258"/>
      <c r="M145" s="645"/>
    </row>
    <row r="146" spans="1:13" x14ac:dyDescent="0.45">
      <c r="A146" s="655">
        <v>1836</v>
      </c>
      <c r="B146" s="1076">
        <v>1.7065176268271713</v>
      </c>
      <c r="C146" s="1076">
        <v>438.87928868272394</v>
      </c>
      <c r="D146" s="1076"/>
      <c r="E146" s="1076">
        <v>26.866122098022345</v>
      </c>
      <c r="F146" s="1077"/>
      <c r="G146" s="1078">
        <v>1189.340097223228</v>
      </c>
      <c r="H146" s="1078">
        <v>310.65268758504976</v>
      </c>
      <c r="I146" s="1077"/>
      <c r="J146" s="1078">
        <f t="shared" si="5"/>
        <v>1499.9927848082777</v>
      </c>
      <c r="K146" s="1079">
        <f t="shared" si="4"/>
        <v>1967.4447132158512</v>
      </c>
      <c r="L146" s="258"/>
      <c r="M146" s="645"/>
    </row>
    <row r="147" spans="1:13" x14ac:dyDescent="0.45">
      <c r="A147" s="655">
        <v>1837</v>
      </c>
      <c r="B147" s="1076">
        <v>1.6834565778159936</v>
      </c>
      <c r="C147" s="1076">
        <v>433.53907761849314</v>
      </c>
      <c r="D147" s="1076"/>
      <c r="E147" s="1076">
        <v>27.11595012897677</v>
      </c>
      <c r="F147" s="1077"/>
      <c r="G147" s="1078">
        <v>1200.0420300278968</v>
      </c>
      <c r="H147" s="1078">
        <v>309.57245691002612</v>
      </c>
      <c r="I147" s="1077"/>
      <c r="J147" s="1078">
        <f t="shared" si="5"/>
        <v>1509.6144869379229</v>
      </c>
      <c r="K147" s="1079">
        <f t="shared" si="4"/>
        <v>1971.9529712632088</v>
      </c>
      <c r="L147" s="258"/>
      <c r="M147" s="645"/>
    </row>
    <row r="148" spans="1:13" x14ac:dyDescent="0.45">
      <c r="A148" s="655">
        <v>1838</v>
      </c>
      <c r="B148" s="1076">
        <v>1.6603955288048158</v>
      </c>
      <c r="C148" s="1076">
        <v>448.67755515144302</v>
      </c>
      <c r="D148" s="1076"/>
      <c r="E148" s="1076">
        <v>27.3657781599312</v>
      </c>
      <c r="F148" s="1077"/>
      <c r="G148" s="1078">
        <v>1210.7960461728414</v>
      </c>
      <c r="H148" s="1078">
        <v>308.75646861162329</v>
      </c>
      <c r="I148" s="1077"/>
      <c r="J148" s="1078">
        <f t="shared" si="5"/>
        <v>1519.5525147844646</v>
      </c>
      <c r="K148" s="1079">
        <f t="shared" si="4"/>
        <v>1997.2562436246437</v>
      </c>
      <c r="L148" s="258"/>
      <c r="M148" s="645"/>
    </row>
    <row r="149" spans="1:13" x14ac:dyDescent="0.45">
      <c r="A149" s="655">
        <v>1839</v>
      </c>
      <c r="B149" s="1076">
        <v>1.6373344797936378</v>
      </c>
      <c r="C149" s="1076">
        <v>475.81329902742692</v>
      </c>
      <c r="D149" s="1076"/>
      <c r="E149" s="1076">
        <v>27.615606190885625</v>
      </c>
      <c r="F149" s="1077"/>
      <c r="G149" s="1078">
        <v>1221.7716751090074</v>
      </c>
      <c r="H149" s="1078">
        <v>308.31796942267897</v>
      </c>
      <c r="I149" s="1077"/>
      <c r="J149" s="1078">
        <f t="shared" si="5"/>
        <v>1530.0896445316864</v>
      </c>
      <c r="K149" s="1079">
        <f t="shared" si="4"/>
        <v>2035.1558842297927</v>
      </c>
      <c r="L149" s="258"/>
      <c r="M149" s="645"/>
    </row>
    <row r="150" spans="1:13" x14ac:dyDescent="0.45">
      <c r="A150" s="655">
        <v>1840</v>
      </c>
      <c r="B150" s="1076">
        <v>1.61427343078246</v>
      </c>
      <c r="C150" s="1076">
        <v>504.88451294410078</v>
      </c>
      <c r="D150" s="1076"/>
      <c r="E150" s="1076">
        <v>27.865434221840058</v>
      </c>
      <c r="F150" s="1077"/>
      <c r="G150" s="1078">
        <v>1232.7231221340394</v>
      </c>
      <c r="H150" s="1078">
        <v>308.41874039010366</v>
      </c>
      <c r="I150" s="1077"/>
      <c r="J150" s="1078">
        <f t="shared" si="5"/>
        <v>1541.1418625241431</v>
      </c>
      <c r="K150" s="1079">
        <f t="shared" si="4"/>
        <v>2075.5060831208662</v>
      </c>
      <c r="L150" s="258"/>
      <c r="M150" s="645"/>
    </row>
    <row r="151" spans="1:13" x14ac:dyDescent="0.45">
      <c r="A151" s="655">
        <v>1841</v>
      </c>
      <c r="B151" s="1076">
        <v>1.5912123817712822</v>
      </c>
      <c r="C151" s="1076">
        <v>527.53341043836542</v>
      </c>
      <c r="D151" s="1076"/>
      <c r="E151" s="1076">
        <v>28.11526225279448</v>
      </c>
      <c r="F151" s="1077"/>
      <c r="G151" s="1078">
        <v>1243.5734607400482</v>
      </c>
      <c r="H151" s="1078">
        <v>309.2898972951985</v>
      </c>
      <c r="I151" s="1077"/>
      <c r="J151" s="1078">
        <f t="shared" si="5"/>
        <v>1552.8633580352466</v>
      </c>
      <c r="K151" s="1079">
        <f t="shared" si="4"/>
        <v>2110.1032431081776</v>
      </c>
      <c r="L151" s="258"/>
      <c r="M151" s="645"/>
    </row>
    <row r="152" spans="1:13" x14ac:dyDescent="0.45">
      <c r="A152" s="655">
        <v>1842</v>
      </c>
      <c r="B152" s="1076">
        <v>1.5681513327601042</v>
      </c>
      <c r="C152" s="1076">
        <v>538.51342048197159</v>
      </c>
      <c r="D152" s="1076"/>
      <c r="E152" s="1076">
        <v>28.365090283748909</v>
      </c>
      <c r="F152" s="1077"/>
      <c r="G152" s="1078">
        <v>1254.5006876661537</v>
      </c>
      <c r="H152" s="1078">
        <v>308.54419482493631</v>
      </c>
      <c r="I152" s="1077"/>
      <c r="J152" s="1078">
        <f t="shared" si="5"/>
        <v>1563.04488249109</v>
      </c>
      <c r="K152" s="1079">
        <f t="shared" si="4"/>
        <v>2131.4915445895704</v>
      </c>
      <c r="L152" s="258"/>
      <c r="M152" s="645"/>
    </row>
    <row r="153" spans="1:13" x14ac:dyDescent="0.45">
      <c r="A153" s="655">
        <v>1843</v>
      </c>
      <c r="B153" s="1076">
        <v>1.545090283748926</v>
      </c>
      <c r="C153" s="1076">
        <v>524.70639074796202</v>
      </c>
      <c r="D153" s="1076"/>
      <c r="E153" s="1076">
        <v>28.614918314703331</v>
      </c>
      <c r="F153" s="1077"/>
      <c r="G153" s="1078">
        <v>1265.4487394792768</v>
      </c>
      <c r="H153" s="1078">
        <v>307.90416943803081</v>
      </c>
      <c r="I153" s="1077"/>
      <c r="J153" s="1078">
        <f t="shared" si="5"/>
        <v>1573.3529089173076</v>
      </c>
      <c r="K153" s="1079">
        <f t="shared" si="4"/>
        <v>2128.2193082637218</v>
      </c>
      <c r="L153" s="258"/>
      <c r="M153" s="645"/>
    </row>
    <row r="154" spans="1:13" x14ac:dyDescent="0.45">
      <c r="A154" s="655">
        <v>1844</v>
      </c>
      <c r="B154" s="1076">
        <v>1.522029234737748</v>
      </c>
      <c r="C154" s="1076">
        <v>523.12096043243014</v>
      </c>
      <c r="D154" s="1076"/>
      <c r="E154" s="1076">
        <v>28.864746345657768</v>
      </c>
      <c r="F154" s="1077"/>
      <c r="G154" s="1078">
        <v>1276.4087968259378</v>
      </c>
      <c r="H154" s="1078">
        <v>307.38156303263264</v>
      </c>
      <c r="I154" s="1077"/>
      <c r="J154" s="1078">
        <f t="shared" si="5"/>
        <v>1583.7903598585704</v>
      </c>
      <c r="K154" s="1079">
        <f t="shared" si="4"/>
        <v>2137.2980958713961</v>
      </c>
      <c r="L154" s="258"/>
      <c r="M154" s="645"/>
    </row>
    <row r="155" spans="1:13" x14ac:dyDescent="0.45">
      <c r="A155" s="655">
        <v>1845</v>
      </c>
      <c r="B155" s="1076">
        <v>1.4989681857265704</v>
      </c>
      <c r="C155" s="1076">
        <v>528.29759393760855</v>
      </c>
      <c r="D155" s="1076"/>
      <c r="E155" s="1076">
        <v>29.11457437661219</v>
      </c>
      <c r="F155" s="1077"/>
      <c r="G155" s="1078">
        <v>1287.3900736703531</v>
      </c>
      <c r="H155" s="1078">
        <v>306.98942216224265</v>
      </c>
      <c r="I155" s="1077"/>
      <c r="J155" s="1078">
        <f t="shared" si="5"/>
        <v>1594.3794958325957</v>
      </c>
      <c r="K155" s="1079">
        <f t="shared" si="4"/>
        <v>2153.2906323325428</v>
      </c>
      <c r="L155" s="258"/>
      <c r="M155" s="645"/>
    </row>
    <row r="156" spans="1:13" x14ac:dyDescent="0.45">
      <c r="A156" s="655">
        <v>1846</v>
      </c>
      <c r="B156" s="1076">
        <v>1.4759071367153922</v>
      </c>
      <c r="C156" s="1076">
        <v>525.92623995410361</v>
      </c>
      <c r="D156" s="1076"/>
      <c r="E156" s="1076">
        <v>29.364402407566615</v>
      </c>
      <c r="F156" s="1077"/>
      <c r="G156" s="1078">
        <v>1298.3883150393551</v>
      </c>
      <c r="H156" s="1078">
        <v>306.74224299741746</v>
      </c>
      <c r="I156" s="1077"/>
      <c r="J156" s="1078">
        <f t="shared" si="5"/>
        <v>1605.1305580367725</v>
      </c>
      <c r="K156" s="1079">
        <f t="shared" si="4"/>
        <v>2161.8971075351578</v>
      </c>
      <c r="L156" s="258"/>
      <c r="M156" s="645"/>
    </row>
    <row r="157" spans="1:13" x14ac:dyDescent="0.45">
      <c r="A157" s="655">
        <v>1847</v>
      </c>
      <c r="B157" s="1076">
        <v>1.4528460877042149</v>
      </c>
      <c r="C157" s="1076">
        <v>555.87466150138573</v>
      </c>
      <c r="D157" s="1076"/>
      <c r="E157" s="1076">
        <v>29.614230438521044</v>
      </c>
      <c r="F157" s="1077"/>
      <c r="G157" s="1078">
        <v>1309.4037738251798</v>
      </c>
      <c r="H157" s="1078">
        <v>306.65613239433088</v>
      </c>
      <c r="I157" s="1077"/>
      <c r="J157" s="1078">
        <f t="shared" si="5"/>
        <v>1616.0599062195106</v>
      </c>
      <c r="K157" s="1079">
        <f t="shared" si="4"/>
        <v>2203.0016442471215</v>
      </c>
      <c r="L157" s="258"/>
      <c r="M157" s="645"/>
    </row>
    <row r="158" spans="1:13" x14ac:dyDescent="0.45">
      <c r="A158" s="655">
        <v>1848</v>
      </c>
      <c r="B158" s="1076">
        <v>1.4297850386930369</v>
      </c>
      <c r="C158" s="1076">
        <v>556.64899183266721</v>
      </c>
      <c r="D158" s="1076"/>
      <c r="E158" s="1076">
        <v>29.864058469475466</v>
      </c>
      <c r="F158" s="1077"/>
      <c r="G158" s="1078">
        <v>1320.4367024943933</v>
      </c>
      <c r="H158" s="1078">
        <v>306.74898685984255</v>
      </c>
      <c r="I158" s="1077"/>
      <c r="J158" s="1078">
        <f t="shared" si="5"/>
        <v>1627.1856893542358</v>
      </c>
      <c r="K158" s="1079">
        <f t="shared" si="4"/>
        <v>2215.1285246950711</v>
      </c>
      <c r="L158" s="258"/>
      <c r="M158" s="645"/>
    </row>
    <row r="159" spans="1:13" x14ac:dyDescent="0.45">
      <c r="A159" s="655">
        <v>1849</v>
      </c>
      <c r="B159" s="1076">
        <v>1.4067239896818586</v>
      </c>
      <c r="C159" s="1076">
        <v>588.68755313452095</v>
      </c>
      <c r="D159" s="1076"/>
      <c r="E159" s="1076">
        <v>30.113886500429896</v>
      </c>
      <c r="F159" s="1077"/>
      <c r="G159" s="1078">
        <v>1331.4873531264209</v>
      </c>
      <c r="H159" s="1078">
        <v>307.04069140157497</v>
      </c>
      <c r="I159" s="1077"/>
      <c r="J159" s="1078">
        <f t="shared" si="5"/>
        <v>1638.5280445279959</v>
      </c>
      <c r="K159" s="1079">
        <f t="shared" si="4"/>
        <v>2258.7362081526285</v>
      </c>
      <c r="L159" s="258"/>
      <c r="M159" s="645"/>
    </row>
    <row r="160" spans="1:13" x14ac:dyDescent="0.45">
      <c r="A160" s="655">
        <v>1850</v>
      </c>
      <c r="B160" s="1076">
        <v>1.3836629406706809</v>
      </c>
      <c r="C160" s="1076">
        <v>579.52954537471612</v>
      </c>
      <c r="D160" s="1076"/>
      <c r="E160" s="1076">
        <v>30.363714531384325</v>
      </c>
      <c r="F160" s="1077"/>
      <c r="G160" s="1078">
        <v>1342.5559774475996</v>
      </c>
      <c r="H160" s="1078">
        <v>307.55334047244111</v>
      </c>
      <c r="I160" s="1077"/>
      <c r="J160" s="1078">
        <f t="shared" si="5"/>
        <v>1650.1093179200407</v>
      </c>
      <c r="K160" s="1079">
        <f t="shared" si="4"/>
        <v>2261.3862407668116</v>
      </c>
      <c r="L160" s="258"/>
      <c r="M160" s="645"/>
    </row>
    <row r="161" spans="1:16" x14ac:dyDescent="0.45">
      <c r="A161" s="655">
        <v>1851</v>
      </c>
      <c r="B161" s="1076">
        <v>1.3606018916595033</v>
      </c>
      <c r="C161" s="1076">
        <v>641.68820941320848</v>
      </c>
      <c r="D161" s="1076"/>
      <c r="E161" s="1076">
        <v>30.613542562338754</v>
      </c>
      <c r="F161" s="1077"/>
      <c r="G161" s="1078">
        <v>1353.6428268613652</v>
      </c>
      <c r="H161" s="1078">
        <v>308.31148346456695</v>
      </c>
      <c r="I161" s="1077"/>
      <c r="J161" s="1078">
        <f t="shared" si="5"/>
        <v>1661.9543103259321</v>
      </c>
      <c r="K161" s="1079">
        <f t="shared" si="4"/>
        <v>2335.6166641931386</v>
      </c>
      <c r="L161" s="258"/>
      <c r="M161" s="645"/>
    </row>
    <row r="162" spans="1:16" x14ac:dyDescent="0.45">
      <c r="A162" s="655">
        <v>1852</v>
      </c>
      <c r="B162" s="1076">
        <v>1.3375408426483251</v>
      </c>
      <c r="C162" s="1076">
        <v>650.1237530831977</v>
      </c>
      <c r="D162" s="1076"/>
      <c r="E162" s="1076">
        <v>30.863370593293173</v>
      </c>
      <c r="F162" s="1077"/>
      <c r="G162" s="1078">
        <v>1364.4912965075002</v>
      </c>
      <c r="H162" s="1078">
        <v>318.85328125984256</v>
      </c>
      <c r="I162" s="1077"/>
      <c r="J162" s="1078">
        <f t="shared" si="5"/>
        <v>1683.3445777673428</v>
      </c>
      <c r="K162" s="1079">
        <f t="shared" si="4"/>
        <v>2365.6692422864817</v>
      </c>
      <c r="L162" s="258"/>
      <c r="M162" s="645"/>
    </row>
    <row r="163" spans="1:16" x14ac:dyDescent="0.45">
      <c r="A163" s="655">
        <v>1853</v>
      </c>
      <c r="B163" s="1076">
        <v>1.3144797936371473</v>
      </c>
      <c r="C163" s="1076">
        <v>702.04111509966265</v>
      </c>
      <c r="D163" s="1076"/>
      <c r="E163" s="1076">
        <v>31.113198624247598</v>
      </c>
      <c r="F163" s="1077"/>
      <c r="G163" s="1078">
        <v>1375.3547146363519</v>
      </c>
      <c r="H163" s="1078">
        <v>329.39507905511823</v>
      </c>
      <c r="I163" s="1077"/>
      <c r="J163" s="1078">
        <f t="shared" si="5"/>
        <v>1704.7497936914701</v>
      </c>
      <c r="K163" s="1079">
        <f t="shared" si="4"/>
        <v>2439.2185872090172</v>
      </c>
      <c r="L163" s="258"/>
      <c r="M163" s="645"/>
    </row>
    <row r="164" spans="1:16" x14ac:dyDescent="0.45">
      <c r="A164" s="655">
        <v>1854</v>
      </c>
      <c r="B164" s="1076">
        <v>1.2914187446259693</v>
      </c>
      <c r="C164" s="1076">
        <v>696.49577671959037</v>
      </c>
      <c r="D164" s="1076"/>
      <c r="E164" s="1076">
        <v>31.363026655202034</v>
      </c>
      <c r="F164" s="1077"/>
      <c r="G164" s="1078">
        <v>1386.2333867747479</v>
      </c>
      <c r="H164" s="1078">
        <v>339.93687685039367</v>
      </c>
      <c r="I164" s="1077"/>
      <c r="J164" s="1078">
        <f t="shared" si="5"/>
        <v>1726.1702636251416</v>
      </c>
      <c r="K164" s="1079">
        <f t="shared" si="4"/>
        <v>2455.3204857445598</v>
      </c>
      <c r="L164" s="258"/>
      <c r="M164" s="645"/>
    </row>
    <row r="165" spans="1:16" x14ac:dyDescent="0.45">
      <c r="A165" s="655">
        <v>1855</v>
      </c>
      <c r="B165" s="1076">
        <v>1.2683576956147913</v>
      </c>
      <c r="C165" s="1076">
        <v>691.40776821130862</v>
      </c>
      <c r="D165" s="1076"/>
      <c r="E165" s="1076">
        <v>31.612854686156453</v>
      </c>
      <c r="F165" s="1077"/>
      <c r="G165" s="1078">
        <v>1397.1276181703245</v>
      </c>
      <c r="H165" s="1078">
        <v>350.47867464566929</v>
      </c>
      <c r="I165" s="1077"/>
      <c r="J165" s="1078">
        <f t="shared" si="5"/>
        <v>1747.6062928159938</v>
      </c>
      <c r="K165" s="1079">
        <f t="shared" si="4"/>
        <v>2471.8952734090735</v>
      </c>
      <c r="L165" s="258"/>
      <c r="M165" s="645"/>
    </row>
    <row r="166" spans="1:16" x14ac:dyDescent="0.45">
      <c r="A166" s="655">
        <v>1856</v>
      </c>
      <c r="B166" s="1076">
        <v>1.2452966466036135</v>
      </c>
      <c r="C166" s="1076">
        <v>725.85971536524585</v>
      </c>
      <c r="D166" s="1076"/>
      <c r="E166" s="1076">
        <v>31.862682717110882</v>
      </c>
      <c r="F166" s="1077"/>
      <c r="G166" s="1078">
        <v>1408.0339760843281</v>
      </c>
      <c r="H166" s="1078">
        <v>361.0204724409449</v>
      </c>
      <c r="I166" s="1077"/>
      <c r="J166" s="1078">
        <f t="shared" si="5"/>
        <v>1769.0544485252731</v>
      </c>
      <c r="K166" s="1079">
        <f t="shared" si="4"/>
        <v>2528.022143254233</v>
      </c>
      <c r="L166" s="258"/>
      <c r="M166" s="645"/>
    </row>
    <row r="167" spans="1:16" x14ac:dyDescent="0.45">
      <c r="A167" s="655">
        <v>1857</v>
      </c>
      <c r="B167" s="1076">
        <v>1.2222355975924355</v>
      </c>
      <c r="C167" s="1076">
        <v>744.36863953699572</v>
      </c>
      <c r="D167" s="1076"/>
      <c r="E167" s="1076">
        <v>32.112510748065311</v>
      </c>
      <c r="F167" s="1077"/>
      <c r="G167" s="1078">
        <v>1418.952958777161</v>
      </c>
      <c r="H167" s="1078">
        <v>371.5622702362204</v>
      </c>
      <c r="I167" s="1077"/>
      <c r="J167" s="1078">
        <f t="shared" si="5"/>
        <v>1790.5152290133815</v>
      </c>
      <c r="K167" s="1079">
        <f t="shared" si="4"/>
        <v>2568.218614896035</v>
      </c>
      <c r="L167" s="258"/>
      <c r="M167" s="645"/>
    </row>
    <row r="168" spans="1:16" x14ac:dyDescent="0.45">
      <c r="A168" s="655">
        <v>1858</v>
      </c>
      <c r="B168" s="1076">
        <v>1.1991745485812575</v>
      </c>
      <c r="C168" s="1076">
        <v>749.49696425998127</v>
      </c>
      <c r="D168" s="1076"/>
      <c r="E168" s="1076">
        <v>32.362338779019737</v>
      </c>
      <c r="F168" s="1077"/>
      <c r="G168" s="1078">
        <v>1429.8922802884413</v>
      </c>
      <c r="H168" s="1078">
        <v>382.10406803149613</v>
      </c>
      <c r="I168" s="1077"/>
      <c r="J168" s="1078">
        <f t="shared" si="5"/>
        <v>1811.9963483199374</v>
      </c>
      <c r="K168" s="1079">
        <f t="shared" si="4"/>
        <v>2595.0548259075194</v>
      </c>
      <c r="L168" s="258"/>
      <c r="M168" s="645"/>
    </row>
    <row r="169" spans="1:16" x14ac:dyDescent="0.45">
      <c r="A169" s="655">
        <v>1859</v>
      </c>
      <c r="B169" s="1076">
        <v>1.1761134995700797</v>
      </c>
      <c r="C169" s="1076">
        <v>757.19886575005933</v>
      </c>
      <c r="D169" s="1076"/>
      <c r="E169" s="1076">
        <v>32.612166809974163</v>
      </c>
      <c r="F169" s="1077"/>
      <c r="G169" s="1078">
        <v>1440.844960848445</v>
      </c>
      <c r="H169" s="1078">
        <v>392.64586582677163</v>
      </c>
      <c r="I169" s="1077"/>
      <c r="J169" s="1078">
        <f t="shared" si="5"/>
        <v>1833.4908266752166</v>
      </c>
      <c r="K169" s="1079">
        <f t="shared" si="4"/>
        <v>2624.47797273482</v>
      </c>
      <c r="L169" s="258"/>
      <c r="M169" s="645"/>
    </row>
    <row r="170" spans="1:16" x14ac:dyDescent="0.45">
      <c r="A170" s="655">
        <v>1860</v>
      </c>
      <c r="B170" s="1076">
        <v>1.1530524505589017</v>
      </c>
      <c r="C170" s="1076">
        <v>782.8426416051924</v>
      </c>
      <c r="D170" s="1076"/>
      <c r="E170" s="1076">
        <v>32.861994840928588</v>
      </c>
      <c r="F170" s="1077"/>
      <c r="G170" s="1078">
        <v>1451.8080119604344</v>
      </c>
      <c r="H170" s="1078">
        <v>403.1876636220473</v>
      </c>
      <c r="I170" s="1077"/>
      <c r="J170" s="1078">
        <f t="shared" si="5"/>
        <v>1854.9956755824817</v>
      </c>
      <c r="K170" s="1079">
        <f t="shared" si="4"/>
        <v>2671.8533644791614</v>
      </c>
      <c r="L170" s="258"/>
      <c r="M170" s="645"/>
    </row>
    <row r="171" spans="1:16" x14ac:dyDescent="0.45">
      <c r="A171" s="655">
        <v>1861</v>
      </c>
      <c r="B171" s="1076">
        <v>1.1299914015477239</v>
      </c>
      <c r="C171" s="1076">
        <v>803.33924975837499</v>
      </c>
      <c r="D171" s="1076"/>
      <c r="E171" s="1076">
        <v>33.111822871883014</v>
      </c>
      <c r="F171" s="1077"/>
      <c r="G171" s="1078">
        <v>1462.7992077050685</v>
      </c>
      <c r="H171" s="1078">
        <v>413.72946141732285</v>
      </c>
      <c r="I171" s="1077"/>
      <c r="J171" s="1078">
        <f t="shared" si="5"/>
        <v>1876.5286691223914</v>
      </c>
      <c r="K171" s="1079">
        <f t="shared" si="4"/>
        <v>2714.1097331541973</v>
      </c>
      <c r="L171" s="258"/>
      <c r="M171" s="645"/>
      <c r="P171" s="975"/>
    </row>
    <row r="172" spans="1:16" x14ac:dyDescent="0.45">
      <c r="A172" s="655">
        <v>1862</v>
      </c>
      <c r="B172" s="1076">
        <v>1.1069303525365461</v>
      </c>
      <c r="C172" s="1076">
        <v>809.17579702700914</v>
      </c>
      <c r="D172" s="1076"/>
      <c r="E172" s="1076">
        <v>33.361650902837447</v>
      </c>
      <c r="F172" s="1077"/>
      <c r="G172" s="1078">
        <v>1473.9957020145487</v>
      </c>
      <c r="H172" s="1078">
        <v>424.27125921259858</v>
      </c>
      <c r="I172" s="1077"/>
      <c r="J172" s="1078">
        <f t="shared" si="5"/>
        <v>1898.2669612271472</v>
      </c>
      <c r="K172" s="1079">
        <f t="shared" si="4"/>
        <v>2741.9113395095301</v>
      </c>
      <c r="L172" s="258"/>
      <c r="M172" s="645"/>
    </row>
    <row r="173" spans="1:16" x14ac:dyDescent="0.45">
      <c r="A173" s="655">
        <v>1863</v>
      </c>
      <c r="B173" s="1076">
        <v>1.0838693035253679</v>
      </c>
      <c r="C173" s="1076">
        <v>822.62401566378946</v>
      </c>
      <c r="D173" s="1076"/>
      <c r="E173" s="1076">
        <v>33.611478933791872</v>
      </c>
      <c r="F173" s="1077"/>
      <c r="G173" s="1078">
        <v>1485.23378010228</v>
      </c>
      <c r="H173" s="1078">
        <v>434.81305700787408</v>
      </c>
      <c r="I173" s="1077"/>
      <c r="J173" s="1078">
        <f t="shared" si="5"/>
        <v>1920.046837110154</v>
      </c>
      <c r="K173" s="1079">
        <f t="shared" si="4"/>
        <v>2777.3662010112607</v>
      </c>
      <c r="L173" s="258"/>
      <c r="M173" s="645"/>
    </row>
    <row r="174" spans="1:16" x14ac:dyDescent="0.45">
      <c r="A174" s="655">
        <v>1864</v>
      </c>
      <c r="B174" s="1076">
        <v>1.0608082545141901</v>
      </c>
      <c r="C174" s="1076">
        <v>821.95789906475989</v>
      </c>
      <c r="D174" s="1076"/>
      <c r="E174" s="1076">
        <v>33.861306964746298</v>
      </c>
      <c r="F174" s="1077"/>
      <c r="G174" s="1078">
        <v>1496.5133802194919</v>
      </c>
      <c r="H174" s="1078">
        <v>445.35485480314964</v>
      </c>
      <c r="I174" s="1077"/>
      <c r="J174" s="1078">
        <f t="shared" si="5"/>
        <v>1941.8682350226416</v>
      </c>
      <c r="K174" s="1079">
        <f t="shared" si="4"/>
        <v>2798.7482493066618</v>
      </c>
      <c r="L174" s="258"/>
      <c r="M174" s="645"/>
    </row>
    <row r="175" spans="1:16" x14ac:dyDescent="0.45">
      <c r="A175" s="655">
        <v>1865</v>
      </c>
      <c r="B175" s="1076">
        <v>1.0377472055030124</v>
      </c>
      <c r="C175" s="1076">
        <v>830.68988711822146</v>
      </c>
      <c r="D175" s="1076"/>
      <c r="E175" s="1076">
        <v>34.111134995700723</v>
      </c>
      <c r="F175" s="1077"/>
      <c r="G175" s="1078">
        <v>1507.8344467566772</v>
      </c>
      <c r="H175" s="1078">
        <v>455.89665259842525</v>
      </c>
      <c r="I175" s="1077"/>
      <c r="J175" s="1078">
        <f t="shared" si="5"/>
        <v>1963.7310993551023</v>
      </c>
      <c r="K175" s="1079">
        <f t="shared" si="4"/>
        <v>2829.5698686745272</v>
      </c>
      <c r="L175" s="258"/>
      <c r="M175" s="645"/>
    </row>
    <row r="176" spans="1:16" x14ac:dyDescent="0.45">
      <c r="A176" s="655">
        <v>1866</v>
      </c>
      <c r="B176" s="1076">
        <v>1.0146861564918344</v>
      </c>
      <c r="C176" s="1076">
        <v>853.05211814646748</v>
      </c>
      <c r="D176" s="1076"/>
      <c r="E176" s="1076">
        <v>34.360963026655149</v>
      </c>
      <c r="F176" s="1077"/>
      <c r="G176" s="1078">
        <v>1519.2031719973568</v>
      </c>
      <c r="H176" s="1078">
        <v>466.43845039370103</v>
      </c>
      <c r="I176" s="1077"/>
      <c r="J176" s="1078">
        <f t="shared" si="5"/>
        <v>1985.6416223910578</v>
      </c>
      <c r="K176" s="1079">
        <f t="shared" si="4"/>
        <v>2874.069389720672</v>
      </c>
      <c r="L176" s="258"/>
      <c r="M176" s="645"/>
    </row>
    <row r="177" spans="1:13" x14ac:dyDescent="0.45">
      <c r="A177" s="655">
        <v>1867</v>
      </c>
      <c r="B177" s="1076">
        <v>0.99162510748065624</v>
      </c>
      <c r="C177" s="1076">
        <v>847.72343478378366</v>
      </c>
      <c r="D177" s="1076"/>
      <c r="E177" s="1076">
        <v>34.610791057609582</v>
      </c>
      <c r="F177" s="1077"/>
      <c r="G177" s="1078">
        <v>1530.6099803121044</v>
      </c>
      <c r="H177" s="1078">
        <v>476.98024818897642</v>
      </c>
      <c r="I177" s="1077"/>
      <c r="J177" s="1078">
        <f t="shared" si="5"/>
        <v>2007.5902285010809</v>
      </c>
      <c r="K177" s="1079">
        <f t="shared" si="4"/>
        <v>2890.9160794499544</v>
      </c>
      <c r="L177" s="258"/>
      <c r="M177" s="645"/>
    </row>
    <row r="178" spans="1:13" x14ac:dyDescent="0.45">
      <c r="A178" s="655">
        <v>1868</v>
      </c>
      <c r="B178" s="1076">
        <v>0.96856405846947846</v>
      </c>
      <c r="C178" s="1076">
        <v>898.74388638803839</v>
      </c>
      <c r="D178" s="1076"/>
      <c r="E178" s="1076">
        <v>34.860619088564007</v>
      </c>
      <c r="F178" s="1077"/>
      <c r="G178" s="1078">
        <v>1542.064033897894</v>
      </c>
      <c r="H178" s="1078">
        <v>487.52204598425197</v>
      </c>
      <c r="I178" s="1077"/>
      <c r="J178" s="1078">
        <f t="shared" si="5"/>
        <v>2029.5860798821459</v>
      </c>
      <c r="K178" s="1079">
        <f t="shared" si="4"/>
        <v>2964.1591494172176</v>
      </c>
      <c r="L178" s="258"/>
      <c r="M178" s="645"/>
    </row>
    <row r="179" spans="1:13" x14ac:dyDescent="0.45">
      <c r="A179" s="655">
        <v>1869</v>
      </c>
      <c r="B179" s="1076">
        <v>0.94550300945830057</v>
      </c>
      <c r="C179" s="1076">
        <v>874.36474636299567</v>
      </c>
      <c r="D179" s="1076"/>
      <c r="E179" s="1076">
        <v>35.110447119518433</v>
      </c>
      <c r="F179" s="1077"/>
      <c r="G179" s="1078">
        <v>1553.5590667523879</v>
      </c>
      <c r="H179" s="1078">
        <v>498.06384377952759</v>
      </c>
      <c r="I179" s="1077"/>
      <c r="J179" s="1078">
        <f t="shared" si="5"/>
        <v>2051.6229105319153</v>
      </c>
      <c r="K179" s="1079">
        <f t="shared" si="4"/>
        <v>2962.0436070238879</v>
      </c>
      <c r="L179" s="258"/>
      <c r="M179" s="645"/>
    </row>
    <row r="180" spans="1:13" x14ac:dyDescent="0.45">
      <c r="A180" s="655">
        <v>1870</v>
      </c>
      <c r="B180" s="1076">
        <v>0.92244196044711935</v>
      </c>
      <c r="C180" s="1076">
        <v>864.81320235019166</v>
      </c>
      <c r="D180" s="1076"/>
      <c r="E180" s="1076">
        <v>35.360275150472916</v>
      </c>
      <c r="F180" s="1077"/>
      <c r="G180" s="1078">
        <v>1565.0979621592523</v>
      </c>
      <c r="H180" s="1078">
        <v>508.60564157480314</v>
      </c>
      <c r="I180" s="1077"/>
      <c r="J180" s="1078">
        <f t="shared" si="5"/>
        <v>2073.7036037340554</v>
      </c>
      <c r="K180" s="1079">
        <f t="shared" si="4"/>
        <v>2974.7995231951668</v>
      </c>
      <c r="L180" s="258"/>
      <c r="M180" s="645"/>
    </row>
    <row r="181" spans="1:13" x14ac:dyDescent="0.45">
      <c r="A181" s="655">
        <v>1871</v>
      </c>
      <c r="B181" s="1076">
        <v>0.91262874810193728</v>
      </c>
      <c r="C181" s="1076">
        <v>856.09394710219442</v>
      </c>
      <c r="D181" s="1076"/>
      <c r="E181" s="1076">
        <v>35.144207664242053</v>
      </c>
      <c r="F181" s="1077"/>
      <c r="G181" s="1078">
        <v>1576.1637919662396</v>
      </c>
      <c r="H181" s="1078">
        <v>519.14743937007881</v>
      </c>
      <c r="I181" s="1077"/>
      <c r="J181" s="1078">
        <f t="shared" si="5"/>
        <v>2095.3112313363185</v>
      </c>
      <c r="K181" s="1079">
        <f t="shared" si="4"/>
        <v>2987.4620148508566</v>
      </c>
      <c r="L181" s="258"/>
      <c r="M181" s="645"/>
    </row>
    <row r="182" spans="1:13" x14ac:dyDescent="0.45">
      <c r="A182" s="655">
        <v>1872</v>
      </c>
      <c r="B182" s="1076">
        <v>0.90281553575675533</v>
      </c>
      <c r="C182" s="1076">
        <v>848.07689174274083</v>
      </c>
      <c r="D182" s="1076"/>
      <c r="E182" s="1076">
        <v>34.928140178011198</v>
      </c>
      <c r="F182" s="1077"/>
      <c r="G182" s="1078">
        <v>1599.1186580706214</v>
      </c>
      <c r="H182" s="1078">
        <v>556.11593574803146</v>
      </c>
      <c r="I182" s="1077"/>
      <c r="J182" s="1078">
        <f t="shared" si="5"/>
        <v>2155.2345938186527</v>
      </c>
      <c r="K182" s="1079">
        <f t="shared" si="4"/>
        <v>3039.1424412751617</v>
      </c>
      <c r="L182" s="258"/>
      <c r="M182" s="645"/>
    </row>
    <row r="183" spans="1:13" x14ac:dyDescent="0.45">
      <c r="A183" s="655">
        <v>1873</v>
      </c>
      <c r="B183" s="1076">
        <v>0.89300232341157315</v>
      </c>
      <c r="C183" s="1076">
        <v>840.65747071675855</v>
      </c>
      <c r="D183" s="1076"/>
      <c r="E183" s="1076">
        <v>34.712072691780349</v>
      </c>
      <c r="F183" s="1077"/>
      <c r="G183" s="1078">
        <v>1622.1277998372227</v>
      </c>
      <c r="H183" s="1078">
        <v>593.08443212598411</v>
      </c>
      <c r="I183" s="1077"/>
      <c r="J183" s="1078">
        <f t="shared" si="5"/>
        <v>2215.2122319632067</v>
      </c>
      <c r="K183" s="1079">
        <f t="shared" si="4"/>
        <v>3091.4747776951572</v>
      </c>
      <c r="L183" s="258"/>
      <c r="M183" s="645"/>
    </row>
    <row r="184" spans="1:13" x14ac:dyDescent="0.45">
      <c r="A184" s="655">
        <v>1874</v>
      </c>
      <c r="B184" s="1076">
        <v>0.88318911106639109</v>
      </c>
      <c r="C184" s="1076">
        <v>864.59588565060483</v>
      </c>
      <c r="D184" s="1076"/>
      <c r="E184" s="1076">
        <v>34.496005205549494</v>
      </c>
      <c r="F184" s="1077"/>
      <c r="G184" s="1078">
        <v>1645.2727865262593</v>
      </c>
      <c r="H184" s="1078">
        <v>630.05292850393687</v>
      </c>
      <c r="I184" s="1077"/>
      <c r="J184" s="1078">
        <f t="shared" si="5"/>
        <v>2275.3257150301961</v>
      </c>
      <c r="K184" s="1079">
        <f t="shared" si="4"/>
        <v>3175.3007949974167</v>
      </c>
      <c r="L184" s="258"/>
      <c r="M184" s="645"/>
    </row>
    <row r="185" spans="1:13" x14ac:dyDescent="0.45">
      <c r="A185" s="655">
        <v>1875</v>
      </c>
      <c r="B185" s="1076">
        <v>0.87337589872120869</v>
      </c>
      <c r="C185" s="1076">
        <v>843.30397582450246</v>
      </c>
      <c r="D185" s="1076"/>
      <c r="E185" s="1076">
        <v>34.279937719318639</v>
      </c>
      <c r="F185" s="1077"/>
      <c r="G185" s="1078">
        <v>1668.5358682409424</v>
      </c>
      <c r="H185" s="1078">
        <v>667.02142488188963</v>
      </c>
      <c r="I185" s="1077"/>
      <c r="J185" s="1078">
        <f t="shared" si="5"/>
        <v>2335.5572931228321</v>
      </c>
      <c r="K185" s="1079">
        <f t="shared" si="4"/>
        <v>3214.0145825653749</v>
      </c>
      <c r="L185" s="258"/>
      <c r="M185" s="645"/>
    </row>
    <row r="186" spans="1:13" x14ac:dyDescent="0.45">
      <c r="A186" s="655">
        <v>1876</v>
      </c>
      <c r="B186" s="1076">
        <v>0.8635626863760264</v>
      </c>
      <c r="C186" s="1076">
        <v>902.19450680593911</v>
      </c>
      <c r="D186" s="1076"/>
      <c r="E186" s="1076">
        <v>34.06387023308779</v>
      </c>
      <c r="F186" s="1077"/>
      <c r="G186" s="1078">
        <v>1691.9341205251494</v>
      </c>
      <c r="H186" s="1078">
        <v>703.98992125984228</v>
      </c>
      <c r="I186" s="1077"/>
      <c r="J186" s="1078">
        <f t="shared" si="5"/>
        <v>2395.9240417849915</v>
      </c>
      <c r="K186" s="1079">
        <f t="shared" si="4"/>
        <v>3333.0459815103945</v>
      </c>
      <c r="L186" s="258"/>
      <c r="M186" s="645"/>
    </row>
    <row r="187" spans="1:13" x14ac:dyDescent="0.45">
      <c r="A187" s="655">
        <v>1877</v>
      </c>
      <c r="B187" s="1076">
        <v>0.85374947403084434</v>
      </c>
      <c r="C187" s="1076">
        <v>878.59619711899347</v>
      </c>
      <c r="D187" s="1076"/>
      <c r="E187" s="1076">
        <v>33.847802746856935</v>
      </c>
      <c r="F187" s="1077"/>
      <c r="G187" s="1078">
        <v>1715.4485091108927</v>
      </c>
      <c r="H187" s="1078">
        <v>740.95841763779526</v>
      </c>
      <c r="I187" s="1077"/>
      <c r="J187" s="1078">
        <f t="shared" si="5"/>
        <v>2456.406926748688</v>
      </c>
      <c r="K187" s="1079">
        <f t="shared" si="4"/>
        <v>3369.7046760885692</v>
      </c>
      <c r="L187" s="258"/>
      <c r="M187" s="645"/>
    </row>
    <row r="188" spans="1:13" x14ac:dyDescent="0.45">
      <c r="A188" s="655">
        <v>1878</v>
      </c>
      <c r="B188" s="1076">
        <v>0.84393626168566205</v>
      </c>
      <c r="C188" s="1076">
        <v>803.83729335267469</v>
      </c>
      <c r="D188" s="1076"/>
      <c r="E188" s="1076">
        <v>33.63173526062608</v>
      </c>
      <c r="F188" s="1077"/>
      <c r="G188" s="1078">
        <v>1739.0294256347499</v>
      </c>
      <c r="H188" s="1078">
        <v>777.92691401574814</v>
      </c>
      <c r="I188" s="1077"/>
      <c r="J188" s="1078">
        <f t="shared" si="5"/>
        <v>2516.9563396504982</v>
      </c>
      <c r="K188" s="1079">
        <f t="shared" si="4"/>
        <v>3355.2693045254846</v>
      </c>
      <c r="L188" s="258"/>
      <c r="M188" s="645"/>
    </row>
    <row r="189" spans="1:13" x14ac:dyDescent="0.45">
      <c r="A189" s="655">
        <v>1879</v>
      </c>
      <c r="B189" s="1076">
        <v>0.83412304934047987</v>
      </c>
      <c r="C189" s="1076">
        <v>767.08366883921792</v>
      </c>
      <c r="D189" s="1076"/>
      <c r="E189" s="1076">
        <v>33.415667774395224</v>
      </c>
      <c r="F189" s="1077"/>
      <c r="G189" s="1078">
        <v>1762.6844765456808</v>
      </c>
      <c r="H189" s="1078">
        <v>814.89541039370056</v>
      </c>
      <c r="I189" s="1077"/>
      <c r="J189" s="1078">
        <f t="shared" si="5"/>
        <v>2577.5798869393811</v>
      </c>
      <c r="K189" s="1079">
        <f t="shared" si="4"/>
        <v>3378.913346602335</v>
      </c>
      <c r="L189" s="258"/>
      <c r="M189" s="645"/>
    </row>
    <row r="190" spans="1:13" x14ac:dyDescent="0.45">
      <c r="A190" s="655">
        <v>1880</v>
      </c>
      <c r="B190" s="1076">
        <v>0.82430983699529792</v>
      </c>
      <c r="C190" s="1076">
        <v>827.93226604361757</v>
      </c>
      <c r="D190" s="1076"/>
      <c r="E190" s="1076">
        <v>33.199600288164362</v>
      </c>
      <c r="F190" s="1077"/>
      <c r="G190" s="1078">
        <v>1786.346137042503</v>
      </c>
      <c r="H190" s="1078">
        <v>851.86390677165332</v>
      </c>
      <c r="I190" s="1077"/>
      <c r="J190" s="1078">
        <f t="shared" si="5"/>
        <v>2638.2100438141561</v>
      </c>
      <c r="K190" s="1079">
        <f t="shared" si="4"/>
        <v>3500.1662199829329</v>
      </c>
      <c r="L190" s="258"/>
      <c r="M190" s="645"/>
    </row>
    <row r="191" spans="1:13" x14ac:dyDescent="0.45">
      <c r="A191" s="655">
        <v>1881</v>
      </c>
      <c r="B191" s="1076">
        <v>0.81449662465011574</v>
      </c>
      <c r="C191" s="1076">
        <v>743.52858435751125</v>
      </c>
      <c r="D191" s="1076"/>
      <c r="E191" s="1076">
        <v>32.983532801933521</v>
      </c>
      <c r="F191" s="1077"/>
      <c r="G191" s="1078">
        <v>1810.0856932673123</v>
      </c>
      <c r="H191" s="1078">
        <v>888.83240314960631</v>
      </c>
      <c r="I191" s="1077"/>
      <c r="J191" s="1078">
        <f t="shared" si="5"/>
        <v>2698.9180964169186</v>
      </c>
      <c r="K191" s="1079">
        <f t="shared" si="4"/>
        <v>3476.2447102010133</v>
      </c>
      <c r="L191" s="258"/>
      <c r="M191" s="645"/>
    </row>
    <row r="192" spans="1:13" x14ac:dyDescent="0.45">
      <c r="A192" s="655">
        <v>1882</v>
      </c>
      <c r="B192" s="1076">
        <v>0.80468341230493368</v>
      </c>
      <c r="C192" s="1076">
        <v>726.2014448587305</v>
      </c>
      <c r="D192" s="1076"/>
      <c r="E192" s="1076">
        <v>32.767465315702665</v>
      </c>
      <c r="F192" s="1077"/>
      <c r="G192" s="1078">
        <v>1819.0282466773251</v>
      </c>
      <c r="H192" s="1078">
        <v>898.00232314960613</v>
      </c>
      <c r="I192" s="1077"/>
      <c r="J192" s="1078">
        <f t="shared" si="5"/>
        <v>2717.0305698269312</v>
      </c>
      <c r="K192" s="1079">
        <f t="shared" si="4"/>
        <v>3476.8041634136694</v>
      </c>
      <c r="L192" s="258"/>
      <c r="M192" s="645"/>
    </row>
    <row r="193" spans="1:13" x14ac:dyDescent="0.45">
      <c r="A193" s="655">
        <v>1883</v>
      </c>
      <c r="B193" s="1076">
        <v>0.7948701999597515</v>
      </c>
      <c r="C193" s="1076">
        <v>651.74517223634768</v>
      </c>
      <c r="D193" s="1076"/>
      <c r="E193" s="1076">
        <v>32.55139782947181</v>
      </c>
      <c r="F193" s="1077"/>
      <c r="G193" s="1078">
        <v>1827.9598347116637</v>
      </c>
      <c r="H193" s="1078">
        <v>907.17224314960595</v>
      </c>
      <c r="I193" s="1077"/>
      <c r="J193" s="1078">
        <f t="shared" si="5"/>
        <v>2735.1320778612699</v>
      </c>
      <c r="K193" s="1079">
        <f t="shared" si="4"/>
        <v>3420.2235181270489</v>
      </c>
      <c r="L193" s="258"/>
      <c r="M193" s="645"/>
    </row>
    <row r="194" spans="1:13" x14ac:dyDescent="0.45">
      <c r="A194" s="655">
        <v>1884</v>
      </c>
      <c r="B194" s="1076">
        <v>0.78505698761456932</v>
      </c>
      <c r="C194" s="1076">
        <v>578.75538959333949</v>
      </c>
      <c r="D194" s="1076"/>
      <c r="E194" s="1076">
        <v>32.335330343240955</v>
      </c>
      <c r="F194" s="1077"/>
      <c r="G194" s="1078">
        <v>1836.9831970776463</v>
      </c>
      <c r="H194" s="1078">
        <v>916.34216314960622</v>
      </c>
      <c r="I194" s="1077"/>
      <c r="J194" s="1078">
        <f t="shared" si="5"/>
        <v>2753.3253602272525</v>
      </c>
      <c r="K194" s="1079">
        <f t="shared" si="4"/>
        <v>3365.2011371514473</v>
      </c>
      <c r="L194" s="258"/>
      <c r="M194" s="645"/>
    </row>
    <row r="195" spans="1:13" x14ac:dyDescent="0.45">
      <c r="A195" s="655">
        <v>1885</v>
      </c>
      <c r="B195" s="1076">
        <v>0.77524377526938726</v>
      </c>
      <c r="C195" s="1076">
        <v>596.70650983225028</v>
      </c>
      <c r="D195" s="1076"/>
      <c r="E195" s="1076">
        <v>32.119262857010106</v>
      </c>
      <c r="F195" s="1077"/>
      <c r="G195" s="1078">
        <v>1846.0726255849759</v>
      </c>
      <c r="H195" s="1078">
        <v>925.51208314960616</v>
      </c>
      <c r="I195" s="1077"/>
      <c r="J195" s="1078">
        <f t="shared" si="5"/>
        <v>2771.5847087345819</v>
      </c>
      <c r="K195" s="1079">
        <f t="shared" si="4"/>
        <v>3401.1857251991119</v>
      </c>
      <c r="L195" s="258"/>
      <c r="M195" s="645"/>
    </row>
    <row r="196" spans="1:13" x14ac:dyDescent="0.45">
      <c r="A196" s="655">
        <v>1886</v>
      </c>
      <c r="B196" s="1076">
        <v>0.76543056292420486</v>
      </c>
      <c r="C196" s="1076">
        <v>558.07356839498186</v>
      </c>
      <c r="D196" s="1076"/>
      <c r="E196" s="1076">
        <v>31.903195370779251</v>
      </c>
      <c r="F196" s="1077"/>
      <c r="G196" s="1078">
        <v>1855.2095815190514</v>
      </c>
      <c r="H196" s="1078">
        <v>934.68200314960598</v>
      </c>
      <c r="I196" s="1077"/>
      <c r="J196" s="1078">
        <f t="shared" si="5"/>
        <v>2789.8915846686573</v>
      </c>
      <c r="K196" s="1079">
        <f t="shared" si="4"/>
        <v>3380.6337789973427</v>
      </c>
      <c r="L196" s="258"/>
      <c r="M196" s="645"/>
    </row>
    <row r="197" spans="1:13" x14ac:dyDescent="0.45">
      <c r="A197" s="655">
        <v>1887</v>
      </c>
      <c r="B197" s="1076">
        <v>0.75561735057902291</v>
      </c>
      <c r="C197" s="1076">
        <v>544.14573748540238</v>
      </c>
      <c r="D197" s="1076"/>
      <c r="E197" s="1076">
        <v>31.687127884548396</v>
      </c>
      <c r="F197" s="1077"/>
      <c r="G197" s="1078">
        <v>1864.3608776275676</v>
      </c>
      <c r="H197" s="1078">
        <v>943.85192314960614</v>
      </c>
      <c r="I197" s="1077"/>
      <c r="J197" s="1078">
        <f t="shared" si="5"/>
        <v>2808.2128007771735</v>
      </c>
      <c r="K197" s="1079">
        <f t="shared" si="4"/>
        <v>3384.8012834977035</v>
      </c>
      <c r="L197" s="258"/>
      <c r="M197" s="645"/>
    </row>
    <row r="198" spans="1:13" x14ac:dyDescent="0.45">
      <c r="A198" s="655">
        <v>1888</v>
      </c>
      <c r="B198" s="1076">
        <v>0.74580413823384084</v>
      </c>
      <c r="C198" s="1076">
        <v>534.95161742822461</v>
      </c>
      <c r="D198" s="1076"/>
      <c r="E198" s="1076">
        <v>31.471060398317533</v>
      </c>
      <c r="F198" s="1077"/>
      <c r="G198" s="1078">
        <v>1873.5455853518645</v>
      </c>
      <c r="H198" s="1078">
        <v>953.02184314960584</v>
      </c>
      <c r="I198" s="1077"/>
      <c r="J198" s="1078">
        <f t="shared" si="5"/>
        <v>2826.5674285014702</v>
      </c>
      <c r="K198" s="1079">
        <f t="shared" si="4"/>
        <v>3393.735910466246</v>
      </c>
      <c r="L198" s="258"/>
      <c r="M198" s="645"/>
    </row>
    <row r="199" spans="1:13" x14ac:dyDescent="0.45">
      <c r="A199" s="655">
        <v>1889</v>
      </c>
      <c r="B199" s="1076">
        <v>0.73599092588865844</v>
      </c>
      <c r="C199" s="1076">
        <v>527.88310169278213</v>
      </c>
      <c r="D199" s="1076"/>
      <c r="E199" s="1076">
        <v>31.254992912086685</v>
      </c>
      <c r="F199" s="1077"/>
      <c r="G199" s="1078">
        <v>1882.7888527209964</v>
      </c>
      <c r="H199" s="1078">
        <v>962.191763149606</v>
      </c>
      <c r="I199" s="1077"/>
      <c r="J199" s="1078">
        <f t="shared" si="5"/>
        <v>2844.9806158706024</v>
      </c>
      <c r="K199" s="1079">
        <f t="shared" si="4"/>
        <v>3404.8547014013598</v>
      </c>
      <c r="L199" s="258"/>
      <c r="M199" s="645"/>
    </row>
    <row r="200" spans="1:13" x14ac:dyDescent="0.45">
      <c r="A200" s="655">
        <v>1890</v>
      </c>
      <c r="B200" s="1076">
        <v>0.72617771354347627</v>
      </c>
      <c r="C200" s="1076">
        <v>499.66006276696606</v>
      </c>
      <c r="D200" s="1076"/>
      <c r="E200" s="1076">
        <v>31.038925425855837</v>
      </c>
      <c r="F200" s="1077"/>
      <c r="G200" s="1078">
        <v>1892.0832025926054</v>
      </c>
      <c r="H200" s="1078">
        <v>971.36168314960616</v>
      </c>
      <c r="I200" s="1077"/>
      <c r="J200" s="1078">
        <f t="shared" si="5"/>
        <v>2863.4448857422117</v>
      </c>
      <c r="K200" s="1079">
        <f t="shared" si="4"/>
        <v>3394.8700516485769</v>
      </c>
      <c r="L200" s="258"/>
      <c r="M200" s="645"/>
    </row>
    <row r="201" spans="1:13" x14ac:dyDescent="0.45">
      <c r="A201" s="655">
        <v>1891</v>
      </c>
      <c r="B201" s="1076">
        <v>0.7163645011982942</v>
      </c>
      <c r="C201" s="1076">
        <v>468.26712981683238</v>
      </c>
      <c r="D201" s="1076"/>
      <c r="E201" s="1076">
        <v>30.822857939624974</v>
      </c>
      <c r="F201" s="1077"/>
      <c r="G201" s="1078">
        <v>1901.4277001486907</v>
      </c>
      <c r="H201" s="1078">
        <v>980.53160314960633</v>
      </c>
      <c r="I201" s="1077"/>
      <c r="J201" s="1078">
        <f t="shared" si="5"/>
        <v>2881.9593032982971</v>
      </c>
      <c r="K201" s="1079">
        <f t="shared" si="4"/>
        <v>3381.7656555559529</v>
      </c>
      <c r="L201" s="258"/>
      <c r="M201" s="645"/>
    </row>
    <row r="202" spans="1:13" x14ac:dyDescent="0.45">
      <c r="A202" s="655">
        <v>1892</v>
      </c>
      <c r="B202" s="1076">
        <v>0.70655128885311191</v>
      </c>
      <c r="C202" s="1076">
        <v>465.08092910183791</v>
      </c>
      <c r="D202" s="1076"/>
      <c r="E202" s="1076">
        <v>30.606790453394119</v>
      </c>
      <c r="F202" s="1077"/>
      <c r="G202" s="1078">
        <v>1907.9570363269763</v>
      </c>
      <c r="H202" s="1078">
        <v>1009.9908737007875</v>
      </c>
      <c r="I202" s="1077"/>
      <c r="J202" s="1078">
        <f t="shared" si="5"/>
        <v>2917.947910027764</v>
      </c>
      <c r="K202" s="1079">
        <f t="shared" ref="K202:K265" si="6">J202+E202+C202+B202</f>
        <v>3414.3421808718495</v>
      </c>
      <c r="L202" s="258"/>
      <c r="M202" s="645"/>
    </row>
    <row r="203" spans="1:13" x14ac:dyDescent="0.45">
      <c r="A203" s="655">
        <v>1893</v>
      </c>
      <c r="B203" s="1076">
        <v>0.69673807650792974</v>
      </c>
      <c r="C203" s="1076">
        <v>434.86342470074419</v>
      </c>
      <c r="D203" s="1076"/>
      <c r="E203" s="1076">
        <v>30.390722967163271</v>
      </c>
      <c r="F203" s="1077"/>
      <c r="G203" s="1078">
        <v>1914.5429877535587</v>
      </c>
      <c r="H203" s="1078">
        <v>1039.4501442519684</v>
      </c>
      <c r="I203" s="1077"/>
      <c r="J203" s="1078">
        <f t="shared" ref="J203:J266" si="7">G203+H203</f>
        <v>2953.9931320055271</v>
      </c>
      <c r="K203" s="1079">
        <f t="shared" si="6"/>
        <v>3419.9440177499428</v>
      </c>
      <c r="L203" s="258"/>
      <c r="M203" s="645"/>
    </row>
    <row r="204" spans="1:13" x14ac:dyDescent="0.45">
      <c r="A204" s="655">
        <v>1894</v>
      </c>
      <c r="B204" s="1076">
        <v>0.68692486416274778</v>
      </c>
      <c r="C204" s="1076">
        <v>438.50144208212902</v>
      </c>
      <c r="D204" s="1076"/>
      <c r="E204" s="1076">
        <v>30.174655480932415</v>
      </c>
      <c r="F204" s="1077"/>
      <c r="G204" s="1078">
        <v>1921.1681657834918</v>
      </c>
      <c r="H204" s="1078">
        <v>1068.9094148031497</v>
      </c>
      <c r="I204" s="1077"/>
      <c r="J204" s="1078">
        <f t="shared" si="7"/>
        <v>2990.0775805866415</v>
      </c>
      <c r="K204" s="1079">
        <f t="shared" si="6"/>
        <v>3459.4406030138657</v>
      </c>
      <c r="L204" s="258"/>
      <c r="M204" s="645"/>
    </row>
    <row r="205" spans="1:13" x14ac:dyDescent="0.45">
      <c r="A205" s="655">
        <v>1895</v>
      </c>
      <c r="B205" s="1076">
        <v>0.6771116518175655</v>
      </c>
      <c r="C205" s="1076">
        <v>406.02893699075605</v>
      </c>
      <c r="D205" s="1076"/>
      <c r="E205" s="1076">
        <v>29.958587994701556</v>
      </c>
      <c r="F205" s="1077"/>
      <c r="G205" s="1078">
        <v>1927.8045758618455</v>
      </c>
      <c r="H205" s="1078">
        <v>1098.3686853543306</v>
      </c>
      <c r="I205" s="1077"/>
      <c r="J205" s="1078">
        <f t="shared" si="7"/>
        <v>3026.1732612161759</v>
      </c>
      <c r="K205" s="1079">
        <f t="shared" si="6"/>
        <v>3462.8378978534511</v>
      </c>
      <c r="L205" s="258"/>
      <c r="M205" s="645"/>
    </row>
    <row r="206" spans="1:13" x14ac:dyDescent="0.45">
      <c r="A206" s="655">
        <v>1896</v>
      </c>
      <c r="B206" s="1076">
        <v>0.66729843947238343</v>
      </c>
      <c r="C206" s="1076">
        <v>375.00305342032522</v>
      </c>
      <c r="D206" s="1076"/>
      <c r="E206" s="1076">
        <v>29.742520508470712</v>
      </c>
      <c r="F206" s="1077"/>
      <c r="G206" s="1078">
        <v>1934.4833526465425</v>
      </c>
      <c r="H206" s="1078">
        <v>1127.8279559055118</v>
      </c>
      <c r="I206" s="1077"/>
      <c r="J206" s="1078">
        <f t="shared" si="7"/>
        <v>3062.3113085520545</v>
      </c>
      <c r="K206" s="1079">
        <f t="shared" si="6"/>
        <v>3467.7241809203224</v>
      </c>
      <c r="L206" s="258"/>
      <c r="M206" s="645"/>
    </row>
    <row r="207" spans="1:13" x14ac:dyDescent="0.45">
      <c r="A207" s="655">
        <v>1897</v>
      </c>
      <c r="B207" s="1076">
        <v>0.65748522712720125</v>
      </c>
      <c r="C207" s="1076">
        <v>350.36295624688137</v>
      </c>
      <c r="D207" s="1076"/>
      <c r="E207" s="1076">
        <v>29.526453022239856</v>
      </c>
      <c r="F207" s="1077"/>
      <c r="G207" s="1078">
        <v>1941.1955012845065</v>
      </c>
      <c r="H207" s="1078">
        <v>1157.2872264566936</v>
      </c>
      <c r="I207" s="1077"/>
      <c r="J207" s="1078">
        <f t="shared" si="7"/>
        <v>3098.4827277412001</v>
      </c>
      <c r="K207" s="1079">
        <f t="shared" si="6"/>
        <v>3479.0296222374486</v>
      </c>
      <c r="L207" s="258"/>
      <c r="M207" s="645"/>
    </row>
    <row r="208" spans="1:13" x14ac:dyDescent="0.45">
      <c r="A208" s="655">
        <v>1898</v>
      </c>
      <c r="B208" s="1076">
        <v>0.64767201478201919</v>
      </c>
      <c r="C208" s="1076">
        <v>327.53041184103756</v>
      </c>
      <c r="D208" s="1076"/>
      <c r="E208" s="1076">
        <v>29.310385536008994</v>
      </c>
      <c r="F208" s="1077"/>
      <c r="G208" s="1078">
        <v>1947.9353174838554</v>
      </c>
      <c r="H208" s="1078">
        <v>1186.7464970078743</v>
      </c>
      <c r="I208" s="1077"/>
      <c r="J208" s="1078">
        <f t="shared" si="7"/>
        <v>3134.6818144917297</v>
      </c>
      <c r="K208" s="1079">
        <f t="shared" si="6"/>
        <v>3492.1702838835586</v>
      </c>
      <c r="L208" s="258"/>
      <c r="M208" s="645"/>
    </row>
    <row r="209" spans="1:13" x14ac:dyDescent="0.45">
      <c r="A209" s="655">
        <v>1899</v>
      </c>
      <c r="B209" s="1076">
        <v>0.63785880243683712</v>
      </c>
      <c r="C209" s="1076">
        <v>316.58939445850359</v>
      </c>
      <c r="D209" s="1076"/>
      <c r="E209" s="1076">
        <v>29.094318049778146</v>
      </c>
      <c r="F209" s="1077"/>
      <c r="G209" s="1078">
        <v>1954.6939307189077</v>
      </c>
      <c r="H209" s="1078">
        <v>1216.2057675590549</v>
      </c>
      <c r="I209" s="1077"/>
      <c r="J209" s="1078">
        <f t="shared" si="7"/>
        <v>3170.8996982779627</v>
      </c>
      <c r="K209" s="1079">
        <f t="shared" si="6"/>
        <v>3517.221269588681</v>
      </c>
      <c r="L209" s="258"/>
      <c r="M209" s="645"/>
    </row>
    <row r="210" spans="1:13" x14ac:dyDescent="0.45">
      <c r="A210" s="655">
        <v>1900</v>
      </c>
      <c r="B210" s="1076">
        <v>0.62804559009165484</v>
      </c>
      <c r="C210" s="1076">
        <v>316.34284225768255</v>
      </c>
      <c r="D210" s="1076"/>
      <c r="E210" s="1076">
        <v>28.878250563547294</v>
      </c>
      <c r="F210" s="1077"/>
      <c r="G210" s="1078">
        <v>1961.4585211235776</v>
      </c>
      <c r="H210" s="1078">
        <v>1245.6650381102365</v>
      </c>
      <c r="I210" s="1077"/>
      <c r="J210" s="1078">
        <f t="shared" si="7"/>
        <v>3207.1235592338144</v>
      </c>
      <c r="K210" s="1079">
        <f t="shared" si="6"/>
        <v>3552.9726976451357</v>
      </c>
      <c r="L210" s="258"/>
      <c r="M210" s="645"/>
    </row>
    <row r="211" spans="1:13" x14ac:dyDescent="0.45">
      <c r="A211" s="655">
        <v>1901</v>
      </c>
      <c r="B211" s="1076">
        <v>0.61823237774647255</v>
      </c>
      <c r="C211" s="1076">
        <v>326.52052514386082</v>
      </c>
      <c r="D211" s="1076"/>
      <c r="E211" s="1076">
        <v>28.662183077316438</v>
      </c>
      <c r="F211" s="1077"/>
      <c r="G211" s="1078">
        <v>1964.6875837085142</v>
      </c>
      <c r="H211" s="1078">
        <v>1275.1243086614177</v>
      </c>
      <c r="I211" s="1077"/>
      <c r="J211" s="1078">
        <f t="shared" si="7"/>
        <v>3239.8118923699321</v>
      </c>
      <c r="K211" s="1079">
        <f t="shared" si="6"/>
        <v>3595.6128329688563</v>
      </c>
      <c r="L211" s="258"/>
      <c r="M211" s="645"/>
    </row>
    <row r="212" spans="1:13" x14ac:dyDescent="0.45">
      <c r="A212" s="655">
        <v>1902</v>
      </c>
      <c r="B212" s="1076">
        <v>0.60841916540129048</v>
      </c>
      <c r="C212" s="1076">
        <v>260.92887830990423</v>
      </c>
      <c r="D212" s="1076"/>
      <c r="E212" s="1076">
        <v>28.446115591085583</v>
      </c>
      <c r="F212" s="1077"/>
      <c r="G212" s="1078">
        <v>1962.0402259521745</v>
      </c>
      <c r="H212" s="1078">
        <v>1258.2285505511811</v>
      </c>
      <c r="I212" s="1077"/>
      <c r="J212" s="1078">
        <f t="shared" si="7"/>
        <v>3220.2687765033556</v>
      </c>
      <c r="K212" s="1079">
        <f t="shared" si="6"/>
        <v>3510.2521895697469</v>
      </c>
      <c r="L212" s="258"/>
      <c r="M212" s="645"/>
    </row>
    <row r="213" spans="1:13" x14ac:dyDescent="0.45">
      <c r="A213" s="655">
        <v>1903</v>
      </c>
      <c r="B213" s="1076">
        <v>0.59860595305610831</v>
      </c>
      <c r="C213" s="1076">
        <v>213.98850008034643</v>
      </c>
      <c r="D213" s="1076"/>
      <c r="E213" s="1076">
        <v>28.230048104854728</v>
      </c>
      <c r="F213" s="1077"/>
      <c r="G213" s="1078">
        <v>1959.3943904718326</v>
      </c>
      <c r="H213" s="1078">
        <v>1241.3327924409446</v>
      </c>
      <c r="I213" s="1077"/>
      <c r="J213" s="1078">
        <f t="shared" si="7"/>
        <v>3200.7271829127772</v>
      </c>
      <c r="K213" s="1079">
        <f t="shared" si="6"/>
        <v>3443.5443370510343</v>
      </c>
      <c r="L213" s="258"/>
      <c r="M213" s="645"/>
    </row>
    <row r="214" spans="1:13" x14ac:dyDescent="0.45">
      <c r="A214" s="655">
        <v>1904</v>
      </c>
      <c r="B214" s="1076">
        <v>0.58879274071092602</v>
      </c>
      <c r="C214" s="1076">
        <v>213.28389352477055</v>
      </c>
      <c r="D214" s="1076"/>
      <c r="E214" s="1076">
        <v>28.013980618623876</v>
      </c>
      <c r="F214" s="1077"/>
      <c r="G214" s="1078">
        <v>1956.7623099460029</v>
      </c>
      <c r="H214" s="1078">
        <v>1224.4370343307087</v>
      </c>
      <c r="I214" s="1077"/>
      <c r="J214" s="1078">
        <f t="shared" si="7"/>
        <v>3181.1993442767116</v>
      </c>
      <c r="K214" s="1079">
        <f t="shared" si="6"/>
        <v>3423.0860111608172</v>
      </c>
      <c r="L214" s="258"/>
      <c r="M214" s="645"/>
    </row>
    <row r="215" spans="1:13" x14ac:dyDescent="0.45">
      <c r="A215" s="655">
        <v>1905</v>
      </c>
      <c r="B215" s="1076">
        <v>0.57897952836574396</v>
      </c>
      <c r="C215" s="1076">
        <v>214.29907250234137</v>
      </c>
      <c r="D215" s="1076"/>
      <c r="E215" s="1076">
        <v>27.79791313239302</v>
      </c>
      <c r="F215" s="1077"/>
      <c r="G215" s="1078">
        <v>1954.1390912963943</v>
      </c>
      <c r="H215" s="1078">
        <v>1207.5412762204724</v>
      </c>
      <c r="I215" s="1077"/>
      <c r="J215" s="1078">
        <f t="shared" si="7"/>
        <v>3161.6803675168667</v>
      </c>
      <c r="K215" s="1079">
        <f t="shared" si="6"/>
        <v>3404.3563326799672</v>
      </c>
      <c r="L215" s="258"/>
      <c r="M215" s="645"/>
    </row>
    <row r="216" spans="1:13" x14ac:dyDescent="0.45">
      <c r="A216" s="655">
        <v>1906</v>
      </c>
      <c r="B216" s="1076">
        <v>0.56916631602056178</v>
      </c>
      <c r="C216" s="1076">
        <v>193.96815273695589</v>
      </c>
      <c r="D216" s="1076"/>
      <c r="E216" s="1076">
        <v>27.581845646162165</v>
      </c>
      <c r="F216" s="1077"/>
      <c r="G216" s="1078">
        <v>1951.528625235936</v>
      </c>
      <c r="H216" s="1078">
        <v>1190.6455181102363</v>
      </c>
      <c r="I216" s="1077"/>
      <c r="J216" s="1078">
        <f t="shared" si="7"/>
        <v>3142.1741433461721</v>
      </c>
      <c r="K216" s="1079">
        <f t="shared" si="6"/>
        <v>3364.2933080453104</v>
      </c>
      <c r="L216" s="258"/>
      <c r="M216" s="645"/>
    </row>
    <row r="217" spans="1:13" x14ac:dyDescent="0.45">
      <c r="A217" s="655">
        <v>1907</v>
      </c>
      <c r="B217" s="1076">
        <v>0.46122098022355967</v>
      </c>
      <c r="C217" s="1076">
        <v>178.31910870086023</v>
      </c>
      <c r="D217" s="1076"/>
      <c r="E217" s="1076">
        <v>27.365778159931214</v>
      </c>
      <c r="F217" s="1077"/>
      <c r="G217" s="1078">
        <v>1948.9159797214618</v>
      </c>
      <c r="H217" s="1078">
        <v>1173.7497599999999</v>
      </c>
      <c r="I217" s="1077"/>
      <c r="J217" s="1078">
        <f t="shared" si="7"/>
        <v>3122.6657397214617</v>
      </c>
      <c r="K217" s="1079">
        <f t="shared" si="6"/>
        <v>3328.8118475624769</v>
      </c>
      <c r="L217" s="258"/>
      <c r="M217" s="645"/>
    </row>
    <row r="218" spans="1:13" x14ac:dyDescent="0.45">
      <c r="A218" s="655">
        <v>1908</v>
      </c>
      <c r="B218" s="1076">
        <v>0.45660877042132414</v>
      </c>
      <c r="C218" s="1076">
        <v>174.41998731723965</v>
      </c>
      <c r="D218" s="1076"/>
      <c r="E218" s="1076">
        <v>26.549579785316066</v>
      </c>
      <c r="F218" s="1077"/>
      <c r="G218" s="1078">
        <v>1946.3166036170221</v>
      </c>
      <c r="H218" s="1078">
        <v>1156.854001889764</v>
      </c>
      <c r="I218" s="1077"/>
      <c r="J218" s="1078">
        <f t="shared" si="7"/>
        <v>3103.1706055067862</v>
      </c>
      <c r="K218" s="1079">
        <f t="shared" si="6"/>
        <v>3304.5967813797629</v>
      </c>
      <c r="L218" s="258"/>
      <c r="M218" s="645"/>
    </row>
    <row r="219" spans="1:13" x14ac:dyDescent="0.45">
      <c r="A219" s="655">
        <v>1909</v>
      </c>
      <c r="B219" s="1076">
        <v>0.4520426827171109</v>
      </c>
      <c r="C219" s="1076">
        <v>148.93217395932433</v>
      </c>
      <c r="D219" s="1076"/>
      <c r="E219" s="1076">
        <v>25.733381410700911</v>
      </c>
      <c r="F219" s="1077"/>
      <c r="G219" s="1078">
        <v>1943.7279256887659</v>
      </c>
      <c r="H219" s="1078">
        <v>1139.9582437795275</v>
      </c>
      <c r="I219" s="1077"/>
      <c r="J219" s="1078">
        <f t="shared" si="7"/>
        <v>3083.6861694682934</v>
      </c>
      <c r="K219" s="1079">
        <f t="shared" si="6"/>
        <v>3258.8037675210358</v>
      </c>
      <c r="L219" s="258"/>
      <c r="M219" s="645"/>
    </row>
    <row r="220" spans="1:13" x14ac:dyDescent="0.45">
      <c r="A220" s="655">
        <v>1910</v>
      </c>
      <c r="B220" s="1076">
        <v>0.44752225588993977</v>
      </c>
      <c r="C220" s="1076">
        <v>153.05572226458202</v>
      </c>
      <c r="D220" s="1076"/>
      <c r="E220" s="1076">
        <v>24.917183036085767</v>
      </c>
      <c r="F220" s="1077"/>
      <c r="G220" s="1078">
        <v>1941.1408434522521</v>
      </c>
      <c r="H220" s="1078">
        <v>1123.0624856692914</v>
      </c>
      <c r="I220" s="1077"/>
      <c r="J220" s="1078">
        <f t="shared" si="7"/>
        <v>3064.2033291215434</v>
      </c>
      <c r="K220" s="1079">
        <f t="shared" si="6"/>
        <v>3242.623756678101</v>
      </c>
      <c r="L220" s="258"/>
      <c r="M220" s="645"/>
    </row>
    <row r="221" spans="1:13" x14ac:dyDescent="0.45">
      <c r="A221" s="655">
        <v>1911</v>
      </c>
      <c r="B221" s="1076">
        <v>0.44304703333104034</v>
      </c>
      <c r="C221" s="1076">
        <v>147.36651457849032</v>
      </c>
      <c r="D221" s="1076"/>
      <c r="E221" s="1076">
        <v>24.100984661470616</v>
      </c>
      <c r="F221" s="1077"/>
      <c r="G221" s="1078">
        <v>1938.5141326920148</v>
      </c>
      <c r="H221" s="1078">
        <v>1106.1667275590551</v>
      </c>
      <c r="I221" s="1077"/>
      <c r="J221" s="1078">
        <f t="shared" si="7"/>
        <v>3044.68086025107</v>
      </c>
      <c r="K221" s="1079">
        <f t="shared" si="6"/>
        <v>3216.5914065243619</v>
      </c>
      <c r="L221" s="258"/>
      <c r="M221" s="645"/>
    </row>
    <row r="222" spans="1:13" x14ac:dyDescent="0.45">
      <c r="A222" s="655">
        <v>1912</v>
      </c>
      <c r="B222" s="1076">
        <v>0.43861656299773005</v>
      </c>
      <c r="C222" s="1076">
        <v>126.12095183196625</v>
      </c>
      <c r="D222" s="1076"/>
      <c r="E222" s="1076">
        <v>23.284786286855457</v>
      </c>
      <c r="F222" s="1077"/>
      <c r="G222" s="1078">
        <v>1886.0468772563843</v>
      </c>
      <c r="H222" s="1078">
        <v>1076.8685276801937</v>
      </c>
      <c r="I222" s="1077"/>
      <c r="J222" s="1078">
        <f t="shared" si="7"/>
        <v>2962.9154049365779</v>
      </c>
      <c r="K222" s="1079">
        <f t="shared" si="6"/>
        <v>3112.7597596183969</v>
      </c>
      <c r="L222" s="258"/>
      <c r="M222" s="645"/>
    </row>
    <row r="223" spans="1:13" x14ac:dyDescent="0.45">
      <c r="A223" s="655">
        <v>1913</v>
      </c>
      <c r="B223" s="1076">
        <v>0.4342303973677526</v>
      </c>
      <c r="C223" s="1076">
        <v>110.9444889451802</v>
      </c>
      <c r="D223" s="1076"/>
      <c r="E223" s="1076">
        <v>22.468587912240316</v>
      </c>
      <c r="F223" s="1077"/>
      <c r="G223" s="1078">
        <v>1833.6296686168916</v>
      </c>
      <c r="H223" s="1078">
        <v>1047.5703278013325</v>
      </c>
      <c r="I223" s="1077"/>
      <c r="J223" s="1078">
        <f t="shared" si="7"/>
        <v>2881.1999964182241</v>
      </c>
      <c r="K223" s="1079">
        <f t="shared" si="6"/>
        <v>3015.0473036730123</v>
      </c>
      <c r="L223" s="258"/>
      <c r="M223" s="645"/>
    </row>
    <row r="224" spans="1:13" x14ac:dyDescent="0.45">
      <c r="A224" s="655">
        <v>1914</v>
      </c>
      <c r="B224" s="1076">
        <v>0.42988809339407508</v>
      </c>
      <c r="C224" s="1076">
        <v>89.599519447882216</v>
      </c>
      <c r="D224" s="1076"/>
      <c r="E224" s="1076">
        <v>21.652389537625162</v>
      </c>
      <c r="F224" s="1077"/>
      <c r="G224" s="1078">
        <v>1781.3863916109804</v>
      </c>
      <c r="H224" s="1078">
        <v>1018.2721279224711</v>
      </c>
      <c r="I224" s="1077"/>
      <c r="J224" s="1078">
        <f t="shared" si="7"/>
        <v>2799.6585195334515</v>
      </c>
      <c r="K224" s="1079">
        <f t="shared" si="6"/>
        <v>2911.340316612353</v>
      </c>
      <c r="L224" s="258"/>
      <c r="M224" s="645"/>
    </row>
    <row r="225" spans="1:13" x14ac:dyDescent="0.45">
      <c r="A225" s="655">
        <v>1915</v>
      </c>
      <c r="B225" s="1076">
        <v>0.42558921246013443</v>
      </c>
      <c r="C225" s="1076">
        <v>113.82488818848115</v>
      </c>
      <c r="D225" s="1076"/>
      <c r="E225" s="1076">
        <v>20.836191163010017</v>
      </c>
      <c r="F225" s="1077"/>
      <c r="G225" s="1078">
        <v>1727.3254403481294</v>
      </c>
      <c r="H225" s="1078">
        <v>988.97392804360959</v>
      </c>
      <c r="I225" s="1077"/>
      <c r="J225" s="1078">
        <f t="shared" si="7"/>
        <v>2716.2993683917389</v>
      </c>
      <c r="K225" s="1079">
        <f t="shared" si="6"/>
        <v>2851.3860369556901</v>
      </c>
      <c r="L225" s="258"/>
      <c r="M225" s="645"/>
    </row>
    <row r="226" spans="1:13" x14ac:dyDescent="0.45">
      <c r="A226" s="655">
        <v>1916</v>
      </c>
      <c r="B226" s="1076">
        <v>0.42133332033553306</v>
      </c>
      <c r="C226" s="1076">
        <v>118.01781787878718</v>
      </c>
      <c r="D226" s="1076"/>
      <c r="E226" s="1076">
        <v>20.019992788394866</v>
      </c>
      <c r="F226" s="1077"/>
      <c r="G226" s="1078">
        <v>1674.2645709271621</v>
      </c>
      <c r="H226" s="1078">
        <v>959.67572816474831</v>
      </c>
      <c r="I226" s="1077"/>
      <c r="J226" s="1078">
        <f t="shared" si="7"/>
        <v>2633.9402990919107</v>
      </c>
      <c r="K226" s="1079">
        <f t="shared" si="6"/>
        <v>2772.3994430794287</v>
      </c>
      <c r="L226" s="258"/>
      <c r="M226" s="645"/>
    </row>
    <row r="227" spans="1:13" x14ac:dyDescent="0.45">
      <c r="A227" s="655">
        <v>1917</v>
      </c>
      <c r="B227" s="1076">
        <v>0.41711998713217774</v>
      </c>
      <c r="C227" s="1076">
        <v>60.368149910896037</v>
      </c>
      <c r="D227" s="1076"/>
      <c r="E227" s="1076">
        <v>19.203794413779715</v>
      </c>
      <c r="F227" s="1077"/>
      <c r="G227" s="1078">
        <v>1621.3800903393569</v>
      </c>
      <c r="H227" s="1078">
        <v>930.37752828588714</v>
      </c>
      <c r="I227" s="1077"/>
      <c r="J227" s="1078">
        <f t="shared" si="7"/>
        <v>2551.757618625244</v>
      </c>
      <c r="K227" s="1079">
        <f t="shared" si="6"/>
        <v>2631.7466829370519</v>
      </c>
      <c r="L227" s="258"/>
      <c r="M227" s="645"/>
    </row>
    <row r="228" spans="1:13" x14ac:dyDescent="0.45">
      <c r="A228" s="655">
        <v>1918</v>
      </c>
      <c r="B228" s="1076">
        <v>0.41294878726085582</v>
      </c>
      <c r="C228" s="1076">
        <v>53.265411667970469</v>
      </c>
      <c r="D228" s="1076"/>
      <c r="E228" s="1076">
        <v>18.387596039164563</v>
      </c>
      <c r="F228" s="1077"/>
      <c r="G228" s="1078">
        <v>1568.7825593525738</v>
      </c>
      <c r="H228" s="1078">
        <v>901.07932840702574</v>
      </c>
      <c r="I228" s="1077"/>
      <c r="J228" s="1078">
        <f t="shared" si="7"/>
        <v>2469.8618877595995</v>
      </c>
      <c r="K228" s="1079">
        <f t="shared" si="6"/>
        <v>2541.9278442539958</v>
      </c>
      <c r="L228" s="258"/>
      <c r="M228" s="645"/>
    </row>
    <row r="229" spans="1:13" x14ac:dyDescent="0.45">
      <c r="A229" s="655">
        <v>1919</v>
      </c>
      <c r="B229" s="1076">
        <v>0.40881929938824735</v>
      </c>
      <c r="C229" s="1076">
        <v>73.404990314372839</v>
      </c>
      <c r="D229" s="1076"/>
      <c r="E229" s="1076">
        <v>17.571397664549419</v>
      </c>
      <c r="F229" s="1077"/>
      <c r="G229" s="1078">
        <v>1517.4793545698797</v>
      </c>
      <c r="H229" s="1078">
        <v>871.78112852816412</v>
      </c>
      <c r="I229" s="1077"/>
      <c r="J229" s="1078">
        <f t="shared" si="7"/>
        <v>2389.2604830980436</v>
      </c>
      <c r="K229" s="1079">
        <f t="shared" si="6"/>
        <v>2480.6456903763537</v>
      </c>
      <c r="L229" s="258"/>
      <c r="M229" s="645"/>
    </row>
    <row r="230" spans="1:13" x14ac:dyDescent="0.45">
      <c r="A230" s="655">
        <v>1920</v>
      </c>
      <c r="B230" s="1076">
        <v>0.40473110639436488</v>
      </c>
      <c r="C230" s="1076">
        <v>74.138166140591892</v>
      </c>
      <c r="D230" s="1076"/>
      <c r="E230" s="1076">
        <v>16.755199289934264</v>
      </c>
      <c r="F230" s="1077"/>
      <c r="G230" s="1078">
        <v>1466.4381887063837</v>
      </c>
      <c r="H230" s="1078">
        <v>842.48292864930306</v>
      </c>
      <c r="I230" s="1077"/>
      <c r="J230" s="1078">
        <f t="shared" si="7"/>
        <v>2308.9211173556869</v>
      </c>
      <c r="K230" s="1079">
        <f t="shared" si="6"/>
        <v>2400.2192138926071</v>
      </c>
      <c r="L230" s="258"/>
      <c r="M230" s="645"/>
    </row>
    <row r="231" spans="1:13" x14ac:dyDescent="0.45">
      <c r="A231" s="655">
        <v>1921</v>
      </c>
      <c r="B231" s="1076">
        <v>0.40068379533042126</v>
      </c>
      <c r="C231" s="1076">
        <v>35.555015352404666</v>
      </c>
      <c r="D231" s="1076"/>
      <c r="E231" s="1076">
        <v>15.93900091531912</v>
      </c>
      <c r="F231" s="1077"/>
      <c r="G231" s="1078">
        <v>1414.4625775611064</v>
      </c>
      <c r="H231" s="1078">
        <v>813.18472877044167</v>
      </c>
      <c r="I231" s="1077"/>
      <c r="J231" s="1078">
        <f t="shared" si="7"/>
        <v>2227.647306331548</v>
      </c>
      <c r="K231" s="1079">
        <f t="shared" si="6"/>
        <v>2279.5420063946017</v>
      </c>
      <c r="L231" s="258"/>
      <c r="M231" s="645"/>
    </row>
    <row r="232" spans="1:13" x14ac:dyDescent="0.45">
      <c r="A232" s="655">
        <v>1922</v>
      </c>
      <c r="B232" s="1076">
        <v>0.39667695737711706</v>
      </c>
      <c r="C232" s="1076">
        <v>24.980332808468006</v>
      </c>
      <c r="D232" s="1076"/>
      <c r="E232" s="1076">
        <v>15.122802540703967</v>
      </c>
      <c r="F232" s="1077"/>
      <c r="G232" s="1078">
        <v>1359.9130300540485</v>
      </c>
      <c r="H232" s="1078">
        <v>783.88652889158038</v>
      </c>
      <c r="I232" s="1077"/>
      <c r="J232" s="1078">
        <f t="shared" si="7"/>
        <v>2143.7995589456286</v>
      </c>
      <c r="K232" s="1079">
        <f t="shared" si="6"/>
        <v>2184.2993712521779</v>
      </c>
      <c r="L232" s="258"/>
      <c r="M232" s="645"/>
    </row>
    <row r="233" spans="1:13" x14ac:dyDescent="0.45">
      <c r="A233" s="655">
        <v>1923</v>
      </c>
      <c r="B233" s="1076">
        <v>0.39271018780334582</v>
      </c>
      <c r="C233" s="1076">
        <v>27.822192932516192</v>
      </c>
      <c r="D233" s="1076"/>
      <c r="E233" s="1076">
        <v>14.306604166088819</v>
      </c>
      <c r="F233" s="1077"/>
      <c r="G233" s="1078">
        <v>1307.639422686512</v>
      </c>
      <c r="H233" s="1078">
        <v>754.58832901271933</v>
      </c>
      <c r="I233" s="1077"/>
      <c r="J233" s="1078">
        <f t="shared" si="7"/>
        <v>2062.2277516992312</v>
      </c>
      <c r="K233" s="1079">
        <f t="shared" si="6"/>
        <v>2104.7492589856397</v>
      </c>
      <c r="L233" s="258"/>
      <c r="M233" s="645"/>
    </row>
    <row r="234" spans="1:13" x14ac:dyDescent="0.45">
      <c r="A234" s="655">
        <v>1924</v>
      </c>
      <c r="B234" s="1076">
        <v>0.38878308592531235</v>
      </c>
      <c r="C234" s="1076">
        <v>26.966221062698175</v>
      </c>
      <c r="D234" s="1076"/>
      <c r="E234" s="1076">
        <v>13.490405791473668</v>
      </c>
      <c r="F234" s="1077"/>
      <c r="G234" s="1078">
        <v>1255.4388550820588</v>
      </c>
      <c r="H234" s="1078">
        <v>725.29012913385816</v>
      </c>
      <c r="I234" s="1077"/>
      <c r="J234" s="1078">
        <f t="shared" si="7"/>
        <v>1980.7289842159171</v>
      </c>
      <c r="K234" s="1079">
        <f t="shared" si="6"/>
        <v>2021.5743941560143</v>
      </c>
      <c r="L234" s="258"/>
      <c r="M234" s="645"/>
    </row>
    <row r="235" spans="1:13" x14ac:dyDescent="0.45">
      <c r="A235" s="655">
        <v>1925</v>
      </c>
      <c r="B235" s="1076">
        <v>0.38489525506605921</v>
      </c>
      <c r="C235" s="1076">
        <v>25.752630117049787</v>
      </c>
      <c r="D235" s="1076"/>
      <c r="E235" s="1076">
        <v>12.67420741685852</v>
      </c>
      <c r="F235" s="1077"/>
      <c r="G235" s="1078">
        <v>1004.3510840656471</v>
      </c>
      <c r="H235" s="1078">
        <v>628.4764724409448</v>
      </c>
      <c r="I235" s="1077"/>
      <c r="J235" s="1078">
        <f t="shared" si="7"/>
        <v>1632.8275565065919</v>
      </c>
      <c r="K235" s="1079">
        <f t="shared" si="6"/>
        <v>1671.6392892955664</v>
      </c>
      <c r="L235" s="258"/>
      <c r="M235" s="645"/>
    </row>
    <row r="236" spans="1:13" x14ac:dyDescent="0.45">
      <c r="A236" s="655">
        <v>1926</v>
      </c>
      <c r="B236" s="1076">
        <v>0.38104630251539878</v>
      </c>
      <c r="C236" s="1076">
        <v>16.218971815655252</v>
      </c>
      <c r="D236" s="1076"/>
      <c r="E236" s="1076">
        <v>11.858009042243371</v>
      </c>
      <c r="F236" s="1077"/>
      <c r="G236" s="1078">
        <v>803.48086725251756</v>
      </c>
      <c r="H236" s="1078">
        <v>531.66281574803145</v>
      </c>
      <c r="I236" s="1077"/>
      <c r="J236" s="1078">
        <f t="shared" si="7"/>
        <v>1335.1436830005491</v>
      </c>
      <c r="K236" s="1079">
        <f t="shared" si="6"/>
        <v>1363.6017101609632</v>
      </c>
      <c r="L236" s="258"/>
      <c r="M236" s="645"/>
    </row>
    <row r="237" spans="1:13" x14ac:dyDescent="0.45">
      <c r="A237" s="655">
        <v>1927</v>
      </c>
      <c r="B237" s="1076">
        <v>0.37723583949024458</v>
      </c>
      <c r="C237" s="1076">
        <v>5.8198453734392164</v>
      </c>
      <c r="D237" s="1076"/>
      <c r="E237" s="1076">
        <v>11.041810667628223</v>
      </c>
      <c r="F237" s="1077"/>
      <c r="G237" s="1078">
        <v>642.78469380201409</v>
      </c>
      <c r="H237" s="1078">
        <v>434.84915905511792</v>
      </c>
      <c r="I237" s="1077"/>
      <c r="J237" s="1078">
        <f t="shared" si="7"/>
        <v>1077.6338528571321</v>
      </c>
      <c r="K237" s="1079">
        <f t="shared" si="6"/>
        <v>1094.8727447376896</v>
      </c>
      <c r="L237" s="258"/>
      <c r="M237" s="645"/>
    </row>
    <row r="238" spans="1:13" x14ac:dyDescent="0.45">
      <c r="A238" s="655">
        <v>1928</v>
      </c>
      <c r="B238" s="1076">
        <v>0.37346348109534222</v>
      </c>
      <c r="C238" s="1076">
        <v>2.9209981242459357</v>
      </c>
      <c r="D238" s="1076"/>
      <c r="E238" s="1076">
        <v>10.225612293013072</v>
      </c>
      <c r="F238" s="1077"/>
      <c r="G238" s="1078">
        <v>514.22775504161132</v>
      </c>
      <c r="H238" s="1078">
        <v>338.03550236220451</v>
      </c>
      <c r="I238" s="1077"/>
      <c r="J238" s="1078">
        <f t="shared" si="7"/>
        <v>852.26325740381583</v>
      </c>
      <c r="K238" s="1079">
        <f t="shared" si="6"/>
        <v>865.78333130217015</v>
      </c>
      <c r="L238" s="258"/>
      <c r="M238" s="645"/>
    </row>
    <row r="239" spans="1:13" x14ac:dyDescent="0.45">
      <c r="A239" s="655">
        <v>1929</v>
      </c>
      <c r="B239" s="1076">
        <v>0.36972884628438879</v>
      </c>
      <c r="C239" s="1076">
        <v>0.6054201583346388</v>
      </c>
      <c r="D239" s="1076"/>
      <c r="E239" s="1076">
        <v>9.409413918397922</v>
      </c>
      <c r="F239" s="1077"/>
      <c r="G239" s="1078">
        <v>411.3822040332891</v>
      </c>
      <c r="H239" s="1078">
        <v>241.22184566929113</v>
      </c>
      <c r="I239" s="1077"/>
      <c r="J239" s="1078">
        <f t="shared" si="7"/>
        <v>652.60404970258026</v>
      </c>
      <c r="K239" s="1079">
        <f t="shared" si="6"/>
        <v>662.98861262559717</v>
      </c>
      <c r="L239" s="258"/>
      <c r="M239" s="645"/>
    </row>
    <row r="240" spans="1:13" x14ac:dyDescent="0.45">
      <c r="A240" s="655">
        <v>1930</v>
      </c>
      <c r="B240" s="1076">
        <v>0.36603155782154495</v>
      </c>
      <c r="C240" s="1076">
        <v>0.59963968589096939</v>
      </c>
      <c r="D240" s="1076"/>
      <c r="E240" s="1076">
        <v>8.5932155437827724</v>
      </c>
      <c r="F240" s="1077"/>
      <c r="G240" s="1078">
        <v>329.10576322663127</v>
      </c>
      <c r="H240" s="1078">
        <v>144.40818897637791</v>
      </c>
      <c r="I240" s="1077"/>
      <c r="J240" s="1078">
        <f t="shared" si="7"/>
        <v>473.51395220300918</v>
      </c>
      <c r="K240" s="1079">
        <f t="shared" si="6"/>
        <v>483.07283899050447</v>
      </c>
      <c r="L240" s="258"/>
      <c r="M240" s="645"/>
    </row>
    <row r="241" spans="1:13" x14ac:dyDescent="0.45">
      <c r="A241" s="655">
        <v>1931</v>
      </c>
      <c r="B241" s="1076">
        <v>0.36237124224332934</v>
      </c>
      <c r="C241" s="1076">
        <v>0.56434519741977252</v>
      </c>
      <c r="D241" s="1076"/>
      <c r="E241" s="1076">
        <v>7.7770171691676229</v>
      </c>
      <c r="F241" s="1077"/>
      <c r="G241" s="1078">
        <v>263.28461058130506</v>
      </c>
      <c r="H241" s="1078">
        <v>128.76396850393698</v>
      </c>
      <c r="I241" s="1077"/>
      <c r="J241" s="1078">
        <f t="shared" si="7"/>
        <v>392.04857908524207</v>
      </c>
      <c r="K241" s="1079">
        <f t="shared" si="6"/>
        <v>400.75231269407277</v>
      </c>
      <c r="L241" s="258"/>
      <c r="M241" s="645"/>
    </row>
    <row r="242" spans="1:13" x14ac:dyDescent="0.45">
      <c r="A242" s="655">
        <v>1932</v>
      </c>
      <c r="B242" s="1076">
        <v>0.35874752982089614</v>
      </c>
      <c r="C242" s="1076">
        <v>0.55198972205296015</v>
      </c>
      <c r="D242" s="1076"/>
      <c r="E242" s="1076">
        <v>6.9608187945524733</v>
      </c>
      <c r="F242" s="1077"/>
      <c r="G242" s="1078">
        <v>210.62768846504403</v>
      </c>
      <c r="H242" s="1078">
        <v>113.11974803149607</v>
      </c>
      <c r="I242" s="1077"/>
      <c r="J242" s="1078">
        <f t="shared" si="7"/>
        <v>323.7474364965401</v>
      </c>
      <c r="K242" s="1079">
        <f t="shared" si="6"/>
        <v>331.61899254296645</v>
      </c>
      <c r="L242" s="258"/>
      <c r="M242" s="645"/>
    </row>
    <row r="243" spans="1:13" x14ac:dyDescent="0.45">
      <c r="A243" s="655">
        <v>1933</v>
      </c>
      <c r="B243" s="1076">
        <v>0.35516005452268712</v>
      </c>
      <c r="C243" s="1076">
        <v>0.55595386378312339</v>
      </c>
      <c r="D243" s="1076"/>
      <c r="E243" s="1076">
        <v>6.1446204199373229</v>
      </c>
      <c r="F243" s="1077"/>
      <c r="G243" s="1078">
        <v>168.50215077203524</v>
      </c>
      <c r="H243" s="1078">
        <v>97.475527559055124</v>
      </c>
      <c r="I243" s="1077"/>
      <c r="J243" s="1078">
        <f t="shared" si="7"/>
        <v>265.97767833109037</v>
      </c>
      <c r="K243" s="1079">
        <f t="shared" si="6"/>
        <v>273.03341266933353</v>
      </c>
      <c r="L243" s="258"/>
      <c r="M243" s="645"/>
    </row>
    <row r="244" spans="1:13" x14ac:dyDescent="0.45">
      <c r="A244" s="655">
        <v>1934</v>
      </c>
      <c r="B244" s="1076">
        <v>0.35160845397746027</v>
      </c>
      <c r="C244" s="1076">
        <v>0.56447828245306586</v>
      </c>
      <c r="D244" s="1076"/>
      <c r="E244" s="1076">
        <v>5.3284220453221733</v>
      </c>
      <c r="F244" s="1077"/>
      <c r="G244" s="1078">
        <v>134.80172061762818</v>
      </c>
      <c r="H244" s="1078">
        <v>81.831307086614174</v>
      </c>
      <c r="I244" s="1077"/>
      <c r="J244" s="1078">
        <f t="shared" si="7"/>
        <v>216.63302770424235</v>
      </c>
      <c r="K244" s="1079">
        <f t="shared" si="6"/>
        <v>222.87753648599505</v>
      </c>
      <c r="L244" s="258"/>
      <c r="M244" s="645"/>
    </row>
    <row r="245" spans="1:13" x14ac:dyDescent="0.45">
      <c r="A245" s="655">
        <v>1935</v>
      </c>
      <c r="B245" s="1076">
        <v>0.34809236943768557</v>
      </c>
      <c r="C245" s="1076">
        <v>0.57142256726320129</v>
      </c>
      <c r="D245" s="1076"/>
      <c r="E245" s="1076">
        <v>4.5122236707070229</v>
      </c>
      <c r="F245" s="1077"/>
      <c r="G245" s="1078">
        <v>107.84137649410256</v>
      </c>
      <c r="H245" s="1078">
        <v>66.187086614173239</v>
      </c>
      <c r="I245" s="1077"/>
      <c r="J245" s="1078">
        <f t="shared" si="7"/>
        <v>174.02846310827579</v>
      </c>
      <c r="K245" s="1079">
        <f t="shared" si="6"/>
        <v>179.4602017156837</v>
      </c>
      <c r="L245" s="258"/>
      <c r="M245" s="645"/>
    </row>
    <row r="246" spans="1:13" x14ac:dyDescent="0.45">
      <c r="A246" s="655">
        <v>1936</v>
      </c>
      <c r="B246" s="1076">
        <v>0.34461144574330876</v>
      </c>
      <c r="C246" s="1076">
        <v>0.58191661165562125</v>
      </c>
      <c r="D246" s="1076"/>
      <c r="E246" s="1076">
        <v>3.6960252960918725</v>
      </c>
      <c r="F246" s="1077"/>
      <c r="G246" s="1078">
        <v>86.273101195282052</v>
      </c>
      <c r="H246" s="1078">
        <v>50.542866141732297</v>
      </c>
      <c r="I246" s="1077"/>
      <c r="J246" s="1078">
        <f t="shared" si="7"/>
        <v>136.81596733701434</v>
      </c>
      <c r="K246" s="1079">
        <f t="shared" si="6"/>
        <v>141.43852069050516</v>
      </c>
      <c r="L246" s="258"/>
      <c r="M246" s="645"/>
    </row>
    <row r="247" spans="1:13" x14ac:dyDescent="0.45">
      <c r="A247" s="655">
        <v>1937</v>
      </c>
      <c r="B247" s="1076">
        <v>0.34116533128587567</v>
      </c>
      <c r="C247" s="1076">
        <v>0.6064765494682216</v>
      </c>
      <c r="D247" s="1076"/>
      <c r="E247" s="1076">
        <v>2.8798269214767229</v>
      </c>
      <c r="F247" s="1077"/>
      <c r="G247" s="1078">
        <v>69.018480956225645</v>
      </c>
      <c r="H247" s="1078">
        <v>34.898645669291334</v>
      </c>
      <c r="I247" s="1077"/>
      <c r="J247" s="1078">
        <f t="shared" si="7"/>
        <v>103.91712662551697</v>
      </c>
      <c r="K247" s="1079">
        <f t="shared" si="6"/>
        <v>107.7445954277478</v>
      </c>
      <c r="L247" s="258"/>
      <c r="M247" s="645"/>
    </row>
    <row r="248" spans="1:13" x14ac:dyDescent="0.45">
      <c r="A248" s="655">
        <v>1938</v>
      </c>
      <c r="B248" s="1076">
        <v>0.33775367797301686</v>
      </c>
      <c r="C248" s="1076">
        <v>0.41836849438287765</v>
      </c>
      <c r="D248" s="1076"/>
      <c r="E248" s="1076">
        <v>2.0636285468615649</v>
      </c>
      <c r="F248" s="1077"/>
      <c r="G248" s="1078">
        <v>55.214784764980521</v>
      </c>
      <c r="H248" s="1078">
        <v>19.254425196850395</v>
      </c>
      <c r="I248" s="1077"/>
      <c r="J248" s="1078">
        <f t="shared" si="7"/>
        <v>74.469209961830913</v>
      </c>
      <c r="K248" s="1079">
        <f t="shared" si="6"/>
        <v>77.288960681048366</v>
      </c>
      <c r="L248" s="258"/>
      <c r="M248" s="645"/>
    </row>
    <row r="249" spans="1:13" x14ac:dyDescent="0.45">
      <c r="A249" s="655">
        <v>1939</v>
      </c>
      <c r="B249" s="1076">
        <v>0</v>
      </c>
      <c r="C249" s="1076">
        <v>0</v>
      </c>
      <c r="D249" s="1076"/>
      <c r="E249" s="1076">
        <v>0</v>
      </c>
      <c r="F249" s="1077"/>
      <c r="G249" s="1078">
        <v>44.171827811984414</v>
      </c>
      <c r="H249" s="1078">
        <v>0</v>
      </c>
      <c r="I249" s="1077"/>
      <c r="J249" s="1078">
        <f t="shared" si="7"/>
        <v>44.171827811984414</v>
      </c>
      <c r="K249" s="1079">
        <f t="shared" si="6"/>
        <v>44.171827811984414</v>
      </c>
      <c r="L249" s="258"/>
      <c r="M249" s="645"/>
    </row>
    <row r="250" spans="1:13" x14ac:dyDescent="0.45">
      <c r="A250" s="655">
        <v>1940</v>
      </c>
      <c r="B250" s="1076">
        <v>0</v>
      </c>
      <c r="C250" s="1076">
        <v>0</v>
      </c>
      <c r="D250" s="1076"/>
      <c r="E250" s="1076">
        <v>0</v>
      </c>
      <c r="F250" s="1077"/>
      <c r="G250" s="1078">
        <v>35.337462249587531</v>
      </c>
      <c r="H250" s="1078">
        <v>0</v>
      </c>
      <c r="I250" s="1077"/>
      <c r="J250" s="1078">
        <f t="shared" si="7"/>
        <v>35.337462249587531</v>
      </c>
      <c r="K250" s="1079">
        <f t="shared" si="6"/>
        <v>35.337462249587531</v>
      </c>
      <c r="L250" s="258"/>
      <c r="M250" s="645"/>
    </row>
    <row r="251" spans="1:13" x14ac:dyDescent="0.45">
      <c r="A251" s="655">
        <v>1941</v>
      </c>
      <c r="B251" s="1076">
        <v>0</v>
      </c>
      <c r="C251" s="1076">
        <v>0</v>
      </c>
      <c r="D251" s="1076"/>
      <c r="E251" s="1076">
        <v>0</v>
      </c>
      <c r="F251" s="1077"/>
      <c r="G251" s="1078">
        <v>28.269969799670026</v>
      </c>
      <c r="H251" s="1078">
        <v>0</v>
      </c>
      <c r="I251" s="1077"/>
      <c r="J251" s="1078">
        <f t="shared" si="7"/>
        <v>28.269969799670026</v>
      </c>
      <c r="K251" s="1079">
        <f t="shared" si="6"/>
        <v>28.269969799670026</v>
      </c>
      <c r="L251" s="258"/>
      <c r="M251" s="645"/>
    </row>
    <row r="252" spans="1:13" x14ac:dyDescent="0.45">
      <c r="A252" s="655">
        <v>1942</v>
      </c>
      <c r="B252" s="1076">
        <v>0</v>
      </c>
      <c r="C252" s="1076">
        <v>0</v>
      </c>
      <c r="D252" s="1076"/>
      <c r="E252" s="1076">
        <v>0</v>
      </c>
      <c r="F252" s="1077"/>
      <c r="G252" s="1078">
        <v>22.61597583973602</v>
      </c>
      <c r="H252" s="1078">
        <v>0</v>
      </c>
      <c r="I252" s="1077"/>
      <c r="J252" s="1078">
        <f t="shared" si="7"/>
        <v>22.61597583973602</v>
      </c>
      <c r="K252" s="1079">
        <f t="shared" si="6"/>
        <v>22.61597583973602</v>
      </c>
      <c r="L252" s="258"/>
      <c r="M252" s="645"/>
    </row>
    <row r="253" spans="1:13" x14ac:dyDescent="0.45">
      <c r="A253" s="655">
        <v>1943</v>
      </c>
      <c r="B253" s="1076">
        <v>0</v>
      </c>
      <c r="C253" s="1076">
        <v>0</v>
      </c>
      <c r="D253" s="1076"/>
      <c r="E253" s="1076">
        <v>0</v>
      </c>
      <c r="F253" s="1077"/>
      <c r="G253" s="1078">
        <v>18.09278067178882</v>
      </c>
      <c r="H253" s="1078">
        <v>0</v>
      </c>
      <c r="I253" s="1077"/>
      <c r="J253" s="1078">
        <f t="shared" si="7"/>
        <v>18.09278067178882</v>
      </c>
      <c r="K253" s="1079">
        <f t="shared" si="6"/>
        <v>18.09278067178882</v>
      </c>
      <c r="L253" s="258"/>
      <c r="M253" s="645"/>
    </row>
    <row r="254" spans="1:13" x14ac:dyDescent="0.45">
      <c r="A254" s="655">
        <v>1944</v>
      </c>
      <c r="B254" s="1076">
        <v>0</v>
      </c>
      <c r="C254" s="1076">
        <v>0</v>
      </c>
      <c r="D254" s="1076"/>
      <c r="E254" s="1076">
        <v>0</v>
      </c>
      <c r="F254" s="1077"/>
      <c r="G254" s="1078">
        <v>14.474224537431056</v>
      </c>
      <c r="H254" s="1078">
        <v>0</v>
      </c>
      <c r="I254" s="1077"/>
      <c r="J254" s="1078">
        <f t="shared" si="7"/>
        <v>14.474224537431056</v>
      </c>
      <c r="K254" s="1079">
        <f t="shared" si="6"/>
        <v>14.474224537431056</v>
      </c>
      <c r="L254" s="258"/>
      <c r="M254" s="645"/>
    </row>
    <row r="255" spans="1:13" x14ac:dyDescent="0.45">
      <c r="A255" s="655">
        <v>1945</v>
      </c>
      <c r="B255" s="1076">
        <v>0</v>
      </c>
      <c r="C255" s="1076">
        <v>0</v>
      </c>
      <c r="D255" s="1076"/>
      <c r="E255" s="1076">
        <v>0</v>
      </c>
      <c r="F255" s="1077"/>
      <c r="G255" s="1078">
        <v>11.579379629944846</v>
      </c>
      <c r="H255" s="1078">
        <v>0</v>
      </c>
      <c r="I255" s="1077"/>
      <c r="J255" s="1078">
        <f t="shared" si="7"/>
        <v>11.579379629944846</v>
      </c>
      <c r="K255" s="1079">
        <f t="shared" si="6"/>
        <v>11.579379629944846</v>
      </c>
      <c r="L255" s="258"/>
      <c r="M255" s="645"/>
    </row>
    <row r="256" spans="1:13" x14ac:dyDescent="0.45">
      <c r="A256" s="655">
        <v>1946</v>
      </c>
      <c r="B256" s="1076">
        <v>0</v>
      </c>
      <c r="C256" s="1076">
        <v>0</v>
      </c>
      <c r="D256" s="1076"/>
      <c r="E256" s="1076">
        <v>0</v>
      </c>
      <c r="F256" s="1077"/>
      <c r="G256" s="1078">
        <v>9.2635037039558767</v>
      </c>
      <c r="H256" s="1078">
        <v>0</v>
      </c>
      <c r="I256" s="1077"/>
      <c r="J256" s="1078">
        <f t="shared" si="7"/>
        <v>9.2635037039558767</v>
      </c>
      <c r="K256" s="1079">
        <f t="shared" si="6"/>
        <v>9.2635037039558767</v>
      </c>
      <c r="L256" s="258"/>
      <c r="M256" s="645"/>
    </row>
    <row r="257" spans="1:13" x14ac:dyDescent="0.45">
      <c r="A257" s="655">
        <v>1947</v>
      </c>
      <c r="B257" s="1076">
        <v>0</v>
      </c>
      <c r="C257" s="1076">
        <v>0</v>
      </c>
      <c r="D257" s="1076"/>
      <c r="E257" s="1076">
        <v>0</v>
      </c>
      <c r="F257" s="1077"/>
      <c r="G257" s="1078">
        <v>7.410802963164703</v>
      </c>
      <c r="H257" s="1078">
        <v>0</v>
      </c>
      <c r="I257" s="1077"/>
      <c r="J257" s="1078">
        <f t="shared" si="7"/>
        <v>7.410802963164703</v>
      </c>
      <c r="K257" s="1079">
        <f t="shared" si="6"/>
        <v>7.410802963164703</v>
      </c>
      <c r="L257" s="258"/>
      <c r="M257" s="645"/>
    </row>
    <row r="258" spans="1:13" x14ac:dyDescent="0.45">
      <c r="A258" s="655">
        <v>1948</v>
      </c>
      <c r="B258" s="1076">
        <v>0</v>
      </c>
      <c r="C258" s="1076">
        <v>0</v>
      </c>
      <c r="D258" s="1076"/>
      <c r="E258" s="1076">
        <v>0</v>
      </c>
      <c r="F258" s="1077"/>
      <c r="G258" s="1078">
        <v>5.9286423705317617</v>
      </c>
      <c r="H258" s="1078">
        <v>0</v>
      </c>
      <c r="I258" s="1077"/>
      <c r="J258" s="1078">
        <f t="shared" si="7"/>
        <v>5.9286423705317617</v>
      </c>
      <c r="K258" s="1079">
        <f t="shared" si="6"/>
        <v>5.9286423705317617</v>
      </c>
      <c r="L258" s="258"/>
      <c r="M258" s="645"/>
    </row>
    <row r="259" spans="1:13" x14ac:dyDescent="0.45">
      <c r="A259" s="655">
        <v>1949</v>
      </c>
      <c r="B259" s="1076">
        <v>0</v>
      </c>
      <c r="C259" s="1076">
        <v>0</v>
      </c>
      <c r="D259" s="1076"/>
      <c r="E259" s="1076">
        <v>0</v>
      </c>
      <c r="F259" s="1077"/>
      <c r="G259" s="1078">
        <v>4.7429138964254101</v>
      </c>
      <c r="H259" s="1078">
        <v>0</v>
      </c>
      <c r="I259" s="1077"/>
      <c r="J259" s="1078">
        <f t="shared" si="7"/>
        <v>4.7429138964254101</v>
      </c>
      <c r="K259" s="1079">
        <f t="shared" si="6"/>
        <v>4.7429138964254101</v>
      </c>
      <c r="L259" s="258"/>
      <c r="M259" s="645"/>
    </row>
    <row r="260" spans="1:13" x14ac:dyDescent="0.45">
      <c r="A260" s="655">
        <v>1950</v>
      </c>
      <c r="B260" s="1076">
        <v>0</v>
      </c>
      <c r="C260" s="1076">
        <v>0</v>
      </c>
      <c r="D260" s="1076"/>
      <c r="E260" s="1076">
        <v>0</v>
      </c>
      <c r="F260" s="1077"/>
      <c r="G260" s="1078">
        <v>3.7943311171403278</v>
      </c>
      <c r="H260" s="1078">
        <v>0</v>
      </c>
      <c r="I260" s="1077"/>
      <c r="J260" s="1078">
        <f t="shared" si="7"/>
        <v>3.7943311171403278</v>
      </c>
      <c r="K260" s="1079">
        <f t="shared" si="6"/>
        <v>3.7943311171403278</v>
      </c>
      <c r="L260" s="258"/>
      <c r="M260" s="645"/>
    </row>
    <row r="261" spans="1:13" x14ac:dyDescent="0.45">
      <c r="A261" s="655">
        <v>1951</v>
      </c>
      <c r="B261" s="1076">
        <v>0</v>
      </c>
      <c r="C261" s="1076">
        <v>0</v>
      </c>
      <c r="D261" s="1076"/>
      <c r="E261" s="1076">
        <v>0</v>
      </c>
      <c r="F261" s="1077"/>
      <c r="G261" s="1078">
        <v>3.0354648937122626</v>
      </c>
      <c r="H261" s="1078">
        <v>0</v>
      </c>
      <c r="I261" s="1077"/>
      <c r="J261" s="1078">
        <f t="shared" si="7"/>
        <v>3.0354648937122626</v>
      </c>
      <c r="K261" s="1079">
        <f t="shared" si="6"/>
        <v>3.0354648937122626</v>
      </c>
      <c r="L261" s="258"/>
      <c r="M261" s="645"/>
    </row>
    <row r="262" spans="1:13" x14ac:dyDescent="0.45">
      <c r="A262" s="655">
        <v>1952</v>
      </c>
      <c r="B262" s="1076">
        <v>0</v>
      </c>
      <c r="C262" s="1076">
        <v>0</v>
      </c>
      <c r="D262" s="1076"/>
      <c r="E262" s="1076">
        <v>0</v>
      </c>
      <c r="F262" s="1077"/>
      <c r="G262" s="1078">
        <v>2.4283719149698104</v>
      </c>
      <c r="H262" s="1078">
        <v>0</v>
      </c>
      <c r="I262" s="1077"/>
      <c r="J262" s="1078">
        <f t="shared" si="7"/>
        <v>2.4283719149698104</v>
      </c>
      <c r="K262" s="1079">
        <f t="shared" si="6"/>
        <v>2.4283719149698104</v>
      </c>
      <c r="L262" s="258"/>
      <c r="M262" s="645"/>
    </row>
    <row r="263" spans="1:13" x14ac:dyDescent="0.45">
      <c r="A263" s="655">
        <v>1953</v>
      </c>
      <c r="B263" s="1076">
        <v>0</v>
      </c>
      <c r="C263" s="1076">
        <v>0</v>
      </c>
      <c r="D263" s="1076"/>
      <c r="E263" s="1076">
        <v>0</v>
      </c>
      <c r="F263" s="1077"/>
      <c r="G263" s="1078">
        <v>1.9426975319758484</v>
      </c>
      <c r="H263" s="1078">
        <v>0</v>
      </c>
      <c r="I263" s="1077"/>
      <c r="J263" s="1078">
        <f t="shared" si="7"/>
        <v>1.9426975319758484</v>
      </c>
      <c r="K263" s="1079">
        <f t="shared" si="6"/>
        <v>1.9426975319758484</v>
      </c>
      <c r="L263" s="258"/>
      <c r="M263" s="645"/>
    </row>
    <row r="264" spans="1:13" x14ac:dyDescent="0.45">
      <c r="A264" s="655">
        <v>1954</v>
      </c>
      <c r="B264" s="1076">
        <v>0</v>
      </c>
      <c r="C264" s="1076">
        <v>0</v>
      </c>
      <c r="D264" s="1076"/>
      <c r="E264" s="1076">
        <v>0</v>
      </c>
      <c r="F264" s="1077"/>
      <c r="G264" s="1078">
        <v>1.5541580255806786</v>
      </c>
      <c r="H264" s="1078">
        <v>0</v>
      </c>
      <c r="I264" s="1077"/>
      <c r="J264" s="1078">
        <f t="shared" si="7"/>
        <v>1.5541580255806786</v>
      </c>
      <c r="K264" s="1079">
        <f t="shared" si="6"/>
        <v>1.5541580255806786</v>
      </c>
      <c r="L264" s="258"/>
      <c r="M264" s="645"/>
    </row>
    <row r="265" spans="1:13" x14ac:dyDescent="0.45">
      <c r="A265" s="655">
        <v>1955</v>
      </c>
      <c r="B265" s="1076">
        <v>0</v>
      </c>
      <c r="C265" s="1076">
        <v>0</v>
      </c>
      <c r="D265" s="1076"/>
      <c r="E265" s="1076">
        <v>0</v>
      </c>
      <c r="F265" s="1077"/>
      <c r="G265" s="1078">
        <v>1.2433264204645431</v>
      </c>
      <c r="H265" s="1078">
        <v>0</v>
      </c>
      <c r="I265" s="1077"/>
      <c r="J265" s="1078">
        <f t="shared" si="7"/>
        <v>1.2433264204645431</v>
      </c>
      <c r="K265" s="1079">
        <f t="shared" si="6"/>
        <v>1.2433264204645431</v>
      </c>
      <c r="L265" s="258"/>
      <c r="M265" s="645"/>
    </row>
    <row r="266" spans="1:13" x14ac:dyDescent="0.45">
      <c r="A266" s="655">
        <v>1956</v>
      </c>
      <c r="B266" s="1076">
        <v>0</v>
      </c>
      <c r="C266" s="1076">
        <v>0</v>
      </c>
      <c r="D266" s="1076"/>
      <c r="E266" s="1076">
        <v>0</v>
      </c>
      <c r="F266" s="1077"/>
      <c r="G266" s="1078">
        <v>0.99466113637163445</v>
      </c>
      <c r="H266" s="1078">
        <v>0</v>
      </c>
      <c r="I266" s="1077"/>
      <c r="J266" s="1078">
        <f t="shared" si="7"/>
        <v>0.99466113637163445</v>
      </c>
      <c r="K266" s="1079">
        <f t="shared" ref="K266:K329" si="8">J266+E266+C266+B266</f>
        <v>0.99466113637163445</v>
      </c>
      <c r="L266" s="258"/>
      <c r="M266" s="645"/>
    </row>
    <row r="267" spans="1:13" x14ac:dyDescent="0.45">
      <c r="A267" s="655">
        <v>1957</v>
      </c>
      <c r="B267" s="1076">
        <v>0</v>
      </c>
      <c r="C267" s="1076">
        <v>0</v>
      </c>
      <c r="D267" s="1076"/>
      <c r="E267" s="1076">
        <v>0</v>
      </c>
      <c r="F267" s="1077"/>
      <c r="G267" s="1078">
        <v>0.79572890909730765</v>
      </c>
      <c r="H267" s="1078">
        <v>0</v>
      </c>
      <c r="I267" s="1077"/>
      <c r="J267" s="1078">
        <f t="shared" ref="J267:J330" si="9">G267+H267</f>
        <v>0.79572890909730765</v>
      </c>
      <c r="K267" s="1079">
        <f t="shared" si="8"/>
        <v>0.79572890909730765</v>
      </c>
      <c r="L267" s="258"/>
      <c r="M267" s="645"/>
    </row>
    <row r="268" spans="1:13" x14ac:dyDescent="0.45">
      <c r="A268" s="655">
        <v>1958</v>
      </c>
      <c r="B268" s="1076">
        <v>0</v>
      </c>
      <c r="C268" s="1076">
        <v>0</v>
      </c>
      <c r="D268" s="1076"/>
      <c r="E268" s="1076">
        <v>0</v>
      </c>
      <c r="F268" s="1077"/>
      <c r="G268" s="1078">
        <v>0.63658312727784616</v>
      </c>
      <c r="H268" s="1078">
        <v>0</v>
      </c>
      <c r="I268" s="1077"/>
      <c r="J268" s="1078">
        <f t="shared" si="9"/>
        <v>0.63658312727784616</v>
      </c>
      <c r="K268" s="1079">
        <f t="shared" si="8"/>
        <v>0.63658312727784616</v>
      </c>
      <c r="L268" s="258"/>
      <c r="M268" s="645"/>
    </row>
    <row r="269" spans="1:13" x14ac:dyDescent="0.45">
      <c r="A269" s="655">
        <v>1959</v>
      </c>
      <c r="B269" s="1076">
        <v>0</v>
      </c>
      <c r="C269" s="1076">
        <v>0</v>
      </c>
      <c r="D269" s="1076"/>
      <c r="E269" s="1076">
        <v>0</v>
      </c>
      <c r="F269" s="1077"/>
      <c r="G269" s="1078">
        <v>0.50926650182227695</v>
      </c>
      <c r="H269" s="1078">
        <v>0</v>
      </c>
      <c r="I269" s="1077"/>
      <c r="J269" s="1078">
        <f t="shared" si="9"/>
        <v>0.50926650182227695</v>
      </c>
      <c r="K269" s="1079">
        <f t="shared" si="8"/>
        <v>0.50926650182227695</v>
      </c>
      <c r="L269" s="258"/>
      <c r="M269" s="645"/>
    </row>
    <row r="270" spans="1:13" x14ac:dyDescent="0.45">
      <c r="A270" s="655">
        <v>1960</v>
      </c>
      <c r="B270" s="1076">
        <v>0</v>
      </c>
      <c r="C270" s="1076">
        <v>0</v>
      </c>
      <c r="D270" s="1076"/>
      <c r="E270" s="1076">
        <v>0</v>
      </c>
      <c r="F270" s="1077"/>
      <c r="G270" s="1078">
        <v>0.40741320145782162</v>
      </c>
      <c r="H270" s="1078">
        <v>0</v>
      </c>
      <c r="I270" s="1077"/>
      <c r="J270" s="1078">
        <f t="shared" si="9"/>
        <v>0.40741320145782162</v>
      </c>
      <c r="K270" s="1079">
        <f t="shared" si="8"/>
        <v>0.40741320145782162</v>
      </c>
      <c r="L270" s="258"/>
      <c r="M270" s="645"/>
    </row>
    <row r="271" spans="1:13" x14ac:dyDescent="0.45">
      <c r="A271" s="655">
        <v>1961</v>
      </c>
      <c r="B271" s="1076">
        <v>0</v>
      </c>
      <c r="C271" s="1076">
        <v>0</v>
      </c>
      <c r="D271" s="1076"/>
      <c r="E271" s="1076">
        <v>0</v>
      </c>
      <c r="F271" s="1077"/>
      <c r="G271" s="1078">
        <v>0</v>
      </c>
      <c r="H271" s="1078">
        <v>0</v>
      </c>
      <c r="I271" s="1077"/>
      <c r="J271" s="1078">
        <f t="shared" si="9"/>
        <v>0</v>
      </c>
      <c r="K271" s="1079">
        <f t="shared" si="8"/>
        <v>0</v>
      </c>
      <c r="L271" s="258"/>
      <c r="M271" s="645"/>
    </row>
    <row r="272" spans="1:13" x14ac:dyDescent="0.45">
      <c r="A272" s="655">
        <v>1962</v>
      </c>
      <c r="B272" s="1076">
        <v>0</v>
      </c>
      <c r="C272" s="1076">
        <v>0</v>
      </c>
      <c r="D272" s="1076"/>
      <c r="E272" s="1076">
        <v>0</v>
      </c>
      <c r="F272" s="1077"/>
      <c r="G272" s="1078">
        <v>0</v>
      </c>
      <c r="H272" s="1078">
        <v>0</v>
      </c>
      <c r="I272" s="1077"/>
      <c r="J272" s="1078">
        <f t="shared" si="9"/>
        <v>0</v>
      </c>
      <c r="K272" s="1079">
        <f t="shared" si="8"/>
        <v>0</v>
      </c>
      <c r="L272" s="258"/>
      <c r="M272" s="645"/>
    </row>
    <row r="273" spans="1:13" x14ac:dyDescent="0.45">
      <c r="A273" s="655">
        <v>1963</v>
      </c>
      <c r="B273" s="1076">
        <v>0</v>
      </c>
      <c r="C273" s="1076">
        <v>0</v>
      </c>
      <c r="D273" s="1076"/>
      <c r="E273" s="1076">
        <v>0</v>
      </c>
      <c r="F273" s="1077"/>
      <c r="G273" s="1078">
        <v>0</v>
      </c>
      <c r="H273" s="1078">
        <v>0</v>
      </c>
      <c r="I273" s="1077"/>
      <c r="J273" s="1078">
        <f t="shared" si="9"/>
        <v>0</v>
      </c>
      <c r="K273" s="1079">
        <f t="shared" si="8"/>
        <v>0</v>
      </c>
      <c r="L273" s="258"/>
      <c r="M273" s="645"/>
    </row>
    <row r="274" spans="1:13" x14ac:dyDescent="0.45">
      <c r="A274" s="655">
        <v>1964</v>
      </c>
      <c r="B274" s="1076">
        <v>0</v>
      </c>
      <c r="C274" s="1076">
        <v>0</v>
      </c>
      <c r="D274" s="1076"/>
      <c r="E274" s="1076">
        <v>0</v>
      </c>
      <c r="F274" s="1077"/>
      <c r="G274" s="1078">
        <v>0</v>
      </c>
      <c r="H274" s="1078">
        <v>0</v>
      </c>
      <c r="I274" s="1077"/>
      <c r="J274" s="1078">
        <f t="shared" si="9"/>
        <v>0</v>
      </c>
      <c r="K274" s="1079">
        <f t="shared" si="8"/>
        <v>0</v>
      </c>
      <c r="L274" s="258"/>
      <c r="M274" s="645"/>
    </row>
    <row r="275" spans="1:13" x14ac:dyDescent="0.45">
      <c r="A275" s="655">
        <v>1965</v>
      </c>
      <c r="B275" s="1076">
        <v>0</v>
      </c>
      <c r="C275" s="1076">
        <v>0</v>
      </c>
      <c r="D275" s="1076"/>
      <c r="E275" s="1076">
        <v>0</v>
      </c>
      <c r="F275" s="1077"/>
      <c r="G275" s="1078">
        <v>0</v>
      </c>
      <c r="H275" s="1078">
        <v>0</v>
      </c>
      <c r="I275" s="1077"/>
      <c r="J275" s="1078">
        <f t="shared" si="9"/>
        <v>0</v>
      </c>
      <c r="K275" s="1079">
        <f t="shared" si="8"/>
        <v>0</v>
      </c>
      <c r="L275" s="258"/>
      <c r="M275" s="645"/>
    </row>
    <row r="276" spans="1:13" x14ac:dyDescent="0.45">
      <c r="A276" s="655">
        <v>1966</v>
      </c>
      <c r="B276" s="1076">
        <v>0</v>
      </c>
      <c r="C276" s="1076">
        <v>0</v>
      </c>
      <c r="D276" s="1076"/>
      <c r="E276" s="1076">
        <v>0</v>
      </c>
      <c r="F276" s="1077"/>
      <c r="G276" s="1078">
        <v>0</v>
      </c>
      <c r="H276" s="1078">
        <v>0</v>
      </c>
      <c r="I276" s="1077"/>
      <c r="J276" s="1078">
        <f t="shared" si="9"/>
        <v>0</v>
      </c>
      <c r="K276" s="1079">
        <f t="shared" si="8"/>
        <v>0</v>
      </c>
      <c r="L276" s="258"/>
      <c r="M276" s="645"/>
    </row>
    <row r="277" spans="1:13" x14ac:dyDescent="0.45">
      <c r="A277" s="655">
        <v>1967</v>
      </c>
      <c r="B277" s="1076">
        <v>0</v>
      </c>
      <c r="C277" s="1076">
        <v>0</v>
      </c>
      <c r="D277" s="1076"/>
      <c r="E277" s="1076">
        <v>0</v>
      </c>
      <c r="F277" s="1077"/>
      <c r="G277" s="1078">
        <v>0</v>
      </c>
      <c r="H277" s="1078">
        <v>0</v>
      </c>
      <c r="I277" s="1077"/>
      <c r="J277" s="1078">
        <f t="shared" si="9"/>
        <v>0</v>
      </c>
      <c r="K277" s="1079">
        <f t="shared" si="8"/>
        <v>0</v>
      </c>
      <c r="L277" s="258"/>
      <c r="M277" s="645"/>
    </row>
    <row r="278" spans="1:13" x14ac:dyDescent="0.45">
      <c r="A278" s="655">
        <v>1968</v>
      </c>
      <c r="B278" s="1076">
        <v>0</v>
      </c>
      <c r="C278" s="1076">
        <v>0</v>
      </c>
      <c r="D278" s="1076"/>
      <c r="E278" s="1076">
        <v>0</v>
      </c>
      <c r="F278" s="1077"/>
      <c r="G278" s="1078">
        <v>0</v>
      </c>
      <c r="H278" s="1078">
        <v>0</v>
      </c>
      <c r="I278" s="1077"/>
      <c r="J278" s="1078">
        <f t="shared" si="9"/>
        <v>0</v>
      </c>
      <c r="K278" s="1079">
        <f t="shared" si="8"/>
        <v>0</v>
      </c>
      <c r="L278" s="258"/>
      <c r="M278" s="645"/>
    </row>
    <row r="279" spans="1:13" x14ac:dyDescent="0.45">
      <c r="A279" s="655">
        <v>1969</v>
      </c>
      <c r="B279" s="1076">
        <v>0</v>
      </c>
      <c r="C279" s="1076">
        <v>0</v>
      </c>
      <c r="D279" s="1076"/>
      <c r="E279" s="1076">
        <v>0</v>
      </c>
      <c r="F279" s="1077"/>
      <c r="G279" s="1078">
        <v>0</v>
      </c>
      <c r="H279" s="1078">
        <v>0</v>
      </c>
      <c r="I279" s="1077"/>
      <c r="J279" s="1078">
        <f t="shared" si="9"/>
        <v>0</v>
      </c>
      <c r="K279" s="1079">
        <f t="shared" si="8"/>
        <v>0</v>
      </c>
      <c r="L279" s="258"/>
      <c r="M279" s="645"/>
    </row>
    <row r="280" spans="1:13" x14ac:dyDescent="0.45">
      <c r="A280" s="655">
        <v>1970</v>
      </c>
      <c r="B280" s="1076">
        <v>0</v>
      </c>
      <c r="C280" s="1076">
        <v>0</v>
      </c>
      <c r="D280" s="1076"/>
      <c r="E280" s="1076">
        <v>0</v>
      </c>
      <c r="F280" s="1077"/>
      <c r="G280" s="1078">
        <v>0</v>
      </c>
      <c r="H280" s="1078">
        <v>0</v>
      </c>
      <c r="I280" s="1077"/>
      <c r="J280" s="1078">
        <f t="shared" si="9"/>
        <v>0</v>
      </c>
      <c r="K280" s="1079">
        <f t="shared" si="8"/>
        <v>0</v>
      </c>
      <c r="L280" s="258"/>
      <c r="M280" s="645"/>
    </row>
    <row r="281" spans="1:13" x14ac:dyDescent="0.45">
      <c r="A281" s="655">
        <v>1971</v>
      </c>
      <c r="B281" s="1076">
        <v>0</v>
      </c>
      <c r="C281" s="1076">
        <v>0</v>
      </c>
      <c r="D281" s="1076"/>
      <c r="E281" s="1076">
        <v>0</v>
      </c>
      <c r="F281" s="1077"/>
      <c r="G281" s="1078">
        <v>0</v>
      </c>
      <c r="H281" s="1078">
        <v>0</v>
      </c>
      <c r="I281" s="1077"/>
      <c r="J281" s="1078">
        <f t="shared" si="9"/>
        <v>0</v>
      </c>
      <c r="K281" s="1079">
        <f t="shared" si="8"/>
        <v>0</v>
      </c>
      <c r="L281" s="258"/>
      <c r="M281" s="645"/>
    </row>
    <row r="282" spans="1:13" x14ac:dyDescent="0.45">
      <c r="A282" s="655">
        <v>1972</v>
      </c>
      <c r="B282" s="1076">
        <v>0</v>
      </c>
      <c r="C282" s="1076">
        <v>0</v>
      </c>
      <c r="D282" s="1076"/>
      <c r="E282" s="1076">
        <v>0</v>
      </c>
      <c r="F282" s="1077"/>
      <c r="G282" s="1078">
        <v>0</v>
      </c>
      <c r="H282" s="1078">
        <v>0</v>
      </c>
      <c r="I282" s="1077"/>
      <c r="J282" s="1078">
        <f t="shared" si="9"/>
        <v>0</v>
      </c>
      <c r="K282" s="1079">
        <f t="shared" si="8"/>
        <v>0</v>
      </c>
      <c r="L282" s="258"/>
      <c r="M282" s="645"/>
    </row>
    <row r="283" spans="1:13" x14ac:dyDescent="0.45">
      <c r="A283" s="655">
        <v>1973</v>
      </c>
      <c r="B283" s="1076">
        <v>0</v>
      </c>
      <c r="C283" s="1076">
        <v>0</v>
      </c>
      <c r="D283" s="1076"/>
      <c r="E283" s="1076">
        <v>0</v>
      </c>
      <c r="F283" s="1077"/>
      <c r="G283" s="1078">
        <v>0</v>
      </c>
      <c r="H283" s="1078">
        <v>0</v>
      </c>
      <c r="I283" s="1077"/>
      <c r="J283" s="1078">
        <f t="shared" si="9"/>
        <v>0</v>
      </c>
      <c r="K283" s="1079">
        <f t="shared" si="8"/>
        <v>0</v>
      </c>
      <c r="L283" s="258"/>
      <c r="M283" s="645"/>
    </row>
    <row r="284" spans="1:13" x14ac:dyDescent="0.45">
      <c r="A284" s="655">
        <v>1974</v>
      </c>
      <c r="B284" s="1076">
        <v>0</v>
      </c>
      <c r="C284" s="1076">
        <v>0</v>
      </c>
      <c r="D284" s="1076"/>
      <c r="E284" s="1076">
        <v>0</v>
      </c>
      <c r="F284" s="1077"/>
      <c r="G284" s="1078">
        <v>0</v>
      </c>
      <c r="H284" s="1078">
        <v>0</v>
      </c>
      <c r="I284" s="1077"/>
      <c r="J284" s="1078">
        <f t="shared" si="9"/>
        <v>0</v>
      </c>
      <c r="K284" s="1079">
        <f t="shared" si="8"/>
        <v>0</v>
      </c>
      <c r="L284" s="258"/>
      <c r="M284" s="645"/>
    </row>
    <row r="285" spans="1:13" x14ac:dyDescent="0.45">
      <c r="A285" s="655">
        <v>1975</v>
      </c>
      <c r="B285" s="1076">
        <v>0</v>
      </c>
      <c r="C285" s="1076">
        <v>0</v>
      </c>
      <c r="D285" s="1076"/>
      <c r="E285" s="1076">
        <v>0</v>
      </c>
      <c r="F285" s="1077"/>
      <c r="G285" s="1078">
        <v>0</v>
      </c>
      <c r="H285" s="1078">
        <v>0</v>
      </c>
      <c r="I285" s="1077"/>
      <c r="J285" s="1078">
        <f t="shared" si="9"/>
        <v>0</v>
      </c>
      <c r="K285" s="1079">
        <f t="shared" si="8"/>
        <v>0</v>
      </c>
      <c r="L285" s="258"/>
      <c r="M285" s="645"/>
    </row>
    <row r="286" spans="1:13" x14ac:dyDescent="0.45">
      <c r="A286" s="655">
        <v>1976</v>
      </c>
      <c r="B286" s="1076">
        <v>0</v>
      </c>
      <c r="C286" s="1076">
        <v>0</v>
      </c>
      <c r="D286" s="1076"/>
      <c r="E286" s="1076">
        <v>0</v>
      </c>
      <c r="F286" s="1077"/>
      <c r="G286" s="1078">
        <v>0</v>
      </c>
      <c r="H286" s="1078">
        <v>0</v>
      </c>
      <c r="I286" s="1077"/>
      <c r="J286" s="1078">
        <f t="shared" si="9"/>
        <v>0</v>
      </c>
      <c r="K286" s="1079">
        <f t="shared" si="8"/>
        <v>0</v>
      </c>
      <c r="L286" s="258"/>
      <c r="M286" s="645"/>
    </row>
    <row r="287" spans="1:13" x14ac:dyDescent="0.45">
      <c r="A287" s="655">
        <v>1977</v>
      </c>
      <c r="B287" s="1076">
        <v>0</v>
      </c>
      <c r="C287" s="1076">
        <v>0</v>
      </c>
      <c r="D287" s="1076"/>
      <c r="E287" s="1076">
        <v>0</v>
      </c>
      <c r="F287" s="1077"/>
      <c r="G287" s="1078">
        <v>0</v>
      </c>
      <c r="H287" s="1078">
        <v>0</v>
      </c>
      <c r="I287" s="1077"/>
      <c r="J287" s="1078">
        <f t="shared" si="9"/>
        <v>0</v>
      </c>
      <c r="K287" s="1079">
        <f t="shared" si="8"/>
        <v>0</v>
      </c>
      <c r="L287" s="258"/>
      <c r="M287" s="645"/>
    </row>
    <row r="288" spans="1:13" x14ac:dyDescent="0.45">
      <c r="A288" s="655">
        <v>1978</v>
      </c>
      <c r="B288" s="1076">
        <v>0</v>
      </c>
      <c r="C288" s="1076">
        <v>0</v>
      </c>
      <c r="D288" s="1076"/>
      <c r="E288" s="1076">
        <v>0</v>
      </c>
      <c r="F288" s="1077"/>
      <c r="G288" s="1078">
        <v>0</v>
      </c>
      <c r="H288" s="1078">
        <v>0</v>
      </c>
      <c r="I288" s="1077"/>
      <c r="J288" s="1078">
        <f t="shared" si="9"/>
        <v>0</v>
      </c>
      <c r="K288" s="1079">
        <f t="shared" si="8"/>
        <v>0</v>
      </c>
      <c r="L288" s="258"/>
      <c r="M288" s="645"/>
    </row>
    <row r="289" spans="1:13" x14ac:dyDescent="0.45">
      <c r="A289" s="655">
        <v>1979</v>
      </c>
      <c r="B289" s="1076">
        <v>0</v>
      </c>
      <c r="C289" s="1076">
        <v>0</v>
      </c>
      <c r="D289" s="1076"/>
      <c r="E289" s="1076">
        <v>0</v>
      </c>
      <c r="F289" s="1077"/>
      <c r="G289" s="1078">
        <v>0</v>
      </c>
      <c r="H289" s="1078">
        <v>0</v>
      </c>
      <c r="I289" s="1077"/>
      <c r="J289" s="1078">
        <f t="shared" si="9"/>
        <v>0</v>
      </c>
      <c r="K289" s="1079">
        <f t="shared" si="8"/>
        <v>0</v>
      </c>
      <c r="L289" s="258"/>
      <c r="M289" s="645"/>
    </row>
    <row r="290" spans="1:13" x14ac:dyDescent="0.45">
      <c r="A290" s="655">
        <v>1980</v>
      </c>
      <c r="B290" s="1076">
        <v>0</v>
      </c>
      <c r="C290" s="1076">
        <v>0</v>
      </c>
      <c r="D290" s="1076"/>
      <c r="E290" s="1076">
        <v>0</v>
      </c>
      <c r="F290" s="1077"/>
      <c r="G290" s="1078">
        <v>0</v>
      </c>
      <c r="H290" s="1078">
        <v>0</v>
      </c>
      <c r="I290" s="1077"/>
      <c r="J290" s="1078">
        <f t="shared" si="9"/>
        <v>0</v>
      </c>
      <c r="K290" s="1079">
        <f t="shared" si="8"/>
        <v>0</v>
      </c>
      <c r="L290" s="258"/>
      <c r="M290" s="645"/>
    </row>
    <row r="291" spans="1:13" x14ac:dyDescent="0.45">
      <c r="A291" s="655">
        <v>1981</v>
      </c>
      <c r="B291" s="1076">
        <v>0</v>
      </c>
      <c r="C291" s="1076">
        <v>0</v>
      </c>
      <c r="D291" s="1076"/>
      <c r="E291" s="1076">
        <v>0</v>
      </c>
      <c r="F291" s="1077"/>
      <c r="G291" s="1078">
        <v>0</v>
      </c>
      <c r="H291" s="1078">
        <v>0</v>
      </c>
      <c r="I291" s="1077"/>
      <c r="J291" s="1078">
        <f t="shared" si="9"/>
        <v>0</v>
      </c>
      <c r="K291" s="1079">
        <f t="shared" si="8"/>
        <v>0</v>
      </c>
      <c r="L291" s="258"/>
      <c r="M291" s="645"/>
    </row>
    <row r="292" spans="1:13" x14ac:dyDescent="0.45">
      <c r="A292" s="655">
        <v>1982</v>
      </c>
      <c r="B292" s="1076">
        <v>0</v>
      </c>
      <c r="C292" s="1076">
        <v>0</v>
      </c>
      <c r="D292" s="1076"/>
      <c r="E292" s="1076">
        <v>0</v>
      </c>
      <c r="F292" s="1077"/>
      <c r="G292" s="1078">
        <v>0</v>
      </c>
      <c r="H292" s="1078">
        <v>0</v>
      </c>
      <c r="I292" s="1077"/>
      <c r="J292" s="1078">
        <f t="shared" si="9"/>
        <v>0</v>
      </c>
      <c r="K292" s="1079">
        <f t="shared" si="8"/>
        <v>0</v>
      </c>
      <c r="L292" s="258"/>
      <c r="M292" s="645"/>
    </row>
    <row r="293" spans="1:13" x14ac:dyDescent="0.45">
      <c r="A293" s="655">
        <v>1983</v>
      </c>
      <c r="B293" s="1076">
        <v>0</v>
      </c>
      <c r="C293" s="1076">
        <v>0</v>
      </c>
      <c r="D293" s="1076"/>
      <c r="E293" s="1076">
        <v>0</v>
      </c>
      <c r="F293" s="1077"/>
      <c r="G293" s="1078">
        <v>0</v>
      </c>
      <c r="H293" s="1078">
        <v>0</v>
      </c>
      <c r="I293" s="1077"/>
      <c r="J293" s="1078">
        <f t="shared" si="9"/>
        <v>0</v>
      </c>
      <c r="K293" s="1079">
        <f t="shared" si="8"/>
        <v>0</v>
      </c>
      <c r="L293" s="258"/>
      <c r="M293" s="645"/>
    </row>
    <row r="294" spans="1:13" x14ac:dyDescent="0.45">
      <c r="A294" s="655">
        <v>1984</v>
      </c>
      <c r="B294" s="1076">
        <v>0</v>
      </c>
      <c r="C294" s="1076">
        <v>0</v>
      </c>
      <c r="D294" s="1076"/>
      <c r="E294" s="1076">
        <v>0</v>
      </c>
      <c r="F294" s="1077"/>
      <c r="G294" s="1078">
        <v>0</v>
      </c>
      <c r="H294" s="1078">
        <v>0</v>
      </c>
      <c r="I294" s="1077"/>
      <c r="J294" s="1078">
        <f t="shared" si="9"/>
        <v>0</v>
      </c>
      <c r="K294" s="1079">
        <f t="shared" si="8"/>
        <v>0</v>
      </c>
      <c r="L294" s="258"/>
      <c r="M294" s="645"/>
    </row>
    <row r="295" spans="1:13" x14ac:dyDescent="0.45">
      <c r="A295" s="655">
        <v>1985</v>
      </c>
      <c r="B295" s="1076">
        <v>0</v>
      </c>
      <c r="C295" s="1076">
        <v>0</v>
      </c>
      <c r="D295" s="1076"/>
      <c r="E295" s="1076">
        <v>0</v>
      </c>
      <c r="F295" s="1077"/>
      <c r="G295" s="1078">
        <v>0</v>
      </c>
      <c r="H295" s="1078">
        <v>0</v>
      </c>
      <c r="I295" s="1077"/>
      <c r="J295" s="1078">
        <f t="shared" si="9"/>
        <v>0</v>
      </c>
      <c r="K295" s="1079">
        <f t="shared" si="8"/>
        <v>0</v>
      </c>
      <c r="L295" s="258"/>
      <c r="M295" s="645"/>
    </row>
    <row r="296" spans="1:13" x14ac:dyDescent="0.45">
      <c r="A296" s="655">
        <v>1986</v>
      </c>
      <c r="B296" s="1076">
        <v>0</v>
      </c>
      <c r="C296" s="1076">
        <v>0</v>
      </c>
      <c r="D296" s="1076"/>
      <c r="E296" s="1076">
        <v>0</v>
      </c>
      <c r="F296" s="1077"/>
      <c r="G296" s="1078">
        <v>0</v>
      </c>
      <c r="H296" s="1078">
        <v>0</v>
      </c>
      <c r="I296" s="1077"/>
      <c r="J296" s="1078">
        <f t="shared" si="9"/>
        <v>0</v>
      </c>
      <c r="K296" s="1079">
        <f t="shared" si="8"/>
        <v>0</v>
      </c>
      <c r="L296" s="258"/>
      <c r="M296" s="645"/>
    </row>
    <row r="297" spans="1:13" x14ac:dyDescent="0.45">
      <c r="A297" s="655">
        <v>1987</v>
      </c>
      <c r="B297" s="1076">
        <v>0</v>
      </c>
      <c r="C297" s="1076">
        <v>0</v>
      </c>
      <c r="D297" s="1076"/>
      <c r="E297" s="1076">
        <v>0</v>
      </c>
      <c r="F297" s="1077"/>
      <c r="G297" s="1078">
        <v>0</v>
      </c>
      <c r="H297" s="1078">
        <v>0</v>
      </c>
      <c r="I297" s="1077"/>
      <c r="J297" s="1078">
        <f t="shared" si="9"/>
        <v>0</v>
      </c>
      <c r="K297" s="1079">
        <f t="shared" si="8"/>
        <v>0</v>
      </c>
      <c r="L297" s="258"/>
      <c r="M297" s="645"/>
    </row>
    <row r="298" spans="1:13" x14ac:dyDescent="0.45">
      <c r="A298" s="655">
        <v>1988</v>
      </c>
      <c r="B298" s="1076">
        <v>0</v>
      </c>
      <c r="C298" s="1076">
        <v>0</v>
      </c>
      <c r="D298" s="1076"/>
      <c r="E298" s="1076">
        <v>0</v>
      </c>
      <c r="F298" s="1077"/>
      <c r="G298" s="1078">
        <v>0</v>
      </c>
      <c r="H298" s="1078">
        <v>0</v>
      </c>
      <c r="I298" s="1077"/>
      <c r="J298" s="1078">
        <f t="shared" si="9"/>
        <v>0</v>
      </c>
      <c r="K298" s="1079">
        <f t="shared" si="8"/>
        <v>0</v>
      </c>
      <c r="L298" s="258"/>
      <c r="M298" s="645"/>
    </row>
    <row r="299" spans="1:13" x14ac:dyDescent="0.45">
      <c r="A299" s="655">
        <v>1989</v>
      </c>
      <c r="B299" s="1076">
        <v>0</v>
      </c>
      <c r="C299" s="1076">
        <v>0</v>
      </c>
      <c r="D299" s="1076"/>
      <c r="E299" s="1076">
        <v>0</v>
      </c>
      <c r="F299" s="1077"/>
      <c r="G299" s="1078">
        <v>0</v>
      </c>
      <c r="H299" s="1078">
        <v>0</v>
      </c>
      <c r="I299" s="1077"/>
      <c r="J299" s="1078">
        <f t="shared" si="9"/>
        <v>0</v>
      </c>
      <c r="K299" s="1079">
        <f t="shared" si="8"/>
        <v>0</v>
      </c>
      <c r="L299" s="258"/>
      <c r="M299" s="645"/>
    </row>
    <row r="300" spans="1:13" x14ac:dyDescent="0.45">
      <c r="A300" s="655">
        <v>1990</v>
      </c>
      <c r="B300" s="1076">
        <v>0</v>
      </c>
      <c r="C300" s="1076">
        <v>0</v>
      </c>
      <c r="D300" s="1076"/>
      <c r="E300" s="1076">
        <v>0</v>
      </c>
      <c r="F300" s="1077"/>
      <c r="G300" s="1078">
        <v>0</v>
      </c>
      <c r="H300" s="1078">
        <v>0</v>
      </c>
      <c r="I300" s="1077"/>
      <c r="J300" s="1078">
        <f t="shared" si="9"/>
        <v>0</v>
      </c>
      <c r="K300" s="1079">
        <f t="shared" si="8"/>
        <v>0</v>
      </c>
      <c r="L300" s="258"/>
      <c r="M300" s="645"/>
    </row>
    <row r="301" spans="1:13" x14ac:dyDescent="0.45">
      <c r="A301" s="655">
        <v>1991</v>
      </c>
      <c r="B301" s="1076">
        <v>0</v>
      </c>
      <c r="C301" s="1076">
        <v>0</v>
      </c>
      <c r="D301" s="1076"/>
      <c r="E301" s="1076">
        <v>0</v>
      </c>
      <c r="F301" s="1077"/>
      <c r="G301" s="1078">
        <v>0</v>
      </c>
      <c r="H301" s="1078">
        <v>0</v>
      </c>
      <c r="I301" s="1077"/>
      <c r="J301" s="1078">
        <f t="shared" si="9"/>
        <v>0</v>
      </c>
      <c r="K301" s="1079">
        <f t="shared" si="8"/>
        <v>0</v>
      </c>
      <c r="L301" s="258"/>
      <c r="M301" s="645"/>
    </row>
    <row r="302" spans="1:13" x14ac:dyDescent="0.45">
      <c r="A302" s="655">
        <v>1992</v>
      </c>
      <c r="B302" s="1076">
        <v>0</v>
      </c>
      <c r="C302" s="1076">
        <v>0</v>
      </c>
      <c r="D302" s="1076"/>
      <c r="E302" s="1076">
        <v>0</v>
      </c>
      <c r="F302" s="1077"/>
      <c r="G302" s="1078">
        <v>0</v>
      </c>
      <c r="H302" s="1078">
        <v>0</v>
      </c>
      <c r="I302" s="1077"/>
      <c r="J302" s="1078">
        <f t="shared" si="9"/>
        <v>0</v>
      </c>
      <c r="K302" s="1079">
        <f t="shared" si="8"/>
        <v>0</v>
      </c>
      <c r="L302" s="258"/>
      <c r="M302" s="645"/>
    </row>
    <row r="303" spans="1:13" x14ac:dyDescent="0.45">
      <c r="A303" s="655">
        <v>1993</v>
      </c>
      <c r="B303" s="1076">
        <v>0</v>
      </c>
      <c r="C303" s="1076">
        <v>0</v>
      </c>
      <c r="D303" s="1076"/>
      <c r="E303" s="1076">
        <v>0</v>
      </c>
      <c r="F303" s="1077"/>
      <c r="G303" s="1078">
        <v>0</v>
      </c>
      <c r="H303" s="1078">
        <v>0</v>
      </c>
      <c r="I303" s="1077"/>
      <c r="J303" s="1078">
        <f t="shared" si="9"/>
        <v>0</v>
      </c>
      <c r="K303" s="1079">
        <f t="shared" si="8"/>
        <v>0</v>
      </c>
      <c r="L303" s="258"/>
      <c r="M303" s="645"/>
    </row>
    <row r="304" spans="1:13" x14ac:dyDescent="0.45">
      <c r="A304" s="655">
        <v>1994</v>
      </c>
      <c r="B304" s="1076">
        <v>0</v>
      </c>
      <c r="C304" s="1076">
        <v>0</v>
      </c>
      <c r="D304" s="1076"/>
      <c r="E304" s="1076">
        <v>0</v>
      </c>
      <c r="F304" s="1077"/>
      <c r="G304" s="1078">
        <v>0</v>
      </c>
      <c r="H304" s="1078">
        <v>0</v>
      </c>
      <c r="I304" s="1077"/>
      <c r="J304" s="1078">
        <f t="shared" si="9"/>
        <v>0</v>
      </c>
      <c r="K304" s="1079">
        <f t="shared" si="8"/>
        <v>0</v>
      </c>
      <c r="L304" s="258"/>
      <c r="M304" s="645"/>
    </row>
    <row r="305" spans="1:13" x14ac:dyDescent="0.45">
      <c r="A305" s="655">
        <v>1995</v>
      </c>
      <c r="B305" s="1076">
        <v>0</v>
      </c>
      <c r="C305" s="1076">
        <v>0</v>
      </c>
      <c r="D305" s="1076"/>
      <c r="E305" s="1076">
        <v>0</v>
      </c>
      <c r="F305" s="1077"/>
      <c r="G305" s="1078">
        <v>0</v>
      </c>
      <c r="H305" s="1078">
        <v>0</v>
      </c>
      <c r="I305" s="1077"/>
      <c r="J305" s="1078">
        <f t="shared" si="9"/>
        <v>0</v>
      </c>
      <c r="K305" s="1079">
        <f t="shared" si="8"/>
        <v>0</v>
      </c>
      <c r="L305" s="258"/>
      <c r="M305" s="645"/>
    </row>
    <row r="306" spans="1:13" x14ac:dyDescent="0.45">
      <c r="A306" s="655">
        <v>1996</v>
      </c>
      <c r="B306" s="1076">
        <v>0</v>
      </c>
      <c r="C306" s="1076">
        <v>0</v>
      </c>
      <c r="D306" s="1076"/>
      <c r="E306" s="1076">
        <v>0</v>
      </c>
      <c r="F306" s="1077"/>
      <c r="G306" s="1078">
        <v>0</v>
      </c>
      <c r="H306" s="1078">
        <v>0</v>
      </c>
      <c r="I306" s="1077"/>
      <c r="J306" s="1078">
        <f t="shared" si="9"/>
        <v>0</v>
      </c>
      <c r="K306" s="1079">
        <f t="shared" si="8"/>
        <v>0</v>
      </c>
      <c r="L306" s="258"/>
      <c r="M306" s="645"/>
    </row>
    <row r="307" spans="1:13" x14ac:dyDescent="0.45">
      <c r="A307" s="655">
        <v>1997</v>
      </c>
      <c r="B307" s="1076">
        <v>0</v>
      </c>
      <c r="C307" s="1076">
        <v>0</v>
      </c>
      <c r="D307" s="1076"/>
      <c r="E307" s="1076">
        <v>0</v>
      </c>
      <c r="F307" s="1077"/>
      <c r="G307" s="1078">
        <v>0</v>
      </c>
      <c r="H307" s="1078">
        <v>0</v>
      </c>
      <c r="I307" s="1077"/>
      <c r="J307" s="1078">
        <f t="shared" si="9"/>
        <v>0</v>
      </c>
      <c r="K307" s="1079">
        <f t="shared" si="8"/>
        <v>0</v>
      </c>
      <c r="L307" s="258"/>
      <c r="M307" s="645"/>
    </row>
    <row r="308" spans="1:13" x14ac:dyDescent="0.45">
      <c r="A308" s="655">
        <v>1998</v>
      </c>
      <c r="B308" s="1076">
        <v>0</v>
      </c>
      <c r="C308" s="1076">
        <v>0</v>
      </c>
      <c r="D308" s="1076"/>
      <c r="E308" s="1076">
        <v>0</v>
      </c>
      <c r="F308" s="1077"/>
      <c r="G308" s="1078">
        <v>0</v>
      </c>
      <c r="H308" s="1078">
        <v>0</v>
      </c>
      <c r="I308" s="1077"/>
      <c r="J308" s="1078">
        <f t="shared" si="9"/>
        <v>0</v>
      </c>
      <c r="K308" s="1079">
        <f t="shared" si="8"/>
        <v>0</v>
      </c>
      <c r="L308" s="258"/>
      <c r="M308" s="645"/>
    </row>
    <row r="309" spans="1:13" x14ac:dyDescent="0.45">
      <c r="A309" s="655">
        <v>1999</v>
      </c>
      <c r="B309" s="1076">
        <v>0</v>
      </c>
      <c r="C309" s="1076">
        <v>0</v>
      </c>
      <c r="D309" s="1076"/>
      <c r="E309" s="1076">
        <v>0</v>
      </c>
      <c r="F309" s="1077"/>
      <c r="G309" s="1078">
        <v>0</v>
      </c>
      <c r="H309" s="1078">
        <v>0</v>
      </c>
      <c r="I309" s="1077"/>
      <c r="J309" s="1078">
        <f t="shared" si="9"/>
        <v>0</v>
      </c>
      <c r="K309" s="1079">
        <f t="shared" si="8"/>
        <v>0</v>
      </c>
      <c r="L309" s="258"/>
      <c r="M309" s="645"/>
    </row>
    <row r="310" spans="1:13" x14ac:dyDescent="0.45">
      <c r="A310" s="655">
        <v>2000</v>
      </c>
      <c r="B310" s="1076">
        <v>0</v>
      </c>
      <c r="C310" s="1076">
        <v>0</v>
      </c>
      <c r="D310" s="1076"/>
      <c r="E310" s="1076">
        <v>0</v>
      </c>
      <c r="F310" s="1077"/>
      <c r="G310" s="1078">
        <v>0</v>
      </c>
      <c r="H310" s="1078">
        <v>0</v>
      </c>
      <c r="I310" s="1077"/>
      <c r="J310" s="1078">
        <f t="shared" si="9"/>
        <v>0</v>
      </c>
      <c r="K310" s="1079">
        <f t="shared" si="8"/>
        <v>0</v>
      </c>
      <c r="L310" s="258"/>
      <c r="M310" s="645"/>
    </row>
    <row r="311" spans="1:13" x14ac:dyDescent="0.45">
      <c r="A311" s="655">
        <v>2001</v>
      </c>
      <c r="B311" s="1076">
        <v>0</v>
      </c>
      <c r="C311" s="1076">
        <v>0</v>
      </c>
      <c r="D311" s="1076"/>
      <c r="E311" s="1076">
        <v>0</v>
      </c>
      <c r="F311" s="1077"/>
      <c r="G311" s="1078">
        <v>0</v>
      </c>
      <c r="H311" s="1078">
        <v>0</v>
      </c>
      <c r="I311" s="1077"/>
      <c r="J311" s="1078">
        <f t="shared" si="9"/>
        <v>0</v>
      </c>
      <c r="K311" s="1079">
        <f t="shared" si="8"/>
        <v>0</v>
      </c>
      <c r="L311" s="258"/>
      <c r="M311" s="645"/>
    </row>
    <row r="312" spans="1:13" x14ac:dyDescent="0.45">
      <c r="A312" s="655">
        <v>2002</v>
      </c>
      <c r="B312" s="1076">
        <v>0</v>
      </c>
      <c r="C312" s="1076">
        <v>0</v>
      </c>
      <c r="D312" s="1076"/>
      <c r="E312" s="1076">
        <v>0</v>
      </c>
      <c r="F312" s="1077"/>
      <c r="G312" s="1078">
        <v>0</v>
      </c>
      <c r="H312" s="1078">
        <v>0</v>
      </c>
      <c r="I312" s="1077"/>
      <c r="J312" s="1078">
        <f t="shared" si="9"/>
        <v>0</v>
      </c>
      <c r="K312" s="1079">
        <f t="shared" si="8"/>
        <v>0</v>
      </c>
      <c r="L312" s="258"/>
      <c r="M312" s="645"/>
    </row>
    <row r="313" spans="1:13" x14ac:dyDescent="0.45">
      <c r="A313" s="655">
        <v>2003</v>
      </c>
      <c r="B313" s="1076">
        <v>0</v>
      </c>
      <c r="C313" s="1076">
        <v>0</v>
      </c>
      <c r="D313" s="1076"/>
      <c r="E313" s="1076">
        <v>0</v>
      </c>
      <c r="F313" s="1077"/>
      <c r="G313" s="1078">
        <v>0</v>
      </c>
      <c r="H313" s="1078">
        <v>0</v>
      </c>
      <c r="I313" s="1077"/>
      <c r="J313" s="1078">
        <f t="shared" si="9"/>
        <v>0</v>
      </c>
      <c r="K313" s="1079">
        <f t="shared" si="8"/>
        <v>0</v>
      </c>
      <c r="L313" s="258"/>
      <c r="M313" s="645"/>
    </row>
    <row r="314" spans="1:13" x14ac:dyDescent="0.45">
      <c r="A314" s="655">
        <v>2004</v>
      </c>
      <c r="B314" s="1076">
        <v>0</v>
      </c>
      <c r="C314" s="1076">
        <v>0</v>
      </c>
      <c r="D314" s="1076"/>
      <c r="E314" s="1076">
        <v>0</v>
      </c>
      <c r="F314" s="1077"/>
      <c r="G314" s="1078">
        <v>0</v>
      </c>
      <c r="H314" s="1078">
        <v>0</v>
      </c>
      <c r="I314" s="1077"/>
      <c r="J314" s="1078">
        <f t="shared" si="9"/>
        <v>0</v>
      </c>
      <c r="K314" s="1079">
        <f t="shared" si="8"/>
        <v>0</v>
      </c>
      <c r="L314" s="258"/>
      <c r="M314" s="645"/>
    </row>
    <row r="315" spans="1:13" x14ac:dyDescent="0.45">
      <c r="A315" s="655">
        <v>2005</v>
      </c>
      <c r="B315" s="1076">
        <v>0</v>
      </c>
      <c r="C315" s="1076">
        <v>0</v>
      </c>
      <c r="D315" s="1076"/>
      <c r="E315" s="1076">
        <v>0</v>
      </c>
      <c r="F315" s="1077"/>
      <c r="G315" s="1078">
        <v>0</v>
      </c>
      <c r="H315" s="1078">
        <v>0</v>
      </c>
      <c r="I315" s="1077"/>
      <c r="J315" s="1078">
        <f t="shared" si="9"/>
        <v>0</v>
      </c>
      <c r="K315" s="1079">
        <f t="shared" si="8"/>
        <v>0</v>
      </c>
      <c r="L315" s="258"/>
      <c r="M315" s="645"/>
    </row>
    <row r="316" spans="1:13" x14ac:dyDescent="0.45">
      <c r="A316" s="655">
        <v>2006</v>
      </c>
      <c r="B316" s="1076">
        <v>0</v>
      </c>
      <c r="C316" s="1076">
        <v>0</v>
      </c>
      <c r="D316" s="1076"/>
      <c r="E316" s="1076">
        <v>0</v>
      </c>
      <c r="F316" s="1077"/>
      <c r="G316" s="1078">
        <v>0</v>
      </c>
      <c r="H316" s="1078">
        <v>0</v>
      </c>
      <c r="I316" s="1077"/>
      <c r="J316" s="1078">
        <f t="shared" si="9"/>
        <v>0</v>
      </c>
      <c r="K316" s="1079">
        <f t="shared" si="8"/>
        <v>0</v>
      </c>
      <c r="L316" s="258"/>
      <c r="M316" s="645"/>
    </row>
    <row r="317" spans="1:13" x14ac:dyDescent="0.45">
      <c r="A317" s="655">
        <v>2007</v>
      </c>
      <c r="B317" s="1076">
        <v>0</v>
      </c>
      <c r="C317" s="1076">
        <v>0</v>
      </c>
      <c r="D317" s="1076"/>
      <c r="E317" s="1076">
        <v>0</v>
      </c>
      <c r="F317" s="1077"/>
      <c r="G317" s="1078">
        <v>0</v>
      </c>
      <c r="H317" s="1078">
        <v>0</v>
      </c>
      <c r="I317" s="1077"/>
      <c r="J317" s="1078">
        <f t="shared" si="9"/>
        <v>0</v>
      </c>
      <c r="K317" s="1079">
        <f t="shared" si="8"/>
        <v>0</v>
      </c>
      <c r="L317" s="258"/>
      <c r="M317" s="645"/>
    </row>
    <row r="318" spans="1:13" x14ac:dyDescent="0.45">
      <c r="A318" s="655">
        <v>2008</v>
      </c>
      <c r="B318" s="1076">
        <v>0</v>
      </c>
      <c r="C318" s="1076">
        <v>0</v>
      </c>
      <c r="D318" s="1076"/>
      <c r="E318" s="1076">
        <v>0</v>
      </c>
      <c r="F318" s="1077"/>
      <c r="G318" s="1078">
        <v>0</v>
      </c>
      <c r="H318" s="1078">
        <v>0</v>
      </c>
      <c r="I318" s="1077"/>
      <c r="J318" s="1078">
        <f t="shared" si="9"/>
        <v>0</v>
      </c>
      <c r="K318" s="1079">
        <f t="shared" si="8"/>
        <v>0</v>
      </c>
      <c r="L318" s="258"/>
      <c r="M318" s="645"/>
    </row>
    <row r="319" spans="1:13" x14ac:dyDescent="0.45">
      <c r="A319" s="655">
        <v>2009</v>
      </c>
      <c r="B319" s="1076">
        <v>0</v>
      </c>
      <c r="C319" s="1076">
        <v>0</v>
      </c>
      <c r="D319" s="1076"/>
      <c r="E319" s="1076">
        <v>0</v>
      </c>
      <c r="F319" s="1077"/>
      <c r="G319" s="1078">
        <v>0</v>
      </c>
      <c r="H319" s="1078">
        <v>0</v>
      </c>
      <c r="I319" s="1077"/>
      <c r="J319" s="1078">
        <f t="shared" si="9"/>
        <v>0</v>
      </c>
      <c r="K319" s="1079">
        <f t="shared" si="8"/>
        <v>0</v>
      </c>
      <c r="L319" s="258"/>
      <c r="M319" s="645"/>
    </row>
    <row r="320" spans="1:13" x14ac:dyDescent="0.45">
      <c r="A320" s="655">
        <v>2010</v>
      </c>
      <c r="B320" s="1076">
        <v>0</v>
      </c>
      <c r="C320" s="1076">
        <v>0</v>
      </c>
      <c r="D320" s="1076"/>
      <c r="E320" s="1076">
        <v>0</v>
      </c>
      <c r="F320" s="1077"/>
      <c r="G320" s="1078">
        <v>0</v>
      </c>
      <c r="H320" s="1078">
        <v>0</v>
      </c>
      <c r="I320" s="1077"/>
      <c r="J320" s="1078">
        <f t="shared" si="9"/>
        <v>0</v>
      </c>
      <c r="K320" s="1079">
        <f t="shared" si="8"/>
        <v>0</v>
      </c>
      <c r="L320" s="258"/>
      <c r="M320" s="645"/>
    </row>
    <row r="321" spans="1:13" x14ac:dyDescent="0.45">
      <c r="A321" s="655">
        <v>2011</v>
      </c>
      <c r="B321" s="1076">
        <v>0</v>
      </c>
      <c r="C321" s="1076">
        <v>0</v>
      </c>
      <c r="D321" s="1076"/>
      <c r="E321" s="1076">
        <v>0</v>
      </c>
      <c r="F321" s="1077"/>
      <c r="G321" s="1078">
        <v>0</v>
      </c>
      <c r="H321" s="1078">
        <v>0</v>
      </c>
      <c r="I321" s="1077"/>
      <c r="J321" s="1078">
        <f t="shared" si="9"/>
        <v>0</v>
      </c>
      <c r="K321" s="1079">
        <f t="shared" si="8"/>
        <v>0</v>
      </c>
      <c r="L321" s="258"/>
      <c r="M321" s="645"/>
    </row>
    <row r="322" spans="1:13" x14ac:dyDescent="0.45">
      <c r="A322" s="655">
        <v>2012</v>
      </c>
      <c r="B322" s="1076">
        <v>0</v>
      </c>
      <c r="C322" s="1076">
        <v>0</v>
      </c>
      <c r="D322" s="1076"/>
      <c r="E322" s="1076">
        <v>0</v>
      </c>
      <c r="F322" s="1077"/>
      <c r="G322" s="1078">
        <v>0</v>
      </c>
      <c r="H322" s="1078">
        <v>0</v>
      </c>
      <c r="I322" s="1077"/>
      <c r="J322" s="1078">
        <f t="shared" si="9"/>
        <v>0</v>
      </c>
      <c r="K322" s="1079">
        <f t="shared" si="8"/>
        <v>0</v>
      </c>
      <c r="L322" s="258"/>
      <c r="M322" s="645"/>
    </row>
    <row r="323" spans="1:13" x14ac:dyDescent="0.45">
      <c r="A323" s="655">
        <v>2013</v>
      </c>
      <c r="B323" s="1076">
        <v>0</v>
      </c>
      <c r="C323" s="1076">
        <v>0</v>
      </c>
      <c r="D323" s="1076"/>
      <c r="E323" s="1076">
        <v>0</v>
      </c>
      <c r="F323" s="1077"/>
      <c r="G323" s="1078">
        <v>0</v>
      </c>
      <c r="H323" s="1078">
        <v>0</v>
      </c>
      <c r="I323" s="1077"/>
      <c r="J323" s="1078">
        <f t="shared" si="9"/>
        <v>0</v>
      </c>
      <c r="K323" s="1079">
        <f t="shared" si="8"/>
        <v>0</v>
      </c>
      <c r="L323" s="258"/>
      <c r="M323" s="645"/>
    </row>
    <row r="324" spans="1:13" x14ac:dyDescent="0.45">
      <c r="A324" s="655">
        <v>2014</v>
      </c>
      <c r="B324" s="1076">
        <v>0</v>
      </c>
      <c r="C324" s="1076">
        <v>0</v>
      </c>
      <c r="D324" s="1076"/>
      <c r="E324" s="1076">
        <v>0</v>
      </c>
      <c r="F324" s="1077"/>
      <c r="G324" s="1078">
        <v>0</v>
      </c>
      <c r="H324" s="1078">
        <v>0</v>
      </c>
      <c r="I324" s="1077"/>
      <c r="J324" s="1078">
        <f t="shared" si="9"/>
        <v>0</v>
      </c>
      <c r="K324" s="1079">
        <f t="shared" si="8"/>
        <v>0</v>
      </c>
      <c r="L324" s="258"/>
      <c r="M324" s="645"/>
    </row>
    <row r="325" spans="1:13" x14ac:dyDescent="0.45">
      <c r="A325" s="655">
        <v>2015</v>
      </c>
      <c r="B325" s="1076">
        <v>0</v>
      </c>
      <c r="C325" s="1076">
        <v>0</v>
      </c>
      <c r="D325" s="1076"/>
      <c r="E325" s="1076">
        <v>0</v>
      </c>
      <c r="F325" s="1077"/>
      <c r="G325" s="1078">
        <v>0</v>
      </c>
      <c r="H325" s="1078">
        <v>0</v>
      </c>
      <c r="I325" s="1077"/>
      <c r="J325" s="1078">
        <f t="shared" si="9"/>
        <v>0</v>
      </c>
      <c r="K325" s="1079">
        <f t="shared" si="8"/>
        <v>0</v>
      </c>
      <c r="L325" s="258"/>
      <c r="M325" s="645"/>
    </row>
    <row r="326" spans="1:13" x14ac:dyDescent="0.45">
      <c r="A326" s="655">
        <v>2016</v>
      </c>
      <c r="B326" s="1076">
        <v>0</v>
      </c>
      <c r="C326" s="1076">
        <v>0</v>
      </c>
      <c r="D326" s="1076"/>
      <c r="E326" s="1076">
        <v>0</v>
      </c>
      <c r="F326" s="1077"/>
      <c r="G326" s="1078">
        <v>0</v>
      </c>
      <c r="H326" s="1078">
        <v>0</v>
      </c>
      <c r="I326" s="1077"/>
      <c r="J326" s="1078">
        <f t="shared" si="9"/>
        <v>0</v>
      </c>
      <c r="K326" s="1079">
        <f t="shared" si="8"/>
        <v>0</v>
      </c>
      <c r="L326" s="258"/>
      <c r="M326" s="645"/>
    </row>
    <row r="327" spans="1:13" x14ac:dyDescent="0.45">
      <c r="A327" s="655">
        <v>2017</v>
      </c>
      <c r="B327" s="1076">
        <v>0</v>
      </c>
      <c r="C327" s="1076">
        <v>0</v>
      </c>
      <c r="D327" s="1076"/>
      <c r="E327" s="1076">
        <v>0</v>
      </c>
      <c r="F327" s="1077"/>
      <c r="G327" s="1078">
        <v>0</v>
      </c>
      <c r="H327" s="1078">
        <v>0</v>
      </c>
      <c r="I327" s="1077"/>
      <c r="J327" s="1078">
        <f t="shared" si="9"/>
        <v>0</v>
      </c>
      <c r="K327" s="1079">
        <f t="shared" si="8"/>
        <v>0</v>
      </c>
      <c r="L327" s="258"/>
      <c r="M327" s="645"/>
    </row>
    <row r="328" spans="1:13" x14ac:dyDescent="0.45">
      <c r="A328" s="655">
        <v>2018</v>
      </c>
      <c r="B328" s="1076">
        <v>0</v>
      </c>
      <c r="C328" s="1076">
        <v>0</v>
      </c>
      <c r="D328" s="1076"/>
      <c r="E328" s="1076">
        <v>0</v>
      </c>
      <c r="F328" s="1077"/>
      <c r="G328" s="1078">
        <v>0</v>
      </c>
      <c r="H328" s="1078">
        <v>0</v>
      </c>
      <c r="I328" s="1077"/>
      <c r="J328" s="1078">
        <f t="shared" si="9"/>
        <v>0</v>
      </c>
      <c r="K328" s="1079">
        <f t="shared" si="8"/>
        <v>0</v>
      </c>
      <c r="L328" s="258"/>
      <c r="M328" s="645"/>
    </row>
    <row r="329" spans="1:13" x14ac:dyDescent="0.45">
      <c r="A329" s="655">
        <v>2019</v>
      </c>
      <c r="B329" s="1076">
        <v>0</v>
      </c>
      <c r="C329" s="1076">
        <v>0</v>
      </c>
      <c r="D329" s="1076"/>
      <c r="E329" s="1076">
        <v>0</v>
      </c>
      <c r="F329" s="1077"/>
      <c r="G329" s="1078">
        <v>0</v>
      </c>
      <c r="H329" s="1078">
        <v>0</v>
      </c>
      <c r="I329" s="1077"/>
      <c r="J329" s="1078">
        <f t="shared" si="9"/>
        <v>0</v>
      </c>
      <c r="K329" s="1079">
        <f t="shared" si="8"/>
        <v>0</v>
      </c>
      <c r="L329" s="258"/>
      <c r="M329" s="645"/>
    </row>
    <row r="330" spans="1:13" x14ac:dyDescent="0.45">
      <c r="A330" s="655">
        <v>2020</v>
      </c>
      <c r="B330" s="1076">
        <v>0</v>
      </c>
      <c r="C330" s="1076">
        <v>0</v>
      </c>
      <c r="D330" s="1076"/>
      <c r="E330" s="1076">
        <v>0</v>
      </c>
      <c r="F330" s="1077"/>
      <c r="G330" s="1078">
        <v>0</v>
      </c>
      <c r="H330" s="1078">
        <v>0</v>
      </c>
      <c r="I330" s="1077"/>
      <c r="J330" s="1078">
        <f t="shared" si="9"/>
        <v>0</v>
      </c>
      <c r="K330" s="1079">
        <f t="shared" ref="K330" si="10">J330+E330+C330+B330</f>
        <v>0</v>
      </c>
      <c r="L330" s="258"/>
      <c r="M330" s="645"/>
    </row>
  </sheetData>
  <mergeCells count="3">
    <mergeCell ref="A4:M4"/>
    <mergeCell ref="B5:C5"/>
    <mergeCell ref="G5:J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472"/>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ColWidth="9.19921875" defaultRowHeight="13.5" x14ac:dyDescent="0.35"/>
  <cols>
    <col min="1" max="2" width="9.19921875" style="1096"/>
    <col min="3" max="4" width="9.53125" style="1096" bestFit="1" customWidth="1"/>
    <col min="5" max="16384" width="9.19921875" style="1096"/>
  </cols>
  <sheetData>
    <row r="1" spans="1:29" ht="17.649999999999999" x14ac:dyDescent="0.5">
      <c r="A1" s="971" t="s">
        <v>2481</v>
      </c>
      <c r="N1" s="1097"/>
      <c r="O1" s="1098"/>
    </row>
    <row r="2" spans="1:29" x14ac:dyDescent="0.35">
      <c r="M2" s="1097"/>
      <c r="N2" s="1097"/>
      <c r="O2" s="1097"/>
    </row>
    <row r="3" spans="1:29" ht="15" x14ac:dyDescent="0.4">
      <c r="B3" s="1136" t="s">
        <v>992</v>
      </c>
      <c r="C3" s="1096" t="s">
        <v>2463</v>
      </c>
      <c r="M3" s="1099" t="s">
        <v>1831</v>
      </c>
      <c r="N3" s="1100" t="s">
        <v>2278</v>
      </c>
      <c r="O3" s="1101" t="s">
        <v>496</v>
      </c>
      <c r="P3" s="1102" t="s">
        <v>1832</v>
      </c>
      <c r="Q3" s="1102" t="s">
        <v>1833</v>
      </c>
      <c r="R3" s="1102" t="s">
        <v>13</v>
      </c>
      <c r="S3" s="1102"/>
      <c r="T3" s="1099" t="s">
        <v>1831</v>
      </c>
      <c r="U3" s="1101" t="s">
        <v>496</v>
      </c>
      <c r="V3" s="1102" t="s">
        <v>1832</v>
      </c>
      <c r="W3" s="1102" t="s">
        <v>1833</v>
      </c>
      <c r="X3" s="1102" t="s">
        <v>13</v>
      </c>
    </row>
    <row r="4" spans="1:29" ht="13.9" x14ac:dyDescent="0.4">
      <c r="M4" s="973" t="s">
        <v>1834</v>
      </c>
      <c r="N4" s="1101" t="s">
        <v>1835</v>
      </c>
      <c r="O4" s="1100" t="s">
        <v>1835</v>
      </c>
      <c r="P4" s="1102" t="s">
        <v>1834</v>
      </c>
      <c r="Q4" s="1102" t="s">
        <v>1834</v>
      </c>
      <c r="R4" s="1102" t="s">
        <v>1834</v>
      </c>
      <c r="S4" s="1102"/>
      <c r="T4" s="1101" t="s">
        <v>1834</v>
      </c>
      <c r="U4" s="1100" t="s">
        <v>1835</v>
      </c>
      <c r="V4" s="1102" t="s">
        <v>1834</v>
      </c>
      <c r="W4" s="1102" t="s">
        <v>1834</v>
      </c>
      <c r="X4" s="1102" t="s">
        <v>1834</v>
      </c>
    </row>
    <row r="5" spans="1:29" ht="14.25" thickBot="1" x14ac:dyDescent="0.45">
      <c r="A5" s="1103"/>
      <c r="B5" s="1103"/>
      <c r="C5" s="1103" t="s">
        <v>1268</v>
      </c>
      <c r="H5" s="1102" t="s">
        <v>1269</v>
      </c>
      <c r="I5" s="1102" t="s">
        <v>1269</v>
      </c>
      <c r="M5" s="138" t="s">
        <v>1242</v>
      </c>
      <c r="N5" s="1104" t="s">
        <v>1836</v>
      </c>
      <c r="O5" s="1104" t="s">
        <v>1837</v>
      </c>
      <c r="P5" s="1096" t="s">
        <v>1242</v>
      </c>
      <c r="Q5" s="1096" t="s">
        <v>1242</v>
      </c>
      <c r="R5" s="1096" t="s">
        <v>1242</v>
      </c>
      <c r="T5" s="1097" t="s">
        <v>1242</v>
      </c>
      <c r="U5" s="1104" t="s">
        <v>1837</v>
      </c>
      <c r="V5" s="1096" t="s">
        <v>1242</v>
      </c>
      <c r="W5" s="1096" t="s">
        <v>1242</v>
      </c>
      <c r="X5" s="1096" t="s">
        <v>1242</v>
      </c>
    </row>
    <row r="6" spans="1:29" ht="54.4" x14ac:dyDescent="0.4">
      <c r="A6" s="1105"/>
      <c r="B6" s="1105"/>
      <c r="C6" s="1106" t="s">
        <v>1273</v>
      </c>
      <c r="D6" s="1105" t="s">
        <v>1272</v>
      </c>
      <c r="E6" s="1106" t="s">
        <v>2275</v>
      </c>
      <c r="H6" s="1107" t="s">
        <v>1273</v>
      </c>
      <c r="I6" s="1107" t="s">
        <v>1273</v>
      </c>
      <c r="M6" s="1030" t="s">
        <v>1839</v>
      </c>
      <c r="N6" s="1108" t="s">
        <v>1840</v>
      </c>
      <c r="O6" s="1108" t="s">
        <v>1840</v>
      </c>
      <c r="P6" s="1108" t="s">
        <v>1840</v>
      </c>
      <c r="Q6" s="1108" t="s">
        <v>1840</v>
      </c>
      <c r="R6" s="1108" t="s">
        <v>1840</v>
      </c>
      <c r="S6" s="1108"/>
      <c r="T6" s="1108" t="s">
        <v>1839</v>
      </c>
      <c r="U6" s="1108" t="s">
        <v>1840</v>
      </c>
      <c r="V6" s="1108" t="s">
        <v>1840</v>
      </c>
      <c r="W6" s="1108" t="s">
        <v>1840</v>
      </c>
      <c r="X6" s="1108" t="s">
        <v>1840</v>
      </c>
    </row>
    <row r="7" spans="1:29" x14ac:dyDescent="0.35">
      <c r="E7" s="1096" t="s">
        <v>2276</v>
      </c>
      <c r="I7" s="1096" t="s">
        <v>1828</v>
      </c>
      <c r="M7" s="81" t="s">
        <v>1842</v>
      </c>
      <c r="N7" s="1109" t="s">
        <v>1843</v>
      </c>
      <c r="O7" s="1109" t="s">
        <v>1843</v>
      </c>
      <c r="P7" s="1109" t="s">
        <v>1843</v>
      </c>
      <c r="Q7" s="1109" t="s">
        <v>1843</v>
      </c>
      <c r="R7" s="1109" t="s">
        <v>1843</v>
      </c>
      <c r="S7" s="1109"/>
      <c r="T7" s="1109" t="s">
        <v>1844</v>
      </c>
      <c r="U7" s="1109" t="s">
        <v>1844</v>
      </c>
      <c r="V7" s="1109" t="s">
        <v>1844</v>
      </c>
      <c r="W7" s="1109" t="s">
        <v>1844</v>
      </c>
      <c r="X7" s="1109" t="s">
        <v>1844</v>
      </c>
    </row>
    <row r="8" spans="1:29" ht="13.9" x14ac:dyDescent="0.4">
      <c r="C8" s="1096" t="s">
        <v>1829</v>
      </c>
      <c r="D8" s="1096" t="s">
        <v>1829</v>
      </c>
      <c r="E8" s="1096" t="s">
        <v>2274</v>
      </c>
      <c r="H8" s="1096" t="s">
        <v>1829</v>
      </c>
      <c r="I8" s="1096" t="s">
        <v>1830</v>
      </c>
      <c r="M8" s="1110"/>
      <c r="N8" s="1097"/>
      <c r="O8" s="1108"/>
    </row>
    <row r="9" spans="1:29" x14ac:dyDescent="0.35">
      <c r="M9" s="1097"/>
      <c r="N9" s="1097"/>
      <c r="O9" s="1097"/>
    </row>
    <row r="10" spans="1:29" x14ac:dyDescent="0.35">
      <c r="A10" s="1120">
        <v>1700</v>
      </c>
      <c r="B10" s="1120"/>
      <c r="C10" s="1121">
        <v>432</v>
      </c>
      <c r="D10" s="1121">
        <v>671</v>
      </c>
      <c r="E10" s="1122">
        <v>0.8891830452433962</v>
      </c>
      <c r="F10" s="1120"/>
      <c r="G10" s="1120"/>
      <c r="H10" s="1123">
        <f>C10/D10*100</f>
        <v>64.38152011922503</v>
      </c>
      <c r="I10" s="1123">
        <f t="shared" ref="I10:I73" si="0">I$257*(H10/H$257)</f>
        <v>104.62555245526109</v>
      </c>
      <c r="J10" s="1120"/>
      <c r="K10" s="1120"/>
      <c r="L10" s="1120"/>
      <c r="M10" s="1124">
        <v>1346.2946567567096</v>
      </c>
      <c r="N10" s="1125">
        <v>346.77143786916201</v>
      </c>
      <c r="O10" s="1126">
        <v>121.52848665897432</v>
      </c>
      <c r="P10" s="1120"/>
      <c r="Q10" s="1120"/>
      <c r="R10" s="1120"/>
      <c r="S10" s="1120"/>
      <c r="T10" s="1127">
        <f t="shared" ref="T10:T73" si="1">M10</f>
        <v>1346.2946567567096</v>
      </c>
      <c r="U10" s="1128">
        <f t="shared" ref="U10:U73" si="2">O10</f>
        <v>121.52848665897432</v>
      </c>
      <c r="V10" s="1120"/>
      <c r="W10" s="1120"/>
      <c r="X10" s="1120"/>
      <c r="Y10" s="1120"/>
      <c r="Z10" s="1120"/>
      <c r="AA10" s="1120"/>
      <c r="AB10" s="1120"/>
      <c r="AC10" s="1116"/>
    </row>
    <row r="11" spans="1:29" x14ac:dyDescent="0.35">
      <c r="A11" s="1120">
        <v>1701</v>
      </c>
      <c r="B11" s="1120"/>
      <c r="C11" s="1121">
        <v>455</v>
      </c>
      <c r="D11" s="1121">
        <v>586</v>
      </c>
      <c r="E11" s="1122">
        <v>0.77466704699235278</v>
      </c>
      <c r="F11" s="1120"/>
      <c r="G11" s="1120"/>
      <c r="H11" s="1123">
        <f t="shared" ref="H11:H74" si="3">C11/D11*100</f>
        <v>77.645051194539249</v>
      </c>
      <c r="I11" s="1123">
        <f t="shared" si="0"/>
        <v>126.17994047984408</v>
      </c>
      <c r="J11" s="1120"/>
      <c r="K11" s="1120"/>
      <c r="L11" s="1120"/>
      <c r="M11" s="1124">
        <v>1265.0291975005005</v>
      </c>
      <c r="N11" s="1125">
        <v>323.81027462041908</v>
      </c>
      <c r="O11" s="1126">
        <v>131.24526174081092</v>
      </c>
      <c r="P11" s="1120"/>
      <c r="Q11" s="1120"/>
      <c r="R11" s="1120"/>
      <c r="S11" s="1120"/>
      <c r="T11" s="1127">
        <f t="shared" si="1"/>
        <v>1265.0291975005005</v>
      </c>
      <c r="U11" s="1128">
        <f t="shared" si="2"/>
        <v>131.24526174081092</v>
      </c>
      <c r="V11" s="1120"/>
      <c r="W11" s="1120"/>
      <c r="X11" s="1120"/>
      <c r="Y11" s="1120"/>
      <c r="Z11" s="1120"/>
      <c r="AA11" s="1120"/>
      <c r="AB11" s="1120"/>
      <c r="AC11" s="1116"/>
    </row>
    <row r="12" spans="1:29" x14ac:dyDescent="0.35">
      <c r="A12" s="1120">
        <v>1702</v>
      </c>
      <c r="B12" s="1120"/>
      <c r="C12" s="1121">
        <v>495</v>
      </c>
      <c r="D12" s="1121">
        <v>582</v>
      </c>
      <c r="E12" s="1122">
        <v>0.67362351912378504</v>
      </c>
      <c r="F12" s="1120"/>
      <c r="G12" s="1120"/>
      <c r="H12" s="1123">
        <f t="shared" si="3"/>
        <v>85.051546391752581</v>
      </c>
      <c r="I12" s="1123">
        <f t="shared" si="0"/>
        <v>138.21613736259346</v>
      </c>
      <c r="J12" s="1120"/>
      <c r="K12" s="1120"/>
      <c r="L12" s="1120"/>
      <c r="M12" s="1124">
        <v>1287.862155133982</v>
      </c>
      <c r="N12" s="1125">
        <v>342.50746623231674</v>
      </c>
      <c r="O12" s="1126">
        <v>152.99230893190241</v>
      </c>
      <c r="P12" s="1120"/>
      <c r="Q12" s="1120"/>
      <c r="R12" s="1120"/>
      <c r="S12" s="1120"/>
      <c r="T12" s="1127">
        <f t="shared" si="1"/>
        <v>1287.862155133982</v>
      </c>
      <c r="U12" s="1128">
        <f t="shared" si="2"/>
        <v>152.99230893190241</v>
      </c>
      <c r="V12" s="1120"/>
      <c r="W12" s="1120"/>
      <c r="X12" s="1120"/>
      <c r="Y12" s="1120"/>
      <c r="Z12" s="1120"/>
      <c r="AA12" s="1120"/>
      <c r="AB12" s="1120"/>
      <c r="AC12" s="1116"/>
    </row>
    <row r="13" spans="1:29" x14ac:dyDescent="0.35">
      <c r="A13" s="1120">
        <v>1703</v>
      </c>
      <c r="B13" s="1120"/>
      <c r="C13" s="1121">
        <v>513</v>
      </c>
      <c r="D13" s="1121">
        <v>551</v>
      </c>
      <c r="E13" s="1122">
        <v>0.66688728393254726</v>
      </c>
      <c r="F13" s="1120"/>
      <c r="G13" s="1120"/>
      <c r="H13" s="1123">
        <f t="shared" si="3"/>
        <v>93.103448275862064</v>
      </c>
      <c r="I13" s="1123">
        <f t="shared" si="0"/>
        <v>151.30117607215558</v>
      </c>
      <c r="J13" s="1120"/>
      <c r="K13" s="1120"/>
      <c r="L13" s="1120"/>
      <c r="M13" s="1124">
        <v>1046.487025359932</v>
      </c>
      <c r="N13" s="1125">
        <v>367.65971733348175</v>
      </c>
      <c r="O13" s="1126">
        <v>149.72481885266433</v>
      </c>
      <c r="P13" s="1120"/>
      <c r="Q13" s="1120"/>
      <c r="R13" s="1120"/>
      <c r="S13" s="1120"/>
      <c r="T13" s="1127">
        <f t="shared" si="1"/>
        <v>1046.487025359932</v>
      </c>
      <c r="U13" s="1128">
        <f t="shared" si="2"/>
        <v>149.72481885266433</v>
      </c>
      <c r="V13" s="1120"/>
      <c r="W13" s="1120"/>
      <c r="X13" s="1120"/>
      <c r="Y13" s="1120"/>
      <c r="Z13" s="1120"/>
      <c r="AA13" s="1120"/>
      <c r="AB13" s="1120"/>
      <c r="AC13" s="1116"/>
    </row>
    <row r="14" spans="1:29" x14ac:dyDescent="0.35">
      <c r="A14" s="1120">
        <v>1704</v>
      </c>
      <c r="B14" s="1120"/>
      <c r="C14" s="1121">
        <v>510</v>
      </c>
      <c r="D14" s="1121">
        <v>587</v>
      </c>
      <c r="E14" s="1122">
        <v>0.63320610797635801</v>
      </c>
      <c r="F14" s="1120"/>
      <c r="G14" s="1120"/>
      <c r="H14" s="1123">
        <f t="shared" si="3"/>
        <v>86.882453151618392</v>
      </c>
      <c r="I14" s="1123">
        <f t="shared" si="0"/>
        <v>141.19151959790403</v>
      </c>
      <c r="J14" s="1120"/>
      <c r="K14" s="1120"/>
      <c r="L14" s="1120"/>
      <c r="M14" s="1124">
        <v>939.75268918856773</v>
      </c>
      <c r="N14" s="1125">
        <v>312.47010113019712</v>
      </c>
      <c r="O14" s="1126">
        <v>170.48019329495219</v>
      </c>
      <c r="P14" s="1120"/>
      <c r="Q14" s="1120"/>
      <c r="R14" s="1120"/>
      <c r="S14" s="1120"/>
      <c r="T14" s="1127">
        <f t="shared" si="1"/>
        <v>939.75268918856773</v>
      </c>
      <c r="U14" s="1128">
        <f t="shared" si="2"/>
        <v>170.48019329495219</v>
      </c>
      <c r="V14" s="1120"/>
      <c r="W14" s="1120"/>
      <c r="X14" s="1120"/>
      <c r="Y14" s="1120"/>
      <c r="Z14" s="1120"/>
      <c r="AA14" s="1120"/>
      <c r="AB14" s="1120"/>
      <c r="AC14" s="1116"/>
    </row>
    <row r="15" spans="1:29" x14ac:dyDescent="0.35">
      <c r="A15" s="1120">
        <v>1705</v>
      </c>
      <c r="B15" s="1120"/>
      <c r="C15" s="1121">
        <v>510</v>
      </c>
      <c r="D15" s="1121">
        <v>548</v>
      </c>
      <c r="E15" s="1122">
        <v>0.66015104874130948</v>
      </c>
      <c r="F15" s="1120"/>
      <c r="G15" s="1120"/>
      <c r="H15" s="1123">
        <f t="shared" si="3"/>
        <v>93.065693430656935</v>
      </c>
      <c r="I15" s="1123">
        <f t="shared" si="0"/>
        <v>151.23982117512716</v>
      </c>
      <c r="J15" s="1120"/>
      <c r="K15" s="1120"/>
      <c r="L15" s="1120"/>
      <c r="M15" s="1124">
        <v>999.2924984003223</v>
      </c>
      <c r="N15" s="1125">
        <v>345.42083940545734</v>
      </c>
      <c r="O15" s="1126">
        <v>163.86070352221731</v>
      </c>
      <c r="P15" s="1120"/>
      <c r="Q15" s="1120"/>
      <c r="R15" s="1120"/>
      <c r="S15" s="1120"/>
      <c r="T15" s="1127">
        <f t="shared" si="1"/>
        <v>999.2924984003223</v>
      </c>
      <c r="U15" s="1128">
        <f t="shared" si="2"/>
        <v>163.86070352221731</v>
      </c>
      <c r="V15" s="1120"/>
      <c r="W15" s="1120"/>
      <c r="X15" s="1120"/>
      <c r="Y15" s="1120"/>
      <c r="Z15" s="1120"/>
      <c r="AA15" s="1120"/>
      <c r="AB15" s="1120"/>
      <c r="AC15" s="1116"/>
    </row>
    <row r="16" spans="1:29" x14ac:dyDescent="0.35">
      <c r="A16" s="1120">
        <v>1706</v>
      </c>
      <c r="B16" s="1120"/>
      <c r="C16" s="1121">
        <v>480</v>
      </c>
      <c r="D16" s="1121">
        <v>583</v>
      </c>
      <c r="E16" s="1122">
        <v>0.59952493202016877</v>
      </c>
      <c r="F16" s="1120"/>
      <c r="G16" s="1120"/>
      <c r="H16" s="1123">
        <f t="shared" si="3"/>
        <v>82.332761578044597</v>
      </c>
      <c r="I16" s="1123">
        <f t="shared" si="0"/>
        <v>133.79787630547017</v>
      </c>
      <c r="J16" s="1120"/>
      <c r="K16" s="1120"/>
      <c r="L16" s="1120"/>
      <c r="M16" s="1124">
        <v>1130.4748908065774</v>
      </c>
      <c r="N16" s="1125">
        <v>335.54069113774904</v>
      </c>
      <c r="O16" s="1126">
        <v>152.41491265863468</v>
      </c>
      <c r="P16" s="1120"/>
      <c r="Q16" s="1120"/>
      <c r="R16" s="1120"/>
      <c r="S16" s="1120"/>
      <c r="T16" s="1127">
        <f t="shared" si="1"/>
        <v>1130.4748908065774</v>
      </c>
      <c r="U16" s="1128">
        <f t="shared" si="2"/>
        <v>152.41491265863468</v>
      </c>
      <c r="V16" s="1120"/>
      <c r="W16" s="1120"/>
      <c r="X16" s="1120"/>
      <c r="Y16" s="1120"/>
      <c r="Z16" s="1120"/>
      <c r="AA16" s="1120"/>
      <c r="AB16" s="1120"/>
      <c r="AC16" s="1116"/>
    </row>
    <row r="17" spans="1:29" x14ac:dyDescent="0.35">
      <c r="A17" s="1120">
        <v>1707</v>
      </c>
      <c r="B17" s="1120"/>
      <c r="C17" s="1121">
        <v>485</v>
      </c>
      <c r="D17" s="1121">
        <v>531</v>
      </c>
      <c r="E17" s="1122">
        <v>0.68035975431502294</v>
      </c>
      <c r="F17" s="1120"/>
      <c r="G17" s="1120"/>
      <c r="H17" s="1123">
        <f t="shared" si="3"/>
        <v>91.337099811676083</v>
      </c>
      <c r="I17" s="1123">
        <f t="shared" si="0"/>
        <v>148.43070666491377</v>
      </c>
      <c r="J17" s="1120"/>
      <c r="K17" s="1120"/>
      <c r="L17" s="1120"/>
      <c r="M17" s="1124">
        <v>1095.532525323579</v>
      </c>
      <c r="N17" s="1125">
        <v>288.63361825727986</v>
      </c>
      <c r="O17" s="1126">
        <v>149.51738924182234</v>
      </c>
      <c r="P17" s="1120"/>
      <c r="Q17" s="1120"/>
      <c r="R17" s="1120"/>
      <c r="S17" s="1120"/>
      <c r="T17" s="1127">
        <f t="shared" si="1"/>
        <v>1095.532525323579</v>
      </c>
      <c r="U17" s="1128">
        <f t="shared" si="2"/>
        <v>149.51738924182234</v>
      </c>
      <c r="V17" s="1120"/>
      <c r="W17" s="1120"/>
      <c r="X17" s="1120"/>
      <c r="Y17" s="1120"/>
      <c r="Z17" s="1120"/>
      <c r="AA17" s="1120"/>
      <c r="AB17" s="1120"/>
      <c r="AC17" s="1116"/>
    </row>
    <row r="18" spans="1:29" x14ac:dyDescent="0.35">
      <c r="A18" s="1120">
        <v>1708</v>
      </c>
      <c r="B18" s="1120"/>
      <c r="C18" s="1121">
        <v>484</v>
      </c>
      <c r="D18" s="1121">
        <v>571</v>
      </c>
      <c r="E18" s="1122">
        <v>0.59278869682893087</v>
      </c>
      <c r="F18" s="1120"/>
      <c r="G18" s="1120"/>
      <c r="H18" s="1123">
        <f t="shared" si="3"/>
        <v>84.763572679509636</v>
      </c>
      <c r="I18" s="1123">
        <f t="shared" si="0"/>
        <v>137.74815511116145</v>
      </c>
      <c r="J18" s="1120"/>
      <c r="K18" s="1120"/>
      <c r="L18" s="1120"/>
      <c r="M18" s="1124">
        <v>863.67093205693118</v>
      </c>
      <c r="N18" s="1125">
        <v>278.54621287031415</v>
      </c>
      <c r="O18" s="1126">
        <v>132.84097886287921</v>
      </c>
      <c r="P18" s="1120"/>
      <c r="Q18" s="1120"/>
      <c r="R18" s="1120"/>
      <c r="S18" s="1120"/>
      <c r="T18" s="1127">
        <f t="shared" si="1"/>
        <v>863.67093205693118</v>
      </c>
      <c r="U18" s="1128">
        <f t="shared" si="2"/>
        <v>132.84097886287921</v>
      </c>
      <c r="V18" s="1120"/>
      <c r="W18" s="1120"/>
      <c r="X18" s="1120"/>
      <c r="Y18" s="1120"/>
      <c r="Z18" s="1120"/>
      <c r="AA18" s="1120"/>
      <c r="AB18" s="1120"/>
      <c r="AC18" s="1116"/>
    </row>
    <row r="19" spans="1:29" x14ac:dyDescent="0.35">
      <c r="A19" s="1120">
        <v>1709</v>
      </c>
      <c r="B19" s="1120"/>
      <c r="C19" s="1121">
        <v>516</v>
      </c>
      <c r="D19" s="1121">
        <v>697</v>
      </c>
      <c r="E19" s="1122">
        <v>0.61973363759388223</v>
      </c>
      <c r="F19" s="1120"/>
      <c r="G19" s="1120"/>
      <c r="H19" s="1123">
        <f t="shared" si="3"/>
        <v>74.031563845050215</v>
      </c>
      <c r="I19" s="1123">
        <f t="shared" si="0"/>
        <v>120.30771022603413</v>
      </c>
      <c r="J19" s="1120"/>
      <c r="K19" s="1120"/>
      <c r="L19" s="1120"/>
      <c r="M19" s="1124">
        <v>808.05481473240457</v>
      </c>
      <c r="N19" s="1125">
        <v>244.96876821579212</v>
      </c>
      <c r="O19" s="1126">
        <v>120.45730847049045</v>
      </c>
      <c r="P19" s="1120"/>
      <c r="Q19" s="1120"/>
      <c r="R19" s="1120"/>
      <c r="S19" s="1120"/>
      <c r="T19" s="1127">
        <f t="shared" si="1"/>
        <v>808.05481473240457</v>
      </c>
      <c r="U19" s="1128">
        <f t="shared" si="2"/>
        <v>120.45730847049045</v>
      </c>
      <c r="V19" s="1120"/>
      <c r="W19" s="1120"/>
      <c r="X19" s="1120"/>
      <c r="Y19" s="1120"/>
      <c r="Z19" s="1120"/>
      <c r="AA19" s="1120"/>
      <c r="AB19" s="1120"/>
      <c r="AC19" s="1116"/>
    </row>
    <row r="20" spans="1:29" x14ac:dyDescent="0.35">
      <c r="A20" s="1120">
        <v>1710</v>
      </c>
      <c r="B20" s="1120"/>
      <c r="C20" s="1121">
        <v>512</v>
      </c>
      <c r="D20" s="1121">
        <v>798</v>
      </c>
      <c r="E20" s="1122">
        <v>0.72077716546244985</v>
      </c>
      <c r="F20" s="1120"/>
      <c r="G20" s="1120"/>
      <c r="H20" s="1123">
        <f t="shared" si="3"/>
        <v>64.160401002506262</v>
      </c>
      <c r="I20" s="1123">
        <f t="shared" si="0"/>
        <v>104.26621471824775</v>
      </c>
      <c r="J20" s="1120"/>
      <c r="K20" s="1120"/>
      <c r="L20" s="1120"/>
      <c r="M20" s="1124">
        <v>1051.7863264360769</v>
      </c>
      <c r="N20" s="1125">
        <v>306.48101994502855</v>
      </c>
      <c r="O20" s="1126">
        <v>139.59113145851424</v>
      </c>
      <c r="P20" s="1120"/>
      <c r="Q20" s="1120"/>
      <c r="R20" s="1120"/>
      <c r="S20" s="1120"/>
      <c r="T20" s="1127">
        <f t="shared" si="1"/>
        <v>1051.7863264360769</v>
      </c>
      <c r="U20" s="1128">
        <f t="shared" si="2"/>
        <v>139.59113145851424</v>
      </c>
      <c r="V20" s="1120"/>
      <c r="W20" s="1120"/>
      <c r="X20" s="1120"/>
      <c r="Y20" s="1120"/>
      <c r="Z20" s="1120"/>
      <c r="AA20" s="1120"/>
      <c r="AB20" s="1120"/>
      <c r="AC20" s="1116"/>
    </row>
    <row r="21" spans="1:29" x14ac:dyDescent="0.35">
      <c r="A21" s="1120">
        <v>1711</v>
      </c>
      <c r="B21" s="1120"/>
      <c r="C21" s="1121">
        <v>527</v>
      </c>
      <c r="D21" s="1121">
        <v>889</v>
      </c>
      <c r="E21" s="1122">
        <v>0.82182069333101759</v>
      </c>
      <c r="F21" s="1120"/>
      <c r="G21" s="1120"/>
      <c r="H21" s="1123">
        <f t="shared" si="3"/>
        <v>59.280089988751406</v>
      </c>
      <c r="I21" s="1123">
        <f t="shared" si="0"/>
        <v>96.335286168843652</v>
      </c>
      <c r="J21" s="1120"/>
      <c r="K21" s="1120"/>
      <c r="L21" s="1120"/>
      <c r="M21" s="1124">
        <v>1156.8723712672358</v>
      </c>
      <c r="N21" s="1125">
        <v>318.58747104469415</v>
      </c>
      <c r="O21" s="1126">
        <v>144.89696913355331</v>
      </c>
      <c r="P21" s="1120"/>
      <c r="Q21" s="1120"/>
      <c r="R21" s="1120"/>
      <c r="S21" s="1120"/>
      <c r="T21" s="1127">
        <f t="shared" si="1"/>
        <v>1156.8723712672358</v>
      </c>
      <c r="U21" s="1128">
        <f t="shared" si="2"/>
        <v>144.89696913355331</v>
      </c>
      <c r="V21" s="1120"/>
      <c r="W21" s="1120"/>
      <c r="X21" s="1120"/>
      <c r="Y21" s="1120"/>
      <c r="Z21" s="1120"/>
      <c r="AA21" s="1120"/>
      <c r="AB21" s="1120"/>
      <c r="AC21" s="1116"/>
    </row>
    <row r="22" spans="1:29" x14ac:dyDescent="0.35">
      <c r="A22" s="1120">
        <v>1712</v>
      </c>
      <c r="B22" s="1120"/>
      <c r="C22" s="1121">
        <v>513</v>
      </c>
      <c r="D22" s="1121">
        <v>638</v>
      </c>
      <c r="E22" s="1122">
        <v>0.90939175081710966</v>
      </c>
      <c r="F22" s="1120"/>
      <c r="G22" s="1120"/>
      <c r="H22" s="1123">
        <f t="shared" si="3"/>
        <v>80.407523510971785</v>
      </c>
      <c r="I22" s="1123">
        <f t="shared" si="0"/>
        <v>130.66919751686166</v>
      </c>
      <c r="J22" s="1120"/>
      <c r="K22" s="1120"/>
      <c r="L22" s="1120"/>
      <c r="M22" s="1124">
        <v>1157.3320102191792</v>
      </c>
      <c r="N22" s="1125">
        <v>314.15354458381069</v>
      </c>
      <c r="O22" s="1126">
        <v>128.46492807445415</v>
      </c>
      <c r="P22" s="1120"/>
      <c r="Q22" s="1120"/>
      <c r="R22" s="1120"/>
      <c r="S22" s="1120"/>
      <c r="T22" s="1127">
        <f t="shared" si="1"/>
        <v>1157.3320102191792</v>
      </c>
      <c r="U22" s="1128">
        <f t="shared" si="2"/>
        <v>128.46492807445415</v>
      </c>
      <c r="V22" s="1120"/>
      <c r="W22" s="1120"/>
      <c r="X22" s="1120"/>
      <c r="Y22" s="1120"/>
      <c r="Z22" s="1120"/>
      <c r="AA22" s="1120"/>
      <c r="AB22" s="1120"/>
      <c r="AC22" s="1116"/>
    </row>
    <row r="23" spans="1:29" x14ac:dyDescent="0.35">
      <c r="A23" s="1120">
        <v>1713</v>
      </c>
      <c r="B23" s="1120"/>
      <c r="C23" s="1121">
        <v>512</v>
      </c>
      <c r="D23" s="1121">
        <v>594</v>
      </c>
      <c r="E23" s="1122">
        <v>0.68035975431502282</v>
      </c>
      <c r="F23" s="1120"/>
      <c r="G23" s="1120"/>
      <c r="H23" s="1123">
        <f t="shared" si="3"/>
        <v>86.195286195286187</v>
      </c>
      <c r="I23" s="1123">
        <f t="shared" si="0"/>
        <v>140.07481371239342</v>
      </c>
      <c r="J23" s="1120"/>
      <c r="K23" s="1120"/>
      <c r="L23" s="1120"/>
      <c r="M23" s="1124">
        <v>1215.5407705015878</v>
      </c>
      <c r="N23" s="1125">
        <v>310.19204014793326</v>
      </c>
      <c r="O23" s="1126">
        <v>134.90411402083663</v>
      </c>
      <c r="P23" s="1120"/>
      <c r="Q23" s="1120"/>
      <c r="R23" s="1120"/>
      <c r="S23" s="1120"/>
      <c r="T23" s="1127">
        <f t="shared" si="1"/>
        <v>1215.5407705015878</v>
      </c>
      <c r="U23" s="1128">
        <f t="shared" si="2"/>
        <v>134.90411402083663</v>
      </c>
      <c r="V23" s="1120"/>
      <c r="W23" s="1120"/>
      <c r="X23" s="1120"/>
      <c r="Y23" s="1120"/>
      <c r="Z23" s="1120"/>
      <c r="AA23" s="1120"/>
      <c r="AB23" s="1120"/>
      <c r="AC23" s="1116"/>
    </row>
    <row r="24" spans="1:29" x14ac:dyDescent="0.35">
      <c r="A24" s="1120">
        <v>1714</v>
      </c>
      <c r="B24" s="1120"/>
      <c r="C24" s="1121">
        <v>502</v>
      </c>
      <c r="D24" s="1121">
        <v>635</v>
      </c>
      <c r="E24" s="1122">
        <v>0.65341481355007147</v>
      </c>
      <c r="F24" s="1120"/>
      <c r="G24" s="1120"/>
      <c r="H24" s="1123">
        <f t="shared" si="3"/>
        <v>79.055118110236222</v>
      </c>
      <c r="I24" s="1123">
        <f t="shared" si="0"/>
        <v>128.47142147905751</v>
      </c>
      <c r="J24" s="1120"/>
      <c r="K24" s="1120"/>
      <c r="L24" s="1120"/>
      <c r="M24" s="1124">
        <v>1301.7004112352874</v>
      </c>
      <c r="N24" s="1125">
        <v>327.422261318984</v>
      </c>
      <c r="O24" s="1126">
        <v>128.4047293449876</v>
      </c>
      <c r="P24" s="1120"/>
      <c r="Q24" s="1120"/>
      <c r="R24" s="1120"/>
      <c r="S24" s="1120"/>
      <c r="T24" s="1127">
        <f t="shared" si="1"/>
        <v>1301.7004112352874</v>
      </c>
      <c r="U24" s="1128">
        <f t="shared" si="2"/>
        <v>128.4047293449876</v>
      </c>
      <c r="V24" s="1120"/>
      <c r="W24" s="1120"/>
      <c r="X24" s="1120"/>
      <c r="Y24" s="1120"/>
      <c r="Z24" s="1120"/>
      <c r="AA24" s="1120"/>
      <c r="AB24" s="1120"/>
      <c r="AC24" s="1116"/>
    </row>
    <row r="25" spans="1:29" x14ac:dyDescent="0.35">
      <c r="A25" s="1120">
        <v>1715</v>
      </c>
      <c r="B25" s="1120"/>
      <c r="C25" s="1121">
        <v>503</v>
      </c>
      <c r="D25" s="1121">
        <v>646</v>
      </c>
      <c r="E25" s="1122">
        <v>0.6938322246974985</v>
      </c>
      <c r="F25" s="1120"/>
      <c r="G25" s="1120"/>
      <c r="H25" s="1123">
        <f t="shared" si="3"/>
        <v>77.863777089783284</v>
      </c>
      <c r="I25" s="1123">
        <f t="shared" si="0"/>
        <v>126.5353890244544</v>
      </c>
      <c r="J25" s="1120"/>
      <c r="K25" s="1120"/>
      <c r="L25" s="1120"/>
      <c r="M25" s="1124">
        <v>1177.455810045969</v>
      </c>
      <c r="N25" s="1125">
        <v>336.5749941753125</v>
      </c>
      <c r="O25" s="1126">
        <v>117.22823808581494</v>
      </c>
      <c r="P25" s="1120"/>
      <c r="Q25" s="1120"/>
      <c r="R25" s="1120"/>
      <c r="S25" s="1120"/>
      <c r="T25" s="1127">
        <f t="shared" si="1"/>
        <v>1177.455810045969</v>
      </c>
      <c r="U25" s="1128">
        <f t="shared" si="2"/>
        <v>117.22823808581494</v>
      </c>
      <c r="V25" s="1120"/>
      <c r="W25" s="1120"/>
      <c r="X25" s="1120"/>
      <c r="Y25" s="1120"/>
      <c r="Z25" s="1120"/>
      <c r="AA25" s="1120"/>
      <c r="AB25" s="1120"/>
      <c r="AC25" s="1116"/>
    </row>
    <row r="26" spans="1:29" x14ac:dyDescent="0.35">
      <c r="A26" s="1120">
        <v>1716</v>
      </c>
      <c r="B26" s="1120"/>
      <c r="C26" s="1121">
        <v>499</v>
      </c>
      <c r="D26" s="1121">
        <v>645</v>
      </c>
      <c r="E26" s="1122">
        <v>0.70056845988873639</v>
      </c>
      <c r="F26" s="1120"/>
      <c r="G26" s="1120"/>
      <c r="H26" s="1123">
        <f t="shared" si="3"/>
        <v>77.36434108527132</v>
      </c>
      <c r="I26" s="1123">
        <f t="shared" si="0"/>
        <v>125.72376221304414</v>
      </c>
      <c r="J26" s="1120"/>
      <c r="K26" s="1120"/>
      <c r="L26" s="1120"/>
      <c r="M26" s="1124">
        <v>1317.6264039945941</v>
      </c>
      <c r="N26" s="1125">
        <v>308.82901364503215</v>
      </c>
      <c r="O26" s="1126">
        <v>118.22980192297061</v>
      </c>
      <c r="P26" s="1120"/>
      <c r="Q26" s="1120"/>
      <c r="R26" s="1120"/>
      <c r="S26" s="1120"/>
      <c r="T26" s="1127">
        <f t="shared" si="1"/>
        <v>1317.6264039945941</v>
      </c>
      <c r="U26" s="1128">
        <f t="shared" si="2"/>
        <v>118.22980192297061</v>
      </c>
      <c r="V26" s="1120"/>
      <c r="W26" s="1120"/>
      <c r="X26" s="1120"/>
      <c r="Y26" s="1120"/>
      <c r="Z26" s="1120"/>
      <c r="AA26" s="1120"/>
      <c r="AB26" s="1120"/>
      <c r="AC26" s="1116"/>
    </row>
    <row r="27" spans="1:29" x14ac:dyDescent="0.35">
      <c r="A27" s="1120">
        <v>1717</v>
      </c>
      <c r="B27" s="1120"/>
      <c r="C27" s="1121">
        <v>512</v>
      </c>
      <c r="D27" s="1121">
        <v>602</v>
      </c>
      <c r="E27" s="1122">
        <v>0.66688728393254715</v>
      </c>
      <c r="F27" s="1120"/>
      <c r="G27" s="1120"/>
      <c r="H27" s="1123">
        <f t="shared" si="3"/>
        <v>85.049833887043192</v>
      </c>
      <c r="I27" s="1123">
        <f t="shared" si="0"/>
        <v>138.21335439395634</v>
      </c>
      <c r="J27" s="1120"/>
      <c r="K27" s="1120"/>
      <c r="L27" s="1120"/>
      <c r="M27" s="1124">
        <v>1171.92853315651</v>
      </c>
      <c r="N27" s="1125">
        <v>320.10143545147309</v>
      </c>
      <c r="O27" s="1126">
        <v>140.2085934328698</v>
      </c>
      <c r="P27" s="1120"/>
      <c r="Q27" s="1120"/>
      <c r="R27" s="1120"/>
      <c r="S27" s="1120"/>
      <c r="T27" s="1127">
        <f t="shared" si="1"/>
        <v>1171.92853315651</v>
      </c>
      <c r="U27" s="1128">
        <f t="shared" si="2"/>
        <v>140.2085934328698</v>
      </c>
      <c r="V27" s="1120"/>
      <c r="W27" s="1120"/>
      <c r="X27" s="1120"/>
      <c r="Y27" s="1120"/>
      <c r="Z27" s="1120"/>
      <c r="AA27" s="1120"/>
      <c r="AB27" s="1120"/>
      <c r="AC27" s="1116"/>
    </row>
    <row r="28" spans="1:29" x14ac:dyDescent="0.35">
      <c r="A28" s="1120">
        <v>1718</v>
      </c>
      <c r="B28" s="1120"/>
      <c r="C28" s="1121">
        <v>507</v>
      </c>
      <c r="D28" s="1121">
        <v>575</v>
      </c>
      <c r="E28" s="1122">
        <v>0.6399423431675958</v>
      </c>
      <c r="F28" s="1120"/>
      <c r="G28" s="1120"/>
      <c r="H28" s="1123">
        <f t="shared" si="3"/>
        <v>88.173913043478251</v>
      </c>
      <c r="I28" s="1123">
        <f t="shared" si="0"/>
        <v>143.2902538994463</v>
      </c>
      <c r="J28" s="1120"/>
      <c r="K28" s="1120"/>
      <c r="L28" s="1120"/>
      <c r="M28" s="1124">
        <v>1294.0641111086425</v>
      </c>
      <c r="N28" s="1125">
        <v>327.205328289693</v>
      </c>
      <c r="O28" s="1126">
        <v>143.17075005214497</v>
      </c>
      <c r="P28" s="1120"/>
      <c r="Q28" s="1120"/>
      <c r="R28" s="1120"/>
      <c r="S28" s="1120"/>
      <c r="T28" s="1127">
        <f t="shared" si="1"/>
        <v>1294.0641111086425</v>
      </c>
      <c r="U28" s="1128">
        <f t="shared" si="2"/>
        <v>143.17075005214497</v>
      </c>
      <c r="V28" s="1120"/>
      <c r="W28" s="1120"/>
      <c r="X28" s="1120"/>
      <c r="Y28" s="1120"/>
      <c r="Z28" s="1120"/>
      <c r="AA28" s="1120"/>
      <c r="AB28" s="1120"/>
      <c r="AC28" s="1116"/>
    </row>
    <row r="29" spans="1:29" x14ac:dyDescent="0.35">
      <c r="A29" s="1120">
        <v>1719</v>
      </c>
      <c r="B29" s="1120"/>
      <c r="C29" s="1121">
        <v>515</v>
      </c>
      <c r="D29" s="1121">
        <v>609</v>
      </c>
      <c r="E29" s="1122">
        <v>0.62646987278512012</v>
      </c>
      <c r="F29" s="1120"/>
      <c r="G29" s="1120"/>
      <c r="H29" s="1123">
        <f t="shared" si="3"/>
        <v>84.564860426929386</v>
      </c>
      <c r="I29" s="1123">
        <f t="shared" si="0"/>
        <v>137.42523047118189</v>
      </c>
      <c r="J29" s="1120"/>
      <c r="K29" s="1120"/>
      <c r="L29" s="1120"/>
      <c r="M29" s="1124">
        <v>1281.2327143076864</v>
      </c>
      <c r="N29" s="1125">
        <v>322.23594299707798</v>
      </c>
      <c r="O29" s="1126">
        <v>144.74183972419607</v>
      </c>
      <c r="P29" s="1120"/>
      <c r="Q29" s="1120"/>
      <c r="R29" s="1120"/>
      <c r="S29" s="1120"/>
      <c r="T29" s="1127">
        <f t="shared" si="1"/>
        <v>1281.2327143076864</v>
      </c>
      <c r="U29" s="1128">
        <f t="shared" si="2"/>
        <v>144.74183972419607</v>
      </c>
      <c r="V29" s="1120"/>
      <c r="W29" s="1120"/>
      <c r="X29" s="1120"/>
      <c r="Y29" s="1120"/>
      <c r="Z29" s="1120"/>
      <c r="AA29" s="1120"/>
      <c r="AB29" s="1120"/>
      <c r="AC29" s="1116"/>
    </row>
    <row r="30" spans="1:29" x14ac:dyDescent="0.35">
      <c r="A30" s="1120">
        <v>1720</v>
      </c>
      <c r="B30" s="1120"/>
      <c r="C30" s="1121">
        <v>506</v>
      </c>
      <c r="D30" s="1121">
        <v>635</v>
      </c>
      <c r="E30" s="1122">
        <v>0.65341481355007158</v>
      </c>
      <c r="F30" s="1120"/>
      <c r="G30" s="1120"/>
      <c r="H30" s="1123">
        <f t="shared" si="3"/>
        <v>79.685039370078741</v>
      </c>
      <c r="I30" s="1123">
        <f t="shared" si="0"/>
        <v>129.49509814422927</v>
      </c>
      <c r="J30" s="1120"/>
      <c r="K30" s="1120"/>
      <c r="L30" s="1120"/>
      <c r="M30" s="1124">
        <v>1398.2766392188987</v>
      </c>
      <c r="N30" s="1125">
        <v>312.69257367990645</v>
      </c>
      <c r="O30" s="1126">
        <v>138.27794064147093</v>
      </c>
      <c r="P30" s="1120"/>
      <c r="Q30" s="1120"/>
      <c r="R30" s="1120"/>
      <c r="S30" s="1120"/>
      <c r="T30" s="1127">
        <f t="shared" si="1"/>
        <v>1398.2766392188987</v>
      </c>
      <c r="U30" s="1128">
        <f t="shared" si="2"/>
        <v>138.27794064147093</v>
      </c>
      <c r="V30" s="1120"/>
      <c r="W30" s="1120"/>
      <c r="X30" s="1120"/>
      <c r="Y30" s="1120"/>
      <c r="Z30" s="1120"/>
      <c r="AA30" s="1120"/>
      <c r="AB30" s="1120"/>
      <c r="AC30" s="1116"/>
    </row>
    <row r="31" spans="1:29" x14ac:dyDescent="0.35">
      <c r="A31" s="1120">
        <v>1721</v>
      </c>
      <c r="B31" s="1120"/>
      <c r="C31" s="1121">
        <v>488</v>
      </c>
      <c r="D31" s="1121">
        <v>604</v>
      </c>
      <c r="E31" s="1122">
        <v>0.68709598950626083</v>
      </c>
      <c r="F31" s="1120"/>
      <c r="G31" s="1120"/>
      <c r="H31" s="1123">
        <f t="shared" si="3"/>
        <v>80.794701986754973</v>
      </c>
      <c r="I31" s="1123">
        <f t="shared" si="0"/>
        <v>131.29839611069085</v>
      </c>
      <c r="J31" s="1120"/>
      <c r="K31" s="1120"/>
      <c r="L31" s="1120"/>
      <c r="M31" s="1124">
        <v>1190.7385883322347</v>
      </c>
      <c r="N31" s="1125">
        <v>304.93751212425991</v>
      </c>
      <c r="O31" s="1126">
        <v>141.20405006058823</v>
      </c>
      <c r="P31" s="1120"/>
      <c r="Q31" s="1120"/>
      <c r="R31" s="1120"/>
      <c r="S31" s="1120"/>
      <c r="T31" s="1127">
        <f t="shared" si="1"/>
        <v>1190.7385883322347</v>
      </c>
      <c r="U31" s="1128">
        <f t="shared" si="2"/>
        <v>141.20405006058823</v>
      </c>
      <c r="V31" s="1120"/>
      <c r="W31" s="1120"/>
      <c r="X31" s="1120"/>
      <c r="Y31" s="1120"/>
      <c r="Z31" s="1120"/>
      <c r="AA31" s="1120"/>
      <c r="AB31" s="1120"/>
      <c r="AC31" s="1116"/>
    </row>
    <row r="32" spans="1:29" x14ac:dyDescent="0.35">
      <c r="A32" s="1120">
        <v>1722</v>
      </c>
      <c r="B32" s="1120"/>
      <c r="C32" s="1121">
        <v>482</v>
      </c>
      <c r="D32" s="1121">
        <v>554</v>
      </c>
      <c r="E32" s="1122">
        <v>0.67362351912378515</v>
      </c>
      <c r="F32" s="1120"/>
      <c r="G32" s="1120"/>
      <c r="H32" s="1123">
        <f t="shared" si="3"/>
        <v>87.003610108303249</v>
      </c>
      <c r="I32" s="1123">
        <f t="shared" si="0"/>
        <v>141.38841015754721</v>
      </c>
      <c r="J32" s="1120"/>
      <c r="K32" s="1120"/>
      <c r="L32" s="1120"/>
      <c r="M32" s="1124">
        <v>1020.1013875850269</v>
      </c>
      <c r="N32" s="1125">
        <v>317.8851219239466</v>
      </c>
      <c r="O32" s="1126">
        <v>136.5059389390334</v>
      </c>
      <c r="P32" s="1120"/>
      <c r="Q32" s="1120"/>
      <c r="R32" s="1120"/>
      <c r="S32" s="1120"/>
      <c r="T32" s="1127">
        <f t="shared" si="1"/>
        <v>1020.1013875850269</v>
      </c>
      <c r="U32" s="1128">
        <f t="shared" si="2"/>
        <v>136.5059389390334</v>
      </c>
      <c r="V32" s="1120"/>
      <c r="W32" s="1120"/>
      <c r="X32" s="1120"/>
      <c r="Y32" s="1120"/>
      <c r="Z32" s="1120"/>
      <c r="AA32" s="1120"/>
      <c r="AB32" s="1120"/>
      <c r="AC32" s="1116"/>
    </row>
    <row r="33" spans="1:29" x14ac:dyDescent="0.35">
      <c r="A33" s="1120">
        <v>1723</v>
      </c>
      <c r="B33" s="1120"/>
      <c r="C33" s="1121">
        <v>467</v>
      </c>
      <c r="D33" s="1121">
        <v>525</v>
      </c>
      <c r="E33" s="1122">
        <v>0.61973363759388234</v>
      </c>
      <c r="F33" s="1120"/>
      <c r="G33" s="1120"/>
      <c r="H33" s="1123">
        <f t="shared" si="3"/>
        <v>88.952380952380949</v>
      </c>
      <c r="I33" s="1123">
        <f t="shared" si="0"/>
        <v>144.5553317492207</v>
      </c>
      <c r="J33" s="1120"/>
      <c r="K33" s="1120"/>
      <c r="L33" s="1120"/>
      <c r="M33" s="1124">
        <v>1057.31991234723</v>
      </c>
      <c r="N33" s="1125">
        <v>312.7512617930667</v>
      </c>
      <c r="O33" s="1126">
        <v>130.1565445440624</v>
      </c>
      <c r="P33" s="1120"/>
      <c r="Q33" s="1120"/>
      <c r="R33" s="1120"/>
      <c r="S33" s="1120"/>
      <c r="T33" s="1127">
        <f t="shared" si="1"/>
        <v>1057.31991234723</v>
      </c>
      <c r="U33" s="1128">
        <f t="shared" si="2"/>
        <v>130.1565445440624</v>
      </c>
      <c r="V33" s="1120"/>
      <c r="W33" s="1120"/>
      <c r="X33" s="1120"/>
      <c r="Y33" s="1120"/>
      <c r="Z33" s="1120"/>
      <c r="AA33" s="1120"/>
      <c r="AB33" s="1120"/>
      <c r="AC33" s="1116"/>
    </row>
    <row r="34" spans="1:29" x14ac:dyDescent="0.35">
      <c r="A34" s="1120">
        <v>1724</v>
      </c>
      <c r="B34" s="1120"/>
      <c r="C34" s="1121">
        <v>459</v>
      </c>
      <c r="D34" s="1121">
        <v>589</v>
      </c>
      <c r="E34" s="1122">
        <v>0.59952493202016877</v>
      </c>
      <c r="F34" s="1120"/>
      <c r="G34" s="1120"/>
      <c r="H34" s="1123">
        <f t="shared" si="3"/>
        <v>77.928692699490668</v>
      </c>
      <c r="I34" s="1123">
        <f t="shared" si="0"/>
        <v>126.64088251879916</v>
      </c>
      <c r="J34" s="1120"/>
      <c r="K34" s="1120"/>
      <c r="L34" s="1120"/>
      <c r="M34" s="1124">
        <v>1201.2212288981784</v>
      </c>
      <c r="N34" s="1125">
        <v>276.60879985740456</v>
      </c>
      <c r="O34" s="1126">
        <v>127.08811714732819</v>
      </c>
      <c r="P34" s="1120"/>
      <c r="Q34" s="1120"/>
      <c r="R34" s="1120"/>
      <c r="S34" s="1120"/>
      <c r="T34" s="1127">
        <f t="shared" si="1"/>
        <v>1201.2212288981784</v>
      </c>
      <c r="U34" s="1128">
        <f t="shared" si="2"/>
        <v>127.08811714732819</v>
      </c>
      <c r="V34" s="1120"/>
      <c r="W34" s="1120"/>
      <c r="X34" s="1120"/>
      <c r="Y34" s="1120"/>
      <c r="Z34" s="1120"/>
      <c r="AA34" s="1120"/>
      <c r="AB34" s="1120"/>
      <c r="AC34" s="1116"/>
    </row>
    <row r="35" spans="1:29" x14ac:dyDescent="0.35">
      <c r="A35" s="1120">
        <v>1725</v>
      </c>
      <c r="B35" s="1120"/>
      <c r="C35" s="1121">
        <v>465</v>
      </c>
      <c r="D35" s="1121">
        <v>610</v>
      </c>
      <c r="E35" s="1122">
        <v>0.63320610797635801</v>
      </c>
      <c r="F35" s="1120"/>
      <c r="G35" s="1120"/>
      <c r="H35" s="1123">
        <f t="shared" si="3"/>
        <v>76.229508196721312</v>
      </c>
      <c r="I35" s="1123">
        <f t="shared" si="0"/>
        <v>123.87956037237512</v>
      </c>
      <c r="J35" s="1120"/>
      <c r="K35" s="1120"/>
      <c r="L35" s="1120"/>
      <c r="M35" s="1124">
        <v>1129.0984244786225</v>
      </c>
      <c r="N35" s="1125">
        <v>277.27445130416066</v>
      </c>
      <c r="O35" s="1126">
        <v>123.16660157055742</v>
      </c>
      <c r="P35" s="1120"/>
      <c r="Q35" s="1120"/>
      <c r="R35" s="1120"/>
      <c r="S35" s="1120"/>
      <c r="T35" s="1127">
        <f t="shared" si="1"/>
        <v>1129.0984244786225</v>
      </c>
      <c r="U35" s="1128">
        <f t="shared" si="2"/>
        <v>123.16660157055742</v>
      </c>
      <c r="V35" s="1120"/>
      <c r="W35" s="1120"/>
      <c r="X35" s="1120"/>
      <c r="Y35" s="1120"/>
      <c r="Z35" s="1120"/>
      <c r="AA35" s="1120"/>
      <c r="AB35" s="1120"/>
      <c r="AC35" s="1116"/>
    </row>
    <row r="36" spans="1:29" x14ac:dyDescent="0.35">
      <c r="A36" s="1120">
        <v>1726</v>
      </c>
      <c r="B36" s="1120"/>
      <c r="C36" s="1121">
        <v>480</v>
      </c>
      <c r="D36" s="1121">
        <v>637</v>
      </c>
      <c r="E36" s="1122">
        <v>0.65341481355007158</v>
      </c>
      <c r="F36" s="1120"/>
      <c r="G36" s="1120"/>
      <c r="H36" s="1123">
        <f t="shared" si="3"/>
        <v>75.353218210361078</v>
      </c>
      <c r="I36" s="1123">
        <f t="shared" si="0"/>
        <v>122.45551316497507</v>
      </c>
      <c r="J36" s="1120"/>
      <c r="K36" s="1120"/>
      <c r="L36" s="1120"/>
      <c r="M36" s="1124">
        <v>1120.7132185873711</v>
      </c>
      <c r="N36" s="1125">
        <v>325.44558543767556</v>
      </c>
      <c r="O36" s="1126">
        <v>135.20364586762523</v>
      </c>
      <c r="P36" s="1120"/>
      <c r="Q36" s="1120"/>
      <c r="R36" s="1120"/>
      <c r="S36" s="1120"/>
      <c r="T36" s="1127">
        <f t="shared" si="1"/>
        <v>1120.7132185873711</v>
      </c>
      <c r="U36" s="1128">
        <f t="shared" si="2"/>
        <v>135.20364586762523</v>
      </c>
      <c r="V36" s="1120"/>
      <c r="W36" s="1120"/>
      <c r="X36" s="1120"/>
      <c r="Y36" s="1120"/>
      <c r="Z36" s="1120"/>
      <c r="AA36" s="1120"/>
      <c r="AB36" s="1120"/>
      <c r="AC36" s="1116"/>
    </row>
    <row r="37" spans="1:29" x14ac:dyDescent="0.35">
      <c r="A37" s="1120">
        <v>1727</v>
      </c>
      <c r="B37" s="1120"/>
      <c r="C37" s="1121">
        <v>472</v>
      </c>
      <c r="D37" s="1121">
        <v>596</v>
      </c>
      <c r="E37" s="1122">
        <v>0.68709598950626083</v>
      </c>
      <c r="F37" s="1120"/>
      <c r="G37" s="1120"/>
      <c r="H37" s="1123">
        <f t="shared" si="3"/>
        <v>79.194630872483216</v>
      </c>
      <c r="I37" s="1123">
        <f t="shared" si="0"/>
        <v>128.69814181429692</v>
      </c>
      <c r="J37" s="1120"/>
      <c r="K37" s="1120"/>
      <c r="L37" s="1120"/>
      <c r="M37" s="1124">
        <v>1093.2371907423874</v>
      </c>
      <c r="N37" s="1125">
        <v>294.35794444907475</v>
      </c>
      <c r="O37" s="1126">
        <v>119.21063449697633</v>
      </c>
      <c r="P37" s="1120"/>
      <c r="Q37" s="1120"/>
      <c r="R37" s="1120"/>
      <c r="S37" s="1120"/>
      <c r="T37" s="1127">
        <f t="shared" si="1"/>
        <v>1093.2371907423874</v>
      </c>
      <c r="U37" s="1128">
        <f t="shared" si="2"/>
        <v>119.21063449697633</v>
      </c>
      <c r="V37" s="1120"/>
      <c r="W37" s="1120"/>
      <c r="X37" s="1120"/>
      <c r="Y37" s="1120"/>
      <c r="Z37" s="1120"/>
      <c r="AA37" s="1120"/>
      <c r="AB37" s="1120"/>
      <c r="AC37" s="1116"/>
    </row>
    <row r="38" spans="1:29" x14ac:dyDescent="0.35">
      <c r="A38" s="1120">
        <v>1728</v>
      </c>
      <c r="B38" s="1120"/>
      <c r="C38" s="1121">
        <v>484</v>
      </c>
      <c r="D38" s="1121">
        <v>649</v>
      </c>
      <c r="E38" s="1122">
        <v>0.6466785783588338</v>
      </c>
      <c r="F38" s="1120"/>
      <c r="G38" s="1120"/>
      <c r="H38" s="1123">
        <f t="shared" si="3"/>
        <v>74.576271186440678</v>
      </c>
      <c r="I38" s="1123">
        <f t="shared" si="0"/>
        <v>121.19290688516669</v>
      </c>
      <c r="J38" s="1120"/>
      <c r="K38" s="1120"/>
      <c r="L38" s="1120"/>
      <c r="M38" s="1124">
        <v>1161.4855612109168</v>
      </c>
      <c r="N38" s="1125">
        <v>290.73201160920416</v>
      </c>
      <c r="O38" s="1126">
        <v>119.36329037046301</v>
      </c>
      <c r="P38" s="1120"/>
      <c r="Q38" s="1120"/>
      <c r="R38" s="1120"/>
      <c r="S38" s="1120"/>
      <c r="T38" s="1127">
        <f t="shared" si="1"/>
        <v>1161.4855612109168</v>
      </c>
      <c r="U38" s="1128">
        <f t="shared" si="2"/>
        <v>119.36329037046301</v>
      </c>
      <c r="V38" s="1120"/>
      <c r="W38" s="1120"/>
      <c r="X38" s="1120"/>
      <c r="Y38" s="1120"/>
      <c r="Z38" s="1120"/>
      <c r="AA38" s="1120"/>
      <c r="AB38" s="1120"/>
      <c r="AC38" s="1116"/>
    </row>
    <row r="39" spans="1:29" x14ac:dyDescent="0.35">
      <c r="A39" s="1120">
        <v>1729</v>
      </c>
      <c r="B39" s="1120"/>
      <c r="C39" s="1121">
        <v>508</v>
      </c>
      <c r="D39" s="1121">
        <v>681</v>
      </c>
      <c r="E39" s="1122">
        <v>0.66688728393254748</v>
      </c>
      <c r="F39" s="1120"/>
      <c r="G39" s="1120"/>
      <c r="H39" s="1123">
        <f t="shared" si="3"/>
        <v>74.596182085168877</v>
      </c>
      <c r="I39" s="1123">
        <f t="shared" si="0"/>
        <v>121.22526382199362</v>
      </c>
      <c r="J39" s="1120"/>
      <c r="K39" s="1120"/>
      <c r="L39" s="1120"/>
      <c r="M39" s="1124">
        <v>1249.8474267630484</v>
      </c>
      <c r="N39" s="1125">
        <v>339.37880578497834</v>
      </c>
      <c r="O39" s="1126">
        <v>142.24405728590878</v>
      </c>
      <c r="P39" s="1120"/>
      <c r="Q39" s="1120"/>
      <c r="R39" s="1120"/>
      <c r="S39" s="1120"/>
      <c r="T39" s="1127">
        <f t="shared" si="1"/>
        <v>1249.8474267630484</v>
      </c>
      <c r="U39" s="1128">
        <f t="shared" si="2"/>
        <v>142.24405728590878</v>
      </c>
      <c r="V39" s="1120"/>
      <c r="W39" s="1120"/>
      <c r="X39" s="1120"/>
      <c r="Y39" s="1120"/>
      <c r="Z39" s="1120"/>
      <c r="AA39" s="1120"/>
      <c r="AB39" s="1120"/>
      <c r="AC39" s="1116"/>
    </row>
    <row r="40" spans="1:29" x14ac:dyDescent="0.35">
      <c r="A40" s="1120">
        <v>1730</v>
      </c>
      <c r="B40" s="1120"/>
      <c r="C40" s="1121">
        <v>513</v>
      </c>
      <c r="D40" s="1121">
        <v>599</v>
      </c>
      <c r="E40" s="1122">
        <v>0.70056845988873673</v>
      </c>
      <c r="F40" s="1120"/>
      <c r="G40" s="1120"/>
      <c r="H40" s="1123">
        <f t="shared" si="3"/>
        <v>85.642737896494154</v>
      </c>
      <c r="I40" s="1123">
        <f t="shared" si="0"/>
        <v>139.17687481762562</v>
      </c>
      <c r="J40" s="1120"/>
      <c r="K40" s="1120"/>
      <c r="L40" s="1120"/>
      <c r="M40" s="1124">
        <v>1151.6260755593594</v>
      </c>
      <c r="N40" s="1125">
        <v>347.20723029107012</v>
      </c>
      <c r="O40" s="1126">
        <v>135.88149539498025</v>
      </c>
      <c r="P40" s="1120"/>
      <c r="Q40" s="1120"/>
      <c r="R40" s="1120"/>
      <c r="S40" s="1120"/>
      <c r="T40" s="1127">
        <f t="shared" si="1"/>
        <v>1151.6260755593594</v>
      </c>
      <c r="U40" s="1128">
        <f t="shared" si="2"/>
        <v>135.88149539498025</v>
      </c>
      <c r="V40" s="1120"/>
      <c r="W40" s="1120"/>
      <c r="X40" s="1120"/>
      <c r="Y40" s="1120"/>
      <c r="Z40" s="1120"/>
      <c r="AA40" s="1120"/>
      <c r="AB40" s="1120"/>
      <c r="AC40" s="1116"/>
    </row>
    <row r="41" spans="1:29" x14ac:dyDescent="0.35">
      <c r="A41" s="1120">
        <v>1731</v>
      </c>
      <c r="B41" s="1120"/>
      <c r="C41" s="1121">
        <v>521</v>
      </c>
      <c r="D41" s="1121">
        <v>553</v>
      </c>
      <c r="E41" s="1122">
        <v>0.63994234316759602</v>
      </c>
      <c r="F41" s="1120"/>
      <c r="G41" s="1120"/>
      <c r="H41" s="1123">
        <f t="shared" si="3"/>
        <v>94.213381555153703</v>
      </c>
      <c r="I41" s="1123">
        <f t="shared" si="0"/>
        <v>153.10491388883523</v>
      </c>
      <c r="J41" s="1120"/>
      <c r="K41" s="1120"/>
      <c r="L41" s="1120"/>
      <c r="M41" s="1124">
        <v>1327.5681364093341</v>
      </c>
      <c r="N41" s="1125">
        <v>359.79317265680345</v>
      </c>
      <c r="O41" s="1126">
        <v>156.83024945794941</v>
      </c>
      <c r="P41" s="1120"/>
      <c r="Q41" s="1120"/>
      <c r="R41" s="1120"/>
      <c r="S41" s="1120"/>
      <c r="T41" s="1127">
        <f t="shared" si="1"/>
        <v>1327.5681364093341</v>
      </c>
      <c r="U41" s="1128">
        <f t="shared" si="2"/>
        <v>156.83024945794941</v>
      </c>
      <c r="V41" s="1120"/>
      <c r="W41" s="1120"/>
      <c r="X41" s="1120"/>
      <c r="Y41" s="1120"/>
      <c r="Z41" s="1120"/>
      <c r="AA41" s="1120"/>
      <c r="AB41" s="1120"/>
      <c r="AC41" s="1116"/>
    </row>
    <row r="42" spans="1:29" x14ac:dyDescent="0.35">
      <c r="A42" s="1120">
        <v>1732</v>
      </c>
      <c r="B42" s="1120"/>
      <c r="C42" s="1121">
        <v>494</v>
      </c>
      <c r="D42" s="1121">
        <v>557</v>
      </c>
      <c r="E42" s="1122">
        <v>0.59278869682893098</v>
      </c>
      <c r="F42" s="1120"/>
      <c r="G42" s="1120"/>
      <c r="H42" s="1123">
        <f t="shared" si="3"/>
        <v>88.689407540394967</v>
      </c>
      <c r="I42" s="1123">
        <f t="shared" si="0"/>
        <v>144.12797715338129</v>
      </c>
      <c r="J42" s="1120"/>
      <c r="K42" s="1120"/>
      <c r="L42" s="1120"/>
      <c r="M42" s="1124">
        <v>1505.6814110816142</v>
      </c>
      <c r="N42" s="1125">
        <v>339.79027413553382</v>
      </c>
      <c r="O42" s="1126">
        <v>146.63788501927456</v>
      </c>
      <c r="P42" s="1120"/>
      <c r="Q42" s="1120"/>
      <c r="R42" s="1120"/>
      <c r="S42" s="1120"/>
      <c r="T42" s="1127">
        <f t="shared" si="1"/>
        <v>1505.6814110816142</v>
      </c>
      <c r="U42" s="1128">
        <f t="shared" si="2"/>
        <v>146.63788501927456</v>
      </c>
      <c r="V42" s="1120"/>
      <c r="W42" s="1120"/>
      <c r="X42" s="1120"/>
      <c r="Y42" s="1120"/>
      <c r="Z42" s="1120"/>
      <c r="AA42" s="1120"/>
      <c r="AB42" s="1120"/>
      <c r="AC42" s="1116"/>
    </row>
    <row r="43" spans="1:29" x14ac:dyDescent="0.35">
      <c r="A43" s="1120">
        <v>1733</v>
      </c>
      <c r="B43" s="1120"/>
      <c r="C43" s="1121">
        <v>484</v>
      </c>
      <c r="D43" s="1121">
        <v>544</v>
      </c>
      <c r="E43" s="1122">
        <v>0.59952493202016877</v>
      </c>
      <c r="F43" s="1120"/>
      <c r="G43" s="1120"/>
      <c r="H43" s="1123">
        <f t="shared" si="3"/>
        <v>88.970588235294116</v>
      </c>
      <c r="I43" s="1123">
        <f t="shared" si="0"/>
        <v>144.58492016263452</v>
      </c>
      <c r="J43" s="1120"/>
      <c r="K43" s="1120"/>
      <c r="L43" s="1120"/>
      <c r="M43" s="1124">
        <v>1213.9880947854667</v>
      </c>
      <c r="N43" s="1125">
        <v>330.23641364611478</v>
      </c>
      <c r="O43" s="1126">
        <v>140.32086916094823</v>
      </c>
      <c r="P43" s="1120"/>
      <c r="Q43" s="1120"/>
      <c r="R43" s="1120"/>
      <c r="S43" s="1120"/>
      <c r="T43" s="1127">
        <f t="shared" si="1"/>
        <v>1213.9880947854667</v>
      </c>
      <c r="U43" s="1128">
        <f t="shared" si="2"/>
        <v>140.32086916094823</v>
      </c>
      <c r="V43" s="1120"/>
      <c r="W43" s="1120"/>
      <c r="X43" s="1120"/>
      <c r="Y43" s="1120"/>
      <c r="Z43" s="1120"/>
      <c r="AA43" s="1120"/>
      <c r="AB43" s="1120"/>
      <c r="AC43" s="1116"/>
    </row>
    <row r="44" spans="1:29" x14ac:dyDescent="0.35">
      <c r="A44" s="1120">
        <v>1734</v>
      </c>
      <c r="B44" s="1120"/>
      <c r="C44" s="1121">
        <v>475</v>
      </c>
      <c r="D44" s="1121">
        <v>518</v>
      </c>
      <c r="E44" s="1122">
        <v>0.57257999125521741</v>
      </c>
      <c r="F44" s="1120"/>
      <c r="G44" s="1120"/>
      <c r="H44" s="1123">
        <f t="shared" si="3"/>
        <v>91.698841698841704</v>
      </c>
      <c r="I44" s="1123">
        <f t="shared" si="0"/>
        <v>149.01856859673555</v>
      </c>
      <c r="J44" s="1120"/>
      <c r="K44" s="1120"/>
      <c r="L44" s="1120"/>
      <c r="M44" s="1124">
        <v>979.62204069829841</v>
      </c>
      <c r="N44" s="1125">
        <v>322.42093838362581</v>
      </c>
      <c r="O44" s="1126">
        <v>135.1966723099346</v>
      </c>
      <c r="P44" s="1120"/>
      <c r="Q44" s="1120"/>
      <c r="R44" s="1120"/>
      <c r="S44" s="1120"/>
      <c r="T44" s="1127">
        <f t="shared" si="1"/>
        <v>979.62204069829841</v>
      </c>
      <c r="U44" s="1128">
        <f t="shared" si="2"/>
        <v>135.1966723099346</v>
      </c>
      <c r="V44" s="1120"/>
      <c r="W44" s="1120"/>
      <c r="X44" s="1120"/>
      <c r="Y44" s="1120"/>
      <c r="Z44" s="1120"/>
      <c r="AA44" s="1120"/>
      <c r="AB44" s="1120"/>
      <c r="AC44" s="1116"/>
    </row>
    <row r="45" spans="1:29" x14ac:dyDescent="0.35">
      <c r="A45" s="1120">
        <v>1735</v>
      </c>
      <c r="B45" s="1120"/>
      <c r="C45" s="1121">
        <v>445</v>
      </c>
      <c r="D45" s="1121">
        <v>529</v>
      </c>
      <c r="E45" s="1122">
        <v>0.59278869682893098</v>
      </c>
      <c r="F45" s="1120"/>
      <c r="G45" s="1120"/>
      <c r="H45" s="1123">
        <f t="shared" si="3"/>
        <v>84.120982986767487</v>
      </c>
      <c r="I45" s="1123">
        <f t="shared" si="0"/>
        <v>136.70389114409915</v>
      </c>
      <c r="J45" s="1120"/>
      <c r="K45" s="1120"/>
      <c r="L45" s="1120"/>
      <c r="M45" s="1124">
        <v>953.5766184971485</v>
      </c>
      <c r="N45" s="1125">
        <v>285.83227725924121</v>
      </c>
      <c r="O45" s="1126">
        <v>137.15959072073105</v>
      </c>
      <c r="P45" s="1120"/>
      <c r="Q45" s="1120"/>
      <c r="R45" s="1120"/>
      <c r="S45" s="1120"/>
      <c r="T45" s="1127">
        <f t="shared" si="1"/>
        <v>953.5766184971485</v>
      </c>
      <c r="U45" s="1128">
        <f t="shared" si="2"/>
        <v>137.15959072073105</v>
      </c>
      <c r="V45" s="1120"/>
      <c r="W45" s="1120"/>
      <c r="X45" s="1120"/>
      <c r="Y45" s="1120"/>
      <c r="Z45" s="1120"/>
      <c r="AA45" s="1120"/>
      <c r="AB45" s="1120"/>
      <c r="AC45" s="1116"/>
    </row>
    <row r="46" spans="1:29" x14ac:dyDescent="0.35">
      <c r="A46" s="1120">
        <v>1736</v>
      </c>
      <c r="B46" s="1120"/>
      <c r="C46" s="1121">
        <v>413</v>
      </c>
      <c r="D46" s="1121">
        <v>539</v>
      </c>
      <c r="E46" s="1122">
        <v>0.59952493202016888</v>
      </c>
      <c r="F46" s="1120"/>
      <c r="G46" s="1120"/>
      <c r="H46" s="1123">
        <f t="shared" si="3"/>
        <v>76.623376623376629</v>
      </c>
      <c r="I46" s="1123">
        <f t="shared" si="0"/>
        <v>124.51963071643014</v>
      </c>
      <c r="J46" s="1120"/>
      <c r="K46" s="1120"/>
      <c r="L46" s="1120"/>
      <c r="M46" s="1124">
        <v>999.09259421058732</v>
      </c>
      <c r="N46" s="1125">
        <v>321.37947902813409</v>
      </c>
      <c r="O46" s="1126">
        <v>138.35873547900408</v>
      </c>
      <c r="P46" s="1120"/>
      <c r="Q46" s="1120"/>
      <c r="R46" s="1120"/>
      <c r="S46" s="1120"/>
      <c r="T46" s="1127">
        <f t="shared" si="1"/>
        <v>999.09259421058732</v>
      </c>
      <c r="U46" s="1128">
        <f t="shared" si="2"/>
        <v>138.35873547900408</v>
      </c>
      <c r="V46" s="1120"/>
      <c r="W46" s="1120"/>
      <c r="X46" s="1120"/>
      <c r="Y46" s="1120"/>
      <c r="Z46" s="1120"/>
      <c r="AA46" s="1120"/>
      <c r="AB46" s="1120"/>
      <c r="AC46" s="1116"/>
    </row>
    <row r="47" spans="1:29" x14ac:dyDescent="0.35">
      <c r="A47" s="1120">
        <v>1737</v>
      </c>
      <c r="B47" s="1120"/>
      <c r="C47" s="1121">
        <v>421</v>
      </c>
      <c r="D47" s="1121">
        <v>581</v>
      </c>
      <c r="E47" s="1122">
        <v>0.5860524616376932</v>
      </c>
      <c r="F47" s="1120"/>
      <c r="G47" s="1120"/>
      <c r="H47" s="1123">
        <f t="shared" si="3"/>
        <v>72.461273666092936</v>
      </c>
      <c r="I47" s="1123">
        <f t="shared" si="0"/>
        <v>117.75585253171081</v>
      </c>
      <c r="J47" s="1120"/>
      <c r="K47" s="1120"/>
      <c r="L47" s="1120"/>
      <c r="M47" s="1124">
        <v>1172.603913868511</v>
      </c>
      <c r="N47" s="1125">
        <v>287.5436043739204</v>
      </c>
      <c r="O47" s="1126">
        <v>138.58222465786099</v>
      </c>
      <c r="P47" s="1120"/>
      <c r="Q47" s="1120"/>
      <c r="R47" s="1120"/>
      <c r="S47" s="1120"/>
      <c r="T47" s="1127">
        <f t="shared" si="1"/>
        <v>1172.603913868511</v>
      </c>
      <c r="U47" s="1128">
        <f t="shared" si="2"/>
        <v>138.58222465786099</v>
      </c>
      <c r="V47" s="1120"/>
      <c r="W47" s="1120"/>
      <c r="X47" s="1120"/>
      <c r="Y47" s="1120"/>
      <c r="Z47" s="1120"/>
      <c r="AA47" s="1120"/>
      <c r="AB47" s="1120"/>
      <c r="AC47" s="1116"/>
    </row>
    <row r="48" spans="1:29" x14ac:dyDescent="0.35">
      <c r="A48" s="1120">
        <v>1738</v>
      </c>
      <c r="B48" s="1120"/>
      <c r="C48" s="1121">
        <v>430</v>
      </c>
      <c r="D48" s="1121">
        <v>563</v>
      </c>
      <c r="E48" s="1122">
        <v>0.62646987278512034</v>
      </c>
      <c r="F48" s="1120"/>
      <c r="G48" s="1120"/>
      <c r="H48" s="1123">
        <f t="shared" si="3"/>
        <v>76.376554174067493</v>
      </c>
      <c r="I48" s="1123">
        <f t="shared" si="0"/>
        <v>124.11852283532532</v>
      </c>
      <c r="J48" s="1120"/>
      <c r="K48" s="1120"/>
      <c r="L48" s="1120"/>
      <c r="M48" s="1124">
        <v>1216.4415805918147</v>
      </c>
      <c r="N48" s="1125">
        <v>289.75319578795359</v>
      </c>
      <c r="O48" s="1126">
        <v>138.31899132842673</v>
      </c>
      <c r="P48" s="1120"/>
      <c r="Q48" s="1120"/>
      <c r="R48" s="1120"/>
      <c r="S48" s="1120"/>
      <c r="T48" s="1127">
        <f t="shared" si="1"/>
        <v>1216.4415805918147</v>
      </c>
      <c r="U48" s="1128">
        <f t="shared" si="2"/>
        <v>138.31899132842673</v>
      </c>
      <c r="V48" s="1120"/>
      <c r="W48" s="1120"/>
      <c r="X48" s="1120"/>
      <c r="Y48" s="1120"/>
      <c r="Z48" s="1120"/>
      <c r="AA48" s="1120"/>
      <c r="AB48" s="1120"/>
      <c r="AC48" s="1116"/>
    </row>
    <row r="49" spans="1:29" x14ac:dyDescent="0.35">
      <c r="A49" s="1120">
        <v>1739</v>
      </c>
      <c r="B49" s="1120"/>
      <c r="C49" s="1121">
        <v>453</v>
      </c>
      <c r="D49" s="1121">
        <v>547</v>
      </c>
      <c r="E49" s="1122">
        <v>0.61299740240264466</v>
      </c>
      <c r="F49" s="1120"/>
      <c r="G49" s="1120"/>
      <c r="H49" s="1123">
        <f t="shared" si="3"/>
        <v>82.81535648994516</v>
      </c>
      <c r="I49" s="1123">
        <f t="shared" si="0"/>
        <v>134.58213488116382</v>
      </c>
      <c r="J49" s="1120"/>
      <c r="K49" s="1120"/>
      <c r="L49" s="1120"/>
      <c r="M49" s="1124">
        <v>1047.1932329965239</v>
      </c>
      <c r="N49" s="1125">
        <v>275.09187591708547</v>
      </c>
      <c r="O49" s="1126">
        <v>121.04648621362858</v>
      </c>
      <c r="P49" s="1120"/>
      <c r="Q49" s="1120"/>
      <c r="R49" s="1120"/>
      <c r="S49" s="1120"/>
      <c r="T49" s="1127">
        <f t="shared" si="1"/>
        <v>1047.1932329965239</v>
      </c>
      <c r="U49" s="1128">
        <f t="shared" si="2"/>
        <v>121.04648621362858</v>
      </c>
      <c r="V49" s="1120"/>
      <c r="W49" s="1120"/>
      <c r="X49" s="1120"/>
      <c r="Y49" s="1120"/>
      <c r="Z49" s="1120"/>
      <c r="AA49" s="1120"/>
      <c r="AB49" s="1120"/>
      <c r="AC49" s="1116"/>
    </row>
    <row r="50" spans="1:29" x14ac:dyDescent="0.35">
      <c r="A50" s="1120">
        <v>1740</v>
      </c>
      <c r="B50" s="1120"/>
      <c r="C50" s="1121">
        <v>507</v>
      </c>
      <c r="D50" s="1121">
        <v>644</v>
      </c>
      <c r="E50" s="1122">
        <v>0.59952493202016899</v>
      </c>
      <c r="F50" s="1120"/>
      <c r="G50" s="1120"/>
      <c r="H50" s="1123">
        <f t="shared" si="3"/>
        <v>78.726708074534159</v>
      </c>
      <c r="I50" s="1123">
        <f t="shared" si="0"/>
        <v>127.93772669593417</v>
      </c>
      <c r="J50" s="1120"/>
      <c r="K50" s="1120"/>
      <c r="L50" s="1120"/>
      <c r="M50" s="1124">
        <v>1337.3641496904449</v>
      </c>
      <c r="N50" s="1125">
        <v>270.31877482373164</v>
      </c>
      <c r="O50" s="1126">
        <v>141.60013589519255</v>
      </c>
      <c r="P50" s="1120"/>
      <c r="Q50" s="1120"/>
      <c r="R50" s="1120"/>
      <c r="S50" s="1120"/>
      <c r="T50" s="1127">
        <f t="shared" si="1"/>
        <v>1337.3641496904449</v>
      </c>
      <c r="U50" s="1128">
        <f t="shared" si="2"/>
        <v>141.60013589519255</v>
      </c>
      <c r="V50" s="1120"/>
      <c r="W50" s="1120"/>
      <c r="X50" s="1120"/>
      <c r="Y50" s="1120"/>
      <c r="Z50" s="1120"/>
      <c r="AA50" s="1120"/>
      <c r="AB50" s="1120"/>
      <c r="AC50" s="1116"/>
    </row>
    <row r="51" spans="1:29" x14ac:dyDescent="0.35">
      <c r="A51" s="1120">
        <v>1741</v>
      </c>
      <c r="B51" s="1120"/>
      <c r="C51" s="1121">
        <v>529</v>
      </c>
      <c r="D51" s="1121">
        <v>712</v>
      </c>
      <c r="E51" s="1122">
        <v>0.67362351912378537</v>
      </c>
      <c r="F51" s="1120"/>
      <c r="G51" s="1120"/>
      <c r="H51" s="1123">
        <f t="shared" si="3"/>
        <v>74.297752808988761</v>
      </c>
      <c r="I51" s="1123">
        <f t="shared" si="0"/>
        <v>120.74029037260398</v>
      </c>
      <c r="J51" s="1120"/>
      <c r="K51" s="1120"/>
      <c r="L51" s="1120"/>
      <c r="M51" s="1124">
        <v>1424.4308984633894</v>
      </c>
      <c r="N51" s="1125">
        <v>318.14449307094861</v>
      </c>
      <c r="O51" s="1126">
        <v>140.08414134168152</v>
      </c>
      <c r="P51" s="1120"/>
      <c r="Q51" s="1120"/>
      <c r="R51" s="1120"/>
      <c r="S51" s="1120"/>
      <c r="T51" s="1127">
        <f t="shared" si="1"/>
        <v>1424.4308984633894</v>
      </c>
      <c r="U51" s="1128">
        <f t="shared" si="2"/>
        <v>140.08414134168152</v>
      </c>
      <c r="V51" s="1120"/>
      <c r="W51" s="1120"/>
      <c r="X51" s="1120"/>
      <c r="Y51" s="1120"/>
      <c r="Z51" s="1120"/>
      <c r="AA51" s="1120"/>
      <c r="AB51" s="1120"/>
      <c r="AC51" s="1116"/>
    </row>
    <row r="52" spans="1:29" x14ac:dyDescent="0.35">
      <c r="A52" s="1120">
        <v>1742</v>
      </c>
      <c r="B52" s="1120"/>
      <c r="C52" s="1121">
        <v>554</v>
      </c>
      <c r="D52" s="1121">
        <v>631</v>
      </c>
      <c r="E52" s="1122">
        <v>0.72751340065368819</v>
      </c>
      <c r="F52" s="1120"/>
      <c r="G52" s="1120"/>
      <c r="H52" s="1123">
        <f t="shared" si="3"/>
        <v>87.797147385103017</v>
      </c>
      <c r="I52" s="1123">
        <f t="shared" si="0"/>
        <v>142.67797703675836</v>
      </c>
      <c r="J52" s="1120"/>
      <c r="K52" s="1120"/>
      <c r="L52" s="1120"/>
      <c r="M52" s="1124">
        <v>1595.1435106108177</v>
      </c>
      <c r="N52" s="1125">
        <v>338.78305255676872</v>
      </c>
      <c r="O52" s="1126">
        <v>151.30581868002855</v>
      </c>
      <c r="P52" s="1120"/>
      <c r="Q52" s="1120"/>
      <c r="R52" s="1120"/>
      <c r="S52" s="1120"/>
      <c r="T52" s="1127">
        <f t="shared" si="1"/>
        <v>1595.1435106108177</v>
      </c>
      <c r="U52" s="1128">
        <f t="shared" si="2"/>
        <v>151.30581868002855</v>
      </c>
      <c r="V52" s="1120"/>
      <c r="W52" s="1120"/>
      <c r="X52" s="1120"/>
      <c r="Y52" s="1120"/>
      <c r="Z52" s="1120"/>
      <c r="AA52" s="1120"/>
      <c r="AB52" s="1120"/>
      <c r="AC52" s="1116"/>
    </row>
    <row r="53" spans="1:29" x14ac:dyDescent="0.35">
      <c r="A53" s="1120">
        <v>1743</v>
      </c>
      <c r="B53" s="1120"/>
      <c r="C53" s="1121">
        <v>523</v>
      </c>
      <c r="D53" s="1121">
        <v>579</v>
      </c>
      <c r="E53" s="1122">
        <v>0.66688728393254748</v>
      </c>
      <c r="F53" s="1120"/>
      <c r="G53" s="1120"/>
      <c r="H53" s="1123">
        <f t="shared" si="3"/>
        <v>90.328151986183073</v>
      </c>
      <c r="I53" s="1123">
        <f t="shared" si="0"/>
        <v>146.79107896669763</v>
      </c>
      <c r="J53" s="1120"/>
      <c r="K53" s="1120"/>
      <c r="L53" s="1120"/>
      <c r="M53" s="1124">
        <v>1309.3581308007947</v>
      </c>
      <c r="N53" s="1125">
        <v>307.4199497377146</v>
      </c>
      <c r="O53" s="1126">
        <v>152.45775573510036</v>
      </c>
      <c r="P53" s="1120"/>
      <c r="Q53" s="1120"/>
      <c r="R53" s="1120"/>
      <c r="S53" s="1120"/>
      <c r="T53" s="1127">
        <f t="shared" si="1"/>
        <v>1309.3581308007947</v>
      </c>
      <c r="U53" s="1128">
        <f t="shared" si="2"/>
        <v>152.45775573510036</v>
      </c>
      <c r="V53" s="1120"/>
      <c r="W53" s="1120"/>
      <c r="X53" s="1120"/>
      <c r="Y53" s="1120"/>
      <c r="Z53" s="1120"/>
      <c r="AA53" s="1120"/>
      <c r="AB53" s="1120"/>
      <c r="AC53" s="1116"/>
    </row>
    <row r="54" spans="1:29" x14ac:dyDescent="0.35">
      <c r="A54" s="1120">
        <v>1744</v>
      </c>
      <c r="B54" s="1120"/>
      <c r="C54" s="1121">
        <v>537</v>
      </c>
      <c r="D54" s="1121">
        <v>518</v>
      </c>
      <c r="E54" s="1122">
        <v>0.63320610797635823</v>
      </c>
      <c r="F54" s="1120"/>
      <c r="G54" s="1120"/>
      <c r="H54" s="1123">
        <f t="shared" si="3"/>
        <v>103.66795366795367</v>
      </c>
      <c r="I54" s="1123">
        <f t="shared" si="0"/>
        <v>168.4694133398884</v>
      </c>
      <c r="J54" s="1120"/>
      <c r="K54" s="1120"/>
      <c r="L54" s="1120"/>
      <c r="M54" s="1124">
        <v>1229.8460710329691</v>
      </c>
      <c r="N54" s="1125">
        <v>292.298717695645</v>
      </c>
      <c r="O54" s="1126">
        <v>157.58343658635906</v>
      </c>
      <c r="P54" s="1120"/>
      <c r="Q54" s="1120"/>
      <c r="R54" s="1120"/>
      <c r="S54" s="1120"/>
      <c r="T54" s="1127">
        <f t="shared" si="1"/>
        <v>1229.8460710329691</v>
      </c>
      <c r="U54" s="1128">
        <f t="shared" si="2"/>
        <v>157.58343658635906</v>
      </c>
      <c r="V54" s="1120"/>
      <c r="W54" s="1120"/>
      <c r="X54" s="1120"/>
      <c r="Y54" s="1120"/>
      <c r="Z54" s="1120"/>
      <c r="AA54" s="1120"/>
      <c r="AB54" s="1120"/>
      <c r="AC54" s="1116"/>
    </row>
    <row r="55" spans="1:29" x14ac:dyDescent="0.35">
      <c r="A55" s="1120">
        <v>1745</v>
      </c>
      <c r="B55" s="1120"/>
      <c r="C55" s="1121">
        <v>512</v>
      </c>
      <c r="D55" s="1121">
        <v>528</v>
      </c>
      <c r="E55" s="1122">
        <v>0.56584375606397974</v>
      </c>
      <c r="F55" s="1120"/>
      <c r="G55" s="1120"/>
      <c r="H55" s="1123">
        <f t="shared" si="3"/>
        <v>96.969696969696969</v>
      </c>
      <c r="I55" s="1123">
        <f t="shared" si="0"/>
        <v>157.58416542644264</v>
      </c>
      <c r="J55" s="1120"/>
      <c r="K55" s="1120"/>
      <c r="L55" s="1120"/>
      <c r="M55" s="1124">
        <v>1121.5895346905356</v>
      </c>
      <c r="N55" s="1125">
        <v>288.08589945234564</v>
      </c>
      <c r="O55" s="1126">
        <v>154.33958254429862</v>
      </c>
      <c r="P55" s="1120"/>
      <c r="Q55" s="1120"/>
      <c r="R55" s="1120"/>
      <c r="S55" s="1120"/>
      <c r="T55" s="1127">
        <f t="shared" si="1"/>
        <v>1121.5895346905356</v>
      </c>
      <c r="U55" s="1128">
        <f t="shared" si="2"/>
        <v>154.33958254429862</v>
      </c>
      <c r="V55" s="1120"/>
      <c r="W55" s="1120"/>
      <c r="X55" s="1120"/>
      <c r="Y55" s="1120"/>
      <c r="Z55" s="1120"/>
      <c r="AA55" s="1120"/>
      <c r="AB55" s="1120"/>
      <c r="AC55" s="1116"/>
    </row>
    <row r="56" spans="1:29" x14ac:dyDescent="0.35">
      <c r="A56" s="1120">
        <v>1746</v>
      </c>
      <c r="B56" s="1120"/>
      <c r="C56" s="1121">
        <v>509</v>
      </c>
      <c r="D56" s="1121">
        <v>594</v>
      </c>
      <c r="E56" s="1122">
        <v>0.57257999125521752</v>
      </c>
      <c r="F56" s="1120"/>
      <c r="G56" s="1120"/>
      <c r="H56" s="1123">
        <f t="shared" si="3"/>
        <v>85.690235690235696</v>
      </c>
      <c r="I56" s="1123">
        <f t="shared" si="0"/>
        <v>139.25406285079742</v>
      </c>
      <c r="J56" s="1120"/>
      <c r="K56" s="1120"/>
      <c r="L56" s="1120"/>
      <c r="M56" s="1124">
        <v>1088.4110871049315</v>
      </c>
      <c r="N56" s="1125">
        <v>296.3056156809979</v>
      </c>
      <c r="O56" s="1126">
        <v>155.00713030580312</v>
      </c>
      <c r="P56" s="1120"/>
      <c r="Q56" s="1120"/>
      <c r="R56" s="1120"/>
      <c r="S56" s="1120"/>
      <c r="T56" s="1127">
        <f t="shared" si="1"/>
        <v>1088.4110871049315</v>
      </c>
      <c r="U56" s="1128">
        <f t="shared" si="2"/>
        <v>155.00713030580312</v>
      </c>
      <c r="V56" s="1120"/>
      <c r="W56" s="1120"/>
      <c r="X56" s="1120"/>
      <c r="Y56" s="1120"/>
      <c r="Z56" s="1120"/>
      <c r="AA56" s="1120"/>
      <c r="AB56" s="1120"/>
      <c r="AC56" s="1116"/>
    </row>
    <row r="57" spans="1:29" x14ac:dyDescent="0.35">
      <c r="A57" s="1120">
        <v>1747</v>
      </c>
      <c r="B57" s="1120"/>
      <c r="C57" s="1121">
        <v>500</v>
      </c>
      <c r="D57" s="1121">
        <v>574</v>
      </c>
      <c r="E57" s="1122">
        <v>0.62646987278512034</v>
      </c>
      <c r="F57" s="1120"/>
      <c r="G57" s="1120"/>
      <c r="H57" s="1123">
        <f t="shared" si="3"/>
        <v>87.108013937282223</v>
      </c>
      <c r="I57" s="1123">
        <f t="shared" si="0"/>
        <v>141.55807543207226</v>
      </c>
      <c r="J57" s="1120"/>
      <c r="K57" s="1120"/>
      <c r="L57" s="1120"/>
      <c r="M57" s="1124">
        <v>1105.4791388737963</v>
      </c>
      <c r="N57" s="1125">
        <v>275.76362319363045</v>
      </c>
      <c r="O57" s="1126">
        <v>149.30294839649247</v>
      </c>
      <c r="P57" s="1120"/>
      <c r="Q57" s="1120"/>
      <c r="R57" s="1120"/>
      <c r="S57" s="1120"/>
      <c r="T57" s="1127">
        <f t="shared" si="1"/>
        <v>1105.4791388737963</v>
      </c>
      <c r="U57" s="1128">
        <f t="shared" si="2"/>
        <v>149.30294839649247</v>
      </c>
      <c r="V57" s="1120"/>
      <c r="W57" s="1120"/>
      <c r="X57" s="1120"/>
      <c r="Y57" s="1120"/>
      <c r="Z57" s="1120"/>
      <c r="AA57" s="1120"/>
      <c r="AB57" s="1120"/>
      <c r="AC57" s="1116"/>
    </row>
    <row r="58" spans="1:29" x14ac:dyDescent="0.35">
      <c r="A58" s="1120">
        <v>1748</v>
      </c>
      <c r="B58" s="1120"/>
      <c r="C58" s="1121">
        <v>483</v>
      </c>
      <c r="D58" s="1121">
        <v>599</v>
      </c>
      <c r="E58" s="1122">
        <v>0.60626116721140677</v>
      </c>
      <c r="F58" s="1120"/>
      <c r="G58" s="1120"/>
      <c r="H58" s="1123">
        <f t="shared" si="3"/>
        <v>80.634390651085141</v>
      </c>
      <c r="I58" s="1123">
        <f t="shared" si="0"/>
        <v>131.03787629027906</v>
      </c>
      <c r="J58" s="1120"/>
      <c r="K58" s="1120"/>
      <c r="L58" s="1120"/>
      <c r="M58" s="1124">
        <v>1076.7206744917153</v>
      </c>
      <c r="N58" s="1125">
        <v>287.53065054871644</v>
      </c>
      <c r="O58" s="1126">
        <v>146.05921323419261</v>
      </c>
      <c r="P58" s="1120"/>
      <c r="Q58" s="1120"/>
      <c r="R58" s="1120"/>
      <c r="S58" s="1120"/>
      <c r="T58" s="1127">
        <f t="shared" si="1"/>
        <v>1076.7206744917153</v>
      </c>
      <c r="U58" s="1128">
        <f t="shared" si="2"/>
        <v>146.05921323419261</v>
      </c>
      <c r="V58" s="1120"/>
      <c r="W58" s="1120"/>
      <c r="X58" s="1120"/>
      <c r="Y58" s="1120"/>
      <c r="Z58" s="1120"/>
      <c r="AA58" s="1120"/>
      <c r="AB58" s="1120"/>
      <c r="AC58" s="1116"/>
    </row>
    <row r="59" spans="1:29" x14ac:dyDescent="0.35">
      <c r="A59" s="1120">
        <v>1749</v>
      </c>
      <c r="B59" s="1120"/>
      <c r="C59" s="1121">
        <v>510</v>
      </c>
      <c r="D59" s="1121">
        <v>609</v>
      </c>
      <c r="E59" s="1122">
        <v>0.63320610797635812</v>
      </c>
      <c r="F59" s="1120"/>
      <c r="G59" s="1120"/>
      <c r="H59" s="1123">
        <f t="shared" si="3"/>
        <v>83.743842364532014</v>
      </c>
      <c r="I59" s="1123">
        <f t="shared" si="0"/>
        <v>136.09100493262673</v>
      </c>
      <c r="J59" s="1120"/>
      <c r="K59" s="1120"/>
      <c r="L59" s="1120"/>
      <c r="M59" s="1124">
        <v>1169.8726795654702</v>
      </c>
      <c r="N59" s="1125">
        <v>288.92221668478192</v>
      </c>
      <c r="O59" s="1126">
        <v>145.46046964672738</v>
      </c>
      <c r="P59" s="1120"/>
      <c r="Q59" s="1120"/>
      <c r="R59" s="1120"/>
      <c r="S59" s="1120"/>
      <c r="T59" s="1127">
        <f t="shared" si="1"/>
        <v>1169.8726795654702</v>
      </c>
      <c r="U59" s="1128">
        <f t="shared" si="2"/>
        <v>145.46046964672738</v>
      </c>
      <c r="V59" s="1120"/>
      <c r="W59" s="1120"/>
      <c r="X59" s="1120"/>
      <c r="Y59" s="1120"/>
      <c r="Z59" s="1120"/>
      <c r="AA59" s="1120"/>
      <c r="AB59" s="1120"/>
      <c r="AC59" s="1116"/>
    </row>
    <row r="60" spans="1:29" x14ac:dyDescent="0.35">
      <c r="A60" s="1120">
        <v>1750</v>
      </c>
      <c r="B60" s="1120"/>
      <c r="C60" s="1121">
        <v>499</v>
      </c>
      <c r="D60" s="1121">
        <v>590</v>
      </c>
      <c r="E60" s="1129">
        <v>0.6466785783588338</v>
      </c>
      <c r="F60" s="1120"/>
      <c r="G60" s="1120"/>
      <c r="H60" s="1123">
        <f t="shared" si="3"/>
        <v>84.576271186440678</v>
      </c>
      <c r="I60" s="1123">
        <f t="shared" si="0"/>
        <v>137.44377394476859</v>
      </c>
      <c r="J60" s="1120"/>
      <c r="K60" s="1120"/>
      <c r="L60" s="1120"/>
      <c r="M60" s="1124">
        <v>1241.6901329910847</v>
      </c>
      <c r="N60" s="1125">
        <v>289.0537199767677</v>
      </c>
      <c r="O60" s="1126">
        <v>142.19152057161625</v>
      </c>
      <c r="P60" s="1120"/>
      <c r="Q60" s="1120"/>
      <c r="R60" s="1120"/>
      <c r="S60" s="1120"/>
      <c r="T60" s="1127">
        <f t="shared" si="1"/>
        <v>1241.6901329910847</v>
      </c>
      <c r="U60" s="1128">
        <f t="shared" si="2"/>
        <v>142.19152057161625</v>
      </c>
      <c r="V60" s="1120"/>
      <c r="W60" s="1120"/>
      <c r="X60" s="1120"/>
      <c r="Y60" s="1120"/>
      <c r="Z60" s="1120"/>
      <c r="AA60" s="1120"/>
      <c r="AB60" s="1120"/>
      <c r="AC60" s="1116"/>
    </row>
    <row r="61" spans="1:29" x14ac:dyDescent="0.35">
      <c r="A61" s="1120">
        <v>1751</v>
      </c>
      <c r="B61" s="1120"/>
      <c r="C61" s="1121">
        <v>478</v>
      </c>
      <c r="D61" s="1121">
        <v>574</v>
      </c>
      <c r="E61" s="1122">
        <v>0.63994234316759591</v>
      </c>
      <c r="F61" s="1120"/>
      <c r="G61" s="1120"/>
      <c r="H61" s="1123">
        <f t="shared" si="3"/>
        <v>83.275261324041821</v>
      </c>
      <c r="I61" s="1123">
        <f t="shared" si="0"/>
        <v>135.32952011306111</v>
      </c>
      <c r="J61" s="1120"/>
      <c r="K61" s="1120"/>
      <c r="L61" s="1120"/>
      <c r="M61" s="1124">
        <v>1025.3476474586903</v>
      </c>
      <c r="N61" s="1125">
        <v>259.31341827619917</v>
      </c>
      <c r="O61" s="1126">
        <v>137.76360941975889</v>
      </c>
      <c r="P61" s="1120"/>
      <c r="Q61" s="1120"/>
      <c r="R61" s="1120"/>
      <c r="S61" s="1120"/>
      <c r="T61" s="1127">
        <f t="shared" si="1"/>
        <v>1025.3476474586903</v>
      </c>
      <c r="U61" s="1128">
        <f t="shared" si="2"/>
        <v>137.76360941975889</v>
      </c>
      <c r="V61" s="1120"/>
      <c r="W61" s="1120"/>
      <c r="X61" s="1120"/>
      <c r="Y61" s="1120"/>
      <c r="Z61" s="1120"/>
      <c r="AA61" s="1120"/>
      <c r="AB61" s="1120"/>
      <c r="AC61" s="1116"/>
    </row>
    <row r="62" spans="1:29" x14ac:dyDescent="0.35">
      <c r="A62" s="1120">
        <v>1752</v>
      </c>
      <c r="B62" s="1120"/>
      <c r="C62" s="1121">
        <v>459</v>
      </c>
      <c r="D62" s="1121">
        <v>601</v>
      </c>
      <c r="E62" s="1122">
        <v>0.65678293114569053</v>
      </c>
      <c r="F62" s="1120"/>
      <c r="G62" s="1120"/>
      <c r="H62" s="1123">
        <f t="shared" si="3"/>
        <v>76.372712146422629</v>
      </c>
      <c r="I62" s="1123">
        <f t="shared" si="0"/>
        <v>124.11227920727572</v>
      </c>
      <c r="J62" s="1120"/>
      <c r="K62" s="1120"/>
      <c r="L62" s="1120"/>
      <c r="M62" s="1124">
        <v>1033.2034872686804</v>
      </c>
      <c r="N62" s="1125">
        <v>283.14231818858445</v>
      </c>
      <c r="O62" s="1126">
        <v>132.57664817139423</v>
      </c>
      <c r="P62" s="1120"/>
      <c r="Q62" s="1120"/>
      <c r="R62" s="1120"/>
      <c r="S62" s="1120"/>
      <c r="T62" s="1127">
        <f t="shared" si="1"/>
        <v>1033.2034872686804</v>
      </c>
      <c r="U62" s="1128">
        <f t="shared" si="2"/>
        <v>132.57664817139423</v>
      </c>
      <c r="V62" s="1120"/>
      <c r="W62" s="1120"/>
      <c r="X62" s="1120"/>
      <c r="Y62" s="1120"/>
      <c r="Z62" s="1120"/>
      <c r="AA62" s="1120"/>
      <c r="AB62" s="1120"/>
      <c r="AC62" s="1116"/>
    </row>
    <row r="63" spans="1:29" x14ac:dyDescent="0.35">
      <c r="A63" s="1120">
        <v>1753</v>
      </c>
      <c r="B63" s="1120"/>
      <c r="C63" s="1121">
        <v>464</v>
      </c>
      <c r="D63" s="1121">
        <v>585</v>
      </c>
      <c r="E63" s="1122">
        <v>0.6988844010909272</v>
      </c>
      <c r="F63" s="1120"/>
      <c r="G63" s="1120"/>
      <c r="H63" s="1123">
        <f t="shared" si="3"/>
        <v>79.316239316239319</v>
      </c>
      <c r="I63" s="1123">
        <f t="shared" si="0"/>
        <v>128.89576607957744</v>
      </c>
      <c r="J63" s="1120"/>
      <c r="K63" s="1120"/>
      <c r="L63" s="1120"/>
      <c r="M63" s="1124">
        <v>1240.2201824854278</v>
      </c>
      <c r="N63" s="1125">
        <v>264.04141598091365</v>
      </c>
      <c r="O63" s="1126">
        <v>139.5829365438866</v>
      </c>
      <c r="P63" s="1120"/>
      <c r="Q63" s="1120"/>
      <c r="R63" s="1120"/>
      <c r="S63" s="1120"/>
      <c r="T63" s="1127">
        <f t="shared" si="1"/>
        <v>1240.2201824854278</v>
      </c>
      <c r="U63" s="1128">
        <f t="shared" si="2"/>
        <v>139.5829365438866</v>
      </c>
      <c r="V63" s="1120"/>
      <c r="W63" s="1120"/>
      <c r="X63" s="1120"/>
      <c r="Y63" s="1120"/>
      <c r="Z63" s="1120"/>
      <c r="AA63" s="1120"/>
      <c r="AB63" s="1120"/>
      <c r="AC63" s="1116"/>
    </row>
    <row r="64" spans="1:29" x14ac:dyDescent="0.35">
      <c r="A64" s="1120">
        <v>1754</v>
      </c>
      <c r="B64" s="1120"/>
      <c r="C64" s="1121">
        <v>495</v>
      </c>
      <c r="D64" s="1121">
        <v>615</v>
      </c>
      <c r="E64" s="1122">
        <v>0.69046410710187989</v>
      </c>
      <c r="F64" s="1120"/>
      <c r="G64" s="1120"/>
      <c r="H64" s="1123">
        <f t="shared" si="3"/>
        <v>80.487804878048792</v>
      </c>
      <c r="I64" s="1123">
        <f t="shared" si="0"/>
        <v>130.7996616992348</v>
      </c>
      <c r="J64" s="1120"/>
      <c r="K64" s="1120"/>
      <c r="L64" s="1120"/>
      <c r="M64" s="1124">
        <v>1498.9107693234248</v>
      </c>
      <c r="N64" s="1125">
        <v>339.22208324947593</v>
      </c>
      <c r="O64" s="1126">
        <v>143.13949312724787</v>
      </c>
      <c r="P64" s="1120"/>
      <c r="Q64" s="1120"/>
      <c r="R64" s="1120"/>
      <c r="S64" s="1120"/>
      <c r="T64" s="1127">
        <f t="shared" si="1"/>
        <v>1498.9107693234248</v>
      </c>
      <c r="U64" s="1128">
        <f t="shared" si="2"/>
        <v>143.13949312724787</v>
      </c>
      <c r="V64" s="1120"/>
      <c r="W64" s="1120"/>
      <c r="X64" s="1120"/>
      <c r="Y64" s="1120"/>
      <c r="Z64" s="1120"/>
      <c r="AA64" s="1120"/>
      <c r="AB64" s="1120"/>
      <c r="AC64" s="1116"/>
    </row>
    <row r="65" spans="1:29" x14ac:dyDescent="0.35">
      <c r="A65" s="1120">
        <v>1755</v>
      </c>
      <c r="B65" s="1120"/>
      <c r="C65" s="1121">
        <v>534</v>
      </c>
      <c r="D65" s="1121">
        <v>578</v>
      </c>
      <c r="E65" s="1122">
        <v>0.68204381311283258</v>
      </c>
      <c r="F65" s="1120"/>
      <c r="G65" s="1120"/>
      <c r="H65" s="1123">
        <f t="shared" si="3"/>
        <v>92.387543252595165</v>
      </c>
      <c r="I65" s="1123">
        <f t="shared" si="0"/>
        <v>150.13776833611445</v>
      </c>
      <c r="J65" s="1120"/>
      <c r="K65" s="1120"/>
      <c r="L65" s="1120"/>
      <c r="M65" s="1124">
        <v>1175.6604815802198</v>
      </c>
      <c r="N65" s="1125">
        <v>298.62278883385295</v>
      </c>
      <c r="O65" s="1126">
        <v>141.49652811864033</v>
      </c>
      <c r="P65" s="1120"/>
      <c r="Q65" s="1120"/>
      <c r="R65" s="1120"/>
      <c r="S65" s="1120"/>
      <c r="T65" s="1127">
        <f t="shared" si="1"/>
        <v>1175.6604815802198</v>
      </c>
      <c r="U65" s="1128">
        <f t="shared" si="2"/>
        <v>141.49652811864033</v>
      </c>
      <c r="V65" s="1120"/>
      <c r="W65" s="1120"/>
      <c r="X65" s="1120"/>
      <c r="Y65" s="1120"/>
      <c r="Z65" s="1120"/>
      <c r="AA65" s="1120"/>
      <c r="AB65" s="1120"/>
      <c r="AC65" s="1116"/>
    </row>
    <row r="66" spans="1:29" x14ac:dyDescent="0.35">
      <c r="A66" s="1120">
        <v>1756</v>
      </c>
      <c r="B66" s="1120"/>
      <c r="C66" s="1121">
        <v>572</v>
      </c>
      <c r="D66" s="1121">
        <v>602</v>
      </c>
      <c r="E66" s="1122">
        <v>0.64836263715664333</v>
      </c>
      <c r="F66" s="1120"/>
      <c r="G66" s="1120"/>
      <c r="H66" s="1123">
        <f t="shared" si="3"/>
        <v>95.016611295681059</v>
      </c>
      <c r="I66" s="1123">
        <f t="shared" si="0"/>
        <v>154.41023186199808</v>
      </c>
      <c r="J66" s="1120"/>
      <c r="K66" s="1120"/>
      <c r="L66" s="1120"/>
      <c r="M66" s="1124">
        <v>896.73549570903083</v>
      </c>
      <c r="N66" s="1125">
        <v>209.13881029169787</v>
      </c>
      <c r="O66" s="1126">
        <v>134.54677698450189</v>
      </c>
      <c r="P66" s="1120"/>
      <c r="Q66" s="1120"/>
      <c r="R66" s="1120"/>
      <c r="S66" s="1120"/>
      <c r="T66" s="1127">
        <f t="shared" si="1"/>
        <v>896.73549570903083</v>
      </c>
      <c r="U66" s="1128">
        <f t="shared" si="2"/>
        <v>134.54677698450189</v>
      </c>
      <c r="V66" s="1120"/>
      <c r="W66" s="1120"/>
      <c r="X66" s="1120"/>
      <c r="Y66" s="1120"/>
      <c r="Z66" s="1120"/>
      <c r="AA66" s="1120"/>
      <c r="AB66" s="1120"/>
      <c r="AC66" s="1116"/>
    </row>
    <row r="67" spans="1:29" x14ac:dyDescent="0.35">
      <c r="A67" s="1120">
        <v>1757</v>
      </c>
      <c r="B67" s="1120"/>
      <c r="C67" s="1121">
        <v>559</v>
      </c>
      <c r="D67" s="1121">
        <v>733</v>
      </c>
      <c r="E67" s="1122">
        <v>0.6988844010909272</v>
      </c>
      <c r="F67" s="1120"/>
      <c r="G67" s="1120"/>
      <c r="H67" s="1123">
        <f t="shared" si="3"/>
        <v>76.261937244201903</v>
      </c>
      <c r="I67" s="1123">
        <f t="shared" si="0"/>
        <v>123.93226038632278</v>
      </c>
      <c r="J67" s="1120"/>
      <c r="K67" s="1120"/>
      <c r="L67" s="1120"/>
      <c r="M67" s="1124">
        <v>1107.522999129953</v>
      </c>
      <c r="N67" s="1125">
        <v>268.10395477985054</v>
      </c>
      <c r="O67" s="1126">
        <v>145.56970592621963</v>
      </c>
      <c r="P67" s="1120"/>
      <c r="Q67" s="1120"/>
      <c r="R67" s="1120"/>
      <c r="S67" s="1120"/>
      <c r="T67" s="1127">
        <f t="shared" si="1"/>
        <v>1107.522999129953</v>
      </c>
      <c r="U67" s="1128">
        <f t="shared" si="2"/>
        <v>145.56970592621963</v>
      </c>
      <c r="V67" s="1120"/>
      <c r="W67" s="1120"/>
      <c r="X67" s="1120"/>
      <c r="Y67" s="1120"/>
      <c r="Z67" s="1120"/>
      <c r="AA67" s="1120"/>
      <c r="AB67" s="1120"/>
      <c r="AC67" s="1116"/>
    </row>
    <row r="68" spans="1:29" x14ac:dyDescent="0.35">
      <c r="A68" s="1120">
        <v>1758</v>
      </c>
      <c r="B68" s="1120"/>
      <c r="C68" s="1121">
        <v>572</v>
      </c>
      <c r="D68" s="1121">
        <v>731</v>
      </c>
      <c r="E68" s="1122">
        <v>0.89255116283901548</v>
      </c>
      <c r="F68" s="1120"/>
      <c r="G68" s="1120"/>
      <c r="H68" s="1123">
        <f t="shared" si="3"/>
        <v>78.248974008207938</v>
      </c>
      <c r="I68" s="1123">
        <f t="shared" si="0"/>
        <v>127.16136741576314</v>
      </c>
      <c r="J68" s="1120"/>
      <c r="K68" s="1120"/>
      <c r="L68" s="1120"/>
      <c r="M68" s="1124">
        <v>1239.1577999269407</v>
      </c>
      <c r="N68" s="1125">
        <v>230.73821937195768</v>
      </c>
      <c r="O68" s="1126">
        <v>151.13664945882039</v>
      </c>
      <c r="P68" s="1120"/>
      <c r="Q68" s="1120"/>
      <c r="R68" s="1120"/>
      <c r="S68" s="1120"/>
      <c r="T68" s="1127">
        <f t="shared" si="1"/>
        <v>1239.1577999269407</v>
      </c>
      <c r="U68" s="1128">
        <f t="shared" si="2"/>
        <v>151.13664945882039</v>
      </c>
      <c r="V68" s="1120"/>
      <c r="W68" s="1120"/>
      <c r="X68" s="1120"/>
      <c r="Y68" s="1120"/>
      <c r="Z68" s="1120"/>
      <c r="AA68" s="1120"/>
      <c r="AB68" s="1120"/>
      <c r="AC68" s="1116"/>
    </row>
    <row r="69" spans="1:29" x14ac:dyDescent="0.35">
      <c r="A69" s="1120">
        <v>1759</v>
      </c>
      <c r="B69" s="1120"/>
      <c r="C69" s="1121">
        <v>567</v>
      </c>
      <c r="D69" s="1121">
        <v>673</v>
      </c>
      <c r="E69" s="1122">
        <v>0.8420293989047315</v>
      </c>
      <c r="F69" s="1120"/>
      <c r="G69" s="1120"/>
      <c r="H69" s="1123">
        <f t="shared" si="3"/>
        <v>84.249628528974739</v>
      </c>
      <c r="I69" s="1123">
        <f t="shared" si="0"/>
        <v>136.91295130452119</v>
      </c>
      <c r="J69" s="1120"/>
      <c r="K69" s="1120"/>
      <c r="L69" s="1120"/>
      <c r="M69" s="1124">
        <v>1182.3398532362598</v>
      </c>
      <c r="N69" s="1125">
        <v>286.9415835804748</v>
      </c>
      <c r="O69" s="1126">
        <v>166.13070757302953</v>
      </c>
      <c r="P69" s="1120"/>
      <c r="Q69" s="1120"/>
      <c r="R69" s="1120"/>
      <c r="S69" s="1120"/>
      <c r="T69" s="1127">
        <f t="shared" si="1"/>
        <v>1182.3398532362598</v>
      </c>
      <c r="U69" s="1128">
        <f t="shared" si="2"/>
        <v>166.13070757302953</v>
      </c>
      <c r="V69" s="1120"/>
      <c r="W69" s="1120"/>
      <c r="X69" s="1120"/>
      <c r="Y69" s="1120"/>
      <c r="Z69" s="1120"/>
      <c r="AA69" s="1120"/>
      <c r="AB69" s="1120"/>
      <c r="AC69" s="1116"/>
    </row>
    <row r="70" spans="1:29" x14ac:dyDescent="0.35">
      <c r="A70" s="1120">
        <v>1760</v>
      </c>
      <c r="B70" s="1120"/>
      <c r="C70" s="1121">
        <v>555</v>
      </c>
      <c r="D70" s="1121">
        <v>643</v>
      </c>
      <c r="E70" s="1122">
        <v>0.73256557704711633</v>
      </c>
      <c r="F70" s="1120"/>
      <c r="G70" s="1120"/>
      <c r="H70" s="1123">
        <f t="shared" si="3"/>
        <v>86.314152410575431</v>
      </c>
      <c r="I70" s="1123">
        <f t="shared" si="0"/>
        <v>140.26798161864778</v>
      </c>
      <c r="J70" s="1120"/>
      <c r="K70" s="1120"/>
      <c r="L70" s="1120"/>
      <c r="M70" s="1124">
        <v>1226.1146163501671</v>
      </c>
      <c r="N70" s="1125">
        <v>306.81210724863774</v>
      </c>
      <c r="O70" s="1126">
        <v>153.94836977294437</v>
      </c>
      <c r="P70" s="1120"/>
      <c r="Q70" s="1120"/>
      <c r="R70" s="1120"/>
      <c r="S70" s="1120"/>
      <c r="T70" s="1127">
        <f t="shared" si="1"/>
        <v>1226.1146163501671</v>
      </c>
      <c r="U70" s="1128">
        <f t="shared" si="2"/>
        <v>153.94836977294437</v>
      </c>
      <c r="V70" s="1120"/>
      <c r="W70" s="1120"/>
      <c r="X70" s="1120"/>
      <c r="Y70" s="1120"/>
      <c r="Z70" s="1120"/>
      <c r="AA70" s="1120"/>
      <c r="AB70" s="1120"/>
      <c r="AC70" s="1116"/>
    </row>
    <row r="71" spans="1:29" x14ac:dyDescent="0.35">
      <c r="A71" s="1120">
        <v>1761</v>
      </c>
      <c r="B71" s="1120"/>
      <c r="C71" s="1121">
        <v>573</v>
      </c>
      <c r="D71" s="1121">
        <v>614</v>
      </c>
      <c r="E71" s="1122">
        <v>0.67362351912378515</v>
      </c>
      <c r="F71" s="1120"/>
      <c r="G71" s="1120"/>
      <c r="H71" s="1123">
        <f t="shared" si="3"/>
        <v>93.322475570032566</v>
      </c>
      <c r="I71" s="1123">
        <f t="shared" si="0"/>
        <v>151.65711441615451</v>
      </c>
      <c r="J71" s="1120"/>
      <c r="K71" s="1120"/>
      <c r="L71" s="1120"/>
      <c r="M71" s="1124">
        <v>1267.8366074394885</v>
      </c>
      <c r="N71" s="1125">
        <v>291.68978519608106</v>
      </c>
      <c r="O71" s="1126">
        <v>163.78240254805939</v>
      </c>
      <c r="P71" s="1120"/>
      <c r="Q71" s="1120"/>
      <c r="R71" s="1120"/>
      <c r="S71" s="1120"/>
      <c r="T71" s="1127">
        <f t="shared" si="1"/>
        <v>1267.8366074394885</v>
      </c>
      <c r="U71" s="1128">
        <f t="shared" si="2"/>
        <v>163.78240254805939</v>
      </c>
      <c r="V71" s="1120"/>
      <c r="W71" s="1120"/>
      <c r="X71" s="1120"/>
      <c r="Y71" s="1120"/>
      <c r="Z71" s="1120"/>
      <c r="AA71" s="1120"/>
      <c r="AB71" s="1120"/>
      <c r="AC71" s="1116"/>
    </row>
    <row r="72" spans="1:29" x14ac:dyDescent="0.35">
      <c r="A72" s="1120">
        <v>1762</v>
      </c>
      <c r="B72" s="1120"/>
      <c r="C72" s="1121">
        <v>581</v>
      </c>
      <c r="D72" s="1121">
        <v>638</v>
      </c>
      <c r="E72" s="1122">
        <v>0.66520322513473784</v>
      </c>
      <c r="F72" s="1120"/>
      <c r="G72" s="1120"/>
      <c r="H72" s="1123">
        <f t="shared" si="3"/>
        <v>91.065830721003138</v>
      </c>
      <c r="I72" s="1123">
        <f t="shared" si="0"/>
        <v>147.98987087192324</v>
      </c>
      <c r="J72" s="1120"/>
      <c r="K72" s="1120"/>
      <c r="L72" s="1120"/>
      <c r="M72" s="1124">
        <v>1182.1940171651395</v>
      </c>
      <c r="N72" s="1125">
        <v>278.95294236430954</v>
      </c>
      <c r="O72" s="1126">
        <v>158.82487543646019</v>
      </c>
      <c r="P72" s="1120"/>
      <c r="Q72" s="1120"/>
      <c r="R72" s="1120"/>
      <c r="S72" s="1120"/>
      <c r="T72" s="1127">
        <f t="shared" si="1"/>
        <v>1182.1940171651395</v>
      </c>
      <c r="U72" s="1128">
        <f t="shared" si="2"/>
        <v>158.82487543646019</v>
      </c>
      <c r="V72" s="1120"/>
      <c r="W72" s="1120"/>
      <c r="X72" s="1120"/>
      <c r="Y72" s="1120"/>
      <c r="Z72" s="1120"/>
      <c r="AA72" s="1120"/>
      <c r="AB72" s="1120"/>
      <c r="AC72" s="1116"/>
    </row>
    <row r="73" spans="1:29" x14ac:dyDescent="0.35">
      <c r="A73" s="1120">
        <v>1763</v>
      </c>
      <c r="B73" s="1120"/>
      <c r="C73" s="1121">
        <v>543</v>
      </c>
      <c r="D73" s="1121">
        <v>655</v>
      </c>
      <c r="E73" s="1122">
        <v>0.69046410710187978</v>
      </c>
      <c r="F73" s="1120"/>
      <c r="G73" s="1120"/>
      <c r="H73" s="1123">
        <f t="shared" si="3"/>
        <v>82.900763358778633</v>
      </c>
      <c r="I73" s="1123">
        <f t="shared" si="0"/>
        <v>134.72092844830277</v>
      </c>
      <c r="J73" s="1120"/>
      <c r="K73" s="1120"/>
      <c r="L73" s="1120"/>
      <c r="M73" s="1124">
        <v>1247.0877868198163</v>
      </c>
      <c r="N73" s="1125">
        <v>278.24510527511239</v>
      </c>
      <c r="O73" s="1126">
        <v>162.39583546117728</v>
      </c>
      <c r="P73" s="1120"/>
      <c r="Q73" s="1120"/>
      <c r="R73" s="1120"/>
      <c r="S73" s="1120"/>
      <c r="T73" s="1127">
        <f t="shared" si="1"/>
        <v>1247.0877868198163</v>
      </c>
      <c r="U73" s="1128">
        <f t="shared" si="2"/>
        <v>162.39583546117728</v>
      </c>
      <c r="V73" s="1120"/>
      <c r="W73" s="1120"/>
      <c r="X73" s="1120"/>
      <c r="Y73" s="1120"/>
      <c r="Z73" s="1120"/>
      <c r="AA73" s="1120"/>
      <c r="AB73" s="1120"/>
      <c r="AC73" s="1116"/>
    </row>
    <row r="74" spans="1:29" x14ac:dyDescent="0.35">
      <c r="A74" s="1120">
        <v>1764</v>
      </c>
      <c r="B74" s="1120"/>
      <c r="C74" s="1121">
        <v>555</v>
      </c>
      <c r="D74" s="1121">
        <v>713</v>
      </c>
      <c r="E74" s="1122">
        <v>0.7073046950799744</v>
      </c>
      <c r="F74" s="1120"/>
      <c r="G74" s="1120"/>
      <c r="H74" s="1123">
        <f t="shared" si="3"/>
        <v>77.840112201963535</v>
      </c>
      <c r="I74" s="1123">
        <f t="shared" ref="I74:I137" si="4">I$257*(H74/H$257)</f>
        <v>126.49693152986049</v>
      </c>
      <c r="J74" s="1120"/>
      <c r="K74" s="1120"/>
      <c r="L74" s="1120"/>
      <c r="M74" s="1124">
        <v>1104.1360874700274</v>
      </c>
      <c r="N74" s="1125">
        <v>271.75131173940105</v>
      </c>
      <c r="O74" s="1126">
        <v>143.82870941367412</v>
      </c>
      <c r="P74" s="1120"/>
      <c r="Q74" s="1120"/>
      <c r="R74" s="1120"/>
      <c r="S74" s="1120"/>
      <c r="T74" s="1127">
        <f t="shared" ref="T74:T137" si="5">M74</f>
        <v>1104.1360874700274</v>
      </c>
      <c r="U74" s="1128">
        <f t="shared" ref="U74:U137" si="6">O74</f>
        <v>143.82870941367412</v>
      </c>
      <c r="V74" s="1120"/>
      <c r="W74" s="1120"/>
      <c r="X74" s="1120"/>
      <c r="Y74" s="1120"/>
      <c r="Z74" s="1120"/>
      <c r="AA74" s="1120"/>
      <c r="AB74" s="1120"/>
      <c r="AC74" s="1116"/>
    </row>
    <row r="75" spans="1:29" x14ac:dyDescent="0.35">
      <c r="A75" s="1120">
        <v>1765</v>
      </c>
      <c r="B75" s="1120"/>
      <c r="C75" s="1121">
        <v>552</v>
      </c>
      <c r="D75" s="1121">
        <v>738</v>
      </c>
      <c r="E75" s="1122">
        <v>0.77466704699235289</v>
      </c>
      <c r="F75" s="1120"/>
      <c r="G75" s="1120"/>
      <c r="H75" s="1123">
        <f t="shared" ref="H75:H138" si="7">C75/D75*100</f>
        <v>74.796747967479675</v>
      </c>
      <c r="I75" s="1123">
        <f t="shared" si="4"/>
        <v>121.55120077100607</v>
      </c>
      <c r="J75" s="1120"/>
      <c r="K75" s="1120"/>
      <c r="L75" s="1120"/>
      <c r="M75" s="1124">
        <v>1059.1945075705139</v>
      </c>
      <c r="N75" s="1125">
        <v>265.57052473024163</v>
      </c>
      <c r="O75" s="1126">
        <v>129.95474495805848</v>
      </c>
      <c r="P75" s="1120"/>
      <c r="Q75" s="1120"/>
      <c r="R75" s="1120"/>
      <c r="S75" s="1120"/>
      <c r="T75" s="1127">
        <f t="shared" si="5"/>
        <v>1059.1945075705139</v>
      </c>
      <c r="U75" s="1128">
        <f t="shared" si="6"/>
        <v>129.95474495805848</v>
      </c>
      <c r="V75" s="1120"/>
      <c r="W75" s="1120"/>
      <c r="X75" s="1120"/>
      <c r="Y75" s="1120"/>
      <c r="Z75" s="1120"/>
      <c r="AA75" s="1120"/>
      <c r="AB75" s="1120"/>
      <c r="AC75" s="1116"/>
    </row>
    <row r="76" spans="1:29" x14ac:dyDescent="0.35">
      <c r="A76" s="1120">
        <v>1766</v>
      </c>
      <c r="B76" s="1120"/>
      <c r="C76" s="1121">
        <v>542</v>
      </c>
      <c r="D76" s="1121">
        <v>747</v>
      </c>
      <c r="E76" s="1122">
        <v>0.81676851693758956</v>
      </c>
      <c r="F76" s="1120"/>
      <c r="G76" s="1120"/>
      <c r="H76" s="1123">
        <f t="shared" si="7"/>
        <v>72.556894243641239</v>
      </c>
      <c r="I76" s="1123">
        <f t="shared" si="4"/>
        <v>117.9112442611008</v>
      </c>
      <c r="J76" s="1120"/>
      <c r="K76" s="1120"/>
      <c r="L76" s="1120"/>
      <c r="M76" s="1124">
        <v>1184.6615539490033</v>
      </c>
      <c r="N76" s="1125">
        <v>260.43428857345822</v>
      </c>
      <c r="O76" s="1126">
        <v>125.22541387605222</v>
      </c>
      <c r="P76" s="1120"/>
      <c r="Q76" s="1120"/>
      <c r="R76" s="1120"/>
      <c r="S76" s="1120"/>
      <c r="T76" s="1127">
        <f t="shared" si="5"/>
        <v>1184.6615539490033</v>
      </c>
      <c r="U76" s="1128">
        <f t="shared" si="6"/>
        <v>125.22541387605222</v>
      </c>
      <c r="V76" s="1120"/>
      <c r="W76" s="1120"/>
      <c r="X76" s="1120"/>
      <c r="Y76" s="1120"/>
      <c r="Z76" s="1120"/>
      <c r="AA76" s="1120"/>
      <c r="AB76" s="1120"/>
      <c r="AC76" s="1116"/>
    </row>
    <row r="77" spans="1:29" x14ac:dyDescent="0.35">
      <c r="A77" s="1120">
        <v>1767</v>
      </c>
      <c r="B77" s="1120"/>
      <c r="C77" s="1121">
        <v>546</v>
      </c>
      <c r="D77" s="1121">
        <v>790</v>
      </c>
      <c r="E77" s="1122">
        <v>0.81676851693758956</v>
      </c>
      <c r="F77" s="1120"/>
      <c r="G77" s="1120"/>
      <c r="H77" s="1123">
        <f t="shared" si="7"/>
        <v>69.113924050632917</v>
      </c>
      <c r="I77" s="1123">
        <f t="shared" si="4"/>
        <v>112.31611917142578</v>
      </c>
      <c r="J77" s="1120"/>
      <c r="K77" s="1120"/>
      <c r="L77" s="1120"/>
      <c r="M77" s="1124">
        <v>970.50448177668079</v>
      </c>
      <c r="N77" s="1125">
        <v>225.33482825777438</v>
      </c>
      <c r="O77" s="1126">
        <v>107.59406907433593</v>
      </c>
      <c r="P77" s="1120"/>
      <c r="Q77" s="1120"/>
      <c r="R77" s="1120"/>
      <c r="S77" s="1120"/>
      <c r="T77" s="1127">
        <f t="shared" si="5"/>
        <v>970.50448177668079</v>
      </c>
      <c r="U77" s="1128">
        <f t="shared" si="6"/>
        <v>107.59406907433593</v>
      </c>
      <c r="V77" s="1120"/>
      <c r="W77" s="1120"/>
      <c r="X77" s="1120"/>
      <c r="Y77" s="1120"/>
      <c r="Z77" s="1120"/>
      <c r="AA77" s="1120"/>
      <c r="AB77" s="1120"/>
      <c r="AC77" s="1116"/>
    </row>
    <row r="78" spans="1:29" x14ac:dyDescent="0.35">
      <c r="A78" s="1120">
        <v>1768</v>
      </c>
      <c r="B78" s="1120"/>
      <c r="C78" s="1121">
        <v>551</v>
      </c>
      <c r="D78" s="1121">
        <v>781</v>
      </c>
      <c r="E78" s="1122">
        <v>0.94307292677329935</v>
      </c>
      <c r="F78" s="1120"/>
      <c r="G78" s="1120"/>
      <c r="H78" s="1123">
        <f t="shared" si="7"/>
        <v>70.550576184378997</v>
      </c>
      <c r="I78" s="1123">
        <f t="shared" si="4"/>
        <v>114.65080345506588</v>
      </c>
      <c r="J78" s="1120"/>
      <c r="K78" s="1120"/>
      <c r="L78" s="1120"/>
      <c r="M78" s="1124">
        <v>993.03706559660702</v>
      </c>
      <c r="N78" s="1125">
        <v>238.61570916380379</v>
      </c>
      <c r="O78" s="1126">
        <v>108.20666161104569</v>
      </c>
      <c r="P78" s="1120"/>
      <c r="Q78" s="1120"/>
      <c r="R78" s="1120"/>
      <c r="S78" s="1120"/>
      <c r="T78" s="1127">
        <f t="shared" si="5"/>
        <v>993.03706559660702</v>
      </c>
      <c r="U78" s="1128">
        <f t="shared" si="6"/>
        <v>108.20666161104569</v>
      </c>
      <c r="V78" s="1120"/>
      <c r="W78" s="1120"/>
      <c r="X78" s="1120"/>
      <c r="Y78" s="1120"/>
      <c r="Z78" s="1120"/>
      <c r="AA78" s="1120"/>
      <c r="AB78" s="1120"/>
      <c r="AC78" s="1116"/>
    </row>
    <row r="79" spans="1:29" x14ac:dyDescent="0.35">
      <c r="A79" s="1120">
        <v>1769</v>
      </c>
      <c r="B79" s="1120"/>
      <c r="C79" s="1121">
        <v>547</v>
      </c>
      <c r="D79" s="1121">
        <v>717</v>
      </c>
      <c r="E79" s="1122">
        <v>0.91781204480615741</v>
      </c>
      <c r="F79" s="1120"/>
      <c r="G79" s="1120"/>
      <c r="H79" s="1123">
        <f t="shared" si="7"/>
        <v>76.290097629009765</v>
      </c>
      <c r="I79" s="1123">
        <f t="shared" si="4"/>
        <v>123.97802345330877</v>
      </c>
      <c r="J79" s="1120"/>
      <c r="K79" s="1120"/>
      <c r="L79" s="1120"/>
      <c r="M79" s="1124">
        <v>1061.620481277319</v>
      </c>
      <c r="N79" s="1125">
        <v>261.81707215633963</v>
      </c>
      <c r="O79" s="1126">
        <v>121.99211578123277</v>
      </c>
      <c r="P79" s="1120"/>
      <c r="Q79" s="1120"/>
      <c r="R79" s="1120"/>
      <c r="S79" s="1120"/>
      <c r="T79" s="1127">
        <f t="shared" si="5"/>
        <v>1061.620481277319</v>
      </c>
      <c r="U79" s="1128">
        <f t="shared" si="6"/>
        <v>121.99211578123277</v>
      </c>
      <c r="V79" s="1120"/>
      <c r="W79" s="1120"/>
      <c r="X79" s="1120"/>
      <c r="Y79" s="1120"/>
      <c r="Z79" s="1120"/>
      <c r="AA79" s="1120"/>
      <c r="AB79" s="1120"/>
      <c r="AC79" s="1116"/>
    </row>
    <row r="80" spans="1:29" x14ac:dyDescent="0.35">
      <c r="A80" s="1120">
        <v>1770</v>
      </c>
      <c r="B80" s="1120"/>
      <c r="C80" s="1121">
        <v>548</v>
      </c>
      <c r="D80" s="1121">
        <v>714</v>
      </c>
      <c r="E80" s="1129">
        <v>0.79150763497044763</v>
      </c>
      <c r="F80" s="1120"/>
      <c r="G80" s="1120"/>
      <c r="H80" s="1123">
        <f t="shared" si="7"/>
        <v>76.750700280112056</v>
      </c>
      <c r="I80" s="1123">
        <f t="shared" si="4"/>
        <v>124.72654269834511</v>
      </c>
      <c r="J80" s="1120"/>
      <c r="K80" s="1120"/>
      <c r="L80" s="1120"/>
      <c r="M80" s="1124">
        <v>1096.4381127915221</v>
      </c>
      <c r="N80" s="1125">
        <v>271.09864393871862</v>
      </c>
      <c r="O80" s="1126">
        <v>118.60661104440554</v>
      </c>
      <c r="P80" s="1120"/>
      <c r="Q80" s="1120"/>
      <c r="R80" s="1120"/>
      <c r="S80" s="1120"/>
      <c r="T80" s="1127">
        <f t="shared" si="5"/>
        <v>1096.4381127915221</v>
      </c>
      <c r="U80" s="1128">
        <f t="shared" si="6"/>
        <v>118.60661104440554</v>
      </c>
      <c r="V80" s="1120"/>
      <c r="W80" s="1120"/>
      <c r="X80" s="1120"/>
      <c r="Y80" s="1120"/>
      <c r="Z80" s="1120"/>
      <c r="AA80" s="1120"/>
      <c r="AB80" s="1120"/>
      <c r="AC80" s="1116"/>
    </row>
    <row r="81" spans="1:29" x14ac:dyDescent="0.35">
      <c r="A81" s="1120">
        <v>1771</v>
      </c>
      <c r="B81" s="1120"/>
      <c r="C81" s="1121">
        <v>566</v>
      </c>
      <c r="D81" s="1121">
        <v>775</v>
      </c>
      <c r="E81" s="1122">
        <v>0.82518881092663687</v>
      </c>
      <c r="F81" s="1120"/>
      <c r="G81" s="1120"/>
      <c r="H81" s="1123">
        <f t="shared" si="7"/>
        <v>73.032258064516128</v>
      </c>
      <c r="I81" s="1123">
        <f t="shared" si="4"/>
        <v>118.68375168689903</v>
      </c>
      <c r="J81" s="1120"/>
      <c r="K81" s="1120"/>
      <c r="L81" s="1120"/>
      <c r="M81" s="1124">
        <v>1074.1871930778407</v>
      </c>
      <c r="N81" s="1125">
        <v>245.75214791893643</v>
      </c>
      <c r="O81" s="1126">
        <v>128.10874618059304</v>
      </c>
      <c r="P81" s="1120"/>
      <c r="Q81" s="1120"/>
      <c r="R81" s="1120"/>
      <c r="S81" s="1120"/>
      <c r="T81" s="1127">
        <f t="shared" si="5"/>
        <v>1074.1871930778407</v>
      </c>
      <c r="U81" s="1128">
        <f t="shared" si="6"/>
        <v>128.10874618059304</v>
      </c>
      <c r="V81" s="1120"/>
      <c r="W81" s="1120"/>
      <c r="X81" s="1120"/>
      <c r="Y81" s="1120"/>
      <c r="Z81" s="1120"/>
      <c r="AA81" s="1120"/>
      <c r="AB81" s="1120"/>
      <c r="AC81" s="1116"/>
    </row>
    <row r="82" spans="1:29" x14ac:dyDescent="0.35">
      <c r="A82" s="1120">
        <v>1772</v>
      </c>
      <c r="B82" s="1120"/>
      <c r="C82" s="1121">
        <v>586</v>
      </c>
      <c r="D82" s="1121">
        <v>858</v>
      </c>
      <c r="E82" s="1122">
        <v>0.87441373999492866</v>
      </c>
      <c r="F82" s="1120"/>
      <c r="G82" s="1120"/>
      <c r="H82" s="1123">
        <f t="shared" si="7"/>
        <v>68.298368298368288</v>
      </c>
      <c r="I82" s="1123">
        <f t="shared" si="4"/>
        <v>110.99077036045117</v>
      </c>
      <c r="J82" s="1120"/>
      <c r="K82" s="1120"/>
      <c r="L82" s="1120"/>
      <c r="M82" s="1124">
        <v>1144.1836746028207</v>
      </c>
      <c r="N82" s="1125">
        <v>239.75833485860659</v>
      </c>
      <c r="O82" s="1126">
        <v>122.09305764498843</v>
      </c>
      <c r="P82" s="1120"/>
      <c r="Q82" s="1120"/>
      <c r="R82" s="1120"/>
      <c r="S82" s="1120"/>
      <c r="T82" s="1127">
        <f t="shared" si="5"/>
        <v>1144.1836746028207</v>
      </c>
      <c r="U82" s="1128">
        <f t="shared" si="6"/>
        <v>122.09305764498843</v>
      </c>
      <c r="V82" s="1120"/>
      <c r="W82" s="1120"/>
      <c r="X82" s="1120"/>
      <c r="Y82" s="1120"/>
      <c r="Z82" s="1120"/>
      <c r="AA82" s="1120"/>
      <c r="AB82" s="1120"/>
      <c r="AC82" s="1116"/>
    </row>
    <row r="83" spans="1:29" x14ac:dyDescent="0.35">
      <c r="A83" s="1120">
        <v>1773</v>
      </c>
      <c r="B83" s="1120"/>
      <c r="C83" s="1121">
        <v>574</v>
      </c>
      <c r="D83" s="1121">
        <v>855</v>
      </c>
      <c r="E83" s="1122">
        <v>0.91647867938055982</v>
      </c>
      <c r="F83" s="1120"/>
      <c r="G83" s="1120"/>
      <c r="H83" s="1123">
        <f t="shared" si="7"/>
        <v>67.134502923976612</v>
      </c>
      <c r="I83" s="1123">
        <f t="shared" si="4"/>
        <v>109.09938821299988</v>
      </c>
      <c r="J83" s="1120"/>
      <c r="K83" s="1120"/>
      <c r="L83" s="1120"/>
      <c r="M83" s="1124">
        <v>1216.5939679698076</v>
      </c>
      <c r="N83" s="1125">
        <v>265.42355328273527</v>
      </c>
      <c r="O83" s="1126">
        <v>105.93524257697052</v>
      </c>
      <c r="P83" s="1120"/>
      <c r="Q83" s="1120"/>
      <c r="R83" s="1120"/>
      <c r="S83" s="1120"/>
      <c r="T83" s="1127">
        <f t="shared" si="5"/>
        <v>1216.5939679698076</v>
      </c>
      <c r="U83" s="1128">
        <f t="shared" si="6"/>
        <v>105.93524257697052</v>
      </c>
      <c r="V83" s="1120"/>
      <c r="W83" s="1120"/>
      <c r="X83" s="1120"/>
      <c r="Y83" s="1120"/>
      <c r="Z83" s="1120"/>
      <c r="AA83" s="1120"/>
      <c r="AB83" s="1120"/>
      <c r="AC83" s="1116"/>
    </row>
    <row r="84" spans="1:29" x14ac:dyDescent="0.35">
      <c r="A84" s="1120">
        <v>1774</v>
      </c>
      <c r="B84" s="1120"/>
      <c r="C84" s="1121">
        <v>564</v>
      </c>
      <c r="D84" s="1121">
        <v>863</v>
      </c>
      <c r="E84" s="1122">
        <v>0.92005867422189003</v>
      </c>
      <c r="F84" s="1120"/>
      <c r="G84" s="1120"/>
      <c r="H84" s="1123">
        <f t="shared" si="7"/>
        <v>65.35341830822712</v>
      </c>
      <c r="I84" s="1123">
        <f t="shared" si="4"/>
        <v>106.20497128175516</v>
      </c>
      <c r="J84" s="1120"/>
      <c r="K84" s="1120"/>
      <c r="L84" s="1120"/>
      <c r="M84" s="1124">
        <v>1074.0011085014437</v>
      </c>
      <c r="N84" s="1125">
        <v>286.7825241731033</v>
      </c>
      <c r="O84" s="1126">
        <v>106.84973871076085</v>
      </c>
      <c r="P84" s="1120"/>
      <c r="Q84" s="1120"/>
      <c r="R84" s="1120"/>
      <c r="S84" s="1120"/>
      <c r="T84" s="1127">
        <f t="shared" si="5"/>
        <v>1074.0011085014437</v>
      </c>
      <c r="U84" s="1128">
        <f t="shared" si="6"/>
        <v>106.84973871076085</v>
      </c>
      <c r="V84" s="1120"/>
      <c r="W84" s="1120"/>
      <c r="X84" s="1120"/>
      <c r="Y84" s="1120"/>
      <c r="Z84" s="1120"/>
      <c r="AA84" s="1120"/>
      <c r="AB84" s="1120"/>
      <c r="AC84" s="1116"/>
    </row>
    <row r="85" spans="1:29" x14ac:dyDescent="0.35">
      <c r="A85" s="1120">
        <v>1775</v>
      </c>
      <c r="B85" s="1120"/>
      <c r="C85" s="1121">
        <v>567</v>
      </c>
      <c r="D85" s="1121">
        <v>815</v>
      </c>
      <c r="E85" s="1122">
        <v>0.90663369356690127</v>
      </c>
      <c r="F85" s="1120"/>
      <c r="G85" s="1120"/>
      <c r="H85" s="1123">
        <f t="shared" si="7"/>
        <v>69.570552147239255</v>
      </c>
      <c r="I85" s="1123">
        <f t="shared" si="4"/>
        <v>113.05817942078865</v>
      </c>
      <c r="J85" s="1120"/>
      <c r="K85" s="1120"/>
      <c r="L85" s="1120"/>
      <c r="M85" s="1124">
        <v>1063.211806733869</v>
      </c>
      <c r="N85" s="1125">
        <v>278.34683264177858</v>
      </c>
      <c r="O85" s="1126">
        <v>115.8478003475692</v>
      </c>
      <c r="P85" s="1120"/>
      <c r="Q85" s="1120"/>
      <c r="R85" s="1120"/>
      <c r="S85" s="1120"/>
      <c r="T85" s="1127">
        <f t="shared" si="5"/>
        <v>1063.211806733869</v>
      </c>
      <c r="U85" s="1128">
        <f t="shared" si="6"/>
        <v>115.8478003475692</v>
      </c>
      <c r="V85" s="1120"/>
      <c r="W85" s="1120"/>
      <c r="X85" s="1120"/>
      <c r="Y85" s="1120"/>
      <c r="Z85" s="1120"/>
      <c r="AA85" s="1120"/>
      <c r="AB85" s="1120"/>
      <c r="AC85" s="1116"/>
    </row>
    <row r="86" spans="1:29" x14ac:dyDescent="0.35">
      <c r="A86" s="1120">
        <v>1776</v>
      </c>
      <c r="B86" s="1120"/>
      <c r="C86" s="1121">
        <v>601</v>
      </c>
      <c r="D86" s="1121">
        <v>797</v>
      </c>
      <c r="E86" s="1122">
        <v>0.89857870517390814</v>
      </c>
      <c r="F86" s="1120"/>
      <c r="G86" s="1120"/>
      <c r="H86" s="1123">
        <f t="shared" si="7"/>
        <v>75.407779171894603</v>
      </c>
      <c r="I86" s="1123">
        <f t="shared" si="4"/>
        <v>122.5441794582276</v>
      </c>
      <c r="J86" s="1120"/>
      <c r="K86" s="1120"/>
      <c r="L86" s="1120"/>
      <c r="M86" s="1124">
        <v>1299.7204597655245</v>
      </c>
      <c r="N86" s="1125">
        <v>299.08284172943212</v>
      </c>
      <c r="O86" s="1126">
        <v>134.16621499135678</v>
      </c>
      <c r="P86" s="1120"/>
      <c r="Q86" s="1120"/>
      <c r="R86" s="1120"/>
      <c r="S86" s="1120"/>
      <c r="T86" s="1127">
        <f t="shared" si="5"/>
        <v>1299.7204597655245</v>
      </c>
      <c r="U86" s="1128">
        <f t="shared" si="6"/>
        <v>134.16621499135678</v>
      </c>
      <c r="V86" s="1120"/>
      <c r="W86" s="1120"/>
      <c r="X86" s="1120"/>
      <c r="Y86" s="1120"/>
      <c r="Z86" s="1120"/>
      <c r="AA86" s="1120"/>
      <c r="AB86" s="1120"/>
      <c r="AC86" s="1116"/>
    </row>
    <row r="87" spans="1:29" x14ac:dyDescent="0.35">
      <c r="A87" s="1120">
        <v>1777</v>
      </c>
      <c r="B87" s="1120"/>
      <c r="C87" s="1121">
        <v>601</v>
      </c>
      <c r="D87" s="1121">
        <v>794</v>
      </c>
      <c r="E87" s="1122">
        <v>0.84129878771262323</v>
      </c>
      <c r="F87" s="1120"/>
      <c r="G87" s="1120"/>
      <c r="H87" s="1123">
        <f t="shared" si="7"/>
        <v>75.692695214105797</v>
      </c>
      <c r="I87" s="1123">
        <f t="shared" si="4"/>
        <v>123.0071927307398</v>
      </c>
      <c r="J87" s="1120"/>
      <c r="K87" s="1120"/>
      <c r="L87" s="1120"/>
      <c r="M87" s="1124">
        <v>1194.8588340080178</v>
      </c>
      <c r="N87" s="1125">
        <v>273.87870247139864</v>
      </c>
      <c r="O87" s="1126">
        <v>122.23891457220711</v>
      </c>
      <c r="P87" s="1120"/>
      <c r="Q87" s="1120"/>
      <c r="R87" s="1120"/>
      <c r="S87" s="1120"/>
      <c r="T87" s="1127">
        <f t="shared" si="5"/>
        <v>1194.8588340080178</v>
      </c>
      <c r="U87" s="1128">
        <f t="shared" si="6"/>
        <v>122.23891457220711</v>
      </c>
      <c r="V87" s="1120"/>
      <c r="W87" s="1120"/>
      <c r="X87" s="1120"/>
      <c r="Y87" s="1120"/>
      <c r="Z87" s="1120"/>
      <c r="AA87" s="1120"/>
      <c r="AB87" s="1120"/>
      <c r="AC87" s="1116"/>
    </row>
    <row r="88" spans="1:29" x14ac:dyDescent="0.35">
      <c r="A88" s="1120">
        <v>1778</v>
      </c>
      <c r="B88" s="1120"/>
      <c r="C88" s="1121">
        <v>605</v>
      </c>
      <c r="D88" s="1121">
        <v>826</v>
      </c>
      <c r="E88" s="1122">
        <v>0.87799373483625875</v>
      </c>
      <c r="F88" s="1120"/>
      <c r="G88" s="1120"/>
      <c r="H88" s="1123">
        <f t="shared" si="7"/>
        <v>73.244552058111381</v>
      </c>
      <c r="I88" s="1123">
        <f t="shared" si="4"/>
        <v>119.02874783364587</v>
      </c>
      <c r="J88" s="1120"/>
      <c r="K88" s="1120"/>
      <c r="L88" s="1120"/>
      <c r="M88" s="1124">
        <v>1067.8064336308796</v>
      </c>
      <c r="N88" s="1125">
        <v>312.10222393243203</v>
      </c>
      <c r="O88" s="1126">
        <v>135.13277883608865</v>
      </c>
      <c r="P88" s="1120"/>
      <c r="Q88" s="1120"/>
      <c r="R88" s="1120"/>
      <c r="S88" s="1120"/>
      <c r="T88" s="1127">
        <f t="shared" si="5"/>
        <v>1067.8064336308796</v>
      </c>
      <c r="U88" s="1128">
        <f t="shared" si="6"/>
        <v>135.13277883608865</v>
      </c>
      <c r="V88" s="1120"/>
      <c r="W88" s="1120"/>
      <c r="X88" s="1120"/>
      <c r="Y88" s="1120"/>
      <c r="Z88" s="1120"/>
      <c r="AA88" s="1120"/>
      <c r="AB88" s="1120"/>
      <c r="AC88" s="1116"/>
    </row>
    <row r="89" spans="1:29" x14ac:dyDescent="0.35">
      <c r="A89" s="1120">
        <v>1779</v>
      </c>
      <c r="B89" s="1120"/>
      <c r="C89" s="1121">
        <v>601</v>
      </c>
      <c r="D89" s="1121">
        <v>756</v>
      </c>
      <c r="E89" s="1122">
        <v>0.8914187154912474</v>
      </c>
      <c r="F89" s="1120"/>
      <c r="G89" s="1120"/>
      <c r="H89" s="1123">
        <f t="shared" si="7"/>
        <v>79.497354497354493</v>
      </c>
      <c r="I89" s="1123">
        <f t="shared" si="4"/>
        <v>129.1900939526553</v>
      </c>
      <c r="J89" s="1120"/>
      <c r="K89" s="1120"/>
      <c r="L89" s="1120"/>
      <c r="M89" s="1124">
        <v>1080.256205440452</v>
      </c>
      <c r="N89" s="1125">
        <v>323.09718276731695</v>
      </c>
      <c r="O89" s="1126">
        <v>135.26602390280866</v>
      </c>
      <c r="P89" s="1120"/>
      <c r="Q89" s="1120"/>
      <c r="R89" s="1120"/>
      <c r="S89" s="1120"/>
      <c r="T89" s="1127">
        <f t="shared" si="5"/>
        <v>1080.256205440452</v>
      </c>
      <c r="U89" s="1128">
        <f t="shared" si="6"/>
        <v>135.26602390280866</v>
      </c>
      <c r="V89" s="1120"/>
      <c r="W89" s="1120"/>
      <c r="X89" s="1120"/>
      <c r="Y89" s="1120"/>
      <c r="Z89" s="1120"/>
      <c r="AA89" s="1120"/>
      <c r="AB89" s="1120"/>
      <c r="AC89" s="1116"/>
    </row>
    <row r="90" spans="1:29" x14ac:dyDescent="0.35">
      <c r="A90" s="1120">
        <v>1780</v>
      </c>
      <c r="B90" s="1120"/>
      <c r="C90" s="1121">
        <v>615</v>
      </c>
      <c r="D90" s="1121">
        <v>730</v>
      </c>
      <c r="E90" s="1122">
        <v>0.84577378126428604</v>
      </c>
      <c r="F90" s="1120"/>
      <c r="G90" s="1120"/>
      <c r="H90" s="1123">
        <f t="shared" si="7"/>
        <v>84.246575342465761</v>
      </c>
      <c r="I90" s="1123">
        <f t="shared" si="4"/>
        <v>136.90798961171464</v>
      </c>
      <c r="J90" s="1120"/>
      <c r="K90" s="1120"/>
      <c r="L90" s="1120"/>
      <c r="M90" s="1124">
        <v>1158.7667430535889</v>
      </c>
      <c r="N90" s="1125">
        <v>274.01171369394376</v>
      </c>
      <c r="O90" s="1126">
        <v>146.17770040686003</v>
      </c>
      <c r="P90" s="1120"/>
      <c r="Q90" s="1120"/>
      <c r="R90" s="1120"/>
      <c r="S90" s="1120"/>
      <c r="T90" s="1127">
        <f t="shared" si="5"/>
        <v>1158.7667430535889</v>
      </c>
      <c r="U90" s="1128">
        <f t="shared" si="6"/>
        <v>146.17770040686003</v>
      </c>
      <c r="V90" s="1120"/>
      <c r="W90" s="1120"/>
      <c r="X90" s="1120"/>
      <c r="Y90" s="1120"/>
      <c r="Z90" s="1120"/>
      <c r="AA90" s="1120"/>
      <c r="AB90" s="1120"/>
      <c r="AC90" s="1116"/>
    </row>
    <row r="91" spans="1:29" x14ac:dyDescent="0.35">
      <c r="A91" s="1120">
        <v>1781</v>
      </c>
      <c r="B91" s="1120"/>
      <c r="C91" s="1121">
        <v>634</v>
      </c>
      <c r="D91" s="1121">
        <v>760</v>
      </c>
      <c r="E91" s="1122">
        <v>0.85472376836761177</v>
      </c>
      <c r="F91" s="1120"/>
      <c r="G91" s="1120"/>
      <c r="H91" s="1123">
        <f t="shared" si="7"/>
        <v>83.421052631578945</v>
      </c>
      <c r="I91" s="1123">
        <f t="shared" si="4"/>
        <v>135.56644362878424</v>
      </c>
      <c r="J91" s="1120"/>
      <c r="K91" s="1120"/>
      <c r="L91" s="1120"/>
      <c r="M91" s="1124">
        <v>1125.1004941059266</v>
      </c>
      <c r="N91" s="1125">
        <v>240.11181941982039</v>
      </c>
      <c r="O91" s="1126">
        <v>134.44829960201557</v>
      </c>
      <c r="P91" s="1120"/>
      <c r="Q91" s="1120"/>
      <c r="R91" s="1120"/>
      <c r="S91" s="1120"/>
      <c r="T91" s="1127">
        <f t="shared" si="5"/>
        <v>1125.1004941059266</v>
      </c>
      <c r="U91" s="1128">
        <f t="shared" si="6"/>
        <v>134.44829960201557</v>
      </c>
      <c r="V91" s="1120"/>
      <c r="W91" s="1120"/>
      <c r="X91" s="1120"/>
      <c r="Y91" s="1120"/>
      <c r="Z91" s="1120"/>
      <c r="AA91" s="1120"/>
      <c r="AB91" s="1120"/>
      <c r="AC91" s="1116"/>
    </row>
    <row r="92" spans="1:29" x14ac:dyDescent="0.35">
      <c r="A92" s="1120">
        <v>1782</v>
      </c>
      <c r="B92" s="1120"/>
      <c r="C92" s="1121">
        <v>655</v>
      </c>
      <c r="D92" s="1121">
        <v>776</v>
      </c>
      <c r="E92" s="1122">
        <v>0.9388536471388742</v>
      </c>
      <c r="F92" s="1120"/>
      <c r="G92" s="1120"/>
      <c r="H92" s="1123">
        <f t="shared" si="7"/>
        <v>84.407216494845358</v>
      </c>
      <c r="I92" s="1123">
        <f t="shared" si="4"/>
        <v>137.16904541287684</v>
      </c>
      <c r="J92" s="1120"/>
      <c r="K92" s="1120"/>
      <c r="L92" s="1120"/>
      <c r="M92" s="1124">
        <v>1091.3620552099508</v>
      </c>
      <c r="N92" s="1125">
        <v>251.94881434563607</v>
      </c>
      <c r="O92" s="1126">
        <v>137.90295054922851</v>
      </c>
      <c r="P92" s="1120"/>
      <c r="Q92" s="1120"/>
      <c r="R92" s="1120"/>
      <c r="S92" s="1120"/>
      <c r="T92" s="1127">
        <f t="shared" si="5"/>
        <v>1091.3620552099508</v>
      </c>
      <c r="U92" s="1128">
        <f t="shared" si="6"/>
        <v>137.90295054922851</v>
      </c>
      <c r="V92" s="1120"/>
      <c r="W92" s="1120"/>
      <c r="X92" s="1120"/>
      <c r="Y92" s="1120"/>
      <c r="Z92" s="1120"/>
      <c r="AA92" s="1120"/>
      <c r="AB92" s="1120"/>
      <c r="AC92" s="1116"/>
    </row>
    <row r="93" spans="1:29" x14ac:dyDescent="0.35">
      <c r="A93" s="1120">
        <v>1783</v>
      </c>
      <c r="B93" s="1120"/>
      <c r="C93" s="1121">
        <v>589</v>
      </c>
      <c r="D93" s="1121">
        <v>869</v>
      </c>
      <c r="E93" s="1122">
        <v>0.94511863811120223</v>
      </c>
      <c r="F93" s="1120"/>
      <c r="G93" s="1120"/>
      <c r="H93" s="1123">
        <f t="shared" si="7"/>
        <v>67.77905638665132</v>
      </c>
      <c r="I93" s="1123">
        <f t="shared" si="4"/>
        <v>110.14684347647315</v>
      </c>
      <c r="J93" s="1120"/>
      <c r="K93" s="1120"/>
      <c r="L93" s="1120"/>
      <c r="M93" s="1124">
        <v>1294.2124827056421</v>
      </c>
      <c r="N93" s="1125">
        <v>230.78402444327716</v>
      </c>
      <c r="O93" s="1126">
        <v>125.79635460357345</v>
      </c>
      <c r="P93" s="1120"/>
      <c r="Q93" s="1120"/>
      <c r="R93" s="1120"/>
      <c r="S93" s="1120"/>
      <c r="T93" s="1127">
        <f t="shared" si="5"/>
        <v>1294.2124827056421</v>
      </c>
      <c r="U93" s="1128">
        <f t="shared" si="6"/>
        <v>125.79635460357345</v>
      </c>
      <c r="V93" s="1120"/>
      <c r="W93" s="1120"/>
      <c r="X93" s="1120"/>
      <c r="Y93" s="1120"/>
      <c r="Z93" s="1120"/>
      <c r="AA93" s="1120"/>
      <c r="AB93" s="1120"/>
      <c r="AC93" s="1116"/>
    </row>
    <row r="94" spans="1:29" x14ac:dyDescent="0.35">
      <c r="A94" s="1120">
        <v>1784</v>
      </c>
      <c r="B94" s="1120"/>
      <c r="C94" s="1121">
        <v>574</v>
      </c>
      <c r="D94" s="1121">
        <v>874</v>
      </c>
      <c r="E94" s="1122">
        <v>0.94780363424220004</v>
      </c>
      <c r="F94" s="1120"/>
      <c r="G94" s="1120"/>
      <c r="H94" s="1123">
        <f t="shared" si="7"/>
        <v>65.675057208237988</v>
      </c>
      <c r="I94" s="1123">
        <f t="shared" si="4"/>
        <v>106.72766238228249</v>
      </c>
      <c r="J94" s="1120"/>
      <c r="K94" s="1120"/>
      <c r="L94" s="1120"/>
      <c r="M94" s="1124">
        <v>1416.3490021606058</v>
      </c>
      <c r="N94" s="1125">
        <v>238.86530399888241</v>
      </c>
      <c r="O94" s="1126">
        <v>121.16619928339667</v>
      </c>
      <c r="P94" s="1120"/>
      <c r="Q94" s="1120"/>
      <c r="R94" s="1120"/>
      <c r="S94" s="1120"/>
      <c r="T94" s="1127">
        <f t="shared" si="5"/>
        <v>1416.3490021606058</v>
      </c>
      <c r="U94" s="1128">
        <f t="shared" si="6"/>
        <v>121.16619928339667</v>
      </c>
      <c r="V94" s="1120"/>
      <c r="W94" s="1120"/>
      <c r="X94" s="1120"/>
      <c r="Y94" s="1120"/>
      <c r="Z94" s="1120"/>
      <c r="AA94" s="1120"/>
      <c r="AB94" s="1120"/>
      <c r="AC94" s="1116"/>
    </row>
    <row r="95" spans="1:29" x14ac:dyDescent="0.35">
      <c r="A95" s="1120">
        <v>1785</v>
      </c>
      <c r="B95" s="1120"/>
      <c r="C95" s="1121">
        <v>580</v>
      </c>
      <c r="D95" s="1121">
        <v>839</v>
      </c>
      <c r="E95" s="1122">
        <v>0.90036870259457336</v>
      </c>
      <c r="F95" s="1120"/>
      <c r="G95" s="1120"/>
      <c r="H95" s="1123">
        <f t="shared" si="7"/>
        <v>69.129916567342079</v>
      </c>
      <c r="I95" s="1123">
        <f t="shared" si="4"/>
        <v>112.34210839772469</v>
      </c>
      <c r="J95" s="1120"/>
      <c r="K95" s="1120"/>
      <c r="L95" s="1120"/>
      <c r="M95" s="1124">
        <v>1514.6882840788621</v>
      </c>
      <c r="N95" s="1125">
        <v>236.21674028831515</v>
      </c>
      <c r="O95" s="1126">
        <v>129.25435787539698</v>
      </c>
      <c r="P95" s="1120"/>
      <c r="Q95" s="1120"/>
      <c r="R95" s="1120"/>
      <c r="S95" s="1120"/>
      <c r="T95" s="1127">
        <f t="shared" si="5"/>
        <v>1514.6882840788621</v>
      </c>
      <c r="U95" s="1128">
        <f t="shared" si="6"/>
        <v>129.25435787539698</v>
      </c>
      <c r="V95" s="1120"/>
      <c r="W95" s="1120"/>
      <c r="X95" s="1120"/>
      <c r="Y95" s="1120"/>
      <c r="Z95" s="1120"/>
      <c r="AA95" s="1120"/>
      <c r="AB95" s="1120"/>
      <c r="AC95" s="1116"/>
    </row>
    <row r="96" spans="1:29" x14ac:dyDescent="0.35">
      <c r="A96" s="1120">
        <v>1786</v>
      </c>
      <c r="B96" s="1120"/>
      <c r="C96" s="1121">
        <v>564</v>
      </c>
      <c r="D96" s="1121">
        <v>839</v>
      </c>
      <c r="E96" s="1122">
        <v>0.86098875933994001</v>
      </c>
      <c r="F96" s="1120"/>
      <c r="G96" s="1120"/>
      <c r="H96" s="1123">
        <f t="shared" si="7"/>
        <v>67.222884386174016</v>
      </c>
      <c r="I96" s="1123">
        <f t="shared" si="4"/>
        <v>109.2430157522702</v>
      </c>
      <c r="J96" s="1120"/>
      <c r="K96" s="1120"/>
      <c r="L96" s="1120"/>
      <c r="M96" s="1124">
        <v>1540.1800017860949</v>
      </c>
      <c r="N96" s="1125">
        <v>237.98000231291712</v>
      </c>
      <c r="O96" s="1126">
        <v>135.52489140675169</v>
      </c>
      <c r="P96" s="1120"/>
      <c r="Q96" s="1120"/>
      <c r="R96" s="1120"/>
      <c r="S96" s="1120"/>
      <c r="T96" s="1127">
        <f t="shared" si="5"/>
        <v>1540.1800017860949</v>
      </c>
      <c r="U96" s="1128">
        <f t="shared" si="6"/>
        <v>135.52489140675169</v>
      </c>
      <c r="V96" s="1120"/>
      <c r="W96" s="1120"/>
      <c r="X96" s="1120"/>
      <c r="Y96" s="1120"/>
      <c r="Z96" s="1120"/>
      <c r="AA96" s="1120"/>
      <c r="AB96" s="1120"/>
      <c r="AC96" s="1116"/>
    </row>
    <row r="97" spans="1:29" x14ac:dyDescent="0.35">
      <c r="A97" s="1120">
        <v>1787</v>
      </c>
      <c r="B97" s="1120"/>
      <c r="C97" s="1121">
        <v>576</v>
      </c>
      <c r="D97" s="1121">
        <v>834</v>
      </c>
      <c r="E97" s="1122">
        <v>0.85561876707794449</v>
      </c>
      <c r="F97" s="1120"/>
      <c r="G97" s="1120"/>
      <c r="H97" s="1123">
        <f t="shared" si="7"/>
        <v>69.064748201438846</v>
      </c>
      <c r="I97" s="1123">
        <f t="shared" si="4"/>
        <v>112.2362041526462</v>
      </c>
      <c r="J97" s="1120"/>
      <c r="K97" s="1120"/>
      <c r="L97" s="1120"/>
      <c r="M97" s="1124">
        <v>1255.1655498109017</v>
      </c>
      <c r="N97" s="1125">
        <v>232.38066241015875</v>
      </c>
      <c r="O97" s="1126">
        <v>130.34056880694126</v>
      </c>
      <c r="P97" s="1120"/>
      <c r="Q97" s="1120"/>
      <c r="R97" s="1120"/>
      <c r="S97" s="1120"/>
      <c r="T97" s="1127">
        <f t="shared" si="5"/>
        <v>1255.1655498109017</v>
      </c>
      <c r="U97" s="1128">
        <f t="shared" si="6"/>
        <v>130.34056880694126</v>
      </c>
      <c r="V97" s="1120"/>
      <c r="W97" s="1120"/>
      <c r="X97" s="1120"/>
      <c r="Y97" s="1120"/>
      <c r="Z97" s="1120"/>
      <c r="AA97" s="1120"/>
      <c r="AB97" s="1120"/>
      <c r="AC97" s="1116"/>
    </row>
    <row r="98" spans="1:29" x14ac:dyDescent="0.35">
      <c r="A98" s="1120">
        <v>1788</v>
      </c>
      <c r="B98" s="1120"/>
      <c r="C98" s="1121">
        <v>574</v>
      </c>
      <c r="D98" s="1121">
        <v>867</v>
      </c>
      <c r="E98" s="1122">
        <v>0.87083374515359835</v>
      </c>
      <c r="F98" s="1120"/>
      <c r="G98" s="1120"/>
      <c r="H98" s="1123">
        <f t="shared" si="7"/>
        <v>66.205305651672433</v>
      </c>
      <c r="I98" s="1123">
        <f t="shared" si="4"/>
        <v>107.58936207856388</v>
      </c>
      <c r="J98" s="1120"/>
      <c r="K98" s="1120"/>
      <c r="L98" s="1120"/>
      <c r="M98" s="1124">
        <v>1282.2239507273334</v>
      </c>
      <c r="N98" s="1125">
        <v>248.17327823747289</v>
      </c>
      <c r="O98" s="1126">
        <v>120.84960928091955</v>
      </c>
      <c r="P98" s="1120"/>
      <c r="Q98" s="1120"/>
      <c r="R98" s="1120"/>
      <c r="S98" s="1120"/>
      <c r="T98" s="1127">
        <f t="shared" si="5"/>
        <v>1282.2239507273334</v>
      </c>
      <c r="U98" s="1128">
        <f t="shared" si="6"/>
        <v>120.84960928091955</v>
      </c>
      <c r="V98" s="1120"/>
      <c r="W98" s="1120"/>
      <c r="X98" s="1120"/>
      <c r="Y98" s="1120"/>
      <c r="Z98" s="1120"/>
      <c r="AA98" s="1120"/>
      <c r="AB98" s="1120"/>
      <c r="AC98" s="1116"/>
    </row>
    <row r="99" spans="1:29" x14ac:dyDescent="0.35">
      <c r="A99" s="1120">
        <v>1789</v>
      </c>
      <c r="B99" s="1120"/>
      <c r="C99" s="1121">
        <v>578</v>
      </c>
      <c r="D99" s="1121">
        <v>856</v>
      </c>
      <c r="E99" s="1122">
        <v>0.884258725808587</v>
      </c>
      <c r="F99" s="1120"/>
      <c r="G99" s="1120"/>
      <c r="H99" s="1123">
        <f t="shared" si="7"/>
        <v>67.523364485981304</v>
      </c>
      <c r="I99" s="1123">
        <f t="shared" si="4"/>
        <v>109.73132196787262</v>
      </c>
      <c r="J99" s="1120"/>
      <c r="K99" s="1120"/>
      <c r="L99" s="1120"/>
      <c r="M99" s="1124">
        <v>1300.7401525157825</v>
      </c>
      <c r="N99" s="1125">
        <v>223.29097144045181</v>
      </c>
      <c r="O99" s="1126">
        <v>125.20753351190366</v>
      </c>
      <c r="P99" s="1120"/>
      <c r="Q99" s="1120"/>
      <c r="R99" s="1120"/>
      <c r="S99" s="1120"/>
      <c r="T99" s="1127">
        <f t="shared" si="5"/>
        <v>1300.7401525157825</v>
      </c>
      <c r="U99" s="1128">
        <f t="shared" si="6"/>
        <v>125.20753351190366</v>
      </c>
      <c r="V99" s="1120"/>
      <c r="W99" s="1120"/>
      <c r="X99" s="1120"/>
      <c r="Y99" s="1120"/>
      <c r="Z99" s="1120"/>
      <c r="AA99" s="1120"/>
      <c r="AB99" s="1120"/>
      <c r="AC99" s="1116"/>
    </row>
    <row r="100" spans="1:29" x14ac:dyDescent="0.35">
      <c r="A100" s="1120">
        <v>1790</v>
      </c>
      <c r="B100" s="1120"/>
      <c r="C100" s="1121">
        <v>591</v>
      </c>
      <c r="D100" s="1121">
        <v>871</v>
      </c>
      <c r="E100" s="1122">
        <v>0.88157372967758929</v>
      </c>
      <c r="F100" s="1120"/>
      <c r="G100" s="1120"/>
      <c r="H100" s="1123">
        <f t="shared" si="7"/>
        <v>67.853042479908154</v>
      </c>
      <c r="I100" s="1123">
        <f t="shared" si="4"/>
        <v>110.26707729305078</v>
      </c>
      <c r="J100" s="1120"/>
      <c r="K100" s="1120"/>
      <c r="L100" s="1120"/>
      <c r="M100" s="1124">
        <v>1165.4955156181602</v>
      </c>
      <c r="N100" s="1125">
        <v>230.26651891347311</v>
      </c>
      <c r="O100" s="1126">
        <v>119.86231212228068</v>
      </c>
      <c r="P100" s="1120"/>
      <c r="Q100" s="1120"/>
      <c r="R100" s="1120"/>
      <c r="S100" s="1120"/>
      <c r="T100" s="1127">
        <f t="shared" si="5"/>
        <v>1165.4955156181602</v>
      </c>
      <c r="U100" s="1128">
        <f t="shared" si="6"/>
        <v>119.86231212228068</v>
      </c>
      <c r="V100" s="1120"/>
      <c r="W100" s="1120"/>
      <c r="X100" s="1120"/>
      <c r="Y100" s="1120"/>
      <c r="Z100" s="1120"/>
      <c r="AA100" s="1120"/>
      <c r="AB100" s="1120"/>
      <c r="AC100" s="1116"/>
    </row>
    <row r="101" spans="1:29" x14ac:dyDescent="0.35">
      <c r="A101" s="1120">
        <v>1791</v>
      </c>
      <c r="B101" s="1120"/>
      <c r="C101" s="1121">
        <v>594</v>
      </c>
      <c r="D101" s="1121">
        <v>870</v>
      </c>
      <c r="E101" s="1122">
        <v>0.93885364713887431</v>
      </c>
      <c r="F101" s="1120"/>
      <c r="G101" s="1120"/>
      <c r="H101" s="1123">
        <f t="shared" si="7"/>
        <v>68.275862068965523</v>
      </c>
      <c r="I101" s="1123">
        <f t="shared" si="4"/>
        <v>110.95419578624745</v>
      </c>
      <c r="J101" s="1120"/>
      <c r="K101" s="1120"/>
      <c r="L101" s="1120"/>
      <c r="M101" s="1124">
        <v>1137.5400875535779</v>
      </c>
      <c r="N101" s="1125">
        <v>228.56154797692781</v>
      </c>
      <c r="O101" s="1126">
        <v>126.44683974845516</v>
      </c>
      <c r="P101" s="1120"/>
      <c r="Q101" s="1120"/>
      <c r="R101" s="1120"/>
      <c r="S101" s="1120"/>
      <c r="T101" s="1127">
        <f t="shared" si="5"/>
        <v>1137.5400875535779</v>
      </c>
      <c r="U101" s="1128">
        <f t="shared" si="6"/>
        <v>126.44683974845516</v>
      </c>
      <c r="V101" s="1120"/>
      <c r="W101" s="1120"/>
      <c r="X101" s="1120"/>
      <c r="Y101" s="1120"/>
      <c r="Z101" s="1120"/>
      <c r="AA101" s="1120"/>
      <c r="AB101" s="1120"/>
      <c r="AC101" s="1116"/>
    </row>
    <row r="102" spans="1:29" x14ac:dyDescent="0.35">
      <c r="A102" s="1120">
        <v>1792</v>
      </c>
      <c r="B102" s="1120"/>
      <c r="C102" s="1121">
        <v>606</v>
      </c>
      <c r="D102" s="1121">
        <v>883</v>
      </c>
      <c r="E102" s="1122">
        <v>0.92811366261488337</v>
      </c>
      <c r="F102" s="1120"/>
      <c r="G102" s="1120"/>
      <c r="H102" s="1123">
        <f t="shared" si="7"/>
        <v>68.629671574178943</v>
      </c>
      <c r="I102" s="1123">
        <f t="shared" si="4"/>
        <v>111.52916690961213</v>
      </c>
      <c r="J102" s="1120"/>
      <c r="K102" s="1120"/>
      <c r="L102" s="1120"/>
      <c r="M102" s="1124">
        <v>1322.2826941689377</v>
      </c>
      <c r="N102" s="1125">
        <v>225.56395335010225</v>
      </c>
      <c r="O102" s="1126">
        <v>126.71691077293343</v>
      </c>
      <c r="P102" s="1120"/>
      <c r="Q102" s="1120"/>
      <c r="R102" s="1120"/>
      <c r="S102" s="1120"/>
      <c r="T102" s="1127">
        <f t="shared" si="5"/>
        <v>1322.2826941689377</v>
      </c>
      <c r="U102" s="1128">
        <f t="shared" si="6"/>
        <v>126.71691077293343</v>
      </c>
      <c r="V102" s="1120"/>
      <c r="W102" s="1120"/>
      <c r="X102" s="1120"/>
      <c r="Y102" s="1120"/>
      <c r="Z102" s="1120"/>
      <c r="AA102" s="1120"/>
      <c r="AB102" s="1120"/>
      <c r="AC102" s="1116"/>
    </row>
    <row r="103" spans="1:29" x14ac:dyDescent="0.35">
      <c r="A103" s="1120">
        <v>1793</v>
      </c>
      <c r="B103" s="1120"/>
      <c r="C103" s="1121">
        <v>640</v>
      </c>
      <c r="D103" s="1121">
        <v>908</v>
      </c>
      <c r="E103" s="1122">
        <v>0.90663369356690149</v>
      </c>
      <c r="F103" s="1120"/>
      <c r="G103" s="1120"/>
      <c r="H103" s="1123">
        <f t="shared" si="7"/>
        <v>70.484581497797365</v>
      </c>
      <c r="I103" s="1123">
        <f t="shared" si="4"/>
        <v>114.54355636723807</v>
      </c>
      <c r="J103" s="1120"/>
      <c r="K103" s="1120"/>
      <c r="L103" s="1120"/>
      <c r="M103" s="1124">
        <v>1376.0952535014135</v>
      </c>
      <c r="N103" s="1125">
        <v>203.31311391243665</v>
      </c>
      <c r="O103" s="1126">
        <v>133.66115362587354</v>
      </c>
      <c r="P103" s="1120"/>
      <c r="Q103" s="1127"/>
      <c r="R103" s="1120"/>
      <c r="S103" s="1120"/>
      <c r="T103" s="1127">
        <f t="shared" si="5"/>
        <v>1376.0952535014135</v>
      </c>
      <c r="U103" s="1128">
        <f t="shared" si="6"/>
        <v>133.66115362587354</v>
      </c>
      <c r="V103" s="1120"/>
      <c r="W103" s="1120"/>
      <c r="X103" s="1120"/>
      <c r="Y103" s="1120"/>
      <c r="Z103" s="1120"/>
      <c r="AA103" s="1120"/>
      <c r="AB103" s="1120"/>
      <c r="AC103" s="1116"/>
    </row>
    <row r="104" spans="1:29" x14ac:dyDescent="0.35">
      <c r="A104" s="1120">
        <v>1794</v>
      </c>
      <c r="B104" s="1120"/>
      <c r="C104" s="1121">
        <v>666</v>
      </c>
      <c r="D104" s="1121">
        <v>978</v>
      </c>
      <c r="E104" s="1122">
        <v>0.9621236136075213</v>
      </c>
      <c r="F104" s="1120"/>
      <c r="G104" s="1120"/>
      <c r="H104" s="1123">
        <f t="shared" si="7"/>
        <v>68.098159509202446</v>
      </c>
      <c r="I104" s="1123">
        <f t="shared" si="4"/>
        <v>110.66541371876139</v>
      </c>
      <c r="J104" s="1120"/>
      <c r="K104" s="1120"/>
      <c r="L104" s="1120"/>
      <c r="M104" s="1124">
        <v>1452.9124990290713</v>
      </c>
      <c r="N104" s="1125">
        <v>206.05287832255476</v>
      </c>
      <c r="O104" s="1126">
        <v>135.3994713492562</v>
      </c>
      <c r="P104" s="1120"/>
      <c r="Q104" s="1127"/>
      <c r="R104" s="1120"/>
      <c r="S104" s="1120"/>
      <c r="T104" s="1127">
        <f t="shared" si="5"/>
        <v>1452.9124990290713</v>
      </c>
      <c r="U104" s="1128">
        <f t="shared" si="6"/>
        <v>135.3994713492562</v>
      </c>
      <c r="V104" s="1120"/>
      <c r="W104" s="1120"/>
      <c r="X104" s="1120"/>
      <c r="Y104" s="1120"/>
      <c r="Z104" s="1120"/>
      <c r="AA104" s="1120"/>
      <c r="AB104" s="1120"/>
      <c r="AC104" s="1116"/>
    </row>
    <row r="105" spans="1:29" x14ac:dyDescent="0.35">
      <c r="A105" s="1120">
        <v>1795</v>
      </c>
      <c r="B105" s="1120"/>
      <c r="C105" s="1121">
        <v>738</v>
      </c>
      <c r="D105" s="1121">
        <v>1091</v>
      </c>
      <c r="E105" s="1122">
        <v>0.99165857104849631</v>
      </c>
      <c r="F105" s="1120"/>
      <c r="G105" s="1120"/>
      <c r="H105" s="1123">
        <f t="shared" si="7"/>
        <v>67.644362969752521</v>
      </c>
      <c r="I105" s="1123">
        <f t="shared" si="4"/>
        <v>109.92795499529056</v>
      </c>
      <c r="J105" s="1120"/>
      <c r="K105" s="1120"/>
      <c r="L105" s="1120"/>
      <c r="M105" s="1124">
        <v>1304.5349208881928</v>
      </c>
      <c r="N105" s="1125">
        <v>174.27740922969238</v>
      </c>
      <c r="O105" s="1126">
        <v>131.14542746059033</v>
      </c>
      <c r="P105" s="1120"/>
      <c r="Q105" s="1127"/>
      <c r="R105" s="1120"/>
      <c r="S105" s="1120"/>
      <c r="T105" s="1127">
        <f t="shared" si="5"/>
        <v>1304.5349208881928</v>
      </c>
      <c r="U105" s="1128">
        <f t="shared" si="6"/>
        <v>131.14542746059033</v>
      </c>
      <c r="V105" s="1120"/>
      <c r="W105" s="1120"/>
      <c r="X105" s="1120"/>
      <c r="Y105" s="1120"/>
      <c r="Z105" s="1120"/>
      <c r="AA105" s="1120"/>
      <c r="AB105" s="1120"/>
      <c r="AC105" s="1116"/>
    </row>
    <row r="106" spans="1:29" x14ac:dyDescent="0.35">
      <c r="A106" s="1120">
        <v>1796</v>
      </c>
      <c r="B106" s="1120"/>
      <c r="C106" s="1121">
        <v>742</v>
      </c>
      <c r="D106" s="1121">
        <v>1161</v>
      </c>
      <c r="E106" s="1122">
        <v>1.1473883466463648</v>
      </c>
      <c r="F106" s="1120"/>
      <c r="G106" s="1120"/>
      <c r="H106" s="1123">
        <f t="shared" si="7"/>
        <v>63.910422049956935</v>
      </c>
      <c r="I106" s="1123">
        <f t="shared" si="4"/>
        <v>103.85997724569</v>
      </c>
      <c r="J106" s="1120"/>
      <c r="K106" s="1120"/>
      <c r="L106" s="1120"/>
      <c r="M106" s="1124">
        <v>1314.209368587457</v>
      </c>
      <c r="N106" s="1125">
        <v>162.7542369504134</v>
      </c>
      <c r="O106" s="1126">
        <v>114.24831171169571</v>
      </c>
      <c r="P106" s="1120"/>
      <c r="Q106" s="1127"/>
      <c r="R106" s="1120"/>
      <c r="S106" s="1120"/>
      <c r="T106" s="1127">
        <f t="shared" si="5"/>
        <v>1314.209368587457</v>
      </c>
      <c r="U106" s="1128">
        <f t="shared" si="6"/>
        <v>114.24831171169571</v>
      </c>
      <c r="V106" s="1120"/>
      <c r="W106" s="1120"/>
      <c r="X106" s="1120"/>
      <c r="Y106" s="1120"/>
      <c r="Z106" s="1120"/>
      <c r="AA106" s="1120"/>
      <c r="AB106" s="1120"/>
      <c r="AC106" s="1116"/>
    </row>
    <row r="107" spans="1:29" x14ac:dyDescent="0.35">
      <c r="A107" s="1120">
        <v>1797</v>
      </c>
      <c r="B107" s="1120"/>
      <c r="C107" s="1121">
        <v>736</v>
      </c>
      <c r="D107" s="1121">
        <v>1045</v>
      </c>
      <c r="E107" s="1122">
        <v>1.1751333066666749</v>
      </c>
      <c r="F107" s="1120"/>
      <c r="G107" s="1120"/>
      <c r="H107" s="1123">
        <f t="shared" si="7"/>
        <v>70.430622009569376</v>
      </c>
      <c r="I107" s="1123">
        <f t="shared" si="4"/>
        <v>114.45586752025834</v>
      </c>
      <c r="J107" s="1120"/>
      <c r="K107" s="1120"/>
      <c r="L107" s="1120"/>
      <c r="M107" s="1124">
        <v>1198.9424793829007</v>
      </c>
      <c r="N107" s="1125">
        <v>201.84817319576638</v>
      </c>
      <c r="O107" s="1126">
        <v>130.57675027915064</v>
      </c>
      <c r="P107" s="1120"/>
      <c r="Q107" s="1127"/>
      <c r="R107" s="1120"/>
      <c r="S107" s="1120"/>
      <c r="T107" s="1127">
        <f t="shared" si="5"/>
        <v>1198.9424793829007</v>
      </c>
      <c r="U107" s="1128">
        <f t="shared" si="6"/>
        <v>130.57675027915064</v>
      </c>
      <c r="V107" s="1120"/>
      <c r="W107" s="1120"/>
      <c r="X107" s="1120"/>
      <c r="Y107" s="1120"/>
      <c r="Z107" s="1120"/>
      <c r="AA107" s="1120"/>
      <c r="AB107" s="1120"/>
      <c r="AC107" s="1116"/>
    </row>
    <row r="108" spans="1:29" x14ac:dyDescent="0.35">
      <c r="A108" s="1120">
        <v>1798</v>
      </c>
      <c r="B108" s="1120"/>
      <c r="C108" s="1121">
        <v>730</v>
      </c>
      <c r="D108" s="1121">
        <v>1022</v>
      </c>
      <c r="E108" s="1122">
        <v>1.0578884756131071</v>
      </c>
      <c r="F108" s="1120"/>
      <c r="G108" s="1120"/>
      <c r="H108" s="1123">
        <f t="shared" si="7"/>
        <v>71.428571428571431</v>
      </c>
      <c r="I108" s="1123">
        <f t="shared" si="4"/>
        <v>116.07762185429928</v>
      </c>
      <c r="J108" s="1120"/>
      <c r="K108" s="1120"/>
      <c r="L108" s="1120"/>
      <c r="M108" s="1124">
        <v>1019.7673719916808</v>
      </c>
      <c r="N108" s="1125">
        <v>201.52172262555047</v>
      </c>
      <c r="O108" s="1126">
        <v>130.57901517524999</v>
      </c>
      <c r="P108" s="1120"/>
      <c r="Q108" s="1127"/>
      <c r="R108" s="1120"/>
      <c r="S108" s="1120"/>
      <c r="T108" s="1127">
        <f t="shared" si="5"/>
        <v>1019.7673719916808</v>
      </c>
      <c r="U108" s="1128">
        <f t="shared" si="6"/>
        <v>130.57901517524999</v>
      </c>
      <c r="V108" s="1120"/>
      <c r="W108" s="1120"/>
      <c r="X108" s="1120"/>
      <c r="Y108" s="1120"/>
      <c r="Z108" s="1120"/>
      <c r="AA108" s="1120"/>
      <c r="AB108" s="1120"/>
      <c r="AC108" s="1116"/>
    </row>
    <row r="109" spans="1:29" x14ac:dyDescent="0.35">
      <c r="A109" s="1120">
        <v>1799</v>
      </c>
      <c r="B109" s="1120"/>
      <c r="C109" s="1121">
        <v>819</v>
      </c>
      <c r="D109" s="1121">
        <v>1148</v>
      </c>
      <c r="E109" s="1122">
        <v>1.0722084549784283</v>
      </c>
      <c r="F109" s="1120"/>
      <c r="G109" s="1120"/>
      <c r="H109" s="1123">
        <f t="shared" si="7"/>
        <v>71.341463414634148</v>
      </c>
      <c r="I109" s="1123">
        <f t="shared" si="4"/>
        <v>115.93606377886719</v>
      </c>
      <c r="J109" s="1120"/>
      <c r="K109" s="1120"/>
      <c r="L109" s="1120"/>
      <c r="M109" s="1124">
        <v>1097.1155884226844</v>
      </c>
      <c r="N109" s="1125">
        <v>191.63231619591815</v>
      </c>
      <c r="O109" s="1126">
        <v>139.7789869541491</v>
      </c>
      <c r="P109" s="1120"/>
      <c r="Q109" s="1127"/>
      <c r="R109" s="1120"/>
      <c r="S109" s="1120"/>
      <c r="T109" s="1127">
        <f t="shared" si="5"/>
        <v>1097.1155884226844</v>
      </c>
      <c r="U109" s="1128">
        <f t="shared" si="6"/>
        <v>139.7789869541491</v>
      </c>
      <c r="V109" s="1120"/>
      <c r="W109" s="1120"/>
      <c r="X109" s="1120"/>
      <c r="Y109" s="1120"/>
      <c r="Z109" s="1120"/>
      <c r="AA109" s="1120"/>
      <c r="AB109" s="1120"/>
      <c r="AC109" s="1116"/>
    </row>
    <row r="110" spans="1:29" x14ac:dyDescent="0.35">
      <c r="A110" s="1120">
        <v>1800</v>
      </c>
      <c r="B110" s="1120"/>
      <c r="C110" s="1121">
        <v>848</v>
      </c>
      <c r="D110" s="1121">
        <v>1567</v>
      </c>
      <c r="E110" s="1122">
        <v>1.2968531312719056</v>
      </c>
      <c r="F110" s="1120"/>
      <c r="G110" s="1120"/>
      <c r="H110" s="1123">
        <f t="shared" si="7"/>
        <v>54.116145500957245</v>
      </c>
      <c r="I110" s="1123">
        <f t="shared" si="4"/>
        <v>87.943428631412957</v>
      </c>
      <c r="J110" s="1120"/>
      <c r="K110" s="1120"/>
      <c r="L110" s="1120"/>
      <c r="M110" s="1124">
        <v>1147.9165178755679</v>
      </c>
      <c r="N110" s="1125">
        <v>135.22890018112651</v>
      </c>
      <c r="O110" s="1126">
        <v>109.75763804278172</v>
      </c>
      <c r="P110" s="1120"/>
      <c r="Q110" s="1127"/>
      <c r="R110" s="1120"/>
      <c r="S110" s="1120"/>
      <c r="T110" s="1127">
        <f t="shared" si="5"/>
        <v>1147.9165178755679</v>
      </c>
      <c r="U110" s="1128">
        <f t="shared" si="6"/>
        <v>109.75763804278172</v>
      </c>
      <c r="V110" s="1120"/>
      <c r="W110" s="1120"/>
      <c r="X110" s="1120"/>
      <c r="Y110" s="1120"/>
      <c r="Z110" s="1120"/>
      <c r="AA110" s="1120"/>
      <c r="AB110" s="1120"/>
      <c r="AC110" s="1116"/>
    </row>
    <row r="111" spans="1:29" x14ac:dyDescent="0.35">
      <c r="A111" s="1120">
        <v>1801</v>
      </c>
      <c r="B111" s="1120"/>
      <c r="C111" s="1121">
        <v>805</v>
      </c>
      <c r="D111" s="1121">
        <v>1751</v>
      </c>
      <c r="E111" s="1122">
        <v>1.6861775702665771</v>
      </c>
      <c r="F111" s="1120"/>
      <c r="G111" s="1120"/>
      <c r="H111" s="1123">
        <f t="shared" si="7"/>
        <v>45.97372929754426</v>
      </c>
      <c r="I111" s="1123">
        <f t="shared" si="4"/>
        <v>74.711296304851672</v>
      </c>
      <c r="J111" s="1120"/>
      <c r="K111" s="1120"/>
      <c r="L111" s="1120"/>
      <c r="M111" s="1124">
        <v>1137.4695163431707</v>
      </c>
      <c r="N111" s="1125">
        <v>126.61247786467835</v>
      </c>
      <c r="O111" s="1126">
        <v>92.182922371423942</v>
      </c>
      <c r="P111" s="1120"/>
      <c r="Q111" s="1127"/>
      <c r="R111" s="1120"/>
      <c r="S111" s="1120"/>
      <c r="T111" s="1127">
        <f t="shared" si="5"/>
        <v>1137.4695163431707</v>
      </c>
      <c r="U111" s="1128">
        <f t="shared" si="6"/>
        <v>92.182922371423942</v>
      </c>
      <c r="V111" s="1120"/>
      <c r="W111" s="1120"/>
      <c r="X111" s="1120"/>
      <c r="Y111" s="1120"/>
      <c r="Z111" s="1120"/>
      <c r="AA111" s="1120"/>
      <c r="AB111" s="1120"/>
      <c r="AC111" s="1116"/>
    </row>
    <row r="112" spans="1:29" x14ac:dyDescent="0.35">
      <c r="A112" s="1120">
        <v>1802</v>
      </c>
      <c r="B112" s="1120"/>
      <c r="C112" s="1121">
        <v>788</v>
      </c>
      <c r="D112" s="1121">
        <v>1348</v>
      </c>
      <c r="E112" s="1122">
        <v>1.5948877018126539</v>
      </c>
      <c r="F112" s="1120"/>
      <c r="G112" s="1120"/>
      <c r="H112" s="1123">
        <f t="shared" si="7"/>
        <v>58.456973293768542</v>
      </c>
      <c r="I112" s="1123">
        <f t="shared" si="4"/>
        <v>94.997650170373106</v>
      </c>
      <c r="J112" s="1120"/>
      <c r="K112" s="1120"/>
      <c r="L112" s="1120"/>
      <c r="M112" s="1124">
        <v>1151.7564458375341</v>
      </c>
      <c r="N112" s="1125">
        <v>176.83999271976381</v>
      </c>
      <c r="O112" s="1126">
        <v>121.89058190434152</v>
      </c>
      <c r="P112" s="1120"/>
      <c r="Q112" s="1127"/>
      <c r="R112" s="1120"/>
      <c r="S112" s="1120"/>
      <c r="T112" s="1127">
        <f t="shared" si="5"/>
        <v>1151.7564458375341</v>
      </c>
      <c r="U112" s="1128">
        <f t="shared" si="6"/>
        <v>121.89058190434152</v>
      </c>
      <c r="V112" s="1120"/>
      <c r="W112" s="1120"/>
      <c r="X112" s="1120"/>
      <c r="Y112" s="1120"/>
      <c r="Z112" s="1120"/>
      <c r="AA112" s="1120"/>
      <c r="AB112" s="1120"/>
      <c r="AC112" s="1116"/>
    </row>
    <row r="113" spans="1:29" x14ac:dyDescent="0.35">
      <c r="A113" s="1120">
        <v>1803</v>
      </c>
      <c r="B113" s="1120"/>
      <c r="C113" s="1121">
        <v>874</v>
      </c>
      <c r="D113" s="1121">
        <v>1268</v>
      </c>
      <c r="E113" s="1122">
        <v>1.2306232267072947</v>
      </c>
      <c r="F113" s="1120"/>
      <c r="G113" s="1120"/>
      <c r="H113" s="1123">
        <f t="shared" si="7"/>
        <v>68.927444794952692</v>
      </c>
      <c r="I113" s="1123">
        <f t="shared" si="4"/>
        <v>112.01307421208249</v>
      </c>
      <c r="J113" s="1120"/>
      <c r="K113" s="1120"/>
      <c r="L113" s="1120"/>
      <c r="M113" s="1124">
        <v>1251.0493415575497</v>
      </c>
      <c r="N113" s="1125">
        <v>199.2680765758484</v>
      </c>
      <c r="O113" s="1126">
        <v>146.50387199777188</v>
      </c>
      <c r="P113" s="1120"/>
      <c r="Q113" s="1127"/>
      <c r="R113" s="1120"/>
      <c r="S113" s="1120"/>
      <c r="T113" s="1127">
        <f t="shared" si="5"/>
        <v>1251.0493415575497</v>
      </c>
      <c r="U113" s="1128">
        <f t="shared" si="6"/>
        <v>146.50387199777188</v>
      </c>
      <c r="V113" s="1120"/>
      <c r="W113" s="1120"/>
      <c r="X113" s="1120"/>
      <c r="Y113" s="1120"/>
      <c r="Z113" s="1120"/>
      <c r="AA113" s="1120"/>
      <c r="AB113" s="1120"/>
      <c r="AC113" s="1116"/>
    </row>
    <row r="114" spans="1:29" x14ac:dyDescent="0.35">
      <c r="A114" s="1120">
        <v>1804</v>
      </c>
      <c r="B114" s="1120"/>
      <c r="C114" s="1121">
        <v>910</v>
      </c>
      <c r="D114" s="1121">
        <v>1309</v>
      </c>
      <c r="E114" s="1122">
        <v>1.2136182512109757</v>
      </c>
      <c r="F114" s="1120"/>
      <c r="G114" s="1120"/>
      <c r="H114" s="1123">
        <f t="shared" si="7"/>
        <v>69.518716577540104</v>
      </c>
      <c r="I114" s="1123">
        <f t="shared" si="4"/>
        <v>112.97394212557468</v>
      </c>
      <c r="J114" s="1120"/>
      <c r="K114" s="1120"/>
      <c r="L114" s="1120"/>
      <c r="M114" s="1124">
        <v>1112.9611279848955</v>
      </c>
      <c r="N114" s="1125">
        <v>190.88300396166156</v>
      </c>
      <c r="O114" s="1126">
        <v>144.22108182883275</v>
      </c>
      <c r="P114" s="1120"/>
      <c r="Q114" s="1127"/>
      <c r="R114" s="1120"/>
      <c r="S114" s="1120"/>
      <c r="T114" s="1127">
        <f t="shared" si="5"/>
        <v>1112.9611279848955</v>
      </c>
      <c r="U114" s="1128">
        <f t="shared" si="6"/>
        <v>144.22108182883275</v>
      </c>
      <c r="V114" s="1120"/>
      <c r="W114" s="1120"/>
      <c r="X114" s="1120"/>
      <c r="Y114" s="1120"/>
      <c r="Z114" s="1120"/>
      <c r="AA114" s="1120"/>
      <c r="AB114" s="1120"/>
      <c r="AC114" s="1116"/>
    </row>
    <row r="115" spans="1:29" x14ac:dyDescent="0.35">
      <c r="A115" s="1120">
        <v>1805</v>
      </c>
      <c r="B115" s="1120"/>
      <c r="C115" s="1121">
        <v>895</v>
      </c>
      <c r="D115" s="1121">
        <v>1521</v>
      </c>
      <c r="E115" s="1122">
        <v>1.297748129982238</v>
      </c>
      <c r="F115" s="1120"/>
      <c r="G115" s="1120"/>
      <c r="H115" s="1123">
        <f t="shared" si="7"/>
        <v>58.842866535174231</v>
      </c>
      <c r="I115" s="1123">
        <f t="shared" si="4"/>
        <v>95.624760146901366</v>
      </c>
      <c r="J115" s="1120"/>
      <c r="K115" s="1120"/>
      <c r="L115" s="1120"/>
      <c r="M115" s="1124">
        <v>955.55829415066978</v>
      </c>
      <c r="N115" s="1125">
        <v>167.32092205863793</v>
      </c>
      <c r="O115" s="1126">
        <v>121.96574475523869</v>
      </c>
      <c r="P115" s="1120"/>
      <c r="Q115" s="1127"/>
      <c r="R115" s="1120"/>
      <c r="S115" s="1120"/>
      <c r="T115" s="1127">
        <f t="shared" si="5"/>
        <v>955.55829415066978</v>
      </c>
      <c r="U115" s="1128">
        <f t="shared" si="6"/>
        <v>121.96574475523869</v>
      </c>
      <c r="V115" s="1120"/>
      <c r="W115" s="1120"/>
      <c r="X115" s="1120"/>
      <c r="Y115" s="1120"/>
      <c r="Z115" s="1120"/>
      <c r="AA115" s="1120"/>
      <c r="AB115" s="1120"/>
      <c r="AC115" s="1116"/>
    </row>
    <row r="116" spans="1:29" x14ac:dyDescent="0.35">
      <c r="A116" s="1120">
        <v>1806</v>
      </c>
      <c r="B116" s="1120"/>
      <c r="C116" s="1121">
        <v>876</v>
      </c>
      <c r="D116" s="1121">
        <v>1454</v>
      </c>
      <c r="E116" s="1122">
        <v>1.4570579004214368</v>
      </c>
      <c r="F116" s="1120"/>
      <c r="G116" s="1120"/>
      <c r="H116" s="1123">
        <f t="shared" si="7"/>
        <v>60.24759284731774</v>
      </c>
      <c r="I116" s="1123">
        <f t="shared" si="4"/>
        <v>97.907562202278271</v>
      </c>
      <c r="J116" s="1120"/>
      <c r="K116" s="1120"/>
      <c r="L116" s="1120"/>
      <c r="M116" s="1124">
        <v>964.3277105004031</v>
      </c>
      <c r="N116" s="1125">
        <v>183.28241175704935</v>
      </c>
      <c r="O116" s="1126">
        <v>132.58608117219813</v>
      </c>
      <c r="P116" s="1120"/>
      <c r="Q116" s="1127"/>
      <c r="R116" s="1120"/>
      <c r="S116" s="1120"/>
      <c r="T116" s="1127">
        <f t="shared" si="5"/>
        <v>964.3277105004031</v>
      </c>
      <c r="U116" s="1128">
        <f t="shared" si="6"/>
        <v>132.58608117219813</v>
      </c>
      <c r="V116" s="1120"/>
      <c r="W116" s="1120"/>
      <c r="X116" s="1120"/>
      <c r="Y116" s="1120"/>
      <c r="Z116" s="1120"/>
      <c r="AA116" s="1120"/>
      <c r="AB116" s="1120"/>
      <c r="AC116" s="1116"/>
    </row>
    <row r="117" spans="1:29" x14ac:dyDescent="0.35">
      <c r="A117" s="1120">
        <v>1807</v>
      </c>
      <c r="B117" s="1120"/>
      <c r="C117" s="1121">
        <v>846</v>
      </c>
      <c r="D117" s="1121">
        <v>1427</v>
      </c>
      <c r="E117" s="1122">
        <v>1.4015679803808168</v>
      </c>
      <c r="F117" s="1120"/>
      <c r="G117" s="1120"/>
      <c r="H117" s="1123">
        <f t="shared" si="7"/>
        <v>59.28521373510862</v>
      </c>
      <c r="I117" s="1123">
        <f t="shared" si="4"/>
        <v>96.343612700933463</v>
      </c>
      <c r="J117" s="1120"/>
      <c r="K117" s="1120"/>
      <c r="L117" s="1120"/>
      <c r="M117" s="1124">
        <v>1215.8423723437852</v>
      </c>
      <c r="N117" s="1125">
        <v>196.01992383755424</v>
      </c>
      <c r="O117" s="1126">
        <v>134.99417204389607</v>
      </c>
      <c r="P117" s="1120"/>
      <c r="Q117" s="1127"/>
      <c r="R117" s="1120"/>
      <c r="S117" s="1120"/>
      <c r="T117" s="1127">
        <f t="shared" si="5"/>
        <v>1215.8423723437852</v>
      </c>
      <c r="U117" s="1128">
        <f t="shared" si="6"/>
        <v>134.99417204389607</v>
      </c>
      <c r="V117" s="1120"/>
      <c r="W117" s="1120"/>
      <c r="X117" s="1120"/>
      <c r="Y117" s="1120"/>
      <c r="Z117" s="1120"/>
      <c r="AA117" s="1120"/>
      <c r="AB117" s="1120"/>
      <c r="AC117" s="1116"/>
    </row>
    <row r="118" spans="1:29" x14ac:dyDescent="0.35">
      <c r="A118" s="1120">
        <v>1808</v>
      </c>
      <c r="B118" s="1120"/>
      <c r="C118" s="1121">
        <v>908</v>
      </c>
      <c r="D118" s="1121">
        <v>1476</v>
      </c>
      <c r="E118" s="1122">
        <v>1.3899329971464933</v>
      </c>
      <c r="F118" s="1120"/>
      <c r="G118" s="1120"/>
      <c r="H118" s="1123">
        <f t="shared" si="7"/>
        <v>61.517615176151764</v>
      </c>
      <c r="I118" s="1123">
        <f t="shared" si="4"/>
        <v>99.971458605139048</v>
      </c>
      <c r="J118" s="1120"/>
      <c r="K118" s="1120"/>
      <c r="L118" s="1120"/>
      <c r="M118" s="1124">
        <v>1484.7197735568227</v>
      </c>
      <c r="N118" s="1125">
        <v>183.98351211315753</v>
      </c>
      <c r="O118" s="1126">
        <v>140.84696710698199</v>
      </c>
      <c r="P118" s="1120"/>
      <c r="Q118" s="1127"/>
      <c r="R118" s="1120"/>
      <c r="S118" s="1120"/>
      <c r="T118" s="1127">
        <f t="shared" si="5"/>
        <v>1484.7197735568227</v>
      </c>
      <c r="U118" s="1128">
        <f t="shared" si="6"/>
        <v>140.84696710698199</v>
      </c>
      <c r="V118" s="1120"/>
      <c r="W118" s="1120"/>
      <c r="X118" s="1120"/>
      <c r="Y118" s="1120"/>
      <c r="Z118" s="1120"/>
      <c r="AA118" s="1120"/>
      <c r="AB118" s="1120"/>
      <c r="AC118" s="1116"/>
    </row>
    <row r="119" spans="1:29" x14ac:dyDescent="0.35">
      <c r="A119" s="1120">
        <v>1809</v>
      </c>
      <c r="B119" s="1120"/>
      <c r="C119" s="1121">
        <v>1099</v>
      </c>
      <c r="D119" s="1121">
        <v>1619</v>
      </c>
      <c r="E119" s="1122">
        <v>1.4642178901040972</v>
      </c>
      <c r="F119" s="1120"/>
      <c r="G119" s="1120"/>
      <c r="H119" s="1123">
        <f t="shared" si="7"/>
        <v>67.881408276714012</v>
      </c>
      <c r="I119" s="1123">
        <f t="shared" si="4"/>
        <v>110.31317417234393</v>
      </c>
      <c r="J119" s="1120"/>
      <c r="K119" s="1120"/>
      <c r="L119" s="1120"/>
      <c r="M119" s="1124">
        <v>1143.1851721218322</v>
      </c>
      <c r="N119" s="1125">
        <v>163.3537819219797</v>
      </c>
      <c r="O119" s="1126">
        <v>132.01452220435959</v>
      </c>
      <c r="P119" s="1120"/>
      <c r="Q119" s="1127"/>
      <c r="R119" s="1120"/>
      <c r="S119" s="1120"/>
      <c r="T119" s="1127">
        <f t="shared" si="5"/>
        <v>1143.1851721218322</v>
      </c>
      <c r="U119" s="1128">
        <f t="shared" si="6"/>
        <v>132.01452220435959</v>
      </c>
      <c r="V119" s="1120"/>
      <c r="W119" s="1120"/>
      <c r="X119" s="1120"/>
      <c r="Y119" s="1120"/>
      <c r="Z119" s="1120"/>
      <c r="AA119" s="1120"/>
      <c r="AB119" s="1120"/>
      <c r="AC119" s="1116"/>
    </row>
    <row r="120" spans="1:29" x14ac:dyDescent="0.35">
      <c r="A120" s="1120">
        <v>1810</v>
      </c>
      <c r="B120" s="1120"/>
      <c r="C120" s="1121">
        <v>1020</v>
      </c>
      <c r="D120" s="1121">
        <v>1670</v>
      </c>
      <c r="E120" s="1122">
        <v>1.5957827005229863</v>
      </c>
      <c r="F120" s="1120"/>
      <c r="G120" s="1120"/>
      <c r="H120" s="1123">
        <f t="shared" si="7"/>
        <v>61.077844311377248</v>
      </c>
      <c r="I120" s="1123">
        <f t="shared" si="4"/>
        <v>99.256792819125366</v>
      </c>
      <c r="J120" s="1120"/>
      <c r="K120" s="1120"/>
      <c r="L120" s="1120"/>
      <c r="M120" s="1124">
        <v>1125.9268949239747</v>
      </c>
      <c r="N120" s="1125">
        <v>164.35092323652816</v>
      </c>
      <c r="O120" s="1126">
        <v>129.21658031430781</v>
      </c>
      <c r="P120" s="1120"/>
      <c r="Q120" s="1127"/>
      <c r="R120" s="1120"/>
      <c r="S120" s="1120"/>
      <c r="T120" s="1127">
        <f t="shared" si="5"/>
        <v>1125.9268949239747</v>
      </c>
      <c r="U120" s="1128">
        <f t="shared" si="6"/>
        <v>129.21658031430781</v>
      </c>
      <c r="V120" s="1120"/>
      <c r="W120" s="1120"/>
      <c r="X120" s="1120"/>
      <c r="Y120" s="1120"/>
      <c r="Z120" s="1120"/>
      <c r="AA120" s="1120"/>
      <c r="AB120" s="1120"/>
      <c r="AC120" s="1116"/>
    </row>
    <row r="121" spans="1:29" x14ac:dyDescent="0.35">
      <c r="A121" s="1120">
        <v>1811</v>
      </c>
      <c r="B121" s="1120"/>
      <c r="C121" s="1121">
        <v>946</v>
      </c>
      <c r="D121" s="1121">
        <v>1622</v>
      </c>
      <c r="E121" s="1122">
        <v>1.6145776734399706</v>
      </c>
      <c r="F121" s="1120"/>
      <c r="G121" s="1120"/>
      <c r="H121" s="1123">
        <f t="shared" si="7"/>
        <v>58.323057953144264</v>
      </c>
      <c r="I121" s="1123">
        <f t="shared" si="4"/>
        <v>94.780026130600461</v>
      </c>
      <c r="J121" s="1120"/>
      <c r="K121" s="1120"/>
      <c r="L121" s="1120"/>
      <c r="M121" s="1124">
        <v>1331.1486927834428</v>
      </c>
      <c r="N121" s="1125">
        <v>159.84678036059137</v>
      </c>
      <c r="O121" s="1126">
        <v>121.13367194025335</v>
      </c>
      <c r="P121" s="1120"/>
      <c r="Q121" s="1127"/>
      <c r="R121" s="1120"/>
      <c r="S121" s="1120"/>
      <c r="T121" s="1127">
        <f t="shared" si="5"/>
        <v>1331.1486927834428</v>
      </c>
      <c r="U121" s="1128">
        <f t="shared" si="6"/>
        <v>121.13367194025335</v>
      </c>
      <c r="V121" s="1120"/>
      <c r="W121" s="1120"/>
      <c r="X121" s="1120"/>
      <c r="Y121" s="1120"/>
      <c r="Z121" s="1120"/>
      <c r="AA121" s="1120"/>
      <c r="AB121" s="1120"/>
      <c r="AC121" s="1116"/>
    </row>
    <row r="122" spans="1:29" x14ac:dyDescent="0.35">
      <c r="A122" s="1120">
        <v>1812</v>
      </c>
      <c r="B122" s="1120"/>
      <c r="C122" s="1121">
        <v>991</v>
      </c>
      <c r="D122" s="1121">
        <v>1836</v>
      </c>
      <c r="E122" s="1122">
        <v>1.6405326360396155</v>
      </c>
      <c r="F122" s="1120"/>
      <c r="G122" s="1120"/>
      <c r="H122" s="1123">
        <f t="shared" si="7"/>
        <v>53.976034858387798</v>
      </c>
      <c r="I122" s="1123">
        <f t="shared" si="4"/>
        <v>87.715736688809812</v>
      </c>
      <c r="J122" s="1120"/>
      <c r="K122" s="1120"/>
      <c r="L122" s="1120"/>
      <c r="M122" s="1124">
        <v>1147.975723535636</v>
      </c>
      <c r="N122" s="1125">
        <v>163.50835415204818</v>
      </c>
      <c r="O122" s="1126">
        <v>104.4918602302143</v>
      </c>
      <c r="P122" s="1120"/>
      <c r="Q122" s="1127"/>
      <c r="R122" s="1120"/>
      <c r="S122" s="1120"/>
      <c r="T122" s="1127">
        <f t="shared" si="5"/>
        <v>1147.975723535636</v>
      </c>
      <c r="U122" s="1128">
        <f t="shared" si="6"/>
        <v>104.4918602302143</v>
      </c>
      <c r="V122" s="1120"/>
      <c r="W122" s="1120"/>
      <c r="X122" s="1120"/>
      <c r="Y122" s="1120"/>
      <c r="Z122" s="1120"/>
      <c r="AA122" s="1120"/>
      <c r="AB122" s="1120"/>
      <c r="AC122" s="1116"/>
    </row>
    <row r="123" spans="1:29" x14ac:dyDescent="0.35">
      <c r="A123" s="1120">
        <v>1813</v>
      </c>
      <c r="B123" s="1120"/>
      <c r="C123" s="1121">
        <v>1057</v>
      </c>
      <c r="D123" s="1121">
        <v>1881</v>
      </c>
      <c r="E123" s="1122">
        <v>1.821322375526796</v>
      </c>
      <c r="F123" s="1120"/>
      <c r="G123" s="1120"/>
      <c r="H123" s="1123">
        <f t="shared" si="7"/>
        <v>56.193514088250929</v>
      </c>
      <c r="I123" s="1123">
        <f t="shared" si="4"/>
        <v>91.319332706003209</v>
      </c>
      <c r="J123" s="1120"/>
      <c r="K123" s="1120"/>
      <c r="L123" s="1120"/>
      <c r="M123" s="1124">
        <v>1052.4726307204776</v>
      </c>
      <c r="N123" s="1125">
        <v>178.42498985167549</v>
      </c>
      <c r="O123" s="1126">
        <v>114.18534520752553</v>
      </c>
      <c r="P123" s="1120"/>
      <c r="Q123" s="1127"/>
      <c r="R123" s="1120"/>
      <c r="S123" s="1120"/>
      <c r="T123" s="1127">
        <f t="shared" si="5"/>
        <v>1052.4726307204776</v>
      </c>
      <c r="U123" s="1128">
        <f t="shared" si="6"/>
        <v>114.18534520752553</v>
      </c>
      <c r="V123" s="1120"/>
      <c r="W123" s="1120"/>
      <c r="X123" s="1120"/>
      <c r="Y123" s="1120"/>
      <c r="Z123" s="1120"/>
      <c r="AA123" s="1120"/>
      <c r="AB123" s="1120"/>
      <c r="AC123" s="1116"/>
    </row>
    <row r="124" spans="1:29" x14ac:dyDescent="0.35">
      <c r="A124" s="1120">
        <v>1814</v>
      </c>
      <c r="B124" s="1120"/>
      <c r="C124" s="1121">
        <v>1091</v>
      </c>
      <c r="D124" s="1121">
        <v>1642</v>
      </c>
      <c r="E124" s="1122">
        <v>1.8329573587611194</v>
      </c>
      <c r="F124" s="1120"/>
      <c r="G124" s="1120"/>
      <c r="H124" s="1123">
        <f t="shared" si="7"/>
        <v>66.443361753958584</v>
      </c>
      <c r="I124" s="1123">
        <f t="shared" si="4"/>
        <v>107.97622388566181</v>
      </c>
      <c r="J124" s="1120"/>
      <c r="K124" s="1120"/>
      <c r="L124" s="1120"/>
      <c r="M124" s="1124">
        <v>987.17036280804064</v>
      </c>
      <c r="N124" s="1125">
        <v>205.9809728403512</v>
      </c>
      <c r="O124" s="1126">
        <v>143.64354055391797</v>
      </c>
      <c r="P124" s="1120"/>
      <c r="Q124" s="1127"/>
      <c r="R124" s="1120"/>
      <c r="S124" s="1120"/>
      <c r="T124" s="1127">
        <f t="shared" si="5"/>
        <v>987.17036280804064</v>
      </c>
      <c r="U124" s="1128">
        <f t="shared" si="6"/>
        <v>143.64354055391797</v>
      </c>
      <c r="V124" s="1120"/>
      <c r="W124" s="1120"/>
      <c r="X124" s="1120"/>
      <c r="Y124" s="1120"/>
      <c r="Z124" s="1120"/>
      <c r="AA124" s="1120"/>
      <c r="AB124" s="1120"/>
      <c r="AC124" s="1116"/>
    </row>
    <row r="125" spans="1:29" x14ac:dyDescent="0.35">
      <c r="A125" s="1120">
        <v>1815</v>
      </c>
      <c r="B125" s="1120"/>
      <c r="C125" s="1121">
        <v>986</v>
      </c>
      <c r="D125" s="1121">
        <v>1467</v>
      </c>
      <c r="E125" s="1122">
        <v>1.6467976270119431</v>
      </c>
      <c r="F125" s="1120"/>
      <c r="G125" s="1120"/>
      <c r="H125" s="1123">
        <f t="shared" si="7"/>
        <v>67.211997273346967</v>
      </c>
      <c r="I125" s="1123">
        <f t="shared" si="4"/>
        <v>109.22532324994867</v>
      </c>
      <c r="J125" s="1120"/>
      <c r="K125" s="1120"/>
      <c r="L125" s="1120"/>
      <c r="M125" s="1124">
        <v>1046.9926977369551</v>
      </c>
      <c r="N125" s="1125">
        <v>251.48577622471416</v>
      </c>
      <c r="O125" s="1126">
        <v>204.67252117270746</v>
      </c>
      <c r="P125" s="1120"/>
      <c r="Q125" s="1127"/>
      <c r="R125" s="1120"/>
      <c r="S125" s="1120"/>
      <c r="T125" s="1127">
        <f t="shared" si="5"/>
        <v>1046.9926977369551</v>
      </c>
      <c r="U125" s="1128">
        <f t="shared" si="6"/>
        <v>204.67252117270746</v>
      </c>
      <c r="V125" s="1120"/>
      <c r="W125" s="1120"/>
      <c r="X125" s="1120"/>
      <c r="Y125" s="1120"/>
      <c r="Z125" s="1120"/>
      <c r="AA125" s="1120"/>
      <c r="AB125" s="1120"/>
      <c r="AC125" s="1116"/>
    </row>
    <row r="126" spans="1:29" x14ac:dyDescent="0.35">
      <c r="A126" s="1120">
        <v>1816</v>
      </c>
      <c r="B126" s="1120"/>
      <c r="C126" s="1121">
        <v>829</v>
      </c>
      <c r="D126" s="1121">
        <v>1344</v>
      </c>
      <c r="E126" s="1122">
        <v>1.40962296877381</v>
      </c>
      <c r="F126" s="1120"/>
      <c r="G126" s="1120"/>
      <c r="H126" s="1123">
        <f t="shared" si="7"/>
        <v>61.681547619047613</v>
      </c>
      <c r="I126" s="1123">
        <f t="shared" si="4"/>
        <v>100.23786303876467</v>
      </c>
      <c r="J126" s="1120"/>
      <c r="K126" s="1120"/>
      <c r="L126" s="1120"/>
      <c r="M126" s="1124">
        <v>995.92192400579756</v>
      </c>
      <c r="N126" s="1125">
        <v>208.00995168367788</v>
      </c>
      <c r="O126" s="1126">
        <v>126.95390314443998</v>
      </c>
      <c r="P126" s="1120"/>
      <c r="Q126" s="1127"/>
      <c r="R126" s="1120"/>
      <c r="S126" s="1120"/>
      <c r="T126" s="1127">
        <f t="shared" si="5"/>
        <v>995.92192400579756</v>
      </c>
      <c r="U126" s="1128">
        <f t="shared" si="6"/>
        <v>126.95390314443998</v>
      </c>
      <c r="V126" s="1120"/>
      <c r="W126" s="1120"/>
      <c r="X126" s="1120"/>
      <c r="Y126" s="1120"/>
      <c r="Z126" s="1120"/>
      <c r="AA126" s="1120"/>
      <c r="AB126" s="1120"/>
      <c r="AC126" s="1116"/>
    </row>
    <row r="127" spans="1:29" x14ac:dyDescent="0.35">
      <c r="A127" s="1120">
        <v>1817</v>
      </c>
      <c r="B127" s="1120"/>
      <c r="C127" s="1121">
        <v>835</v>
      </c>
      <c r="D127" s="1121">
        <v>1526</v>
      </c>
      <c r="E127" s="1122">
        <v>1.5438727753236967</v>
      </c>
      <c r="F127" s="1120"/>
      <c r="G127" s="1120"/>
      <c r="H127" s="1123">
        <f t="shared" si="7"/>
        <v>54.718217562254253</v>
      </c>
      <c r="I127" s="1123">
        <f t="shared" si="4"/>
        <v>88.921847934256775</v>
      </c>
      <c r="J127" s="1120"/>
      <c r="K127" s="1120"/>
      <c r="L127" s="1120"/>
      <c r="M127" s="1124">
        <v>1099.1529901427612</v>
      </c>
      <c r="N127" s="1125">
        <v>192.21644021649001</v>
      </c>
      <c r="O127" s="1126">
        <v>113.59525954678568</v>
      </c>
      <c r="P127" s="1120"/>
      <c r="Q127" s="1127"/>
      <c r="R127" s="1120"/>
      <c r="S127" s="1120"/>
      <c r="T127" s="1127">
        <f t="shared" si="5"/>
        <v>1099.1529901427612</v>
      </c>
      <c r="U127" s="1128">
        <f t="shared" si="6"/>
        <v>113.59525954678568</v>
      </c>
      <c r="V127" s="1120"/>
      <c r="W127" s="1120"/>
      <c r="X127" s="1120"/>
      <c r="Y127" s="1120"/>
      <c r="Z127" s="1120"/>
      <c r="AA127" s="1120"/>
      <c r="AB127" s="1120"/>
      <c r="AC127" s="1116"/>
    </row>
    <row r="128" spans="1:29" x14ac:dyDescent="0.35">
      <c r="A128" s="1120">
        <v>1818</v>
      </c>
      <c r="B128" s="1120"/>
      <c r="C128" s="1121">
        <v>937</v>
      </c>
      <c r="D128" s="1121">
        <v>1530</v>
      </c>
      <c r="E128" s="1122">
        <v>1.5590877533993504</v>
      </c>
      <c r="F128" s="1120"/>
      <c r="G128" s="1120"/>
      <c r="H128" s="1123">
        <f t="shared" si="7"/>
        <v>61.24183006535948</v>
      </c>
      <c r="I128" s="1123">
        <f t="shared" si="4"/>
        <v>99.523283887888752</v>
      </c>
      <c r="J128" s="1120"/>
      <c r="K128" s="1120"/>
      <c r="L128" s="1120"/>
      <c r="M128" s="1124">
        <v>1201.0295880714364</v>
      </c>
      <c r="N128" s="1125">
        <v>206.22837974614683</v>
      </c>
      <c r="O128" s="1126">
        <v>125.32265985050242</v>
      </c>
      <c r="P128" s="1120"/>
      <c r="Q128" s="1127"/>
      <c r="R128" s="1120"/>
      <c r="S128" s="1120"/>
      <c r="T128" s="1127">
        <f t="shared" si="5"/>
        <v>1201.0295880714364</v>
      </c>
      <c r="U128" s="1128">
        <f t="shared" si="6"/>
        <v>125.32265985050242</v>
      </c>
      <c r="V128" s="1120"/>
      <c r="W128" s="1120"/>
      <c r="X128" s="1120"/>
      <c r="Y128" s="1120"/>
      <c r="Z128" s="1120"/>
      <c r="AA128" s="1120"/>
      <c r="AB128" s="1120"/>
      <c r="AC128" s="1116"/>
    </row>
    <row r="129" spans="1:29" x14ac:dyDescent="0.35">
      <c r="A129" s="1120">
        <v>1819</v>
      </c>
      <c r="B129" s="1120"/>
      <c r="C129" s="1121">
        <v>833</v>
      </c>
      <c r="D129" s="1121">
        <v>1492</v>
      </c>
      <c r="E129" s="1122">
        <v>1.5214978075653822</v>
      </c>
      <c r="F129" s="1120"/>
      <c r="G129" s="1120"/>
      <c r="H129" s="1123">
        <f t="shared" si="7"/>
        <v>55.831099195710451</v>
      </c>
      <c r="I129" s="1123">
        <f t="shared" si="4"/>
        <v>90.730377082093696</v>
      </c>
      <c r="J129" s="1120"/>
      <c r="K129" s="1120"/>
      <c r="L129" s="1120"/>
      <c r="M129" s="1124">
        <v>1331.2031611624386</v>
      </c>
      <c r="N129" s="1125">
        <v>207.69483103589275</v>
      </c>
      <c r="O129" s="1126">
        <v>124.12387595891492</v>
      </c>
      <c r="P129" s="1120"/>
      <c r="Q129" s="1127"/>
      <c r="R129" s="1120"/>
      <c r="S129" s="1120"/>
      <c r="T129" s="1127">
        <f t="shared" si="5"/>
        <v>1331.2031611624386</v>
      </c>
      <c r="U129" s="1128">
        <f t="shared" si="6"/>
        <v>124.12387595891492</v>
      </c>
      <c r="V129" s="1120"/>
      <c r="W129" s="1120"/>
      <c r="X129" s="1120"/>
      <c r="Y129" s="1120"/>
      <c r="Z129" s="1120"/>
      <c r="AA129" s="1120"/>
      <c r="AB129" s="1120"/>
      <c r="AC129" s="1116"/>
    </row>
    <row r="130" spans="1:29" x14ac:dyDescent="0.35">
      <c r="A130" s="1120">
        <v>1820</v>
      </c>
      <c r="B130" s="1120"/>
      <c r="C130" s="1121">
        <v>778</v>
      </c>
      <c r="D130" s="1121">
        <v>1353</v>
      </c>
      <c r="E130" s="1122">
        <v>1.4588478978421018</v>
      </c>
      <c r="F130" s="1120"/>
      <c r="G130" s="1120"/>
      <c r="H130" s="1123">
        <f t="shared" si="7"/>
        <v>57.50184774575019</v>
      </c>
      <c r="I130" s="1123">
        <f t="shared" si="4"/>
        <v>93.445488339765532</v>
      </c>
      <c r="J130" s="1120"/>
      <c r="K130" s="1120"/>
      <c r="L130" s="1120"/>
      <c r="M130" s="1124">
        <v>923.84430298317307</v>
      </c>
      <c r="N130" s="1125">
        <v>225.21810163805714</v>
      </c>
      <c r="O130" s="1126">
        <v>129.49136516397982</v>
      </c>
      <c r="P130" s="1120"/>
      <c r="Q130" s="1127"/>
      <c r="R130" s="1120"/>
      <c r="S130" s="1120"/>
      <c r="T130" s="1127">
        <f t="shared" si="5"/>
        <v>923.84430298317307</v>
      </c>
      <c r="U130" s="1128">
        <f t="shared" si="6"/>
        <v>129.49136516397982</v>
      </c>
      <c r="V130" s="1120"/>
      <c r="W130" s="1120"/>
      <c r="X130" s="1120"/>
      <c r="Y130" s="1120"/>
      <c r="Z130" s="1120"/>
      <c r="AA130" s="1120"/>
      <c r="AB130" s="1120"/>
      <c r="AC130" s="1116"/>
    </row>
    <row r="131" spans="1:29" x14ac:dyDescent="0.35">
      <c r="A131" s="1120">
        <v>1821</v>
      </c>
      <c r="B131" s="1120"/>
      <c r="C131" s="1121">
        <v>730</v>
      </c>
      <c r="D131" s="1121">
        <v>1190</v>
      </c>
      <c r="E131" s="1122">
        <v>1.3550280474435228</v>
      </c>
      <c r="F131" s="1120"/>
      <c r="G131" s="1120"/>
      <c r="H131" s="1123">
        <f t="shared" si="7"/>
        <v>61.344537815126053</v>
      </c>
      <c r="I131" s="1123">
        <f t="shared" si="4"/>
        <v>99.690192886633497</v>
      </c>
      <c r="J131" s="1120"/>
      <c r="K131" s="1120"/>
      <c r="L131" s="1120"/>
      <c r="M131" s="1124">
        <v>784.90896814798748</v>
      </c>
      <c r="N131" s="1125">
        <v>231.23894958063917</v>
      </c>
      <c r="O131" s="1126">
        <v>139.79703846692027</v>
      </c>
      <c r="P131" s="1120"/>
      <c r="Q131" s="1127"/>
      <c r="R131" s="1120"/>
      <c r="S131" s="1120"/>
      <c r="T131" s="1127">
        <f t="shared" si="5"/>
        <v>784.90896814798748</v>
      </c>
      <c r="U131" s="1128">
        <f t="shared" si="6"/>
        <v>139.79703846692027</v>
      </c>
      <c r="V131" s="1120"/>
      <c r="W131" s="1120"/>
      <c r="X131" s="1120"/>
      <c r="Y131" s="1120"/>
      <c r="Z131" s="1120"/>
      <c r="AA131" s="1120"/>
      <c r="AB131" s="1120"/>
      <c r="AC131" s="1116"/>
    </row>
    <row r="132" spans="1:29" x14ac:dyDescent="0.35">
      <c r="A132" s="1120">
        <v>1822</v>
      </c>
      <c r="B132" s="1120"/>
      <c r="C132" s="1121">
        <v>688</v>
      </c>
      <c r="D132" s="1121">
        <v>1029</v>
      </c>
      <c r="E132" s="1122">
        <v>1.2574731880172718</v>
      </c>
      <c r="F132" s="1120"/>
      <c r="G132" s="1120"/>
      <c r="H132" s="1123">
        <f t="shared" si="7"/>
        <v>66.861030126336246</v>
      </c>
      <c r="I132" s="1123">
        <f t="shared" si="4"/>
        <v>108.65497120511279</v>
      </c>
      <c r="J132" s="1120"/>
      <c r="K132" s="1120"/>
      <c r="L132" s="1120"/>
      <c r="M132" s="1124">
        <v>906.51495354495364</v>
      </c>
      <c r="N132" s="1125">
        <v>243.33933232007516</v>
      </c>
      <c r="O132" s="1126">
        <v>147.32996851010444</v>
      </c>
      <c r="P132" s="1120"/>
      <c r="Q132" s="1127">
        <v>4425.7787399689932</v>
      </c>
      <c r="R132" s="1120"/>
      <c r="S132" s="1120"/>
      <c r="T132" s="1127">
        <f t="shared" si="5"/>
        <v>906.51495354495364</v>
      </c>
      <c r="U132" s="1128">
        <f t="shared" si="6"/>
        <v>147.32996851010444</v>
      </c>
      <c r="V132" s="1120"/>
      <c r="W132" s="1127">
        <f t="shared" ref="W132:W163" si="8">Q132</f>
        <v>4425.7787399689932</v>
      </c>
      <c r="X132" s="1120"/>
      <c r="Y132" s="1120"/>
      <c r="Z132" s="1120"/>
      <c r="AA132" s="1120"/>
      <c r="AB132" s="1120"/>
      <c r="AC132" s="1116"/>
    </row>
    <row r="133" spans="1:29" x14ac:dyDescent="0.35">
      <c r="A133" s="1120">
        <v>1823</v>
      </c>
      <c r="B133" s="1120"/>
      <c r="C133" s="1121">
        <v>684</v>
      </c>
      <c r="D133" s="1121">
        <v>1099</v>
      </c>
      <c r="E133" s="1122">
        <v>1.1608133273013534</v>
      </c>
      <c r="F133" s="1120"/>
      <c r="G133" s="1120"/>
      <c r="H133" s="1123">
        <f t="shared" si="7"/>
        <v>62.238398544131023</v>
      </c>
      <c r="I133" s="1123">
        <f t="shared" si="4"/>
        <v>101.14279407431935</v>
      </c>
      <c r="J133" s="1120"/>
      <c r="K133" s="1120"/>
      <c r="L133" s="1120"/>
      <c r="M133" s="1124">
        <v>1055.401245712784</v>
      </c>
      <c r="N133" s="1125">
        <v>237.5810897754034</v>
      </c>
      <c r="O133" s="1126">
        <v>150.79364316159857</v>
      </c>
      <c r="P133" s="1120"/>
      <c r="Q133" s="1127">
        <v>4425.7787399689932</v>
      </c>
      <c r="R133" s="1120"/>
      <c r="S133" s="1120"/>
      <c r="T133" s="1127">
        <f t="shared" si="5"/>
        <v>1055.401245712784</v>
      </c>
      <c r="U133" s="1128">
        <f t="shared" si="6"/>
        <v>150.79364316159857</v>
      </c>
      <c r="V133" s="1120"/>
      <c r="W133" s="1127">
        <f t="shared" si="8"/>
        <v>4425.7787399689932</v>
      </c>
      <c r="X133" s="1120"/>
      <c r="Y133" s="1120"/>
      <c r="Z133" s="1120"/>
      <c r="AA133" s="1120"/>
      <c r="AB133" s="1120"/>
      <c r="AC133" s="1116"/>
    </row>
    <row r="134" spans="1:29" x14ac:dyDescent="0.35">
      <c r="A134" s="1120">
        <v>1824</v>
      </c>
      <c r="B134" s="1120"/>
      <c r="C134" s="1121">
        <v>637</v>
      </c>
      <c r="D134" s="1121">
        <v>1193</v>
      </c>
      <c r="E134" s="1122">
        <v>1.200193270555987</v>
      </c>
      <c r="F134" s="1120"/>
      <c r="G134" s="1120"/>
      <c r="H134" s="1123">
        <f t="shared" si="7"/>
        <v>53.39480301760269</v>
      </c>
      <c r="I134" s="1123">
        <f t="shared" si="4"/>
        <v>86.771184551269158</v>
      </c>
      <c r="J134" s="1120"/>
      <c r="K134" s="1120"/>
      <c r="L134" s="1120"/>
      <c r="M134" s="1124">
        <v>1267.7361743924653</v>
      </c>
      <c r="N134" s="1125">
        <v>245.25831102499458</v>
      </c>
      <c r="O134" s="1126">
        <v>134.13688057218258</v>
      </c>
      <c r="P134" s="1120"/>
      <c r="Q134" s="1127">
        <v>4227.2143897211326</v>
      </c>
      <c r="R134" s="1120"/>
      <c r="S134" s="1120"/>
      <c r="T134" s="1127">
        <f t="shared" si="5"/>
        <v>1267.7361743924653</v>
      </c>
      <c r="U134" s="1128">
        <f t="shared" si="6"/>
        <v>134.13688057218258</v>
      </c>
      <c r="V134" s="1120"/>
      <c r="W134" s="1127">
        <f t="shared" si="8"/>
        <v>4227.2143897211326</v>
      </c>
      <c r="X134" s="1120"/>
      <c r="Y134" s="1120"/>
      <c r="Z134" s="1120"/>
      <c r="AA134" s="1120"/>
      <c r="AB134" s="1120"/>
      <c r="AC134" s="1116"/>
    </row>
    <row r="135" spans="1:29" x14ac:dyDescent="0.35">
      <c r="A135" s="1120">
        <v>1825</v>
      </c>
      <c r="B135" s="1120"/>
      <c r="C135" s="1121">
        <v>660</v>
      </c>
      <c r="D135" s="1121">
        <v>1400</v>
      </c>
      <c r="E135" s="1122">
        <v>1.2503131983346114</v>
      </c>
      <c r="F135" s="1120"/>
      <c r="G135" s="1120"/>
      <c r="H135" s="1123">
        <f t="shared" si="7"/>
        <v>47.142857142857139</v>
      </c>
      <c r="I135" s="1123">
        <f t="shared" si="4"/>
        <v>76.611230423837512</v>
      </c>
      <c r="J135" s="1120"/>
      <c r="K135" s="1120"/>
      <c r="L135" s="1120"/>
      <c r="M135" s="1124">
        <v>1148.4644435075854</v>
      </c>
      <c r="N135" s="1125">
        <v>233.16974972328865</v>
      </c>
      <c r="O135" s="1126">
        <v>130.49476161679266</v>
      </c>
      <c r="P135" s="1120"/>
      <c r="Q135" s="1127">
        <v>4018.8587989481475</v>
      </c>
      <c r="R135" s="1120"/>
      <c r="S135" s="1120"/>
      <c r="T135" s="1127">
        <f t="shared" si="5"/>
        <v>1148.4644435075854</v>
      </c>
      <c r="U135" s="1128">
        <f t="shared" si="6"/>
        <v>130.49476161679266</v>
      </c>
      <c r="V135" s="1120"/>
      <c r="W135" s="1127">
        <f t="shared" si="8"/>
        <v>4018.8587989481475</v>
      </c>
      <c r="X135" s="1120"/>
      <c r="Y135" s="1120"/>
      <c r="Z135" s="1120"/>
      <c r="AA135" s="1120"/>
      <c r="AB135" s="1120"/>
      <c r="AC135" s="1116"/>
    </row>
    <row r="136" spans="1:29" x14ac:dyDescent="0.35">
      <c r="A136" s="1120">
        <v>1826</v>
      </c>
      <c r="B136" s="1120"/>
      <c r="C136" s="1121">
        <v>657</v>
      </c>
      <c r="D136" s="1121">
        <v>1323</v>
      </c>
      <c r="E136" s="1122">
        <v>1.3174381016095549</v>
      </c>
      <c r="F136" s="1120"/>
      <c r="G136" s="1120"/>
      <c r="H136" s="1123">
        <f t="shared" si="7"/>
        <v>49.65986394557823</v>
      </c>
      <c r="I136" s="1123">
        <f t="shared" si="4"/>
        <v>80.701584717750919</v>
      </c>
      <c r="J136" s="1120"/>
      <c r="K136" s="1120"/>
      <c r="L136" s="1120"/>
      <c r="M136" s="1124">
        <v>1182.875908463719</v>
      </c>
      <c r="N136" s="1125">
        <v>249.99398979478616</v>
      </c>
      <c r="O136" s="1126">
        <v>136.82942552804812</v>
      </c>
      <c r="P136" s="1120"/>
      <c r="Q136" s="1127">
        <v>4308.8374317990811</v>
      </c>
      <c r="R136" s="1120"/>
      <c r="S136" s="1120"/>
      <c r="T136" s="1127">
        <f t="shared" si="5"/>
        <v>1182.875908463719</v>
      </c>
      <c r="U136" s="1128">
        <f t="shared" si="6"/>
        <v>136.82942552804812</v>
      </c>
      <c r="V136" s="1120"/>
      <c r="W136" s="1127">
        <f t="shared" si="8"/>
        <v>4308.8374317990811</v>
      </c>
      <c r="X136" s="1120"/>
      <c r="Y136" s="1120"/>
      <c r="Z136" s="1120"/>
      <c r="AA136" s="1120"/>
      <c r="AB136" s="1120"/>
      <c r="AC136" s="1116"/>
    </row>
    <row r="137" spans="1:29" x14ac:dyDescent="0.35">
      <c r="A137" s="1120">
        <v>1827</v>
      </c>
      <c r="B137" s="1120"/>
      <c r="C137" s="1121">
        <v>647</v>
      </c>
      <c r="D137" s="1121">
        <v>1237</v>
      </c>
      <c r="E137" s="1122">
        <v>1.2601581841482701</v>
      </c>
      <c r="F137" s="1120"/>
      <c r="G137" s="1120"/>
      <c r="H137" s="1123">
        <f t="shared" si="7"/>
        <v>52.303961196443005</v>
      </c>
      <c r="I137" s="1123">
        <f t="shared" si="4"/>
        <v>84.998472009397148</v>
      </c>
      <c r="J137" s="1120"/>
      <c r="K137" s="1120"/>
      <c r="L137" s="1120"/>
      <c r="M137" s="1124">
        <v>1340.2343042829843</v>
      </c>
      <c r="N137" s="1125">
        <v>251.70781224761978</v>
      </c>
      <c r="O137" s="1126">
        <v>138.94420680222447</v>
      </c>
      <c r="P137" s="1120"/>
      <c r="Q137" s="1127">
        <v>4389.1263280437861</v>
      </c>
      <c r="R137" s="1120"/>
      <c r="S137" s="1120"/>
      <c r="T137" s="1127">
        <f t="shared" si="5"/>
        <v>1340.2343042829843</v>
      </c>
      <c r="U137" s="1128">
        <f t="shared" si="6"/>
        <v>138.94420680222447</v>
      </c>
      <c r="V137" s="1120"/>
      <c r="W137" s="1127">
        <f t="shared" si="8"/>
        <v>4389.1263280437861</v>
      </c>
      <c r="X137" s="1120"/>
      <c r="Y137" s="1120"/>
      <c r="Z137" s="1120"/>
      <c r="AA137" s="1120"/>
      <c r="AB137" s="1120"/>
      <c r="AC137" s="1116"/>
    </row>
    <row r="138" spans="1:29" x14ac:dyDescent="0.35">
      <c r="A138" s="1120">
        <v>1828</v>
      </c>
      <c r="B138" s="1120"/>
      <c r="C138" s="1121">
        <v>643</v>
      </c>
      <c r="D138" s="1121">
        <v>1201</v>
      </c>
      <c r="E138" s="1122">
        <v>1.2028782666869851</v>
      </c>
      <c r="F138" s="1120"/>
      <c r="G138" s="1120"/>
      <c r="H138" s="1123">
        <f t="shared" si="7"/>
        <v>53.538717735220651</v>
      </c>
      <c r="I138" s="1123">
        <f t="shared" ref="I138:I201" si="9">I$257*(H138/H$257)</f>
        <v>87.005058445662129</v>
      </c>
      <c r="J138" s="1120"/>
      <c r="K138" s="1120"/>
      <c r="L138" s="1120"/>
      <c r="M138" s="1124">
        <v>1039.3560146120424</v>
      </c>
      <c r="N138" s="1125">
        <v>255.7111080645214</v>
      </c>
      <c r="O138" s="1126">
        <v>136.93493537806108</v>
      </c>
      <c r="P138" s="1120"/>
      <c r="Q138" s="1127">
        <v>3966.6387002092174</v>
      </c>
      <c r="R138" s="1120"/>
      <c r="S138" s="1120"/>
      <c r="T138" s="1127">
        <f t="shared" ref="T138:T201" si="10">M138</f>
        <v>1039.3560146120424</v>
      </c>
      <c r="U138" s="1128">
        <f t="shared" ref="U138:U201" si="11">O138</f>
        <v>136.93493537806108</v>
      </c>
      <c r="V138" s="1120"/>
      <c r="W138" s="1127">
        <f t="shared" si="8"/>
        <v>3966.6387002092174</v>
      </c>
      <c r="X138" s="1120"/>
      <c r="Y138" s="1120"/>
      <c r="Z138" s="1120"/>
      <c r="AA138" s="1120"/>
      <c r="AB138" s="1120"/>
      <c r="AC138" s="1116"/>
    </row>
    <row r="139" spans="1:29" x14ac:dyDescent="0.35">
      <c r="A139" s="1120">
        <v>1829</v>
      </c>
      <c r="B139" s="1120"/>
      <c r="C139" s="1121">
        <v>623</v>
      </c>
      <c r="D139" s="1121">
        <v>1189</v>
      </c>
      <c r="E139" s="1122">
        <v>1.2145132499213085</v>
      </c>
      <c r="F139" s="1120"/>
      <c r="G139" s="1120"/>
      <c r="H139" s="1123">
        <f t="shared" ref="H139:H202" si="12">C139/D139*100</f>
        <v>52.396972245584529</v>
      </c>
      <c r="I139" s="1123">
        <f t="shared" si="9"/>
        <v>85.14962302886444</v>
      </c>
      <c r="J139" s="1120"/>
      <c r="K139" s="1120"/>
      <c r="L139" s="1120"/>
      <c r="M139" s="1124">
        <v>896.65075655581586</v>
      </c>
      <c r="N139" s="1125">
        <v>239.17532994736987</v>
      </c>
      <c r="O139" s="1126">
        <v>119.79261669310813</v>
      </c>
      <c r="P139" s="1120"/>
      <c r="Q139" s="1127">
        <v>3789.3807642515053</v>
      </c>
      <c r="R139" s="1120"/>
      <c r="S139" s="1120"/>
      <c r="T139" s="1127">
        <f t="shared" si="10"/>
        <v>896.65075655581586</v>
      </c>
      <c r="U139" s="1128">
        <f t="shared" si="11"/>
        <v>119.79261669310813</v>
      </c>
      <c r="V139" s="1120"/>
      <c r="W139" s="1127">
        <f t="shared" si="8"/>
        <v>3789.3807642515053</v>
      </c>
      <c r="X139" s="1120"/>
      <c r="Y139" s="1120"/>
      <c r="Z139" s="1120"/>
      <c r="AA139" s="1120"/>
      <c r="AB139" s="1120"/>
      <c r="AC139" s="1116"/>
    </row>
    <row r="140" spans="1:29" x14ac:dyDescent="0.35">
      <c r="A140" s="1120">
        <v>1830</v>
      </c>
      <c r="B140" s="1120"/>
      <c r="C140" s="1121">
        <v>615</v>
      </c>
      <c r="D140" s="1121">
        <v>1146</v>
      </c>
      <c r="E140" s="1122">
        <v>1.2404682125209534</v>
      </c>
      <c r="F140" s="1120"/>
      <c r="G140" s="1120"/>
      <c r="H140" s="1123">
        <f t="shared" si="12"/>
        <v>53.664921465968582</v>
      </c>
      <c r="I140" s="1123">
        <f t="shared" si="9"/>
        <v>87.210150450743157</v>
      </c>
      <c r="J140" s="1120"/>
      <c r="K140" s="1120"/>
      <c r="L140" s="1120"/>
      <c r="M140" s="1124">
        <v>952.05074944470971</v>
      </c>
      <c r="N140" s="1125">
        <v>250.18461910979713</v>
      </c>
      <c r="O140" s="1126">
        <v>131.4343230141134</v>
      </c>
      <c r="P140" s="1120"/>
      <c r="Q140" s="1127">
        <v>3905.7384131026274</v>
      </c>
      <c r="R140" s="1120"/>
      <c r="S140" s="1120"/>
      <c r="T140" s="1127">
        <f t="shared" si="10"/>
        <v>952.05074944470971</v>
      </c>
      <c r="U140" s="1128">
        <f t="shared" si="11"/>
        <v>131.4343230141134</v>
      </c>
      <c r="V140" s="1120"/>
      <c r="W140" s="1127">
        <f t="shared" si="8"/>
        <v>3905.7384131026274</v>
      </c>
      <c r="X140" s="1120"/>
      <c r="Y140" s="1120"/>
      <c r="Z140" s="1120"/>
      <c r="AA140" s="1120"/>
      <c r="AB140" s="1120"/>
      <c r="AC140" s="1116"/>
    </row>
    <row r="141" spans="1:29" x14ac:dyDescent="0.35">
      <c r="A141" s="1120">
        <v>1831</v>
      </c>
      <c r="B141" s="1120"/>
      <c r="C141" s="1121">
        <v>608</v>
      </c>
      <c r="D141" s="1121">
        <v>1260</v>
      </c>
      <c r="E141" s="1122">
        <v>1.2010882692663198</v>
      </c>
      <c r="F141" s="1120"/>
      <c r="G141" s="1120"/>
      <c r="H141" s="1123">
        <f t="shared" si="12"/>
        <v>48.253968253968253</v>
      </c>
      <c r="I141" s="1123">
        <f t="shared" si="9"/>
        <v>78.416882319348829</v>
      </c>
      <c r="J141" s="1120"/>
      <c r="K141" s="1120"/>
      <c r="L141" s="1120"/>
      <c r="M141" s="1124">
        <v>973.91617052099957</v>
      </c>
      <c r="N141" s="1125">
        <v>247.39916282416169</v>
      </c>
      <c r="O141" s="1126">
        <v>116.43007325055798</v>
      </c>
      <c r="P141" s="1120"/>
      <c r="Q141" s="1127">
        <v>3576.1606215336515</v>
      </c>
      <c r="R141" s="1120"/>
      <c r="S141" s="1120"/>
      <c r="T141" s="1127">
        <f t="shared" si="10"/>
        <v>973.91617052099957</v>
      </c>
      <c r="U141" s="1128">
        <f t="shared" si="11"/>
        <v>116.43007325055798</v>
      </c>
      <c r="V141" s="1120"/>
      <c r="W141" s="1127">
        <f t="shared" si="8"/>
        <v>3576.1606215336515</v>
      </c>
      <c r="X141" s="1120"/>
      <c r="Y141" s="1120"/>
      <c r="Z141" s="1120"/>
      <c r="AA141" s="1120"/>
      <c r="AB141" s="1120"/>
      <c r="AC141" s="1116"/>
    </row>
    <row r="142" spans="1:29" x14ac:dyDescent="0.35">
      <c r="A142" s="1120">
        <v>1832</v>
      </c>
      <c r="B142" s="1120"/>
      <c r="C142" s="1121">
        <v>525</v>
      </c>
      <c r="D142" s="1121">
        <v>1167</v>
      </c>
      <c r="E142" s="1122">
        <v>1.2163032473419739</v>
      </c>
      <c r="F142" s="1120"/>
      <c r="G142" s="1120"/>
      <c r="H142" s="1123">
        <f t="shared" si="12"/>
        <v>44.987146529562985</v>
      </c>
      <c r="I142" s="1123">
        <f t="shared" si="9"/>
        <v>73.108013764275896</v>
      </c>
      <c r="J142" s="1120"/>
      <c r="K142" s="1120"/>
      <c r="L142" s="1120"/>
      <c r="M142" s="1124">
        <v>1083.4900702439843</v>
      </c>
      <c r="N142" s="1125">
        <v>270.24126046636434</v>
      </c>
      <c r="O142" s="1126">
        <v>126.41432979642092</v>
      </c>
      <c r="P142" s="1120"/>
      <c r="Q142" s="1127">
        <v>3734.9330804178089</v>
      </c>
      <c r="R142" s="1120"/>
      <c r="S142" s="1120"/>
      <c r="T142" s="1127">
        <f t="shared" si="10"/>
        <v>1083.4900702439843</v>
      </c>
      <c r="U142" s="1128">
        <f t="shared" si="11"/>
        <v>126.41432979642092</v>
      </c>
      <c r="V142" s="1120"/>
      <c r="W142" s="1127">
        <f t="shared" si="8"/>
        <v>3734.9330804178089</v>
      </c>
      <c r="X142" s="1120"/>
      <c r="Y142" s="1120"/>
      <c r="Z142" s="1120"/>
      <c r="AA142" s="1120"/>
      <c r="AB142" s="1120"/>
      <c r="AC142" s="1116"/>
    </row>
    <row r="143" spans="1:29" x14ac:dyDescent="0.35">
      <c r="A143" s="1120">
        <v>1833</v>
      </c>
      <c r="B143" s="1120"/>
      <c r="C143" s="1121">
        <v>418</v>
      </c>
      <c r="D143" s="1121">
        <v>1096</v>
      </c>
      <c r="E143" s="1122">
        <v>1.1733433092460099</v>
      </c>
      <c r="F143" s="1120"/>
      <c r="G143" s="1120"/>
      <c r="H143" s="1123">
        <f t="shared" si="12"/>
        <v>38.138686131386862</v>
      </c>
      <c r="I143" s="1123">
        <f t="shared" si="9"/>
        <v>61.978671814905049</v>
      </c>
      <c r="J143" s="1120"/>
      <c r="K143" s="1120"/>
      <c r="L143" s="1120"/>
      <c r="M143" s="1124">
        <v>1030.740092377051</v>
      </c>
      <c r="N143" s="1125">
        <v>283.69357900952053</v>
      </c>
      <c r="O143" s="1126">
        <v>103.20774833429452</v>
      </c>
      <c r="P143" s="1120"/>
      <c r="Q143" s="1127">
        <v>3282.2510272830173</v>
      </c>
      <c r="R143" s="1120"/>
      <c r="S143" s="1120"/>
      <c r="T143" s="1127">
        <f t="shared" si="10"/>
        <v>1030.740092377051</v>
      </c>
      <c r="U143" s="1128">
        <f t="shared" si="11"/>
        <v>103.20774833429452</v>
      </c>
      <c r="V143" s="1120"/>
      <c r="W143" s="1127">
        <f t="shared" si="8"/>
        <v>3282.2510272830173</v>
      </c>
      <c r="X143" s="1120"/>
      <c r="Y143" s="1120"/>
      <c r="Z143" s="1120"/>
      <c r="AA143" s="1120"/>
      <c r="AB143" s="1120"/>
      <c r="AC143" s="1116"/>
    </row>
    <row r="144" spans="1:29" x14ac:dyDescent="0.35">
      <c r="A144" s="1120">
        <v>1834</v>
      </c>
      <c r="B144" s="1120"/>
      <c r="C144" s="1121">
        <v>412</v>
      </c>
      <c r="D144" s="1121">
        <v>1011</v>
      </c>
      <c r="E144" s="1122">
        <v>1.1250133788880508</v>
      </c>
      <c r="F144" s="1120"/>
      <c r="G144" s="1120"/>
      <c r="H144" s="1123">
        <f t="shared" si="12"/>
        <v>40.751730959446093</v>
      </c>
      <c r="I144" s="1123">
        <f t="shared" si="9"/>
        <v>66.225096227062124</v>
      </c>
      <c r="J144" s="1120"/>
      <c r="K144" s="1120"/>
      <c r="L144" s="1120"/>
      <c r="M144" s="1124">
        <v>1105.2344907192291</v>
      </c>
      <c r="N144" s="1125">
        <v>275.89243335494166</v>
      </c>
      <c r="O144" s="1126">
        <v>109.64944947419146</v>
      </c>
      <c r="P144" s="1120"/>
      <c r="Q144" s="1127">
        <v>3158.2093354862554</v>
      </c>
      <c r="R144" s="1120"/>
      <c r="S144" s="1120"/>
      <c r="T144" s="1127">
        <f t="shared" si="10"/>
        <v>1105.2344907192291</v>
      </c>
      <c r="U144" s="1128">
        <f t="shared" si="11"/>
        <v>109.64944947419146</v>
      </c>
      <c r="V144" s="1120"/>
      <c r="W144" s="1127">
        <f t="shared" si="8"/>
        <v>3158.2093354862554</v>
      </c>
      <c r="X144" s="1120"/>
      <c r="Y144" s="1120"/>
      <c r="Z144" s="1120"/>
      <c r="AA144" s="1120"/>
      <c r="AB144" s="1120"/>
      <c r="AC144" s="1116"/>
    </row>
    <row r="145" spans="1:29" x14ac:dyDescent="0.35">
      <c r="A145" s="1120">
        <v>1835</v>
      </c>
      <c r="B145" s="1120"/>
      <c r="C145" s="1121">
        <v>433</v>
      </c>
      <c r="D145" s="1121">
        <v>1028</v>
      </c>
      <c r="E145" s="1122">
        <v>1.0972684188677408</v>
      </c>
      <c r="F145" s="1120"/>
      <c r="G145" s="1120"/>
      <c r="H145" s="1123">
        <f t="shared" si="12"/>
        <v>42.120622568093388</v>
      </c>
      <c r="I145" s="1123">
        <f t="shared" si="9"/>
        <v>68.449663782175321</v>
      </c>
      <c r="J145" s="1120"/>
      <c r="K145" s="1120"/>
      <c r="L145" s="1120"/>
      <c r="M145" s="1124">
        <v>1160.4157592548918</v>
      </c>
      <c r="N145" s="1125">
        <v>237.01278365490063</v>
      </c>
      <c r="O145" s="1126">
        <v>123.34872917090465</v>
      </c>
      <c r="P145" s="1120"/>
      <c r="Q145" s="1127">
        <v>3337.186960165523</v>
      </c>
      <c r="R145" s="1120"/>
      <c r="S145" s="1120"/>
      <c r="T145" s="1127">
        <f t="shared" si="10"/>
        <v>1160.4157592548918</v>
      </c>
      <c r="U145" s="1128">
        <f t="shared" si="11"/>
        <v>123.34872917090465</v>
      </c>
      <c r="V145" s="1120"/>
      <c r="W145" s="1127">
        <f t="shared" si="8"/>
        <v>3337.186960165523</v>
      </c>
      <c r="X145" s="1120"/>
      <c r="Y145" s="1120"/>
      <c r="Z145" s="1120"/>
      <c r="AA145" s="1120"/>
      <c r="AB145" s="1120"/>
      <c r="AC145" s="1116"/>
    </row>
    <row r="146" spans="1:29" x14ac:dyDescent="0.35">
      <c r="A146" s="1120">
        <v>1836</v>
      </c>
      <c r="B146" s="1120"/>
      <c r="C146" s="1121">
        <v>457</v>
      </c>
      <c r="D146" s="1121">
        <v>1141</v>
      </c>
      <c r="E146" s="1122">
        <v>1.0587834743234399</v>
      </c>
      <c r="F146" s="1120"/>
      <c r="G146" s="1120"/>
      <c r="H146" s="1123">
        <f t="shared" si="12"/>
        <v>40.05258545135846</v>
      </c>
      <c r="I146" s="1123">
        <f t="shared" si="9"/>
        <v>65.088924156337129</v>
      </c>
      <c r="J146" s="1120"/>
      <c r="K146" s="1120"/>
      <c r="L146" s="1120"/>
      <c r="M146" s="1124">
        <v>1062.0282025143542</v>
      </c>
      <c r="N146" s="1125">
        <v>221.07149904687256</v>
      </c>
      <c r="O146" s="1126">
        <v>119.8169010417856</v>
      </c>
      <c r="P146" s="1120"/>
      <c r="Q146" s="1127">
        <v>2795.5358458617347</v>
      </c>
      <c r="R146" s="1120"/>
      <c r="S146" s="1120"/>
      <c r="T146" s="1127">
        <f t="shared" si="10"/>
        <v>1062.0282025143542</v>
      </c>
      <c r="U146" s="1128">
        <f t="shared" si="11"/>
        <v>119.8169010417856</v>
      </c>
      <c r="V146" s="1120"/>
      <c r="W146" s="1127">
        <f t="shared" si="8"/>
        <v>2795.5358458617347</v>
      </c>
      <c r="X146" s="1120"/>
      <c r="Y146" s="1120"/>
      <c r="Z146" s="1120"/>
      <c r="AA146" s="1120"/>
      <c r="AB146" s="1120"/>
      <c r="AC146" s="1116"/>
    </row>
    <row r="147" spans="1:29" x14ac:dyDescent="0.35">
      <c r="A147" s="1120">
        <v>1837</v>
      </c>
      <c r="B147" s="1120"/>
      <c r="C147" s="1121">
        <v>506</v>
      </c>
      <c r="D147" s="1121">
        <v>1169</v>
      </c>
      <c r="E147" s="1122">
        <v>1.1617083260116865</v>
      </c>
      <c r="F147" s="1120"/>
      <c r="G147" s="1120"/>
      <c r="H147" s="1123">
        <f t="shared" si="12"/>
        <v>43.284858853721133</v>
      </c>
      <c r="I147" s="1123">
        <f t="shared" si="9"/>
        <v>70.341648692545434</v>
      </c>
      <c r="J147" s="1120"/>
      <c r="K147" s="1120"/>
      <c r="L147" s="1120"/>
      <c r="M147" s="1124">
        <v>989.0157486400168</v>
      </c>
      <c r="N147" s="1125">
        <v>249.02355221342091</v>
      </c>
      <c r="O147" s="1126">
        <v>121.85974377278235</v>
      </c>
      <c r="P147" s="1120"/>
      <c r="Q147" s="1127">
        <v>2638.9394395582758</v>
      </c>
      <c r="R147" s="1120"/>
      <c r="S147" s="1120"/>
      <c r="T147" s="1127">
        <f t="shared" si="10"/>
        <v>989.0157486400168</v>
      </c>
      <c r="U147" s="1128">
        <f t="shared" si="11"/>
        <v>121.85974377278235</v>
      </c>
      <c r="V147" s="1120"/>
      <c r="W147" s="1127">
        <f t="shared" si="8"/>
        <v>2638.9394395582758</v>
      </c>
      <c r="X147" s="1120"/>
      <c r="Y147" s="1120"/>
      <c r="Z147" s="1120"/>
      <c r="AA147" s="1120"/>
      <c r="AB147" s="1120"/>
      <c r="AC147" s="1116"/>
    </row>
    <row r="148" spans="1:29" x14ac:dyDescent="0.35">
      <c r="A148" s="1120">
        <v>1838</v>
      </c>
      <c r="B148" s="1120"/>
      <c r="C148" s="1121">
        <v>494</v>
      </c>
      <c r="D148" s="1121">
        <v>1177</v>
      </c>
      <c r="E148" s="1122">
        <v>1.2037732653973177</v>
      </c>
      <c r="F148" s="1120"/>
      <c r="G148" s="1120"/>
      <c r="H148" s="1123">
        <f t="shared" si="12"/>
        <v>41.971112999150385</v>
      </c>
      <c r="I148" s="1123">
        <f t="shared" si="9"/>
        <v>68.206697769272211</v>
      </c>
      <c r="J148" s="1120"/>
      <c r="K148" s="1120"/>
      <c r="L148" s="1120"/>
      <c r="M148" s="1124">
        <v>1044.2061320550661</v>
      </c>
      <c r="N148" s="1125">
        <v>228.44148081230344</v>
      </c>
      <c r="O148" s="1126">
        <v>116.0006382198566</v>
      </c>
      <c r="P148" s="1120"/>
      <c r="Q148" s="1127">
        <v>2574.8356475042278</v>
      </c>
      <c r="R148" s="1120"/>
      <c r="S148" s="1120"/>
      <c r="T148" s="1127">
        <f t="shared" si="10"/>
        <v>1044.2061320550661</v>
      </c>
      <c r="U148" s="1128">
        <f t="shared" si="11"/>
        <v>116.0006382198566</v>
      </c>
      <c r="V148" s="1120"/>
      <c r="W148" s="1127">
        <f t="shared" si="8"/>
        <v>2574.8356475042278</v>
      </c>
      <c r="X148" s="1120"/>
      <c r="Y148" s="1120"/>
      <c r="Z148" s="1120"/>
      <c r="AA148" s="1120"/>
      <c r="AB148" s="1120"/>
      <c r="AC148" s="1116"/>
    </row>
    <row r="149" spans="1:29" x14ac:dyDescent="0.35">
      <c r="A149" s="1120">
        <v>1839</v>
      </c>
      <c r="B149" s="1120"/>
      <c r="C149" s="1121">
        <v>524</v>
      </c>
      <c r="D149" s="1121">
        <v>1263</v>
      </c>
      <c r="E149" s="1122">
        <v>1.2529981944656094</v>
      </c>
      <c r="F149" s="1120"/>
      <c r="G149" s="1120"/>
      <c r="H149" s="1123">
        <f t="shared" si="12"/>
        <v>41.48851939825812</v>
      </c>
      <c r="I149" s="1123">
        <f t="shared" si="9"/>
        <v>67.422441324080722</v>
      </c>
      <c r="J149" s="1120"/>
      <c r="K149" s="1120"/>
      <c r="L149" s="1120"/>
      <c r="M149" s="1124">
        <v>930.68906977313986</v>
      </c>
      <c r="N149" s="1125">
        <v>209.85369274593137</v>
      </c>
      <c r="O149" s="1126">
        <v>105.28254892701439</v>
      </c>
      <c r="P149" s="1120"/>
      <c r="Q149" s="1127">
        <v>2399.9411506926208</v>
      </c>
      <c r="R149" s="1120"/>
      <c r="S149" s="1120"/>
      <c r="T149" s="1127">
        <f t="shared" si="10"/>
        <v>930.68906977313986</v>
      </c>
      <c r="U149" s="1128">
        <f t="shared" si="11"/>
        <v>105.28254892701439</v>
      </c>
      <c r="V149" s="1120"/>
      <c r="W149" s="1127">
        <f t="shared" si="8"/>
        <v>2399.9411506926208</v>
      </c>
      <c r="X149" s="1120"/>
      <c r="Y149" s="1120"/>
      <c r="Z149" s="1120"/>
      <c r="AA149" s="1120"/>
      <c r="AB149" s="1120"/>
      <c r="AC149" s="1116"/>
    </row>
    <row r="150" spans="1:29" x14ac:dyDescent="0.35">
      <c r="A150" s="1120">
        <v>1840</v>
      </c>
      <c r="B150" s="1120"/>
      <c r="C150" s="1121">
        <v>471</v>
      </c>
      <c r="D150" s="1121">
        <v>1286</v>
      </c>
      <c r="E150" s="1122">
        <v>1.294168135140908</v>
      </c>
      <c r="F150" s="1120"/>
      <c r="G150" s="1120"/>
      <c r="H150" s="1123">
        <f t="shared" si="12"/>
        <v>36.625194401244165</v>
      </c>
      <c r="I150" s="1123">
        <f t="shared" si="9"/>
        <v>59.519116524669464</v>
      </c>
      <c r="J150" s="1120"/>
      <c r="K150" s="1120"/>
      <c r="L150" s="1120"/>
      <c r="M150" s="1124">
        <v>883.42485794992626</v>
      </c>
      <c r="N150" s="1125">
        <v>211.85229934351165</v>
      </c>
      <c r="O150" s="1126">
        <v>104.05712765194987</v>
      </c>
      <c r="P150" s="1120"/>
      <c r="Q150" s="1127">
        <v>2422.7977330801696</v>
      </c>
      <c r="R150" s="1120"/>
      <c r="S150" s="1120"/>
      <c r="T150" s="1127">
        <f t="shared" si="10"/>
        <v>883.42485794992626</v>
      </c>
      <c r="U150" s="1128">
        <f t="shared" si="11"/>
        <v>104.05712765194987</v>
      </c>
      <c r="V150" s="1120"/>
      <c r="W150" s="1127">
        <f t="shared" si="8"/>
        <v>2422.7977330801696</v>
      </c>
      <c r="X150" s="1120"/>
      <c r="Y150" s="1120"/>
      <c r="Z150" s="1120"/>
      <c r="AA150" s="1120"/>
      <c r="AB150" s="1120"/>
      <c r="AC150" s="1116"/>
    </row>
    <row r="151" spans="1:29" x14ac:dyDescent="0.35">
      <c r="A151" s="1120">
        <v>1841</v>
      </c>
      <c r="B151" s="1120"/>
      <c r="C151" s="1121">
        <v>482</v>
      </c>
      <c r="D151" s="1121">
        <v>1254</v>
      </c>
      <c r="E151" s="1122">
        <v>1.281638153196252</v>
      </c>
      <c r="F151" s="1120"/>
      <c r="G151" s="1120"/>
      <c r="H151" s="1123">
        <f t="shared" si="12"/>
        <v>38.43700159489633</v>
      </c>
      <c r="I151" s="1123">
        <f t="shared" si="9"/>
        <v>62.46346030883663</v>
      </c>
      <c r="J151" s="1120"/>
      <c r="K151" s="1120"/>
      <c r="L151" s="1120"/>
      <c r="M151" s="1124">
        <v>953.60695268172935</v>
      </c>
      <c r="N151" s="1125">
        <v>217.65647192826538</v>
      </c>
      <c r="O151" s="1126">
        <v>105.56881087624006</v>
      </c>
      <c r="P151" s="1120"/>
      <c r="Q151" s="1127">
        <v>2489.1757531645571</v>
      </c>
      <c r="R151" s="1120"/>
      <c r="S151" s="1120"/>
      <c r="T151" s="1127">
        <f t="shared" si="10"/>
        <v>953.60695268172935</v>
      </c>
      <c r="U151" s="1128">
        <f t="shared" si="11"/>
        <v>105.56881087624006</v>
      </c>
      <c r="V151" s="1120"/>
      <c r="W151" s="1127">
        <f t="shared" si="8"/>
        <v>2489.1757531645571</v>
      </c>
      <c r="X151" s="1120"/>
      <c r="Y151" s="1120"/>
      <c r="Z151" s="1120"/>
      <c r="AA151" s="1120"/>
      <c r="AB151" s="1120"/>
      <c r="AC151" s="1116"/>
    </row>
    <row r="152" spans="1:29" x14ac:dyDescent="0.35">
      <c r="A152" s="1120">
        <v>1842</v>
      </c>
      <c r="B152" s="1120"/>
      <c r="C152" s="1121">
        <v>484</v>
      </c>
      <c r="D152" s="1121">
        <v>1161</v>
      </c>
      <c r="E152" s="1122">
        <v>1.2583681867276051</v>
      </c>
      <c r="F152" s="1120"/>
      <c r="G152" s="1120"/>
      <c r="H152" s="1123">
        <f t="shared" si="12"/>
        <v>41.688199827734714</v>
      </c>
      <c r="I152" s="1123">
        <f t="shared" si="9"/>
        <v>67.746939335463551</v>
      </c>
      <c r="J152" s="1120"/>
      <c r="K152" s="1120"/>
      <c r="L152" s="1120"/>
      <c r="M152" s="1124">
        <v>875.3274617856141</v>
      </c>
      <c r="N152" s="1125">
        <v>226.52231599866323</v>
      </c>
      <c r="O152" s="1126">
        <v>101.94670651541632</v>
      </c>
      <c r="P152" s="1120"/>
      <c r="Q152" s="1127">
        <v>2590.567840869835</v>
      </c>
      <c r="R152" s="1120"/>
      <c r="S152" s="1120"/>
      <c r="T152" s="1127">
        <f t="shared" si="10"/>
        <v>875.3274617856141</v>
      </c>
      <c r="U152" s="1128">
        <f t="shared" si="11"/>
        <v>101.94670651541632</v>
      </c>
      <c r="V152" s="1120"/>
      <c r="W152" s="1127">
        <f t="shared" si="8"/>
        <v>2590.567840869835</v>
      </c>
      <c r="X152" s="1120"/>
      <c r="Y152" s="1120"/>
      <c r="Z152" s="1120"/>
      <c r="AA152" s="1120"/>
      <c r="AB152" s="1120"/>
      <c r="AC152" s="1116"/>
    </row>
    <row r="153" spans="1:29" x14ac:dyDescent="0.35">
      <c r="A153" s="1120">
        <v>1843</v>
      </c>
      <c r="B153" s="1120"/>
      <c r="C153" s="1121">
        <v>475</v>
      </c>
      <c r="D153" s="1121">
        <v>1030</v>
      </c>
      <c r="E153" s="1122">
        <v>1.1867682899009988</v>
      </c>
      <c r="F153" s="1120"/>
      <c r="G153" s="1120"/>
      <c r="H153" s="1123">
        <f t="shared" si="12"/>
        <v>46.116504854368934</v>
      </c>
      <c r="I153" s="1123">
        <f t="shared" si="9"/>
        <v>74.943318964183518</v>
      </c>
      <c r="J153" s="1120"/>
      <c r="K153" s="1120"/>
      <c r="L153" s="1120"/>
      <c r="M153" s="1124">
        <v>927.83323720351882</v>
      </c>
      <c r="N153" s="1125">
        <v>227.02678330092283</v>
      </c>
      <c r="O153" s="1126">
        <v>105.12927108535553</v>
      </c>
      <c r="P153" s="1120"/>
      <c r="Q153" s="1127">
        <v>2529.3936064968216</v>
      </c>
      <c r="R153" s="1120"/>
      <c r="S153" s="1120"/>
      <c r="T153" s="1127">
        <f t="shared" si="10"/>
        <v>927.83323720351882</v>
      </c>
      <c r="U153" s="1128">
        <f t="shared" si="11"/>
        <v>105.12927108535553</v>
      </c>
      <c r="V153" s="1120"/>
      <c r="W153" s="1127">
        <f t="shared" si="8"/>
        <v>2529.3936064968216</v>
      </c>
      <c r="X153" s="1120"/>
      <c r="Y153" s="1120"/>
      <c r="Z153" s="1120"/>
      <c r="AA153" s="1120"/>
      <c r="AB153" s="1120"/>
      <c r="AC153" s="1116"/>
    </row>
    <row r="154" spans="1:29" x14ac:dyDescent="0.35">
      <c r="A154" s="1120">
        <v>1844</v>
      </c>
      <c r="B154" s="1120"/>
      <c r="C154" s="1121">
        <v>443</v>
      </c>
      <c r="D154" s="1121">
        <v>1029</v>
      </c>
      <c r="E154" s="1122">
        <v>1.091003427895413</v>
      </c>
      <c r="F154" s="1120"/>
      <c r="G154" s="1120"/>
      <c r="H154" s="1123">
        <f t="shared" si="12"/>
        <v>43.051506316812436</v>
      </c>
      <c r="I154" s="1123">
        <f t="shared" si="9"/>
        <v>69.962430587013031</v>
      </c>
      <c r="J154" s="1120"/>
      <c r="K154" s="1120"/>
      <c r="L154" s="1120"/>
      <c r="M154" s="1124">
        <v>841.3813109681073</v>
      </c>
      <c r="N154" s="1125">
        <v>210.79319601096876</v>
      </c>
      <c r="O154" s="1126">
        <v>102.9045690402146</v>
      </c>
      <c r="P154" s="1120"/>
      <c r="Q154" s="1127">
        <v>2136.736661643778</v>
      </c>
      <c r="R154" s="1120"/>
      <c r="S154" s="1120"/>
      <c r="T154" s="1127">
        <f t="shared" si="10"/>
        <v>841.3813109681073</v>
      </c>
      <c r="U154" s="1128">
        <f t="shared" si="11"/>
        <v>102.9045690402146</v>
      </c>
      <c r="V154" s="1120"/>
      <c r="W154" s="1127">
        <f t="shared" si="8"/>
        <v>2136.736661643778</v>
      </c>
      <c r="X154" s="1120"/>
      <c r="Y154" s="1120"/>
      <c r="Z154" s="1120"/>
      <c r="AA154" s="1120"/>
      <c r="AB154" s="1120"/>
      <c r="AC154" s="1116"/>
    </row>
    <row r="155" spans="1:29" x14ac:dyDescent="0.35">
      <c r="A155" s="1120">
        <v>1845</v>
      </c>
      <c r="B155" s="1120"/>
      <c r="C155" s="1121">
        <v>433</v>
      </c>
      <c r="D155" s="1121">
        <v>1079</v>
      </c>
      <c r="E155" s="1122">
        <v>1.1268033763087162</v>
      </c>
      <c r="F155" s="1120"/>
      <c r="G155" s="1120"/>
      <c r="H155" s="1123">
        <f t="shared" si="12"/>
        <v>40.129749768303988</v>
      </c>
      <c r="I155" s="1123">
        <f t="shared" si="9"/>
        <v>65.214322861979809</v>
      </c>
      <c r="J155" s="1120"/>
      <c r="K155" s="1120"/>
      <c r="L155" s="1120"/>
      <c r="M155" s="1124">
        <v>1009.5874955648219</v>
      </c>
      <c r="N155" s="1125">
        <v>237.31472228972888</v>
      </c>
      <c r="O155" s="1126">
        <v>104.40756565396244</v>
      </c>
      <c r="P155" s="1120"/>
      <c r="Q155" s="1127">
        <v>2164.79009702641</v>
      </c>
      <c r="R155" s="1120"/>
      <c r="S155" s="1120"/>
      <c r="T155" s="1127">
        <f t="shared" si="10"/>
        <v>1009.5874955648219</v>
      </c>
      <c r="U155" s="1128">
        <f t="shared" si="11"/>
        <v>104.40756565396244</v>
      </c>
      <c r="V155" s="1120"/>
      <c r="W155" s="1127">
        <f t="shared" si="8"/>
        <v>2164.79009702641</v>
      </c>
      <c r="X155" s="1120"/>
      <c r="Y155" s="1120"/>
      <c r="Z155" s="1120"/>
      <c r="AA155" s="1120"/>
      <c r="AB155" s="1120"/>
      <c r="AC155" s="1116"/>
    </row>
    <row r="156" spans="1:29" x14ac:dyDescent="0.35">
      <c r="A156" s="1120">
        <v>1846</v>
      </c>
      <c r="B156" s="1120"/>
      <c r="C156" s="1121">
        <v>421</v>
      </c>
      <c r="D156" s="1121">
        <v>1122</v>
      </c>
      <c r="E156" s="1122">
        <v>1.1303833711500464</v>
      </c>
      <c r="F156" s="1120"/>
      <c r="G156" s="1120"/>
      <c r="H156" s="1123">
        <f t="shared" si="12"/>
        <v>37.5222816399287</v>
      </c>
      <c r="I156" s="1123">
        <f t="shared" si="9"/>
        <v>60.976961070342234</v>
      </c>
      <c r="J156" s="1120"/>
      <c r="K156" s="1120"/>
      <c r="L156" s="1120"/>
      <c r="M156" s="1124">
        <v>759.94443013046384</v>
      </c>
      <c r="N156" s="1125">
        <v>209.16649582720561</v>
      </c>
      <c r="O156" s="1126">
        <v>89.655808177075102</v>
      </c>
      <c r="P156" s="1120"/>
      <c r="Q156" s="1127">
        <v>1908.0213584205769</v>
      </c>
      <c r="R156" s="1120"/>
      <c r="S156" s="1120"/>
      <c r="T156" s="1127">
        <f t="shared" si="10"/>
        <v>759.94443013046384</v>
      </c>
      <c r="U156" s="1128">
        <f t="shared" si="11"/>
        <v>89.655808177075102</v>
      </c>
      <c r="V156" s="1120"/>
      <c r="W156" s="1127">
        <f t="shared" si="8"/>
        <v>1908.0213584205769</v>
      </c>
      <c r="X156" s="1120"/>
      <c r="Y156" s="1120"/>
      <c r="Z156" s="1120"/>
      <c r="AA156" s="1120"/>
      <c r="AB156" s="1120"/>
      <c r="AC156" s="1116"/>
    </row>
    <row r="157" spans="1:29" x14ac:dyDescent="0.35">
      <c r="A157" s="1120">
        <v>1847</v>
      </c>
      <c r="B157" s="1120"/>
      <c r="C157" s="1121">
        <v>472</v>
      </c>
      <c r="D157" s="1121">
        <v>1257</v>
      </c>
      <c r="E157" s="1122">
        <v>1.2646331776999333</v>
      </c>
      <c r="F157" s="1120"/>
      <c r="G157" s="1120"/>
      <c r="H157" s="1123">
        <f t="shared" si="12"/>
        <v>37.5497215592681</v>
      </c>
      <c r="I157" s="1123">
        <f t="shared" si="9"/>
        <v>61.021553318473316</v>
      </c>
      <c r="J157" s="1120"/>
      <c r="K157" s="1120"/>
      <c r="L157" s="1120"/>
      <c r="M157" s="1124">
        <v>638.85515331400734</v>
      </c>
      <c r="N157" s="1125">
        <v>171.51787519283843</v>
      </c>
      <c r="O157" s="1126">
        <v>83.483583121490454</v>
      </c>
      <c r="P157" s="1120"/>
      <c r="Q157" s="1127">
        <v>1462.0331147897573</v>
      </c>
      <c r="R157" s="1120"/>
      <c r="S157" s="1120"/>
      <c r="T157" s="1127">
        <f t="shared" si="10"/>
        <v>638.85515331400734</v>
      </c>
      <c r="U157" s="1128">
        <f t="shared" si="11"/>
        <v>83.483583121490454</v>
      </c>
      <c r="V157" s="1120"/>
      <c r="W157" s="1127">
        <f t="shared" si="8"/>
        <v>1462.0331147897573</v>
      </c>
      <c r="X157" s="1120"/>
      <c r="Y157" s="1120"/>
      <c r="Z157" s="1120"/>
      <c r="AA157" s="1120"/>
      <c r="AB157" s="1120"/>
      <c r="AC157" s="1116"/>
    </row>
    <row r="158" spans="1:29" x14ac:dyDescent="0.35">
      <c r="A158" s="1120">
        <v>1848</v>
      </c>
      <c r="B158" s="1120"/>
      <c r="C158" s="1121">
        <v>444</v>
      </c>
      <c r="D158" s="1121">
        <v>1105</v>
      </c>
      <c r="E158" s="1122">
        <v>1.3550280474435237</v>
      </c>
      <c r="F158" s="1120"/>
      <c r="G158" s="1120"/>
      <c r="H158" s="1123">
        <f t="shared" si="12"/>
        <v>40.180995475113122</v>
      </c>
      <c r="I158" s="1123">
        <f t="shared" si="9"/>
        <v>65.297601578852863</v>
      </c>
      <c r="J158" s="1120"/>
      <c r="K158" s="1120"/>
      <c r="L158" s="1120"/>
      <c r="M158" s="1124">
        <v>770.31560936069468</v>
      </c>
      <c r="N158" s="1125">
        <v>187.06042474120954</v>
      </c>
      <c r="O158" s="1126">
        <v>92.293783489803914</v>
      </c>
      <c r="P158" s="1120"/>
      <c r="Q158" s="1127">
        <v>1743.0199518562367</v>
      </c>
      <c r="R158" s="1120"/>
      <c r="S158" s="1120"/>
      <c r="T158" s="1127">
        <f t="shared" si="10"/>
        <v>770.31560936069468</v>
      </c>
      <c r="U158" s="1128">
        <f t="shared" si="11"/>
        <v>92.293783489803914</v>
      </c>
      <c r="V158" s="1120"/>
      <c r="W158" s="1127">
        <f t="shared" si="8"/>
        <v>1743.0199518562367</v>
      </c>
      <c r="X158" s="1120"/>
      <c r="Y158" s="1120"/>
      <c r="Z158" s="1120"/>
      <c r="AA158" s="1120"/>
      <c r="AB158" s="1120"/>
      <c r="AC158" s="1116"/>
    </row>
    <row r="159" spans="1:29" x14ac:dyDescent="0.35">
      <c r="A159" s="1120">
        <v>1849</v>
      </c>
      <c r="B159" s="1120"/>
      <c r="C159" s="1121">
        <v>419</v>
      </c>
      <c r="D159" s="1121">
        <v>1035</v>
      </c>
      <c r="E159" s="1122">
        <v>1.1599183285910215</v>
      </c>
      <c r="F159" s="1120"/>
      <c r="G159" s="1120"/>
      <c r="H159" s="1123">
        <f t="shared" si="12"/>
        <v>40.483091787439612</v>
      </c>
      <c r="I159" s="1123">
        <f t="shared" si="9"/>
        <v>65.788534279934254</v>
      </c>
      <c r="J159" s="1120"/>
      <c r="K159" s="1120"/>
      <c r="L159" s="1120"/>
      <c r="M159" s="1124">
        <v>722.8106249815429</v>
      </c>
      <c r="N159" s="1125">
        <v>205.5954682117077</v>
      </c>
      <c r="O159" s="1126">
        <v>87.859833653624875</v>
      </c>
      <c r="P159" s="1120"/>
      <c r="Q159" s="1127">
        <v>1206.6584227364772</v>
      </c>
      <c r="R159" s="1120"/>
      <c r="S159" s="1120"/>
      <c r="T159" s="1127">
        <f t="shared" si="10"/>
        <v>722.8106249815429</v>
      </c>
      <c r="U159" s="1128">
        <f t="shared" si="11"/>
        <v>87.859833653624875</v>
      </c>
      <c r="V159" s="1120"/>
      <c r="W159" s="1127">
        <f t="shared" si="8"/>
        <v>1206.6584227364772</v>
      </c>
      <c r="X159" s="1120"/>
      <c r="Y159" s="1120"/>
      <c r="Z159" s="1120"/>
      <c r="AA159" s="1120"/>
      <c r="AB159" s="1120"/>
      <c r="AC159" s="1116"/>
    </row>
    <row r="160" spans="1:29" x14ac:dyDescent="0.35">
      <c r="A160" s="1120">
        <v>1850</v>
      </c>
      <c r="B160" s="1120"/>
      <c r="C160" s="1121">
        <v>425</v>
      </c>
      <c r="D160" s="1121">
        <v>969</v>
      </c>
      <c r="E160" s="1122">
        <v>1.1124833969433949</v>
      </c>
      <c r="F160" s="1120"/>
      <c r="G160" s="1120"/>
      <c r="H160" s="1123">
        <f t="shared" si="12"/>
        <v>43.859649122807014</v>
      </c>
      <c r="I160" s="1123">
        <f t="shared" si="9"/>
        <v>71.275732717552174</v>
      </c>
      <c r="J160" s="1120"/>
      <c r="K160" s="1120"/>
      <c r="L160" s="1120"/>
      <c r="M160" s="1124">
        <v>689.72914374170432</v>
      </c>
      <c r="N160" s="1125">
        <v>221.60504432153374</v>
      </c>
      <c r="O160" s="1126">
        <v>90.469741966207934</v>
      </c>
      <c r="P160" s="1120"/>
      <c r="Q160" s="1127">
        <v>1281.9035624762801</v>
      </c>
      <c r="R160" s="1120"/>
      <c r="S160" s="1120"/>
      <c r="T160" s="1127">
        <f t="shared" si="10"/>
        <v>689.72914374170432</v>
      </c>
      <c r="U160" s="1128">
        <f t="shared" si="11"/>
        <v>90.469741966207934</v>
      </c>
      <c r="V160" s="1120"/>
      <c r="W160" s="1127">
        <f t="shared" si="8"/>
        <v>1281.9035624762801</v>
      </c>
      <c r="X160" s="1120"/>
      <c r="Y160" s="1120"/>
      <c r="Z160" s="1120"/>
      <c r="AA160" s="1120"/>
      <c r="AB160" s="1120"/>
      <c r="AC160" s="1116"/>
    </row>
    <row r="161" spans="1:29" x14ac:dyDescent="0.35">
      <c r="A161" s="1120">
        <v>1851</v>
      </c>
      <c r="B161" s="1120"/>
      <c r="C161" s="1121">
        <v>407</v>
      </c>
      <c r="D161" s="1121">
        <v>961</v>
      </c>
      <c r="E161" s="1122">
        <v>1.0650484652957681</v>
      </c>
      <c r="F161" s="1120"/>
      <c r="G161" s="1120"/>
      <c r="H161" s="1123">
        <f t="shared" si="12"/>
        <v>42.35171696149844</v>
      </c>
      <c r="I161" s="1123">
        <f t="shared" si="9"/>
        <v>68.82521220871979</v>
      </c>
      <c r="J161" s="1120"/>
      <c r="K161" s="1120"/>
      <c r="L161" s="1120"/>
      <c r="M161" s="1124">
        <v>814.96908480653781</v>
      </c>
      <c r="N161" s="1125">
        <v>236.89921933004373</v>
      </c>
      <c r="O161" s="1126">
        <v>91.892002547545445</v>
      </c>
      <c r="P161" s="1120"/>
      <c r="Q161" s="1127">
        <v>1341.2087094947562</v>
      </c>
      <c r="R161" s="1120"/>
      <c r="S161" s="1120"/>
      <c r="T161" s="1127">
        <f t="shared" si="10"/>
        <v>814.96908480653781</v>
      </c>
      <c r="U161" s="1128">
        <f t="shared" si="11"/>
        <v>91.892002547545445</v>
      </c>
      <c r="V161" s="1120"/>
      <c r="W161" s="1127">
        <f t="shared" si="8"/>
        <v>1341.2087094947562</v>
      </c>
      <c r="X161" s="1120"/>
      <c r="Y161" s="1120"/>
      <c r="Z161" s="1120"/>
      <c r="AA161" s="1120"/>
      <c r="AB161" s="1120"/>
      <c r="AC161" s="1116"/>
    </row>
    <row r="162" spans="1:29" x14ac:dyDescent="0.35">
      <c r="A162" s="1120">
        <v>1852</v>
      </c>
      <c r="B162" s="1120"/>
      <c r="C162" s="1121">
        <v>417</v>
      </c>
      <c r="D162" s="1121">
        <v>978</v>
      </c>
      <c r="E162" s="1122">
        <v>1.0426734975374536</v>
      </c>
      <c r="F162" s="1120"/>
      <c r="G162" s="1120"/>
      <c r="H162" s="1123">
        <f t="shared" si="12"/>
        <v>42.638036809815951</v>
      </c>
      <c r="I162" s="1123">
        <f t="shared" si="9"/>
        <v>69.290506787873127</v>
      </c>
      <c r="J162" s="1120"/>
      <c r="K162" s="1120"/>
      <c r="L162" s="1120"/>
      <c r="M162" s="1124">
        <v>637.29367946045375</v>
      </c>
      <c r="N162" s="1125">
        <v>234.77834474966684</v>
      </c>
      <c r="O162" s="1126">
        <v>92.794849384457663</v>
      </c>
      <c r="P162" s="1120"/>
      <c r="Q162" s="1127">
        <v>1319.2986488962417</v>
      </c>
      <c r="R162" s="1120"/>
      <c r="S162" s="1120"/>
      <c r="T162" s="1127">
        <f t="shared" si="10"/>
        <v>637.29367946045375</v>
      </c>
      <c r="U162" s="1128">
        <f t="shared" si="11"/>
        <v>92.794849384457663</v>
      </c>
      <c r="V162" s="1120"/>
      <c r="W162" s="1127">
        <f t="shared" si="8"/>
        <v>1319.2986488962417</v>
      </c>
      <c r="X162" s="1120"/>
      <c r="Y162" s="1120"/>
      <c r="Z162" s="1120"/>
      <c r="AA162" s="1120"/>
      <c r="AB162" s="1120"/>
      <c r="AC162" s="1116"/>
    </row>
    <row r="163" spans="1:29" x14ac:dyDescent="0.35">
      <c r="A163" s="1120">
        <v>1853</v>
      </c>
      <c r="B163" s="1120"/>
      <c r="C163" s="1121">
        <v>511</v>
      </c>
      <c r="D163" s="1121">
        <v>1135</v>
      </c>
      <c r="E163" s="1122">
        <v>1.0569934769027749</v>
      </c>
      <c r="F163" s="1120"/>
      <c r="G163" s="1120"/>
      <c r="H163" s="1123">
        <f t="shared" si="12"/>
        <v>45.022026431718061</v>
      </c>
      <c r="I163" s="1123">
        <f t="shared" si="9"/>
        <v>73.164696629573299</v>
      </c>
      <c r="J163" s="1120"/>
      <c r="K163" s="1120"/>
      <c r="L163" s="1120"/>
      <c r="M163" s="1124">
        <v>742.76517804289347</v>
      </c>
      <c r="N163" s="1125">
        <v>170.7179882967753</v>
      </c>
      <c r="O163" s="1126">
        <v>90.323867265077183</v>
      </c>
      <c r="P163" s="1120"/>
      <c r="Q163" s="1127">
        <v>1134.0410652999794</v>
      </c>
      <c r="R163" s="1120"/>
      <c r="S163" s="1120"/>
      <c r="T163" s="1127">
        <f t="shared" si="10"/>
        <v>742.76517804289347</v>
      </c>
      <c r="U163" s="1128">
        <f t="shared" si="11"/>
        <v>90.323867265077183</v>
      </c>
      <c r="V163" s="1120"/>
      <c r="W163" s="1127">
        <f t="shared" si="8"/>
        <v>1134.0410652999794</v>
      </c>
      <c r="X163" s="1120"/>
      <c r="Y163" s="1120"/>
      <c r="Z163" s="1120"/>
      <c r="AA163" s="1120"/>
      <c r="AB163" s="1120"/>
      <c r="AC163" s="1116"/>
    </row>
    <row r="164" spans="1:29" x14ac:dyDescent="0.35">
      <c r="A164" s="1120">
        <v>1854</v>
      </c>
      <c r="B164" s="1120"/>
      <c r="C164" s="1121">
        <v>600</v>
      </c>
      <c r="D164" s="1121">
        <v>1265</v>
      </c>
      <c r="E164" s="1122">
        <v>1.2225682383143019</v>
      </c>
      <c r="F164" s="1120"/>
      <c r="G164" s="1120"/>
      <c r="H164" s="1123">
        <f t="shared" si="12"/>
        <v>47.430830039525688</v>
      </c>
      <c r="I164" s="1123">
        <f t="shared" si="9"/>
        <v>77.079211349890414</v>
      </c>
      <c r="J164" s="1120"/>
      <c r="K164" s="1120"/>
      <c r="L164" s="1120"/>
      <c r="M164" s="1124">
        <v>703.12512640846921</v>
      </c>
      <c r="N164" s="1125">
        <v>191.33781425025933</v>
      </c>
      <c r="O164" s="1126">
        <v>88.921502168512461</v>
      </c>
      <c r="P164" s="1120"/>
      <c r="Q164" s="1127">
        <v>1043.9879428477186</v>
      </c>
      <c r="R164" s="1120"/>
      <c r="S164" s="1120"/>
      <c r="T164" s="1127">
        <f t="shared" si="10"/>
        <v>703.12512640846921</v>
      </c>
      <c r="U164" s="1128">
        <f t="shared" si="11"/>
        <v>88.921502168512461</v>
      </c>
      <c r="V164" s="1120"/>
      <c r="W164" s="1127">
        <f t="shared" ref="W164:W195" si="13">Q164</f>
        <v>1043.9879428477186</v>
      </c>
      <c r="X164" s="1120"/>
      <c r="Y164" s="1120"/>
      <c r="Z164" s="1120"/>
      <c r="AA164" s="1120"/>
      <c r="AB164" s="1120"/>
      <c r="AC164" s="1116"/>
    </row>
    <row r="165" spans="1:29" x14ac:dyDescent="0.35">
      <c r="A165" s="1120">
        <v>1855</v>
      </c>
      <c r="B165" s="1120"/>
      <c r="C165" s="1121">
        <v>567</v>
      </c>
      <c r="D165" s="1121">
        <v>1274</v>
      </c>
      <c r="E165" s="1122">
        <v>1.3192280990302205</v>
      </c>
      <c r="F165" s="1120"/>
      <c r="G165" s="1120"/>
      <c r="H165" s="1123">
        <f t="shared" si="12"/>
        <v>44.505494505494504</v>
      </c>
      <c r="I165" s="1123">
        <f t="shared" si="9"/>
        <v>72.32528746306339</v>
      </c>
      <c r="J165" s="1120"/>
      <c r="K165" s="1120"/>
      <c r="L165" s="1120"/>
      <c r="M165" s="1124">
        <v>711.33126559937284</v>
      </c>
      <c r="N165" s="1125">
        <v>162.38330765707789</v>
      </c>
      <c r="O165" s="1126">
        <v>83.925397131631215</v>
      </c>
      <c r="P165" s="1120"/>
      <c r="Q165" s="1127">
        <v>1026.9200200763664</v>
      </c>
      <c r="R165" s="1120"/>
      <c r="S165" s="1120"/>
      <c r="T165" s="1127">
        <f t="shared" si="10"/>
        <v>711.33126559937284</v>
      </c>
      <c r="U165" s="1128">
        <f t="shared" si="11"/>
        <v>83.925397131631215</v>
      </c>
      <c r="V165" s="1120"/>
      <c r="W165" s="1127">
        <f t="shared" si="13"/>
        <v>1026.9200200763664</v>
      </c>
      <c r="X165" s="1120"/>
      <c r="Y165" s="1120"/>
      <c r="Z165" s="1120"/>
      <c r="AA165" s="1120"/>
      <c r="AB165" s="1120"/>
      <c r="AC165" s="1116"/>
    </row>
    <row r="166" spans="1:29" x14ac:dyDescent="0.35">
      <c r="A166" s="1120">
        <v>1856</v>
      </c>
      <c r="B166" s="1120"/>
      <c r="C166" s="1121">
        <v>581</v>
      </c>
      <c r="D166" s="1121">
        <v>1264</v>
      </c>
      <c r="E166" s="1122">
        <v>1.3451830616298652</v>
      </c>
      <c r="F166" s="1120"/>
      <c r="G166" s="1120"/>
      <c r="H166" s="1123">
        <f t="shared" si="12"/>
        <v>45.965189873417721</v>
      </c>
      <c r="I166" s="1123">
        <f t="shared" si="9"/>
        <v>74.697419000227086</v>
      </c>
      <c r="J166" s="1120"/>
      <c r="K166" s="1120"/>
      <c r="L166" s="1120"/>
      <c r="M166" s="1124">
        <v>674.91091456486242</v>
      </c>
      <c r="N166" s="1125">
        <v>177.45620026606807</v>
      </c>
      <c r="O166" s="1126">
        <v>80.776541791319488</v>
      </c>
      <c r="P166" s="1120"/>
      <c r="Q166" s="1127">
        <v>1028.7888463185434</v>
      </c>
      <c r="R166" s="1120"/>
      <c r="S166" s="1120"/>
      <c r="T166" s="1127">
        <f t="shared" si="10"/>
        <v>674.91091456486242</v>
      </c>
      <c r="U166" s="1128">
        <f t="shared" si="11"/>
        <v>80.776541791319488</v>
      </c>
      <c r="V166" s="1120"/>
      <c r="W166" s="1127">
        <f t="shared" si="13"/>
        <v>1028.7888463185434</v>
      </c>
      <c r="X166" s="1120"/>
      <c r="Y166" s="1120"/>
      <c r="Z166" s="1120"/>
      <c r="AA166" s="1120"/>
      <c r="AB166" s="1120"/>
      <c r="AC166" s="1116"/>
    </row>
    <row r="167" spans="1:29" x14ac:dyDescent="0.35">
      <c r="A167" s="1120">
        <v>1857</v>
      </c>
      <c r="B167" s="1120"/>
      <c r="C167" s="1121">
        <v>687</v>
      </c>
      <c r="D167" s="1121">
        <v>1287</v>
      </c>
      <c r="E167" s="1122">
        <v>1.3523430513125256</v>
      </c>
      <c r="F167" s="1120"/>
      <c r="G167" s="1120"/>
      <c r="H167" s="1123">
        <f t="shared" si="12"/>
        <v>53.379953379953385</v>
      </c>
      <c r="I167" s="1123">
        <f t="shared" si="9"/>
        <v>86.747052602536954</v>
      </c>
      <c r="J167" s="1120"/>
      <c r="K167" s="1120"/>
      <c r="L167" s="1120"/>
      <c r="M167" s="1124">
        <v>570.47284266964721</v>
      </c>
      <c r="N167" s="1125">
        <v>208.01269342126341</v>
      </c>
      <c r="O167" s="1126">
        <v>84.059889200811881</v>
      </c>
      <c r="P167" s="1127">
        <v>3946.2351499798056</v>
      </c>
      <c r="Q167" s="1127">
        <v>1062.6305846842852</v>
      </c>
      <c r="R167" s="1120"/>
      <c r="S167" s="1120"/>
      <c r="T167" s="1127">
        <f t="shared" si="10"/>
        <v>570.47284266964721</v>
      </c>
      <c r="U167" s="1128">
        <f t="shared" si="11"/>
        <v>84.059889200811881</v>
      </c>
      <c r="V167" s="1127">
        <f t="shared" ref="V167:V198" si="14">P167</f>
        <v>3946.2351499798056</v>
      </c>
      <c r="W167" s="1127">
        <f t="shared" si="13"/>
        <v>1062.6305846842852</v>
      </c>
      <c r="X167" s="1120"/>
      <c r="Y167" s="1120"/>
      <c r="Z167" s="1120"/>
      <c r="AA167" s="1120"/>
      <c r="AB167" s="1120"/>
      <c r="AC167" s="1116"/>
    </row>
    <row r="168" spans="1:29" x14ac:dyDescent="0.35">
      <c r="A168" s="1120">
        <v>1858</v>
      </c>
      <c r="B168" s="1120"/>
      <c r="C168" s="1121">
        <v>621</v>
      </c>
      <c r="D168" s="1121">
        <v>1190</v>
      </c>
      <c r="E168" s="1122">
        <v>1.3210180964508855</v>
      </c>
      <c r="F168" s="1120"/>
      <c r="G168" s="1120"/>
      <c r="H168" s="1123">
        <f t="shared" si="12"/>
        <v>52.184873949579838</v>
      </c>
      <c r="I168" s="1123">
        <f t="shared" si="9"/>
        <v>84.804944907670418</v>
      </c>
      <c r="J168" s="1120"/>
      <c r="K168" s="1120"/>
      <c r="L168" s="1120"/>
      <c r="M168" s="1124">
        <v>638.28376280371754</v>
      </c>
      <c r="N168" s="1125">
        <v>182.97762363570257</v>
      </c>
      <c r="O168" s="1126">
        <v>88.828883188453133</v>
      </c>
      <c r="P168" s="1127">
        <v>3513.1143794406744</v>
      </c>
      <c r="Q168" s="1127">
        <v>1186.3997293851828</v>
      </c>
      <c r="R168" s="1120"/>
      <c r="S168" s="1120"/>
      <c r="T168" s="1127">
        <f t="shared" si="10"/>
        <v>638.28376280371754</v>
      </c>
      <c r="U168" s="1128">
        <f t="shared" si="11"/>
        <v>88.828883188453133</v>
      </c>
      <c r="V168" s="1127">
        <f t="shared" si="14"/>
        <v>3513.1143794406744</v>
      </c>
      <c r="W168" s="1127">
        <f t="shared" si="13"/>
        <v>1186.3997293851828</v>
      </c>
      <c r="X168" s="1120"/>
      <c r="Y168" s="1120"/>
      <c r="Z168" s="1120"/>
      <c r="AA168" s="1120"/>
      <c r="AB168" s="1120"/>
      <c r="AC168" s="1116"/>
    </row>
    <row r="169" spans="1:29" x14ac:dyDescent="0.35">
      <c r="A169" s="1120">
        <v>1859</v>
      </c>
      <c r="B169" s="1120"/>
      <c r="C169" s="1121">
        <v>623</v>
      </c>
      <c r="D169" s="1121">
        <v>1214</v>
      </c>
      <c r="E169" s="1122">
        <v>1.1867682899009988</v>
      </c>
      <c r="F169" s="1120"/>
      <c r="G169" s="1120"/>
      <c r="H169" s="1123">
        <f t="shared" si="12"/>
        <v>51.317957166392091</v>
      </c>
      <c r="I169" s="1123">
        <f t="shared" si="9"/>
        <v>83.396129968138226</v>
      </c>
      <c r="J169" s="1120"/>
      <c r="K169" s="1120"/>
      <c r="L169" s="1120"/>
      <c r="M169" s="1124">
        <v>692.05411572556307</v>
      </c>
      <c r="N169" s="1125">
        <v>241.42013124759384</v>
      </c>
      <c r="O169" s="1126">
        <v>85.748781675865615</v>
      </c>
      <c r="P169" s="1127">
        <v>3491.5594378828987</v>
      </c>
      <c r="Q169" s="1127">
        <v>1178.9769990657758</v>
      </c>
      <c r="R169" s="1120"/>
      <c r="S169" s="1120"/>
      <c r="T169" s="1127">
        <f t="shared" si="10"/>
        <v>692.05411572556307</v>
      </c>
      <c r="U169" s="1128">
        <f t="shared" si="11"/>
        <v>85.748781675865615</v>
      </c>
      <c r="V169" s="1127">
        <f t="shared" si="14"/>
        <v>3491.5594378828987</v>
      </c>
      <c r="W169" s="1127">
        <f t="shared" si="13"/>
        <v>1178.9769990657758</v>
      </c>
      <c r="X169" s="1120"/>
      <c r="Y169" s="1120"/>
      <c r="Z169" s="1120"/>
      <c r="AA169" s="1120"/>
      <c r="AB169" s="1120"/>
      <c r="AC169" s="1116"/>
    </row>
    <row r="170" spans="1:29" x14ac:dyDescent="0.35">
      <c r="A170" s="1120">
        <v>1860</v>
      </c>
      <c r="B170" s="1120"/>
      <c r="C170" s="1121">
        <v>648</v>
      </c>
      <c r="D170" s="1121">
        <v>1314</v>
      </c>
      <c r="E170" s="1122">
        <v>1.1984032731353222</v>
      </c>
      <c r="F170" s="1120"/>
      <c r="G170" s="1120"/>
      <c r="H170" s="1123">
        <f t="shared" si="12"/>
        <v>49.315068493150683</v>
      </c>
      <c r="I170" s="1123">
        <f t="shared" si="9"/>
        <v>80.141262211735381</v>
      </c>
      <c r="J170" s="1120"/>
      <c r="K170" s="1120"/>
      <c r="L170" s="1120"/>
      <c r="M170" s="1124">
        <v>870.55627257698154</v>
      </c>
      <c r="N170" s="1125">
        <v>223.26123998692617</v>
      </c>
      <c r="O170" s="1126">
        <v>81.546669995958808</v>
      </c>
      <c r="P170" s="1127">
        <v>3401.1447711147048</v>
      </c>
      <c r="Q170" s="1127">
        <v>1090.2979190974725</v>
      </c>
      <c r="R170" s="1120"/>
      <c r="S170" s="1120"/>
      <c r="T170" s="1127">
        <f t="shared" si="10"/>
        <v>870.55627257698154</v>
      </c>
      <c r="U170" s="1128">
        <f t="shared" si="11"/>
        <v>81.546669995958808</v>
      </c>
      <c r="V170" s="1127">
        <f t="shared" si="14"/>
        <v>3401.1447711147048</v>
      </c>
      <c r="W170" s="1127">
        <f t="shared" si="13"/>
        <v>1090.2979190974725</v>
      </c>
      <c r="X170" s="1120"/>
      <c r="Y170" s="1120"/>
      <c r="Z170" s="1120"/>
      <c r="AA170" s="1120"/>
      <c r="AB170" s="1120"/>
      <c r="AC170" s="1116"/>
    </row>
    <row r="171" spans="1:29" x14ac:dyDescent="0.35">
      <c r="A171" s="1120">
        <v>1861</v>
      </c>
      <c r="B171" s="1120"/>
      <c r="C171" s="1121">
        <v>569</v>
      </c>
      <c r="D171" s="1121">
        <v>1302</v>
      </c>
      <c r="E171" s="1122">
        <v>1.292378137720243</v>
      </c>
      <c r="F171" s="1120"/>
      <c r="G171" s="1120"/>
      <c r="H171" s="1123">
        <f t="shared" si="12"/>
        <v>43.701996927803378</v>
      </c>
      <c r="I171" s="1123">
        <f t="shared" si="9"/>
        <v>71.019534231286329</v>
      </c>
      <c r="J171" s="1120"/>
      <c r="K171" s="1120"/>
      <c r="L171" s="1120"/>
      <c r="M171" s="1124">
        <v>777.17969935605879</v>
      </c>
      <c r="N171" s="1125">
        <v>218.62314057265576</v>
      </c>
      <c r="O171" s="1126">
        <v>83.088771154172207</v>
      </c>
      <c r="P171" s="1127">
        <v>1763.3800941473517</v>
      </c>
      <c r="Q171" s="1127">
        <v>1201.1036920369113</v>
      </c>
      <c r="R171" s="1120"/>
      <c r="S171" s="1120"/>
      <c r="T171" s="1127">
        <f t="shared" si="10"/>
        <v>777.17969935605879</v>
      </c>
      <c r="U171" s="1128">
        <f t="shared" si="11"/>
        <v>83.088771154172207</v>
      </c>
      <c r="V171" s="1127">
        <f t="shared" si="14"/>
        <v>1763.3800941473517</v>
      </c>
      <c r="W171" s="1127">
        <f t="shared" si="13"/>
        <v>1201.1036920369113</v>
      </c>
      <c r="X171" s="1120"/>
      <c r="Y171" s="1120"/>
      <c r="Z171" s="1120"/>
      <c r="AA171" s="1120"/>
      <c r="AB171" s="1120"/>
      <c r="AC171" s="1116"/>
    </row>
    <row r="172" spans="1:29" x14ac:dyDescent="0.35">
      <c r="A172" s="1120">
        <v>1862</v>
      </c>
      <c r="B172" s="1120"/>
      <c r="C172" s="1121">
        <v>536</v>
      </c>
      <c r="D172" s="1121">
        <v>1290</v>
      </c>
      <c r="E172" s="1122">
        <v>1.3075931157958967</v>
      </c>
      <c r="F172" s="1120"/>
      <c r="G172" s="1120"/>
      <c r="H172" s="1123">
        <f t="shared" si="12"/>
        <v>41.550387596899228</v>
      </c>
      <c r="I172" s="1123">
        <f t="shared" si="9"/>
        <v>67.522982511214096</v>
      </c>
      <c r="J172" s="1120"/>
      <c r="K172" s="1120"/>
      <c r="L172" s="1120"/>
      <c r="M172" s="1124">
        <v>596.7823638662594</v>
      </c>
      <c r="N172" s="1125">
        <v>219.24422904019173</v>
      </c>
      <c r="O172" s="1126">
        <v>78.253599444089829</v>
      </c>
      <c r="P172" s="1127">
        <v>1744.5416607256111</v>
      </c>
      <c r="Q172" s="1127">
        <v>1204.5159184347431</v>
      </c>
      <c r="R172" s="1120"/>
      <c r="S172" s="1120"/>
      <c r="T172" s="1127">
        <f t="shared" si="10"/>
        <v>596.7823638662594</v>
      </c>
      <c r="U172" s="1128">
        <f t="shared" si="11"/>
        <v>78.253599444089829</v>
      </c>
      <c r="V172" s="1127">
        <f t="shared" si="14"/>
        <v>1744.5416607256111</v>
      </c>
      <c r="W172" s="1127">
        <f t="shared" si="13"/>
        <v>1204.5159184347431</v>
      </c>
      <c r="X172" s="1120"/>
      <c r="Y172" s="1120"/>
      <c r="Z172" s="1120"/>
      <c r="AA172" s="1120"/>
      <c r="AB172" s="1120"/>
      <c r="AC172" s="1116"/>
    </row>
    <row r="173" spans="1:29" x14ac:dyDescent="0.35">
      <c r="A173" s="1120">
        <v>1863</v>
      </c>
      <c r="B173" s="1120"/>
      <c r="C173" s="1121">
        <v>557</v>
      </c>
      <c r="D173" s="1121">
        <v>1144</v>
      </c>
      <c r="E173" s="1122">
        <v>1.2995381274029034</v>
      </c>
      <c r="F173" s="1120"/>
      <c r="G173" s="1120"/>
      <c r="H173" s="1123">
        <f t="shared" si="12"/>
        <v>48.688811188811187</v>
      </c>
      <c r="I173" s="1123">
        <f t="shared" si="9"/>
        <v>79.123539791942804</v>
      </c>
      <c r="J173" s="1120"/>
      <c r="K173" s="1120"/>
      <c r="L173" s="1120"/>
      <c r="M173" s="1124">
        <v>559.58008870620972</v>
      </c>
      <c r="N173" s="1125">
        <v>220.90106979597786</v>
      </c>
      <c r="O173" s="1126">
        <v>84.240902278659831</v>
      </c>
      <c r="P173" s="1127">
        <v>2735.8761638227547</v>
      </c>
      <c r="Q173" s="1127">
        <v>1265.640606832924</v>
      </c>
      <c r="R173" s="1120"/>
      <c r="S173" s="1120"/>
      <c r="T173" s="1127">
        <f t="shared" si="10"/>
        <v>559.58008870620972</v>
      </c>
      <c r="U173" s="1128">
        <f t="shared" si="11"/>
        <v>84.240902278659831</v>
      </c>
      <c r="V173" s="1127">
        <f t="shared" si="14"/>
        <v>2735.8761638227547</v>
      </c>
      <c r="W173" s="1127">
        <f t="shared" si="13"/>
        <v>1265.640606832924</v>
      </c>
      <c r="X173" s="1120"/>
      <c r="Y173" s="1120"/>
      <c r="Z173" s="1120"/>
      <c r="AA173" s="1120"/>
      <c r="AB173" s="1120"/>
      <c r="AC173" s="1116"/>
    </row>
    <row r="174" spans="1:29" x14ac:dyDescent="0.35">
      <c r="A174" s="1120">
        <v>1864</v>
      </c>
      <c r="B174" s="1120"/>
      <c r="C174" s="1121">
        <v>577</v>
      </c>
      <c r="D174" s="1121">
        <v>1200</v>
      </c>
      <c r="E174" s="1122">
        <v>1.247628202203614</v>
      </c>
      <c r="F174" s="1120"/>
      <c r="G174" s="1120"/>
      <c r="H174" s="1123">
        <f t="shared" si="12"/>
        <v>48.083333333333336</v>
      </c>
      <c r="I174" s="1123">
        <f t="shared" si="9"/>
        <v>78.139585778252453</v>
      </c>
      <c r="J174" s="1120"/>
      <c r="K174" s="1120"/>
      <c r="L174" s="1120"/>
      <c r="M174" s="1124">
        <v>569.47666223070007</v>
      </c>
      <c r="N174" s="1125">
        <v>271.2571983455361</v>
      </c>
      <c r="O174" s="1126">
        <v>87.037951457974046</v>
      </c>
      <c r="P174" s="1127">
        <v>2993.1534424347665</v>
      </c>
      <c r="Q174" s="1127">
        <v>1286.116086822132</v>
      </c>
      <c r="R174" s="1120"/>
      <c r="S174" s="1120"/>
      <c r="T174" s="1127">
        <f t="shared" si="10"/>
        <v>569.47666223070007</v>
      </c>
      <c r="U174" s="1128">
        <f t="shared" si="11"/>
        <v>87.037951457974046</v>
      </c>
      <c r="V174" s="1127">
        <f t="shared" si="14"/>
        <v>2993.1534424347665</v>
      </c>
      <c r="W174" s="1127">
        <f t="shared" si="13"/>
        <v>1286.116086822132</v>
      </c>
      <c r="X174" s="1120"/>
      <c r="Y174" s="1120"/>
      <c r="Z174" s="1120"/>
      <c r="AA174" s="1120"/>
      <c r="AB174" s="1120"/>
      <c r="AC174" s="1116"/>
    </row>
    <row r="175" spans="1:29" x14ac:dyDescent="0.35">
      <c r="A175" s="1120">
        <v>1865</v>
      </c>
      <c r="B175" s="1120"/>
      <c r="C175" s="1121">
        <v>644</v>
      </c>
      <c r="D175" s="1121">
        <v>1238</v>
      </c>
      <c r="E175" s="1122">
        <v>1.2333082228382928</v>
      </c>
      <c r="F175" s="1120"/>
      <c r="G175" s="1120"/>
      <c r="H175" s="1123">
        <f t="shared" si="12"/>
        <v>52.019386106623585</v>
      </c>
      <c r="I175" s="1123">
        <f t="shared" si="9"/>
        <v>84.536012814084188</v>
      </c>
      <c r="J175" s="1120"/>
      <c r="K175" s="1120"/>
      <c r="L175" s="1120"/>
      <c r="M175" s="1124">
        <v>704.44481180761443</v>
      </c>
      <c r="N175" s="1125">
        <v>200.40342773950647</v>
      </c>
      <c r="O175" s="1126">
        <v>94.136790847133454</v>
      </c>
      <c r="P175" s="1127">
        <v>2972.5995662170312</v>
      </c>
      <c r="Q175" s="1127">
        <v>1266.9012050469009</v>
      </c>
      <c r="R175" s="1120"/>
      <c r="S175" s="1120"/>
      <c r="T175" s="1127">
        <f t="shared" si="10"/>
        <v>704.44481180761443</v>
      </c>
      <c r="U175" s="1128">
        <f t="shared" si="11"/>
        <v>94.136790847133454</v>
      </c>
      <c r="V175" s="1127">
        <f t="shared" si="14"/>
        <v>2972.5995662170312</v>
      </c>
      <c r="W175" s="1127">
        <f t="shared" si="13"/>
        <v>1266.9012050469009</v>
      </c>
      <c r="X175" s="1120"/>
      <c r="Y175" s="1120"/>
      <c r="Z175" s="1120"/>
      <c r="AA175" s="1120"/>
      <c r="AB175" s="1120"/>
      <c r="AC175" s="1116"/>
    </row>
    <row r="176" spans="1:29" x14ac:dyDescent="0.35">
      <c r="A176" s="1120">
        <v>1866</v>
      </c>
      <c r="B176" s="1120"/>
      <c r="C176" s="1121">
        <v>660</v>
      </c>
      <c r="D176" s="1121">
        <v>1296</v>
      </c>
      <c r="E176" s="1122">
        <v>1.2547881918862744</v>
      </c>
      <c r="F176" s="1120"/>
      <c r="G176" s="1120"/>
      <c r="H176" s="1123">
        <f t="shared" si="12"/>
        <v>50.925925925925931</v>
      </c>
      <c r="I176" s="1123">
        <f t="shared" si="9"/>
        <v>82.759045210935597</v>
      </c>
      <c r="J176" s="1120"/>
      <c r="K176" s="1120"/>
      <c r="L176" s="1120"/>
      <c r="M176" s="1124">
        <v>606.16444818970706</v>
      </c>
      <c r="N176" s="1125">
        <v>186.62038864698687</v>
      </c>
      <c r="O176" s="1126">
        <v>88.954510358145853</v>
      </c>
      <c r="P176" s="1127">
        <v>1856.9830555870103</v>
      </c>
      <c r="Q176" s="1127">
        <v>1055.6852867451717</v>
      </c>
      <c r="R176" s="1120"/>
      <c r="S176" s="1120"/>
      <c r="T176" s="1127">
        <f t="shared" si="10"/>
        <v>606.16444818970706</v>
      </c>
      <c r="U176" s="1128">
        <f t="shared" si="11"/>
        <v>88.954510358145853</v>
      </c>
      <c r="V176" s="1127">
        <f t="shared" si="14"/>
        <v>1856.9830555870103</v>
      </c>
      <c r="W176" s="1127">
        <f t="shared" si="13"/>
        <v>1055.6852867451717</v>
      </c>
      <c r="X176" s="1120"/>
      <c r="Y176" s="1120"/>
      <c r="Z176" s="1120"/>
      <c r="AA176" s="1120"/>
      <c r="AB176" s="1120"/>
      <c r="AC176" s="1116"/>
    </row>
    <row r="177" spans="1:29" x14ac:dyDescent="0.35">
      <c r="A177" s="1120">
        <v>1867</v>
      </c>
      <c r="B177" s="1120"/>
      <c r="C177" s="1121">
        <v>593</v>
      </c>
      <c r="D177" s="1121">
        <v>1346</v>
      </c>
      <c r="E177" s="1122">
        <v>1.334443077105874</v>
      </c>
      <c r="F177" s="1120"/>
      <c r="G177" s="1120"/>
      <c r="H177" s="1123">
        <f t="shared" si="12"/>
        <v>44.056463595839524</v>
      </c>
      <c r="I177" s="1123">
        <f t="shared" si="9"/>
        <v>71.595573301217868</v>
      </c>
      <c r="J177" s="1120"/>
      <c r="K177" s="1120"/>
      <c r="L177" s="1120"/>
      <c r="M177" s="1124">
        <v>537.49697634782535</v>
      </c>
      <c r="N177" s="1125">
        <v>174.20349909131124</v>
      </c>
      <c r="O177" s="1126">
        <v>82.902963084358461</v>
      </c>
      <c r="P177" s="1127">
        <v>1165.2714205395923</v>
      </c>
      <c r="Q177" s="1127">
        <v>966.9981255196069</v>
      </c>
      <c r="R177" s="1120"/>
      <c r="S177" s="1120"/>
      <c r="T177" s="1127">
        <f t="shared" si="10"/>
        <v>537.49697634782535</v>
      </c>
      <c r="U177" s="1128">
        <f t="shared" si="11"/>
        <v>82.902963084358461</v>
      </c>
      <c r="V177" s="1127">
        <f t="shared" si="14"/>
        <v>1165.2714205395923</v>
      </c>
      <c r="W177" s="1127">
        <f t="shared" si="13"/>
        <v>966.9981255196069</v>
      </c>
      <c r="X177" s="1120"/>
      <c r="Y177" s="1120"/>
      <c r="Z177" s="1120"/>
      <c r="AA177" s="1120"/>
      <c r="AB177" s="1120"/>
      <c r="AC177" s="1116"/>
    </row>
    <row r="178" spans="1:29" x14ac:dyDescent="0.35">
      <c r="A178" s="1120">
        <v>1868</v>
      </c>
      <c r="B178" s="1120"/>
      <c r="C178" s="1121">
        <v>575</v>
      </c>
      <c r="D178" s="1121">
        <v>1291</v>
      </c>
      <c r="E178" s="1122">
        <v>1.4051479752221476</v>
      </c>
      <c r="F178" s="1120"/>
      <c r="G178" s="1120"/>
      <c r="H178" s="1123">
        <f t="shared" si="12"/>
        <v>44.539116963594111</v>
      </c>
      <c r="I178" s="1123">
        <f t="shared" si="9"/>
        <v>72.379926872742757</v>
      </c>
      <c r="J178" s="1120"/>
      <c r="K178" s="1120"/>
      <c r="L178" s="1120"/>
      <c r="M178" s="1124">
        <v>605.01835143512983</v>
      </c>
      <c r="N178" s="1125">
        <v>156.67356273569141</v>
      </c>
      <c r="O178" s="1126">
        <v>81.275433827623061</v>
      </c>
      <c r="P178" s="1127">
        <v>1170.7329738866713</v>
      </c>
      <c r="Q178" s="1127">
        <v>991.12913553118904</v>
      </c>
      <c r="R178" s="1120"/>
      <c r="S178" s="1120"/>
      <c r="T178" s="1127">
        <f t="shared" si="10"/>
        <v>605.01835143512983</v>
      </c>
      <c r="U178" s="1128">
        <f t="shared" si="11"/>
        <v>81.275433827623061</v>
      </c>
      <c r="V178" s="1127">
        <f t="shared" si="14"/>
        <v>1170.7329738866713</v>
      </c>
      <c r="W178" s="1127">
        <f t="shared" si="13"/>
        <v>991.12913553118904</v>
      </c>
      <c r="X178" s="1120"/>
      <c r="Y178" s="1120"/>
      <c r="Z178" s="1120"/>
      <c r="AA178" s="1120"/>
      <c r="AB178" s="1120"/>
      <c r="AC178" s="1116"/>
    </row>
    <row r="179" spans="1:29" x14ac:dyDescent="0.35">
      <c r="A179" s="1120">
        <v>1869</v>
      </c>
      <c r="B179" s="1120"/>
      <c r="C179" s="1121">
        <v>572</v>
      </c>
      <c r="D179" s="1121">
        <v>1244</v>
      </c>
      <c r="E179" s="1122">
        <v>1.3630830358365165</v>
      </c>
      <c r="F179" s="1120"/>
      <c r="G179" s="1120"/>
      <c r="H179" s="1123">
        <f t="shared" si="12"/>
        <v>45.980707395498392</v>
      </c>
      <c r="I179" s="1123">
        <f t="shared" si="9"/>
        <v>74.722636319069821</v>
      </c>
      <c r="J179" s="1120"/>
      <c r="K179" s="1120"/>
      <c r="L179" s="1120"/>
      <c r="M179" s="1124">
        <v>824.83032930951367</v>
      </c>
      <c r="N179" s="1125">
        <v>177.53377411623617</v>
      </c>
      <c r="O179" s="1126">
        <v>77.246245824619734</v>
      </c>
      <c r="P179" s="1127">
        <v>1498.3932241633127</v>
      </c>
      <c r="Q179" s="1127">
        <v>1068.0104124679222</v>
      </c>
      <c r="R179" s="1120"/>
      <c r="S179" s="1120"/>
      <c r="T179" s="1127">
        <f t="shared" si="10"/>
        <v>824.83032930951367</v>
      </c>
      <c r="U179" s="1128">
        <f t="shared" si="11"/>
        <v>77.246245824619734</v>
      </c>
      <c r="V179" s="1127">
        <f t="shared" si="14"/>
        <v>1498.3932241633127</v>
      </c>
      <c r="W179" s="1127">
        <f t="shared" si="13"/>
        <v>1068.0104124679222</v>
      </c>
      <c r="X179" s="1120"/>
      <c r="Y179" s="1120"/>
      <c r="Z179" s="1120"/>
      <c r="AA179" s="1120"/>
      <c r="AB179" s="1120"/>
      <c r="AC179" s="1116"/>
    </row>
    <row r="180" spans="1:29" x14ac:dyDescent="0.35">
      <c r="A180" s="1120">
        <v>1870</v>
      </c>
      <c r="B180" s="1120"/>
      <c r="C180" s="1121">
        <v>562</v>
      </c>
      <c r="D180" s="1121">
        <v>1241</v>
      </c>
      <c r="E180" s="1122">
        <v>1.2735831648032587</v>
      </c>
      <c r="F180" s="1120"/>
      <c r="G180" s="1120"/>
      <c r="H180" s="1123">
        <f t="shared" si="12"/>
        <v>45.286059629331184</v>
      </c>
      <c r="I180" s="1123">
        <f t="shared" si="9"/>
        <v>73.593773468946537</v>
      </c>
      <c r="J180" s="1120"/>
      <c r="K180" s="1120"/>
      <c r="L180" s="1120"/>
      <c r="M180" s="1124">
        <v>632.8620155234521</v>
      </c>
      <c r="N180" s="1029"/>
      <c r="O180" s="1126">
        <v>80.953358431834857</v>
      </c>
      <c r="P180" s="1127">
        <v>1555.6020461365272</v>
      </c>
      <c r="Q180" s="1127">
        <v>1049.3800132569245</v>
      </c>
      <c r="R180" s="1120"/>
      <c r="S180" s="1120"/>
      <c r="T180" s="1127">
        <f t="shared" si="10"/>
        <v>632.8620155234521</v>
      </c>
      <c r="U180" s="1128">
        <f t="shared" si="11"/>
        <v>80.953358431834857</v>
      </c>
      <c r="V180" s="1127">
        <f t="shared" si="14"/>
        <v>1555.6020461365272</v>
      </c>
      <c r="W180" s="1127">
        <f t="shared" si="13"/>
        <v>1049.3800132569245</v>
      </c>
      <c r="X180" s="1120"/>
      <c r="Y180" s="1120"/>
      <c r="Z180" s="1120"/>
      <c r="AA180" s="1120"/>
      <c r="AB180" s="1120"/>
      <c r="AC180" s="1116"/>
    </row>
    <row r="181" spans="1:29" x14ac:dyDescent="0.35">
      <c r="A181" s="1120">
        <v>1871</v>
      </c>
      <c r="B181" s="1120"/>
      <c r="C181" s="1121">
        <v>547</v>
      </c>
      <c r="D181" s="1121">
        <v>1320</v>
      </c>
      <c r="E181" s="1122">
        <v>1.2789531570652541</v>
      </c>
      <c r="F181" s="1120"/>
      <c r="G181" s="1120"/>
      <c r="H181" s="1123">
        <f t="shared" si="12"/>
        <v>41.439393939393938</v>
      </c>
      <c r="I181" s="1123">
        <f t="shared" si="9"/>
        <v>67.342608193956352</v>
      </c>
      <c r="J181" s="1120"/>
      <c r="K181" s="1120"/>
      <c r="L181" s="1120"/>
      <c r="M181" s="1124">
        <v>835.23024432784655</v>
      </c>
      <c r="N181" s="1029"/>
      <c r="O181" s="1126">
        <v>79.337620190812217</v>
      </c>
      <c r="P181" s="1127">
        <v>1508.2743357137756</v>
      </c>
      <c r="Q181" s="1127">
        <v>1007.5366932092928</v>
      </c>
      <c r="R181" s="1120"/>
      <c r="S181" s="1120"/>
      <c r="T181" s="1127">
        <f t="shared" si="10"/>
        <v>835.23024432784655</v>
      </c>
      <c r="U181" s="1128">
        <f t="shared" si="11"/>
        <v>79.337620190812217</v>
      </c>
      <c r="V181" s="1127">
        <f t="shared" si="14"/>
        <v>1508.2743357137756</v>
      </c>
      <c r="W181" s="1127">
        <f t="shared" si="13"/>
        <v>1007.5366932092928</v>
      </c>
      <c r="X181" s="1120"/>
      <c r="Y181" s="1120"/>
      <c r="Z181" s="1120"/>
      <c r="AA181" s="1120"/>
      <c r="AB181" s="1120"/>
      <c r="AC181" s="1116"/>
    </row>
    <row r="182" spans="1:29" x14ac:dyDescent="0.35">
      <c r="A182" s="1120">
        <v>1872</v>
      </c>
      <c r="B182" s="1120"/>
      <c r="C182" s="1121">
        <v>622</v>
      </c>
      <c r="D182" s="1121">
        <v>1378</v>
      </c>
      <c r="E182" s="1122">
        <v>1.3147531054785573</v>
      </c>
      <c r="F182" s="1120"/>
      <c r="G182" s="1120"/>
      <c r="H182" s="1123">
        <f t="shared" si="12"/>
        <v>45.137880986937589</v>
      </c>
      <c r="I182" s="1123">
        <f t="shared" si="9"/>
        <v>73.352970327085487</v>
      </c>
      <c r="J182" s="1120"/>
      <c r="K182" s="1120"/>
      <c r="L182" s="1120"/>
      <c r="M182" s="1124">
        <v>446.81652892257546</v>
      </c>
      <c r="N182" s="1029"/>
      <c r="O182" s="1126">
        <v>104.14937780674373</v>
      </c>
      <c r="P182" s="1127">
        <v>1293.9910168080896</v>
      </c>
      <c r="Q182" s="1127">
        <v>953.87469674802821</v>
      </c>
      <c r="R182" s="1120"/>
      <c r="S182" s="1120"/>
      <c r="T182" s="1127">
        <f t="shared" si="10"/>
        <v>446.81652892257546</v>
      </c>
      <c r="U182" s="1128">
        <f t="shared" si="11"/>
        <v>104.14937780674373</v>
      </c>
      <c r="V182" s="1127">
        <f t="shared" si="14"/>
        <v>1293.9910168080896</v>
      </c>
      <c r="W182" s="1127">
        <f t="shared" si="13"/>
        <v>953.87469674802821</v>
      </c>
      <c r="X182" s="1120"/>
      <c r="Y182" s="1120"/>
      <c r="Z182" s="1120"/>
      <c r="AA182" s="1120"/>
      <c r="AB182" s="1120"/>
      <c r="AC182" s="1116"/>
    </row>
    <row r="183" spans="1:29" x14ac:dyDescent="0.35">
      <c r="A183" s="1120">
        <v>1873</v>
      </c>
      <c r="B183" s="1120"/>
      <c r="C183" s="1121">
        <v>629</v>
      </c>
      <c r="D183" s="1121">
        <v>1437</v>
      </c>
      <c r="E183" s="1122">
        <v>1.3702430255191771</v>
      </c>
      <c r="F183" s="1120"/>
      <c r="G183" s="1120"/>
      <c r="H183" s="1123">
        <f t="shared" si="12"/>
        <v>43.771746694502433</v>
      </c>
      <c r="I183" s="1123">
        <f t="shared" si="9"/>
        <v>71.132883649892776</v>
      </c>
      <c r="J183" s="1120"/>
      <c r="K183" s="1120"/>
      <c r="L183" s="1120"/>
      <c r="M183" s="1124">
        <v>400.824633757622</v>
      </c>
      <c r="N183" s="1029"/>
      <c r="O183" s="1126">
        <v>132.41324865619157</v>
      </c>
      <c r="P183" s="1127">
        <v>1511.5007141356512</v>
      </c>
      <c r="Q183" s="1127">
        <v>934.57076298237075</v>
      </c>
      <c r="R183" s="1120"/>
      <c r="S183" s="1120"/>
      <c r="T183" s="1127">
        <f t="shared" si="10"/>
        <v>400.824633757622</v>
      </c>
      <c r="U183" s="1128">
        <f t="shared" si="11"/>
        <v>132.41324865619157</v>
      </c>
      <c r="V183" s="1127">
        <f t="shared" si="14"/>
        <v>1511.5007141356512</v>
      </c>
      <c r="W183" s="1127">
        <f t="shared" si="13"/>
        <v>934.57076298237075</v>
      </c>
      <c r="X183" s="1120"/>
      <c r="Y183" s="1120"/>
      <c r="Z183" s="1120"/>
      <c r="AA183" s="1120"/>
      <c r="AB183" s="1120"/>
      <c r="AC183" s="1116"/>
    </row>
    <row r="184" spans="1:29" x14ac:dyDescent="0.35">
      <c r="A184" s="1120">
        <v>1874</v>
      </c>
      <c r="B184" s="1120"/>
      <c r="C184" s="1121">
        <v>562</v>
      </c>
      <c r="D184" s="1121">
        <v>1423</v>
      </c>
      <c r="E184" s="1122">
        <v>1.3809830100431684</v>
      </c>
      <c r="F184" s="1120"/>
      <c r="G184" s="1120"/>
      <c r="H184" s="1123">
        <f t="shared" si="12"/>
        <v>39.494026704146165</v>
      </c>
      <c r="I184" s="1123">
        <f t="shared" si="9"/>
        <v>64.181217761744662</v>
      </c>
      <c r="J184" s="1120"/>
      <c r="K184" s="1120"/>
      <c r="L184" s="1120"/>
      <c r="M184" s="1124">
        <v>370.93616708181338</v>
      </c>
      <c r="N184" s="1029"/>
      <c r="O184" s="1126">
        <v>108.97548665696411</v>
      </c>
      <c r="P184" s="1127">
        <v>1335.992678645978</v>
      </c>
      <c r="Q184" s="1127">
        <v>965.63884717409007</v>
      </c>
      <c r="R184" s="1120"/>
      <c r="S184" s="1120"/>
      <c r="T184" s="1127">
        <f t="shared" si="10"/>
        <v>370.93616708181338</v>
      </c>
      <c r="U184" s="1128">
        <f t="shared" si="11"/>
        <v>108.97548665696411</v>
      </c>
      <c r="V184" s="1127">
        <f t="shared" si="14"/>
        <v>1335.992678645978</v>
      </c>
      <c r="W184" s="1127">
        <f t="shared" si="13"/>
        <v>965.63884717409007</v>
      </c>
      <c r="X184" s="1120"/>
      <c r="Y184" s="1120"/>
      <c r="Z184" s="1120"/>
      <c r="AA184" s="1120"/>
      <c r="AB184" s="1120"/>
      <c r="AC184" s="1116"/>
    </row>
    <row r="185" spans="1:29" x14ac:dyDescent="0.35">
      <c r="A185" s="1120">
        <v>1875</v>
      </c>
      <c r="B185" s="1120"/>
      <c r="C185" s="1121">
        <v>550</v>
      </c>
      <c r="D185" s="1121">
        <v>1310</v>
      </c>
      <c r="E185" s="1122">
        <v>1.3183331003198879</v>
      </c>
      <c r="F185" s="1120"/>
      <c r="G185" s="1120"/>
      <c r="H185" s="1123">
        <f t="shared" si="12"/>
        <v>41.984732824427482</v>
      </c>
      <c r="I185" s="1123">
        <f t="shared" si="9"/>
        <v>68.228831166267511</v>
      </c>
      <c r="J185" s="1120"/>
      <c r="K185" s="1120"/>
      <c r="L185" s="1120"/>
      <c r="M185" s="1124">
        <v>468.6984973181485</v>
      </c>
      <c r="N185" s="1029"/>
      <c r="O185" s="1126">
        <v>104.26610764553644</v>
      </c>
      <c r="P185" s="1127">
        <v>1131.7622645812164</v>
      </c>
      <c r="Q185" s="1127">
        <v>967.22299722091941</v>
      </c>
      <c r="R185" s="1120"/>
      <c r="S185" s="1120"/>
      <c r="T185" s="1127">
        <f t="shared" si="10"/>
        <v>468.6984973181485</v>
      </c>
      <c r="U185" s="1128">
        <f t="shared" si="11"/>
        <v>104.26610764553644</v>
      </c>
      <c r="V185" s="1127">
        <f t="shared" si="14"/>
        <v>1131.7622645812164</v>
      </c>
      <c r="W185" s="1127">
        <f t="shared" si="13"/>
        <v>967.22299722091941</v>
      </c>
      <c r="X185" s="1120"/>
      <c r="Y185" s="1120"/>
      <c r="Z185" s="1120"/>
      <c r="AA185" s="1120"/>
      <c r="AB185" s="1120"/>
      <c r="AC185" s="1116"/>
    </row>
    <row r="186" spans="1:29" x14ac:dyDescent="0.35">
      <c r="A186" s="1120">
        <v>1876</v>
      </c>
      <c r="B186" s="1120"/>
      <c r="C186" s="1121">
        <v>523</v>
      </c>
      <c r="D186" s="1121">
        <v>1370</v>
      </c>
      <c r="E186" s="1122">
        <v>1.298643128692571</v>
      </c>
      <c r="F186" s="1120"/>
      <c r="G186" s="1120"/>
      <c r="H186" s="1123">
        <f t="shared" si="12"/>
        <v>38.175182481751825</v>
      </c>
      <c r="I186" s="1123">
        <f t="shared" si="9"/>
        <v>62.037981548699214</v>
      </c>
      <c r="J186" s="1120"/>
      <c r="K186" s="1120"/>
      <c r="L186" s="1120"/>
      <c r="M186" s="1124">
        <v>662.56496033243957</v>
      </c>
      <c r="N186" s="1029"/>
      <c r="O186" s="1126">
        <v>91.714880325618992</v>
      </c>
      <c r="P186" s="1127">
        <v>1613.3763421112342</v>
      </c>
      <c r="Q186" s="1127">
        <v>952.18397723971714</v>
      </c>
      <c r="R186" s="1120"/>
      <c r="S186" s="1120"/>
      <c r="T186" s="1127">
        <f t="shared" si="10"/>
        <v>662.56496033243957</v>
      </c>
      <c r="U186" s="1128">
        <f t="shared" si="11"/>
        <v>91.714880325618992</v>
      </c>
      <c r="V186" s="1127">
        <f t="shared" si="14"/>
        <v>1613.3763421112342</v>
      </c>
      <c r="W186" s="1127">
        <f t="shared" si="13"/>
        <v>952.18397723971714</v>
      </c>
      <c r="X186" s="1120"/>
      <c r="Y186" s="1120"/>
      <c r="Z186" s="1120"/>
      <c r="AA186" s="1120"/>
      <c r="AB186" s="1120"/>
      <c r="AC186" s="1116"/>
    </row>
    <row r="187" spans="1:29" x14ac:dyDescent="0.35">
      <c r="A187" s="1120">
        <v>1877</v>
      </c>
      <c r="B187" s="1120"/>
      <c r="C187" s="1121">
        <v>496</v>
      </c>
      <c r="D187" s="1121">
        <v>1330</v>
      </c>
      <c r="E187" s="1122">
        <v>1.3013281248235689</v>
      </c>
      <c r="F187" s="1120"/>
      <c r="G187" s="1120"/>
      <c r="H187" s="1123">
        <f t="shared" si="12"/>
        <v>37.29323308270677</v>
      </c>
      <c r="I187" s="1123">
        <f t="shared" si="9"/>
        <v>60.604737304981519</v>
      </c>
      <c r="J187" s="1120"/>
      <c r="K187" s="1120"/>
      <c r="L187" s="1120"/>
      <c r="M187" s="1124">
        <v>657.07778900530616</v>
      </c>
      <c r="N187" s="1029"/>
      <c r="O187" s="1126">
        <v>82.249550032009566</v>
      </c>
      <c r="P187" s="1127">
        <v>1487.983280591722</v>
      </c>
      <c r="Q187" s="1127">
        <v>925.96721240330271</v>
      </c>
      <c r="R187" s="1120"/>
      <c r="S187" s="1120"/>
      <c r="T187" s="1127">
        <f t="shared" si="10"/>
        <v>657.07778900530616</v>
      </c>
      <c r="U187" s="1128">
        <f t="shared" si="11"/>
        <v>82.249550032009566</v>
      </c>
      <c r="V187" s="1127">
        <f t="shared" si="14"/>
        <v>1487.983280591722</v>
      </c>
      <c r="W187" s="1127">
        <f t="shared" si="13"/>
        <v>925.96721240330271</v>
      </c>
      <c r="X187" s="1120"/>
      <c r="Y187" s="1120"/>
      <c r="Z187" s="1120"/>
      <c r="AA187" s="1120"/>
      <c r="AB187" s="1120"/>
      <c r="AC187" s="1116"/>
    </row>
    <row r="188" spans="1:29" x14ac:dyDescent="0.35">
      <c r="A188" s="1120">
        <v>1878</v>
      </c>
      <c r="B188" s="1120"/>
      <c r="C188" s="1121">
        <v>440</v>
      </c>
      <c r="D188" s="1121">
        <v>1281</v>
      </c>
      <c r="E188" s="1122">
        <v>1.3004331261132365</v>
      </c>
      <c r="F188" s="1120"/>
      <c r="G188" s="1120"/>
      <c r="H188" s="1123">
        <f t="shared" si="12"/>
        <v>34.348165495706482</v>
      </c>
      <c r="I188" s="1123">
        <f t="shared" si="9"/>
        <v>55.818747121193098</v>
      </c>
      <c r="J188" s="1120"/>
      <c r="K188" s="1120"/>
      <c r="L188" s="1120"/>
      <c r="M188" s="1124">
        <v>596.62914088079185</v>
      </c>
      <c r="N188" s="1029"/>
      <c r="O188" s="1126">
        <v>80.426756978525148</v>
      </c>
      <c r="P188" s="1127">
        <v>1174.9365536297507</v>
      </c>
      <c r="Q188" s="1127">
        <v>924.45475363057778</v>
      </c>
      <c r="R188" s="1127"/>
      <c r="S188" s="1127"/>
      <c r="T188" s="1127">
        <f t="shared" si="10"/>
        <v>596.62914088079185</v>
      </c>
      <c r="U188" s="1128">
        <f t="shared" si="11"/>
        <v>80.426756978525148</v>
      </c>
      <c r="V188" s="1127">
        <f t="shared" si="14"/>
        <v>1174.9365536297507</v>
      </c>
      <c r="W188" s="1127">
        <f t="shared" si="13"/>
        <v>924.45475363057778</v>
      </c>
      <c r="X188" s="1120"/>
      <c r="Y188" s="1120"/>
      <c r="Z188" s="1120"/>
      <c r="AA188" s="1120"/>
      <c r="AB188" s="1120"/>
      <c r="AC188" s="1116"/>
    </row>
    <row r="189" spans="1:29" x14ac:dyDescent="0.35">
      <c r="A189" s="1120">
        <v>1879</v>
      </c>
      <c r="B189" s="1120"/>
      <c r="C189" s="1121">
        <v>411</v>
      </c>
      <c r="D189" s="1121">
        <v>1210</v>
      </c>
      <c r="E189" s="1122">
        <v>1.2610531828586031</v>
      </c>
      <c r="F189" s="1120"/>
      <c r="G189" s="1120"/>
      <c r="H189" s="1123">
        <f t="shared" si="12"/>
        <v>33.966942148760332</v>
      </c>
      <c r="I189" s="1123">
        <f t="shared" si="9"/>
        <v>55.199226128069256</v>
      </c>
      <c r="J189" s="1120"/>
      <c r="K189" s="1120"/>
      <c r="L189" s="1120"/>
      <c r="M189" s="1124">
        <v>573.55163707498025</v>
      </c>
      <c r="N189" s="1029"/>
      <c r="O189" s="1126">
        <v>79.502873137797863</v>
      </c>
      <c r="P189" s="1127">
        <v>974.46556936640104</v>
      </c>
      <c r="Q189" s="1127">
        <v>959.59969959919238</v>
      </c>
      <c r="R189" s="1127"/>
      <c r="S189" s="1127"/>
      <c r="T189" s="1127">
        <f t="shared" si="10"/>
        <v>573.55163707498025</v>
      </c>
      <c r="U189" s="1128">
        <f t="shared" si="11"/>
        <v>79.502873137797863</v>
      </c>
      <c r="V189" s="1127">
        <f t="shared" si="14"/>
        <v>974.46556936640104</v>
      </c>
      <c r="W189" s="1127">
        <f t="shared" si="13"/>
        <v>959.59969959919238</v>
      </c>
      <c r="X189" s="1120"/>
      <c r="Y189" s="1120"/>
      <c r="Z189" s="1120"/>
      <c r="AA189" s="1120"/>
      <c r="AB189" s="1120"/>
      <c r="AC189" s="1116"/>
    </row>
    <row r="190" spans="1:29" x14ac:dyDescent="0.35">
      <c r="A190" s="1120">
        <v>1880</v>
      </c>
      <c r="B190" s="1120"/>
      <c r="C190" s="1121">
        <v>409</v>
      </c>
      <c r="D190" s="1121">
        <v>1174</v>
      </c>
      <c r="E190" s="1122">
        <v>1.2046682641076507</v>
      </c>
      <c r="F190" s="1120"/>
      <c r="G190" s="1120"/>
      <c r="H190" s="1123">
        <f t="shared" si="12"/>
        <v>34.838160136286199</v>
      </c>
      <c r="I190" s="1123">
        <f t="shared" si="9"/>
        <v>56.615030897590934</v>
      </c>
      <c r="J190" s="1120"/>
      <c r="K190" s="1120"/>
      <c r="L190" s="1120"/>
      <c r="M190" s="1124">
        <v>588.44206465626746</v>
      </c>
      <c r="N190" s="1029"/>
      <c r="O190" s="1126">
        <v>75.915500412245066</v>
      </c>
      <c r="P190" s="1127">
        <v>1013.1676168508311</v>
      </c>
      <c r="Q190" s="1127">
        <v>916.26375491154624</v>
      </c>
      <c r="R190" s="1127"/>
      <c r="S190" s="1127"/>
      <c r="T190" s="1127">
        <f t="shared" si="10"/>
        <v>588.44206465626746</v>
      </c>
      <c r="U190" s="1128">
        <f t="shared" si="11"/>
        <v>75.915500412245066</v>
      </c>
      <c r="V190" s="1127">
        <f t="shared" si="14"/>
        <v>1013.1676168508311</v>
      </c>
      <c r="W190" s="1127">
        <f t="shared" si="13"/>
        <v>916.26375491154624</v>
      </c>
      <c r="X190" s="1120"/>
      <c r="Y190" s="1120"/>
      <c r="Z190" s="1120"/>
      <c r="AA190" s="1120"/>
      <c r="AB190" s="1120"/>
      <c r="AC190" s="1116"/>
    </row>
    <row r="191" spans="1:29" x14ac:dyDescent="0.35">
      <c r="A191" s="1120">
        <v>1881</v>
      </c>
      <c r="B191" s="1120"/>
      <c r="C191" s="1121">
        <v>426</v>
      </c>
      <c r="D191" s="1121">
        <v>1213</v>
      </c>
      <c r="E191" s="1122">
        <v>1.2288332292866304</v>
      </c>
      <c r="F191" s="1120"/>
      <c r="G191" s="1120"/>
      <c r="H191" s="1123">
        <f t="shared" si="12"/>
        <v>35.119538334707343</v>
      </c>
      <c r="I191" s="1123">
        <f t="shared" si="9"/>
        <v>57.07229486719217</v>
      </c>
      <c r="J191" s="1120"/>
      <c r="K191" s="1120"/>
      <c r="L191" s="1120"/>
      <c r="M191" s="1124">
        <v>609.29899231279012</v>
      </c>
      <c r="N191" s="1029"/>
      <c r="O191" s="1126">
        <v>79.82587796542218</v>
      </c>
      <c r="P191" s="1127">
        <v>1002.7417284091268</v>
      </c>
      <c r="Q191" s="1127">
        <v>927.51141854177592</v>
      </c>
      <c r="R191" s="1127"/>
      <c r="S191" s="1127"/>
      <c r="T191" s="1127">
        <f t="shared" si="10"/>
        <v>609.29899231279012</v>
      </c>
      <c r="U191" s="1128">
        <f t="shared" si="11"/>
        <v>79.82587796542218</v>
      </c>
      <c r="V191" s="1127">
        <f t="shared" si="14"/>
        <v>1002.7417284091268</v>
      </c>
      <c r="W191" s="1127">
        <f t="shared" si="13"/>
        <v>927.51141854177592</v>
      </c>
      <c r="X191" s="1120"/>
      <c r="Y191" s="1120"/>
      <c r="Z191" s="1120"/>
      <c r="AA191" s="1120"/>
      <c r="AB191" s="1120"/>
      <c r="AC191" s="1116"/>
    </row>
    <row r="192" spans="1:29" x14ac:dyDescent="0.35">
      <c r="A192" s="1120">
        <v>1882</v>
      </c>
      <c r="B192" s="1120"/>
      <c r="C192" s="1121">
        <v>438</v>
      </c>
      <c r="D192" s="1121">
        <v>1140</v>
      </c>
      <c r="E192" s="1129">
        <v>1.2136182512109766</v>
      </c>
      <c r="F192" s="1120"/>
      <c r="G192" s="1120"/>
      <c r="H192" s="1123">
        <f t="shared" si="12"/>
        <v>38.421052631578945</v>
      </c>
      <c r="I192" s="1123">
        <f t="shared" si="9"/>
        <v>62.437541860575706</v>
      </c>
      <c r="J192" s="1120"/>
      <c r="K192" s="1120"/>
      <c r="L192" s="1120"/>
      <c r="M192" s="1124">
        <v>715.1446494403591</v>
      </c>
      <c r="N192" s="1029"/>
      <c r="O192" s="1126">
        <v>82.85482825998406</v>
      </c>
      <c r="P192" s="1127">
        <v>869.94574221881919</v>
      </c>
      <c r="Q192" s="1127">
        <v>919.80951118932728</v>
      </c>
      <c r="R192" s="1127"/>
      <c r="S192" s="1127"/>
      <c r="T192" s="1127">
        <f t="shared" si="10"/>
        <v>715.1446494403591</v>
      </c>
      <c r="U192" s="1128">
        <f t="shared" si="11"/>
        <v>82.85482825998406</v>
      </c>
      <c r="V192" s="1127">
        <f t="shared" si="14"/>
        <v>869.94574221881919</v>
      </c>
      <c r="W192" s="1127">
        <f t="shared" si="13"/>
        <v>919.80951118932728</v>
      </c>
      <c r="X192" s="1120"/>
      <c r="Y192" s="1120"/>
      <c r="Z192" s="1120"/>
      <c r="AA192" s="1120"/>
      <c r="AB192" s="1120"/>
      <c r="AC192" s="1116"/>
    </row>
    <row r="193" spans="1:29" x14ac:dyDescent="0.35">
      <c r="A193" s="1120">
        <v>1883</v>
      </c>
      <c r="B193" s="1120"/>
      <c r="C193" s="1121">
        <v>441</v>
      </c>
      <c r="D193" s="1121">
        <v>1182</v>
      </c>
      <c r="E193" s="1122">
        <v>1.2154082486316418</v>
      </c>
      <c r="F193" s="1120"/>
      <c r="G193" s="1120"/>
      <c r="H193" s="1123">
        <f t="shared" si="12"/>
        <v>37.309644670050766</v>
      </c>
      <c r="I193" s="1123">
        <f t="shared" si="9"/>
        <v>60.631407557397949</v>
      </c>
      <c r="J193" s="1120"/>
      <c r="K193" s="1120"/>
      <c r="L193" s="1120"/>
      <c r="M193" s="1124">
        <v>539.06687135263473</v>
      </c>
      <c r="N193" s="1029"/>
      <c r="O193" s="1126">
        <v>81.404507689773723</v>
      </c>
      <c r="P193" s="1127">
        <v>929.03165245622483</v>
      </c>
      <c r="Q193" s="1127">
        <v>902.39986744441921</v>
      </c>
      <c r="R193" s="1127">
        <v>31314.145882508579</v>
      </c>
      <c r="S193" s="1127"/>
      <c r="T193" s="1127">
        <f t="shared" si="10"/>
        <v>539.06687135263473</v>
      </c>
      <c r="U193" s="1128">
        <f t="shared" si="11"/>
        <v>81.404507689773723</v>
      </c>
      <c r="V193" s="1127">
        <f t="shared" si="14"/>
        <v>929.03165245622483</v>
      </c>
      <c r="W193" s="1127">
        <f t="shared" si="13"/>
        <v>902.39986744441921</v>
      </c>
      <c r="X193" s="1127">
        <f t="shared" ref="X193:X224" si="15">R193</f>
        <v>31314.145882508579</v>
      </c>
      <c r="Y193" s="1120"/>
      <c r="Z193" s="1120"/>
      <c r="AA193" s="1120"/>
      <c r="AB193" s="1120"/>
      <c r="AC193" s="1116"/>
    </row>
    <row r="194" spans="1:29" x14ac:dyDescent="0.35">
      <c r="A194" s="1120">
        <v>1884</v>
      </c>
      <c r="B194" s="1120"/>
      <c r="C194" s="1121">
        <v>422</v>
      </c>
      <c r="D194" s="1121">
        <v>1071</v>
      </c>
      <c r="E194" s="1122">
        <v>1.2154082486316418</v>
      </c>
      <c r="F194" s="1120"/>
      <c r="G194" s="1120"/>
      <c r="H194" s="1123">
        <f t="shared" si="12"/>
        <v>39.402427637721757</v>
      </c>
      <c r="I194" s="1123">
        <f t="shared" si="9"/>
        <v>64.032361336619999</v>
      </c>
      <c r="J194" s="1120"/>
      <c r="K194" s="1120"/>
      <c r="L194" s="1120"/>
      <c r="M194" s="1124">
        <v>568.32322787911346</v>
      </c>
      <c r="N194" s="1029"/>
      <c r="O194" s="1126">
        <v>80.666773589929235</v>
      </c>
      <c r="P194" s="1127">
        <v>1008.3477750632754</v>
      </c>
      <c r="Q194" s="1127">
        <v>900.91217896056708</v>
      </c>
      <c r="R194" s="1127">
        <v>31044.232470742529</v>
      </c>
      <c r="S194" s="1127"/>
      <c r="T194" s="1127">
        <f t="shared" si="10"/>
        <v>568.32322787911346</v>
      </c>
      <c r="U194" s="1128">
        <f t="shared" si="11"/>
        <v>80.666773589929235</v>
      </c>
      <c r="V194" s="1127">
        <f t="shared" si="14"/>
        <v>1008.3477750632754</v>
      </c>
      <c r="W194" s="1127">
        <f t="shared" si="13"/>
        <v>900.91217896056708</v>
      </c>
      <c r="X194" s="1127">
        <f t="shared" si="15"/>
        <v>31044.232470742529</v>
      </c>
      <c r="Y194" s="1120"/>
      <c r="Z194" s="1120"/>
      <c r="AA194" s="1120"/>
      <c r="AB194" s="1120"/>
      <c r="AC194" s="1116"/>
    </row>
    <row r="195" spans="1:29" x14ac:dyDescent="0.35">
      <c r="A195" s="1120">
        <v>1885</v>
      </c>
      <c r="B195" s="1120"/>
      <c r="C195" s="1121">
        <v>395</v>
      </c>
      <c r="D195" s="1121">
        <v>1026</v>
      </c>
      <c r="E195" s="1122">
        <v>1.1735755926322271</v>
      </c>
      <c r="F195" s="1120"/>
      <c r="G195" s="1120"/>
      <c r="H195" s="1123">
        <f t="shared" si="12"/>
        <v>38.499025341130604</v>
      </c>
      <c r="I195" s="1123">
        <f t="shared" si="9"/>
        <v>62.564254274295806</v>
      </c>
      <c r="J195" s="1120"/>
      <c r="K195" s="1120"/>
      <c r="L195" s="1120"/>
      <c r="M195" s="1124">
        <v>536.03137391155451</v>
      </c>
      <c r="N195" s="1029"/>
      <c r="O195" s="1126">
        <v>83.756018811669577</v>
      </c>
      <c r="P195" s="1127">
        <v>1003.0791302671164</v>
      </c>
      <c r="Q195" s="1127">
        <v>906.31831131876481</v>
      </c>
      <c r="R195" s="1127">
        <v>30754.764410045031</v>
      </c>
      <c r="S195" s="1127"/>
      <c r="T195" s="1127">
        <f t="shared" si="10"/>
        <v>536.03137391155451</v>
      </c>
      <c r="U195" s="1128">
        <f t="shared" si="11"/>
        <v>83.756018811669577</v>
      </c>
      <c r="V195" s="1127">
        <f t="shared" si="14"/>
        <v>1003.0791302671164</v>
      </c>
      <c r="W195" s="1127">
        <f t="shared" si="13"/>
        <v>906.31831131876481</v>
      </c>
      <c r="X195" s="1127">
        <f t="shared" si="15"/>
        <v>30754.764410045031</v>
      </c>
      <c r="Y195" s="1120"/>
      <c r="Z195" s="1120"/>
      <c r="AA195" s="1120"/>
      <c r="AB195" s="1120"/>
      <c r="AC195" s="1116"/>
    </row>
    <row r="196" spans="1:29" x14ac:dyDescent="0.35">
      <c r="A196" s="1120">
        <v>1886</v>
      </c>
      <c r="B196" s="1120"/>
      <c r="C196" s="1121">
        <v>376</v>
      </c>
      <c r="D196" s="1121">
        <v>931</v>
      </c>
      <c r="E196" s="1122">
        <v>1.1328735489571211</v>
      </c>
      <c r="F196" s="1120"/>
      <c r="G196" s="1120"/>
      <c r="H196" s="1123">
        <f t="shared" si="12"/>
        <v>40.38668098818475</v>
      </c>
      <c r="I196" s="1123">
        <f t="shared" si="9"/>
        <v>65.631858371754177</v>
      </c>
      <c r="J196" s="1120"/>
      <c r="K196" s="1120"/>
      <c r="L196" s="1120"/>
      <c r="M196" s="1124">
        <v>574.97517256877666</v>
      </c>
      <c r="N196" s="1029"/>
      <c r="O196" s="1126">
        <v>81.595397997825572</v>
      </c>
      <c r="P196" s="1127">
        <v>957.55900540913944</v>
      </c>
      <c r="Q196" s="1127">
        <v>886.09318793270336</v>
      </c>
      <c r="R196" s="1127">
        <v>29600.692472559334</v>
      </c>
      <c r="S196" s="1127"/>
      <c r="T196" s="1127">
        <f t="shared" si="10"/>
        <v>574.97517256877666</v>
      </c>
      <c r="U196" s="1128">
        <f t="shared" si="11"/>
        <v>81.595397997825572</v>
      </c>
      <c r="V196" s="1127">
        <f t="shared" si="14"/>
        <v>957.55900540913944</v>
      </c>
      <c r="W196" s="1127">
        <f t="shared" ref="W196:W227" si="16">Q196</f>
        <v>886.09318793270336</v>
      </c>
      <c r="X196" s="1127">
        <f t="shared" si="15"/>
        <v>29600.692472559334</v>
      </c>
      <c r="Y196" s="1120"/>
      <c r="Z196" s="1120"/>
      <c r="AA196" s="1120"/>
      <c r="AB196" s="1120"/>
      <c r="AC196" s="1116"/>
    </row>
    <row r="197" spans="1:29" x14ac:dyDescent="0.35">
      <c r="A197" s="1120">
        <v>1887</v>
      </c>
      <c r="B197" s="1120"/>
      <c r="C197" s="1121">
        <v>386</v>
      </c>
      <c r="D197" s="1121">
        <v>955</v>
      </c>
      <c r="E197" s="1122">
        <v>1.1226980380383444</v>
      </c>
      <c r="F197" s="1120"/>
      <c r="G197" s="1120"/>
      <c r="H197" s="1123">
        <f t="shared" si="12"/>
        <v>40.418848167539267</v>
      </c>
      <c r="I197" s="1123">
        <f t="shared" si="9"/>
        <v>65.684132827291435</v>
      </c>
      <c r="J197" s="1120"/>
      <c r="K197" s="1120"/>
      <c r="L197" s="1120"/>
      <c r="M197" s="1124">
        <v>582.00133008231194</v>
      </c>
      <c r="N197" s="1029"/>
      <c r="O197" s="1126">
        <v>83.636202437826569</v>
      </c>
      <c r="P197" s="1127">
        <v>904.86743995355607</v>
      </c>
      <c r="Q197" s="1127">
        <v>888.90001657442645</v>
      </c>
      <c r="R197" s="1127">
        <v>28747.1866981821</v>
      </c>
      <c r="S197" s="1127"/>
      <c r="T197" s="1127">
        <f t="shared" si="10"/>
        <v>582.00133008231194</v>
      </c>
      <c r="U197" s="1128">
        <f t="shared" si="11"/>
        <v>83.636202437826569</v>
      </c>
      <c r="V197" s="1127">
        <f t="shared" si="14"/>
        <v>904.86743995355607</v>
      </c>
      <c r="W197" s="1127">
        <f t="shared" si="16"/>
        <v>888.90001657442645</v>
      </c>
      <c r="X197" s="1127">
        <f t="shared" si="15"/>
        <v>28747.1866981821</v>
      </c>
      <c r="Y197" s="1120"/>
      <c r="Z197" s="1120"/>
      <c r="AA197" s="1120"/>
      <c r="AB197" s="1120"/>
      <c r="AC197" s="1116"/>
    </row>
    <row r="198" spans="1:29" x14ac:dyDescent="0.35">
      <c r="A198" s="1120">
        <v>1888</v>
      </c>
      <c r="B198" s="1120"/>
      <c r="C198" s="1121">
        <v>378</v>
      </c>
      <c r="D198" s="1121">
        <v>950</v>
      </c>
      <c r="E198" s="1122">
        <v>1.1000857915521745</v>
      </c>
      <c r="F198" s="1120"/>
      <c r="G198" s="1120"/>
      <c r="H198" s="1123">
        <f t="shared" si="12"/>
        <v>39.789473684210527</v>
      </c>
      <c r="I198" s="1123">
        <f t="shared" si="9"/>
        <v>64.661344721363335</v>
      </c>
      <c r="J198" s="1120"/>
      <c r="K198" s="1120"/>
      <c r="L198" s="1120"/>
      <c r="M198" s="1124">
        <v>702.00394208994385</v>
      </c>
      <c r="N198" s="1029"/>
      <c r="O198" s="1126">
        <v>85.583663782456895</v>
      </c>
      <c r="P198" s="1127">
        <v>906.91696982887504</v>
      </c>
      <c r="Q198" s="1127">
        <v>869.24251414184027</v>
      </c>
      <c r="R198" s="1127">
        <v>27353.448644463442</v>
      </c>
      <c r="S198" s="1127"/>
      <c r="T198" s="1127">
        <f t="shared" si="10"/>
        <v>702.00394208994385</v>
      </c>
      <c r="U198" s="1128">
        <f t="shared" si="11"/>
        <v>85.583663782456895</v>
      </c>
      <c r="V198" s="1127">
        <f t="shared" si="14"/>
        <v>906.91696982887504</v>
      </c>
      <c r="W198" s="1127">
        <f t="shared" si="16"/>
        <v>869.24251414184027</v>
      </c>
      <c r="X198" s="1127">
        <f t="shared" si="15"/>
        <v>27353.448644463442</v>
      </c>
      <c r="Y198" s="1120"/>
      <c r="Z198" s="1120"/>
      <c r="AA198" s="1120"/>
      <c r="AB198" s="1120"/>
      <c r="AC198" s="1116"/>
    </row>
    <row r="199" spans="1:29" x14ac:dyDescent="0.35">
      <c r="A199" s="1120">
        <v>1889</v>
      </c>
      <c r="B199" s="1120"/>
      <c r="C199" s="1121">
        <v>387</v>
      </c>
      <c r="D199" s="1121">
        <v>948</v>
      </c>
      <c r="E199" s="1122">
        <v>1.0978245669035576</v>
      </c>
      <c r="F199" s="1120"/>
      <c r="G199" s="1120"/>
      <c r="H199" s="1123">
        <f t="shared" si="12"/>
        <v>40.822784810126585</v>
      </c>
      <c r="I199" s="1123">
        <f t="shared" si="9"/>
        <v>66.340564895210292</v>
      </c>
      <c r="J199" s="1120"/>
      <c r="K199" s="1120"/>
      <c r="L199" s="1120"/>
      <c r="M199" s="1124">
        <v>609.53221454399966</v>
      </c>
      <c r="N199" s="1029"/>
      <c r="O199" s="1126">
        <v>91.538422794808412</v>
      </c>
      <c r="P199" s="1127">
        <v>833.54215439576399</v>
      </c>
      <c r="Q199" s="1127">
        <v>799.49713607353044</v>
      </c>
      <c r="R199" s="1127">
        <v>26899.492040128411</v>
      </c>
      <c r="S199" s="1127"/>
      <c r="T199" s="1127">
        <f t="shared" si="10"/>
        <v>609.53221454399966</v>
      </c>
      <c r="U199" s="1128">
        <f t="shared" si="11"/>
        <v>91.538422794808412</v>
      </c>
      <c r="V199" s="1127">
        <f t="shared" ref="V199:V230" si="17">P199</f>
        <v>833.54215439576399</v>
      </c>
      <c r="W199" s="1127">
        <f t="shared" si="16"/>
        <v>799.49713607353044</v>
      </c>
      <c r="X199" s="1127">
        <f t="shared" si="15"/>
        <v>26899.492040128411</v>
      </c>
      <c r="Y199" s="1120"/>
      <c r="Z199" s="1120"/>
      <c r="AA199" s="1120"/>
      <c r="AB199" s="1120"/>
      <c r="AC199" s="1116"/>
    </row>
    <row r="200" spans="1:29" x14ac:dyDescent="0.35">
      <c r="A200" s="1120">
        <v>1890</v>
      </c>
      <c r="B200" s="1120"/>
      <c r="C200" s="1121">
        <v>408</v>
      </c>
      <c r="D200" s="1121">
        <v>947</v>
      </c>
      <c r="E200" s="1122">
        <v>1.1068694654980256</v>
      </c>
      <c r="F200" s="1120"/>
      <c r="G200" s="1120"/>
      <c r="H200" s="1123">
        <f t="shared" si="12"/>
        <v>43.083421330517425</v>
      </c>
      <c r="I200" s="1123">
        <f t="shared" si="9"/>
        <v>70.014295251505544</v>
      </c>
      <c r="J200" s="1120"/>
      <c r="K200" s="1120"/>
      <c r="L200" s="1120"/>
      <c r="M200" s="1124">
        <v>469.60498213161208</v>
      </c>
      <c r="N200" s="1029"/>
      <c r="O200" s="1126">
        <v>101.57559366104049</v>
      </c>
      <c r="P200" s="1127">
        <v>752.87638625031855</v>
      </c>
      <c r="Q200" s="1127">
        <v>879.95135868944908</v>
      </c>
      <c r="R200" s="1127">
        <v>26541.387783408667</v>
      </c>
      <c r="S200" s="1127"/>
      <c r="T200" s="1127">
        <f t="shared" si="10"/>
        <v>469.60498213161208</v>
      </c>
      <c r="U200" s="1128">
        <f t="shared" si="11"/>
        <v>101.57559366104049</v>
      </c>
      <c r="V200" s="1127">
        <f t="shared" si="17"/>
        <v>752.87638625031855</v>
      </c>
      <c r="W200" s="1127">
        <f t="shared" si="16"/>
        <v>879.95135868944908</v>
      </c>
      <c r="X200" s="1127">
        <f t="shared" si="15"/>
        <v>26541.387783408667</v>
      </c>
      <c r="Y200" s="1120"/>
      <c r="Z200" s="1120"/>
      <c r="AA200" s="1120"/>
      <c r="AB200" s="1120"/>
      <c r="AC200" s="1116"/>
    </row>
    <row r="201" spans="1:29" x14ac:dyDescent="0.35">
      <c r="A201" s="1120">
        <v>1891</v>
      </c>
      <c r="B201" s="1120"/>
      <c r="C201" s="1121">
        <v>411</v>
      </c>
      <c r="D201" s="1121">
        <v>998</v>
      </c>
      <c r="E201" s="1122">
        <v>1.1113919147952596</v>
      </c>
      <c r="F201" s="1120"/>
      <c r="G201" s="1120"/>
      <c r="H201" s="1123">
        <f t="shared" si="12"/>
        <v>41.182364729458918</v>
      </c>
      <c r="I201" s="1123">
        <f t="shared" si="9"/>
        <v>66.924913441847494</v>
      </c>
      <c r="J201" s="1120"/>
      <c r="K201" s="1120"/>
      <c r="L201" s="1120"/>
      <c r="M201" s="1124">
        <v>465.61624593090301</v>
      </c>
      <c r="N201" s="1029"/>
      <c r="O201" s="1126">
        <v>100.98801098161613</v>
      </c>
      <c r="P201" s="1127">
        <v>672.0518244706567</v>
      </c>
      <c r="Q201" s="1127">
        <v>824.34630927842852</v>
      </c>
      <c r="R201" s="1127">
        <v>26099.282398468829</v>
      </c>
      <c r="S201" s="1127"/>
      <c r="T201" s="1127">
        <f t="shared" si="10"/>
        <v>465.61624593090301</v>
      </c>
      <c r="U201" s="1128">
        <f t="shared" si="11"/>
        <v>100.98801098161613</v>
      </c>
      <c r="V201" s="1127">
        <f t="shared" si="17"/>
        <v>672.0518244706567</v>
      </c>
      <c r="W201" s="1127">
        <f t="shared" si="16"/>
        <v>824.34630927842852</v>
      </c>
      <c r="X201" s="1127">
        <f t="shared" si="15"/>
        <v>26099.282398468829</v>
      </c>
      <c r="Y201" s="1120"/>
      <c r="Z201" s="1120"/>
      <c r="AA201" s="1120"/>
      <c r="AB201" s="1120"/>
      <c r="AC201" s="1116"/>
    </row>
    <row r="202" spans="1:29" x14ac:dyDescent="0.35">
      <c r="A202" s="1120">
        <v>1892</v>
      </c>
      <c r="B202" s="1120"/>
      <c r="C202" s="1121">
        <v>407</v>
      </c>
      <c r="D202" s="1121">
        <v>996</v>
      </c>
      <c r="E202" s="1122">
        <v>1.1204368133897276</v>
      </c>
      <c r="F202" s="1120"/>
      <c r="G202" s="1120"/>
      <c r="H202" s="1123">
        <f t="shared" si="12"/>
        <v>40.863453815261039</v>
      </c>
      <c r="I202" s="1123">
        <f t="shared" ref="I202:I255" si="18">I$257*(H202/H$257)</f>
        <v>66.406655554798903</v>
      </c>
      <c r="J202" s="1120"/>
      <c r="K202" s="1120"/>
      <c r="L202" s="1120"/>
      <c r="M202" s="1124">
        <v>605.89388198821564</v>
      </c>
      <c r="N202" s="1029"/>
      <c r="O202" s="1126">
        <v>98.091613746389214</v>
      </c>
      <c r="P202" s="1127">
        <v>612.08057764610805</v>
      </c>
      <c r="Q202" s="1127">
        <v>878.65317750028169</v>
      </c>
      <c r="R202" s="1127">
        <v>25749.067628368481</v>
      </c>
      <c r="S202" s="1127"/>
      <c r="T202" s="1127">
        <f t="shared" ref="T202:T257" si="19">M202</f>
        <v>605.89388198821564</v>
      </c>
      <c r="U202" s="1128">
        <f t="shared" ref="U202:U235" si="20">O202</f>
        <v>98.091613746389214</v>
      </c>
      <c r="V202" s="1127">
        <f t="shared" si="17"/>
        <v>612.08057764610805</v>
      </c>
      <c r="W202" s="1127">
        <f t="shared" si="16"/>
        <v>878.65317750028169</v>
      </c>
      <c r="X202" s="1127">
        <f t="shared" si="15"/>
        <v>25749.067628368481</v>
      </c>
      <c r="Y202" s="1120"/>
      <c r="Z202" s="1120"/>
      <c r="AA202" s="1120"/>
      <c r="AB202" s="1120"/>
      <c r="AC202" s="1116"/>
    </row>
    <row r="203" spans="1:29" x14ac:dyDescent="0.35">
      <c r="A203" s="1120">
        <v>1893</v>
      </c>
      <c r="B203" s="1120"/>
      <c r="C203" s="1121">
        <v>401</v>
      </c>
      <c r="D203" s="1121">
        <v>914</v>
      </c>
      <c r="E203" s="1122">
        <v>1.1249592626869616</v>
      </c>
      <c r="F203" s="1120"/>
      <c r="G203" s="1120"/>
      <c r="H203" s="1123">
        <f t="shared" ref="H203:H264" si="21">C203/D203*100</f>
        <v>43.87308533916849</v>
      </c>
      <c r="I203" s="1123">
        <f t="shared" si="18"/>
        <v>71.297567734139619</v>
      </c>
      <c r="J203" s="1120"/>
      <c r="K203" s="1120"/>
      <c r="L203" s="1120"/>
      <c r="M203" s="1124">
        <v>867.85130699196804</v>
      </c>
      <c r="N203" s="1029"/>
      <c r="O203" s="1126">
        <v>105.70303160343593</v>
      </c>
      <c r="P203" s="1127">
        <v>545.57346338281877</v>
      </c>
      <c r="Q203" s="1127">
        <v>912.14429562693169</v>
      </c>
      <c r="R203" s="1127">
        <v>26031.971777143768</v>
      </c>
      <c r="S203" s="1127"/>
      <c r="T203" s="1127">
        <f t="shared" si="19"/>
        <v>867.85130699196804</v>
      </c>
      <c r="U203" s="1128">
        <f t="shared" si="20"/>
        <v>105.70303160343593</v>
      </c>
      <c r="V203" s="1127">
        <f t="shared" si="17"/>
        <v>545.57346338281877</v>
      </c>
      <c r="W203" s="1127">
        <f t="shared" si="16"/>
        <v>912.14429562693169</v>
      </c>
      <c r="X203" s="1127">
        <f t="shared" si="15"/>
        <v>26031.971777143768</v>
      </c>
      <c r="Y203" s="1120"/>
      <c r="Z203" s="1120"/>
      <c r="AA203" s="1120"/>
      <c r="AB203" s="1120"/>
      <c r="AC203" s="1116"/>
    </row>
    <row r="204" spans="1:29" x14ac:dyDescent="0.35">
      <c r="A204" s="1120">
        <v>1894</v>
      </c>
      <c r="B204" s="1120"/>
      <c r="C204" s="1121">
        <v>372</v>
      </c>
      <c r="D204" s="1121">
        <v>982</v>
      </c>
      <c r="E204" s="1122">
        <v>1.1034776285251</v>
      </c>
      <c r="F204" s="1120"/>
      <c r="G204" s="1120"/>
      <c r="H204" s="1123">
        <f t="shared" si="21"/>
        <v>37.88187372708758</v>
      </c>
      <c r="I204" s="1123">
        <f t="shared" si="18"/>
        <v>61.561329390752611</v>
      </c>
      <c r="J204" s="1120"/>
      <c r="K204" s="1120"/>
      <c r="L204" s="1120"/>
      <c r="M204" s="1124">
        <v>834.06305130759245</v>
      </c>
      <c r="N204" s="1029"/>
      <c r="O204" s="1126">
        <v>92.005623959529402</v>
      </c>
      <c r="P204" s="1127">
        <v>520.29299533372455</v>
      </c>
      <c r="Q204" s="1127">
        <v>906.23979542627217</v>
      </c>
      <c r="R204" s="1127">
        <v>25718.573542611495</v>
      </c>
      <c r="S204" s="1127"/>
      <c r="T204" s="1127">
        <f t="shared" si="19"/>
        <v>834.06305130759245</v>
      </c>
      <c r="U204" s="1128">
        <f t="shared" si="20"/>
        <v>92.005623959529402</v>
      </c>
      <c r="V204" s="1127">
        <f t="shared" si="17"/>
        <v>520.29299533372455</v>
      </c>
      <c r="W204" s="1127">
        <f t="shared" si="16"/>
        <v>906.23979542627217</v>
      </c>
      <c r="X204" s="1127">
        <f t="shared" si="15"/>
        <v>25718.573542611495</v>
      </c>
      <c r="Y204" s="1120"/>
      <c r="Z204" s="1120"/>
      <c r="AA204" s="1120"/>
      <c r="AB204" s="1120"/>
      <c r="AC204" s="1116"/>
    </row>
    <row r="205" spans="1:29" x14ac:dyDescent="0.35">
      <c r="A205" s="1120">
        <v>1895</v>
      </c>
      <c r="B205" s="1120"/>
      <c r="C205" s="1121">
        <v>368</v>
      </c>
      <c r="D205" s="1121">
        <v>968</v>
      </c>
      <c r="E205" s="1122">
        <v>1.0740817080930789</v>
      </c>
      <c r="F205" s="1120"/>
      <c r="G205" s="1120"/>
      <c r="H205" s="1123">
        <f t="shared" si="21"/>
        <v>38.016528925619838</v>
      </c>
      <c r="I205" s="1123">
        <f t="shared" si="18"/>
        <v>61.780155763775809</v>
      </c>
      <c r="J205" s="1120"/>
      <c r="K205" s="1120"/>
      <c r="L205" s="1120"/>
      <c r="M205" s="1124">
        <v>720.3007405039981</v>
      </c>
      <c r="N205" s="1029"/>
      <c r="O205" s="1126">
        <v>84.989164339773225</v>
      </c>
      <c r="P205" s="1127">
        <v>657.36395069640741</v>
      </c>
      <c r="Q205" s="1127">
        <v>882.40329776276701</v>
      </c>
      <c r="R205" s="1127">
        <v>24757.867488662134</v>
      </c>
      <c r="S205" s="1127"/>
      <c r="T205" s="1127">
        <f t="shared" si="19"/>
        <v>720.3007405039981</v>
      </c>
      <c r="U205" s="1128">
        <f t="shared" si="20"/>
        <v>84.989164339773225</v>
      </c>
      <c r="V205" s="1127">
        <f t="shared" si="17"/>
        <v>657.36395069640741</v>
      </c>
      <c r="W205" s="1127">
        <f t="shared" si="16"/>
        <v>882.40329776276701</v>
      </c>
      <c r="X205" s="1127">
        <f t="shared" si="15"/>
        <v>24757.867488662134</v>
      </c>
      <c r="Y205" s="1120"/>
      <c r="Z205" s="1120"/>
      <c r="AA205" s="1120"/>
      <c r="AB205" s="1120"/>
      <c r="AC205" s="1116"/>
    </row>
    <row r="206" spans="1:29" x14ac:dyDescent="0.35">
      <c r="A206" s="1120">
        <v>1896</v>
      </c>
      <c r="B206" s="1120"/>
      <c r="C206" s="1121">
        <v>352</v>
      </c>
      <c r="D206" s="1121">
        <v>947</v>
      </c>
      <c r="E206" s="1122">
        <v>1.0593837478770685</v>
      </c>
      <c r="F206" s="1120"/>
      <c r="G206" s="1120"/>
      <c r="H206" s="1123">
        <f t="shared" si="21"/>
        <v>37.170010559662089</v>
      </c>
      <c r="I206" s="1123">
        <f t="shared" si="18"/>
        <v>60.404490020906735</v>
      </c>
      <c r="J206" s="1120"/>
      <c r="K206" s="1120"/>
      <c r="L206" s="1120"/>
      <c r="M206" s="1124">
        <v>711.75416463930731</v>
      </c>
      <c r="N206" s="1029"/>
      <c r="O206" s="1126">
        <v>85.359517121790304</v>
      </c>
      <c r="P206" s="1127">
        <v>682.03036271634699</v>
      </c>
      <c r="Q206" s="1127">
        <v>941.17694727891183</v>
      </c>
      <c r="R206" s="1127">
        <v>23490.06901160465</v>
      </c>
      <c r="S206" s="1127"/>
      <c r="T206" s="1127">
        <f t="shared" si="19"/>
        <v>711.75416463930731</v>
      </c>
      <c r="U206" s="1128">
        <f t="shared" si="20"/>
        <v>85.359517121790304</v>
      </c>
      <c r="V206" s="1127">
        <f t="shared" si="17"/>
        <v>682.03036271634699</v>
      </c>
      <c r="W206" s="1127">
        <f t="shared" si="16"/>
        <v>941.17694727891183</v>
      </c>
      <c r="X206" s="1127">
        <f t="shared" si="15"/>
        <v>23490.06901160465</v>
      </c>
      <c r="Y206" s="1120"/>
      <c r="Z206" s="1120"/>
      <c r="AA206" s="1120"/>
      <c r="AB206" s="1120"/>
      <c r="AC206" s="1116"/>
    </row>
    <row r="207" spans="1:29" x14ac:dyDescent="0.35">
      <c r="A207" s="1120">
        <v>1897</v>
      </c>
      <c r="B207" s="1120"/>
      <c r="C207" s="1121">
        <v>353</v>
      </c>
      <c r="D207" s="1121">
        <v>963</v>
      </c>
      <c r="E207" s="1122">
        <v>1.0571225232284513</v>
      </c>
      <c r="F207" s="1120"/>
      <c r="G207" s="1120"/>
      <c r="H207" s="1123">
        <f t="shared" si="21"/>
        <v>36.656282450674979</v>
      </c>
      <c r="I207" s="1123">
        <f t="shared" si="18"/>
        <v>59.569637300513712</v>
      </c>
      <c r="J207" s="1120"/>
      <c r="K207" s="1120"/>
      <c r="L207" s="1120"/>
      <c r="M207" s="1124">
        <v>711.49106531209918</v>
      </c>
      <c r="N207" s="1029"/>
      <c r="O207" s="1126">
        <v>88.045831337093702</v>
      </c>
      <c r="P207" s="1127">
        <v>610.57470573850424</v>
      </c>
      <c r="Q207" s="1127">
        <v>857.32756484946947</v>
      </c>
      <c r="R207" s="1127">
        <v>21729.428165383808</v>
      </c>
      <c r="S207" s="1127"/>
      <c r="T207" s="1127">
        <f t="shared" si="19"/>
        <v>711.49106531209918</v>
      </c>
      <c r="U207" s="1128">
        <f t="shared" si="20"/>
        <v>88.045831337093702</v>
      </c>
      <c r="V207" s="1127">
        <f t="shared" si="17"/>
        <v>610.57470573850424</v>
      </c>
      <c r="W207" s="1127">
        <f t="shared" si="16"/>
        <v>857.32756484946947</v>
      </c>
      <c r="X207" s="1127">
        <f t="shared" si="15"/>
        <v>21729.428165383808</v>
      </c>
      <c r="Y207" s="1120"/>
      <c r="Z207" s="1120"/>
      <c r="AA207" s="1120"/>
      <c r="AB207" s="1120"/>
      <c r="AC207" s="1116"/>
    </row>
    <row r="208" spans="1:29" x14ac:dyDescent="0.35">
      <c r="A208" s="1120">
        <v>1898</v>
      </c>
      <c r="B208" s="1120"/>
      <c r="C208" s="1121">
        <v>359</v>
      </c>
      <c r="D208" s="1121">
        <v>982</v>
      </c>
      <c r="E208" s="1122">
        <v>1.0786041573903129</v>
      </c>
      <c r="F208" s="1120"/>
      <c r="G208" s="1120"/>
      <c r="H208" s="1123">
        <f t="shared" si="21"/>
        <v>36.558044806517309</v>
      </c>
      <c r="I208" s="1123">
        <f t="shared" si="18"/>
        <v>59.409992610968239</v>
      </c>
      <c r="J208" s="1120"/>
      <c r="K208" s="1120"/>
      <c r="L208" s="1120"/>
      <c r="M208" s="1124">
        <v>710.18252650969976</v>
      </c>
      <c r="N208" s="1029"/>
      <c r="O208" s="1126">
        <v>86.623337758548956</v>
      </c>
      <c r="P208" s="1127">
        <v>568.90957156443244</v>
      </c>
      <c r="Q208" s="1127">
        <v>847.57164813830389</v>
      </c>
      <c r="R208" s="1127">
        <v>20059.195672606525</v>
      </c>
      <c r="S208" s="1127"/>
      <c r="T208" s="1127">
        <f t="shared" si="19"/>
        <v>710.18252650969976</v>
      </c>
      <c r="U208" s="1128">
        <f t="shared" si="20"/>
        <v>86.623337758548956</v>
      </c>
      <c r="V208" s="1127">
        <f t="shared" si="17"/>
        <v>568.90957156443244</v>
      </c>
      <c r="W208" s="1127">
        <f t="shared" si="16"/>
        <v>847.57164813830389</v>
      </c>
      <c r="X208" s="1127">
        <f t="shared" si="15"/>
        <v>20059.195672606525</v>
      </c>
      <c r="Y208" s="1120"/>
      <c r="Z208" s="1120"/>
      <c r="AA208" s="1120"/>
      <c r="AB208" s="1120"/>
      <c r="AC208" s="1116"/>
    </row>
    <row r="209" spans="1:29" x14ac:dyDescent="0.35">
      <c r="A209" s="1120">
        <v>1899</v>
      </c>
      <c r="B209" s="1120"/>
      <c r="C209" s="1121">
        <v>372</v>
      </c>
      <c r="D209" s="1121">
        <v>950</v>
      </c>
      <c r="E209" s="1122">
        <v>1.0978245669035573</v>
      </c>
      <c r="F209" s="1120"/>
      <c r="G209" s="1120"/>
      <c r="H209" s="1123">
        <f t="shared" si="21"/>
        <v>39.157894736842103</v>
      </c>
      <c r="I209" s="1123">
        <f t="shared" si="18"/>
        <v>63.634974170230585</v>
      </c>
      <c r="J209" s="1120"/>
      <c r="K209" s="1120"/>
      <c r="L209" s="1120"/>
      <c r="M209" s="1124">
        <v>660.19535262023692</v>
      </c>
      <c r="N209" s="1029"/>
      <c r="O209" s="1126">
        <v>103.00138789166297</v>
      </c>
      <c r="P209" s="1127">
        <v>591.63151421974931</v>
      </c>
      <c r="Q209" s="1127">
        <v>848.51496170550581</v>
      </c>
      <c r="R209" s="1127">
        <v>18423.413541618022</v>
      </c>
      <c r="S209" s="1127"/>
      <c r="T209" s="1127">
        <f t="shared" si="19"/>
        <v>660.19535262023692</v>
      </c>
      <c r="U209" s="1128">
        <f t="shared" si="20"/>
        <v>103.00138789166297</v>
      </c>
      <c r="V209" s="1127">
        <f t="shared" si="17"/>
        <v>591.63151421974931</v>
      </c>
      <c r="W209" s="1127">
        <f t="shared" si="16"/>
        <v>848.51496170550581</v>
      </c>
      <c r="X209" s="1127">
        <f t="shared" si="15"/>
        <v>18423.413541618022</v>
      </c>
      <c r="Y209" s="1120"/>
      <c r="Z209" s="1120"/>
      <c r="AA209" s="1120"/>
      <c r="AB209" s="1120"/>
      <c r="AC209" s="1116"/>
    </row>
    <row r="210" spans="1:29" x14ac:dyDescent="0.35">
      <c r="A210" s="1120">
        <v>1900</v>
      </c>
      <c r="B210" s="1120"/>
      <c r="C210" s="1121">
        <v>497</v>
      </c>
      <c r="D210" s="1121">
        <v>994</v>
      </c>
      <c r="E210" s="1122">
        <v>1.0865184436604722</v>
      </c>
      <c r="F210" s="1120"/>
      <c r="G210" s="1120"/>
      <c r="H210" s="1123">
        <f t="shared" si="21"/>
        <v>50</v>
      </c>
      <c r="I210" s="1123">
        <f t="shared" si="18"/>
        <v>81.25433529800948</v>
      </c>
      <c r="J210" s="1120"/>
      <c r="K210" s="1120"/>
      <c r="L210" s="1120"/>
      <c r="M210" s="1124">
        <v>724.53926675815501</v>
      </c>
      <c r="N210" s="1029"/>
      <c r="O210" s="1126">
        <v>126.05337596519367</v>
      </c>
      <c r="P210" s="1127">
        <v>658.03003078077904</v>
      </c>
      <c r="Q210" s="1127">
        <v>869.48497919519832</v>
      </c>
      <c r="R210" s="1127">
        <v>16296.917888387474</v>
      </c>
      <c r="S210" s="1127"/>
      <c r="T210" s="1127">
        <f t="shared" si="19"/>
        <v>724.53926675815501</v>
      </c>
      <c r="U210" s="1128">
        <f t="shared" si="20"/>
        <v>126.05337596519367</v>
      </c>
      <c r="V210" s="1127">
        <f t="shared" si="17"/>
        <v>658.03003078077904</v>
      </c>
      <c r="W210" s="1127">
        <f t="shared" si="16"/>
        <v>869.48497919519832</v>
      </c>
      <c r="X210" s="1127">
        <f t="shared" si="15"/>
        <v>16296.917888387474</v>
      </c>
      <c r="Y210" s="1120"/>
      <c r="Z210" s="1120"/>
      <c r="AA210" s="1120"/>
      <c r="AB210" s="1120"/>
      <c r="AC210" s="1116"/>
    </row>
    <row r="211" spans="1:29" x14ac:dyDescent="0.35">
      <c r="A211" s="1120">
        <v>1901</v>
      </c>
      <c r="B211" s="1120"/>
      <c r="C211" s="1121">
        <v>427</v>
      </c>
      <c r="D211" s="1121">
        <v>986</v>
      </c>
      <c r="E211" s="1122">
        <v>1.130612324308504</v>
      </c>
      <c r="F211" s="1120"/>
      <c r="G211" s="1120"/>
      <c r="H211" s="1123">
        <f t="shared" si="21"/>
        <v>43.306288032454361</v>
      </c>
      <c r="I211" s="1123">
        <f t="shared" si="18"/>
        <v>70.376472966024451</v>
      </c>
      <c r="J211" s="1120"/>
      <c r="K211" s="1120"/>
      <c r="L211" s="1120"/>
      <c r="M211" s="1124">
        <v>907.34833830428101</v>
      </c>
      <c r="N211" s="1029"/>
      <c r="O211" s="1126">
        <v>107.84996833391176</v>
      </c>
      <c r="P211" s="1127">
        <v>589.71434928716565</v>
      </c>
      <c r="Q211" s="1127">
        <v>897.39603606343189</v>
      </c>
      <c r="R211" s="1127">
        <v>16884.062101109757</v>
      </c>
      <c r="S211" s="1127"/>
      <c r="T211" s="1127">
        <f t="shared" si="19"/>
        <v>907.34833830428101</v>
      </c>
      <c r="U211" s="1128">
        <f t="shared" si="20"/>
        <v>107.84996833391176</v>
      </c>
      <c r="V211" s="1127">
        <f t="shared" si="17"/>
        <v>589.71434928716565</v>
      </c>
      <c r="W211" s="1127">
        <f t="shared" si="16"/>
        <v>897.39603606343189</v>
      </c>
      <c r="X211" s="1127">
        <f t="shared" si="15"/>
        <v>16884.062101109757</v>
      </c>
      <c r="Y211" s="1120"/>
      <c r="Z211" s="1120"/>
      <c r="AA211" s="1120"/>
      <c r="AB211" s="1120"/>
      <c r="AC211" s="1116"/>
    </row>
    <row r="212" spans="1:29" x14ac:dyDescent="0.35">
      <c r="A212" s="1120">
        <v>1902</v>
      </c>
      <c r="B212" s="1120"/>
      <c r="C212" s="1121">
        <v>409</v>
      </c>
      <c r="D212" s="1121">
        <v>963</v>
      </c>
      <c r="E212" s="1122">
        <v>1.1272204873355784</v>
      </c>
      <c r="F212" s="1120"/>
      <c r="G212" s="1120"/>
      <c r="H212" s="1123">
        <f t="shared" si="21"/>
        <v>42.471443406022843</v>
      </c>
      <c r="I212" s="1123">
        <f t="shared" si="18"/>
        <v>69.019778062068283</v>
      </c>
      <c r="J212" s="1120"/>
      <c r="K212" s="1120"/>
      <c r="L212" s="1120"/>
      <c r="M212" s="1124">
        <v>1015.923539756624</v>
      </c>
      <c r="N212" s="1029"/>
      <c r="O212" s="1126">
        <v>99.960743150286092</v>
      </c>
      <c r="P212" s="1127">
        <v>539.11019162112814</v>
      </c>
      <c r="Q212" s="1127">
        <v>839.19671154885771</v>
      </c>
      <c r="R212" s="1127">
        <v>16350.881192653656</v>
      </c>
      <c r="S212" s="1127"/>
      <c r="T212" s="1127">
        <f t="shared" si="19"/>
        <v>1015.923539756624</v>
      </c>
      <c r="U212" s="1128">
        <f t="shared" si="20"/>
        <v>99.960743150286092</v>
      </c>
      <c r="V212" s="1127">
        <f t="shared" si="17"/>
        <v>539.11019162112814</v>
      </c>
      <c r="W212" s="1127">
        <f t="shared" si="16"/>
        <v>839.19671154885771</v>
      </c>
      <c r="X212" s="1127">
        <f t="shared" si="15"/>
        <v>16350.881192653656</v>
      </c>
      <c r="Y212" s="1120"/>
      <c r="Z212" s="1120"/>
      <c r="AA212" s="1120"/>
      <c r="AB212" s="1120"/>
      <c r="AC212" s="1116"/>
    </row>
    <row r="213" spans="1:29" x14ac:dyDescent="0.35">
      <c r="A213" s="1120">
        <v>1903</v>
      </c>
      <c r="B213" s="1120"/>
      <c r="C213" s="1121">
        <v>372</v>
      </c>
      <c r="D213" s="1121">
        <v>1004</v>
      </c>
      <c r="E213" s="1122">
        <v>1.1272204873355784</v>
      </c>
      <c r="F213" s="1120"/>
      <c r="G213" s="1120"/>
      <c r="H213" s="1123">
        <f t="shared" si="21"/>
        <v>37.051792828685258</v>
      </c>
      <c r="I213" s="1123">
        <f t="shared" si="18"/>
        <v>60.212375957887502</v>
      </c>
      <c r="J213" s="1120"/>
      <c r="K213" s="1120"/>
      <c r="L213" s="1120"/>
      <c r="M213" s="1124">
        <v>992.39391942415386</v>
      </c>
      <c r="N213" s="1029"/>
      <c r="O213" s="1126">
        <v>88.357239209980804</v>
      </c>
      <c r="P213" s="1127">
        <v>565.79356205710917</v>
      </c>
      <c r="Q213" s="1127">
        <v>820.13169828520904</v>
      </c>
      <c r="R213" s="1127">
        <v>15469.231247957696</v>
      </c>
      <c r="S213" s="1127"/>
      <c r="T213" s="1127">
        <f t="shared" si="19"/>
        <v>992.39391942415386</v>
      </c>
      <c r="U213" s="1128">
        <f t="shared" si="20"/>
        <v>88.357239209980804</v>
      </c>
      <c r="V213" s="1127">
        <f t="shared" si="17"/>
        <v>565.79356205710917</v>
      </c>
      <c r="W213" s="1127">
        <f t="shared" si="16"/>
        <v>820.13169828520904</v>
      </c>
      <c r="X213" s="1127">
        <f t="shared" si="15"/>
        <v>15469.231247957696</v>
      </c>
      <c r="Y213" s="1120"/>
      <c r="Z213" s="1120"/>
      <c r="AA213" s="1120"/>
      <c r="AB213" s="1120"/>
      <c r="AC213" s="1116"/>
    </row>
    <row r="214" spans="1:29" x14ac:dyDescent="0.35">
      <c r="A214" s="1120">
        <v>1904</v>
      </c>
      <c r="B214" s="1120"/>
      <c r="C214" s="1121">
        <v>368</v>
      </c>
      <c r="D214" s="1121">
        <v>985</v>
      </c>
      <c r="E214" s="1122">
        <v>1.139657222902972</v>
      </c>
      <c r="F214" s="1120"/>
      <c r="G214" s="1120"/>
      <c r="H214" s="1123">
        <f t="shared" si="21"/>
        <v>37.360406091370557</v>
      </c>
      <c r="I214" s="1123">
        <f t="shared" si="18"/>
        <v>60.713899268360386</v>
      </c>
      <c r="J214" s="1120"/>
      <c r="K214" s="1120"/>
      <c r="L214" s="1120"/>
      <c r="M214" s="1124">
        <v>988.15646741207593</v>
      </c>
      <c r="N214" s="1029"/>
      <c r="O214" s="1126">
        <v>87.479033532599502</v>
      </c>
      <c r="P214" s="1127">
        <v>603.24441445384934</v>
      </c>
      <c r="Q214" s="1127">
        <v>791.77648674475256</v>
      </c>
      <c r="R214" s="1127">
        <v>14109.146493208453</v>
      </c>
      <c r="S214" s="1127"/>
      <c r="T214" s="1127">
        <f t="shared" si="19"/>
        <v>988.15646741207593</v>
      </c>
      <c r="U214" s="1128">
        <f t="shared" si="20"/>
        <v>87.479033532599502</v>
      </c>
      <c r="V214" s="1127">
        <f t="shared" si="17"/>
        <v>603.24441445384934</v>
      </c>
      <c r="W214" s="1127">
        <f t="shared" si="16"/>
        <v>791.77648674475256</v>
      </c>
      <c r="X214" s="1127">
        <f t="shared" si="15"/>
        <v>14109.146493208453</v>
      </c>
      <c r="Y214" s="1120"/>
      <c r="Z214" s="1120"/>
      <c r="AA214" s="1120"/>
      <c r="AB214" s="1120"/>
      <c r="AC214" s="1116"/>
    </row>
    <row r="215" spans="1:29" x14ac:dyDescent="0.35">
      <c r="A215" s="1120">
        <v>1905</v>
      </c>
      <c r="B215" s="1120"/>
      <c r="C215" s="1121">
        <v>350</v>
      </c>
      <c r="D215" s="1121">
        <v>989</v>
      </c>
      <c r="E215" s="1122">
        <v>1.1351347736057382</v>
      </c>
      <c r="F215" s="1120"/>
      <c r="G215" s="1120"/>
      <c r="H215" s="1123">
        <f t="shared" si="21"/>
        <v>35.389282103134477</v>
      </c>
      <c r="I215" s="1123">
        <f t="shared" si="18"/>
        <v>57.510651879278704</v>
      </c>
      <c r="J215" s="1120"/>
      <c r="K215" s="1120"/>
      <c r="L215" s="1120"/>
      <c r="M215" s="1124">
        <v>957.85169966223316</v>
      </c>
      <c r="N215" s="1029"/>
      <c r="O215" s="1126">
        <v>83.334596044518307</v>
      </c>
      <c r="P215" s="1127">
        <v>550.33976363748741</v>
      </c>
      <c r="Q215" s="1127">
        <v>776.80398592297183</v>
      </c>
      <c r="R215" s="1127">
        <v>13359.790623236189</v>
      </c>
      <c r="S215" s="1127"/>
      <c r="T215" s="1127">
        <f t="shared" si="19"/>
        <v>957.85169966223316</v>
      </c>
      <c r="U215" s="1128">
        <f t="shared" si="20"/>
        <v>83.334596044518307</v>
      </c>
      <c r="V215" s="1127">
        <f t="shared" si="17"/>
        <v>550.33976363748741</v>
      </c>
      <c r="W215" s="1127">
        <f t="shared" si="16"/>
        <v>776.80398592297183</v>
      </c>
      <c r="X215" s="1127">
        <f t="shared" si="15"/>
        <v>13359.790623236189</v>
      </c>
      <c r="Y215" s="1120"/>
      <c r="Z215" s="1120"/>
      <c r="AA215" s="1120"/>
      <c r="AB215" s="1120"/>
      <c r="AC215" s="1116"/>
    </row>
    <row r="216" spans="1:29" x14ac:dyDescent="0.35">
      <c r="A216" s="1120">
        <v>1906</v>
      </c>
      <c r="B216" s="1120"/>
      <c r="C216" s="1121">
        <v>372</v>
      </c>
      <c r="D216" s="1121">
        <v>1016</v>
      </c>
      <c r="E216" s="1122">
        <v>1.1396572229029722</v>
      </c>
      <c r="F216" s="1120"/>
      <c r="G216" s="1120"/>
      <c r="H216" s="1123">
        <f t="shared" si="21"/>
        <v>36.614173228346459</v>
      </c>
      <c r="I216" s="1123">
        <f t="shared" si="18"/>
        <v>59.501206163109316</v>
      </c>
      <c r="J216" s="1120"/>
      <c r="K216" s="1120"/>
      <c r="L216" s="1120"/>
      <c r="M216" s="1124">
        <v>902.45085695309535</v>
      </c>
      <c r="N216" s="1029"/>
      <c r="O216" s="1126">
        <v>88.985589479011708</v>
      </c>
      <c r="P216" s="1127">
        <v>622.82982680327063</v>
      </c>
      <c r="Q216" s="1127">
        <v>777.6529520278059</v>
      </c>
      <c r="R216" s="1127">
        <v>12318.518475149625</v>
      </c>
      <c r="S216" s="1127"/>
      <c r="T216" s="1127">
        <f t="shared" si="19"/>
        <v>902.45085695309535</v>
      </c>
      <c r="U216" s="1128">
        <f t="shared" si="20"/>
        <v>88.985589479011708</v>
      </c>
      <c r="V216" s="1127">
        <f t="shared" si="17"/>
        <v>622.82982680327063</v>
      </c>
      <c r="W216" s="1127">
        <f t="shared" si="16"/>
        <v>777.6529520278059</v>
      </c>
      <c r="X216" s="1127">
        <f t="shared" si="15"/>
        <v>12318.518475149625</v>
      </c>
      <c r="Y216" s="1120"/>
      <c r="Z216" s="1120"/>
      <c r="AA216" s="1120"/>
      <c r="AB216" s="1120"/>
      <c r="AC216" s="1116"/>
    </row>
    <row r="217" spans="1:29" x14ac:dyDescent="0.35">
      <c r="A217" s="1120">
        <v>1907</v>
      </c>
      <c r="B217" s="1120"/>
      <c r="C217" s="1121">
        <v>421</v>
      </c>
      <c r="D217" s="1121">
        <v>1031</v>
      </c>
      <c r="E217" s="1122">
        <v>1.1385266105786638</v>
      </c>
      <c r="F217" s="1120"/>
      <c r="G217" s="1120"/>
      <c r="H217" s="1123">
        <f t="shared" si="21"/>
        <v>40.834141610087293</v>
      </c>
      <c r="I217" s="1123">
        <f t="shared" si="18"/>
        <v>66.359020679848683</v>
      </c>
      <c r="J217" s="1120"/>
      <c r="K217" s="1120"/>
      <c r="L217" s="1120"/>
      <c r="M217" s="1124">
        <v>810.35588401933001</v>
      </c>
      <c r="N217" s="1029"/>
      <c r="O217" s="1126">
        <v>105.00469179148489</v>
      </c>
      <c r="P217" s="1127">
        <v>600.88483804535451</v>
      </c>
      <c r="Q217" s="1127">
        <v>777.30315311608513</v>
      </c>
      <c r="R217" s="1127">
        <v>11427.270825104235</v>
      </c>
      <c r="S217" s="1127"/>
      <c r="T217" s="1127">
        <f t="shared" si="19"/>
        <v>810.35588401933001</v>
      </c>
      <c r="U217" s="1128">
        <f t="shared" si="20"/>
        <v>105.00469179148489</v>
      </c>
      <c r="V217" s="1127">
        <f t="shared" si="17"/>
        <v>600.88483804535451</v>
      </c>
      <c r="W217" s="1127">
        <f t="shared" si="16"/>
        <v>777.30315311608513</v>
      </c>
      <c r="X217" s="1127">
        <f t="shared" si="15"/>
        <v>11427.270825104235</v>
      </c>
      <c r="Y217" s="1120"/>
      <c r="Z217" s="1120"/>
      <c r="AA217" s="1120"/>
      <c r="AB217" s="1120"/>
      <c r="AC217" s="1116"/>
    </row>
    <row r="218" spans="1:29" x14ac:dyDescent="0.35">
      <c r="A218" s="1120">
        <v>1908</v>
      </c>
      <c r="B218" s="1120"/>
      <c r="C218" s="1121">
        <v>394</v>
      </c>
      <c r="D218" s="1121">
        <v>1043</v>
      </c>
      <c r="E218" s="1122">
        <v>1.1566164077675998</v>
      </c>
      <c r="F218" s="1120"/>
      <c r="G218" s="1120"/>
      <c r="H218" s="1123">
        <f t="shared" si="21"/>
        <v>37.775647171620328</v>
      </c>
      <c r="I218" s="1123">
        <f t="shared" si="18"/>
        <v>61.388702027642836</v>
      </c>
      <c r="J218" s="1120"/>
      <c r="K218" s="1120"/>
      <c r="L218" s="1120"/>
      <c r="M218" s="1124">
        <v>795.74419493571781</v>
      </c>
      <c r="N218" s="1029"/>
      <c r="O218" s="1126">
        <v>94.670326946203105</v>
      </c>
      <c r="P218" s="1127">
        <v>610.70428620021767</v>
      </c>
      <c r="Q218" s="1127">
        <v>776.42945155769314</v>
      </c>
      <c r="R218" s="1127">
        <v>10597.96107211462</v>
      </c>
      <c r="S218" s="1127"/>
      <c r="T218" s="1127">
        <f t="shared" si="19"/>
        <v>795.74419493571781</v>
      </c>
      <c r="U218" s="1128">
        <f t="shared" si="20"/>
        <v>94.670326946203105</v>
      </c>
      <c r="V218" s="1127">
        <f t="shared" si="17"/>
        <v>610.70428620021767</v>
      </c>
      <c r="W218" s="1127">
        <f t="shared" si="16"/>
        <v>776.42945155769314</v>
      </c>
      <c r="X218" s="1127">
        <f t="shared" si="15"/>
        <v>10597.96107211462</v>
      </c>
      <c r="Y218" s="1120"/>
      <c r="Z218" s="1120"/>
      <c r="AA218" s="1120"/>
      <c r="AB218" s="1120"/>
      <c r="AC218" s="1116"/>
    </row>
    <row r="219" spans="1:29" x14ac:dyDescent="0.35">
      <c r="A219" s="1120">
        <v>1909</v>
      </c>
      <c r="B219" s="1120"/>
      <c r="C219" s="1121">
        <v>381</v>
      </c>
      <c r="D219" s="1121">
        <v>1058</v>
      </c>
      <c r="E219" s="1122">
        <v>1.1713143679836104</v>
      </c>
      <c r="F219" s="1120"/>
      <c r="G219" s="1120"/>
      <c r="H219" s="1123">
        <f t="shared" si="21"/>
        <v>36.011342155009451</v>
      </c>
      <c r="I219" s="1123">
        <f t="shared" si="18"/>
        <v>58.521553399889633</v>
      </c>
      <c r="J219" s="1120"/>
      <c r="K219" s="1120"/>
      <c r="L219" s="1120"/>
      <c r="M219" s="1124">
        <v>770.43087468831254</v>
      </c>
      <c r="N219" s="1029"/>
      <c r="O219" s="1126">
        <v>92.029285568948609</v>
      </c>
      <c r="P219" s="1127">
        <v>599.39264377957659</v>
      </c>
      <c r="Q219" s="1127">
        <v>760.36987904271905</v>
      </c>
      <c r="R219" s="1127">
        <v>9893.2169412256444</v>
      </c>
      <c r="S219" s="1127"/>
      <c r="T219" s="1127">
        <f t="shared" si="19"/>
        <v>770.43087468831254</v>
      </c>
      <c r="U219" s="1128">
        <f t="shared" si="20"/>
        <v>92.029285568948609</v>
      </c>
      <c r="V219" s="1127">
        <f t="shared" si="17"/>
        <v>599.39264377957659</v>
      </c>
      <c r="W219" s="1127">
        <f t="shared" si="16"/>
        <v>760.36987904271905</v>
      </c>
      <c r="X219" s="1127">
        <f t="shared" si="15"/>
        <v>9893.2169412256444</v>
      </c>
      <c r="Y219" s="1120"/>
      <c r="Z219" s="1120"/>
      <c r="AA219" s="1120"/>
      <c r="AB219" s="1120"/>
      <c r="AC219" s="1116"/>
    </row>
    <row r="220" spans="1:29" x14ac:dyDescent="0.35">
      <c r="A220" s="1120">
        <v>1910</v>
      </c>
      <c r="B220" s="1120"/>
      <c r="C220" s="1121">
        <v>372</v>
      </c>
      <c r="D220" s="1121">
        <v>994</v>
      </c>
      <c r="E220" s="1122">
        <v>1.1735755926322275</v>
      </c>
      <c r="F220" s="1120"/>
      <c r="G220" s="1120"/>
      <c r="H220" s="1123">
        <f t="shared" si="21"/>
        <v>37.424547283702211</v>
      </c>
      <c r="I220" s="1123">
        <f t="shared" si="18"/>
        <v>60.818134267322989</v>
      </c>
      <c r="J220" s="1120"/>
      <c r="K220" s="1120"/>
      <c r="L220" s="1120"/>
      <c r="M220" s="1124">
        <v>781.21669576283716</v>
      </c>
      <c r="N220" s="1029"/>
      <c r="O220" s="1126">
        <v>89.010201302736704</v>
      </c>
      <c r="P220" s="1127">
        <v>539.26907600055256</v>
      </c>
      <c r="Q220" s="1127">
        <v>724.59755977079601</v>
      </c>
      <c r="R220" s="1127">
        <v>9353.89577158664</v>
      </c>
      <c r="S220" s="1127"/>
      <c r="T220" s="1127">
        <f t="shared" si="19"/>
        <v>781.21669576283716</v>
      </c>
      <c r="U220" s="1128">
        <f t="shared" si="20"/>
        <v>89.010201302736704</v>
      </c>
      <c r="V220" s="1127">
        <f t="shared" si="17"/>
        <v>539.26907600055256</v>
      </c>
      <c r="W220" s="1127">
        <f t="shared" si="16"/>
        <v>724.59755977079601</v>
      </c>
      <c r="X220" s="1127">
        <f t="shared" si="15"/>
        <v>9353.89577158664</v>
      </c>
      <c r="Y220" s="1120"/>
      <c r="Z220" s="1120"/>
      <c r="AA220" s="1120"/>
      <c r="AB220" s="1120"/>
      <c r="AC220" s="1116"/>
    </row>
    <row r="221" spans="1:29" x14ac:dyDescent="0.35">
      <c r="A221" s="1120">
        <v>1911</v>
      </c>
      <c r="B221" s="1120"/>
      <c r="C221" s="1121">
        <v>371</v>
      </c>
      <c r="D221" s="1121">
        <v>984</v>
      </c>
      <c r="E221" s="1122">
        <v>1.1984490637670147</v>
      </c>
      <c r="F221" s="1120"/>
      <c r="G221" s="1120"/>
      <c r="H221" s="1123">
        <f t="shared" si="21"/>
        <v>37.703252032520325</v>
      </c>
      <c r="I221" s="1123">
        <f t="shared" si="18"/>
        <v>61.271053649515281</v>
      </c>
      <c r="J221" s="1120"/>
      <c r="K221" s="1120"/>
      <c r="L221" s="1120"/>
      <c r="M221" s="1124">
        <v>809.554934734771</v>
      </c>
      <c r="N221" s="1029"/>
      <c r="O221" s="1126">
        <v>91.583380538308901</v>
      </c>
      <c r="P221" s="1127">
        <v>572.76270402819091</v>
      </c>
      <c r="Q221" s="1127">
        <v>700.20710051619005</v>
      </c>
      <c r="R221" s="1127">
        <v>9001.1534731905213</v>
      </c>
      <c r="S221" s="1127"/>
      <c r="T221" s="1127">
        <f t="shared" si="19"/>
        <v>809.554934734771</v>
      </c>
      <c r="U221" s="1128">
        <f t="shared" si="20"/>
        <v>91.583380538308901</v>
      </c>
      <c r="V221" s="1127">
        <f t="shared" si="17"/>
        <v>572.76270402819091</v>
      </c>
      <c r="W221" s="1127">
        <f t="shared" si="16"/>
        <v>700.20710051619005</v>
      </c>
      <c r="X221" s="1127">
        <f t="shared" si="15"/>
        <v>9001.1534731905213</v>
      </c>
      <c r="Y221" s="1120"/>
      <c r="Z221" s="1120"/>
      <c r="AA221" s="1120"/>
      <c r="AB221" s="1120"/>
      <c r="AC221" s="1116"/>
    </row>
    <row r="222" spans="1:29" x14ac:dyDescent="0.35">
      <c r="A222" s="1120">
        <v>1912</v>
      </c>
      <c r="B222" s="1120"/>
      <c r="C222" s="1121">
        <v>433</v>
      </c>
      <c r="D222" s="1121">
        <v>999</v>
      </c>
      <c r="E222" s="1122">
        <v>1.20184090073994</v>
      </c>
      <c r="F222" s="1120"/>
      <c r="G222" s="1120"/>
      <c r="H222" s="1123">
        <f t="shared" si="21"/>
        <v>43.343343343343342</v>
      </c>
      <c r="I222" s="1123">
        <f t="shared" si="18"/>
        <v>70.436691059135356</v>
      </c>
      <c r="J222" s="1120"/>
      <c r="K222" s="1120"/>
      <c r="L222" s="1120"/>
      <c r="M222" s="1124">
        <v>805.5815806872979</v>
      </c>
      <c r="N222" s="1029"/>
      <c r="O222" s="1126">
        <v>109.27883027935158</v>
      </c>
      <c r="P222" s="1127">
        <v>717.50587616705047</v>
      </c>
      <c r="Q222" s="1127">
        <v>666.7934422008243</v>
      </c>
      <c r="R222" s="1127">
        <v>8585.607264334305</v>
      </c>
      <c r="S222" s="1127"/>
      <c r="T222" s="1127">
        <f t="shared" si="19"/>
        <v>805.5815806872979</v>
      </c>
      <c r="U222" s="1128">
        <f t="shared" si="20"/>
        <v>109.27883027935158</v>
      </c>
      <c r="V222" s="1127">
        <f t="shared" si="17"/>
        <v>717.50587616705047</v>
      </c>
      <c r="W222" s="1127">
        <f t="shared" si="16"/>
        <v>666.7934422008243</v>
      </c>
      <c r="X222" s="1127">
        <f t="shared" si="15"/>
        <v>8585.607264334305</v>
      </c>
      <c r="Y222" s="1120"/>
      <c r="Z222" s="1120"/>
      <c r="AA222" s="1120"/>
      <c r="AB222" s="1120"/>
      <c r="AC222" s="1116"/>
    </row>
    <row r="223" spans="1:29" x14ac:dyDescent="0.35">
      <c r="A223" s="1120">
        <v>1913</v>
      </c>
      <c r="B223" s="1120"/>
      <c r="C223" s="1121">
        <v>439</v>
      </c>
      <c r="D223" s="1121">
        <v>1021</v>
      </c>
      <c r="E223" s="1122">
        <v>1.2357592704691951</v>
      </c>
      <c r="F223" s="1120"/>
      <c r="G223" s="1120"/>
      <c r="H223" s="1123">
        <f t="shared" si="21"/>
        <v>42.997061704211561</v>
      </c>
      <c r="I223" s="1123">
        <f t="shared" si="18"/>
        <v>69.8739533708642</v>
      </c>
      <c r="J223" s="1120"/>
      <c r="K223" s="1120"/>
      <c r="L223" s="1120"/>
      <c r="M223" s="1124">
        <v>806.14318602286039</v>
      </c>
      <c r="N223" s="1029"/>
      <c r="O223" s="1126">
        <v>107.58936449029068</v>
      </c>
      <c r="P223" s="1127">
        <v>831.23473308960331</v>
      </c>
      <c r="Q223" s="1127">
        <v>661.65873341836732</v>
      </c>
      <c r="R223" s="1127">
        <v>8373.072986394558</v>
      </c>
      <c r="S223" s="1127"/>
      <c r="T223" s="1127">
        <f t="shared" si="19"/>
        <v>806.14318602286039</v>
      </c>
      <c r="U223" s="1128">
        <f t="shared" si="20"/>
        <v>107.58936449029068</v>
      </c>
      <c r="V223" s="1127">
        <f t="shared" si="17"/>
        <v>831.23473308960331</v>
      </c>
      <c r="W223" s="1127">
        <f t="shared" si="16"/>
        <v>661.65873341836732</v>
      </c>
      <c r="X223" s="1127">
        <f t="shared" si="15"/>
        <v>8373.072986394558</v>
      </c>
      <c r="Y223" s="1120"/>
      <c r="Z223" s="1120"/>
      <c r="AA223" s="1120"/>
      <c r="AB223" s="1120"/>
      <c r="AC223" s="1116"/>
    </row>
    <row r="224" spans="1:29" x14ac:dyDescent="0.35">
      <c r="A224" s="1120">
        <v>1914</v>
      </c>
      <c r="B224" s="1120"/>
      <c r="C224" s="1121">
        <v>436</v>
      </c>
      <c r="D224" s="1121">
        <v>1147</v>
      </c>
      <c r="E224" s="1122">
        <v>1.2436735567393546</v>
      </c>
      <c r="F224" s="1120"/>
      <c r="G224" s="1120"/>
      <c r="H224" s="1123">
        <f t="shared" si="21"/>
        <v>38.012205754141235</v>
      </c>
      <c r="I224" s="1123">
        <f t="shared" si="18"/>
        <v>61.773130235278352</v>
      </c>
      <c r="J224" s="1120"/>
      <c r="K224" s="1120"/>
      <c r="L224" s="1120"/>
      <c r="M224" s="1124">
        <v>802.17925571989167</v>
      </c>
      <c r="N224" s="1029"/>
      <c r="O224" s="1126">
        <v>106.55100201904716</v>
      </c>
      <c r="P224" s="1127">
        <v>788.11311189924822</v>
      </c>
      <c r="Q224" s="1127">
        <v>669.59637032312924</v>
      </c>
      <c r="R224" s="1127">
        <v>8212.0523520408169</v>
      </c>
      <c r="S224" s="1127"/>
      <c r="T224" s="1127">
        <f t="shared" si="19"/>
        <v>802.17925571989167</v>
      </c>
      <c r="U224" s="1128">
        <f t="shared" si="20"/>
        <v>106.55100201904716</v>
      </c>
      <c r="V224" s="1127">
        <f t="shared" si="17"/>
        <v>788.11311189924822</v>
      </c>
      <c r="W224" s="1127">
        <f t="shared" si="16"/>
        <v>669.59637032312924</v>
      </c>
      <c r="X224" s="1127">
        <f t="shared" si="15"/>
        <v>8212.0523520408169</v>
      </c>
      <c r="Y224" s="1120"/>
      <c r="Z224" s="1120"/>
      <c r="AA224" s="1120"/>
      <c r="AB224" s="1120"/>
      <c r="AC224" s="1116"/>
    </row>
    <row r="225" spans="1:29" x14ac:dyDescent="0.35">
      <c r="A225" s="1120">
        <v>1915</v>
      </c>
      <c r="B225" s="1120"/>
      <c r="C225" s="1121">
        <v>577</v>
      </c>
      <c r="D225" s="1121">
        <v>1317</v>
      </c>
      <c r="E225" s="1122">
        <v>1.2753307018199929</v>
      </c>
      <c r="F225" s="1120"/>
      <c r="G225" s="1120"/>
      <c r="H225" s="1123">
        <f t="shared" si="21"/>
        <v>43.81169324221716</v>
      </c>
      <c r="I225" s="1123">
        <f t="shared" si="18"/>
        <v>71.197800253532989</v>
      </c>
      <c r="J225" s="1120"/>
      <c r="K225" s="1120"/>
      <c r="L225" s="1120"/>
      <c r="M225" s="1124">
        <v>664.35800361243423</v>
      </c>
      <c r="N225" s="1029"/>
      <c r="O225" s="1126">
        <v>138.3114694343131</v>
      </c>
      <c r="P225" s="1127">
        <v>905.22929960602107</v>
      </c>
      <c r="Q225" s="1127">
        <v>653.12319659090917</v>
      </c>
      <c r="R225" s="1127">
        <v>7172.7373484848504</v>
      </c>
      <c r="S225" s="1127"/>
      <c r="T225" s="1127">
        <f t="shared" si="19"/>
        <v>664.35800361243423</v>
      </c>
      <c r="U225" s="1128">
        <f t="shared" si="20"/>
        <v>138.3114694343131</v>
      </c>
      <c r="V225" s="1127">
        <f t="shared" si="17"/>
        <v>905.22929960602107</v>
      </c>
      <c r="W225" s="1127">
        <f t="shared" si="16"/>
        <v>653.12319659090917</v>
      </c>
      <c r="X225" s="1127">
        <f t="shared" ref="X225:X256" si="22">R225</f>
        <v>7172.7373484848504</v>
      </c>
      <c r="Y225" s="1120"/>
      <c r="Z225" s="1120"/>
      <c r="AA225" s="1120"/>
      <c r="AB225" s="1120"/>
      <c r="AC225" s="1116"/>
    </row>
    <row r="226" spans="1:29" x14ac:dyDescent="0.35">
      <c r="A226" s="1120">
        <v>1916</v>
      </c>
      <c r="B226" s="1120"/>
      <c r="C226" s="1121">
        <v>565</v>
      </c>
      <c r="D226" s="1121">
        <v>1664</v>
      </c>
      <c r="E226" s="1122">
        <v>1.4347470395474919</v>
      </c>
      <c r="F226" s="1120"/>
      <c r="G226" s="1120"/>
      <c r="H226" s="1123">
        <f t="shared" si="21"/>
        <v>33.95432692307692</v>
      </c>
      <c r="I226" s="1123">
        <f t="shared" si="18"/>
        <v>55.178725292518457</v>
      </c>
      <c r="J226" s="1120"/>
      <c r="K226" s="1120"/>
      <c r="L226" s="1120"/>
      <c r="M226" s="1124">
        <v>693.95485839729452</v>
      </c>
      <c r="N226" s="1029"/>
      <c r="O226" s="1126">
        <v>104.36369913589114</v>
      </c>
      <c r="P226" s="1127">
        <v>1045.8687461362256</v>
      </c>
      <c r="Q226" s="1127">
        <v>586.83560224358985</v>
      </c>
      <c r="R226" s="1127">
        <v>5947.8545089743584</v>
      </c>
      <c r="S226" s="1127"/>
      <c r="T226" s="1127">
        <f t="shared" si="19"/>
        <v>693.95485839729452</v>
      </c>
      <c r="U226" s="1128">
        <f t="shared" si="20"/>
        <v>104.36369913589114</v>
      </c>
      <c r="V226" s="1127">
        <f t="shared" si="17"/>
        <v>1045.8687461362256</v>
      </c>
      <c r="W226" s="1127">
        <f t="shared" si="16"/>
        <v>586.83560224358985</v>
      </c>
      <c r="X226" s="1127">
        <f t="shared" si="22"/>
        <v>5947.8545089743584</v>
      </c>
      <c r="Y226" s="1120"/>
      <c r="Z226" s="1120"/>
      <c r="AA226" s="1120"/>
      <c r="AB226" s="1120"/>
      <c r="AC226" s="1116"/>
    </row>
    <row r="227" spans="1:29" x14ac:dyDescent="0.35">
      <c r="A227" s="1120">
        <v>1917</v>
      </c>
      <c r="B227" s="1120"/>
      <c r="C227" s="1121">
        <v>641</v>
      </c>
      <c r="D227" s="1121">
        <v>1965</v>
      </c>
      <c r="E227" s="1122">
        <v>1.6944362537055884</v>
      </c>
      <c r="F227" s="1120"/>
      <c r="G227" s="1120"/>
      <c r="H227" s="1123">
        <f t="shared" si="21"/>
        <v>32.620865139949103</v>
      </c>
      <c r="I227" s="1123">
        <f t="shared" si="18"/>
        <v>53.011734275851474</v>
      </c>
      <c r="J227" s="1120"/>
      <c r="K227" s="1120"/>
      <c r="L227" s="1120"/>
      <c r="M227" s="1124">
        <v>646.01151870355341</v>
      </c>
      <c r="N227" s="1029"/>
      <c r="O227" s="1126">
        <v>83.401321775712759</v>
      </c>
      <c r="P227" s="1127">
        <v>777.0326554679383</v>
      </c>
      <c r="Q227" s="1127">
        <v>521.54657208588969</v>
      </c>
      <c r="R227" s="1127">
        <v>4646.8776932515339</v>
      </c>
      <c r="S227" s="1127"/>
      <c r="T227" s="1127">
        <f t="shared" si="19"/>
        <v>646.01151870355341</v>
      </c>
      <c r="U227" s="1128">
        <f t="shared" si="20"/>
        <v>83.401321775712759</v>
      </c>
      <c r="V227" s="1127">
        <f t="shared" si="17"/>
        <v>777.0326554679383</v>
      </c>
      <c r="W227" s="1127">
        <f t="shared" si="16"/>
        <v>521.54657208588969</v>
      </c>
      <c r="X227" s="1127">
        <f t="shared" si="22"/>
        <v>4646.8776932515339</v>
      </c>
      <c r="Y227" s="1120"/>
      <c r="Z227" s="1120"/>
      <c r="AA227" s="1120"/>
      <c r="AB227" s="1120"/>
      <c r="AC227" s="1116"/>
    </row>
    <row r="228" spans="1:29" x14ac:dyDescent="0.35">
      <c r="A228" s="1120">
        <v>1918</v>
      </c>
      <c r="B228" s="1120"/>
      <c r="C228" s="1121">
        <v>822</v>
      </c>
      <c r="D228" s="1121">
        <v>2497</v>
      </c>
      <c r="E228" s="1122">
        <v>2.1214341896393965</v>
      </c>
      <c r="F228" s="1120"/>
      <c r="G228" s="1120"/>
      <c r="H228" s="1123">
        <f t="shared" si="21"/>
        <v>32.919503404084907</v>
      </c>
      <c r="I228" s="1123">
        <f t="shared" si="18"/>
        <v>53.4970473487896</v>
      </c>
      <c r="J228" s="1120"/>
      <c r="K228" s="1120"/>
      <c r="L228" s="1120"/>
      <c r="M228" s="1124">
        <v>598.76394549031579</v>
      </c>
      <c r="N228" s="1029"/>
      <c r="O228" s="1126">
        <v>83.832915881562954</v>
      </c>
      <c r="P228" s="1127">
        <v>695.94794539582267</v>
      </c>
      <c r="Q228" s="1127">
        <v>432.78070561139037</v>
      </c>
      <c r="R228" s="1127">
        <v>3658.2917146470445</v>
      </c>
      <c r="S228" s="1127"/>
      <c r="T228" s="1127">
        <f t="shared" si="19"/>
        <v>598.76394549031579</v>
      </c>
      <c r="U228" s="1128">
        <f t="shared" si="20"/>
        <v>83.832915881562954</v>
      </c>
      <c r="V228" s="1127">
        <f t="shared" si="17"/>
        <v>695.94794539582267</v>
      </c>
      <c r="W228" s="1127">
        <f t="shared" ref="W228:W259" si="23">Q228</f>
        <v>432.78070561139037</v>
      </c>
      <c r="X228" s="1127">
        <f t="shared" si="22"/>
        <v>3658.2917146470445</v>
      </c>
      <c r="Y228" s="1120"/>
      <c r="Z228" s="1120"/>
      <c r="AA228" s="1120"/>
      <c r="AB228" s="1120"/>
      <c r="AC228" s="1116"/>
    </row>
    <row r="229" spans="1:29" x14ac:dyDescent="0.35">
      <c r="A229" s="1120">
        <v>1919</v>
      </c>
      <c r="B229" s="1120"/>
      <c r="C229" s="1121">
        <v>925</v>
      </c>
      <c r="D229" s="1121">
        <v>2254</v>
      </c>
      <c r="E229" s="1122">
        <v>2.5881497113600638</v>
      </c>
      <c r="F229" s="1120"/>
      <c r="G229" s="1120"/>
      <c r="H229" s="1123">
        <f t="shared" si="21"/>
        <v>41.038154392191664</v>
      </c>
      <c r="I229" s="1123">
        <f t="shared" si="18"/>
        <v>66.690559139892443</v>
      </c>
      <c r="J229" s="1120"/>
      <c r="K229" s="1120"/>
      <c r="L229" s="1120"/>
      <c r="M229" s="1124">
        <v>517.4706303933167</v>
      </c>
      <c r="N229" s="1029"/>
      <c r="O229" s="1126">
        <v>102.73179853414206</v>
      </c>
      <c r="P229" s="1127">
        <v>731.10545600270507</v>
      </c>
      <c r="Q229" s="1127">
        <v>398.331641933029</v>
      </c>
      <c r="R229" s="1127">
        <v>3189.7672987649498</v>
      </c>
      <c r="S229" s="1127"/>
      <c r="T229" s="1127">
        <f t="shared" si="19"/>
        <v>517.4706303933167</v>
      </c>
      <c r="U229" s="1128">
        <f t="shared" si="20"/>
        <v>102.73179853414206</v>
      </c>
      <c r="V229" s="1127">
        <f t="shared" si="17"/>
        <v>731.10545600270507</v>
      </c>
      <c r="W229" s="1127">
        <f t="shared" si="23"/>
        <v>398.331641933029</v>
      </c>
      <c r="X229" s="1127">
        <f t="shared" si="22"/>
        <v>3189.7672987649498</v>
      </c>
      <c r="Y229" s="1120"/>
      <c r="Z229" s="1120"/>
      <c r="AA229" s="1120"/>
      <c r="AB229" s="1120"/>
      <c r="AC229" s="1116"/>
    </row>
    <row r="230" spans="1:29" x14ac:dyDescent="0.35">
      <c r="A230" s="1120">
        <v>1920</v>
      </c>
      <c r="B230" s="1120"/>
      <c r="C230" s="1121">
        <v>902</v>
      </c>
      <c r="D230" s="1121">
        <v>2591</v>
      </c>
      <c r="E230" s="1122">
        <v>2.8495528322074302</v>
      </c>
      <c r="F230" s="1120"/>
      <c r="G230" s="1120"/>
      <c r="H230" s="1123">
        <f t="shared" si="21"/>
        <v>34.812813585488229</v>
      </c>
      <c r="I230" s="1123">
        <f t="shared" si="18"/>
        <v>56.573840554847209</v>
      </c>
      <c r="J230" s="1120"/>
      <c r="K230" s="1120"/>
      <c r="L230" s="1120"/>
      <c r="M230" s="1124">
        <v>596.97432101621075</v>
      </c>
      <c r="N230" s="1029"/>
      <c r="O230" s="1126">
        <v>62.96419820391781</v>
      </c>
      <c r="P230" s="1127">
        <v>841.80305296641347</v>
      </c>
      <c r="Q230" s="1127">
        <v>349.19327569169957</v>
      </c>
      <c r="R230" s="1127">
        <v>2644.735279226426</v>
      </c>
      <c r="S230" s="1127"/>
      <c r="T230" s="1127">
        <f t="shared" si="19"/>
        <v>596.97432101621075</v>
      </c>
      <c r="U230" s="1128">
        <f t="shared" si="20"/>
        <v>62.96419820391781</v>
      </c>
      <c r="V230" s="1127">
        <f t="shared" si="17"/>
        <v>841.80305296641347</v>
      </c>
      <c r="W230" s="1127">
        <f t="shared" si="23"/>
        <v>349.19327569169957</v>
      </c>
      <c r="X230" s="1127">
        <f t="shared" si="22"/>
        <v>2644.735279226426</v>
      </c>
      <c r="Y230" s="1120"/>
      <c r="Z230" s="1120"/>
      <c r="AA230" s="1120"/>
      <c r="AB230" s="1120"/>
      <c r="AC230" s="1116"/>
    </row>
    <row r="231" spans="1:29" x14ac:dyDescent="0.35">
      <c r="A231" s="1120">
        <v>1921</v>
      </c>
      <c r="B231" s="1120"/>
      <c r="C231" s="1121">
        <v>823</v>
      </c>
      <c r="D231" s="1121">
        <v>2048</v>
      </c>
      <c r="E231" s="1122">
        <v>3.2883839683673739</v>
      </c>
      <c r="F231" s="1120"/>
      <c r="G231" s="1120"/>
      <c r="H231" s="1123">
        <f t="shared" si="21"/>
        <v>40.185546875</v>
      </c>
      <c r="I231" s="1123">
        <f t="shared" si="18"/>
        <v>65.304997998302539</v>
      </c>
      <c r="J231" s="1120"/>
      <c r="K231" s="1120"/>
      <c r="L231" s="1120"/>
      <c r="M231" s="1124">
        <v>639.8368956068532</v>
      </c>
      <c r="N231" s="1029"/>
      <c r="O231" s="1126">
        <v>69.708043303287639</v>
      </c>
      <c r="P231" s="1127">
        <v>784.82323444495432</v>
      </c>
      <c r="Q231" s="1127">
        <v>387.26046717171715</v>
      </c>
      <c r="R231" s="1127">
        <v>2769.1645578313751</v>
      </c>
      <c r="S231" s="1127"/>
      <c r="T231" s="1127">
        <f t="shared" si="19"/>
        <v>639.8368956068532</v>
      </c>
      <c r="U231" s="1128">
        <f t="shared" si="20"/>
        <v>69.708043303287639</v>
      </c>
      <c r="V231" s="1127">
        <f t="shared" ref="V231:V262" si="24">P231</f>
        <v>784.82323444495432</v>
      </c>
      <c r="W231" s="1127">
        <f t="shared" si="23"/>
        <v>387.26046717171715</v>
      </c>
      <c r="X231" s="1127">
        <f t="shared" si="22"/>
        <v>2769.1645578313751</v>
      </c>
      <c r="Y231" s="1120"/>
      <c r="Z231" s="1120"/>
      <c r="AA231" s="1120"/>
      <c r="AB231" s="1120"/>
      <c r="AC231" s="1116"/>
    </row>
    <row r="232" spans="1:29" x14ac:dyDescent="0.35">
      <c r="A232" s="1120">
        <v>1922</v>
      </c>
      <c r="B232" s="1120"/>
      <c r="C232" s="1121">
        <v>713</v>
      </c>
      <c r="D232" s="1121">
        <v>1672</v>
      </c>
      <c r="E232" s="1122">
        <v>3.0055829470877797</v>
      </c>
      <c r="F232" s="1120"/>
      <c r="G232" s="1120"/>
      <c r="H232" s="1123">
        <f t="shared" si="21"/>
        <v>42.643540669856463</v>
      </c>
      <c r="I232" s="1123">
        <f t="shared" si="18"/>
        <v>69.299451037656425</v>
      </c>
      <c r="J232" s="1120"/>
      <c r="K232" s="1120"/>
      <c r="L232" s="1120"/>
      <c r="M232" s="1124">
        <v>546.78712097196285</v>
      </c>
      <c r="N232" s="1029"/>
      <c r="O232" s="1126">
        <v>86.621136162159956</v>
      </c>
      <c r="P232" s="1127">
        <v>641.28198156740075</v>
      </c>
      <c r="Q232" s="1127">
        <v>455.11777428810717</v>
      </c>
      <c r="R232" s="1127">
        <v>3066.5125631849728</v>
      </c>
      <c r="S232" s="1127"/>
      <c r="T232" s="1127">
        <f t="shared" si="19"/>
        <v>546.78712097196285</v>
      </c>
      <c r="U232" s="1128">
        <f t="shared" si="20"/>
        <v>86.621136162159956</v>
      </c>
      <c r="V232" s="1127">
        <f t="shared" si="24"/>
        <v>641.28198156740075</v>
      </c>
      <c r="W232" s="1127">
        <f t="shared" si="23"/>
        <v>455.11777428810717</v>
      </c>
      <c r="X232" s="1127">
        <f t="shared" si="22"/>
        <v>3066.5125631849728</v>
      </c>
      <c r="Y232" s="1120"/>
      <c r="Z232" s="1120"/>
      <c r="AA232" s="1120"/>
      <c r="AB232" s="1120"/>
      <c r="AC232" s="1116"/>
    </row>
    <row r="233" spans="1:29" x14ac:dyDescent="0.35">
      <c r="A233" s="1120">
        <v>1923</v>
      </c>
      <c r="B233" s="1120"/>
      <c r="C233" s="1121">
        <v>649</v>
      </c>
      <c r="D233" s="1121">
        <v>1726</v>
      </c>
      <c r="E233" s="1122">
        <v>2.5848013344954905</v>
      </c>
      <c r="F233" s="1120"/>
      <c r="G233" s="1120"/>
      <c r="H233" s="1123">
        <f t="shared" si="21"/>
        <v>37.601390498261878</v>
      </c>
      <c r="I233" s="1123">
        <f t="shared" si="18"/>
        <v>61.105519824343169</v>
      </c>
      <c r="J233" s="1120"/>
      <c r="K233" s="1120"/>
      <c r="L233" s="1120"/>
      <c r="M233" s="1124">
        <v>526.20305094922423</v>
      </c>
      <c r="N233" s="1029"/>
      <c r="O233" s="1126">
        <v>87.084010852102352</v>
      </c>
      <c r="P233" s="1127">
        <v>563.47459937234169</v>
      </c>
      <c r="Q233" s="1127">
        <v>490.2658088235292</v>
      </c>
      <c r="R233" s="1127">
        <v>3105.8555469977082</v>
      </c>
      <c r="S233" s="1127"/>
      <c r="T233" s="1127">
        <f t="shared" si="19"/>
        <v>526.20305094922423</v>
      </c>
      <c r="U233" s="1128">
        <f t="shared" si="20"/>
        <v>87.084010852102352</v>
      </c>
      <c r="V233" s="1127">
        <f t="shared" si="24"/>
        <v>563.47459937234169</v>
      </c>
      <c r="W233" s="1127">
        <f t="shared" si="23"/>
        <v>490.2658088235292</v>
      </c>
      <c r="X233" s="1127">
        <f t="shared" si="22"/>
        <v>3105.8555469977082</v>
      </c>
      <c r="Y233" s="1120"/>
      <c r="Z233" s="1120"/>
      <c r="AA233" s="1120"/>
      <c r="AB233" s="1120"/>
      <c r="AC233" s="1116"/>
    </row>
    <row r="234" spans="1:29" x14ac:dyDescent="0.35">
      <c r="A234" s="1120">
        <v>1924</v>
      </c>
      <c r="B234" s="1120"/>
      <c r="C234" s="1121">
        <v>589</v>
      </c>
      <c r="D234" s="1121">
        <v>1740</v>
      </c>
      <c r="E234" s="1122">
        <v>2.4297132544257614</v>
      </c>
      <c r="F234" s="1120"/>
      <c r="G234" s="1120"/>
      <c r="H234" s="1123">
        <f t="shared" si="21"/>
        <v>33.850574712643677</v>
      </c>
      <c r="I234" s="1123">
        <f t="shared" si="18"/>
        <v>55.010118954629412</v>
      </c>
      <c r="J234" s="1120"/>
      <c r="K234" s="1120"/>
      <c r="L234" s="1120"/>
      <c r="M234" s="1124">
        <v>571.98722734671776</v>
      </c>
      <c r="N234" s="1029"/>
      <c r="O234" s="1126">
        <v>74.488238108753592</v>
      </c>
      <c r="P234" s="1127">
        <v>662.90692189878621</v>
      </c>
      <c r="Q234" s="1127">
        <v>498.87621191756261</v>
      </c>
      <c r="R234" s="1127">
        <v>2964.2686801254486</v>
      </c>
      <c r="S234" s="1127"/>
      <c r="T234" s="1127">
        <f t="shared" si="19"/>
        <v>571.98722734671776</v>
      </c>
      <c r="U234" s="1128">
        <f t="shared" si="20"/>
        <v>74.488238108753592</v>
      </c>
      <c r="V234" s="1127">
        <f t="shared" si="24"/>
        <v>662.90692189878621</v>
      </c>
      <c r="W234" s="1127">
        <f t="shared" si="23"/>
        <v>498.87621191756261</v>
      </c>
      <c r="X234" s="1127">
        <f t="shared" si="22"/>
        <v>2964.2686801254486</v>
      </c>
      <c r="Y234" s="1120"/>
      <c r="Z234" s="1120"/>
      <c r="AA234" s="1120"/>
      <c r="AB234" s="1120"/>
      <c r="AC234" s="1116"/>
    </row>
    <row r="235" spans="1:29" x14ac:dyDescent="0.35">
      <c r="A235" s="1120">
        <v>1925</v>
      </c>
      <c r="B235" s="1120"/>
      <c r="C235" s="1121">
        <v>614</v>
      </c>
      <c r="D235" s="1121">
        <v>1708</v>
      </c>
      <c r="E235" s="1122">
        <v>2.4127052616447808</v>
      </c>
      <c r="F235" s="1120"/>
      <c r="G235" s="1120"/>
      <c r="H235" s="1123">
        <f t="shared" si="21"/>
        <v>35.948477751756442</v>
      </c>
      <c r="I235" s="1123">
        <f t="shared" si="18"/>
        <v>58.419393293885051</v>
      </c>
      <c r="J235" s="1120"/>
      <c r="K235" s="1120"/>
      <c r="L235" s="1120"/>
      <c r="M235" s="1124">
        <v>536.57459644613937</v>
      </c>
      <c r="N235" s="1029"/>
      <c r="O235" s="1126">
        <v>80.579967481183573</v>
      </c>
      <c r="P235" s="1127">
        <v>591.55481730989982</v>
      </c>
      <c r="Q235" s="1127">
        <v>504.85077732974889</v>
      </c>
      <c r="R235" s="1127">
        <v>2797.9845755734768</v>
      </c>
      <c r="S235" s="1127"/>
      <c r="T235" s="1127">
        <f t="shared" si="19"/>
        <v>536.57459644613937</v>
      </c>
      <c r="U235" s="1128">
        <f t="shared" si="20"/>
        <v>80.579967481183573</v>
      </c>
      <c r="V235" s="1127">
        <f t="shared" si="24"/>
        <v>591.55481730989982</v>
      </c>
      <c r="W235" s="1127">
        <f t="shared" si="23"/>
        <v>504.85077732974889</v>
      </c>
      <c r="X235" s="1127">
        <f t="shared" si="22"/>
        <v>2797.9845755734768</v>
      </c>
      <c r="Y235" s="1120"/>
      <c r="Z235" s="1120"/>
      <c r="AA235" s="1120"/>
      <c r="AB235" s="1120"/>
      <c r="AC235" s="1116"/>
    </row>
    <row r="236" spans="1:29" x14ac:dyDescent="0.35">
      <c r="A236" s="1120">
        <v>1926</v>
      </c>
      <c r="B236" s="1120"/>
      <c r="C236" s="1121">
        <v>670</v>
      </c>
      <c r="D236" s="1121">
        <v>1577</v>
      </c>
      <c r="E236" s="1122">
        <v>2.419943377429715</v>
      </c>
      <c r="F236" s="1120"/>
      <c r="G236" s="1120"/>
      <c r="H236" s="1123">
        <f t="shared" si="21"/>
        <v>42.485732403297398</v>
      </c>
      <c r="I236" s="1123">
        <f t="shared" si="18"/>
        <v>69.042998921580661</v>
      </c>
      <c r="J236" s="1120"/>
      <c r="K236" s="1120"/>
      <c r="L236" s="1120"/>
      <c r="M236" s="1124">
        <v>627.57203519828465</v>
      </c>
      <c r="N236" s="1029"/>
      <c r="O236" s="1126"/>
      <c r="P236" s="1127">
        <v>562.53292722311733</v>
      </c>
      <c r="Q236" s="1127">
        <v>513.58656081081062</v>
      </c>
      <c r="R236" s="1127">
        <v>3000.7631341801798</v>
      </c>
      <c r="S236" s="1127"/>
      <c r="T236" s="1127">
        <f t="shared" si="19"/>
        <v>627.57203519828465</v>
      </c>
      <c r="U236" s="1128"/>
      <c r="V236" s="1127">
        <f t="shared" si="24"/>
        <v>562.53292722311733</v>
      </c>
      <c r="W236" s="1127">
        <f t="shared" si="23"/>
        <v>513.58656081081062</v>
      </c>
      <c r="X236" s="1127">
        <f t="shared" si="22"/>
        <v>3000.7631341801798</v>
      </c>
      <c r="Y236" s="1120"/>
      <c r="Z236" s="1120"/>
      <c r="AA236" s="1120"/>
      <c r="AB236" s="1120"/>
      <c r="AC236" s="1116"/>
    </row>
    <row r="237" spans="1:29" x14ac:dyDescent="0.35">
      <c r="A237" s="1120">
        <v>1927</v>
      </c>
      <c r="B237" s="1120"/>
      <c r="C237" s="1121">
        <v>549</v>
      </c>
      <c r="D237" s="1121">
        <v>1496</v>
      </c>
      <c r="E237" s="1122">
        <v>2.4005838304102771</v>
      </c>
      <c r="F237" s="1120"/>
      <c r="G237" s="1120"/>
      <c r="H237" s="1123">
        <f t="shared" si="21"/>
        <v>36.69786096256685</v>
      </c>
      <c r="I237" s="1123">
        <f t="shared" si="18"/>
        <v>59.637205987442805</v>
      </c>
      <c r="J237" s="1120"/>
      <c r="K237" s="1120"/>
      <c r="L237" s="1120"/>
      <c r="M237" s="1124">
        <v>553.23254729990924</v>
      </c>
      <c r="N237" s="1029"/>
      <c r="O237" s="1126">
        <v>65.182955882708512</v>
      </c>
      <c r="P237" s="1127">
        <v>515.62062834979031</v>
      </c>
      <c r="Q237" s="1127">
        <v>534.02657175925901</v>
      </c>
      <c r="R237" s="1127">
        <v>2724.6838274444449</v>
      </c>
      <c r="S237" s="1127"/>
      <c r="T237" s="1127">
        <f t="shared" si="19"/>
        <v>553.23254729990924</v>
      </c>
      <c r="U237" s="1128">
        <f t="shared" ref="U237:U268" si="25">O237</f>
        <v>65.182955882708512</v>
      </c>
      <c r="V237" s="1127">
        <f t="shared" si="24"/>
        <v>515.62062834979031</v>
      </c>
      <c r="W237" s="1127">
        <f t="shared" si="23"/>
        <v>534.02657175925901</v>
      </c>
      <c r="X237" s="1127">
        <f t="shared" si="22"/>
        <v>2724.6838274444449</v>
      </c>
      <c r="Y237" s="1120"/>
      <c r="Z237" s="1120"/>
      <c r="AA237" s="1120"/>
      <c r="AB237" s="1120"/>
      <c r="AC237" s="1116"/>
    </row>
    <row r="238" spans="1:29" x14ac:dyDescent="0.35">
      <c r="A238" s="1120">
        <v>1928</v>
      </c>
      <c r="B238" s="1120"/>
      <c r="C238" s="1121">
        <v>510</v>
      </c>
      <c r="D238" s="1121">
        <v>1485</v>
      </c>
      <c r="E238" s="1122">
        <v>2.3429698184804302</v>
      </c>
      <c r="F238" s="1120"/>
      <c r="G238" s="1120"/>
      <c r="H238" s="1123">
        <f t="shared" si="21"/>
        <v>34.343434343434339</v>
      </c>
      <c r="I238" s="1123">
        <f t="shared" si="18"/>
        <v>55.811058588531765</v>
      </c>
      <c r="J238" s="1120"/>
      <c r="K238" s="1120"/>
      <c r="L238" s="1120"/>
      <c r="M238" s="1124">
        <v>583.07992877535094</v>
      </c>
      <c r="N238" s="1029"/>
      <c r="O238" s="1126">
        <v>60.676237944221796</v>
      </c>
      <c r="P238" s="1127">
        <v>563.06951368360819</v>
      </c>
      <c r="Q238" s="1127">
        <v>540.20028935185189</v>
      </c>
      <c r="R238" s="1127">
        <v>2535.3235614444438</v>
      </c>
      <c r="S238" s="1127"/>
      <c r="T238" s="1128">
        <f t="shared" si="19"/>
        <v>583.07992877535094</v>
      </c>
      <c r="U238" s="1128">
        <f t="shared" si="25"/>
        <v>60.676237944221796</v>
      </c>
      <c r="V238" s="1127">
        <f t="shared" si="24"/>
        <v>563.06951368360819</v>
      </c>
      <c r="W238" s="1127">
        <f t="shared" si="23"/>
        <v>540.20028935185189</v>
      </c>
      <c r="X238" s="1127">
        <f t="shared" si="22"/>
        <v>2535.3235614444438</v>
      </c>
      <c r="Y238" s="1120"/>
      <c r="Z238" s="1120"/>
      <c r="AA238" s="1120"/>
      <c r="AB238" s="1120"/>
      <c r="AC238" s="1116"/>
    </row>
    <row r="239" spans="1:29" x14ac:dyDescent="0.35">
      <c r="A239" s="1120">
        <v>1929</v>
      </c>
      <c r="B239" s="1120"/>
      <c r="C239" s="1121">
        <v>540</v>
      </c>
      <c r="D239" s="1121">
        <v>1511</v>
      </c>
      <c r="E239" s="1122">
        <v>2.335940909024989</v>
      </c>
      <c r="F239" s="1120"/>
      <c r="G239" s="1120"/>
      <c r="H239" s="1123">
        <f t="shared" si="21"/>
        <v>35.7379219060225</v>
      </c>
      <c r="I239" s="1123">
        <f t="shared" si="18"/>
        <v>58.07722178812061</v>
      </c>
      <c r="J239" s="1120"/>
      <c r="K239" s="1120"/>
      <c r="L239" s="1120"/>
      <c r="M239" s="1124">
        <v>571.96424578030633</v>
      </c>
      <c r="N239" s="1029"/>
      <c r="O239" s="1126">
        <v>67.288292188255838</v>
      </c>
      <c r="P239" s="1127">
        <v>637.80902910777934</v>
      </c>
      <c r="Q239" s="1127">
        <v>536.28101919475648</v>
      </c>
      <c r="R239" s="1127">
        <v>2452.1090625280895</v>
      </c>
      <c r="S239" s="1127"/>
      <c r="T239" s="1128">
        <f t="shared" si="19"/>
        <v>571.96424578030633</v>
      </c>
      <c r="U239" s="1128">
        <f t="shared" si="25"/>
        <v>67.288292188255838</v>
      </c>
      <c r="V239" s="1127">
        <f t="shared" si="24"/>
        <v>637.80902910777934</v>
      </c>
      <c r="W239" s="1127">
        <f t="shared" si="23"/>
        <v>536.28101919475648</v>
      </c>
      <c r="X239" s="1127">
        <f t="shared" si="22"/>
        <v>2452.1090625280895</v>
      </c>
      <c r="Y239" s="1120"/>
      <c r="Z239" s="1120"/>
      <c r="AA239" s="1120"/>
      <c r="AB239" s="1120"/>
      <c r="AC239" s="1116"/>
    </row>
    <row r="240" spans="1:29" x14ac:dyDescent="0.35">
      <c r="A240" s="1120">
        <v>1930</v>
      </c>
      <c r="B240" s="1120"/>
      <c r="C240" s="1121">
        <v>557</v>
      </c>
      <c r="D240" s="1121">
        <v>1275</v>
      </c>
      <c r="E240" s="1122">
        <v>2.3149174408437641</v>
      </c>
      <c r="F240" s="1120"/>
      <c r="G240" s="1120"/>
      <c r="H240" s="1123">
        <f t="shared" si="21"/>
        <v>43.686274509803923</v>
      </c>
      <c r="I240" s="1123">
        <f t="shared" si="18"/>
        <v>70.993983938809862</v>
      </c>
      <c r="J240" s="1120"/>
      <c r="K240" s="1120"/>
      <c r="L240" s="1120"/>
      <c r="M240" s="1124">
        <v>567.0853403912929</v>
      </c>
      <c r="N240" s="1029"/>
      <c r="O240" s="1126">
        <v>73.384214605635009</v>
      </c>
      <c r="P240" s="1127">
        <v>590.8602044946814</v>
      </c>
      <c r="Q240" s="1127">
        <v>551.78047061657014</v>
      </c>
      <c r="R240" s="1127">
        <v>2521.1549866281307</v>
      </c>
      <c r="S240" s="1127"/>
      <c r="T240" s="1128">
        <f t="shared" si="19"/>
        <v>567.0853403912929</v>
      </c>
      <c r="U240" s="1128">
        <f t="shared" si="25"/>
        <v>73.384214605635009</v>
      </c>
      <c r="V240" s="1127">
        <f t="shared" si="24"/>
        <v>590.8602044946814</v>
      </c>
      <c r="W240" s="1127">
        <f t="shared" si="23"/>
        <v>551.78047061657014</v>
      </c>
      <c r="X240" s="1127">
        <f t="shared" si="22"/>
        <v>2521.1549866281307</v>
      </c>
      <c r="Y240" s="1120"/>
      <c r="Z240" s="1120"/>
      <c r="AA240" s="1120"/>
      <c r="AB240" s="1120"/>
      <c r="AC240" s="1116"/>
    </row>
    <row r="241" spans="1:29" x14ac:dyDescent="0.35">
      <c r="A241" s="1120">
        <v>1931</v>
      </c>
      <c r="B241" s="1120"/>
      <c r="C241" s="1121">
        <v>541</v>
      </c>
      <c r="D241" s="1121">
        <v>1146</v>
      </c>
      <c r="E241" s="1122">
        <v>2.2500997525001387</v>
      </c>
      <c r="F241" s="1120"/>
      <c r="G241" s="1120"/>
      <c r="H241" s="1123">
        <f t="shared" si="21"/>
        <v>47.207678883071551</v>
      </c>
      <c r="I241" s="1123">
        <f t="shared" si="18"/>
        <v>76.716571372117158</v>
      </c>
      <c r="J241" s="1120"/>
      <c r="K241" s="1120"/>
      <c r="L241" s="1120"/>
      <c r="M241" s="1124">
        <v>608.11774224093324</v>
      </c>
      <c r="N241" s="1029"/>
      <c r="O241" s="1126">
        <v>76.429227083428685</v>
      </c>
      <c r="P241" s="1127">
        <v>557.94425767892972</v>
      </c>
      <c r="Q241" s="1127">
        <v>581.7427143574298</v>
      </c>
      <c r="R241" s="1127">
        <v>2595.1482237951805</v>
      </c>
      <c r="S241" s="1127"/>
      <c r="T241" s="1128">
        <f t="shared" si="19"/>
        <v>608.11774224093324</v>
      </c>
      <c r="U241" s="1128">
        <f t="shared" si="25"/>
        <v>76.429227083428685</v>
      </c>
      <c r="V241" s="1127">
        <f t="shared" si="24"/>
        <v>557.94425767892972</v>
      </c>
      <c r="W241" s="1127">
        <f t="shared" si="23"/>
        <v>581.7427143574298</v>
      </c>
      <c r="X241" s="1127">
        <f t="shared" si="22"/>
        <v>2595.1482237951805</v>
      </c>
      <c r="Y241" s="1120"/>
      <c r="Z241" s="1120"/>
      <c r="AA241" s="1120"/>
      <c r="AB241" s="1120"/>
      <c r="AC241" s="1116"/>
    </row>
    <row r="242" spans="1:29" x14ac:dyDescent="0.35">
      <c r="A242" s="1120">
        <v>1932</v>
      </c>
      <c r="B242" s="1120"/>
      <c r="C242" s="1121">
        <v>526</v>
      </c>
      <c r="D242" s="1121">
        <v>1065</v>
      </c>
      <c r="E242" s="1122">
        <v>2.1533454631426325</v>
      </c>
      <c r="F242" s="1120"/>
      <c r="G242" s="1120"/>
      <c r="H242" s="1123">
        <f t="shared" si="21"/>
        <v>49.389671361502344</v>
      </c>
      <c r="I242" s="1123">
        <f t="shared" si="18"/>
        <v>80.262498341320168</v>
      </c>
      <c r="J242" s="1120"/>
      <c r="K242" s="1120"/>
      <c r="L242" s="1120"/>
      <c r="M242" s="1124">
        <v>705.58722399885244</v>
      </c>
      <c r="N242" s="1029"/>
      <c r="O242" s="1126">
        <v>74.601454101943901</v>
      </c>
      <c r="P242" s="1127">
        <v>713.86149325617976</v>
      </c>
      <c r="Q242" s="1127">
        <v>596.10673199588496</v>
      </c>
      <c r="R242" s="1127">
        <v>2592.9888276337451</v>
      </c>
      <c r="S242" s="1127"/>
      <c r="T242" s="1128">
        <f t="shared" si="19"/>
        <v>705.58722399885244</v>
      </c>
      <c r="U242" s="1128">
        <f t="shared" si="25"/>
        <v>74.601454101943901</v>
      </c>
      <c r="V242" s="1127">
        <f t="shared" si="24"/>
        <v>713.86149325617976</v>
      </c>
      <c r="W242" s="1127">
        <f t="shared" si="23"/>
        <v>596.10673199588496</v>
      </c>
      <c r="X242" s="1127">
        <f t="shared" si="22"/>
        <v>2592.9888276337451</v>
      </c>
      <c r="Y242" s="1120"/>
      <c r="Z242" s="1120"/>
      <c r="AA242" s="1120"/>
      <c r="AB242" s="1120"/>
      <c r="AC242" s="1116"/>
    </row>
    <row r="243" spans="1:29" x14ac:dyDescent="0.35">
      <c r="A243" s="1120">
        <v>1933</v>
      </c>
      <c r="B243" s="1120"/>
      <c r="C243" s="1121">
        <v>513</v>
      </c>
      <c r="D243" s="1121">
        <v>1107</v>
      </c>
      <c r="E243" s="1122">
        <v>2.0973584811009238</v>
      </c>
      <c r="F243" s="1120"/>
      <c r="G243" s="1120"/>
      <c r="H243" s="1123">
        <f t="shared" si="21"/>
        <v>46.341463414634148</v>
      </c>
      <c r="I243" s="1123">
        <f t="shared" si="18"/>
        <v>75.308896129862461</v>
      </c>
      <c r="J243" s="1120"/>
      <c r="K243" s="1120"/>
      <c r="L243" s="1120"/>
      <c r="M243" s="1124">
        <v>683.57991343576236</v>
      </c>
      <c r="N243" s="1029"/>
      <c r="O243" s="1126">
        <v>74.229950005292338</v>
      </c>
      <c r="P243" s="1127">
        <v>655.33579318820955</v>
      </c>
      <c r="Q243" s="1127">
        <v>616.82472099156109</v>
      </c>
      <c r="R243" s="1127">
        <v>2520.8086043459916</v>
      </c>
      <c r="S243" s="1127"/>
      <c r="T243" s="1128">
        <f t="shared" si="19"/>
        <v>683.57991343576236</v>
      </c>
      <c r="U243" s="1128">
        <f t="shared" si="25"/>
        <v>74.229950005292338</v>
      </c>
      <c r="V243" s="1127">
        <f t="shared" si="24"/>
        <v>655.33579318820955</v>
      </c>
      <c r="W243" s="1127">
        <f t="shared" si="23"/>
        <v>616.82472099156109</v>
      </c>
      <c r="X243" s="1127">
        <f t="shared" si="22"/>
        <v>2520.8086043459916</v>
      </c>
      <c r="Y243" s="1120"/>
      <c r="Z243" s="1120"/>
      <c r="AA243" s="1120"/>
      <c r="AB243" s="1120"/>
      <c r="AC243" s="1116"/>
    </row>
    <row r="244" spans="1:29" x14ac:dyDescent="0.35">
      <c r="A244" s="1120">
        <v>1934</v>
      </c>
      <c r="B244" s="1120"/>
      <c r="C244" s="1121">
        <v>478</v>
      </c>
      <c r="D244" s="1121">
        <v>1097</v>
      </c>
      <c r="E244" s="1122">
        <v>2.0533139529978044</v>
      </c>
      <c r="F244" s="1120"/>
      <c r="G244" s="1120"/>
      <c r="H244" s="1123">
        <f t="shared" si="21"/>
        <v>43.573381950774845</v>
      </c>
      <c r="I244" s="1123">
        <f t="shared" si="18"/>
        <v>70.810523741929885</v>
      </c>
      <c r="J244" s="1120"/>
      <c r="K244" s="1120"/>
      <c r="L244" s="1120"/>
      <c r="M244" s="1124">
        <v>683.67770462148837</v>
      </c>
      <c r="N244" s="1029"/>
      <c r="O244" s="1126">
        <v>66.534243471756</v>
      </c>
      <c r="P244" s="1127">
        <v>653.06901928055902</v>
      </c>
      <c r="Q244" s="1127">
        <v>616.82472099156109</v>
      </c>
      <c r="R244" s="1127">
        <v>2388.9755077637133</v>
      </c>
      <c r="S244" s="1127"/>
      <c r="T244" s="1128">
        <f t="shared" si="19"/>
        <v>683.67770462148837</v>
      </c>
      <c r="U244" s="1128">
        <f t="shared" si="25"/>
        <v>66.534243471756</v>
      </c>
      <c r="V244" s="1127">
        <f t="shared" si="24"/>
        <v>653.06901928055902</v>
      </c>
      <c r="W244" s="1127">
        <f t="shared" si="23"/>
        <v>616.82472099156109</v>
      </c>
      <c r="X244" s="1127">
        <f t="shared" si="22"/>
        <v>2388.9755077637133</v>
      </c>
      <c r="Y244" s="1120"/>
      <c r="Z244" s="1120"/>
      <c r="AA244" s="1120"/>
      <c r="AB244" s="1120"/>
      <c r="AC244" s="1116"/>
    </row>
    <row r="245" spans="1:29" x14ac:dyDescent="0.35">
      <c r="A245" s="1120">
        <v>1935</v>
      </c>
      <c r="B245" s="1120"/>
      <c r="C245" s="1121">
        <v>480</v>
      </c>
      <c r="D245" s="1121">
        <v>1149</v>
      </c>
      <c r="E245" s="1122">
        <v>2.0533139529978044</v>
      </c>
      <c r="F245" s="1120"/>
      <c r="G245" s="1120"/>
      <c r="H245" s="1123">
        <f t="shared" si="21"/>
        <v>41.775456919060048</v>
      </c>
      <c r="I245" s="1123">
        <f t="shared" si="18"/>
        <v>67.888739674577124</v>
      </c>
      <c r="J245" s="1120"/>
      <c r="K245" s="1120"/>
      <c r="L245" s="1120"/>
      <c r="M245" s="1124">
        <v>681.71670880662805</v>
      </c>
      <c r="N245" s="1029"/>
      <c r="O245" s="1126">
        <v>66.314136477629319</v>
      </c>
      <c r="P245" s="1127">
        <v>692.70263317562706</v>
      </c>
      <c r="Q245" s="1127">
        <v>612.94532023060799</v>
      </c>
      <c r="R245" s="1127">
        <v>2233.0220047169814</v>
      </c>
      <c r="S245" s="1127"/>
      <c r="T245" s="1128">
        <f t="shared" si="19"/>
        <v>681.71670880662805</v>
      </c>
      <c r="U245" s="1128">
        <f t="shared" si="25"/>
        <v>66.314136477629319</v>
      </c>
      <c r="V245" s="1127">
        <f t="shared" si="24"/>
        <v>692.70263317562706</v>
      </c>
      <c r="W245" s="1127">
        <f t="shared" si="23"/>
        <v>612.94532023060799</v>
      </c>
      <c r="X245" s="1127">
        <f t="shared" si="22"/>
        <v>2233.0220047169814</v>
      </c>
      <c r="Y245" s="1120"/>
      <c r="Z245" s="1120"/>
      <c r="AA245" s="1120"/>
      <c r="AB245" s="1120"/>
      <c r="AC245" s="1116"/>
    </row>
    <row r="246" spans="1:29" x14ac:dyDescent="0.35">
      <c r="A246" s="1120">
        <v>1936</v>
      </c>
      <c r="B246" s="1120"/>
      <c r="C246" s="1121">
        <v>519</v>
      </c>
      <c r="D246" s="1121">
        <v>1211</v>
      </c>
      <c r="E246" s="1122">
        <v>2.0676871506687888</v>
      </c>
      <c r="F246" s="1120"/>
      <c r="G246" s="1120"/>
      <c r="H246" s="1123">
        <f t="shared" si="21"/>
        <v>42.857142857142854</v>
      </c>
      <c r="I246" s="1123">
        <f t="shared" si="18"/>
        <v>69.64657311257956</v>
      </c>
      <c r="J246" s="1120"/>
      <c r="K246" s="1120"/>
      <c r="L246" s="1120"/>
      <c r="M246" s="1124">
        <v>658.97222864736898</v>
      </c>
      <c r="N246" s="1029"/>
      <c r="O246" s="1126">
        <v>75.334683905379592</v>
      </c>
      <c r="P246" s="1127">
        <v>728.21335077443871</v>
      </c>
      <c r="Q246" s="1127">
        <v>627.4396679487179</v>
      </c>
      <c r="R246" s="1127">
        <v>2140.1655063541671</v>
      </c>
      <c r="S246" s="1127"/>
      <c r="T246" s="1128">
        <f t="shared" si="19"/>
        <v>658.97222864736898</v>
      </c>
      <c r="U246" s="1128">
        <f t="shared" si="25"/>
        <v>75.334683905379592</v>
      </c>
      <c r="V246" s="1127">
        <f t="shared" si="24"/>
        <v>728.21335077443871</v>
      </c>
      <c r="W246" s="1127">
        <f t="shared" si="23"/>
        <v>627.4396679487179</v>
      </c>
      <c r="X246" s="1127">
        <f t="shared" si="22"/>
        <v>2140.1655063541671</v>
      </c>
      <c r="Y246" s="1120"/>
      <c r="Z246" s="1120"/>
      <c r="AA246" s="1120"/>
      <c r="AB246" s="1120"/>
      <c r="AC246" s="1116"/>
    </row>
    <row r="247" spans="1:29" x14ac:dyDescent="0.35">
      <c r="A247" s="1120">
        <v>1937</v>
      </c>
      <c r="B247" s="1120"/>
      <c r="C247" s="1121">
        <v>548</v>
      </c>
      <c r="D247" s="1121">
        <v>1275</v>
      </c>
      <c r="E247" s="1122">
        <v>2.0821609607234701</v>
      </c>
      <c r="F247" s="1120"/>
      <c r="G247" s="1120"/>
      <c r="H247" s="1123">
        <f t="shared" si="21"/>
        <v>42.980392156862749</v>
      </c>
      <c r="I247" s="1123">
        <f t="shared" si="18"/>
        <v>69.846863911073257</v>
      </c>
      <c r="J247" s="1120"/>
      <c r="K247" s="1120"/>
      <c r="L247" s="1120"/>
      <c r="M247" s="1124">
        <v>618.1474625258727</v>
      </c>
      <c r="N247" s="1029"/>
      <c r="O247" s="1126">
        <v>77.310428053239448</v>
      </c>
      <c r="P247" s="1127">
        <v>719.7662819044765</v>
      </c>
      <c r="Q247" s="1127">
        <v>622.42402305375333</v>
      </c>
      <c r="R247" s="1127">
        <v>1990.5642419879514</v>
      </c>
      <c r="S247" s="1127"/>
      <c r="T247" s="1128">
        <f t="shared" si="19"/>
        <v>618.1474625258727</v>
      </c>
      <c r="U247" s="1128">
        <f t="shared" si="25"/>
        <v>77.310428053239448</v>
      </c>
      <c r="V247" s="1127">
        <f t="shared" si="24"/>
        <v>719.7662819044765</v>
      </c>
      <c r="W247" s="1127">
        <f t="shared" si="23"/>
        <v>622.42402305375333</v>
      </c>
      <c r="X247" s="1127">
        <f t="shared" si="22"/>
        <v>1990.5642419879514</v>
      </c>
      <c r="Y247" s="1120"/>
      <c r="Z247" s="1120"/>
      <c r="AA247" s="1120"/>
      <c r="AB247" s="1120"/>
      <c r="AC247" s="1116"/>
    </row>
    <row r="248" spans="1:29" x14ac:dyDescent="0.35">
      <c r="A248" s="1120">
        <v>1938</v>
      </c>
      <c r="B248" s="1120"/>
      <c r="C248" s="1121">
        <v>569</v>
      </c>
      <c r="D248" s="1121">
        <v>1274</v>
      </c>
      <c r="E248" s="1122">
        <v>2.1529544333880684</v>
      </c>
      <c r="F248" s="1120"/>
      <c r="G248" s="1120"/>
      <c r="H248" s="1123">
        <f t="shared" si="21"/>
        <v>44.662480376766091</v>
      </c>
      <c r="I248" s="1123">
        <f t="shared" si="18"/>
        <v>72.580403115490412</v>
      </c>
      <c r="J248" s="1120"/>
      <c r="K248" s="1120"/>
      <c r="L248" s="1120"/>
      <c r="M248" s="1124">
        <v>631.95048222741559</v>
      </c>
      <c r="N248" s="1029"/>
      <c r="O248" s="1126">
        <v>80.246922288438256</v>
      </c>
      <c r="P248" s="1127">
        <v>712.04964314308495</v>
      </c>
      <c r="Q248" s="1127">
        <v>632.46683798840013</v>
      </c>
      <c r="R248" s="1127">
        <v>1953.7170301587298</v>
      </c>
      <c r="S248" s="1127"/>
      <c r="T248" s="1128">
        <f t="shared" si="19"/>
        <v>631.95048222741559</v>
      </c>
      <c r="U248" s="1128">
        <f t="shared" si="25"/>
        <v>80.246922288438256</v>
      </c>
      <c r="V248" s="1127">
        <f t="shared" si="24"/>
        <v>712.04964314308495</v>
      </c>
      <c r="W248" s="1127">
        <f t="shared" si="23"/>
        <v>632.46683798840013</v>
      </c>
      <c r="X248" s="1127">
        <f t="shared" si="22"/>
        <v>1953.7170301587298</v>
      </c>
      <c r="Y248" s="1120"/>
      <c r="Z248" s="1120"/>
      <c r="AA248" s="1120"/>
      <c r="AB248" s="1120"/>
      <c r="AC248" s="1116"/>
    </row>
    <row r="249" spans="1:29" x14ac:dyDescent="0.35">
      <c r="A249" s="1120">
        <v>1939</v>
      </c>
      <c r="B249" s="1120"/>
      <c r="C249" s="1121">
        <v>568</v>
      </c>
      <c r="D249" s="1121">
        <v>1209</v>
      </c>
      <c r="E249" s="1122">
        <v>2.1874017043222778</v>
      </c>
      <c r="F249" s="1120"/>
      <c r="G249" s="1120"/>
      <c r="H249" s="1123">
        <f t="shared" si="21"/>
        <v>46.980976013234077</v>
      </c>
      <c r="I249" s="1123">
        <f t="shared" si="18"/>
        <v>76.348159552141254</v>
      </c>
      <c r="J249" s="1120"/>
      <c r="K249" s="1120"/>
      <c r="L249" s="1120"/>
      <c r="M249" s="1124">
        <v>589.42163882817204</v>
      </c>
      <c r="N249" s="1029"/>
      <c r="O249" s="1126">
        <v>77.156236258061412</v>
      </c>
      <c r="P249" s="1127">
        <v>675.43623461622872</v>
      </c>
      <c r="Q249" s="1127">
        <v>631.13566322069039</v>
      </c>
      <c r="R249" s="1127">
        <v>1840.6985394412332</v>
      </c>
      <c r="S249" s="1127"/>
      <c r="T249" s="1128">
        <f t="shared" si="19"/>
        <v>589.42163882817204</v>
      </c>
      <c r="U249" s="1128">
        <f t="shared" si="25"/>
        <v>77.156236258061412</v>
      </c>
      <c r="V249" s="1127">
        <f t="shared" si="24"/>
        <v>675.43623461622872</v>
      </c>
      <c r="W249" s="1127">
        <f t="shared" si="23"/>
        <v>631.13566322069039</v>
      </c>
      <c r="X249" s="1127">
        <f t="shared" si="22"/>
        <v>1840.6985394412332</v>
      </c>
      <c r="Y249" s="1120"/>
      <c r="Z249" s="1120"/>
      <c r="AA249" s="1120"/>
      <c r="AB249" s="1120"/>
      <c r="AC249" s="1116"/>
    </row>
    <row r="250" spans="1:29" x14ac:dyDescent="0.35">
      <c r="A250" s="1120">
        <v>1940</v>
      </c>
      <c r="B250" s="1120"/>
      <c r="C250" s="1121">
        <v>631</v>
      </c>
      <c r="D250" s="1121">
        <v>1574</v>
      </c>
      <c r="E250" s="1122">
        <v>2.2486489520433017</v>
      </c>
      <c r="F250" s="1120"/>
      <c r="G250" s="1120"/>
      <c r="H250" s="1123">
        <f t="shared" si="21"/>
        <v>40.088945362134687</v>
      </c>
      <c r="I250" s="1123">
        <f t="shared" si="18"/>
        <v>65.148012163969483</v>
      </c>
      <c r="J250" s="1120"/>
      <c r="K250" s="1120"/>
      <c r="L250" s="1120"/>
      <c r="M250" s="1124">
        <v>568.370053495555</v>
      </c>
      <c r="N250" s="1029"/>
      <c r="O250" s="1126">
        <v>73.473142381180807</v>
      </c>
      <c r="P250" s="1127">
        <v>711.96662504781182</v>
      </c>
      <c r="Q250" s="1127">
        <v>555.0421321401368</v>
      </c>
      <c r="R250" s="1127">
        <v>1613.9369206105612</v>
      </c>
      <c r="S250" s="1127"/>
      <c r="T250" s="1128">
        <f t="shared" si="19"/>
        <v>568.370053495555</v>
      </c>
      <c r="U250" s="1128">
        <f t="shared" si="25"/>
        <v>73.473142381180807</v>
      </c>
      <c r="V250" s="1127">
        <f t="shared" si="24"/>
        <v>711.96662504781182</v>
      </c>
      <c r="W250" s="1127">
        <f t="shared" si="23"/>
        <v>555.0421321401368</v>
      </c>
      <c r="X250" s="1127">
        <f t="shared" si="22"/>
        <v>1613.9369206105612</v>
      </c>
      <c r="Y250" s="1120"/>
      <c r="Z250" s="1120"/>
      <c r="AA250" s="1120"/>
      <c r="AB250" s="1120"/>
      <c r="AC250" s="1116"/>
    </row>
    <row r="251" spans="1:29" x14ac:dyDescent="0.35">
      <c r="A251" s="1120">
        <v>1941</v>
      </c>
      <c r="B251" s="1120"/>
      <c r="C251" s="1121">
        <v>689</v>
      </c>
      <c r="D251" s="1121">
        <v>1784</v>
      </c>
      <c r="E251" s="1122">
        <v>2.6264219759865766</v>
      </c>
      <c r="F251" s="1120"/>
      <c r="G251" s="1120"/>
      <c r="H251" s="1123">
        <f t="shared" si="21"/>
        <v>38.621076233183857</v>
      </c>
      <c r="I251" s="1123">
        <f t="shared" si="18"/>
        <v>62.762597556422129</v>
      </c>
      <c r="J251" s="1120"/>
      <c r="K251" s="1120"/>
      <c r="L251" s="1120"/>
      <c r="M251" s="1124">
        <v>510.43944564338625</v>
      </c>
      <c r="N251" s="1029"/>
      <c r="O251" s="1126">
        <v>73.035114932429622</v>
      </c>
      <c r="P251" s="1127">
        <v>711.46326603766715</v>
      </c>
      <c r="Q251" s="1127">
        <v>513.61853414033862</v>
      </c>
      <c r="R251" s="1127">
        <v>1456.8341893154761</v>
      </c>
      <c r="S251" s="1127"/>
      <c r="T251" s="1128">
        <f t="shared" si="19"/>
        <v>510.43944564338625</v>
      </c>
      <c r="U251" s="1128">
        <f t="shared" si="25"/>
        <v>73.035114932429622</v>
      </c>
      <c r="V251" s="1127">
        <f t="shared" si="24"/>
        <v>711.46326603766715</v>
      </c>
      <c r="W251" s="1127">
        <f t="shared" si="23"/>
        <v>513.61853414033862</v>
      </c>
      <c r="X251" s="1127">
        <f t="shared" si="22"/>
        <v>1456.8341893154761</v>
      </c>
      <c r="Y251" s="1120"/>
      <c r="Z251" s="1120"/>
      <c r="AA251" s="1120"/>
      <c r="AB251" s="1120"/>
      <c r="AC251" s="1116"/>
    </row>
    <row r="252" spans="1:29" x14ac:dyDescent="0.35">
      <c r="A252" s="1120">
        <v>1942</v>
      </c>
      <c r="B252" s="1120"/>
      <c r="C252" s="1121">
        <v>728</v>
      </c>
      <c r="D252" s="1121">
        <v>2130</v>
      </c>
      <c r="E252" s="1122">
        <v>2.9100755493931274</v>
      </c>
      <c r="F252" s="1120"/>
      <c r="G252" s="1120"/>
      <c r="H252" s="1123">
        <f t="shared" si="21"/>
        <v>34.178403755868544</v>
      </c>
      <c r="I252" s="1123">
        <f t="shared" si="18"/>
        <v>55.542869574601788</v>
      </c>
      <c r="J252" s="1120"/>
      <c r="K252" s="1120"/>
      <c r="L252" s="1120"/>
      <c r="M252" s="1124">
        <v>493.00945825964004</v>
      </c>
      <c r="N252" s="1029"/>
      <c r="O252" s="1126">
        <v>72.004040237930937</v>
      </c>
      <c r="P252" s="1127">
        <v>699.04309122758184</v>
      </c>
      <c r="Q252" s="1127">
        <v>491.59413584401682</v>
      </c>
      <c r="R252" s="1127">
        <v>1328.1518656944443</v>
      </c>
      <c r="S252" s="1127"/>
      <c r="T252" s="1128">
        <f t="shared" si="19"/>
        <v>493.00945825964004</v>
      </c>
      <c r="U252" s="1128">
        <f t="shared" si="25"/>
        <v>72.004040237930937</v>
      </c>
      <c r="V252" s="1127">
        <f t="shared" si="24"/>
        <v>699.04309122758184</v>
      </c>
      <c r="W252" s="1127">
        <f t="shared" si="23"/>
        <v>491.59413584401682</v>
      </c>
      <c r="X252" s="1127">
        <f t="shared" si="22"/>
        <v>1328.1518656944443</v>
      </c>
      <c r="Y252" s="1120"/>
      <c r="Z252" s="1120"/>
      <c r="AA252" s="1120"/>
      <c r="AB252" s="1120"/>
      <c r="AC252" s="1116"/>
    </row>
    <row r="253" spans="1:29" x14ac:dyDescent="0.35">
      <c r="A253" s="1120">
        <v>1943</v>
      </c>
      <c r="B253" s="1120"/>
      <c r="C253" s="1121">
        <v>775</v>
      </c>
      <c r="D253" s="1121">
        <v>2145</v>
      </c>
      <c r="E253" s="1122">
        <v>3.1166909134000389</v>
      </c>
      <c r="F253" s="1120"/>
      <c r="G253" s="1120"/>
      <c r="H253" s="1123">
        <f t="shared" si="21"/>
        <v>36.130536130536129</v>
      </c>
      <c r="I253" s="1123">
        <f t="shared" si="18"/>
        <v>58.715253944948579</v>
      </c>
      <c r="J253" s="1120"/>
      <c r="K253" s="1120"/>
      <c r="L253" s="1120"/>
      <c r="M253" s="1124">
        <v>466.85311967330131</v>
      </c>
      <c r="N253" s="1029"/>
      <c r="O253" s="1126">
        <v>75.094517966169946</v>
      </c>
      <c r="P253" s="1127">
        <v>700.18891964469287</v>
      </c>
      <c r="Q253" s="1127">
        <v>487.55900628101699</v>
      </c>
      <c r="R253" s="1127">
        <v>1289.126004422043</v>
      </c>
      <c r="S253" s="1127"/>
      <c r="T253" s="1128">
        <f t="shared" si="19"/>
        <v>466.85311967330131</v>
      </c>
      <c r="U253" s="1128">
        <f t="shared" si="25"/>
        <v>75.094517966169946</v>
      </c>
      <c r="V253" s="1127">
        <f t="shared" si="24"/>
        <v>700.18891964469287</v>
      </c>
      <c r="W253" s="1127">
        <f t="shared" si="23"/>
        <v>487.55900628101699</v>
      </c>
      <c r="X253" s="1127">
        <f t="shared" si="22"/>
        <v>1289.126004422043</v>
      </c>
      <c r="Y253" s="1120"/>
      <c r="Z253" s="1120"/>
      <c r="AA253" s="1120"/>
      <c r="AB253" s="1120"/>
      <c r="AC253" s="1116"/>
    </row>
    <row r="254" spans="1:29" x14ac:dyDescent="0.35">
      <c r="A254" s="1120">
        <v>1944</v>
      </c>
      <c r="B254" s="1120"/>
      <c r="C254" s="1121">
        <v>836</v>
      </c>
      <c r="D254" s="1121">
        <v>2216</v>
      </c>
      <c r="E254" s="1122">
        <v>3.2226584044556401</v>
      </c>
      <c r="F254" s="1120"/>
      <c r="G254" s="1120"/>
      <c r="H254" s="1123">
        <f t="shared" si="21"/>
        <v>37.725631768953065</v>
      </c>
      <c r="I254" s="1123">
        <f t="shared" si="18"/>
        <v>61.307422661675027</v>
      </c>
      <c r="J254" s="1120"/>
      <c r="K254" s="1120"/>
      <c r="L254" s="1120"/>
      <c r="M254" s="1124">
        <v>473.91541332887061</v>
      </c>
      <c r="N254" s="1029"/>
      <c r="O254" s="1126">
        <v>81.496218099134765</v>
      </c>
      <c r="P254" s="1127">
        <v>721.80027263877275</v>
      </c>
      <c r="Q254" s="1127">
        <v>485.6732333836095</v>
      </c>
      <c r="R254" s="1127">
        <v>1319.3336180130718</v>
      </c>
      <c r="S254" s="1127"/>
      <c r="T254" s="1128">
        <f t="shared" si="19"/>
        <v>473.91541332887061</v>
      </c>
      <c r="U254" s="1128">
        <f t="shared" si="25"/>
        <v>81.496218099134765</v>
      </c>
      <c r="V254" s="1127">
        <f t="shared" si="24"/>
        <v>721.80027263877275</v>
      </c>
      <c r="W254" s="1127">
        <f t="shared" si="23"/>
        <v>485.6732333836095</v>
      </c>
      <c r="X254" s="1127">
        <f t="shared" si="22"/>
        <v>1319.3336180130718</v>
      </c>
      <c r="Y254" s="1120"/>
      <c r="Z254" s="1120"/>
      <c r="AA254" s="1120"/>
      <c r="AB254" s="1120"/>
      <c r="AC254" s="1116"/>
    </row>
    <row r="255" spans="1:29" x14ac:dyDescent="0.35">
      <c r="A255" s="1120">
        <v>1945</v>
      </c>
      <c r="B255" s="1120"/>
      <c r="C255" s="1121">
        <v>895</v>
      </c>
      <c r="D255" s="1121">
        <v>2282</v>
      </c>
      <c r="E255" s="1122">
        <v>3.3096701813759419</v>
      </c>
      <c r="F255" s="1120"/>
      <c r="G255" s="1120"/>
      <c r="H255" s="1123">
        <f t="shared" si="21"/>
        <v>39.219982471516211</v>
      </c>
      <c r="I255" s="1123">
        <f t="shared" si="18"/>
        <v>63.735872122452669</v>
      </c>
      <c r="J255" s="1120"/>
      <c r="K255" s="1120"/>
      <c r="L255" s="1120"/>
      <c r="M255" s="1124">
        <v>462.66058553964797</v>
      </c>
      <c r="N255" s="1029"/>
      <c r="O255" s="1126">
        <v>87.358889669197552</v>
      </c>
      <c r="P255" s="1127">
        <v>612.00196058674805</v>
      </c>
      <c r="Q255" s="1127">
        <v>483.88822697690324</v>
      </c>
      <c r="R255" s="1127">
        <v>1358.7683209160305</v>
      </c>
      <c r="S255" s="1127"/>
      <c r="T255" s="1128">
        <f t="shared" si="19"/>
        <v>462.66058553964797</v>
      </c>
      <c r="U255" s="1128">
        <f t="shared" si="25"/>
        <v>87.358889669197552</v>
      </c>
      <c r="V255" s="1127">
        <f t="shared" si="24"/>
        <v>612.00196058674805</v>
      </c>
      <c r="W255" s="1127">
        <f t="shared" si="23"/>
        <v>483.88822697690324</v>
      </c>
      <c r="X255" s="1127">
        <f t="shared" si="22"/>
        <v>1358.7683209160305</v>
      </c>
      <c r="Y255" s="1120"/>
      <c r="Z255" s="1120"/>
      <c r="AA255" s="1120"/>
      <c r="AB255" s="1120"/>
      <c r="AC255" s="1116"/>
    </row>
    <row r="256" spans="1:29" x14ac:dyDescent="0.35">
      <c r="A256" s="1120">
        <v>1946</v>
      </c>
      <c r="B256" s="1120"/>
      <c r="C256" s="1121">
        <v>931</v>
      </c>
      <c r="D256" s="1121">
        <v>2364</v>
      </c>
      <c r="E256" s="1122">
        <v>3.4023409464544683</v>
      </c>
      <c r="F256" s="1120"/>
      <c r="G256" s="1120"/>
      <c r="H256" s="1123">
        <f t="shared" si="21"/>
        <v>39.382402707275801</v>
      </c>
      <c r="I256" s="1123">
        <f>I$257*(H256/H$257)</f>
        <v>63.999819088364497</v>
      </c>
      <c r="J256" s="1120"/>
      <c r="K256" s="1120"/>
      <c r="L256" s="1120"/>
      <c r="M256" s="1124">
        <v>467.15251274423292</v>
      </c>
      <c r="N256" s="1029"/>
      <c r="O256" s="1126">
        <v>90.007489367812354</v>
      </c>
      <c r="P256" s="1127">
        <v>539.3776762479506</v>
      </c>
      <c r="Q256" s="1127">
        <v>480.41020897435857</v>
      </c>
      <c r="R256" s="1127">
        <v>1310.3262850987655</v>
      </c>
      <c r="S256" s="1127"/>
      <c r="T256" s="1128">
        <f t="shared" si="19"/>
        <v>467.15251274423292</v>
      </c>
      <c r="U256" s="1128">
        <f t="shared" si="25"/>
        <v>90.007489367812354</v>
      </c>
      <c r="V256" s="1127">
        <f t="shared" si="24"/>
        <v>539.3776762479506</v>
      </c>
      <c r="W256" s="1127">
        <f t="shared" si="23"/>
        <v>480.41020897435857</v>
      </c>
      <c r="X256" s="1127">
        <f t="shared" si="22"/>
        <v>1310.3262850987655</v>
      </c>
      <c r="Y256" s="1120"/>
      <c r="Z256" s="1120"/>
      <c r="AA256" s="1120"/>
      <c r="AB256" s="1120"/>
      <c r="AC256" s="1116"/>
    </row>
    <row r="257" spans="1:29" x14ac:dyDescent="0.35">
      <c r="A257" s="1120">
        <v>1947</v>
      </c>
      <c r="B257" s="1120"/>
      <c r="C257" s="1121">
        <v>991</v>
      </c>
      <c r="D257" s="1121">
        <v>2580</v>
      </c>
      <c r="E257" s="1122">
        <v>3.5078135157945565</v>
      </c>
      <c r="F257" s="1120"/>
      <c r="G257" s="1120"/>
      <c r="H257" s="1123">
        <f t="shared" si="21"/>
        <v>38.410852713178294</v>
      </c>
      <c r="I257" s="1123">
        <f>[6]ONS!F17</f>
        <v>62.420966108780931</v>
      </c>
      <c r="J257" s="1120"/>
      <c r="K257" s="1120"/>
      <c r="L257" s="1120"/>
      <c r="M257" s="1124">
        <v>452.15262291974784</v>
      </c>
      <c r="N257" s="1029"/>
      <c r="O257" s="1126">
        <v>89.945211482187119</v>
      </c>
      <c r="P257" s="1127">
        <v>538.42801962554029</v>
      </c>
      <c r="Q257" s="1127">
        <v>458.97161722562288</v>
      </c>
      <c r="R257" s="1127">
        <v>1226.3643524682814</v>
      </c>
      <c r="S257" s="1127"/>
      <c r="T257" s="1128">
        <f t="shared" si="19"/>
        <v>452.15262291974784</v>
      </c>
      <c r="U257" s="1128">
        <f t="shared" si="25"/>
        <v>89.945211482187119</v>
      </c>
      <c r="V257" s="1127">
        <f t="shared" si="24"/>
        <v>538.42801962554029</v>
      </c>
      <c r="W257" s="1127">
        <f t="shared" si="23"/>
        <v>458.97161722562288</v>
      </c>
      <c r="X257" s="1127">
        <f t="shared" ref="X257:X288" si="26">R257</f>
        <v>1226.3643524682814</v>
      </c>
      <c r="Y257" s="1120"/>
      <c r="Z257" s="1120"/>
      <c r="AA257" s="1120"/>
      <c r="AB257" s="1120"/>
      <c r="AC257" s="1116"/>
    </row>
    <row r="258" spans="1:29" x14ac:dyDescent="0.35">
      <c r="A258" s="1120">
        <v>1948</v>
      </c>
      <c r="B258" s="1120"/>
      <c r="C258" s="1121">
        <v>1125</v>
      </c>
      <c r="D258" s="1121">
        <v>2781</v>
      </c>
      <c r="E258" s="1122">
        <v>3.7533604619001757</v>
      </c>
      <c r="F258" s="1120"/>
      <c r="G258" s="1120"/>
      <c r="H258" s="1123">
        <f t="shared" si="21"/>
        <v>40.453074433656958</v>
      </c>
      <c r="I258" s="1123">
        <f>[6]ONS!F18</f>
        <v>63.027930073703132</v>
      </c>
      <c r="J258" s="1120"/>
      <c r="K258" s="1120"/>
      <c r="L258" s="1120"/>
      <c r="M258" s="1124">
        <v>418.47902369696789</v>
      </c>
      <c r="N258" s="1029"/>
      <c r="O258" s="1126">
        <v>95.304647474970594</v>
      </c>
      <c r="P258" s="1127">
        <v>515.36692413179139</v>
      </c>
      <c r="Q258" s="1127">
        <v>435.93195605573413</v>
      </c>
      <c r="R258" s="1127">
        <v>1181.2183795498393</v>
      </c>
      <c r="S258" s="1120"/>
      <c r="T258" s="1123">
        <f>T$257*[6]ONS!F18/[6]ONS!F$17</f>
        <v>456.54922819303175</v>
      </c>
      <c r="U258" s="1128">
        <f t="shared" si="25"/>
        <v>95.304647474970594</v>
      </c>
      <c r="V258" s="1127">
        <f t="shared" si="24"/>
        <v>515.36692413179139</v>
      </c>
      <c r="W258" s="1127">
        <f t="shared" si="23"/>
        <v>435.93195605573413</v>
      </c>
      <c r="X258" s="1127">
        <f t="shared" si="26"/>
        <v>1181.2183795498393</v>
      </c>
      <c r="Y258" s="1120"/>
      <c r="Z258" s="1120"/>
      <c r="AA258" s="1120"/>
      <c r="AB258" s="1120"/>
      <c r="AC258" s="1116"/>
    </row>
    <row r="259" spans="1:29" x14ac:dyDescent="0.35">
      <c r="A259" s="1120">
        <v>1949</v>
      </c>
      <c r="B259" s="1120"/>
      <c r="C259" s="1121">
        <v>1125</v>
      </c>
      <c r="D259" s="1121">
        <v>3145</v>
      </c>
      <c r="E259" s="1122">
        <v>4.0423692174664891</v>
      </c>
      <c r="F259" s="1120"/>
      <c r="G259" s="1120"/>
      <c r="H259" s="1123">
        <f t="shared" si="21"/>
        <v>35.771065182829886</v>
      </c>
      <c r="I259" s="1123">
        <f>[6]ONS!F19</f>
        <v>62.489648383274798</v>
      </c>
      <c r="J259" s="1120"/>
      <c r="K259" s="1120"/>
      <c r="L259" s="1120"/>
      <c r="M259" s="1124">
        <v>418.18964785632085</v>
      </c>
      <c r="N259" s="1029"/>
      <c r="O259" s="1126">
        <v>92.902076877531229</v>
      </c>
      <c r="P259" s="1127">
        <v>484.52100993885915</v>
      </c>
      <c r="Q259" s="1127">
        <v>435.82587630208332</v>
      </c>
      <c r="R259" s="1127">
        <v>1158.8453778645835</v>
      </c>
      <c r="S259" s="1127"/>
      <c r="T259" s="1123">
        <f>T$257*[6]ONS!F19/[6]ONS!F$17</f>
        <v>452.65012996740194</v>
      </c>
      <c r="U259" s="1128">
        <f t="shared" si="25"/>
        <v>92.902076877531229</v>
      </c>
      <c r="V259" s="1127">
        <f t="shared" si="24"/>
        <v>484.52100993885915</v>
      </c>
      <c r="W259" s="1127">
        <f t="shared" si="23"/>
        <v>435.82587630208332</v>
      </c>
      <c r="X259" s="1127">
        <f t="shared" si="26"/>
        <v>1158.8453778645835</v>
      </c>
      <c r="Y259" s="1120"/>
      <c r="Z259" s="1120"/>
      <c r="AA259" s="1120"/>
      <c r="AB259" s="1120"/>
      <c r="AC259" s="1116"/>
    </row>
    <row r="260" spans="1:29" x14ac:dyDescent="0.35">
      <c r="A260" s="1120">
        <v>1950</v>
      </c>
      <c r="B260" s="1120"/>
      <c r="C260" s="1121">
        <v>1118</v>
      </c>
      <c r="D260" s="1121">
        <v>3155</v>
      </c>
      <c r="E260" s="1122">
        <v>4.1555555555555515</v>
      </c>
      <c r="F260" s="1120"/>
      <c r="G260" s="1120"/>
      <c r="H260" s="1123">
        <f t="shared" si="21"/>
        <v>35.435816164817751</v>
      </c>
      <c r="I260" s="1123">
        <f>[6]ONS!F20</f>
        <v>62.528287778428528</v>
      </c>
      <c r="J260" s="1120"/>
      <c r="K260" s="1120"/>
      <c r="L260" s="1120"/>
      <c r="M260" s="1124">
        <v>493.53264486582287</v>
      </c>
      <c r="N260" s="1029"/>
      <c r="O260" s="1126">
        <v>87.468995794352182</v>
      </c>
      <c r="P260" s="1127">
        <v>606.78704188202255</v>
      </c>
      <c r="Q260" s="1127">
        <v>437.09920555555556</v>
      </c>
      <c r="R260" s="1127">
        <v>1134.248866040404</v>
      </c>
      <c r="S260" s="1127"/>
      <c r="T260" s="1123">
        <f>T$257*[6]ONS!F20/[6]ONS!F$17</f>
        <v>452.93001835997097</v>
      </c>
      <c r="U260" s="1128">
        <f t="shared" si="25"/>
        <v>87.468995794352182</v>
      </c>
      <c r="V260" s="1127">
        <f t="shared" si="24"/>
        <v>606.78704188202255</v>
      </c>
      <c r="W260" s="1127">
        <f t="shared" ref="W260:W291" si="27">Q260</f>
        <v>437.09920555555556</v>
      </c>
      <c r="X260" s="1127">
        <f t="shared" si="26"/>
        <v>1134.248866040404</v>
      </c>
      <c r="Y260" s="1120"/>
      <c r="Z260" s="1120"/>
      <c r="AA260" s="1120"/>
      <c r="AB260" s="1120"/>
      <c r="AC260" s="1116"/>
    </row>
    <row r="261" spans="1:29" x14ac:dyDescent="0.35">
      <c r="A261" s="1120">
        <v>1951</v>
      </c>
      <c r="B261" s="1120"/>
      <c r="C261" s="1121">
        <v>1229</v>
      </c>
      <c r="D261" s="1121">
        <v>3656</v>
      </c>
      <c r="E261" s="1122">
        <v>4.3183908045976969</v>
      </c>
      <c r="F261" s="1120"/>
      <c r="G261" s="1120"/>
      <c r="H261" s="1123">
        <f t="shared" si="21"/>
        <v>33.615973741794306</v>
      </c>
      <c r="I261" s="1123">
        <f>[6]ONS!F21</f>
        <v>62.905553937166715</v>
      </c>
      <c r="J261" s="1120"/>
      <c r="K261" s="1120"/>
      <c r="L261" s="1120"/>
      <c r="M261" s="1124">
        <v>521.12699021407605</v>
      </c>
      <c r="N261" s="1029"/>
      <c r="O261" s="1126">
        <v>88.765971210765159</v>
      </c>
      <c r="P261" s="1127">
        <v>649.75072750025049</v>
      </c>
      <c r="Q261" s="1127">
        <v>421.97359745370375</v>
      </c>
      <c r="R261" s="1127">
        <v>1055.5081493703703</v>
      </c>
      <c r="S261" s="1127"/>
      <c r="T261" s="1123">
        <f>T$257*[6]ONS!F21/[6]ONS!F$17</f>
        <v>455.66278418924469</v>
      </c>
      <c r="U261" s="1128">
        <f t="shared" si="25"/>
        <v>88.765971210765159</v>
      </c>
      <c r="V261" s="1127">
        <f t="shared" si="24"/>
        <v>649.75072750025049</v>
      </c>
      <c r="W261" s="1127">
        <f t="shared" si="27"/>
        <v>421.97359745370375</v>
      </c>
      <c r="X261" s="1127">
        <f t="shared" si="26"/>
        <v>1055.5081493703703</v>
      </c>
      <c r="Y261" s="1120"/>
      <c r="Z261" s="1120"/>
      <c r="AA261" s="1120"/>
      <c r="AB261" s="1120"/>
      <c r="AC261" s="1116"/>
    </row>
    <row r="262" spans="1:29" x14ac:dyDescent="0.35">
      <c r="A262" s="1120">
        <v>1952</v>
      </c>
      <c r="B262" s="1120"/>
      <c r="C262" s="1121">
        <v>1366</v>
      </c>
      <c r="D262" s="1121">
        <v>3987</v>
      </c>
      <c r="E262" s="1122">
        <v>4.7091954022988469</v>
      </c>
      <c r="F262" s="1120"/>
      <c r="G262" s="1120"/>
      <c r="H262" s="1123">
        <f t="shared" si="21"/>
        <v>34.261349385502882</v>
      </c>
      <c r="I262" s="1123">
        <f>[6]ONS!F22</f>
        <v>63.920389248017116</v>
      </c>
      <c r="J262" s="1120"/>
      <c r="K262" s="1120"/>
      <c r="L262" s="1120"/>
      <c r="M262" s="1124">
        <v>560.2282101740899</v>
      </c>
      <c r="N262" s="1029"/>
      <c r="O262" s="1126">
        <v>90.506555671260642</v>
      </c>
      <c r="P262" s="1127">
        <v>703.47218744886413</v>
      </c>
      <c r="Q262" s="1127">
        <v>431.21767917726891</v>
      </c>
      <c r="R262" s="1127">
        <v>1040.7587138931299</v>
      </c>
      <c r="S262" s="1127"/>
      <c r="T262" s="1123">
        <f>T$257*[6]ONS!F22/[6]ONS!F$17</f>
        <v>463.01384708104501</v>
      </c>
      <c r="U262" s="1128">
        <f t="shared" si="25"/>
        <v>90.506555671260642</v>
      </c>
      <c r="V262" s="1127">
        <f t="shared" si="24"/>
        <v>703.47218744886413</v>
      </c>
      <c r="W262" s="1127">
        <f t="shared" si="27"/>
        <v>431.21767917726891</v>
      </c>
      <c r="X262" s="1127">
        <f t="shared" si="26"/>
        <v>1040.7587138931299</v>
      </c>
      <c r="Y262" s="1120"/>
      <c r="Z262" s="1120"/>
      <c r="AA262" s="1120"/>
      <c r="AB262" s="1120"/>
      <c r="AC262" s="1116"/>
    </row>
    <row r="263" spans="1:29" x14ac:dyDescent="0.35">
      <c r="A263" s="1120">
        <v>1953</v>
      </c>
      <c r="B263" s="1120"/>
      <c r="C263" s="1121">
        <v>1419</v>
      </c>
      <c r="D263" s="1121">
        <v>3735</v>
      </c>
      <c r="E263" s="1122">
        <v>5.2107279693486559</v>
      </c>
      <c r="F263" s="1120"/>
      <c r="G263" s="1120"/>
      <c r="H263" s="1123">
        <f t="shared" si="21"/>
        <v>37.99196787148594</v>
      </c>
      <c r="I263" s="1123">
        <f>[6]ONS!F23</f>
        <v>65.204159217123589</v>
      </c>
      <c r="J263" s="1120"/>
      <c r="K263" s="1120"/>
      <c r="L263" s="1120"/>
      <c r="M263" s="1124">
        <v>589.58774333696942</v>
      </c>
      <c r="N263" s="1029"/>
      <c r="O263" s="1126">
        <v>94.302844174861292</v>
      </c>
      <c r="P263" s="1127">
        <v>708.68330035966017</v>
      </c>
      <c r="Q263" s="1127">
        <v>443.95889176954734</v>
      </c>
      <c r="R263" s="1127">
        <v>1063.6903830864198</v>
      </c>
      <c r="S263" s="1127"/>
      <c r="T263" s="1123">
        <f>T$257*[6]ONS!F23/[6]ONS!F$17</f>
        <v>472.31296554943799</v>
      </c>
      <c r="U263" s="1128">
        <f t="shared" si="25"/>
        <v>94.302844174861292</v>
      </c>
      <c r="V263" s="1127">
        <f t="shared" ref="V263:V297" si="28">P263</f>
        <v>708.68330035966017</v>
      </c>
      <c r="W263" s="1127">
        <f t="shared" si="27"/>
        <v>443.95889176954734</v>
      </c>
      <c r="X263" s="1127">
        <f t="shared" si="26"/>
        <v>1063.6903830864198</v>
      </c>
      <c r="Y263" s="1120"/>
      <c r="Z263" s="1120"/>
      <c r="AA263" s="1120"/>
      <c r="AB263" s="1120"/>
      <c r="AC263" s="1116"/>
    </row>
    <row r="264" spans="1:29" x14ac:dyDescent="0.35">
      <c r="A264" s="1120">
        <v>1954</v>
      </c>
      <c r="B264" s="1120"/>
      <c r="C264" s="1121">
        <v>1448</v>
      </c>
      <c r="D264" s="1121">
        <v>3825</v>
      </c>
      <c r="E264" s="1122">
        <v>5.3996168582375459</v>
      </c>
      <c r="F264" s="1120"/>
      <c r="G264" s="1120"/>
      <c r="H264" s="1123">
        <f t="shared" si="21"/>
        <v>37.856209150326798</v>
      </c>
      <c r="I264" s="1123">
        <f>[6]ONS!F24</f>
        <v>66.89823336030976</v>
      </c>
      <c r="J264" s="1120"/>
      <c r="K264" s="1120"/>
      <c r="L264" s="1120"/>
      <c r="M264" s="1124">
        <v>595.48819601324681</v>
      </c>
      <c r="N264" s="1029"/>
      <c r="O264" s="1126">
        <v>83.411495650554983</v>
      </c>
      <c r="P264" s="1127">
        <v>628.50968754816802</v>
      </c>
      <c r="Q264" s="1127">
        <v>442.08601472962062</v>
      </c>
      <c r="R264" s="1127">
        <v>1054.5486968523003</v>
      </c>
      <c r="S264" s="1127"/>
      <c r="T264" s="1123">
        <f>T$257*[6]ONS!F24/[6]ONS!F$17</f>
        <v>484.58416407474243</v>
      </c>
      <c r="U264" s="1128">
        <f t="shared" si="25"/>
        <v>83.411495650554983</v>
      </c>
      <c r="V264" s="1127">
        <f t="shared" si="28"/>
        <v>628.50968754816802</v>
      </c>
      <c r="W264" s="1127">
        <f t="shared" si="27"/>
        <v>442.08601472962062</v>
      </c>
      <c r="X264" s="1127">
        <f t="shared" si="26"/>
        <v>1054.5486968523003</v>
      </c>
      <c r="Y264" s="1120"/>
      <c r="Z264" s="1120"/>
      <c r="AA264" s="1120"/>
      <c r="AB264" s="1120"/>
      <c r="AC264" s="1116"/>
    </row>
    <row r="265" spans="1:29" x14ac:dyDescent="0.35">
      <c r="A265" s="1120">
        <v>1955</v>
      </c>
      <c r="B265" s="1120"/>
      <c r="C265" s="1120"/>
      <c r="D265" s="1120"/>
      <c r="E265" s="1122">
        <v>5.5233716475095775</v>
      </c>
      <c r="F265" s="1120"/>
      <c r="G265" s="1120"/>
      <c r="H265" s="1120"/>
      <c r="I265" s="1123">
        <f>[6]ONS!F25</f>
        <v>67.628631760231499</v>
      </c>
      <c r="J265" s="1120"/>
      <c r="K265" s="1120"/>
      <c r="L265" s="1120"/>
      <c r="M265" s="1124">
        <v>578.95996611541295</v>
      </c>
      <c r="N265" s="1029"/>
      <c r="O265" s="1126">
        <v>84.977800973544419</v>
      </c>
      <c r="P265" s="1127">
        <v>587.93626509094111</v>
      </c>
      <c r="Q265" s="1127">
        <v>443.4763263727765</v>
      </c>
      <c r="R265" s="1127">
        <v>1013.1939055497697</v>
      </c>
      <c r="S265" s="1127"/>
      <c r="T265" s="1123">
        <f>T$257*[6]ONS!F25/[6]ONS!F$17</f>
        <v>489.87487924447356</v>
      </c>
      <c r="U265" s="1128">
        <f t="shared" si="25"/>
        <v>84.977800973544419</v>
      </c>
      <c r="V265" s="1127">
        <f t="shared" si="28"/>
        <v>587.93626509094111</v>
      </c>
      <c r="W265" s="1127">
        <f t="shared" si="27"/>
        <v>443.4763263727765</v>
      </c>
      <c r="X265" s="1127">
        <f t="shared" si="26"/>
        <v>1013.1939055497697</v>
      </c>
      <c r="Y265" s="1120"/>
      <c r="Z265" s="1120"/>
      <c r="AA265" s="1120"/>
      <c r="AB265" s="1120"/>
      <c r="AC265" s="1116"/>
    </row>
    <row r="266" spans="1:29" x14ac:dyDescent="0.35">
      <c r="A266" s="1120">
        <v>1956</v>
      </c>
      <c r="B266" s="1120"/>
      <c r="C266" s="1120"/>
      <c r="D266" s="1120"/>
      <c r="E266" s="1122">
        <v>5.8034482758620669</v>
      </c>
      <c r="F266" s="1120"/>
      <c r="G266" s="1120"/>
      <c r="H266" s="1120"/>
      <c r="I266" s="1123">
        <f>[6]ONS!F26</f>
        <v>70.801780004934258</v>
      </c>
      <c r="J266" s="1120"/>
      <c r="K266" s="1120"/>
      <c r="L266" s="1120"/>
      <c r="M266" s="1124">
        <v>573.46546265458346</v>
      </c>
      <c r="N266" s="1029"/>
      <c r="O266" s="1126">
        <v>90.885806400334559</v>
      </c>
      <c r="P266" s="1127">
        <v>540.09426320220894</v>
      </c>
      <c r="Q266" s="1127">
        <v>463.64210264900663</v>
      </c>
      <c r="R266" s="1127">
        <v>1017.7727100247894</v>
      </c>
      <c r="S266" s="1127"/>
      <c r="T266" s="1123">
        <f>T$257*[6]ONS!F26/[6]ONS!F$17</f>
        <v>512.85990160467247</v>
      </c>
      <c r="U266" s="1128">
        <f t="shared" si="25"/>
        <v>90.885806400334559</v>
      </c>
      <c r="V266" s="1127">
        <f t="shared" si="28"/>
        <v>540.09426320220894</v>
      </c>
      <c r="W266" s="1127">
        <f t="shared" si="27"/>
        <v>463.64210264900663</v>
      </c>
      <c r="X266" s="1127">
        <f t="shared" si="26"/>
        <v>1017.7727100247894</v>
      </c>
      <c r="Y266" s="1120"/>
      <c r="Z266" s="1120"/>
      <c r="AA266" s="1120"/>
      <c r="AB266" s="1120"/>
      <c r="AC266" s="1116"/>
    </row>
    <row r="267" spans="1:29" x14ac:dyDescent="0.35">
      <c r="A267" s="1120">
        <v>1957</v>
      </c>
      <c r="B267" s="1120"/>
      <c r="C267" s="1120"/>
      <c r="D267" s="1120"/>
      <c r="E267" s="1122">
        <v>6.1030651340996167</v>
      </c>
      <c r="F267" s="1120"/>
      <c r="G267" s="1120"/>
      <c r="H267" s="1120"/>
      <c r="I267" s="1123">
        <f>[6]ONS!F27</f>
        <v>72.696340668809839</v>
      </c>
      <c r="J267" s="1120"/>
      <c r="K267" s="1120"/>
      <c r="L267" s="1120"/>
      <c r="M267" s="1124">
        <v>716.28418365264497</v>
      </c>
      <c r="N267" s="1029"/>
      <c r="O267" s="1126">
        <v>94.570697243720957</v>
      </c>
      <c r="P267" s="1127">
        <v>636.15543145899949</v>
      </c>
      <c r="Q267" s="1127">
        <v>470.33460465529492</v>
      </c>
      <c r="R267" s="1127">
        <v>1015.2214977049056</v>
      </c>
      <c r="S267" s="1127"/>
      <c r="T267" s="1123">
        <f>T$257*[6]ONS!F27/[6]ONS!F$17</f>
        <v>526.58334465358439</v>
      </c>
      <c r="U267" s="1128">
        <f t="shared" si="25"/>
        <v>94.570697243720957</v>
      </c>
      <c r="V267" s="1127">
        <f t="shared" si="28"/>
        <v>636.15543145899949</v>
      </c>
      <c r="W267" s="1127">
        <f t="shared" si="27"/>
        <v>470.33460465529492</v>
      </c>
      <c r="X267" s="1127">
        <f t="shared" si="26"/>
        <v>1015.2214977049056</v>
      </c>
      <c r="Y267" s="1120"/>
      <c r="Z267" s="1120"/>
      <c r="AA267" s="1120"/>
      <c r="AB267" s="1120"/>
      <c r="AC267" s="1116"/>
    </row>
    <row r="268" spans="1:29" x14ac:dyDescent="0.35">
      <c r="A268" s="1120">
        <v>1958</v>
      </c>
      <c r="B268" s="1120"/>
      <c r="C268" s="1120"/>
      <c r="D268" s="1120"/>
      <c r="E268" s="1122">
        <v>6.3375478927203064</v>
      </c>
      <c r="F268" s="1120"/>
      <c r="G268" s="1120"/>
      <c r="H268" s="1120"/>
      <c r="I268" s="1123">
        <f>[6]ONS!F28</f>
        <v>74.117985584184339</v>
      </c>
      <c r="J268" s="1120"/>
      <c r="K268" s="1120"/>
      <c r="L268" s="1120"/>
      <c r="M268" s="1124">
        <v>573.3449626253414</v>
      </c>
      <c r="N268" s="1029"/>
      <c r="O268" s="1126">
        <v>95.568244119352272</v>
      </c>
      <c r="P268" s="1127">
        <v>462.32246890771751</v>
      </c>
      <c r="Q268" s="1127">
        <v>481.47343853305796</v>
      </c>
      <c r="R268" s="1127">
        <v>1018.2480477513883</v>
      </c>
      <c r="S268" s="1127"/>
      <c r="T268" s="1123">
        <f>T$257*[6]ONS!F28/[6]ONS!F$17</f>
        <v>536.88117433194759</v>
      </c>
      <c r="U268" s="1128">
        <f t="shared" si="25"/>
        <v>95.568244119352272</v>
      </c>
      <c r="V268" s="1127">
        <f t="shared" si="28"/>
        <v>462.32246890771751</v>
      </c>
      <c r="W268" s="1127">
        <f t="shared" si="27"/>
        <v>481.47343853305796</v>
      </c>
      <c r="X268" s="1127">
        <f t="shared" si="26"/>
        <v>1018.2480477513883</v>
      </c>
      <c r="Y268" s="1120"/>
      <c r="Z268" s="1120"/>
      <c r="AA268" s="1120"/>
      <c r="AB268" s="1120"/>
      <c r="AC268" s="1116"/>
    </row>
    <row r="269" spans="1:29" x14ac:dyDescent="0.35">
      <c r="A269" s="1120">
        <v>1959</v>
      </c>
      <c r="B269" s="1120"/>
      <c r="C269" s="1120"/>
      <c r="D269" s="1120"/>
      <c r="E269" s="1122">
        <v>6.5199233716475096</v>
      </c>
      <c r="F269" s="1120"/>
      <c r="G269" s="1120"/>
      <c r="H269" s="1120"/>
      <c r="I269" s="1123">
        <f>[6]ONS!F29</f>
        <v>74.492228413802181</v>
      </c>
      <c r="J269" s="1120"/>
      <c r="K269" s="1120"/>
      <c r="L269" s="1120"/>
      <c r="M269" s="1124">
        <v>580.92577927245975</v>
      </c>
      <c r="N269" s="1029"/>
      <c r="O269" s="1126">
        <v>93.89480316491327</v>
      </c>
      <c r="P269" s="1127">
        <v>437.60365810932103</v>
      </c>
      <c r="Q269" s="1127">
        <v>480.17803497942384</v>
      </c>
      <c r="R269" s="1127">
        <v>988.39425667737601</v>
      </c>
      <c r="S269" s="1127"/>
      <c r="T269" s="1123">
        <f>T$257*[6]ONS!F29/[6]ONS!F$17</f>
        <v>539.59204036894107</v>
      </c>
      <c r="U269" s="1128">
        <f t="shared" ref="U269:U297" si="29">O269</f>
        <v>93.89480316491327</v>
      </c>
      <c r="V269" s="1127">
        <f t="shared" si="28"/>
        <v>437.60365810932103</v>
      </c>
      <c r="W269" s="1127">
        <f t="shared" si="27"/>
        <v>480.17803497942384</v>
      </c>
      <c r="X269" s="1127">
        <f t="shared" si="26"/>
        <v>988.39425667737601</v>
      </c>
      <c r="Y269" s="1120"/>
      <c r="Z269" s="1120"/>
      <c r="AA269" s="1120"/>
      <c r="AB269" s="1120"/>
      <c r="AC269" s="1116"/>
    </row>
    <row r="270" spans="1:29" x14ac:dyDescent="0.35">
      <c r="A270" s="1120">
        <v>1960</v>
      </c>
      <c r="B270" s="1120"/>
      <c r="C270" s="1120"/>
      <c r="D270" s="1120"/>
      <c r="E270" s="1122">
        <v>6.5590038314176233</v>
      </c>
      <c r="F270" s="1120"/>
      <c r="G270" s="1120"/>
      <c r="H270" s="1120"/>
      <c r="I270" s="1123">
        <f>[6]ONS!F30</f>
        <v>75.550510502877927</v>
      </c>
      <c r="J270" s="1120"/>
      <c r="K270" s="1120"/>
      <c r="L270" s="1120"/>
      <c r="M270" s="1124">
        <v>570.14159955706589</v>
      </c>
      <c r="N270" s="1029"/>
      <c r="O270" s="1126">
        <v>96.486243141163797</v>
      </c>
      <c r="P270" s="1127">
        <v>407.32882748320617</v>
      </c>
      <c r="Q270" s="1127">
        <v>462.23607834458568</v>
      </c>
      <c r="R270" s="1127">
        <v>955.53776407920759</v>
      </c>
      <c r="S270" s="1127"/>
      <c r="T270" s="1123">
        <f>T$257*[6]ONS!F30/[6]ONS!F$17</f>
        <v>547.25781442201639</v>
      </c>
      <c r="U270" s="1128">
        <f t="shared" si="29"/>
        <v>96.486243141163797</v>
      </c>
      <c r="V270" s="1127">
        <f t="shared" si="28"/>
        <v>407.32882748320617</v>
      </c>
      <c r="W270" s="1127">
        <f t="shared" si="27"/>
        <v>462.23607834458568</v>
      </c>
      <c r="X270" s="1127">
        <f t="shared" si="26"/>
        <v>955.53776407920759</v>
      </c>
      <c r="Y270" s="1120"/>
      <c r="Z270" s="1120"/>
      <c r="AA270" s="1120"/>
      <c r="AB270" s="1120"/>
      <c r="AC270" s="1116"/>
    </row>
    <row r="271" spans="1:29" x14ac:dyDescent="0.35">
      <c r="A271" s="1120">
        <v>1961</v>
      </c>
      <c r="B271" s="1120"/>
      <c r="C271" s="1120"/>
      <c r="D271" s="1120"/>
      <c r="E271" s="1122">
        <v>6.6111111111111116</v>
      </c>
      <c r="F271" s="1120"/>
      <c r="G271" s="1120"/>
      <c r="H271" s="1120"/>
      <c r="I271" s="1123">
        <f>[6]ONS!F31</f>
        <v>77.666989002153912</v>
      </c>
      <c r="J271" s="1120"/>
      <c r="K271" s="1120"/>
      <c r="L271" s="1120"/>
      <c r="M271" s="1124">
        <v>560.95128303616946</v>
      </c>
      <c r="N271" s="1029"/>
      <c r="O271" s="1126">
        <v>99.442771338672145</v>
      </c>
      <c r="P271" s="1127">
        <v>398.1934481650332</v>
      </c>
      <c r="Q271" s="1127">
        <v>434.15217309917944</v>
      </c>
      <c r="R271" s="1127">
        <v>952.50913745939124</v>
      </c>
      <c r="S271" s="1127"/>
      <c r="T271" s="1123">
        <f>T$257*[6]ONS!F31/[6]ONS!F$17</f>
        <v>562.58874190450967</v>
      </c>
      <c r="U271" s="1128">
        <f t="shared" si="29"/>
        <v>99.442771338672145</v>
      </c>
      <c r="V271" s="1127">
        <f t="shared" si="28"/>
        <v>398.1934481650332</v>
      </c>
      <c r="W271" s="1127">
        <f t="shared" si="27"/>
        <v>434.15217309917944</v>
      </c>
      <c r="X271" s="1127">
        <f t="shared" si="26"/>
        <v>952.50913745939124</v>
      </c>
      <c r="Y271" s="1120"/>
      <c r="Z271" s="1120"/>
      <c r="AA271" s="1120"/>
      <c r="AB271" s="1120"/>
      <c r="AC271" s="1116"/>
    </row>
    <row r="272" spans="1:29" x14ac:dyDescent="0.35">
      <c r="A272" s="1120">
        <v>1962</v>
      </c>
      <c r="B272" s="1120"/>
      <c r="C272" s="1120"/>
      <c r="D272" s="1120"/>
      <c r="E272" s="1122">
        <v>6.8260536398467426</v>
      </c>
      <c r="F272" s="1120"/>
      <c r="G272" s="1120"/>
      <c r="H272" s="1120"/>
      <c r="I272" s="1123">
        <f>[6]ONS!F32</f>
        <v>79.102473154571754</v>
      </c>
      <c r="J272" s="1120"/>
      <c r="K272" s="1120"/>
      <c r="L272" s="1120"/>
      <c r="M272" s="1124">
        <v>573.93582637222892</v>
      </c>
      <c r="N272" s="1029"/>
      <c r="O272" s="1126">
        <v>94.535711942848494</v>
      </c>
      <c r="P272" s="1127">
        <v>370.54163959200338</v>
      </c>
      <c r="Q272" s="1127">
        <v>404.03904415391469</v>
      </c>
      <c r="R272" s="1127">
        <v>933.8737208949932</v>
      </c>
      <c r="S272" s="1127"/>
      <c r="T272" s="1123">
        <f>T$257*[6]ONS!F32/[6]ONS!F$17</f>
        <v>572.98681750533183</v>
      </c>
      <c r="U272" s="1128">
        <f t="shared" si="29"/>
        <v>94.535711942848494</v>
      </c>
      <c r="V272" s="1127">
        <f t="shared" si="28"/>
        <v>370.54163959200338</v>
      </c>
      <c r="W272" s="1127">
        <f t="shared" si="27"/>
        <v>404.03904415391469</v>
      </c>
      <c r="X272" s="1127">
        <f t="shared" si="26"/>
        <v>933.8737208949932</v>
      </c>
      <c r="Y272" s="1120"/>
      <c r="Z272" s="1120"/>
      <c r="AA272" s="1120"/>
      <c r="AB272" s="1120"/>
      <c r="AC272" s="1116"/>
    </row>
    <row r="273" spans="1:29" x14ac:dyDescent="0.35">
      <c r="A273" s="1120">
        <v>1963</v>
      </c>
      <c r="B273" s="1120"/>
      <c r="C273" s="1120"/>
      <c r="D273" s="1120"/>
      <c r="E273" s="1122">
        <v>7.1126436781609206</v>
      </c>
      <c r="F273" s="1120"/>
      <c r="G273" s="1120"/>
      <c r="H273" s="1120"/>
      <c r="I273" s="1123">
        <f>[6]ONS!F33</f>
        <v>81.063221359811322</v>
      </c>
      <c r="J273" s="1120"/>
      <c r="K273" s="1120"/>
      <c r="L273" s="1120"/>
      <c r="M273" s="1124">
        <v>580.39091917979192</v>
      </c>
      <c r="N273" s="1029"/>
      <c r="O273" s="1126">
        <v>94.290269815836396</v>
      </c>
      <c r="P273" s="1127">
        <v>390.89355328768204</v>
      </c>
      <c r="Q273" s="1127">
        <v>404.25697244094493</v>
      </c>
      <c r="R273" s="1127">
        <v>938.92238779038996</v>
      </c>
      <c r="S273" s="1127"/>
      <c r="T273" s="1123">
        <f>T$257*[6]ONS!F33/[6]ONS!F$17</f>
        <v>587.18969674848961</v>
      </c>
      <c r="U273" s="1128">
        <f t="shared" si="29"/>
        <v>94.290269815836396</v>
      </c>
      <c r="V273" s="1127">
        <f t="shared" si="28"/>
        <v>390.89355328768204</v>
      </c>
      <c r="W273" s="1127">
        <f t="shared" si="27"/>
        <v>404.25697244094493</v>
      </c>
      <c r="X273" s="1127">
        <f t="shared" si="26"/>
        <v>938.92238779038996</v>
      </c>
      <c r="Y273" s="1120"/>
      <c r="Z273" s="1120"/>
      <c r="AA273" s="1120"/>
      <c r="AB273" s="1120"/>
      <c r="AC273" s="1116"/>
    </row>
    <row r="274" spans="1:29" x14ac:dyDescent="0.35">
      <c r="A274" s="1120">
        <v>1964</v>
      </c>
      <c r="B274" s="1120"/>
      <c r="C274" s="1120"/>
      <c r="D274" s="1120"/>
      <c r="E274" s="1122">
        <v>7.262452107279695</v>
      </c>
      <c r="F274" s="1120"/>
      <c r="G274" s="1120"/>
      <c r="H274" s="1120"/>
      <c r="I274" s="1123">
        <f>[6]ONS!F34</f>
        <v>81.000122221475934</v>
      </c>
      <c r="J274" s="1120"/>
      <c r="K274" s="1120"/>
      <c r="L274" s="1120"/>
      <c r="M274" s="1124">
        <v>576.96237807528928</v>
      </c>
      <c r="N274" s="1029"/>
      <c r="O274" s="1126">
        <v>90.239940676705487</v>
      </c>
      <c r="P274" s="1127">
        <v>377.29734236111108</v>
      </c>
      <c r="Q274" s="1127">
        <v>406.11990779781564</v>
      </c>
      <c r="R274" s="1127">
        <v>925.76741190552252</v>
      </c>
      <c r="S274" s="1127"/>
      <c r="T274" s="1123">
        <f>T$257*[6]ONS!F34/[6]ONS!F$17</f>
        <v>586.73263171600354</v>
      </c>
      <c r="U274" s="1128">
        <f t="shared" si="29"/>
        <v>90.239940676705487</v>
      </c>
      <c r="V274" s="1127">
        <f t="shared" si="28"/>
        <v>377.29734236111108</v>
      </c>
      <c r="W274" s="1127">
        <f t="shared" si="27"/>
        <v>406.11990779781564</v>
      </c>
      <c r="X274" s="1127">
        <f t="shared" si="26"/>
        <v>925.76741190552252</v>
      </c>
      <c r="Y274" s="1120"/>
      <c r="Z274" s="1120"/>
      <c r="AA274" s="1120"/>
      <c r="AB274" s="1120"/>
      <c r="AC274" s="1116"/>
    </row>
    <row r="275" spans="1:29" x14ac:dyDescent="0.35">
      <c r="A275" s="1120">
        <v>1965</v>
      </c>
      <c r="B275" s="1120"/>
      <c r="C275" s="1120"/>
      <c r="D275" s="1120"/>
      <c r="E275" s="1122">
        <v>7.4969348659003829</v>
      </c>
      <c r="F275" s="1120"/>
      <c r="G275" s="1120"/>
      <c r="H275" s="1120"/>
      <c r="I275" s="1123">
        <f>[6]ONS!F35</f>
        <v>80.962610152888331</v>
      </c>
      <c r="J275" s="1120"/>
      <c r="K275" s="1120"/>
      <c r="L275" s="1120"/>
      <c r="M275" s="1124">
        <v>608.89821808611532</v>
      </c>
      <c r="N275" s="1029"/>
      <c r="O275" s="1126">
        <v>85.915330480119835</v>
      </c>
      <c r="P275" s="1127">
        <v>362.50232773789469</v>
      </c>
      <c r="Q275" s="1127">
        <v>391.59921987919313</v>
      </c>
      <c r="R275" s="1127">
        <v>922.05311972911579</v>
      </c>
      <c r="S275" s="1127"/>
      <c r="T275" s="1123">
        <f>T$257*[6]ONS!F35/[6]ONS!F$17</f>
        <v>586.46090922818621</v>
      </c>
      <c r="U275" s="1128">
        <f t="shared" si="29"/>
        <v>85.915330480119835</v>
      </c>
      <c r="V275" s="1127">
        <f t="shared" si="28"/>
        <v>362.50232773789469</v>
      </c>
      <c r="W275" s="1127">
        <f t="shared" si="27"/>
        <v>391.59921987919313</v>
      </c>
      <c r="X275" s="1127">
        <f t="shared" si="26"/>
        <v>922.05311972911579</v>
      </c>
      <c r="Y275" s="1120"/>
      <c r="Z275" s="1120"/>
      <c r="AA275" s="1120"/>
      <c r="AB275" s="1120"/>
      <c r="AC275" s="1116"/>
    </row>
    <row r="276" spans="1:29" x14ac:dyDescent="0.35">
      <c r="A276" s="1120">
        <v>1966</v>
      </c>
      <c r="B276" s="1120"/>
      <c r="C276" s="1120"/>
      <c r="D276" s="1120"/>
      <c r="E276" s="1122">
        <v>7.8160919540229887</v>
      </c>
      <c r="F276" s="1120"/>
      <c r="G276" s="1120"/>
      <c r="H276" s="1120"/>
      <c r="I276" s="1123">
        <f>[6]ONS!F36</f>
        <v>82.242859965794253</v>
      </c>
      <c r="J276" s="1120"/>
      <c r="K276" s="1120"/>
      <c r="L276" s="1120"/>
      <c r="M276" s="1124">
        <v>593.31823271020744</v>
      </c>
      <c r="N276" s="1029"/>
      <c r="O276" s="1126">
        <v>82.860498187808872</v>
      </c>
      <c r="P276" s="1127">
        <v>365.56606291062724</v>
      </c>
      <c r="Q276" s="1127">
        <v>387.03632946334744</v>
      </c>
      <c r="R276" s="1127">
        <v>915.68776712656552</v>
      </c>
      <c r="S276" s="1127"/>
      <c r="T276" s="1123">
        <f>T$257*[6]ONS!F36/[6]ONS!F$17</f>
        <v>595.7345290867629</v>
      </c>
      <c r="U276" s="1128">
        <f t="shared" si="29"/>
        <v>82.860498187808872</v>
      </c>
      <c r="V276" s="1127">
        <f t="shared" si="28"/>
        <v>365.56606291062724</v>
      </c>
      <c r="W276" s="1127">
        <f t="shared" si="27"/>
        <v>387.03632946334744</v>
      </c>
      <c r="X276" s="1127">
        <f t="shared" si="26"/>
        <v>915.68776712656552</v>
      </c>
      <c r="Y276" s="1120"/>
      <c r="Z276" s="1120"/>
      <c r="AA276" s="1120"/>
      <c r="AB276" s="1120"/>
      <c r="AC276" s="1116"/>
    </row>
    <row r="277" spans="1:29" x14ac:dyDescent="0.35">
      <c r="A277" s="1120">
        <v>1967</v>
      </c>
      <c r="B277" s="1120"/>
      <c r="C277" s="1120"/>
      <c r="D277" s="1120"/>
      <c r="E277" s="1122">
        <v>8.1287356321839113</v>
      </c>
      <c r="F277" s="1120"/>
      <c r="G277" s="1120"/>
      <c r="H277" s="1120"/>
      <c r="I277" s="1123">
        <f>[6]ONS!F37</f>
        <v>82.508410148256146</v>
      </c>
      <c r="J277" s="1120"/>
      <c r="K277" s="1120"/>
      <c r="L277" s="1120"/>
      <c r="M277" s="1124">
        <v>598.62526432241191</v>
      </c>
      <c r="N277" s="1029"/>
      <c r="O277" s="1126">
        <v>100.82391653290529</v>
      </c>
      <c r="P277" s="1127">
        <v>360.24137157874645</v>
      </c>
      <c r="Q277" s="1127">
        <v>380.43352783711026</v>
      </c>
      <c r="R277" s="1127">
        <v>898.47342904654897</v>
      </c>
      <c r="S277" s="1127"/>
      <c r="T277" s="1123">
        <f>T$257*[6]ONS!F37/[6]ONS!F$17</f>
        <v>597.65806886837595</v>
      </c>
      <c r="U277" s="1128">
        <f t="shared" si="29"/>
        <v>100.82391653290529</v>
      </c>
      <c r="V277" s="1127">
        <f t="shared" si="28"/>
        <v>360.24137157874645</v>
      </c>
      <c r="W277" s="1127">
        <f t="shared" si="27"/>
        <v>380.43352783711026</v>
      </c>
      <c r="X277" s="1127">
        <f t="shared" si="26"/>
        <v>898.47342904654897</v>
      </c>
      <c r="Y277" s="1120"/>
      <c r="Z277" s="1120"/>
      <c r="AA277" s="1120"/>
      <c r="AB277" s="1120"/>
      <c r="AC277" s="1116"/>
    </row>
    <row r="278" spans="1:29" x14ac:dyDescent="0.35">
      <c r="A278" s="1120">
        <v>1968</v>
      </c>
      <c r="B278" s="1120"/>
      <c r="C278" s="1120"/>
      <c r="D278" s="1120"/>
      <c r="E278" s="1122">
        <v>8.3111111111111136</v>
      </c>
      <c r="F278" s="1120"/>
      <c r="G278" s="1120"/>
      <c r="H278" s="1120"/>
      <c r="I278" s="1123">
        <f>[6]ONS!F38</f>
        <v>84.852312958994631</v>
      </c>
      <c r="J278" s="1120"/>
      <c r="K278" s="1120"/>
      <c r="L278" s="1120"/>
      <c r="M278" s="1124">
        <v>582.72774923774955</v>
      </c>
      <c r="N278" s="1029"/>
      <c r="O278" s="1126">
        <v>113.85567484662576</v>
      </c>
      <c r="P278" s="1127">
        <v>368.79179569291745</v>
      </c>
      <c r="Q278" s="1127">
        <v>389.02204709917396</v>
      </c>
      <c r="R278" s="1127">
        <v>925.89038038036801</v>
      </c>
      <c r="S278" s="1127"/>
      <c r="T278" s="1123">
        <f>T$257*[6]ONS!F38/[6]ONS!F$17</f>
        <v>614.63636750440571</v>
      </c>
      <c r="U278" s="1128">
        <f t="shared" si="29"/>
        <v>113.85567484662576</v>
      </c>
      <c r="V278" s="1127">
        <f t="shared" si="28"/>
        <v>368.79179569291745</v>
      </c>
      <c r="W278" s="1127">
        <f t="shared" si="27"/>
        <v>389.02204709917396</v>
      </c>
      <c r="X278" s="1127">
        <f t="shared" si="26"/>
        <v>925.89038038036801</v>
      </c>
      <c r="Y278" s="1120"/>
      <c r="Z278" s="1120"/>
      <c r="AA278" s="1120"/>
      <c r="AB278" s="1120"/>
      <c r="AC278" s="1116"/>
    </row>
    <row r="279" spans="1:29" x14ac:dyDescent="0.35">
      <c r="A279" s="1120">
        <v>1969</v>
      </c>
      <c r="B279" s="1120"/>
      <c r="C279" s="1120"/>
      <c r="D279" s="1120"/>
      <c r="E279" s="1122">
        <v>8.6432950191570921</v>
      </c>
      <c r="F279" s="1120"/>
      <c r="G279" s="1120"/>
      <c r="H279" s="1120"/>
      <c r="I279" s="1123">
        <f>[6]ONS!F39</f>
        <v>82.885098446366001</v>
      </c>
      <c r="J279" s="1120"/>
      <c r="K279" s="1120"/>
      <c r="L279" s="1120"/>
      <c r="M279" s="1124">
        <v>595.37249626318544</v>
      </c>
      <c r="N279" s="1029"/>
      <c r="O279" s="1126">
        <v>132.99097525473067</v>
      </c>
      <c r="P279" s="1127">
        <v>359.30813042573368</v>
      </c>
      <c r="Q279" s="1127">
        <v>384.33413973799122</v>
      </c>
      <c r="R279" s="1127">
        <v>863.28435678602614</v>
      </c>
      <c r="S279" s="1127"/>
      <c r="T279" s="1123">
        <f>T$257*[6]ONS!F39/[6]ONS!F$17</f>
        <v>600.3866489053579</v>
      </c>
      <c r="U279" s="1128">
        <f t="shared" si="29"/>
        <v>132.99097525473067</v>
      </c>
      <c r="V279" s="1127">
        <f t="shared" si="28"/>
        <v>359.30813042573368</v>
      </c>
      <c r="W279" s="1127">
        <f t="shared" si="27"/>
        <v>384.33413973799122</v>
      </c>
      <c r="X279" s="1127">
        <f t="shared" si="26"/>
        <v>863.28435678602614</v>
      </c>
      <c r="Y279" s="1120"/>
      <c r="Z279" s="1120"/>
      <c r="AA279" s="1120"/>
      <c r="AB279" s="1120"/>
      <c r="AC279" s="1116"/>
    </row>
    <row r="280" spans="1:29" x14ac:dyDescent="0.35">
      <c r="A280" s="1120">
        <v>1970</v>
      </c>
      <c r="B280" s="1120"/>
      <c r="C280" s="1120"/>
      <c r="D280" s="1120"/>
      <c r="E280" s="1122">
        <v>9.0927203065134119</v>
      </c>
      <c r="F280" s="1120"/>
      <c r="G280" s="1120"/>
      <c r="H280" s="1120"/>
      <c r="I280" s="1123">
        <f>[6]ONS!F40</f>
        <v>82.353120505283741</v>
      </c>
      <c r="J280" s="1120"/>
      <c r="K280" s="1120"/>
      <c r="L280" s="1120"/>
      <c r="M280" s="1124">
        <v>551.16724601696433</v>
      </c>
      <c r="N280" s="1029"/>
      <c r="O280" s="1126">
        <v>164.01121997364552</v>
      </c>
      <c r="P280" s="1127">
        <v>346.37828212199332</v>
      </c>
      <c r="Q280" s="1127">
        <v>346.60652530779754</v>
      </c>
      <c r="R280" s="1127">
        <v>808.21344722298227</v>
      </c>
      <c r="S280" s="1127"/>
      <c r="T280" s="1123">
        <f>T$257*[6]ONS!F40/[6]ONS!F$17</f>
        <v>596.53321252988417</v>
      </c>
      <c r="U280" s="1128">
        <f t="shared" si="29"/>
        <v>164.01121997364552</v>
      </c>
      <c r="V280" s="1127">
        <f t="shared" si="28"/>
        <v>346.37828212199332</v>
      </c>
      <c r="W280" s="1127">
        <f t="shared" si="27"/>
        <v>346.60652530779754</v>
      </c>
      <c r="X280" s="1127">
        <f t="shared" si="26"/>
        <v>808.21344722298227</v>
      </c>
      <c r="Y280" s="1120"/>
      <c r="Z280" s="1120"/>
      <c r="AA280" s="1120"/>
      <c r="AB280" s="1120"/>
      <c r="AC280" s="1116"/>
    </row>
    <row r="281" spans="1:29" x14ac:dyDescent="0.35">
      <c r="A281" s="1120">
        <v>1971</v>
      </c>
      <c r="B281" s="1120"/>
      <c r="C281" s="1120"/>
      <c r="D281" s="1120"/>
      <c r="E281" s="1122">
        <v>9.6854406130268202</v>
      </c>
      <c r="F281" s="1120"/>
      <c r="G281" s="1120"/>
      <c r="H281" s="1120"/>
      <c r="I281" s="1123">
        <f>[6]ONS!F41</f>
        <v>83.10321817656056</v>
      </c>
      <c r="J281" s="1120"/>
      <c r="K281" s="1120"/>
      <c r="L281" s="1120"/>
      <c r="M281" s="1124">
        <v>531.86471887834523</v>
      </c>
      <c r="N281" s="1029"/>
      <c r="O281" s="1126">
        <v>174.41153442726866</v>
      </c>
      <c r="P281" s="1127">
        <v>330.88152190741596</v>
      </c>
      <c r="Q281" s="1127">
        <v>272.84919306873007</v>
      </c>
      <c r="R281" s="1127">
        <v>810.68309474136186</v>
      </c>
      <c r="S281" s="1127"/>
      <c r="T281" s="1123">
        <f>T$257*[6]ONS!F41/[6]ONS!F$17</f>
        <v>601.9666213772058</v>
      </c>
      <c r="U281" s="1128">
        <f t="shared" si="29"/>
        <v>174.41153442726866</v>
      </c>
      <c r="V281" s="1127">
        <f t="shared" si="28"/>
        <v>330.88152190741596</v>
      </c>
      <c r="W281" s="1127">
        <f t="shared" si="27"/>
        <v>272.84919306873007</v>
      </c>
      <c r="X281" s="1127">
        <f t="shared" si="26"/>
        <v>810.68309474136186</v>
      </c>
      <c r="Y281" s="1120"/>
      <c r="Z281" s="1120"/>
      <c r="AA281" s="1120"/>
      <c r="AB281" s="1120"/>
      <c r="AC281" s="1116"/>
    </row>
    <row r="282" spans="1:29" x14ac:dyDescent="0.35">
      <c r="A282" s="1120">
        <v>1972</v>
      </c>
      <c r="B282" s="1120"/>
      <c r="C282" s="1120"/>
      <c r="D282" s="1120"/>
      <c r="E282" s="1122">
        <v>10.597318007662833</v>
      </c>
      <c r="F282" s="1120"/>
      <c r="G282" s="1120"/>
      <c r="H282" s="1120"/>
      <c r="I282" s="1123">
        <f>[6]ONS!F42</f>
        <v>83.650328030134034</v>
      </c>
      <c r="J282" s="1120"/>
      <c r="K282" s="1120"/>
      <c r="L282" s="1120"/>
      <c r="M282" s="1124">
        <v>521.02162125279858</v>
      </c>
      <c r="N282" s="1029"/>
      <c r="O282" s="1126">
        <v>182.14567240832341</v>
      </c>
      <c r="P282" s="1127">
        <v>324.32267917335639</v>
      </c>
      <c r="Q282" s="1127">
        <v>238.66185257197969</v>
      </c>
      <c r="R282" s="1127">
        <v>796.82398161227002</v>
      </c>
      <c r="S282" s="1127"/>
      <c r="T282" s="1123">
        <f>T$257*[6]ONS!F42/[6]ONS!F$17</f>
        <v>605.92966730134901</v>
      </c>
      <c r="U282" s="1128">
        <f t="shared" si="29"/>
        <v>182.14567240832341</v>
      </c>
      <c r="V282" s="1127">
        <f t="shared" si="28"/>
        <v>324.32267917335639</v>
      </c>
      <c r="W282" s="1127">
        <f t="shared" si="27"/>
        <v>238.66185257197969</v>
      </c>
      <c r="X282" s="1127">
        <f t="shared" si="26"/>
        <v>796.82398161227002</v>
      </c>
      <c r="Y282" s="1120"/>
      <c r="Z282" s="1120"/>
      <c r="AA282" s="1120"/>
      <c r="AB282" s="1120"/>
      <c r="AC282" s="1116"/>
    </row>
    <row r="283" spans="1:29" x14ac:dyDescent="0.35">
      <c r="A283" s="1120">
        <v>1973</v>
      </c>
      <c r="B283" s="1120"/>
      <c r="C283" s="1120"/>
      <c r="D283" s="1120"/>
      <c r="E283" s="1122">
        <v>11.359386973180076</v>
      </c>
      <c r="F283" s="1120"/>
      <c r="G283" s="1120"/>
      <c r="H283" s="1120"/>
      <c r="I283" s="1123">
        <f>[6]ONS!F43</f>
        <v>78.785535120122745</v>
      </c>
      <c r="J283" s="1120"/>
      <c r="K283" s="1120"/>
      <c r="L283" s="1120"/>
      <c r="M283" s="1124">
        <v>476.29918714498922</v>
      </c>
      <c r="N283" s="1029"/>
      <c r="O283" s="1126">
        <v>177.52375000060871</v>
      </c>
      <c r="P283" s="1127">
        <v>324.2227677753948</v>
      </c>
      <c r="Q283" s="1127">
        <v>210.63857110935766</v>
      </c>
      <c r="R283" s="1127">
        <v>735.24603172355717</v>
      </c>
      <c r="S283" s="1127"/>
      <c r="T283" s="1123">
        <f>T$257*[6]ONS!F43/[6]ONS!F$17</f>
        <v>570.69104458619086</v>
      </c>
      <c r="U283" s="1128">
        <f t="shared" si="29"/>
        <v>177.52375000060871</v>
      </c>
      <c r="V283" s="1127">
        <f t="shared" si="28"/>
        <v>324.2227677753948</v>
      </c>
      <c r="W283" s="1127">
        <f t="shared" si="27"/>
        <v>210.63857110935766</v>
      </c>
      <c r="X283" s="1127">
        <f t="shared" si="26"/>
        <v>735.24603172355717</v>
      </c>
      <c r="Y283" s="1120"/>
      <c r="Z283" s="1120"/>
      <c r="AA283" s="1120"/>
      <c r="AB283" s="1120"/>
      <c r="AC283" s="1116"/>
    </row>
    <row r="284" spans="1:29" x14ac:dyDescent="0.35">
      <c r="A284" s="1120">
        <v>1974</v>
      </c>
      <c r="B284" s="1120"/>
      <c r="C284" s="1120"/>
      <c r="D284" s="1120"/>
      <c r="E284" s="1122">
        <v>12.421072796934865</v>
      </c>
      <c r="F284" s="1120"/>
      <c r="G284" s="1120"/>
      <c r="H284" s="1120"/>
      <c r="I284" s="1123">
        <f>[6]ONS!F44</f>
        <v>79.516979225806011</v>
      </c>
      <c r="J284" s="1120"/>
      <c r="K284" s="1120"/>
      <c r="L284" s="1120"/>
      <c r="M284" s="1124">
        <v>516.08987810424867</v>
      </c>
      <c r="N284" s="1029"/>
      <c r="O284" s="1126">
        <v>197.64531235197643</v>
      </c>
      <c r="P284" s="1127">
        <v>487.57836111344596</v>
      </c>
      <c r="Q284" s="1127">
        <v>189.48748953556051</v>
      </c>
      <c r="R284" s="1127">
        <v>796.12179385088746</v>
      </c>
      <c r="S284" s="1127"/>
      <c r="T284" s="1123">
        <f>T$257*[6]ONS!F44/[6]ONS!F$17</f>
        <v>575.98933443206613</v>
      </c>
      <c r="U284" s="1128">
        <f t="shared" si="29"/>
        <v>197.64531235197643</v>
      </c>
      <c r="V284" s="1127">
        <f t="shared" si="28"/>
        <v>487.57836111344596</v>
      </c>
      <c r="W284" s="1127">
        <f t="shared" si="27"/>
        <v>189.48748953556051</v>
      </c>
      <c r="X284" s="1127">
        <f t="shared" si="26"/>
        <v>796.12179385088746</v>
      </c>
      <c r="Y284" s="1120"/>
      <c r="Z284" s="1120"/>
      <c r="AA284" s="1120"/>
      <c r="AB284" s="1120"/>
      <c r="AC284" s="1116"/>
    </row>
    <row r="285" spans="1:29" x14ac:dyDescent="0.35">
      <c r="A285" s="1120">
        <v>1975</v>
      </c>
      <c r="B285" s="1120"/>
      <c r="C285" s="1120"/>
      <c r="D285" s="1120"/>
      <c r="E285" s="1122">
        <v>14.375095785440609</v>
      </c>
      <c r="F285" s="1120"/>
      <c r="G285" s="1120"/>
      <c r="H285" s="1120"/>
      <c r="I285" s="1123">
        <f>[6]ONS!F45</f>
        <v>85.214884528177663</v>
      </c>
      <c r="J285" s="1120"/>
      <c r="K285" s="1120"/>
      <c r="L285" s="1120"/>
      <c r="M285" s="1124">
        <v>646.66260042801332</v>
      </c>
      <c r="N285" s="1029"/>
      <c r="O285" s="1126">
        <v>202.38545864116324</v>
      </c>
      <c r="P285" s="1127">
        <v>485.32080085542265</v>
      </c>
      <c r="Q285" s="1127">
        <v>183.22583245605691</v>
      </c>
      <c r="R285" s="1127">
        <v>883.33262643211538</v>
      </c>
      <c r="S285" s="1127"/>
      <c r="T285" s="1123">
        <f>T$257*[6]ONS!F45/[6]ONS!F$17</f>
        <v>617.26269157822003</v>
      </c>
      <c r="U285" s="1128">
        <f t="shared" si="29"/>
        <v>202.38545864116324</v>
      </c>
      <c r="V285" s="1127">
        <f t="shared" si="28"/>
        <v>485.32080085542265</v>
      </c>
      <c r="W285" s="1127">
        <f t="shared" si="27"/>
        <v>183.22583245605691</v>
      </c>
      <c r="X285" s="1127">
        <f t="shared" si="26"/>
        <v>883.33262643211538</v>
      </c>
      <c r="Y285" s="1120"/>
      <c r="Z285" s="1120"/>
      <c r="AA285" s="1120"/>
      <c r="AB285" s="1120"/>
      <c r="AC285" s="1116"/>
    </row>
    <row r="286" spans="1:29" x14ac:dyDescent="0.35">
      <c r="A286" s="1120">
        <v>1976</v>
      </c>
      <c r="B286" s="1120"/>
      <c r="C286" s="1120"/>
      <c r="D286" s="1120"/>
      <c r="E286" s="1122">
        <v>17.638314176245199</v>
      </c>
      <c r="F286" s="1120"/>
      <c r="G286" s="1120"/>
      <c r="H286" s="1120"/>
      <c r="I286" s="1123">
        <f>[6]ONS!F46</f>
        <v>90.486508463741345</v>
      </c>
      <c r="J286" s="1120"/>
      <c r="K286" s="1120"/>
      <c r="L286" s="1120"/>
      <c r="M286" s="1124">
        <v>601.84814206174701</v>
      </c>
      <c r="N286" s="1029"/>
      <c r="O286" s="1126">
        <v>206.70391781571806</v>
      </c>
      <c r="P286" s="1127">
        <v>466.62170887946513</v>
      </c>
      <c r="Q286" s="1127">
        <v>200.26359904434108</v>
      </c>
      <c r="R286" s="1127">
        <v>920.18171951614443</v>
      </c>
      <c r="S286" s="1127"/>
      <c r="T286" s="1123">
        <f>T$257*[6]ONS!F46/[6]ONS!F$17</f>
        <v>655.44823624534013</v>
      </c>
      <c r="U286" s="1128">
        <f t="shared" si="29"/>
        <v>206.70391781571806</v>
      </c>
      <c r="V286" s="1127">
        <f t="shared" si="28"/>
        <v>466.62170887946513</v>
      </c>
      <c r="W286" s="1127">
        <f t="shared" si="27"/>
        <v>200.26359904434108</v>
      </c>
      <c r="X286" s="1127">
        <f t="shared" si="26"/>
        <v>920.18171951614443</v>
      </c>
      <c r="Y286" s="1120"/>
      <c r="Z286" s="1120"/>
      <c r="AA286" s="1120"/>
      <c r="AB286" s="1120"/>
      <c r="AC286" s="1116"/>
    </row>
    <row r="287" spans="1:29" x14ac:dyDescent="0.35">
      <c r="A287" s="1120">
        <v>1977</v>
      </c>
      <c r="B287" s="1120"/>
      <c r="C287" s="1120"/>
      <c r="D287" s="1120"/>
      <c r="E287" s="1122">
        <v>20.399999999999991</v>
      </c>
      <c r="F287" s="1120"/>
      <c r="G287" s="1120"/>
      <c r="H287" s="1120"/>
      <c r="I287" s="1123">
        <f>[6]ONS!F47</f>
        <v>90.488523080132722</v>
      </c>
      <c r="J287" s="1120"/>
      <c r="K287" s="1120"/>
      <c r="L287" s="1120"/>
      <c r="M287" s="1124">
        <v>562.96584662076589</v>
      </c>
      <c r="N287" s="1029"/>
      <c r="O287" s="1126">
        <v>209.92226675790627</v>
      </c>
      <c r="P287" s="1127">
        <v>456.06698215079712</v>
      </c>
      <c r="Q287" s="1127">
        <v>207.04612454315648</v>
      </c>
      <c r="R287" s="1127">
        <v>907.35861166194411</v>
      </c>
      <c r="S287" s="1127"/>
      <c r="T287" s="1123">
        <f>T$257*[6]ONS!F47/[6]ONS!F$17</f>
        <v>655.46282932427368</v>
      </c>
      <c r="U287" s="1128">
        <f t="shared" si="29"/>
        <v>209.92226675790627</v>
      </c>
      <c r="V287" s="1127">
        <f t="shared" si="28"/>
        <v>456.06698215079712</v>
      </c>
      <c r="W287" s="1127">
        <f t="shared" si="27"/>
        <v>207.04612454315648</v>
      </c>
      <c r="X287" s="1127">
        <f t="shared" si="26"/>
        <v>907.35861166194411</v>
      </c>
      <c r="Y287" s="1120"/>
      <c r="Z287" s="1120"/>
      <c r="AA287" s="1120"/>
      <c r="AB287" s="1120"/>
      <c r="AC287" s="1116"/>
    </row>
    <row r="288" spans="1:29" x14ac:dyDescent="0.35">
      <c r="A288" s="1120">
        <v>1978</v>
      </c>
      <c r="B288" s="1120"/>
      <c r="C288" s="1120"/>
      <c r="D288" s="1120"/>
      <c r="E288" s="1122">
        <v>23.448275862068964</v>
      </c>
      <c r="F288" s="1120"/>
      <c r="G288" s="1120"/>
      <c r="H288" s="1120"/>
      <c r="I288" s="1123">
        <f>[6]ONS!F48</f>
        <v>89.999494433796329</v>
      </c>
      <c r="J288" s="1120"/>
      <c r="K288" s="1120"/>
      <c r="L288" s="1120"/>
      <c r="M288" s="1124">
        <v>528.98614715364852</v>
      </c>
      <c r="N288" s="1029"/>
      <c r="O288" s="1126">
        <v>209.75546759918595</v>
      </c>
      <c r="P288" s="1127">
        <v>418.17798485949385</v>
      </c>
      <c r="Q288" s="1127">
        <v>213.4407473891234</v>
      </c>
      <c r="R288" s="1127">
        <v>926.98457834238957</v>
      </c>
      <c r="S288" s="1127"/>
      <c r="T288" s="1123">
        <f>T$257*[6]ONS!F48/[6]ONS!F$17</f>
        <v>651.92050053784385</v>
      </c>
      <c r="U288" s="1128">
        <f t="shared" si="29"/>
        <v>209.75546759918595</v>
      </c>
      <c r="V288" s="1127">
        <f t="shared" si="28"/>
        <v>418.17798485949385</v>
      </c>
      <c r="W288" s="1127">
        <f t="shared" si="27"/>
        <v>213.4407473891234</v>
      </c>
      <c r="X288" s="1127">
        <f t="shared" si="26"/>
        <v>926.98457834238957</v>
      </c>
      <c r="Y288" s="1120"/>
      <c r="Z288" s="1120"/>
      <c r="AA288" s="1120"/>
      <c r="AB288" s="1120"/>
      <c r="AC288" s="1116"/>
    </row>
    <row r="289" spans="1:29" x14ac:dyDescent="0.35">
      <c r="A289" s="1120">
        <v>1979</v>
      </c>
      <c r="B289" s="1120"/>
      <c r="C289" s="1120"/>
      <c r="D289" s="1120"/>
      <c r="E289" s="1122">
        <v>25.200383141762462</v>
      </c>
      <c r="F289" s="1120"/>
      <c r="G289" s="1120"/>
      <c r="H289" s="1120"/>
      <c r="I289" s="1123">
        <f>[6]ONS!F49</f>
        <v>87.35591094540797</v>
      </c>
      <c r="J289" s="1120"/>
      <c r="K289" s="1120"/>
      <c r="L289" s="1120"/>
      <c r="M289" s="1124">
        <v>490.84447496816881</v>
      </c>
      <c r="N289" s="1029"/>
      <c r="O289" s="1126">
        <v>214.56561398136506</v>
      </c>
      <c r="P289" s="1127">
        <v>488.18476181615438</v>
      </c>
      <c r="Q289" s="1127">
        <v>202.07073721984136</v>
      </c>
      <c r="R289" s="1127">
        <v>901.20664900316081</v>
      </c>
      <c r="S289" s="1127"/>
      <c r="T289" s="1123">
        <f>T$257*[6]ONS!F49/[6]ONS!F$17</f>
        <v>632.77143440357293</v>
      </c>
      <c r="U289" s="1128">
        <f t="shared" si="29"/>
        <v>214.56561398136506</v>
      </c>
      <c r="V289" s="1127">
        <f t="shared" si="28"/>
        <v>488.18476181615438</v>
      </c>
      <c r="W289" s="1127">
        <f t="shared" si="27"/>
        <v>202.07073721984136</v>
      </c>
      <c r="X289" s="1127">
        <f t="shared" ref="X289:X297" si="30">R289</f>
        <v>901.20664900316081</v>
      </c>
      <c r="Y289" s="1120"/>
      <c r="Z289" s="1120"/>
      <c r="AA289" s="1120"/>
      <c r="AB289" s="1120"/>
      <c r="AC289" s="1116"/>
    </row>
    <row r="290" spans="1:29" x14ac:dyDescent="0.35">
      <c r="A290" s="1120">
        <v>1980</v>
      </c>
      <c r="B290" s="1120"/>
      <c r="C290" s="1120"/>
      <c r="D290" s="1120"/>
      <c r="E290" s="1122">
        <v>28.066283524904208</v>
      </c>
      <c r="F290" s="1120"/>
      <c r="G290" s="1120"/>
      <c r="H290" s="1120"/>
      <c r="I290" s="1123">
        <f>[6]ONS!F50</f>
        <v>92.572161879041943</v>
      </c>
      <c r="J290" s="1120"/>
      <c r="K290" s="1120"/>
      <c r="L290" s="1120"/>
      <c r="M290" s="1124">
        <v>674.23565067061122</v>
      </c>
      <c r="N290" s="1029"/>
      <c r="O290" s="1126">
        <v>230.05017701051798</v>
      </c>
      <c r="P290" s="1127">
        <v>1216.5100915879286</v>
      </c>
      <c r="Q290" s="1127">
        <v>210.73284834910731</v>
      </c>
      <c r="R290" s="1127">
        <v>958.09343135019208</v>
      </c>
      <c r="S290" s="1127"/>
      <c r="T290" s="1123">
        <f>T$257*[6]ONS!F50/[6]ONS!F$17</f>
        <v>670.55587909383871</v>
      </c>
      <c r="U290" s="1128">
        <f t="shared" si="29"/>
        <v>230.05017701051798</v>
      </c>
      <c r="V290" s="1127">
        <f t="shared" si="28"/>
        <v>1216.5100915879286</v>
      </c>
      <c r="W290" s="1127">
        <f t="shared" si="27"/>
        <v>210.73284834910731</v>
      </c>
      <c r="X290" s="1127">
        <f t="shared" si="30"/>
        <v>958.09343135019208</v>
      </c>
      <c r="Y290" s="1120"/>
      <c r="Z290" s="1120"/>
      <c r="AA290" s="1120"/>
      <c r="AB290" s="1120"/>
      <c r="AC290" s="1116"/>
    </row>
    <row r="291" spans="1:29" x14ac:dyDescent="0.35">
      <c r="A291" s="1120">
        <v>1981</v>
      </c>
      <c r="B291" s="1120"/>
      <c r="C291" s="1120"/>
      <c r="D291" s="1120"/>
      <c r="E291" s="1122">
        <v>32.31954022988505</v>
      </c>
      <c r="F291" s="1120"/>
      <c r="G291" s="1120"/>
      <c r="H291" s="1120"/>
      <c r="I291" s="1123">
        <f>[6]ONS!F51</f>
        <v>100.40890960786875</v>
      </c>
      <c r="J291" s="1120"/>
      <c r="K291" s="1120"/>
      <c r="L291" s="1120"/>
      <c r="M291" s="1124">
        <v>592.00056333519126</v>
      </c>
      <c r="N291" s="1029"/>
      <c r="O291" s="1126">
        <v>255.56638995437541</v>
      </c>
      <c r="P291" s="1127">
        <v>628.70830315547096</v>
      </c>
      <c r="Q291" s="1127">
        <v>231.57907385205809</v>
      </c>
      <c r="R291" s="1127">
        <v>1023.659547367247</v>
      </c>
      <c r="S291" s="1127"/>
      <c r="T291" s="1123">
        <f>T$257*[6]ONS!F51/[6]ONS!F$17</f>
        <v>727.32215910581942</v>
      </c>
      <c r="U291" s="1128">
        <f t="shared" si="29"/>
        <v>255.56638995437541</v>
      </c>
      <c r="V291" s="1127">
        <f t="shared" si="28"/>
        <v>628.70830315547096</v>
      </c>
      <c r="W291" s="1127">
        <f t="shared" si="27"/>
        <v>231.57907385205809</v>
      </c>
      <c r="X291" s="1127">
        <f t="shared" si="30"/>
        <v>1023.659547367247</v>
      </c>
      <c r="Y291" s="1120"/>
      <c r="Z291" s="1120"/>
      <c r="AA291" s="1120"/>
      <c r="AB291" s="1120"/>
      <c r="AC291" s="1116"/>
    </row>
    <row r="292" spans="1:29" x14ac:dyDescent="0.35">
      <c r="A292" s="1120">
        <v>1982</v>
      </c>
      <c r="B292" s="1120"/>
      <c r="C292" s="1120"/>
      <c r="D292" s="1120"/>
      <c r="E292" s="1122">
        <v>36.136398467432954</v>
      </c>
      <c r="F292" s="1120"/>
      <c r="G292" s="1120"/>
      <c r="H292" s="1120"/>
      <c r="I292" s="1123">
        <f>[6]ONS!F52</f>
        <v>105.41488009225746</v>
      </c>
      <c r="J292" s="1120"/>
      <c r="K292" s="1120"/>
      <c r="L292" s="1120"/>
      <c r="M292" s="1124">
        <v>643.16200348259053</v>
      </c>
      <c r="N292" s="1029"/>
      <c r="O292" s="1126">
        <v>249.27532024311685</v>
      </c>
      <c r="P292" s="1127">
        <v>636.28666697070048</v>
      </c>
      <c r="Q292" s="1127">
        <v>252.35207188680229</v>
      </c>
      <c r="R292" s="1127">
        <v>1034.2232350874312</v>
      </c>
      <c r="S292" s="1127"/>
      <c r="T292" s="1123">
        <f>T$257*[6]ONS!F52/[6]ONS!F$17</f>
        <v>763.5834159538897</v>
      </c>
      <c r="U292" s="1128">
        <f t="shared" si="29"/>
        <v>249.27532024311685</v>
      </c>
      <c r="V292" s="1127">
        <f t="shared" si="28"/>
        <v>636.28666697070048</v>
      </c>
      <c r="W292" s="1127">
        <f t="shared" ref="W292:W297" si="31">Q292</f>
        <v>252.35207188680229</v>
      </c>
      <c r="X292" s="1127">
        <f t="shared" si="30"/>
        <v>1034.2232350874312</v>
      </c>
      <c r="Y292" s="1120"/>
      <c r="Z292" s="1120"/>
      <c r="AA292" s="1120"/>
      <c r="AB292" s="1120"/>
      <c r="AC292" s="1116"/>
    </row>
    <row r="293" spans="1:29" x14ac:dyDescent="0.35">
      <c r="A293" s="1120">
        <v>1983</v>
      </c>
      <c r="B293" s="1120"/>
      <c r="C293" s="1120"/>
      <c r="D293" s="1120"/>
      <c r="E293" s="1122">
        <v>39.067432950191566</v>
      </c>
      <c r="F293" s="1120"/>
      <c r="G293" s="1120"/>
      <c r="H293" s="1120"/>
      <c r="I293" s="1123">
        <f>[6]ONS!F53</f>
        <v>108.24982409747292</v>
      </c>
      <c r="J293" s="1120"/>
      <c r="K293" s="1120"/>
      <c r="L293" s="1120"/>
      <c r="M293" s="1124">
        <v>645.86307614006273</v>
      </c>
      <c r="N293" s="1029"/>
      <c r="O293" s="1126">
        <v>256.17093293946039</v>
      </c>
      <c r="P293" s="1127">
        <v>675.89324989638556</v>
      </c>
      <c r="Q293" s="1127">
        <v>267.40129856932907</v>
      </c>
      <c r="R293" s="1127">
        <v>1010.6640146113473</v>
      </c>
      <c r="S293" s="1127"/>
      <c r="T293" s="1123">
        <f>T$257*[6]ONS!F53/[6]ONS!F$17</f>
        <v>784.11862147369777</v>
      </c>
      <c r="U293" s="1128">
        <f t="shared" si="29"/>
        <v>256.17093293946039</v>
      </c>
      <c r="V293" s="1127">
        <f t="shared" si="28"/>
        <v>675.89324989638556</v>
      </c>
      <c r="W293" s="1127">
        <f t="shared" si="31"/>
        <v>267.40129856932907</v>
      </c>
      <c r="X293" s="1127">
        <f t="shared" si="30"/>
        <v>1010.6640146113473</v>
      </c>
      <c r="Y293" s="1120"/>
      <c r="Z293" s="1120"/>
      <c r="AA293" s="1120"/>
      <c r="AB293" s="1120"/>
      <c r="AC293" s="1116"/>
    </row>
    <row r="294" spans="1:29" x14ac:dyDescent="0.35">
      <c r="A294" s="1120">
        <v>1984</v>
      </c>
      <c r="B294" s="1120"/>
      <c r="C294" s="1120"/>
      <c r="D294" s="1120"/>
      <c r="E294" s="1122">
        <v>40.995402298850578</v>
      </c>
      <c r="F294" s="1120"/>
      <c r="G294" s="1120"/>
      <c r="H294" s="1120"/>
      <c r="I294" s="1123">
        <f>[6]ONS!F54</f>
        <v>106.0919963762933</v>
      </c>
      <c r="J294" s="1120"/>
      <c r="K294" s="1120"/>
      <c r="L294" s="1120"/>
      <c r="M294" s="1124">
        <v>684.83840192187836</v>
      </c>
      <c r="N294" s="1029"/>
      <c r="O294" s="1126">
        <v>276.8750790856264</v>
      </c>
      <c r="P294" s="1127">
        <v>680.19942003574852</v>
      </c>
      <c r="Q294" s="1127">
        <v>264.89509179123905</v>
      </c>
      <c r="R294" s="1127">
        <v>976.12619571529012</v>
      </c>
      <c r="S294" s="1127"/>
      <c r="T294" s="1123">
        <f>T$257*[6]ONS!F54/[6]ONS!F$17</f>
        <v>768.48817669269226</v>
      </c>
      <c r="U294" s="1128">
        <f t="shared" si="29"/>
        <v>276.8750790856264</v>
      </c>
      <c r="V294" s="1127">
        <f t="shared" si="28"/>
        <v>680.19942003574852</v>
      </c>
      <c r="W294" s="1127">
        <f t="shared" si="31"/>
        <v>264.89509179123905</v>
      </c>
      <c r="X294" s="1127">
        <f t="shared" si="30"/>
        <v>976.12619571529012</v>
      </c>
      <c r="Y294" s="1120"/>
      <c r="Z294" s="1120"/>
      <c r="AA294" s="1120"/>
      <c r="AB294" s="1120"/>
      <c r="AC294" s="1116"/>
    </row>
    <row r="295" spans="1:29" x14ac:dyDescent="0.35">
      <c r="A295" s="1120">
        <v>1985</v>
      </c>
      <c r="B295" s="1120"/>
      <c r="C295" s="1120"/>
      <c r="D295" s="1120"/>
      <c r="E295" s="1122">
        <v>42.740996168582384</v>
      </c>
      <c r="F295" s="1120"/>
      <c r="G295" s="1120"/>
      <c r="H295" s="1120"/>
      <c r="I295" s="1123">
        <f>[6]ONS!F55</f>
        <v>104.30629874422567</v>
      </c>
      <c r="J295" s="1120"/>
      <c r="K295" s="1120"/>
      <c r="L295" s="1120"/>
      <c r="M295" s="1124">
        <v>653.33156542602273</v>
      </c>
      <c r="N295" s="1029"/>
      <c r="O295" s="1126">
        <v>264.36570034101578</v>
      </c>
      <c r="P295" s="1127">
        <v>701.59728652291506</v>
      </c>
      <c r="Q295" s="1127">
        <v>264.08158439207534</v>
      </c>
      <c r="R295" s="1127">
        <v>941.13988158382301</v>
      </c>
      <c r="S295" s="1127"/>
      <c r="T295" s="1123">
        <f>T$257*[6]ONS!F55/[6]ONS!F$17</f>
        <v>755.5532940977339</v>
      </c>
      <c r="U295" s="1128">
        <f t="shared" si="29"/>
        <v>264.36570034101578</v>
      </c>
      <c r="V295" s="1127">
        <f t="shared" si="28"/>
        <v>701.59728652291506</v>
      </c>
      <c r="W295" s="1127">
        <f t="shared" si="31"/>
        <v>264.08158439207534</v>
      </c>
      <c r="X295" s="1127">
        <f t="shared" si="30"/>
        <v>941.13988158382301</v>
      </c>
      <c r="Y295" s="1120"/>
      <c r="Z295" s="1120"/>
      <c r="AA295" s="1120"/>
      <c r="AB295" s="1120"/>
      <c r="AC295" s="1116"/>
    </row>
    <row r="296" spans="1:29" x14ac:dyDescent="0.35">
      <c r="A296" s="1120">
        <v>1986</v>
      </c>
      <c r="B296" s="1120"/>
      <c r="C296" s="1120"/>
      <c r="D296" s="1120"/>
      <c r="E296" s="1122">
        <v>44.844827586206897</v>
      </c>
      <c r="F296" s="1120"/>
      <c r="G296" s="1120"/>
      <c r="H296" s="1120"/>
      <c r="I296" s="1123">
        <f>[6]ONS!F56</f>
        <v>102.20562644696057</v>
      </c>
      <c r="J296" s="1120"/>
      <c r="K296" s="1120"/>
      <c r="L296" s="1120"/>
      <c r="M296" s="1124">
        <v>633.00825160140289</v>
      </c>
      <c r="N296" s="1029"/>
      <c r="O296" s="1126">
        <v>225.51609839797095</v>
      </c>
      <c r="P296" s="1127">
        <v>559.77108283582731</v>
      </c>
      <c r="Q296" s="1127">
        <v>253.0272068037273</v>
      </c>
      <c r="R296" s="1127">
        <v>925.75253616459952</v>
      </c>
      <c r="S296" s="1127"/>
      <c r="T296" s="1123">
        <f>T$257*[6]ONS!F56/[6]ONS!F$17</f>
        <v>740.33686044869341</v>
      </c>
      <c r="U296" s="1128">
        <f t="shared" si="29"/>
        <v>225.51609839797095</v>
      </c>
      <c r="V296" s="1127">
        <f t="shared" si="28"/>
        <v>559.77108283582731</v>
      </c>
      <c r="W296" s="1127">
        <f t="shared" si="31"/>
        <v>253.0272068037273</v>
      </c>
      <c r="X296" s="1127">
        <f t="shared" si="30"/>
        <v>925.75253616459952</v>
      </c>
      <c r="Y296" s="1120"/>
      <c r="Z296" s="1120"/>
      <c r="AA296" s="1120"/>
      <c r="AB296" s="1120"/>
      <c r="AC296" s="1116"/>
    </row>
    <row r="297" spans="1:29" x14ac:dyDescent="0.35">
      <c r="A297" s="1120">
        <v>1987</v>
      </c>
      <c r="B297" s="1120"/>
      <c r="C297" s="1120"/>
      <c r="D297" s="1120"/>
      <c r="E297" s="1122">
        <v>46.336398467432971</v>
      </c>
      <c r="F297" s="1120"/>
      <c r="G297" s="1120"/>
      <c r="H297" s="1120"/>
      <c r="I297" s="1123">
        <f>[6]ONS!F57</f>
        <v>97.252208047105</v>
      </c>
      <c r="J297" s="1130"/>
      <c r="K297" s="1120"/>
      <c r="L297" s="1120"/>
      <c r="M297" s="1124">
        <v>555.99314227750142</v>
      </c>
      <c r="N297" s="1029"/>
      <c r="O297" s="1126">
        <v>231.51227457090332</v>
      </c>
      <c r="P297" s="1127">
        <v>559.07089320622208</v>
      </c>
      <c r="Q297" s="1127">
        <v>238.59424744507442</v>
      </c>
      <c r="R297" s="1127">
        <v>874.3118295060068</v>
      </c>
      <c r="S297" s="1127"/>
      <c r="T297" s="1123">
        <f>T$257*[6]ONS!F57/[6]ONS!F$17</f>
        <v>704.45626997512545</v>
      </c>
      <c r="U297" s="1128">
        <f t="shared" si="29"/>
        <v>231.51227457090332</v>
      </c>
      <c r="V297" s="1127">
        <f t="shared" si="28"/>
        <v>559.07089320622208</v>
      </c>
      <c r="W297" s="1127">
        <f t="shared" si="31"/>
        <v>238.59424744507442</v>
      </c>
      <c r="X297" s="1127">
        <f t="shared" si="30"/>
        <v>874.3118295060068</v>
      </c>
      <c r="Y297" s="1120"/>
      <c r="Z297" s="1120"/>
      <c r="AA297" s="1120"/>
      <c r="AB297" s="1120"/>
      <c r="AC297" s="1116"/>
    </row>
    <row r="298" spans="1:29" x14ac:dyDescent="0.35">
      <c r="A298" s="1120">
        <v>1988</v>
      </c>
      <c r="B298" s="1120"/>
      <c r="C298" s="1120"/>
      <c r="D298" s="1120"/>
      <c r="E298" s="1122">
        <v>47.821455938697326</v>
      </c>
      <c r="F298" s="1120"/>
      <c r="G298" s="1120"/>
      <c r="H298" s="1120"/>
      <c r="I298" s="1123">
        <f>[6]ONS!F58</f>
        <v>95.042095416276879</v>
      </c>
      <c r="J298" s="1130"/>
      <c r="K298" s="1120"/>
      <c r="L298" s="1120"/>
      <c r="M298" s="1124">
        <v>523.26657933391664</v>
      </c>
      <c r="N298" s="1029"/>
      <c r="O298" s="1126">
        <v>233.39323668299323</v>
      </c>
      <c r="P298" s="1127">
        <v>503.08386060424391</v>
      </c>
      <c r="Q298" s="1127">
        <v>228.48228409439886</v>
      </c>
      <c r="R298" s="1127">
        <v>869.11012721167015</v>
      </c>
      <c r="S298" s="1127"/>
      <c r="T298" s="1123">
        <f>T$257*[6]ONS!F58/[6]ONS!F$17</f>
        <v>688.44709412809505</v>
      </c>
      <c r="U298" s="1128">
        <f>U$297*[6]ONS!G58/[6]ONS!G$57</f>
        <v>223.14083007309674</v>
      </c>
      <c r="V298" s="1128">
        <f>V$297*[6]ONS!H58/[6]ONS!H$57</f>
        <v>484.92051565566283</v>
      </c>
      <c r="W298" s="1128">
        <f>W$297*[6]ONS!I58/[6]ONS!I$57</f>
        <v>229.05248266293628</v>
      </c>
      <c r="X298" s="1128">
        <f>X$297*[6]ONS!J58/[6]ONS!J$57</f>
        <v>878.42248549767874</v>
      </c>
      <c r="Y298" s="1120"/>
      <c r="Z298" s="1120"/>
      <c r="AA298" s="1120"/>
      <c r="AB298" s="1120"/>
      <c r="AC298" s="1116"/>
    </row>
    <row r="299" spans="1:29" x14ac:dyDescent="0.35">
      <c r="A299" s="1120">
        <v>1989</v>
      </c>
      <c r="B299" s="1120"/>
      <c r="C299" s="1120"/>
      <c r="D299" s="1120"/>
      <c r="E299" s="1122">
        <v>49.619157088122627</v>
      </c>
      <c r="F299" s="1120"/>
      <c r="G299" s="1120"/>
      <c r="H299" s="1120"/>
      <c r="I299" s="1123">
        <f>[6]ONS!F59</f>
        <v>93.1423611111111</v>
      </c>
      <c r="J299" s="1130"/>
      <c r="K299" s="1120"/>
      <c r="L299" s="1120"/>
      <c r="M299" s="1124">
        <v>503.44648633116589</v>
      </c>
      <c r="N299" s="1029"/>
      <c r="O299" s="1126">
        <v>253.61476629941293</v>
      </c>
      <c r="P299" s="1127">
        <v>512.36124131713848</v>
      </c>
      <c r="Q299" s="1127">
        <v>226.2162517245248</v>
      </c>
      <c r="R299" s="1127">
        <v>867.2415909259845</v>
      </c>
      <c r="S299" s="1127"/>
      <c r="T299" s="1123">
        <f>T$257*[6]ONS!F59/[6]ONS!F$17</f>
        <v>674.68617528178299</v>
      </c>
      <c r="U299" s="1128">
        <f>U$297*[6]ONS!G59/[6]ONS!G$57</f>
        <v>210.17290989862641</v>
      </c>
      <c r="V299" s="1128">
        <f>V$297*[6]ONS!H59/[6]ONS!H$57</f>
        <v>484.4020375312067</v>
      </c>
      <c r="W299" s="1128">
        <f>W$297*[6]ONS!I59/[6]ONS!I$57</f>
        <v>221.55772472879119</v>
      </c>
      <c r="X299" s="1128">
        <f>X$297*[6]ONS!J59/[6]ONS!J$57</f>
        <v>874.68295666280244</v>
      </c>
      <c r="Y299" s="1120"/>
      <c r="Z299" s="1120"/>
      <c r="AA299" s="1120"/>
      <c r="AB299" s="1120"/>
      <c r="AC299" s="1116"/>
    </row>
    <row r="300" spans="1:29" x14ac:dyDescent="0.35">
      <c r="A300" s="1120">
        <v>1990</v>
      </c>
      <c r="B300" s="1120"/>
      <c r="C300" s="1120"/>
      <c r="D300" s="1120"/>
      <c r="E300" s="1122">
        <v>52.218007662835248</v>
      </c>
      <c r="F300" s="1120"/>
      <c r="G300" s="1120"/>
      <c r="H300" s="1120"/>
      <c r="I300" s="1123">
        <f>[6]ONS!F60</f>
        <v>91.911181601903252</v>
      </c>
      <c r="J300" s="1130"/>
      <c r="K300" s="1120"/>
      <c r="L300" s="1120"/>
      <c r="M300" s="1124">
        <v>504.33007043784011</v>
      </c>
      <c r="N300" s="1029"/>
      <c r="O300" s="1126">
        <v>236.82859922911862</v>
      </c>
      <c r="P300" s="1127">
        <v>528.35053951212296</v>
      </c>
      <c r="Q300" s="1127">
        <v>214.38912711140108</v>
      </c>
      <c r="R300" s="1127">
        <v>815.80439262837035</v>
      </c>
      <c r="S300" s="1127"/>
      <c r="T300" s="1123">
        <f>T$257*[6]ONS!F60/[6]ONS!F$17</f>
        <v>665.7680011637591</v>
      </c>
      <c r="U300" s="1128">
        <f>U$297*[6]ONS!G60/[6]ONS!G$57</f>
        <v>199.01182884938515</v>
      </c>
      <c r="V300" s="1128">
        <f>V$297*[6]ONS!H60/[6]ONS!H$57</f>
        <v>577.09325894549352</v>
      </c>
      <c r="W300" s="1128">
        <f>W$297*[6]ONS!I60/[6]ONS!I$57</f>
        <v>216.31819026209206</v>
      </c>
      <c r="X300" s="1128">
        <f>X$297*[6]ONS!J60/[6]ONS!J$57</f>
        <v>863.36941135115865</v>
      </c>
      <c r="Y300" s="1120"/>
      <c r="Z300" s="1120"/>
      <c r="AA300" s="1120"/>
      <c r="AB300" s="1120"/>
      <c r="AC300" s="1116"/>
    </row>
    <row r="301" spans="1:29" x14ac:dyDescent="0.35">
      <c r="A301" s="1120">
        <v>1991</v>
      </c>
      <c r="B301" s="1120"/>
      <c r="C301" s="1120"/>
      <c r="D301" s="1120"/>
      <c r="E301" s="1122">
        <v>55.859003831417631</v>
      </c>
      <c r="F301" s="1120"/>
      <c r="G301" s="1120"/>
      <c r="H301" s="1120"/>
      <c r="I301" s="1123">
        <f>[6]ONS!F61</f>
        <v>93.707865168539314</v>
      </c>
      <c r="J301" s="1130"/>
      <c r="K301" s="1120"/>
      <c r="L301" s="1120"/>
      <c r="M301" s="1124">
        <v>519.80291581139966</v>
      </c>
      <c r="N301" s="1029"/>
      <c r="O301" s="1126">
        <v>225.23773097006193</v>
      </c>
      <c r="P301" s="1127">
        <v>513.91990263691901</v>
      </c>
      <c r="Q301" s="1127">
        <v>216.70240310569514</v>
      </c>
      <c r="R301" s="1127">
        <v>828.1695871297452</v>
      </c>
      <c r="S301" s="1127"/>
      <c r="T301" s="1123">
        <f>T$257*[6]ONS!F61/[6]ONS!F$17</f>
        <v>678.78246149421238</v>
      </c>
      <c r="U301" s="1128">
        <f>U$297*[6]ONS!G61/[6]ONS!G$57</f>
        <v>200.1428510777213</v>
      </c>
      <c r="V301" s="1128">
        <f>V$297*[6]ONS!H61/[6]ONS!H$57</f>
        <v>524.13900859281705</v>
      </c>
      <c r="W301" s="1128">
        <f>W$297*[6]ONS!I61/[6]ONS!I$57</f>
        <v>218.57862317762317</v>
      </c>
      <c r="X301" s="1128">
        <f>X$297*[6]ONS!J61/[6]ONS!J$57</f>
        <v>897.59734044090294</v>
      </c>
      <c r="Y301" s="1120"/>
      <c r="Z301" s="1120"/>
      <c r="AA301" s="1120"/>
      <c r="AB301" s="1120"/>
      <c r="AC301" s="1116"/>
    </row>
    <row r="302" spans="1:29" x14ac:dyDescent="0.35">
      <c r="A302" s="1120">
        <v>1992</v>
      </c>
      <c r="B302" s="1120"/>
      <c r="C302" s="1120"/>
      <c r="D302" s="1120"/>
      <c r="E302" s="1122">
        <v>60.06666666666667</v>
      </c>
      <c r="F302" s="1120"/>
      <c r="G302" s="1120"/>
      <c r="H302" s="1120"/>
      <c r="I302" s="1123">
        <f>[6]ONS!F62</f>
        <v>92.274368231046935</v>
      </c>
      <c r="J302" s="1130"/>
      <c r="K302" s="1120"/>
      <c r="L302" s="1120"/>
      <c r="M302" s="1124">
        <v>526.75499205013466</v>
      </c>
      <c r="N302" s="1029"/>
      <c r="O302" s="1126">
        <v>201.55614653541033</v>
      </c>
      <c r="P302" s="1127">
        <v>499.13257913346592</v>
      </c>
      <c r="Q302" s="1127">
        <v>204.77305529015388</v>
      </c>
      <c r="R302" s="1127">
        <v>843.90137450908753</v>
      </c>
      <c r="S302" s="1127"/>
      <c r="T302" s="1123">
        <f>T$257*[6]ONS!F62/[6]ONS!F$17</f>
        <v>668.39878048701587</v>
      </c>
      <c r="U302" s="1128">
        <f>U$297*[6]ONS!G62/[6]ONS!G$57</f>
        <v>200.33074953548433</v>
      </c>
      <c r="V302" s="1128">
        <f>V$297*[6]ONS!H62/[6]ONS!H$57</f>
        <v>445.01199418187798</v>
      </c>
      <c r="W302" s="1128">
        <f>W$297*[6]ONS!I62/[6]ONS!I$57</f>
        <v>210.15250501644604</v>
      </c>
      <c r="X302" s="1128">
        <f>X$297*[6]ONS!J62/[6]ONS!J$57</f>
        <v>910.22174172365976</v>
      </c>
      <c r="Y302" s="1120"/>
      <c r="Z302" s="1120"/>
      <c r="AA302" s="1120"/>
      <c r="AB302" s="1120"/>
      <c r="AC302" s="1116"/>
    </row>
    <row r="303" spans="1:29" x14ac:dyDescent="0.35">
      <c r="A303" s="1120">
        <v>1993</v>
      </c>
      <c r="B303" s="1120"/>
      <c r="C303" s="1120"/>
      <c r="D303" s="1120"/>
      <c r="E303" s="1122">
        <v>62.626436781609222</v>
      </c>
      <c r="F303" s="1120"/>
      <c r="G303" s="1120"/>
      <c r="H303" s="1120"/>
      <c r="I303" s="1123">
        <f>[6]ONS!F63</f>
        <v>89.694385216773284</v>
      </c>
      <c r="J303" s="1130"/>
      <c r="K303" s="1120"/>
      <c r="L303" s="1120"/>
      <c r="M303" s="1124">
        <v>537.5552633807547</v>
      </c>
      <c r="N303" s="1029"/>
      <c r="O303" s="1126">
        <v>179.77915992598452</v>
      </c>
      <c r="P303" s="1127">
        <v>523.27391712460576</v>
      </c>
      <c r="Q303" s="1127">
        <v>194.65289722520194</v>
      </c>
      <c r="R303" s="1127">
        <v>836.69581489575796</v>
      </c>
      <c r="S303" s="1127"/>
      <c r="T303" s="1123">
        <f>T$257*[6]ONS!F63/[6]ONS!F$17</f>
        <v>649.71041086198818</v>
      </c>
      <c r="U303" s="1128">
        <f>U$297*[6]ONS!G63/[6]ONS!G$57</f>
        <v>198.21659278512911</v>
      </c>
      <c r="V303" s="1128">
        <f>V$297*[6]ONS!H63/[6]ONS!H$57</f>
        <v>464.99176545896893</v>
      </c>
      <c r="W303" s="1128">
        <f>W$297*[6]ONS!I63/[6]ONS!I$57</f>
        <v>198.96416633442792</v>
      </c>
      <c r="X303" s="1128">
        <f>X$297*[6]ONS!J63/[6]ONS!J$57</f>
        <v>892.82337847614508</v>
      </c>
      <c r="Y303" s="1120"/>
      <c r="Z303" s="1120"/>
      <c r="AA303" s="1120"/>
      <c r="AB303" s="1120"/>
      <c r="AC303" s="1116"/>
    </row>
    <row r="304" spans="1:29" x14ac:dyDescent="0.35">
      <c r="A304" s="1120">
        <v>1994</v>
      </c>
      <c r="B304" s="1120"/>
      <c r="C304" s="1120"/>
      <c r="D304" s="1120"/>
      <c r="E304" s="1122">
        <v>64.196168582375506</v>
      </c>
      <c r="F304" s="1120"/>
      <c r="G304" s="1120"/>
      <c r="H304" s="1120"/>
      <c r="I304" s="1123">
        <f>[6]ONS!F64</f>
        <v>91.394864677307424</v>
      </c>
      <c r="J304" s="1130"/>
      <c r="K304" s="1120"/>
      <c r="L304" s="1120"/>
      <c r="M304" s="1124">
        <v>555.3836083517449</v>
      </c>
      <c r="N304" s="1029"/>
      <c r="O304" s="1126">
        <v>218.11220095275263</v>
      </c>
      <c r="P304" s="1127">
        <v>522.96266533857408</v>
      </c>
      <c r="Q304" s="1127">
        <v>198.34093451697666</v>
      </c>
      <c r="R304" s="1127">
        <v>822.80580721709964</v>
      </c>
      <c r="S304" s="1127"/>
      <c r="T304" s="1123">
        <f>T$257*[6]ONS!F64/[6]ONS!F$17</f>
        <v>662.02800695561075</v>
      </c>
      <c r="U304" s="1128">
        <f>U$297*[6]ONS!G64/[6]ONS!G$57</f>
        <v>205.9673631672884</v>
      </c>
      <c r="V304" s="1128">
        <f>V$297*[6]ONS!H64/[6]ONS!H$57</f>
        <v>454.4250649880837</v>
      </c>
      <c r="W304" s="1128">
        <f>W$297*[6]ONS!I64/[6]ONS!I$57</f>
        <v>205.92927034775951</v>
      </c>
      <c r="X304" s="1128">
        <f>X$297*[6]ONS!J64/[6]ONS!J$57</f>
        <v>900.81603745070561</v>
      </c>
      <c r="Y304" s="1120"/>
      <c r="Z304" s="1120"/>
      <c r="AA304" s="1120"/>
      <c r="AB304" s="1120"/>
      <c r="AC304" s="1116"/>
    </row>
    <row r="305" spans="1:29" x14ac:dyDescent="0.35">
      <c r="A305" s="1120">
        <v>1995</v>
      </c>
      <c r="B305" s="1120"/>
      <c r="C305" s="1120"/>
      <c r="D305" s="1120"/>
      <c r="E305" s="1122">
        <v>65.466283524904227</v>
      </c>
      <c r="F305" s="1120"/>
      <c r="G305" s="1120"/>
      <c r="H305" s="1120"/>
      <c r="I305" s="1123">
        <f>[6]ONS!F65</f>
        <v>90.207914151576134</v>
      </c>
      <c r="J305" s="1130"/>
      <c r="K305" s="1120"/>
      <c r="L305" s="1120"/>
      <c r="M305" s="1124">
        <v>551.90729121768561</v>
      </c>
      <c r="N305" s="1029"/>
      <c r="O305" s="1126">
        <v>296.70408604029245</v>
      </c>
      <c r="P305" s="1127">
        <v>529.64864197122688</v>
      </c>
      <c r="Q305" s="1127">
        <v>188.10885819613577</v>
      </c>
      <c r="R305" s="1127">
        <v>778.04576434318244</v>
      </c>
      <c r="S305" s="1127"/>
      <c r="T305" s="1123">
        <f>T$257*[6]ONS!F65/[6]ONS!F$17</f>
        <v>653.43020998223324</v>
      </c>
      <c r="U305" s="1128">
        <f>U$297*[6]ONS!G65/[6]ONS!G$57</f>
        <v>202.42338908193875</v>
      </c>
      <c r="V305" s="1128">
        <f>V$297*[6]ONS!H65/[6]ONS!H$57</f>
        <v>439.18612920712854</v>
      </c>
      <c r="W305" s="1128">
        <f>W$297*[6]ONS!I65/[6]ONS!I$57</f>
        <v>205.81783545309207</v>
      </c>
      <c r="X305" s="1128">
        <f>X$297*[6]ONS!J65/[6]ONS!J$57</f>
        <v>882.55827300590147</v>
      </c>
      <c r="Y305" s="1120"/>
      <c r="Z305" s="1120"/>
      <c r="AA305" s="1120"/>
      <c r="AB305" s="1120"/>
      <c r="AC305" s="1116"/>
    </row>
    <row r="306" spans="1:29" x14ac:dyDescent="0.35">
      <c r="A306" s="1120">
        <v>1996</v>
      </c>
      <c r="B306" s="1120"/>
      <c r="C306" s="1120"/>
      <c r="D306" s="1120"/>
      <c r="E306" s="1122">
        <v>67.205363984674321</v>
      </c>
      <c r="F306" s="1120"/>
      <c r="G306" s="1120"/>
      <c r="H306" s="1120"/>
      <c r="I306" s="1123">
        <f>[6]ONS!F66</f>
        <v>88.277668631303214</v>
      </c>
      <c r="J306" s="1130"/>
      <c r="K306" s="1120"/>
      <c r="L306" s="1120"/>
      <c r="M306" s="1124">
        <v>561.37510068944664</v>
      </c>
      <c r="N306" s="1029"/>
      <c r="O306" s="1126">
        <v>280.0307479189471</v>
      </c>
      <c r="P306" s="1127">
        <v>547.79818786692601</v>
      </c>
      <c r="Q306" s="1127">
        <v>152.64036731962099</v>
      </c>
      <c r="R306" s="1127">
        <v>718.49609743557778</v>
      </c>
      <c r="S306" s="1127"/>
      <c r="T306" s="1123">
        <f>T$257*[6]ONS!F66/[6]ONS!F$17</f>
        <v>639.44828004302781</v>
      </c>
      <c r="U306" s="1128">
        <f>U$297*[6]ONS!G66/[6]ONS!G$57</f>
        <v>199.52756319923537</v>
      </c>
      <c r="V306" s="1128">
        <f>V$297*[6]ONS!H66/[6]ONS!H$57</f>
        <v>471.98254339590909</v>
      </c>
      <c r="W306" s="1128">
        <f>W$297*[6]ONS!I66/[6]ONS!I$57</f>
        <v>201.12735657629997</v>
      </c>
      <c r="X306" s="1128">
        <f>X$297*[6]ONS!J66/[6]ONS!J$57</f>
        <v>857.66726835097131</v>
      </c>
      <c r="Y306" s="1120"/>
      <c r="Z306" s="1120"/>
      <c r="AA306" s="1120"/>
      <c r="AB306" s="1120"/>
      <c r="AC306" s="1116"/>
    </row>
    <row r="307" spans="1:29" x14ac:dyDescent="0.35">
      <c r="A307" s="1120">
        <v>1997</v>
      </c>
      <c r="B307" s="1120"/>
      <c r="C307" s="1120"/>
      <c r="D307" s="1120"/>
      <c r="E307" s="1122">
        <v>68.818500000000014</v>
      </c>
      <c r="F307" s="1120"/>
      <c r="G307" s="1120"/>
      <c r="H307" s="1120"/>
      <c r="I307" s="1123">
        <f>[6]ONS!F67</f>
        <v>82.92063492063491</v>
      </c>
      <c r="J307" s="1130"/>
      <c r="K307" s="1120"/>
      <c r="L307" s="1120"/>
      <c r="M307" s="1124">
        <v>590.25384144982286</v>
      </c>
      <c r="N307" s="1029"/>
      <c r="O307" s="1126">
        <v>283.52769719617174</v>
      </c>
      <c r="P307" s="1127">
        <v>530.63791468121246</v>
      </c>
      <c r="Q307" s="1127">
        <v>156.78061465280399</v>
      </c>
      <c r="R307" s="1127">
        <v>632.98808980711215</v>
      </c>
      <c r="S307" s="1127"/>
      <c r="T307" s="1123">
        <f>T$257*[6]ONS!F67/[6]ONS!F$17</f>
        <v>600.64406097459778</v>
      </c>
      <c r="U307" s="1128">
        <f>U$297*[6]ONS!G67/[6]ONS!G$57</f>
        <v>195.11436734325227</v>
      </c>
      <c r="V307" s="1128">
        <f>V$297*[6]ONS!H67/[6]ONS!H$57</f>
        <v>445.75110797438026</v>
      </c>
      <c r="W307" s="1128">
        <f>W$297*[6]ONS!I67/[6]ONS!I$57</f>
        <v>193.11524032673859</v>
      </c>
      <c r="X307" s="1128">
        <f>X$297*[6]ONS!J67/[6]ONS!J$57</f>
        <v>791.9322260147743</v>
      </c>
      <c r="Y307" s="1120"/>
      <c r="Z307" s="1120"/>
      <c r="AA307" s="1120"/>
      <c r="AB307" s="1120"/>
      <c r="AC307" s="1116"/>
    </row>
    <row r="308" spans="1:29" x14ac:dyDescent="0.35">
      <c r="A308" s="1120">
        <v>1998</v>
      </c>
      <c r="B308" s="1120"/>
      <c r="C308" s="1120"/>
      <c r="D308" s="1120"/>
      <c r="E308" s="1122">
        <v>70.07416666666667</v>
      </c>
      <c r="F308" s="1120"/>
      <c r="G308" s="1120"/>
      <c r="H308" s="1120"/>
      <c r="I308" s="1123">
        <f>[6]ONS!F68</f>
        <v>76.734192756292202</v>
      </c>
      <c r="J308" s="1130"/>
      <c r="K308" s="1120"/>
      <c r="L308" s="1120"/>
      <c r="M308" s="1124">
        <v>584.62632471979623</v>
      </c>
      <c r="N308" s="1029"/>
      <c r="O308" s="1126">
        <v>262.23928820870668</v>
      </c>
      <c r="P308" s="1127">
        <v>515.67139650472984</v>
      </c>
      <c r="Q308" s="1127">
        <v>146.84927472531811</v>
      </c>
      <c r="R308" s="1127">
        <v>590.81658418550967</v>
      </c>
      <c r="S308" s="1127"/>
      <c r="T308" s="1123">
        <f>T$257*[6]ONS!F68/[6]ONS!F$17</f>
        <v>555.83193733213159</v>
      </c>
      <c r="U308" s="1128">
        <f>U$297*[6]ONS!G68/[6]ONS!G$57</f>
        <v>190.40542937365507</v>
      </c>
      <c r="V308" s="1128">
        <f>V$297*[6]ONS!H68/[6]ONS!H$57</f>
        <v>361.17408771212064</v>
      </c>
      <c r="W308" s="1128">
        <f>W$297*[6]ONS!I68/[6]ONS!I$57</f>
        <v>180.3432219728206</v>
      </c>
      <c r="X308" s="1128">
        <f>X$297*[6]ONS!J68/[6]ONS!J$57</f>
        <v>730.6777996931894</v>
      </c>
      <c r="Y308" s="1120"/>
      <c r="Z308" s="1120"/>
      <c r="AA308" s="1120"/>
      <c r="AB308" s="1120"/>
      <c r="AC308" s="1116"/>
    </row>
    <row r="309" spans="1:29" x14ac:dyDescent="0.35">
      <c r="A309" s="1120">
        <v>1999</v>
      </c>
      <c r="B309" s="1120"/>
      <c r="C309" s="1120"/>
      <c r="D309" s="1120"/>
      <c r="E309" s="1122">
        <v>71.165500000000009</v>
      </c>
      <c r="F309" s="1120"/>
      <c r="G309" s="1120"/>
      <c r="H309" s="1120"/>
      <c r="I309" s="1123">
        <f>[6]ONS!F69</f>
        <v>75.211608222490938</v>
      </c>
      <c r="J309" s="1130"/>
      <c r="K309" s="1120"/>
      <c r="L309" s="1120"/>
      <c r="M309" s="1124">
        <v>586.22505526854752</v>
      </c>
      <c r="N309" s="1029"/>
      <c r="O309" s="1126">
        <v>256.35598703357272</v>
      </c>
      <c r="P309" s="1127">
        <v>615.6538568065364</v>
      </c>
      <c r="Q309" s="1127">
        <v>127.07764717619138</v>
      </c>
      <c r="R309" s="1127">
        <v>557.59363380363561</v>
      </c>
      <c r="S309" s="1127"/>
      <c r="T309" s="1123">
        <f>T$257*[6]ONS!F69/[6]ONS!F$17</f>
        <v>544.80294125130297</v>
      </c>
      <c r="U309" s="1128">
        <f>U$297*[6]ONS!G69/[6]ONS!G$57</f>
        <v>191.28091225220749</v>
      </c>
      <c r="V309" s="1128">
        <f>V$297*[6]ONS!H69/[6]ONS!H$57</f>
        <v>398.02004022381243</v>
      </c>
      <c r="W309" s="1128">
        <f>W$297*[6]ONS!I69/[6]ONS!I$57</f>
        <v>176.57167035887343</v>
      </c>
      <c r="X309" s="1128">
        <f>X$297*[6]ONS!J69/[6]ONS!J$57</f>
        <v>710.47668190911315</v>
      </c>
      <c r="Y309" s="1120"/>
      <c r="Z309" s="1120"/>
      <c r="AA309" s="1120"/>
      <c r="AB309" s="1120"/>
      <c r="AC309" s="1116"/>
    </row>
    <row r="310" spans="1:29" x14ac:dyDescent="0.35">
      <c r="A310" s="1120">
        <v>2000</v>
      </c>
      <c r="B310" s="1120"/>
      <c r="C310" s="1120"/>
      <c r="D310" s="1120"/>
      <c r="E310" s="1122">
        <v>72.11108333333334</v>
      </c>
      <c r="F310" s="1120"/>
      <c r="G310" s="1120"/>
      <c r="H310" s="1120"/>
      <c r="I310" s="1123">
        <f>[6]ONS!F70</f>
        <v>72.753963593658241</v>
      </c>
      <c r="J310" s="1130"/>
      <c r="K310" s="1120"/>
      <c r="L310" s="1120"/>
      <c r="M310" s="1124">
        <v>683.67847584146682</v>
      </c>
      <c r="N310" s="1029"/>
      <c r="O310" s="1126">
        <v>269.87653734243719</v>
      </c>
      <c r="P310" s="1127">
        <v>685.18796992481202</v>
      </c>
      <c r="Q310" s="1127">
        <v>127.14453697018867</v>
      </c>
      <c r="R310" s="1127">
        <v>516.50447467329627</v>
      </c>
      <c r="S310" s="1127"/>
      <c r="T310" s="1123">
        <f>T$257*[6]ONS!F70/[6]ONS!F$17</f>
        <v>527.00074217615906</v>
      </c>
      <c r="U310" s="1128">
        <f>U$297*[6]ONS!G70/[6]ONS!G$57</f>
        <v>188.86183675039987</v>
      </c>
      <c r="V310" s="1128">
        <f>V$297*[6]ONS!H70/[6]ONS!H$57</f>
        <v>542.01682694961994</v>
      </c>
      <c r="W310" s="1128">
        <f>W$297*[6]ONS!I70/[6]ONS!I$57</f>
        <v>167.28373380007901</v>
      </c>
      <c r="X310" s="1128">
        <f>X$297*[6]ONS!J70/[6]ONS!J$57</f>
        <v>675.90927217408944</v>
      </c>
      <c r="Y310" s="1120"/>
      <c r="Z310" s="1120"/>
      <c r="AA310" s="1120"/>
      <c r="AB310" s="1120"/>
      <c r="AC310" s="1116"/>
    </row>
    <row r="311" spans="1:29" x14ac:dyDescent="0.35">
      <c r="A311" s="1120">
        <v>2001</v>
      </c>
      <c r="B311" s="1120"/>
      <c r="C311" s="1120"/>
      <c r="D311" s="1120"/>
      <c r="E311" s="1122">
        <v>72.685416666666669</v>
      </c>
      <c r="F311" s="1120"/>
      <c r="G311" s="1120"/>
      <c r="H311" s="1120"/>
      <c r="I311" s="1123">
        <f>[6]ONS!F71</f>
        <v>72.071552221581072</v>
      </c>
      <c r="J311" s="1130"/>
      <c r="K311" s="1120"/>
      <c r="L311" s="1120"/>
      <c r="M311" s="1131">
        <v>686.46520112731218</v>
      </c>
      <c r="N311" s="995"/>
      <c r="O311" s="1126">
        <v>325.24604355010774</v>
      </c>
      <c r="P311" s="1127">
        <v>545.05600586860521</v>
      </c>
      <c r="Q311" s="1127">
        <v>124.36269147336903</v>
      </c>
      <c r="R311" s="1127">
        <v>489.38858248849226</v>
      </c>
      <c r="S311" s="1127"/>
      <c r="T311" s="1123">
        <f>T$257*[6]ONS!F71/[6]ONS!F$17</f>
        <v>522.05762592805036</v>
      </c>
      <c r="U311" s="1128">
        <f>U$297*[6]ONS!G71/[6]ONS!G$57</f>
        <v>194.41049780780557</v>
      </c>
      <c r="V311" s="1128">
        <f>V$297*[6]ONS!H71/[6]ONS!H$57</f>
        <v>518.50217029353917</v>
      </c>
      <c r="W311" s="1128">
        <f>W$297*[6]ONS!I71/[6]ONS!I$57</f>
        <v>168.80767711279637</v>
      </c>
      <c r="X311" s="1128">
        <f>X$297*[6]ONS!J71/[6]ONS!J$57</f>
        <v>658.03947228002005</v>
      </c>
      <c r="Y311" s="1120"/>
      <c r="Z311" s="1120"/>
      <c r="AA311" s="1120"/>
      <c r="AB311" s="1120"/>
      <c r="AC311" s="1116"/>
    </row>
    <row r="312" spans="1:29" x14ac:dyDescent="0.35">
      <c r="A312" s="1120">
        <v>2002</v>
      </c>
      <c r="B312" s="1120"/>
      <c r="C312" s="1120"/>
      <c r="D312" s="1120"/>
      <c r="E312" s="1122">
        <v>73.581999999999994</v>
      </c>
      <c r="F312" s="1120"/>
      <c r="G312" s="1120"/>
      <c r="H312" s="1120"/>
      <c r="I312" s="1123">
        <f>[6]ONS!F72</f>
        <v>73.098751418842227</v>
      </c>
      <c r="J312" s="1130"/>
      <c r="K312" s="1120"/>
      <c r="L312" s="1120"/>
      <c r="M312" s="1131">
        <v>619.7893058379999</v>
      </c>
      <c r="N312" s="995"/>
      <c r="O312" s="1126">
        <v>354.3203464636793</v>
      </c>
      <c r="P312" s="1127">
        <v>592.73857442384804</v>
      </c>
      <c r="Q312" s="1127">
        <v>123.88742884308407</v>
      </c>
      <c r="R312" s="1127">
        <v>488.07035375217106</v>
      </c>
      <c r="S312" s="1127"/>
      <c r="T312" s="1123">
        <f>T$257*[6]ONS!F72/[6]ONS!F$17</f>
        <v>529.49824788980106</v>
      </c>
      <c r="U312" s="1128">
        <f>U$297*[6]ONS!G72/[6]ONS!G$57</f>
        <v>201.10332822302462</v>
      </c>
      <c r="V312" s="1128">
        <f>V$297*[6]ONS!H72/[6]ONS!H$57</f>
        <v>481.17716051335202</v>
      </c>
      <c r="W312" s="1128">
        <f>W$297*[6]ONS!I72/[6]ONS!I$57</f>
        <v>176.54640567264792</v>
      </c>
      <c r="X312" s="1128">
        <f>X$297*[6]ONS!J72/[6]ONS!J$57</f>
        <v>650.74850836614144</v>
      </c>
      <c r="Y312" s="1120"/>
      <c r="Z312" s="1120"/>
      <c r="AA312" s="1120"/>
      <c r="AB312" s="1120"/>
      <c r="AC312" s="1116"/>
    </row>
    <row r="313" spans="1:29" x14ac:dyDescent="0.35">
      <c r="A313" s="1120">
        <v>2003</v>
      </c>
      <c r="B313" s="1120"/>
      <c r="C313" s="1120"/>
      <c r="D313" s="1120"/>
      <c r="E313" s="1122">
        <v>74.508333333333326</v>
      </c>
      <c r="F313" s="1120"/>
      <c r="G313" s="1120"/>
      <c r="H313" s="1120"/>
      <c r="I313" s="1123">
        <f>[6]ONS!F73</f>
        <v>72.476558190843903</v>
      </c>
      <c r="J313" s="1130"/>
      <c r="K313" s="1120"/>
      <c r="L313" s="1120"/>
      <c r="M313" s="1131">
        <v>634.17230195299032</v>
      </c>
      <c r="N313" s="995"/>
      <c r="O313" s="1126">
        <v>316.40678815854687</v>
      </c>
      <c r="P313" s="1127">
        <v>682.53791985368173</v>
      </c>
      <c r="Q313" s="1127">
        <v>121.87966788682034</v>
      </c>
      <c r="R313" s="1127">
        <v>476.15656721924307</v>
      </c>
      <c r="S313" s="1127"/>
      <c r="T313" s="1123">
        <f>T$257*[6]ONS!F73/[6]ONS!F$17</f>
        <v>524.99132789897487</v>
      </c>
      <c r="U313" s="1128">
        <f>U$297*[6]ONS!G73/[6]ONS!G$57</f>
        <v>199.6607317630818</v>
      </c>
      <c r="V313" s="1128">
        <f>V$297*[6]ONS!H73/[6]ONS!H$57</f>
        <v>518.45818591281216</v>
      </c>
      <c r="W313" s="1128">
        <f>W$297*[6]ONS!I73/[6]ONS!I$57</f>
        <v>174.71463095341934</v>
      </c>
      <c r="X313" s="1128">
        <f>X$297*[6]ONS!J73/[6]ONS!J$57</f>
        <v>638.83115308693175</v>
      </c>
      <c r="Y313" s="1120"/>
      <c r="Z313" s="1120"/>
      <c r="AA313" s="1120"/>
      <c r="AB313" s="1120"/>
      <c r="AC313" s="1116"/>
    </row>
    <row r="314" spans="1:29" x14ac:dyDescent="0.35">
      <c r="A314" s="1120">
        <v>2004</v>
      </c>
      <c r="B314" s="1120"/>
      <c r="C314" s="1120"/>
      <c r="D314" s="1120"/>
      <c r="E314" s="1122">
        <v>75.522833333333338</v>
      </c>
      <c r="F314" s="1120"/>
      <c r="G314" s="1120"/>
      <c r="H314" s="1120"/>
      <c r="I314" s="1123">
        <f>[6]ONS!F74</f>
        <v>75.361542581681846</v>
      </c>
      <c r="J314" s="1130"/>
      <c r="K314" s="1120"/>
      <c r="L314" s="1120"/>
      <c r="M314" s="1131">
        <v>626.1458874913933</v>
      </c>
      <c r="N314" s="995"/>
      <c r="O314" s="1126">
        <v>285.41910162551051</v>
      </c>
      <c r="P314" s="1127">
        <v>698.10193714423713</v>
      </c>
      <c r="Q314" s="1127">
        <v>132.29216246149548</v>
      </c>
      <c r="R314" s="1127">
        <v>525.10847879070752</v>
      </c>
      <c r="S314" s="1127"/>
      <c r="T314" s="1123">
        <f>T$257*[6]ONS!F74/[6]ONS!F$17</f>
        <v>545.88900604651644</v>
      </c>
      <c r="U314" s="1128">
        <f>U$297*[6]ONS!G74/[6]ONS!G$57</f>
        <v>203.86152112097949</v>
      </c>
      <c r="V314" s="1128">
        <f>V$297*[6]ONS!H74/[6]ONS!H$57</f>
        <v>572.79803037340093</v>
      </c>
      <c r="W314" s="1128">
        <f>W$297*[6]ONS!I74/[6]ONS!I$57</f>
        <v>182.10135194152309</v>
      </c>
      <c r="X314" s="1128">
        <f>X$297*[6]ONS!J74/[6]ONS!J$57</f>
        <v>657.09802336643656</v>
      </c>
      <c r="Y314" s="1120"/>
      <c r="Z314" s="1120"/>
      <c r="AA314" s="1120"/>
      <c r="AB314" s="1120"/>
      <c r="AC314" s="1116"/>
    </row>
    <row r="315" spans="1:29" x14ac:dyDescent="0.35">
      <c r="A315" s="1120">
        <v>2005</v>
      </c>
      <c r="B315" s="1120"/>
      <c r="C315" s="1120"/>
      <c r="D315" s="1120"/>
      <c r="E315" s="1122">
        <v>76.537500000000009</v>
      </c>
      <c r="F315" s="1120"/>
      <c r="G315" s="1120"/>
      <c r="H315" s="1120"/>
      <c r="I315" s="1123">
        <f>[6]ONS!F75</f>
        <v>83.229166666666686</v>
      </c>
      <c r="J315" s="1130"/>
      <c r="K315" s="1120"/>
      <c r="L315" s="1120"/>
      <c r="M315" s="1131">
        <v>634.53385953193686</v>
      </c>
      <c r="N315" s="995"/>
      <c r="O315" s="1126">
        <v>429.18866308338869</v>
      </c>
      <c r="P315" s="1127">
        <v>705.23101631030806</v>
      </c>
      <c r="Q315" s="1127">
        <v>156.46530927499759</v>
      </c>
      <c r="R315" s="1127">
        <v>564.42762541910815</v>
      </c>
      <c r="S315" s="1127"/>
      <c r="T315" s="1123">
        <f>T$257*[6]ONS!F75/[6]ONS!F$17</f>
        <v>602.87894208776675</v>
      </c>
      <c r="U315" s="1128">
        <f>U$297*[6]ONS!G75/[6]ONS!G$57</f>
        <v>218.38084602484491</v>
      </c>
      <c r="V315" s="1128">
        <f>V$297*[6]ONS!H75/[6]ONS!H$57</f>
        <v>714.60689298490888</v>
      </c>
      <c r="W315" s="1128">
        <f>W$297*[6]ONS!I75/[6]ONS!I$57</f>
        <v>203.19824628079064</v>
      </c>
      <c r="X315" s="1128">
        <f>X$297*[6]ONS!J75/[6]ONS!J$57</f>
        <v>707.17072994913042</v>
      </c>
      <c r="Y315" s="1120"/>
      <c r="Z315" s="1120"/>
      <c r="AA315" s="1120"/>
      <c r="AB315" s="1120"/>
      <c r="AC315" s="1116"/>
    </row>
    <row r="316" spans="1:29" x14ac:dyDescent="0.35">
      <c r="A316" s="1120">
        <v>2006</v>
      </c>
      <c r="B316" s="1120"/>
      <c r="C316" s="1120"/>
      <c r="D316" s="1120"/>
      <c r="E316" s="1122">
        <v>78.111833333333323</v>
      </c>
      <c r="F316" s="1120"/>
      <c r="G316" s="1120"/>
      <c r="H316" s="1120"/>
      <c r="I316" s="1123">
        <f>[6]ONS!F76</f>
        <v>100.5047955577991</v>
      </c>
      <c r="J316" s="1130"/>
      <c r="K316" s="1120"/>
      <c r="L316" s="1120"/>
      <c r="M316" s="1131">
        <v>681.14280572730229</v>
      </c>
      <c r="N316" s="995"/>
      <c r="O316" s="1126">
        <v>498.95219927608048</v>
      </c>
      <c r="P316" s="1127">
        <v>937.87745385633752</v>
      </c>
      <c r="Q316" s="1127">
        <v>214.31058459029097</v>
      </c>
      <c r="R316" s="1127">
        <v>662.0328535025692</v>
      </c>
      <c r="S316" s="1127"/>
      <c r="T316" s="1123">
        <f>T$257*[6]ONS!F76/[6]ONS!F$17</f>
        <v>728.01671874603073</v>
      </c>
      <c r="U316" s="1128">
        <f>U$297*[6]ONS!G76/[6]ONS!G$57</f>
        <v>227.56673351457928</v>
      </c>
      <c r="V316" s="1128">
        <f>V$297*[6]ONS!H76/[6]ONS!H$57</f>
        <v>784.14476515221202</v>
      </c>
      <c r="W316" s="1128">
        <f>W$297*[6]ONS!I76/[6]ONS!I$57</f>
        <v>259.67808736917237</v>
      </c>
      <c r="X316" s="1128">
        <f>X$297*[6]ONS!J76/[6]ONS!J$57</f>
        <v>833.80749137320322</v>
      </c>
      <c r="Y316" s="1120"/>
      <c r="Z316" s="1120"/>
      <c r="AA316" s="1120"/>
      <c r="AB316" s="1120"/>
      <c r="AC316" s="1116"/>
    </row>
    <row r="317" spans="1:29" x14ac:dyDescent="0.35">
      <c r="A317" s="1120">
        <v>2007</v>
      </c>
      <c r="B317" s="1120"/>
      <c r="C317" s="1120"/>
      <c r="D317" s="1120"/>
      <c r="E317" s="1122">
        <v>79.930833333333339</v>
      </c>
      <c r="F317" s="1120"/>
      <c r="G317" s="1120"/>
      <c r="H317" s="1120"/>
      <c r="I317" s="1123">
        <f>[6]ONS!F77</f>
        <v>103.19457889641821</v>
      </c>
      <c r="J317" s="1130"/>
      <c r="K317" s="1120"/>
      <c r="L317" s="1120"/>
      <c r="M317" s="1131">
        <v>647.15943922244355</v>
      </c>
      <c r="N317" s="995"/>
      <c r="O317" s="1126">
        <v>541.13790545656843</v>
      </c>
      <c r="P317" s="1127">
        <v>984.7765395459279</v>
      </c>
      <c r="Q317" s="1127">
        <v>233.21936315206244</v>
      </c>
      <c r="R317" s="1127">
        <v>649.7943079081723</v>
      </c>
      <c r="S317" s="1127"/>
      <c r="T317" s="1123">
        <f>T$257*[6]ONS!F77/[6]ONS!F$17</f>
        <v>747.50043819893074</v>
      </c>
      <c r="U317" s="1128">
        <f>U$297*[6]ONS!G77/[6]ONS!G$57</f>
        <v>233.80663252085006</v>
      </c>
      <c r="V317" s="1128">
        <f>V$297*[6]ONS!H77/[6]ONS!H$57</f>
        <v>758.37472732279809</v>
      </c>
      <c r="W317" s="1128">
        <f>W$297*[6]ONS!I77/[6]ONS!I$57</f>
        <v>268.24893753230231</v>
      </c>
      <c r="X317" s="1128">
        <f>X$297*[6]ONS!J77/[6]ONS!J$57</f>
        <v>863.7561857676875</v>
      </c>
      <c r="Y317" s="1120"/>
      <c r="Z317" s="1120"/>
      <c r="AA317" s="1120"/>
      <c r="AB317" s="1120"/>
      <c r="AC317" s="1116"/>
    </row>
    <row r="318" spans="1:29" x14ac:dyDescent="0.35">
      <c r="A318" s="1120">
        <v>2008</v>
      </c>
      <c r="B318" s="1120"/>
      <c r="C318" s="1120"/>
      <c r="D318" s="1120"/>
      <c r="E318" s="1122">
        <v>81.787499999999994</v>
      </c>
      <c r="F318" s="1120"/>
      <c r="G318" s="1120"/>
      <c r="H318" s="1120"/>
      <c r="I318" s="1123">
        <f>[6]ONS!F78</f>
        <v>118.0633147113594</v>
      </c>
      <c r="J318" s="1130"/>
      <c r="K318" s="1120"/>
      <c r="L318" s="1120"/>
      <c r="M318" s="1131">
        <v>748.99465241967641</v>
      </c>
      <c r="N318" s="995"/>
      <c r="O318" s="1126">
        <v>518.83384122891744</v>
      </c>
      <c r="P318" s="1127">
        <v>1300.0615631322294</v>
      </c>
      <c r="Q318" s="1127">
        <v>262.55886911497947</v>
      </c>
      <c r="R318" s="1127">
        <v>734.26942384673498</v>
      </c>
      <c r="S318" s="1127"/>
      <c r="T318" s="1123">
        <f>T$257*[6]ONS!F78/[6]ONS!F$17</f>
        <v>855.20363982048843</v>
      </c>
      <c r="U318" s="1128">
        <f>U$297*[6]ONS!G78/[6]ONS!G$57</f>
        <v>267.78964791685087</v>
      </c>
      <c r="V318" s="1128">
        <f>V$297*[6]ONS!H78/[6]ONS!H$57</f>
        <v>1053.0088109608171</v>
      </c>
      <c r="W318" s="1128">
        <f>W$297*[6]ONS!I78/[6]ONS!I$57</f>
        <v>308.96606763219978</v>
      </c>
      <c r="X318" s="1128">
        <f>X$297*[6]ONS!J78/[6]ONS!J$57</f>
        <v>960.1901727780388</v>
      </c>
      <c r="Y318" s="1120"/>
      <c r="Z318" s="1120"/>
      <c r="AA318" s="1120"/>
      <c r="AB318" s="1120"/>
      <c r="AC318" s="1116"/>
    </row>
    <row r="319" spans="1:29" x14ac:dyDescent="0.35">
      <c r="A319" s="1120">
        <v>2009</v>
      </c>
      <c r="B319" s="1120"/>
      <c r="C319" s="1120"/>
      <c r="D319" s="1120"/>
      <c r="E319" s="1122">
        <v>84.73341666666667</v>
      </c>
      <c r="F319" s="1120"/>
      <c r="G319" s="1120"/>
      <c r="H319" s="1120"/>
      <c r="I319" s="1123">
        <f>[6]ONS!F79</f>
        <v>126.06457650912495</v>
      </c>
      <c r="J319" s="1130"/>
      <c r="K319" s="1120"/>
      <c r="L319" s="1120"/>
      <c r="M319" s="995"/>
      <c r="N319" s="995"/>
      <c r="O319" s="1126">
        <v>408.18441633034809</v>
      </c>
      <c r="P319" s="1127">
        <v>1095.9425669435498</v>
      </c>
      <c r="Q319" s="1127">
        <v>239.60525337573378</v>
      </c>
      <c r="R319" s="1127">
        <v>757.29251131890089</v>
      </c>
      <c r="S319" s="1127"/>
      <c r="T319" s="1123">
        <f>T$257*[6]ONS!F79/[6]ONS!F$17</f>
        <v>913.16159423956219</v>
      </c>
      <c r="U319" s="1128">
        <f>U$297*[6]ONS!G79/[6]ONS!G$57</f>
        <v>316.31996832704755</v>
      </c>
      <c r="V319" s="1128">
        <f>V$297*[6]ONS!H79/[6]ONS!H$57</f>
        <v>811.48957433550777</v>
      </c>
      <c r="W319" s="1128">
        <f>W$297*[6]ONS!I79/[6]ONS!I$57</f>
        <v>353.22037439350225</v>
      </c>
      <c r="X319" s="1128">
        <f>X$297*[6]ONS!J79/[6]ONS!J$57</f>
        <v>1008.9075738536374</v>
      </c>
      <c r="Y319" s="1120"/>
      <c r="Z319" s="1120"/>
      <c r="AA319" s="1120"/>
      <c r="AB319" s="1120"/>
      <c r="AC319" s="1116"/>
    </row>
    <row r="320" spans="1:29" x14ac:dyDescent="0.35">
      <c r="A320" s="1120">
        <v>2010</v>
      </c>
      <c r="B320" s="1120"/>
      <c r="C320" s="1120"/>
      <c r="D320" s="1120"/>
      <c r="E320" s="1122">
        <v>86.56816666666667</v>
      </c>
      <c r="F320" s="1120"/>
      <c r="G320" s="1120"/>
      <c r="H320" s="1120"/>
      <c r="I320" s="1123">
        <f>[6]ONS!F80</f>
        <v>117.21824686940967</v>
      </c>
      <c r="J320" s="1130"/>
      <c r="K320" s="1120"/>
      <c r="L320" s="1120"/>
      <c r="M320" s="995"/>
      <c r="N320" s="995"/>
      <c r="O320" s="1126">
        <v>389.23564310533487</v>
      </c>
      <c r="P320" s="1127">
        <v>1279.9736875879514</v>
      </c>
      <c r="Q320" s="1127">
        <v>221.36801431154399</v>
      </c>
      <c r="R320" s="1127">
        <v>700.64861988325981</v>
      </c>
      <c r="S320" s="1127"/>
      <c r="T320" s="1123">
        <f>T$257*[6]ONS!F80/[6]ONS!F$17</f>
        <v>849.08230487323988</v>
      </c>
      <c r="U320" s="1128">
        <f>U$297*[6]ONS!G80/[6]ONS!G$57</f>
        <v>302.42153338039907</v>
      </c>
      <c r="V320" s="1128">
        <f>V$297*[6]ONS!H80/[6]ONS!H$57</f>
        <v>988.8787216680048</v>
      </c>
      <c r="W320" s="1128">
        <f>W$297*[6]ONS!I80/[6]ONS!I$57</f>
        <v>317.58063934996142</v>
      </c>
      <c r="X320" s="1128">
        <f>X$297*[6]ONS!J80/[6]ONS!J$57</f>
        <v>940.33097498623681</v>
      </c>
      <c r="Y320" s="1120"/>
      <c r="Z320" s="1120"/>
      <c r="AA320" s="1120"/>
      <c r="AB320" s="1120"/>
      <c r="AC320" s="1116"/>
    </row>
    <row r="321" spans="1:29" x14ac:dyDescent="0.35">
      <c r="A321" s="1120">
        <v>2011</v>
      </c>
      <c r="B321" s="1120"/>
      <c r="C321" s="1120"/>
      <c r="D321" s="1120"/>
      <c r="E321" s="1122">
        <v>89.423333333333346</v>
      </c>
      <c r="F321" s="1120"/>
      <c r="G321" s="1120"/>
      <c r="H321" s="1120"/>
      <c r="I321" s="1123">
        <f>[6]ONS!F81</f>
        <v>123.25680272108841</v>
      </c>
      <c r="J321" s="1130"/>
      <c r="K321" s="1120"/>
      <c r="L321" s="1120"/>
      <c r="M321" s="995"/>
      <c r="N321" s="995"/>
      <c r="O321" s="982"/>
      <c r="P321" s="1120"/>
      <c r="Q321" s="1120"/>
      <c r="R321" s="1120"/>
      <c r="S321" s="1120"/>
      <c r="T321" s="1123">
        <f>T$257*[6]ONS!F81/[6]ONS!F$17</f>
        <v>892.82319895401645</v>
      </c>
      <c r="U321" s="1128">
        <f>U$297*[6]ONS!G81/[6]ONS!G$57</f>
        <v>301.51602096313019</v>
      </c>
      <c r="V321" s="1128">
        <f>V$297*[6]ONS!H81/[6]ONS!H$57</f>
        <v>1174.8864466050227</v>
      </c>
      <c r="W321" s="1128">
        <f>W$297*[6]ONS!I81/[6]ONS!I$57</f>
        <v>334.06336905192614</v>
      </c>
      <c r="X321" s="1128">
        <f>X$297*[6]ONS!J81/[6]ONS!J$57</f>
        <v>958.72790053096003</v>
      </c>
      <c r="Y321" s="1120"/>
      <c r="Z321" s="1120"/>
      <c r="AA321" s="1120"/>
      <c r="AB321" s="1120"/>
      <c r="AC321" s="1116"/>
    </row>
    <row r="322" spans="1:29" x14ac:dyDescent="0.35">
      <c r="A322" s="1120">
        <v>2012</v>
      </c>
      <c r="B322" s="1120"/>
      <c r="C322" s="1120"/>
      <c r="D322" s="1120"/>
      <c r="E322" s="1122">
        <v>93.41491666666667</v>
      </c>
      <c r="F322" s="1120"/>
      <c r="G322" s="1120"/>
      <c r="H322" s="1120"/>
      <c r="I322" s="1123">
        <f>[6]ONS!F82</f>
        <v>128.5125669550886</v>
      </c>
      <c r="J322" s="1130"/>
      <c r="K322" s="1120"/>
      <c r="L322" s="1120"/>
      <c r="M322" s="995"/>
      <c r="N322" s="995"/>
      <c r="O322" s="982"/>
      <c r="P322" s="1120"/>
      <c r="Q322" s="1120"/>
      <c r="R322" s="1120"/>
      <c r="S322" s="1120"/>
      <c r="T322" s="1123">
        <f>T$257*[6]ONS!F82/[6]ONS!F$17</f>
        <v>930.89386225822773</v>
      </c>
      <c r="U322" s="1128">
        <f>U$297*[6]ONS!G82/[6]ONS!G$57</f>
        <v>302.52871664228377</v>
      </c>
      <c r="V322" s="1128">
        <f>V$297*[6]ONS!H82/[6]ONS!H$57</f>
        <v>1168.8521252346568</v>
      </c>
      <c r="W322" s="1128">
        <f>W$297*[6]ONS!I82/[6]ONS!I$57</f>
        <v>358.15012980640211</v>
      </c>
      <c r="X322" s="1128">
        <f>X$297*[6]ONS!J82/[6]ONS!J$57</f>
        <v>981.96169866634193</v>
      </c>
      <c r="Y322" s="1120"/>
      <c r="Z322" s="1120"/>
      <c r="AA322" s="1120"/>
      <c r="AB322" s="1120"/>
      <c r="AC322" s="1116"/>
    </row>
    <row r="323" spans="1:29" x14ac:dyDescent="0.35">
      <c r="A323" s="1120">
        <v>2013</v>
      </c>
      <c r="B323" s="1120"/>
      <c r="C323" s="1120"/>
      <c r="D323" s="1120"/>
      <c r="E323" s="1122">
        <v>96.056916666666638</v>
      </c>
      <c r="F323" s="1120"/>
      <c r="G323" s="1120"/>
      <c r="H323" s="1120"/>
      <c r="I323" s="1123">
        <f>[6]ONS!F83</f>
        <v>133.42662934826069</v>
      </c>
      <c r="J323" s="1130"/>
      <c r="K323" s="1120"/>
      <c r="L323" s="1120"/>
      <c r="M323" s="995"/>
      <c r="N323" s="995"/>
      <c r="O323" s="982"/>
      <c r="P323" s="1120"/>
      <c r="Q323" s="1120"/>
      <c r="R323" s="1120"/>
      <c r="S323" s="1120"/>
      <c r="T323" s="1123">
        <f>T$257*[6]ONS!F83/[6]ONS!F$17</f>
        <v>966.48937349065477</v>
      </c>
      <c r="U323" s="1128">
        <f>U$297*[6]ONS!G83/[6]ONS!G$57</f>
        <v>297.87370246143712</v>
      </c>
      <c r="V323" s="1128">
        <f>V$297*[6]ONS!H83/[6]ONS!H$57</f>
        <v>1137.765164994164</v>
      </c>
      <c r="W323" s="1128">
        <f>W$297*[6]ONS!I83/[6]ONS!I$57</f>
        <v>374.91873464682595</v>
      </c>
      <c r="X323" s="1128">
        <f>X$297*[6]ONS!J83/[6]ONS!J$57</f>
        <v>1023.0839753113696</v>
      </c>
      <c r="Y323" s="1120"/>
      <c r="Z323" s="1120"/>
      <c r="AA323" s="1120"/>
      <c r="AB323" s="1120"/>
      <c r="AC323" s="1116"/>
    </row>
    <row r="324" spans="1:29" x14ac:dyDescent="0.35">
      <c r="A324" s="1120">
        <v>2014</v>
      </c>
      <c r="B324" s="1120"/>
      <c r="C324" s="1120"/>
      <c r="D324" s="1120"/>
      <c r="E324" s="1122">
        <v>98.520583333333349</v>
      </c>
      <c r="F324" s="1120"/>
      <c r="G324" s="1120"/>
      <c r="H324" s="1120"/>
      <c r="I324" s="1123">
        <f>[6]ONS!F84</f>
        <v>135.5859375</v>
      </c>
      <c r="J324" s="1130"/>
      <c r="K324" s="1120"/>
      <c r="L324" s="1120"/>
      <c r="M324" s="995"/>
      <c r="N324" s="995"/>
      <c r="O324" s="982"/>
      <c r="P324" s="1120"/>
      <c r="Q324" s="1120"/>
      <c r="R324" s="1120"/>
      <c r="S324" s="1120"/>
      <c r="T324" s="1123">
        <f>T$257*[6]ONS!F84/[6]ONS!F$17</f>
        <v>982.13054192113782</v>
      </c>
      <c r="U324" s="1128">
        <f>U$297*[6]ONS!G84/[6]ONS!G$57</f>
        <v>299.30985260267397</v>
      </c>
      <c r="V324" s="1128">
        <f>V$297*[6]ONS!H84/[6]ONS!H$57</f>
        <v>1013.3720995186546</v>
      </c>
      <c r="W324" s="1128">
        <f>W$297*[6]ONS!I84/[6]ONS!I$57</f>
        <v>383.5543844457863</v>
      </c>
      <c r="X324" s="1128">
        <f>X$297*[6]ONS!J84/[6]ONS!J$57</f>
        <v>1054.839804368019</v>
      </c>
      <c r="Y324" s="1120"/>
      <c r="Z324" s="1120"/>
      <c r="AA324" s="1120"/>
      <c r="AB324" s="1120"/>
      <c r="AC324" s="1116"/>
    </row>
    <row r="325" spans="1:29" x14ac:dyDescent="0.35">
      <c r="A325" s="1120">
        <v>2015</v>
      </c>
      <c r="B325" s="1120"/>
      <c r="C325" s="1120"/>
      <c r="D325" s="1120"/>
      <c r="E325" s="1122">
        <v>99.96</v>
      </c>
      <c r="F325" s="1120"/>
      <c r="G325" s="1120"/>
      <c r="H325" s="1120"/>
      <c r="I325" s="1123">
        <f>[6]ONS!F85</f>
        <v>128.70406189555126</v>
      </c>
      <c r="J325" s="1130"/>
      <c r="K325" s="1120"/>
      <c r="L325" s="1120"/>
      <c r="M325" s="995"/>
      <c r="N325" s="995"/>
      <c r="O325" s="982"/>
      <c r="P325" s="1120"/>
      <c r="Q325" s="1120"/>
      <c r="R325" s="1120"/>
      <c r="S325" s="1120"/>
      <c r="T325" s="1123">
        <f>T$257*[6]ONS!F85/[6]ONS!F$17</f>
        <v>932.28097535505435</v>
      </c>
      <c r="U325" s="1128">
        <f>U$297*[6]ONS!G85/[6]ONS!G$57</f>
        <v>296.96939288389802</v>
      </c>
      <c r="V325" s="1128">
        <f>V$297*[6]ONS!H85/[6]ONS!H$57</f>
        <v>748.6747866887855</v>
      </c>
      <c r="W325" s="1128">
        <f>W$297*[6]ONS!I85/[6]ONS!I$57</f>
        <v>362.54452367072054</v>
      </c>
      <c r="X325" s="1128">
        <f>X$297*[6]ONS!J85/[6]ONS!J$57</f>
        <v>1041.1917453150725</v>
      </c>
      <c r="Y325" s="1120"/>
      <c r="Z325" s="1120"/>
      <c r="AA325" s="1120"/>
      <c r="AB325" s="1120"/>
      <c r="AC325" s="1116"/>
    </row>
    <row r="326" spans="1:29" x14ac:dyDescent="0.35">
      <c r="A326" s="1120">
        <v>2016</v>
      </c>
      <c r="B326" s="1120"/>
      <c r="C326" s="1120"/>
      <c r="D326" s="1120"/>
      <c r="E326" s="1122">
        <v>100.00008333333334</v>
      </c>
      <c r="F326" s="1120"/>
      <c r="G326" s="1120"/>
      <c r="H326" s="1120"/>
      <c r="I326" s="1123">
        <f>[6]ONS!F86</f>
        <v>122.80501710376284</v>
      </c>
      <c r="J326" s="1130"/>
      <c r="K326" s="1120"/>
      <c r="L326" s="1120"/>
      <c r="M326" s="995"/>
      <c r="N326" s="995"/>
      <c r="O326" s="982"/>
      <c r="P326" s="1120"/>
      <c r="Q326" s="1120"/>
      <c r="R326" s="1120"/>
      <c r="S326" s="1120"/>
      <c r="T326" s="1123">
        <f>T$257*[6]ONS!F86/[6]ONS!F$17</f>
        <v>889.55064383983915</v>
      </c>
      <c r="U326" s="1128">
        <f>U$297*[6]ONS!G86/[6]ONS!G$57</f>
        <v>291.23269580495833</v>
      </c>
      <c r="V326" s="1128">
        <f>V$297*[6]ONS!H86/[6]ONS!H$57</f>
        <v>679.29142654404984</v>
      </c>
      <c r="W326" s="1128">
        <f>W$297*[6]ONS!I86/[6]ONS!I$57</f>
        <v>334.88796843395079</v>
      </c>
      <c r="X326" s="1128">
        <f>X$297*[6]ONS!J86/[6]ONS!J$57</f>
        <v>1020.6173300492571</v>
      </c>
      <c r="Y326" s="1120"/>
      <c r="Z326" s="1120"/>
      <c r="AA326" s="1120"/>
      <c r="AB326" s="1120"/>
      <c r="AC326" s="1116"/>
    </row>
    <row r="327" spans="1:29" x14ac:dyDescent="0.35">
      <c r="A327" s="1120">
        <v>2017</v>
      </c>
      <c r="B327" s="1120"/>
      <c r="C327" s="1120"/>
      <c r="D327" s="1120"/>
      <c r="E327" s="1122">
        <v>100.65975</v>
      </c>
      <c r="F327" s="1120"/>
      <c r="G327" s="1120"/>
      <c r="H327" s="1120"/>
      <c r="I327" s="1123">
        <f>[6]ONS!F87</f>
        <v>123.63302752293576</v>
      </c>
      <c r="J327" s="1130"/>
      <c r="K327" s="1120"/>
      <c r="L327" s="1120"/>
      <c r="M327" s="995"/>
      <c r="N327" s="995"/>
      <c r="O327" s="982"/>
      <c r="P327" s="1120"/>
      <c r="Q327" s="1120"/>
      <c r="R327" s="1120"/>
      <c r="S327" s="1120"/>
      <c r="T327" s="1123">
        <f>T$257*[6]ONS!F87/[6]ONS!F$17</f>
        <v>895.5484216086337</v>
      </c>
      <c r="U327" s="1128">
        <f>U$297*[6]ONS!G87/[6]ONS!G$57</f>
        <v>287.58308047372026</v>
      </c>
      <c r="V327" s="1128">
        <f>V$297*[6]ONS!H87/[6]ONS!H$57</f>
        <v>803.93547119360562</v>
      </c>
      <c r="W327" s="1128">
        <f>W$297*[6]ONS!I87/[6]ONS!I$57</f>
        <v>319.16496392772012</v>
      </c>
      <c r="X327" s="1128">
        <f>X$297*[6]ONS!J87/[6]ONS!J$57</f>
        <v>1051.7804467800809</v>
      </c>
      <c r="Y327" s="1120"/>
      <c r="Z327" s="1120"/>
      <c r="AA327" s="1120"/>
      <c r="AB327" s="1120"/>
      <c r="AC327" s="1116"/>
    </row>
    <row r="328" spans="1:29" x14ac:dyDescent="0.35">
      <c r="A328" s="1120">
        <v>2018</v>
      </c>
      <c r="B328" s="1120"/>
      <c r="C328" s="1120"/>
      <c r="D328" s="1120"/>
      <c r="E328" s="1132">
        <f>E$327*I328/I$327</f>
        <v>104.25920643565205</v>
      </c>
      <c r="F328" s="1120"/>
      <c r="G328" s="1120"/>
      <c r="H328" s="1120"/>
      <c r="I328" s="1123">
        <f>[6]ONS!F88</f>
        <v>128.05397727272728</v>
      </c>
      <c r="J328" s="1130"/>
      <c r="K328" s="1120"/>
      <c r="L328" s="1120"/>
      <c r="M328" s="995"/>
      <c r="N328" s="995"/>
      <c r="O328" s="982"/>
      <c r="P328" s="1120"/>
      <c r="Q328" s="1120"/>
      <c r="R328" s="1120"/>
      <c r="S328" s="1120"/>
      <c r="T328" s="1123">
        <f>T$257*[6]ONS!F88/[6]ONS!F$17</f>
        <v>927.5720212062605</v>
      </c>
      <c r="U328" s="1128">
        <f>U$297*[6]ONS!G88/[6]ONS!G$57</f>
        <v>283.20771344597046</v>
      </c>
      <c r="V328" s="1128">
        <f>V$297*[6]ONS!H88/[6]ONS!H$57</f>
        <v>949.82280399927822</v>
      </c>
      <c r="W328" s="1128">
        <f>W$297*[6]ONS!I88/[6]ONS!I$57</f>
        <v>320.25746974130027</v>
      </c>
      <c r="X328" s="1128">
        <f>X$297*[6]ONS!J88/[6]ONS!J$57</f>
        <v>1105.7452134807672</v>
      </c>
      <c r="Y328" s="1120"/>
      <c r="Z328" s="1120"/>
      <c r="AA328" s="1120"/>
      <c r="AB328" s="1120"/>
      <c r="AC328" s="1116"/>
    </row>
    <row r="329" spans="1:29" x14ac:dyDescent="0.35">
      <c r="A329" s="1120">
        <v>2019</v>
      </c>
      <c r="B329" s="1120"/>
      <c r="C329" s="1120"/>
      <c r="D329" s="1120"/>
      <c r="E329" s="1132">
        <f>E$327*I329/I$327</f>
        <v>105.21212427047901</v>
      </c>
      <c r="F329" s="1120"/>
      <c r="G329" s="1120"/>
      <c r="H329" s="1120"/>
      <c r="I329" s="1123">
        <f>[6]ONS!F89</f>
        <v>129.22437673130193</v>
      </c>
      <c r="J329" s="1130"/>
      <c r="K329" s="1120"/>
      <c r="L329" s="1120"/>
      <c r="M329" s="995"/>
      <c r="N329" s="995"/>
      <c r="O329" s="982"/>
      <c r="P329" s="1120"/>
      <c r="Q329" s="1120"/>
      <c r="R329" s="1120"/>
      <c r="S329" s="1120"/>
      <c r="T329" s="1123">
        <f>T$257*[6]ONS!F89/[6]ONS!F$17</f>
        <v>936.04992883966929</v>
      </c>
      <c r="U329" s="1128">
        <f>U$297*[6]ONS!G89/[6]ONS!G$57</f>
        <v>286.23394478940924</v>
      </c>
      <c r="V329" s="1128">
        <f>V$297*[6]ONS!H89/[6]ONS!H$57</f>
        <v>916.65342716418661</v>
      </c>
      <c r="W329" s="1128">
        <f>W$297*[6]ONS!I89/[6]ONS!I$57</f>
        <v>310.47657109801156</v>
      </c>
      <c r="X329" s="1128">
        <f>X$297*[6]ONS!J89/[6]ONS!J$57</f>
        <v>1156.2265342767646</v>
      </c>
      <c r="Y329" s="1120"/>
      <c r="Z329" s="1120"/>
      <c r="AA329" s="1120"/>
      <c r="AB329" s="1120"/>
      <c r="AC329" s="1116"/>
    </row>
    <row r="330" spans="1:29" x14ac:dyDescent="0.35">
      <c r="A330" s="1120">
        <v>2020</v>
      </c>
      <c r="B330" s="1120"/>
      <c r="C330" s="1120"/>
      <c r="D330" s="1120"/>
      <c r="E330" s="1120"/>
      <c r="F330" s="1120"/>
      <c r="G330" s="1120"/>
      <c r="H330" s="1120"/>
      <c r="I330" s="1120"/>
      <c r="J330" s="1120"/>
      <c r="K330" s="1120"/>
      <c r="L330" s="1120"/>
      <c r="M330" s="995"/>
      <c r="N330" s="995"/>
      <c r="O330" s="982"/>
      <c r="P330" s="1120"/>
      <c r="Q330" s="1120"/>
      <c r="R330" s="1120"/>
      <c r="S330" s="1120"/>
      <c r="T330" s="1120"/>
      <c r="U330" s="1120"/>
      <c r="V330" s="1120"/>
      <c r="W330" s="1120"/>
      <c r="X330" s="1120"/>
      <c r="Y330" s="1120"/>
      <c r="Z330" s="1120"/>
      <c r="AA330" s="1120"/>
      <c r="AB330" s="1120"/>
      <c r="AC330" s="1116"/>
    </row>
    <row r="331" spans="1:29" x14ac:dyDescent="0.35">
      <c r="A331" s="1116"/>
      <c r="B331" s="1116"/>
      <c r="C331" s="1116"/>
      <c r="D331" s="1116"/>
      <c r="E331" s="1116"/>
      <c r="F331" s="1116"/>
      <c r="G331" s="1116"/>
      <c r="H331" s="1116"/>
      <c r="I331" s="1116"/>
      <c r="J331" s="1116"/>
      <c r="K331" s="1116"/>
      <c r="L331" s="1116"/>
      <c r="M331" s="1116"/>
      <c r="N331" s="1116"/>
      <c r="O331" s="1116"/>
      <c r="P331" s="1116"/>
      <c r="Q331" s="1116"/>
      <c r="R331" s="1116"/>
      <c r="S331" s="1116"/>
      <c r="T331" s="1116"/>
      <c r="U331" s="1116"/>
      <c r="V331" s="1116"/>
      <c r="W331" s="1116"/>
      <c r="X331" s="1116"/>
      <c r="Y331" s="1116"/>
      <c r="Z331" s="1116"/>
      <c r="AA331" s="1116"/>
      <c r="AB331" s="1116"/>
      <c r="AC331" s="1116"/>
    </row>
    <row r="332" spans="1:29" x14ac:dyDescent="0.35">
      <c r="A332" s="1116"/>
      <c r="B332" s="1116"/>
      <c r="C332" s="1116"/>
      <c r="D332" s="1116"/>
      <c r="E332" s="1116"/>
      <c r="F332" s="1116"/>
      <c r="G332" s="1116"/>
      <c r="H332" s="1116"/>
      <c r="I332" s="1116"/>
      <c r="J332" s="1116"/>
      <c r="K332" s="1116"/>
      <c r="L332" s="1116"/>
      <c r="M332" s="1116"/>
      <c r="N332" s="1116"/>
      <c r="O332" s="1116"/>
      <c r="P332" s="1116"/>
      <c r="Q332" s="1116"/>
      <c r="R332" s="1116"/>
      <c r="S332" s="1116"/>
      <c r="T332" s="1116"/>
      <c r="U332" s="1116"/>
      <c r="V332" s="1116"/>
      <c r="W332" s="1116"/>
      <c r="X332" s="1116"/>
      <c r="Y332" s="1116"/>
      <c r="Z332" s="1116"/>
      <c r="AA332" s="1116"/>
      <c r="AB332" s="1116"/>
      <c r="AC332" s="1116"/>
    </row>
    <row r="333" spans="1:29" x14ac:dyDescent="0.35">
      <c r="A333" s="1116"/>
      <c r="B333" s="1116"/>
      <c r="C333" s="1116"/>
      <c r="D333" s="1116"/>
      <c r="E333" s="1116"/>
      <c r="F333" s="1116"/>
      <c r="G333" s="1116"/>
      <c r="H333" s="1116"/>
      <c r="I333" s="1116"/>
      <c r="J333" s="1116"/>
      <c r="K333" s="1116"/>
      <c r="L333" s="1116"/>
      <c r="M333" s="1116"/>
      <c r="N333" s="1116"/>
      <c r="O333" s="1116"/>
      <c r="P333" s="1116"/>
      <c r="Q333" s="1116"/>
      <c r="R333" s="1116"/>
      <c r="S333" s="1116"/>
      <c r="T333" s="1116"/>
      <c r="U333" s="1116"/>
      <c r="V333" s="1116"/>
      <c r="W333" s="1116"/>
      <c r="X333" s="1116"/>
      <c r="Y333" s="1116"/>
      <c r="Z333" s="1116"/>
      <c r="AA333" s="1116"/>
      <c r="AB333" s="1116"/>
      <c r="AC333" s="1116"/>
    </row>
    <row r="334" spans="1:29" x14ac:dyDescent="0.35">
      <c r="A334" s="1116"/>
      <c r="B334" s="1116"/>
      <c r="C334" s="1116"/>
      <c r="D334" s="1116"/>
      <c r="E334" s="1116"/>
      <c r="F334" s="1116"/>
      <c r="G334" s="1116"/>
      <c r="H334" s="1116"/>
      <c r="I334" s="1116"/>
      <c r="J334" s="1116"/>
      <c r="K334" s="1116"/>
      <c r="L334" s="1116"/>
      <c r="M334" s="1116"/>
      <c r="N334" s="1116"/>
      <c r="O334" s="1116"/>
      <c r="P334" s="1116"/>
      <c r="Q334" s="1116"/>
      <c r="R334" s="1116"/>
      <c r="S334" s="1116"/>
      <c r="T334" s="1116"/>
      <c r="U334" s="1116"/>
      <c r="V334" s="1116"/>
      <c r="W334" s="1116"/>
      <c r="X334" s="1116"/>
      <c r="Y334" s="1116"/>
      <c r="Z334" s="1116"/>
      <c r="AA334" s="1116"/>
      <c r="AB334" s="1116"/>
      <c r="AC334" s="1116"/>
    </row>
    <row r="335" spans="1:29" x14ac:dyDescent="0.35">
      <c r="A335" s="1116"/>
      <c r="B335" s="1116"/>
      <c r="C335" s="1116"/>
      <c r="D335" s="1116"/>
      <c r="E335" s="1116"/>
      <c r="F335" s="1116"/>
      <c r="G335" s="1116"/>
      <c r="H335" s="1116"/>
      <c r="I335" s="1116"/>
      <c r="J335" s="1116"/>
      <c r="K335" s="1116"/>
      <c r="L335" s="1116"/>
      <c r="M335" s="1116"/>
      <c r="N335" s="1116"/>
      <c r="O335" s="1116"/>
      <c r="P335" s="1116"/>
      <c r="Q335" s="1116"/>
      <c r="R335" s="1116"/>
      <c r="S335" s="1116"/>
      <c r="T335" s="1116"/>
      <c r="U335" s="1116"/>
      <c r="V335" s="1116"/>
      <c r="W335" s="1116"/>
      <c r="X335" s="1116"/>
      <c r="Y335" s="1116"/>
      <c r="Z335" s="1116"/>
      <c r="AA335" s="1116"/>
      <c r="AB335" s="1116"/>
      <c r="AC335" s="1116"/>
    </row>
    <row r="336" spans="1:29" x14ac:dyDescent="0.35">
      <c r="A336" s="1116"/>
      <c r="B336" s="1116"/>
      <c r="C336" s="1116"/>
      <c r="D336" s="1116"/>
      <c r="E336" s="1116"/>
      <c r="F336" s="1116"/>
      <c r="G336" s="1116"/>
      <c r="H336" s="1116"/>
      <c r="I336" s="1116"/>
      <c r="J336" s="1116"/>
      <c r="K336" s="1116"/>
      <c r="L336" s="1116"/>
      <c r="M336" s="1116"/>
      <c r="N336" s="1116"/>
      <c r="O336" s="1116"/>
      <c r="P336" s="1116"/>
      <c r="Q336" s="1116"/>
      <c r="R336" s="1116"/>
      <c r="S336" s="1116"/>
      <c r="T336" s="1116"/>
      <c r="U336" s="1116"/>
      <c r="V336" s="1116"/>
      <c r="W336" s="1116"/>
      <c r="X336" s="1116"/>
      <c r="Y336" s="1116"/>
      <c r="Z336" s="1116"/>
      <c r="AA336" s="1116"/>
      <c r="AB336" s="1116"/>
      <c r="AC336" s="1116"/>
    </row>
    <row r="337" spans="1:29" x14ac:dyDescent="0.35">
      <c r="A337" s="1116"/>
      <c r="B337" s="1116"/>
      <c r="C337" s="1116"/>
      <c r="D337" s="1116"/>
      <c r="E337" s="1116"/>
      <c r="F337" s="1116"/>
      <c r="G337" s="1116"/>
      <c r="H337" s="1116"/>
      <c r="I337" s="1116"/>
      <c r="J337" s="1116"/>
      <c r="K337" s="1116"/>
      <c r="L337" s="1116"/>
      <c r="M337" s="1116"/>
      <c r="N337" s="1116"/>
      <c r="O337" s="1116"/>
      <c r="P337" s="1116"/>
      <c r="Q337" s="1116"/>
      <c r="R337" s="1116"/>
      <c r="S337" s="1116"/>
      <c r="T337" s="1116"/>
      <c r="U337" s="1116"/>
      <c r="V337" s="1116"/>
      <c r="W337" s="1116"/>
      <c r="X337" s="1116"/>
      <c r="Y337" s="1116"/>
      <c r="Z337" s="1116"/>
      <c r="AA337" s="1116"/>
      <c r="AB337" s="1116"/>
      <c r="AC337" s="1116"/>
    </row>
    <row r="338" spans="1:29" x14ac:dyDescent="0.35">
      <c r="A338" s="1116"/>
      <c r="B338" s="1116"/>
      <c r="C338" s="1116"/>
      <c r="D338" s="1116"/>
      <c r="E338" s="1116"/>
      <c r="F338" s="1116"/>
      <c r="G338" s="1116"/>
      <c r="H338" s="1116"/>
      <c r="I338" s="1116"/>
      <c r="J338" s="1116"/>
      <c r="K338" s="1116"/>
      <c r="L338" s="1116"/>
      <c r="M338" s="1116"/>
      <c r="N338" s="1116"/>
      <c r="O338" s="1116"/>
      <c r="P338" s="1116"/>
      <c r="Q338" s="1116"/>
      <c r="R338" s="1116"/>
      <c r="S338" s="1116"/>
      <c r="T338" s="1116"/>
      <c r="U338" s="1116"/>
      <c r="V338" s="1116"/>
      <c r="W338" s="1116"/>
      <c r="X338" s="1116"/>
      <c r="Y338" s="1116"/>
      <c r="Z338" s="1116"/>
      <c r="AA338" s="1116"/>
      <c r="AB338" s="1116"/>
      <c r="AC338" s="1116"/>
    </row>
    <row r="339" spans="1:29" x14ac:dyDescent="0.35">
      <c r="A339" s="1116"/>
      <c r="B339" s="1116"/>
      <c r="C339" s="1116"/>
      <c r="D339" s="1116"/>
      <c r="E339" s="1116"/>
      <c r="F339" s="1116"/>
      <c r="G339" s="1116"/>
      <c r="H339" s="1116"/>
      <c r="I339" s="1116"/>
      <c r="J339" s="1116"/>
      <c r="K339" s="1116"/>
      <c r="L339" s="1116"/>
      <c r="M339" s="1116"/>
      <c r="N339" s="1116"/>
      <c r="O339" s="1116"/>
      <c r="P339" s="1116"/>
      <c r="Q339" s="1116"/>
      <c r="R339" s="1116"/>
      <c r="S339" s="1116"/>
      <c r="T339" s="1116"/>
      <c r="U339" s="1116"/>
      <c r="V339" s="1116"/>
      <c r="W339" s="1116"/>
      <c r="X339" s="1116"/>
      <c r="Y339" s="1116"/>
      <c r="Z339" s="1116"/>
      <c r="AA339" s="1116"/>
      <c r="AB339" s="1116"/>
      <c r="AC339" s="1116"/>
    </row>
    <row r="340" spans="1:29" x14ac:dyDescent="0.35">
      <c r="A340" s="1116"/>
      <c r="B340" s="1116"/>
      <c r="C340" s="1116"/>
      <c r="D340" s="1116"/>
      <c r="E340" s="1116"/>
      <c r="F340" s="1116"/>
      <c r="G340" s="1116"/>
      <c r="H340" s="1116"/>
      <c r="I340" s="1116"/>
      <c r="J340" s="1116"/>
      <c r="K340" s="1116"/>
      <c r="L340" s="1116"/>
      <c r="M340" s="1116"/>
      <c r="N340" s="1116"/>
      <c r="O340" s="1116"/>
      <c r="P340" s="1116"/>
      <c r="Q340" s="1116"/>
      <c r="R340" s="1116"/>
      <c r="S340" s="1116"/>
      <c r="T340" s="1116"/>
      <c r="U340" s="1116"/>
      <c r="V340" s="1116"/>
      <c r="W340" s="1116"/>
      <c r="X340" s="1116"/>
      <c r="Y340" s="1116"/>
      <c r="Z340" s="1116"/>
      <c r="AA340" s="1116"/>
      <c r="AB340" s="1116"/>
      <c r="AC340" s="1116"/>
    </row>
    <row r="341" spans="1:29" x14ac:dyDescent="0.35">
      <c r="A341" s="1116"/>
      <c r="B341" s="1116"/>
      <c r="C341" s="1116"/>
      <c r="D341" s="1116"/>
      <c r="E341" s="1116"/>
      <c r="F341" s="1116"/>
      <c r="G341" s="1116"/>
      <c r="H341" s="1116"/>
      <c r="I341" s="1116"/>
      <c r="J341" s="1116"/>
      <c r="K341" s="1116"/>
      <c r="L341" s="1116"/>
      <c r="M341" s="1116"/>
      <c r="N341" s="1116"/>
      <c r="O341" s="1116"/>
      <c r="P341" s="1116"/>
      <c r="Q341" s="1116"/>
      <c r="R341" s="1116"/>
      <c r="S341" s="1116"/>
      <c r="T341" s="1116"/>
      <c r="U341" s="1116"/>
      <c r="V341" s="1116"/>
      <c r="W341" s="1116"/>
      <c r="X341" s="1116"/>
      <c r="Y341" s="1116"/>
      <c r="Z341" s="1116"/>
      <c r="AA341" s="1116"/>
      <c r="AB341" s="1116"/>
      <c r="AC341" s="1116"/>
    </row>
    <row r="342" spans="1:29" x14ac:dyDescent="0.35">
      <c r="A342" s="1116"/>
      <c r="B342" s="1116"/>
      <c r="C342" s="1116"/>
      <c r="D342" s="1116"/>
      <c r="E342" s="1116"/>
      <c r="F342" s="1116"/>
      <c r="G342" s="1116"/>
      <c r="H342" s="1116"/>
      <c r="I342" s="1116"/>
      <c r="J342" s="1116"/>
      <c r="K342" s="1116"/>
      <c r="L342" s="1116"/>
      <c r="M342" s="1116"/>
      <c r="N342" s="1116"/>
      <c r="O342" s="1116"/>
      <c r="P342" s="1116"/>
      <c r="Q342" s="1116"/>
      <c r="R342" s="1116"/>
      <c r="S342" s="1116"/>
      <c r="T342" s="1116"/>
      <c r="U342" s="1116"/>
      <c r="V342" s="1116"/>
      <c r="W342" s="1116"/>
      <c r="X342" s="1116"/>
      <c r="Y342" s="1116"/>
      <c r="Z342" s="1116"/>
      <c r="AA342" s="1116"/>
      <c r="AB342" s="1116"/>
      <c r="AC342" s="1116"/>
    </row>
    <row r="343" spans="1:29" x14ac:dyDescent="0.35">
      <c r="A343" s="1116"/>
      <c r="B343" s="1116"/>
      <c r="C343" s="1116"/>
      <c r="D343" s="1116"/>
      <c r="E343" s="1116"/>
      <c r="F343" s="1116"/>
      <c r="G343" s="1116"/>
      <c r="H343" s="1116"/>
      <c r="I343" s="1116"/>
      <c r="J343" s="1116"/>
      <c r="K343" s="1116"/>
      <c r="L343" s="1116"/>
      <c r="M343" s="1116"/>
      <c r="N343" s="1116"/>
      <c r="O343" s="1116"/>
      <c r="P343" s="1116"/>
      <c r="Q343" s="1116"/>
      <c r="R343" s="1116"/>
      <c r="S343" s="1116"/>
      <c r="T343" s="1116"/>
      <c r="U343" s="1116"/>
      <c r="V343" s="1116"/>
      <c r="W343" s="1116"/>
      <c r="X343" s="1116"/>
      <c r="Y343" s="1116"/>
      <c r="Z343" s="1116"/>
      <c r="AA343" s="1116"/>
      <c r="AB343" s="1116"/>
      <c r="AC343" s="1116"/>
    </row>
    <row r="344" spans="1:29" x14ac:dyDescent="0.35">
      <c r="A344" s="1116"/>
      <c r="B344" s="1116"/>
      <c r="C344" s="1116"/>
      <c r="D344" s="1116"/>
      <c r="E344" s="1116"/>
      <c r="F344" s="1116"/>
      <c r="G344" s="1116"/>
      <c r="H344" s="1116"/>
      <c r="I344" s="1116"/>
      <c r="J344" s="1116"/>
      <c r="K344" s="1116"/>
      <c r="L344" s="1116"/>
      <c r="M344" s="1116"/>
      <c r="N344" s="1116"/>
      <c r="O344" s="1116"/>
      <c r="P344" s="1116"/>
      <c r="Q344" s="1116"/>
      <c r="R344" s="1116"/>
      <c r="S344" s="1116"/>
      <c r="T344" s="1116"/>
      <c r="U344" s="1116"/>
      <c r="V344" s="1116"/>
      <c r="W344" s="1116"/>
      <c r="X344" s="1116"/>
      <c r="Y344" s="1116"/>
      <c r="Z344" s="1116"/>
      <c r="AA344" s="1116"/>
      <c r="AB344" s="1116"/>
      <c r="AC344" s="1116"/>
    </row>
    <row r="345" spans="1:29" x14ac:dyDescent="0.35">
      <c r="A345" s="1116"/>
      <c r="B345" s="1116"/>
      <c r="C345" s="1116"/>
      <c r="D345" s="1116"/>
      <c r="E345" s="1116"/>
      <c r="F345" s="1116"/>
      <c r="G345" s="1116"/>
      <c r="H345" s="1116"/>
      <c r="I345" s="1116"/>
      <c r="J345" s="1116"/>
      <c r="K345" s="1116"/>
      <c r="L345" s="1116"/>
      <c r="M345" s="1116"/>
      <c r="N345" s="1116"/>
      <c r="O345" s="1116"/>
      <c r="P345" s="1116"/>
      <c r="Q345" s="1116"/>
      <c r="R345" s="1116"/>
      <c r="S345" s="1116"/>
      <c r="T345" s="1116"/>
      <c r="U345" s="1116"/>
      <c r="V345" s="1116"/>
      <c r="W345" s="1116"/>
      <c r="X345" s="1116"/>
      <c r="Y345" s="1116"/>
      <c r="Z345" s="1116"/>
      <c r="AA345" s="1116"/>
      <c r="AB345" s="1116"/>
      <c r="AC345" s="1116"/>
    </row>
    <row r="346" spans="1:29" x14ac:dyDescent="0.35">
      <c r="A346" s="1116"/>
      <c r="B346" s="1116"/>
      <c r="C346" s="1116"/>
      <c r="D346" s="1116"/>
      <c r="E346" s="1116"/>
      <c r="F346" s="1116"/>
      <c r="G346" s="1116"/>
      <c r="H346" s="1116"/>
      <c r="I346" s="1116"/>
      <c r="J346" s="1116"/>
      <c r="K346" s="1116"/>
      <c r="L346" s="1116"/>
      <c r="M346" s="1116"/>
      <c r="N346" s="1116"/>
      <c r="O346" s="1116"/>
      <c r="P346" s="1116"/>
      <c r="Q346" s="1116"/>
      <c r="R346" s="1116"/>
      <c r="S346" s="1116"/>
      <c r="T346" s="1116"/>
      <c r="U346" s="1116"/>
      <c r="V346" s="1116"/>
      <c r="W346" s="1116"/>
      <c r="X346" s="1116"/>
      <c r="Y346" s="1116"/>
      <c r="Z346" s="1116"/>
      <c r="AA346" s="1116"/>
      <c r="AB346" s="1116"/>
      <c r="AC346" s="1116"/>
    </row>
    <row r="347" spans="1:29" x14ac:dyDescent="0.35">
      <c r="A347" s="1116"/>
      <c r="B347" s="1116"/>
      <c r="C347" s="1116"/>
      <c r="D347" s="1116"/>
      <c r="E347" s="1116"/>
      <c r="F347" s="1116"/>
      <c r="G347" s="1116"/>
      <c r="H347" s="1116"/>
      <c r="I347" s="1116"/>
      <c r="J347" s="1116"/>
      <c r="K347" s="1116"/>
      <c r="L347" s="1116"/>
      <c r="M347" s="1116"/>
      <c r="N347" s="1116"/>
      <c r="O347" s="1116"/>
      <c r="P347" s="1116"/>
      <c r="Q347" s="1116"/>
      <c r="R347" s="1116"/>
      <c r="S347" s="1116"/>
      <c r="T347" s="1116"/>
      <c r="U347" s="1116"/>
      <c r="V347" s="1116"/>
      <c r="W347" s="1116"/>
      <c r="X347" s="1116"/>
      <c r="Y347" s="1116"/>
      <c r="Z347" s="1116"/>
      <c r="AA347" s="1116"/>
      <c r="AB347" s="1116"/>
      <c r="AC347" s="1116"/>
    </row>
    <row r="348" spans="1:29" x14ac:dyDescent="0.35">
      <c r="A348" s="1116"/>
      <c r="B348" s="1116"/>
      <c r="C348" s="1116"/>
      <c r="D348" s="1116"/>
      <c r="E348" s="1116"/>
      <c r="F348" s="1116"/>
      <c r="G348" s="1116"/>
      <c r="H348" s="1116"/>
      <c r="I348" s="1116"/>
      <c r="J348" s="1116"/>
      <c r="K348" s="1116"/>
      <c r="L348" s="1116"/>
      <c r="M348" s="1116"/>
      <c r="N348" s="1116"/>
      <c r="O348" s="1116"/>
      <c r="P348" s="1116"/>
      <c r="Q348" s="1116"/>
      <c r="R348" s="1116"/>
      <c r="S348" s="1116"/>
      <c r="T348" s="1116"/>
      <c r="U348" s="1116"/>
      <c r="V348" s="1116"/>
      <c r="W348" s="1116"/>
      <c r="X348" s="1116"/>
      <c r="Y348" s="1116"/>
      <c r="Z348" s="1116"/>
      <c r="AA348" s="1116"/>
      <c r="AB348" s="1116"/>
      <c r="AC348" s="1116"/>
    </row>
    <row r="349" spans="1:29" x14ac:dyDescent="0.35">
      <c r="A349" s="1116"/>
      <c r="B349" s="1116"/>
      <c r="C349" s="1116"/>
      <c r="D349" s="1116"/>
      <c r="E349" s="1116"/>
      <c r="F349" s="1116"/>
      <c r="G349" s="1116"/>
      <c r="H349" s="1116"/>
      <c r="I349" s="1116"/>
      <c r="J349" s="1116"/>
      <c r="K349" s="1116"/>
      <c r="L349" s="1116"/>
      <c r="M349" s="1116"/>
      <c r="N349" s="1116"/>
      <c r="O349" s="1116"/>
      <c r="P349" s="1116"/>
      <c r="Q349" s="1116"/>
      <c r="R349" s="1116"/>
      <c r="S349" s="1116"/>
      <c r="T349" s="1116"/>
      <c r="U349" s="1116"/>
      <c r="V349" s="1116"/>
      <c r="W349" s="1116"/>
      <c r="X349" s="1116"/>
      <c r="Y349" s="1116"/>
      <c r="Z349" s="1116"/>
      <c r="AA349" s="1116"/>
      <c r="AB349" s="1116"/>
      <c r="AC349" s="1116"/>
    </row>
    <row r="350" spans="1:29" x14ac:dyDescent="0.35">
      <c r="A350" s="1116"/>
      <c r="B350" s="1116"/>
      <c r="C350" s="1116"/>
      <c r="D350" s="1116"/>
      <c r="E350" s="1116"/>
      <c r="F350" s="1116"/>
      <c r="G350" s="1116"/>
      <c r="H350" s="1116"/>
      <c r="I350" s="1116"/>
      <c r="J350" s="1116"/>
      <c r="K350" s="1116"/>
      <c r="L350" s="1116"/>
      <c r="M350" s="1116"/>
      <c r="N350" s="1116"/>
      <c r="O350" s="1116"/>
      <c r="P350" s="1116"/>
      <c r="Q350" s="1116"/>
      <c r="R350" s="1116"/>
      <c r="S350" s="1116"/>
      <c r="T350" s="1116"/>
      <c r="U350" s="1116"/>
      <c r="V350" s="1116"/>
      <c r="W350" s="1116"/>
      <c r="X350" s="1116"/>
      <c r="Y350" s="1116"/>
      <c r="Z350" s="1116"/>
      <c r="AA350" s="1116"/>
      <c r="AB350" s="1116"/>
      <c r="AC350" s="1116"/>
    </row>
    <row r="351" spans="1:29" x14ac:dyDescent="0.35">
      <c r="A351" s="1116"/>
      <c r="B351" s="1116"/>
      <c r="C351" s="1116"/>
      <c r="D351" s="1116"/>
      <c r="E351" s="1116"/>
      <c r="F351" s="1116"/>
      <c r="G351" s="1116"/>
      <c r="H351" s="1116"/>
      <c r="I351" s="1116"/>
      <c r="J351" s="1116"/>
      <c r="K351" s="1116"/>
      <c r="L351" s="1116"/>
      <c r="M351" s="1116"/>
      <c r="N351" s="1116"/>
      <c r="O351" s="1116"/>
      <c r="P351" s="1116"/>
      <c r="Q351" s="1116"/>
      <c r="R351" s="1116"/>
      <c r="S351" s="1116"/>
      <c r="T351" s="1116"/>
      <c r="U351" s="1116"/>
      <c r="V351" s="1116"/>
      <c r="W351" s="1116"/>
      <c r="X351" s="1116"/>
      <c r="Y351" s="1116"/>
      <c r="Z351" s="1116"/>
      <c r="AA351" s="1116"/>
      <c r="AB351" s="1116"/>
      <c r="AC351" s="1116"/>
    </row>
    <row r="352" spans="1:29" x14ac:dyDescent="0.35">
      <c r="A352" s="1116"/>
      <c r="B352" s="1116"/>
      <c r="C352" s="1116"/>
      <c r="D352" s="1116"/>
      <c r="E352" s="1116"/>
      <c r="F352" s="1116"/>
      <c r="G352" s="1116"/>
      <c r="H352" s="1116"/>
      <c r="I352" s="1116"/>
      <c r="J352" s="1116"/>
      <c r="K352" s="1116"/>
      <c r="L352" s="1116"/>
      <c r="M352" s="1116"/>
      <c r="N352" s="1116"/>
      <c r="O352" s="1116"/>
      <c r="P352" s="1116"/>
      <c r="Q352" s="1116"/>
      <c r="R352" s="1116"/>
      <c r="S352" s="1116"/>
      <c r="T352" s="1116"/>
      <c r="U352" s="1116"/>
      <c r="V352" s="1116"/>
      <c r="W352" s="1116"/>
      <c r="X352" s="1116"/>
      <c r="Y352" s="1116"/>
      <c r="Z352" s="1116"/>
      <c r="AA352" s="1116"/>
      <c r="AB352" s="1116"/>
      <c r="AC352" s="1116"/>
    </row>
    <row r="353" spans="1:29" x14ac:dyDescent="0.35">
      <c r="A353" s="1116"/>
      <c r="B353" s="1116"/>
      <c r="C353" s="1116"/>
      <c r="D353" s="1116"/>
      <c r="E353" s="1116"/>
      <c r="F353" s="1116"/>
      <c r="G353" s="1116"/>
      <c r="H353" s="1116"/>
      <c r="I353" s="1116"/>
      <c r="J353" s="1116"/>
      <c r="K353" s="1116"/>
      <c r="L353" s="1116"/>
      <c r="M353" s="1116"/>
      <c r="N353" s="1116"/>
      <c r="O353" s="1116"/>
      <c r="P353" s="1116"/>
      <c r="Q353" s="1116"/>
      <c r="R353" s="1116"/>
      <c r="S353" s="1116"/>
      <c r="T353" s="1116"/>
      <c r="U353" s="1116"/>
      <c r="V353" s="1116"/>
      <c r="W353" s="1116"/>
      <c r="X353" s="1116"/>
      <c r="Y353" s="1116"/>
      <c r="Z353" s="1116"/>
      <c r="AA353" s="1116"/>
      <c r="AB353" s="1116"/>
      <c r="AC353" s="1116"/>
    </row>
    <row r="354" spans="1:29" x14ac:dyDescent="0.35">
      <c r="A354" s="1116"/>
      <c r="B354" s="1116"/>
      <c r="C354" s="1116"/>
      <c r="D354" s="1116"/>
      <c r="E354" s="1116"/>
      <c r="F354" s="1116"/>
      <c r="G354" s="1116"/>
      <c r="H354" s="1116"/>
      <c r="I354" s="1116"/>
      <c r="J354" s="1116"/>
      <c r="K354" s="1116"/>
      <c r="L354" s="1116"/>
      <c r="M354" s="1116"/>
      <c r="N354" s="1116"/>
      <c r="O354" s="1116"/>
      <c r="P354" s="1116"/>
      <c r="Q354" s="1116"/>
      <c r="R354" s="1116"/>
      <c r="S354" s="1116"/>
      <c r="T354" s="1116"/>
      <c r="U354" s="1116"/>
      <c r="V354" s="1116"/>
      <c r="W354" s="1116"/>
      <c r="X354" s="1116"/>
      <c r="Y354" s="1116"/>
      <c r="Z354" s="1116"/>
      <c r="AA354" s="1116"/>
      <c r="AB354" s="1116"/>
      <c r="AC354" s="1116"/>
    </row>
    <row r="355" spans="1:29" x14ac:dyDescent="0.35">
      <c r="A355" s="1116"/>
      <c r="B355" s="1116"/>
      <c r="C355" s="1116"/>
      <c r="D355" s="1116"/>
      <c r="E355" s="1116"/>
      <c r="F355" s="1116"/>
      <c r="G355" s="1116"/>
      <c r="H355" s="1116"/>
      <c r="I355" s="1116"/>
      <c r="J355" s="1116"/>
      <c r="K355" s="1116"/>
      <c r="L355" s="1116"/>
      <c r="M355" s="1116"/>
      <c r="N355" s="1116"/>
      <c r="O355" s="1116"/>
      <c r="P355" s="1116"/>
      <c r="Q355" s="1116"/>
      <c r="R355" s="1116"/>
      <c r="S355" s="1116"/>
      <c r="T355" s="1116"/>
      <c r="U355" s="1116"/>
      <c r="V355" s="1116"/>
      <c r="W355" s="1116"/>
      <c r="X355" s="1116"/>
      <c r="Y355" s="1116"/>
      <c r="Z355" s="1116"/>
      <c r="AA355" s="1116"/>
      <c r="AB355" s="1116"/>
      <c r="AC355" s="1116"/>
    </row>
    <row r="356" spans="1:29" x14ac:dyDescent="0.35">
      <c r="A356" s="1116"/>
      <c r="B356" s="1116"/>
      <c r="C356" s="1116"/>
      <c r="D356" s="1116"/>
      <c r="E356" s="1116"/>
      <c r="F356" s="1116"/>
      <c r="G356" s="1116"/>
      <c r="H356" s="1116"/>
      <c r="I356" s="1116"/>
      <c r="J356" s="1116"/>
      <c r="K356" s="1116"/>
      <c r="L356" s="1116"/>
      <c r="M356" s="1116"/>
      <c r="N356" s="1116"/>
      <c r="O356" s="1116"/>
      <c r="P356" s="1116"/>
      <c r="Q356" s="1116"/>
      <c r="R356" s="1116"/>
      <c r="S356" s="1116"/>
      <c r="T356" s="1116"/>
      <c r="U356" s="1116"/>
      <c r="V356" s="1116"/>
      <c r="W356" s="1116"/>
      <c r="X356" s="1116"/>
      <c r="Y356" s="1116"/>
      <c r="Z356" s="1116"/>
      <c r="AA356" s="1116"/>
      <c r="AB356" s="1116"/>
      <c r="AC356" s="1116"/>
    </row>
    <row r="357" spans="1:29" x14ac:dyDescent="0.35">
      <c r="A357" s="1116"/>
      <c r="B357" s="1116"/>
      <c r="C357" s="1116"/>
      <c r="D357" s="1116"/>
      <c r="E357" s="1116"/>
      <c r="F357" s="1116"/>
      <c r="G357" s="1116"/>
      <c r="H357" s="1116"/>
      <c r="I357" s="1116"/>
      <c r="J357" s="1116"/>
      <c r="K357" s="1116"/>
      <c r="L357" s="1116"/>
      <c r="M357" s="1116"/>
      <c r="N357" s="1116"/>
      <c r="O357" s="1116"/>
      <c r="P357" s="1116"/>
      <c r="Q357" s="1116"/>
      <c r="R357" s="1116"/>
      <c r="S357" s="1116"/>
      <c r="T357" s="1116"/>
      <c r="U357" s="1116"/>
      <c r="V357" s="1116"/>
      <c r="W357" s="1116"/>
      <c r="X357" s="1116"/>
      <c r="Y357" s="1116"/>
      <c r="Z357" s="1116"/>
      <c r="AA357" s="1116"/>
      <c r="AB357" s="1116"/>
      <c r="AC357" s="1116"/>
    </row>
    <row r="358" spans="1:29" x14ac:dyDescent="0.35">
      <c r="A358" s="1116"/>
      <c r="B358" s="1116"/>
      <c r="C358" s="1116"/>
      <c r="D358" s="1116"/>
      <c r="E358" s="1116"/>
      <c r="F358" s="1116"/>
      <c r="G358" s="1116"/>
      <c r="H358" s="1116"/>
      <c r="I358" s="1116"/>
      <c r="J358" s="1116"/>
      <c r="K358" s="1116"/>
      <c r="L358" s="1116"/>
      <c r="M358" s="1116"/>
      <c r="N358" s="1116"/>
      <c r="O358" s="1116"/>
      <c r="P358" s="1116"/>
      <c r="Q358" s="1116"/>
      <c r="R358" s="1116"/>
      <c r="S358" s="1116"/>
      <c r="T358" s="1116"/>
      <c r="U358" s="1116"/>
      <c r="V358" s="1116"/>
      <c r="W358" s="1116"/>
      <c r="X358" s="1116"/>
      <c r="Y358" s="1116"/>
      <c r="Z358" s="1116"/>
      <c r="AA358" s="1116"/>
      <c r="AB358" s="1116"/>
      <c r="AC358" s="1116"/>
    </row>
    <row r="359" spans="1:29" x14ac:dyDescent="0.35">
      <c r="A359" s="1116"/>
      <c r="B359" s="1116"/>
      <c r="C359" s="1116"/>
      <c r="D359" s="1116"/>
      <c r="E359" s="1116"/>
      <c r="F359" s="1116"/>
      <c r="G359" s="1116"/>
      <c r="H359" s="1116"/>
      <c r="I359" s="1116"/>
      <c r="J359" s="1116"/>
      <c r="K359" s="1116"/>
      <c r="L359" s="1116"/>
      <c r="M359" s="1116"/>
      <c r="N359" s="1116"/>
      <c r="O359" s="1116"/>
      <c r="P359" s="1116"/>
      <c r="Q359" s="1116"/>
      <c r="R359" s="1116"/>
      <c r="S359" s="1116"/>
      <c r="T359" s="1116"/>
      <c r="U359" s="1116"/>
      <c r="V359" s="1116"/>
      <c r="W359" s="1116"/>
      <c r="X359" s="1116"/>
      <c r="Y359" s="1116"/>
      <c r="Z359" s="1116"/>
      <c r="AA359" s="1116"/>
      <c r="AB359" s="1116"/>
      <c r="AC359" s="1116"/>
    </row>
    <row r="360" spans="1:29" x14ac:dyDescent="0.35">
      <c r="A360" s="1116"/>
      <c r="B360" s="1116"/>
      <c r="C360" s="1116"/>
      <c r="D360" s="1116"/>
      <c r="E360" s="1116"/>
      <c r="F360" s="1116"/>
      <c r="G360" s="1116"/>
      <c r="H360" s="1116"/>
      <c r="I360" s="1116"/>
      <c r="J360" s="1116"/>
      <c r="K360" s="1116"/>
      <c r="L360" s="1116"/>
      <c r="M360" s="1116"/>
      <c r="N360" s="1116"/>
      <c r="O360" s="1116"/>
      <c r="P360" s="1116"/>
      <c r="Q360" s="1116"/>
      <c r="R360" s="1116"/>
      <c r="S360" s="1116"/>
      <c r="T360" s="1116"/>
      <c r="U360" s="1116"/>
      <c r="V360" s="1116"/>
      <c r="W360" s="1116"/>
      <c r="X360" s="1116"/>
      <c r="Y360" s="1116"/>
      <c r="Z360" s="1116"/>
      <c r="AA360" s="1116"/>
      <c r="AB360" s="1116"/>
      <c r="AC360" s="1116"/>
    </row>
    <row r="361" spans="1:29" x14ac:dyDescent="0.35">
      <c r="A361" s="1116"/>
      <c r="B361" s="1116"/>
      <c r="C361" s="1116"/>
      <c r="D361" s="1116"/>
      <c r="E361" s="1116"/>
      <c r="F361" s="1116"/>
      <c r="G361" s="1116"/>
      <c r="H361" s="1116"/>
      <c r="I361" s="1116"/>
      <c r="J361" s="1116"/>
      <c r="K361" s="1116"/>
      <c r="L361" s="1116"/>
      <c r="M361" s="1116"/>
      <c r="N361" s="1116"/>
      <c r="O361" s="1116"/>
      <c r="P361" s="1116"/>
      <c r="Q361" s="1116"/>
      <c r="R361" s="1116"/>
      <c r="S361" s="1116"/>
      <c r="T361" s="1116"/>
      <c r="U361" s="1116"/>
      <c r="V361" s="1116"/>
      <c r="W361" s="1116"/>
      <c r="X361" s="1116"/>
      <c r="Y361" s="1116"/>
      <c r="Z361" s="1116"/>
      <c r="AA361" s="1116"/>
      <c r="AB361" s="1116"/>
      <c r="AC361" s="1116"/>
    </row>
    <row r="362" spans="1:29" x14ac:dyDescent="0.35">
      <c r="A362" s="1116"/>
      <c r="B362" s="1116"/>
      <c r="C362" s="1116"/>
      <c r="D362" s="1116"/>
      <c r="E362" s="1116"/>
      <c r="F362" s="1116"/>
      <c r="G362" s="1116"/>
      <c r="H362" s="1116"/>
      <c r="I362" s="1116"/>
      <c r="J362" s="1116"/>
      <c r="K362" s="1116"/>
      <c r="L362" s="1116"/>
      <c r="M362" s="1116"/>
      <c r="N362" s="1116"/>
      <c r="O362" s="1116"/>
      <c r="P362" s="1116"/>
      <c r="Q362" s="1116"/>
      <c r="R362" s="1116"/>
      <c r="S362" s="1116"/>
      <c r="T362" s="1116"/>
      <c r="U362" s="1116"/>
      <c r="V362" s="1116"/>
      <c r="W362" s="1116"/>
      <c r="X362" s="1116"/>
      <c r="Y362" s="1116"/>
      <c r="Z362" s="1116"/>
      <c r="AA362" s="1116"/>
      <c r="AB362" s="1116"/>
      <c r="AC362" s="1116"/>
    </row>
    <row r="363" spans="1:29" x14ac:dyDescent="0.35">
      <c r="A363" s="1116"/>
      <c r="B363" s="1116"/>
      <c r="C363" s="1116"/>
      <c r="D363" s="1116"/>
      <c r="E363" s="1116"/>
      <c r="F363" s="1116"/>
      <c r="G363" s="1116"/>
      <c r="H363" s="1116"/>
      <c r="I363" s="1116"/>
      <c r="J363" s="1116"/>
      <c r="K363" s="1116"/>
      <c r="L363" s="1116"/>
      <c r="M363" s="1116"/>
      <c r="N363" s="1116"/>
      <c r="O363" s="1116"/>
      <c r="P363" s="1116"/>
      <c r="Q363" s="1116"/>
      <c r="R363" s="1116"/>
      <c r="S363" s="1116"/>
      <c r="T363" s="1116"/>
      <c r="U363" s="1116"/>
      <c r="V363" s="1116"/>
      <c r="W363" s="1116"/>
      <c r="X363" s="1116"/>
      <c r="Y363" s="1116"/>
      <c r="Z363" s="1116"/>
      <c r="AA363" s="1116"/>
      <c r="AB363" s="1116"/>
      <c r="AC363" s="1116"/>
    </row>
    <row r="364" spans="1:29" x14ac:dyDescent="0.35">
      <c r="A364" s="1116"/>
      <c r="B364" s="1116"/>
      <c r="C364" s="1116"/>
      <c r="D364" s="1116"/>
      <c r="E364" s="1116"/>
      <c r="F364" s="1116"/>
      <c r="G364" s="1116"/>
      <c r="H364" s="1116"/>
      <c r="I364" s="1116"/>
      <c r="J364" s="1116"/>
      <c r="K364" s="1116"/>
      <c r="L364" s="1116"/>
      <c r="M364" s="1116"/>
      <c r="N364" s="1116"/>
      <c r="O364" s="1116"/>
      <c r="P364" s="1116"/>
      <c r="Q364" s="1116"/>
      <c r="R364" s="1116"/>
      <c r="S364" s="1116"/>
      <c r="T364" s="1116"/>
      <c r="U364" s="1116"/>
      <c r="V364" s="1116"/>
      <c r="W364" s="1116"/>
      <c r="X364" s="1116"/>
      <c r="Y364" s="1116"/>
      <c r="Z364" s="1116"/>
      <c r="AA364" s="1116"/>
      <c r="AB364" s="1116"/>
      <c r="AC364" s="1116"/>
    </row>
    <row r="365" spans="1:29" x14ac:dyDescent="0.35">
      <c r="A365" s="1116"/>
      <c r="B365" s="1116"/>
      <c r="C365" s="1116"/>
      <c r="D365" s="1116"/>
      <c r="E365" s="1116"/>
      <c r="F365" s="1116"/>
      <c r="G365" s="1116"/>
      <c r="H365" s="1116"/>
      <c r="I365" s="1116"/>
      <c r="J365" s="1116"/>
      <c r="K365" s="1116"/>
      <c r="L365" s="1116"/>
      <c r="M365" s="1116"/>
      <c r="N365" s="1116"/>
      <c r="O365" s="1116"/>
      <c r="P365" s="1116"/>
      <c r="Q365" s="1116"/>
      <c r="R365" s="1116"/>
      <c r="S365" s="1116"/>
      <c r="T365" s="1116"/>
      <c r="U365" s="1116"/>
      <c r="V365" s="1116"/>
      <c r="W365" s="1116"/>
      <c r="X365" s="1116"/>
      <c r="Y365" s="1116"/>
      <c r="Z365" s="1116"/>
      <c r="AA365" s="1116"/>
      <c r="AB365" s="1116"/>
      <c r="AC365" s="1116"/>
    </row>
    <row r="366" spans="1:29" x14ac:dyDescent="0.35">
      <c r="A366" s="1116"/>
      <c r="B366" s="1116"/>
      <c r="C366" s="1116"/>
      <c r="D366" s="1116"/>
      <c r="E366" s="1116"/>
      <c r="F366" s="1116"/>
      <c r="G366" s="1116"/>
      <c r="H366" s="1116"/>
      <c r="I366" s="1116"/>
      <c r="J366" s="1116"/>
      <c r="K366" s="1116"/>
      <c r="L366" s="1116"/>
      <c r="M366" s="1116"/>
      <c r="N366" s="1116"/>
      <c r="O366" s="1116"/>
      <c r="P366" s="1116"/>
      <c r="Q366" s="1116"/>
      <c r="R366" s="1116"/>
      <c r="S366" s="1116"/>
      <c r="T366" s="1116"/>
      <c r="U366" s="1116"/>
      <c r="V366" s="1116"/>
      <c r="W366" s="1116"/>
      <c r="X366" s="1116"/>
      <c r="Y366" s="1116"/>
      <c r="Z366" s="1116"/>
      <c r="AA366" s="1116"/>
      <c r="AB366" s="1116"/>
      <c r="AC366" s="1116"/>
    </row>
    <row r="367" spans="1:29" x14ac:dyDescent="0.35">
      <c r="A367" s="1116"/>
      <c r="B367" s="1116"/>
      <c r="C367" s="1116"/>
      <c r="D367" s="1116"/>
      <c r="E367" s="1116"/>
      <c r="F367" s="1116"/>
      <c r="G367" s="1116"/>
      <c r="H367" s="1116"/>
      <c r="I367" s="1116"/>
      <c r="J367" s="1116"/>
      <c r="K367" s="1116"/>
      <c r="L367" s="1116"/>
      <c r="M367" s="1116"/>
      <c r="N367" s="1116"/>
      <c r="O367" s="1116"/>
      <c r="P367" s="1116"/>
      <c r="Q367" s="1116"/>
      <c r="R367" s="1116"/>
      <c r="S367" s="1116"/>
      <c r="T367" s="1116"/>
      <c r="U367" s="1116"/>
      <c r="V367" s="1116"/>
      <c r="W367" s="1116"/>
      <c r="X367" s="1116"/>
      <c r="Y367" s="1116"/>
      <c r="Z367" s="1116"/>
      <c r="AA367" s="1116"/>
      <c r="AB367" s="1116"/>
      <c r="AC367" s="1116"/>
    </row>
    <row r="368" spans="1:29" x14ac:dyDescent="0.35">
      <c r="A368" s="1116"/>
      <c r="B368" s="1116"/>
      <c r="C368" s="1116"/>
      <c r="D368" s="1116"/>
      <c r="E368" s="1116"/>
      <c r="F368" s="1116"/>
      <c r="G368" s="1116"/>
      <c r="H368" s="1116"/>
      <c r="I368" s="1116"/>
      <c r="J368" s="1116"/>
      <c r="K368" s="1116"/>
      <c r="L368" s="1116"/>
      <c r="M368" s="1116"/>
      <c r="N368" s="1116"/>
      <c r="O368" s="1116"/>
      <c r="P368" s="1116"/>
      <c r="Q368" s="1116"/>
      <c r="R368" s="1116"/>
      <c r="S368" s="1116"/>
      <c r="T368" s="1116"/>
      <c r="U368" s="1116"/>
      <c r="V368" s="1116"/>
      <c r="W368" s="1116"/>
      <c r="X368" s="1116"/>
      <c r="Y368" s="1116"/>
      <c r="Z368" s="1116"/>
      <c r="AA368" s="1116"/>
      <c r="AB368" s="1116"/>
      <c r="AC368" s="1116"/>
    </row>
    <row r="369" spans="1:29" x14ac:dyDescent="0.35">
      <c r="A369" s="1116"/>
      <c r="B369" s="1116"/>
      <c r="C369" s="1116"/>
      <c r="D369" s="1116"/>
      <c r="E369" s="1116"/>
      <c r="F369" s="1116"/>
      <c r="G369" s="1116"/>
      <c r="H369" s="1116"/>
      <c r="I369" s="1116"/>
      <c r="J369" s="1116"/>
      <c r="K369" s="1116"/>
      <c r="L369" s="1116"/>
      <c r="M369" s="1116"/>
      <c r="N369" s="1116"/>
      <c r="O369" s="1116"/>
      <c r="P369" s="1116"/>
      <c r="Q369" s="1116"/>
      <c r="R369" s="1116"/>
      <c r="S369" s="1116"/>
      <c r="T369" s="1116"/>
      <c r="U369" s="1116"/>
      <c r="V369" s="1116"/>
      <c r="W369" s="1116"/>
      <c r="X369" s="1116"/>
      <c r="Y369" s="1116"/>
      <c r="Z369" s="1116"/>
      <c r="AA369" s="1116"/>
      <c r="AB369" s="1116"/>
      <c r="AC369" s="1116"/>
    </row>
    <row r="370" spans="1:29" x14ac:dyDescent="0.35">
      <c r="A370" s="1116"/>
      <c r="B370" s="1116"/>
      <c r="C370" s="1116"/>
      <c r="D370" s="1116"/>
      <c r="E370" s="1116"/>
      <c r="F370" s="1116"/>
      <c r="G370" s="1116"/>
      <c r="H370" s="1116"/>
      <c r="I370" s="1116"/>
      <c r="J370" s="1116"/>
      <c r="K370" s="1116"/>
      <c r="L370" s="1116"/>
      <c r="M370" s="1116"/>
      <c r="N370" s="1116"/>
      <c r="O370" s="1116"/>
      <c r="P370" s="1116"/>
      <c r="Q370" s="1116"/>
      <c r="R370" s="1116"/>
      <c r="S370" s="1116"/>
      <c r="T370" s="1116"/>
      <c r="U370" s="1116"/>
      <c r="V370" s="1116"/>
      <c r="W370" s="1116"/>
      <c r="X370" s="1116"/>
      <c r="Y370" s="1116"/>
      <c r="Z370" s="1116"/>
      <c r="AA370" s="1116"/>
      <c r="AB370" s="1116"/>
      <c r="AC370" s="1116"/>
    </row>
    <row r="371" spans="1:29" x14ac:dyDescent="0.35">
      <c r="A371" s="1116"/>
      <c r="B371" s="1116"/>
      <c r="C371" s="1116"/>
      <c r="D371" s="1116"/>
      <c r="E371" s="1116"/>
      <c r="F371" s="1116"/>
      <c r="G371" s="1116"/>
      <c r="H371" s="1116"/>
      <c r="I371" s="1116"/>
      <c r="J371" s="1116"/>
      <c r="K371" s="1116"/>
      <c r="L371" s="1116"/>
      <c r="M371" s="1116"/>
      <c r="N371" s="1116"/>
      <c r="O371" s="1116"/>
      <c r="P371" s="1116"/>
      <c r="Q371" s="1116"/>
      <c r="R371" s="1116"/>
      <c r="S371" s="1116"/>
      <c r="T371" s="1116"/>
      <c r="U371" s="1116"/>
      <c r="V371" s="1116"/>
      <c r="W371" s="1116"/>
      <c r="X371" s="1116"/>
      <c r="Y371" s="1116"/>
      <c r="Z371" s="1116"/>
      <c r="AA371" s="1116"/>
      <c r="AB371" s="1116"/>
      <c r="AC371" s="1116"/>
    </row>
    <row r="372" spans="1:29" x14ac:dyDescent="0.35">
      <c r="A372" s="1116"/>
      <c r="B372" s="1116"/>
      <c r="C372" s="1116"/>
      <c r="D372" s="1116"/>
      <c r="E372" s="1116"/>
      <c r="F372" s="1116"/>
      <c r="G372" s="1116"/>
      <c r="H372" s="1116"/>
      <c r="I372" s="1116"/>
      <c r="J372" s="1116"/>
      <c r="K372" s="1116"/>
      <c r="L372" s="1116"/>
      <c r="M372" s="1116"/>
      <c r="N372" s="1116"/>
      <c r="O372" s="1116"/>
      <c r="P372" s="1116"/>
      <c r="Q372" s="1116"/>
      <c r="R372" s="1116"/>
      <c r="S372" s="1116"/>
      <c r="T372" s="1116"/>
      <c r="U372" s="1116"/>
      <c r="V372" s="1116"/>
      <c r="W372" s="1116"/>
      <c r="X372" s="1116"/>
      <c r="Y372" s="1116"/>
      <c r="Z372" s="1116"/>
      <c r="AA372" s="1116"/>
      <c r="AB372" s="1116"/>
      <c r="AC372" s="1116"/>
    </row>
    <row r="373" spans="1:29" x14ac:dyDescent="0.35">
      <c r="A373" s="1116"/>
      <c r="B373" s="1116"/>
      <c r="C373" s="1116"/>
      <c r="D373" s="1116"/>
      <c r="E373" s="1116"/>
      <c r="F373" s="1116"/>
      <c r="G373" s="1116"/>
      <c r="H373" s="1116"/>
      <c r="I373" s="1116"/>
      <c r="J373" s="1116"/>
      <c r="K373" s="1116"/>
      <c r="L373" s="1116"/>
      <c r="M373" s="1116"/>
      <c r="N373" s="1116"/>
      <c r="O373" s="1116"/>
      <c r="P373" s="1116"/>
      <c r="Q373" s="1116"/>
      <c r="R373" s="1116"/>
      <c r="S373" s="1116"/>
      <c r="T373" s="1116"/>
      <c r="U373" s="1116"/>
      <c r="V373" s="1116"/>
      <c r="W373" s="1116"/>
      <c r="X373" s="1116"/>
      <c r="Y373" s="1116"/>
      <c r="Z373" s="1116"/>
      <c r="AA373" s="1116"/>
      <c r="AB373" s="1116"/>
      <c r="AC373" s="1116"/>
    </row>
    <row r="374" spans="1:29" x14ac:dyDescent="0.35">
      <c r="A374" s="1116"/>
      <c r="B374" s="1116"/>
      <c r="C374" s="1116"/>
      <c r="D374" s="1116"/>
      <c r="E374" s="1116"/>
      <c r="F374" s="1116"/>
      <c r="G374" s="1116"/>
      <c r="H374" s="1116"/>
      <c r="I374" s="1116"/>
      <c r="J374" s="1116"/>
      <c r="K374" s="1116"/>
      <c r="L374" s="1116"/>
      <c r="M374" s="1116"/>
      <c r="N374" s="1116"/>
      <c r="O374" s="1116"/>
      <c r="P374" s="1116"/>
      <c r="Q374" s="1116"/>
      <c r="R374" s="1116"/>
      <c r="S374" s="1116"/>
      <c r="T374" s="1116"/>
      <c r="U374" s="1116"/>
      <c r="V374" s="1116"/>
      <c r="W374" s="1116"/>
      <c r="X374" s="1116"/>
      <c r="Y374" s="1116"/>
      <c r="Z374" s="1116"/>
      <c r="AA374" s="1116"/>
      <c r="AB374" s="1116"/>
      <c r="AC374" s="1116"/>
    </row>
    <row r="375" spans="1:29" x14ac:dyDescent="0.35">
      <c r="A375" s="1116"/>
      <c r="B375" s="1116"/>
      <c r="C375" s="1116"/>
      <c r="D375" s="1116"/>
      <c r="E375" s="1116"/>
      <c r="F375" s="1116"/>
      <c r="G375" s="1116"/>
      <c r="H375" s="1116"/>
      <c r="I375" s="1116"/>
      <c r="J375" s="1116"/>
      <c r="K375" s="1116"/>
      <c r="L375" s="1116"/>
      <c r="M375" s="1116"/>
      <c r="N375" s="1116"/>
      <c r="O375" s="1116"/>
      <c r="P375" s="1116"/>
      <c r="Q375" s="1116"/>
      <c r="R375" s="1116"/>
      <c r="S375" s="1116"/>
      <c r="T375" s="1116"/>
      <c r="U375" s="1116"/>
      <c r="V375" s="1116"/>
      <c r="W375" s="1116"/>
      <c r="X375" s="1116"/>
      <c r="Y375" s="1116"/>
      <c r="Z375" s="1116"/>
      <c r="AA375" s="1116"/>
      <c r="AB375" s="1116"/>
      <c r="AC375" s="1116"/>
    </row>
    <row r="376" spans="1:29" x14ac:dyDescent="0.35">
      <c r="A376" s="1116"/>
      <c r="B376" s="1116"/>
      <c r="C376" s="1116"/>
      <c r="D376" s="1116"/>
      <c r="E376" s="1116"/>
      <c r="F376" s="1116"/>
      <c r="G376" s="1116"/>
      <c r="H376" s="1116"/>
      <c r="I376" s="1116"/>
      <c r="J376" s="1116"/>
      <c r="K376" s="1116"/>
      <c r="L376" s="1116"/>
      <c r="M376" s="1116"/>
      <c r="N376" s="1116"/>
      <c r="O376" s="1116"/>
      <c r="P376" s="1116"/>
      <c r="Q376" s="1116"/>
      <c r="R376" s="1116"/>
      <c r="S376" s="1116"/>
      <c r="T376" s="1116"/>
      <c r="U376" s="1116"/>
      <c r="V376" s="1116"/>
      <c r="W376" s="1116"/>
      <c r="X376" s="1116"/>
      <c r="Y376" s="1116"/>
      <c r="Z376" s="1116"/>
      <c r="AA376" s="1116"/>
      <c r="AB376" s="1116"/>
      <c r="AC376" s="1116"/>
    </row>
    <row r="377" spans="1:29" x14ac:dyDescent="0.35">
      <c r="A377" s="1116"/>
      <c r="B377" s="1116"/>
      <c r="C377" s="1116"/>
      <c r="D377" s="1116"/>
      <c r="E377" s="1116"/>
      <c r="F377" s="1116"/>
      <c r="G377" s="1116"/>
      <c r="H377" s="1116"/>
      <c r="I377" s="1116"/>
      <c r="J377" s="1116"/>
      <c r="K377" s="1116"/>
      <c r="L377" s="1116"/>
      <c r="M377" s="1116"/>
      <c r="N377" s="1116"/>
      <c r="O377" s="1116"/>
      <c r="P377" s="1116"/>
      <c r="Q377" s="1116"/>
      <c r="R377" s="1116"/>
      <c r="S377" s="1116"/>
      <c r="T377" s="1116"/>
      <c r="U377" s="1116"/>
      <c r="V377" s="1116"/>
      <c r="W377" s="1116"/>
      <c r="X377" s="1116"/>
      <c r="Y377" s="1116"/>
      <c r="Z377" s="1116"/>
      <c r="AA377" s="1116"/>
      <c r="AB377" s="1116"/>
      <c r="AC377" s="1116"/>
    </row>
    <row r="378" spans="1:29" x14ac:dyDescent="0.35">
      <c r="A378" s="1116"/>
      <c r="B378" s="1116"/>
      <c r="C378" s="1116"/>
      <c r="D378" s="1116"/>
      <c r="E378" s="1116"/>
      <c r="F378" s="1116"/>
      <c r="G378" s="1116"/>
      <c r="H378" s="1116"/>
      <c r="I378" s="1116"/>
      <c r="J378" s="1116"/>
      <c r="K378" s="1116"/>
      <c r="L378" s="1116"/>
      <c r="M378" s="1116"/>
      <c r="N378" s="1116"/>
      <c r="O378" s="1116"/>
      <c r="P378" s="1116"/>
      <c r="Q378" s="1116"/>
      <c r="R378" s="1116"/>
      <c r="S378" s="1116"/>
      <c r="T378" s="1116"/>
      <c r="U378" s="1116"/>
      <c r="V378" s="1116"/>
      <c r="W378" s="1116"/>
      <c r="X378" s="1116"/>
      <c r="Y378" s="1116"/>
      <c r="Z378" s="1116"/>
      <c r="AA378" s="1116"/>
      <c r="AB378" s="1116"/>
      <c r="AC378" s="1116"/>
    </row>
    <row r="379" spans="1:29" x14ac:dyDescent="0.35">
      <c r="A379" s="1116"/>
      <c r="B379" s="1116"/>
      <c r="C379" s="1116"/>
      <c r="D379" s="1116"/>
      <c r="E379" s="1116"/>
      <c r="F379" s="1116"/>
      <c r="G379" s="1116"/>
      <c r="H379" s="1116"/>
      <c r="I379" s="1116"/>
      <c r="J379" s="1116"/>
      <c r="K379" s="1116"/>
      <c r="L379" s="1116"/>
      <c r="M379" s="1116"/>
      <c r="N379" s="1116"/>
      <c r="O379" s="1116"/>
      <c r="P379" s="1116"/>
      <c r="Q379" s="1116"/>
      <c r="R379" s="1116"/>
      <c r="S379" s="1116"/>
      <c r="T379" s="1116"/>
      <c r="U379" s="1116"/>
      <c r="V379" s="1116"/>
      <c r="W379" s="1116"/>
      <c r="X379" s="1116"/>
      <c r="Y379" s="1116"/>
      <c r="Z379" s="1116"/>
      <c r="AA379" s="1116"/>
      <c r="AB379" s="1116"/>
      <c r="AC379" s="1116"/>
    </row>
    <row r="380" spans="1:29" x14ac:dyDescent="0.35">
      <c r="A380" s="1116"/>
      <c r="B380" s="1116"/>
      <c r="C380" s="1116"/>
      <c r="D380" s="1116"/>
      <c r="E380" s="1116"/>
      <c r="F380" s="1116"/>
      <c r="G380" s="1116"/>
      <c r="H380" s="1116"/>
      <c r="I380" s="1116"/>
      <c r="J380" s="1116"/>
      <c r="K380" s="1116"/>
      <c r="L380" s="1116"/>
      <c r="M380" s="1116"/>
      <c r="N380" s="1116"/>
      <c r="O380" s="1116"/>
      <c r="P380" s="1116"/>
      <c r="Q380" s="1116"/>
      <c r="R380" s="1116"/>
      <c r="S380" s="1116"/>
      <c r="T380" s="1116"/>
      <c r="U380" s="1116"/>
      <c r="V380" s="1116"/>
      <c r="W380" s="1116"/>
      <c r="X380" s="1116"/>
      <c r="Y380" s="1116"/>
      <c r="Z380" s="1116"/>
      <c r="AA380" s="1116"/>
      <c r="AB380" s="1116"/>
      <c r="AC380" s="1116"/>
    </row>
    <row r="381" spans="1:29" x14ac:dyDescent="0.35">
      <c r="A381" s="1116"/>
      <c r="B381" s="1116"/>
      <c r="C381" s="1116"/>
      <c r="D381" s="1116"/>
      <c r="E381" s="1116"/>
      <c r="F381" s="1116"/>
      <c r="G381" s="1116"/>
      <c r="H381" s="1116"/>
      <c r="I381" s="1116"/>
      <c r="J381" s="1116"/>
      <c r="K381" s="1116"/>
      <c r="L381" s="1116"/>
      <c r="M381" s="1116"/>
      <c r="N381" s="1116"/>
      <c r="O381" s="1116"/>
      <c r="P381" s="1116"/>
      <c r="Q381" s="1116"/>
      <c r="R381" s="1116"/>
      <c r="S381" s="1116"/>
      <c r="T381" s="1116"/>
      <c r="U381" s="1116"/>
      <c r="V381" s="1116"/>
      <c r="W381" s="1116"/>
      <c r="X381" s="1116"/>
      <c r="Y381" s="1116"/>
      <c r="Z381" s="1116"/>
      <c r="AA381" s="1116"/>
      <c r="AB381" s="1116"/>
      <c r="AC381" s="1116"/>
    </row>
    <row r="382" spans="1:29" x14ac:dyDescent="0.35">
      <c r="A382" s="1116"/>
      <c r="B382" s="1116"/>
      <c r="C382" s="1116"/>
      <c r="D382" s="1116"/>
      <c r="E382" s="1116"/>
      <c r="F382" s="1116"/>
      <c r="G382" s="1116"/>
      <c r="H382" s="1116"/>
      <c r="I382" s="1116"/>
      <c r="J382" s="1116"/>
      <c r="K382" s="1116"/>
      <c r="L382" s="1116"/>
      <c r="M382" s="1116"/>
      <c r="N382" s="1116"/>
      <c r="O382" s="1116"/>
      <c r="P382" s="1116"/>
      <c r="Q382" s="1116"/>
      <c r="R382" s="1116"/>
      <c r="S382" s="1116"/>
      <c r="T382" s="1116"/>
      <c r="U382" s="1116"/>
      <c r="V382" s="1116"/>
      <c r="W382" s="1116"/>
      <c r="X382" s="1116"/>
      <c r="Y382" s="1116"/>
      <c r="Z382" s="1116"/>
      <c r="AA382" s="1116"/>
      <c r="AB382" s="1116"/>
      <c r="AC382" s="1116"/>
    </row>
    <row r="383" spans="1:29" x14ac:dyDescent="0.35">
      <c r="A383" s="1116"/>
      <c r="B383" s="1116"/>
      <c r="C383" s="1116"/>
      <c r="D383" s="1116"/>
      <c r="E383" s="1116"/>
      <c r="F383" s="1116"/>
      <c r="G383" s="1116"/>
      <c r="H383" s="1116"/>
      <c r="I383" s="1116"/>
      <c r="J383" s="1116"/>
      <c r="K383" s="1116"/>
      <c r="L383" s="1116"/>
      <c r="M383" s="1116"/>
      <c r="N383" s="1116"/>
      <c r="O383" s="1116"/>
      <c r="P383" s="1116"/>
      <c r="Q383" s="1116"/>
      <c r="R383" s="1116"/>
      <c r="S383" s="1116"/>
      <c r="T383" s="1116"/>
      <c r="U383" s="1116"/>
      <c r="V383" s="1116"/>
      <c r="W383" s="1116"/>
      <c r="X383" s="1116"/>
      <c r="Y383" s="1116"/>
      <c r="Z383" s="1116"/>
      <c r="AA383" s="1116"/>
      <c r="AB383" s="1116"/>
      <c r="AC383" s="1116"/>
    </row>
    <row r="384" spans="1:29" x14ac:dyDescent="0.35">
      <c r="A384" s="1116"/>
      <c r="B384" s="1116"/>
      <c r="C384" s="1116"/>
      <c r="D384" s="1116"/>
      <c r="E384" s="1116"/>
      <c r="F384" s="1116"/>
      <c r="G384" s="1116"/>
      <c r="H384" s="1116"/>
      <c r="I384" s="1116"/>
      <c r="J384" s="1116"/>
      <c r="K384" s="1116"/>
      <c r="L384" s="1116"/>
      <c r="M384" s="1116"/>
      <c r="N384" s="1116"/>
      <c r="O384" s="1116"/>
      <c r="P384" s="1116"/>
      <c r="Q384" s="1116"/>
      <c r="R384" s="1116"/>
      <c r="S384" s="1116"/>
      <c r="T384" s="1116"/>
      <c r="U384" s="1116"/>
      <c r="V384" s="1116"/>
      <c r="W384" s="1116"/>
      <c r="X384" s="1116"/>
      <c r="Y384" s="1116"/>
      <c r="Z384" s="1116"/>
      <c r="AA384" s="1116"/>
      <c r="AB384" s="1116"/>
      <c r="AC384" s="1116"/>
    </row>
    <row r="385" spans="1:29" x14ac:dyDescent="0.35">
      <c r="A385" s="1116"/>
      <c r="B385" s="1116"/>
      <c r="C385" s="1116"/>
      <c r="D385" s="1116"/>
      <c r="E385" s="1116"/>
      <c r="F385" s="1116"/>
      <c r="G385" s="1116"/>
      <c r="H385" s="1116"/>
      <c r="I385" s="1116"/>
      <c r="J385" s="1116"/>
      <c r="K385" s="1116"/>
      <c r="L385" s="1116"/>
      <c r="M385" s="1116"/>
      <c r="N385" s="1116"/>
      <c r="O385" s="1116"/>
      <c r="P385" s="1116"/>
      <c r="Q385" s="1116"/>
      <c r="R385" s="1116"/>
      <c r="S385" s="1116"/>
      <c r="T385" s="1116"/>
      <c r="U385" s="1116"/>
      <c r="V385" s="1116"/>
      <c r="W385" s="1116"/>
      <c r="X385" s="1116"/>
      <c r="Y385" s="1116"/>
      <c r="Z385" s="1116"/>
      <c r="AA385" s="1116"/>
      <c r="AB385" s="1116"/>
      <c r="AC385" s="1116"/>
    </row>
    <row r="386" spans="1:29" x14ac:dyDescent="0.35">
      <c r="A386" s="1116"/>
      <c r="B386" s="1116"/>
      <c r="C386" s="1116"/>
      <c r="D386" s="1116"/>
      <c r="E386" s="1116"/>
      <c r="F386" s="1116"/>
      <c r="G386" s="1116"/>
      <c r="H386" s="1116"/>
      <c r="I386" s="1116"/>
      <c r="J386" s="1116"/>
      <c r="K386" s="1116"/>
      <c r="L386" s="1116"/>
      <c r="M386" s="1116"/>
      <c r="N386" s="1116"/>
      <c r="O386" s="1116"/>
      <c r="P386" s="1116"/>
      <c r="Q386" s="1116"/>
      <c r="R386" s="1116"/>
      <c r="S386" s="1116"/>
      <c r="T386" s="1116"/>
      <c r="U386" s="1116"/>
      <c r="V386" s="1116"/>
      <c r="W386" s="1116"/>
      <c r="X386" s="1116"/>
      <c r="Y386" s="1116"/>
      <c r="Z386" s="1116"/>
      <c r="AA386" s="1116"/>
      <c r="AB386" s="1116"/>
      <c r="AC386" s="1116"/>
    </row>
    <row r="387" spans="1:29" x14ac:dyDescent="0.35">
      <c r="A387" s="1116"/>
      <c r="B387" s="1116"/>
      <c r="C387" s="1116"/>
      <c r="D387" s="1116"/>
      <c r="E387" s="1116"/>
      <c r="F387" s="1116"/>
      <c r="G387" s="1116"/>
      <c r="H387" s="1116"/>
      <c r="I387" s="1116"/>
      <c r="J387" s="1116"/>
      <c r="K387" s="1116"/>
      <c r="L387" s="1116"/>
      <c r="M387" s="1116"/>
      <c r="N387" s="1116"/>
      <c r="O387" s="1116"/>
      <c r="P387" s="1116"/>
      <c r="Q387" s="1116"/>
      <c r="R387" s="1116"/>
      <c r="S387" s="1116"/>
      <c r="T387" s="1116"/>
      <c r="U387" s="1116"/>
      <c r="V387" s="1116"/>
      <c r="W387" s="1116"/>
      <c r="X387" s="1116"/>
      <c r="Y387" s="1116"/>
      <c r="Z387" s="1116"/>
      <c r="AA387" s="1116"/>
      <c r="AB387" s="1116"/>
      <c r="AC387" s="1116"/>
    </row>
    <row r="388" spans="1:29" x14ac:dyDescent="0.35">
      <c r="A388" s="1116"/>
      <c r="B388" s="1116"/>
      <c r="C388" s="1116"/>
      <c r="D388" s="1116"/>
      <c r="E388" s="1116"/>
      <c r="F388" s="1116"/>
      <c r="G388" s="1116"/>
      <c r="H388" s="1116"/>
      <c r="I388" s="1116"/>
      <c r="J388" s="1116"/>
      <c r="K388" s="1116"/>
      <c r="L388" s="1116"/>
      <c r="M388" s="1116"/>
      <c r="N388" s="1116"/>
      <c r="O388" s="1116"/>
      <c r="P388" s="1116"/>
      <c r="Q388" s="1116"/>
      <c r="R388" s="1116"/>
      <c r="S388" s="1116"/>
      <c r="T388" s="1116"/>
      <c r="U388" s="1116"/>
      <c r="V388" s="1116"/>
      <c r="W388" s="1116"/>
      <c r="X388" s="1116"/>
      <c r="Y388" s="1116"/>
      <c r="Z388" s="1116"/>
      <c r="AA388" s="1116"/>
      <c r="AB388" s="1116"/>
      <c r="AC388" s="1116"/>
    </row>
    <row r="389" spans="1:29" x14ac:dyDescent="0.35">
      <c r="A389" s="1116"/>
      <c r="B389" s="1116"/>
      <c r="C389" s="1116"/>
      <c r="D389" s="1116"/>
      <c r="E389" s="1116"/>
      <c r="F389" s="1116"/>
      <c r="G389" s="1116"/>
      <c r="H389" s="1116"/>
      <c r="I389" s="1116"/>
      <c r="J389" s="1116"/>
      <c r="K389" s="1116"/>
      <c r="L389" s="1116"/>
      <c r="M389" s="1116"/>
      <c r="N389" s="1116"/>
      <c r="O389" s="1116"/>
      <c r="P389" s="1116"/>
      <c r="Q389" s="1116"/>
      <c r="R389" s="1116"/>
      <c r="S389" s="1116"/>
      <c r="T389" s="1116"/>
      <c r="U389" s="1116"/>
      <c r="V389" s="1116"/>
      <c r="W389" s="1116"/>
      <c r="X389" s="1116"/>
      <c r="Y389" s="1116"/>
      <c r="Z389" s="1116"/>
      <c r="AA389" s="1116"/>
      <c r="AB389" s="1116"/>
      <c r="AC389" s="1116"/>
    </row>
    <row r="390" spans="1:29" x14ac:dyDescent="0.35">
      <c r="A390" s="1116"/>
      <c r="B390" s="1116"/>
      <c r="C390" s="1116"/>
      <c r="D390" s="1116"/>
      <c r="E390" s="1116"/>
      <c r="F390" s="1116"/>
      <c r="G390" s="1116"/>
      <c r="H390" s="1116"/>
      <c r="I390" s="1116"/>
      <c r="J390" s="1116"/>
      <c r="K390" s="1116"/>
      <c r="L390" s="1116"/>
      <c r="M390" s="1116"/>
      <c r="N390" s="1116"/>
      <c r="O390" s="1116"/>
      <c r="P390" s="1116"/>
      <c r="Q390" s="1116"/>
      <c r="R390" s="1116"/>
      <c r="S390" s="1116"/>
      <c r="T390" s="1116"/>
      <c r="U390" s="1116"/>
      <c r="V390" s="1116"/>
      <c r="W390" s="1116"/>
      <c r="X390" s="1116"/>
      <c r="Y390" s="1116"/>
      <c r="Z390" s="1116"/>
      <c r="AA390" s="1116"/>
      <c r="AB390" s="1116"/>
      <c r="AC390" s="1116"/>
    </row>
    <row r="391" spans="1:29" x14ac:dyDescent="0.35">
      <c r="A391" s="1116"/>
      <c r="B391" s="1116"/>
      <c r="C391" s="1116"/>
      <c r="D391" s="1116"/>
      <c r="E391" s="1116"/>
      <c r="F391" s="1116"/>
      <c r="G391" s="1116"/>
      <c r="H391" s="1116"/>
      <c r="I391" s="1116"/>
      <c r="J391" s="1116"/>
      <c r="K391" s="1116"/>
      <c r="L391" s="1116"/>
      <c r="M391" s="1116"/>
      <c r="N391" s="1116"/>
      <c r="O391" s="1116"/>
      <c r="P391" s="1116"/>
      <c r="Q391" s="1116"/>
      <c r="R391" s="1116"/>
      <c r="S391" s="1116"/>
      <c r="T391" s="1116"/>
      <c r="U391" s="1116"/>
      <c r="V391" s="1116"/>
      <c r="W391" s="1116"/>
      <c r="X391" s="1116"/>
      <c r="Y391" s="1116"/>
      <c r="Z391" s="1116"/>
      <c r="AA391" s="1116"/>
      <c r="AB391" s="1116"/>
      <c r="AC391" s="1116"/>
    </row>
    <row r="392" spans="1:29" x14ac:dyDescent="0.35">
      <c r="A392" s="1116"/>
      <c r="B392" s="1116"/>
      <c r="C392" s="1116"/>
      <c r="D392" s="1116"/>
      <c r="E392" s="1116"/>
      <c r="F392" s="1116"/>
      <c r="G392" s="1116"/>
      <c r="H392" s="1116"/>
      <c r="I392" s="1116"/>
      <c r="J392" s="1116"/>
      <c r="K392" s="1116"/>
      <c r="L392" s="1116"/>
      <c r="M392" s="1116"/>
      <c r="N392" s="1116"/>
      <c r="O392" s="1116"/>
      <c r="P392" s="1116"/>
      <c r="Q392" s="1116"/>
      <c r="R392" s="1116"/>
      <c r="S392" s="1116"/>
      <c r="T392" s="1116"/>
      <c r="U392" s="1116"/>
      <c r="V392" s="1116"/>
      <c r="W392" s="1116"/>
      <c r="X392" s="1116"/>
      <c r="Y392" s="1116"/>
      <c r="Z392" s="1116"/>
      <c r="AA392" s="1116"/>
      <c r="AB392" s="1116"/>
      <c r="AC392" s="1116"/>
    </row>
    <row r="393" spans="1:29" x14ac:dyDescent="0.35">
      <c r="A393" s="1116"/>
      <c r="B393" s="1116"/>
      <c r="C393" s="1116"/>
      <c r="D393" s="1116"/>
      <c r="E393" s="1116"/>
      <c r="F393" s="1116"/>
      <c r="G393" s="1116"/>
      <c r="H393" s="1116"/>
      <c r="I393" s="1116"/>
      <c r="J393" s="1116"/>
      <c r="K393" s="1116"/>
      <c r="L393" s="1116"/>
      <c r="M393" s="1116"/>
      <c r="N393" s="1116"/>
      <c r="O393" s="1116"/>
      <c r="P393" s="1116"/>
      <c r="Q393" s="1116"/>
      <c r="R393" s="1116"/>
      <c r="S393" s="1116"/>
      <c r="T393" s="1116"/>
      <c r="U393" s="1116"/>
      <c r="V393" s="1116"/>
      <c r="W393" s="1116"/>
      <c r="X393" s="1116"/>
      <c r="Y393" s="1116"/>
      <c r="Z393" s="1116"/>
      <c r="AA393" s="1116"/>
      <c r="AB393" s="1116"/>
      <c r="AC393" s="1116"/>
    </row>
    <row r="394" spans="1:29" x14ac:dyDescent="0.35">
      <c r="A394" s="1116"/>
      <c r="B394" s="1116"/>
      <c r="C394" s="1116"/>
      <c r="D394" s="1116"/>
      <c r="E394" s="1116"/>
      <c r="F394" s="1116"/>
      <c r="G394" s="1116"/>
      <c r="H394" s="1116"/>
      <c r="I394" s="1116"/>
      <c r="J394" s="1116"/>
      <c r="K394" s="1116"/>
      <c r="L394" s="1116"/>
      <c r="M394" s="1116"/>
      <c r="N394" s="1116"/>
      <c r="O394" s="1116"/>
      <c r="P394" s="1116"/>
      <c r="Q394" s="1116"/>
      <c r="R394" s="1116"/>
      <c r="S394" s="1116"/>
      <c r="T394" s="1116"/>
      <c r="U394" s="1116"/>
      <c r="V394" s="1116"/>
      <c r="W394" s="1116"/>
      <c r="X394" s="1116"/>
      <c r="Y394" s="1116"/>
      <c r="Z394" s="1116"/>
      <c r="AA394" s="1116"/>
      <c r="AB394" s="1116"/>
      <c r="AC394" s="1116"/>
    </row>
    <row r="395" spans="1:29" x14ac:dyDescent="0.35">
      <c r="A395" s="1116"/>
      <c r="B395" s="1116"/>
      <c r="C395" s="1116"/>
      <c r="D395" s="1116"/>
      <c r="E395" s="1116"/>
      <c r="F395" s="1116"/>
      <c r="G395" s="1116"/>
      <c r="H395" s="1116"/>
      <c r="I395" s="1116"/>
      <c r="J395" s="1116"/>
      <c r="K395" s="1116"/>
      <c r="L395" s="1116"/>
      <c r="M395" s="1116"/>
      <c r="N395" s="1116"/>
      <c r="O395" s="1116"/>
      <c r="P395" s="1116"/>
      <c r="Q395" s="1116"/>
      <c r="R395" s="1116"/>
      <c r="S395" s="1116"/>
      <c r="T395" s="1116"/>
      <c r="U395" s="1116"/>
      <c r="V395" s="1116"/>
      <c r="W395" s="1116"/>
      <c r="X395" s="1116"/>
      <c r="Y395" s="1116"/>
      <c r="Z395" s="1116"/>
      <c r="AA395" s="1116"/>
      <c r="AB395" s="1116"/>
      <c r="AC395" s="1116"/>
    </row>
    <row r="396" spans="1:29" x14ac:dyDescent="0.35">
      <c r="A396" s="1116"/>
      <c r="B396" s="1116"/>
      <c r="C396" s="1116"/>
      <c r="D396" s="1116"/>
      <c r="E396" s="1116"/>
      <c r="F396" s="1116"/>
      <c r="G396" s="1116"/>
      <c r="H396" s="1116"/>
      <c r="I396" s="1116"/>
      <c r="J396" s="1116"/>
      <c r="K396" s="1116"/>
      <c r="L396" s="1116"/>
      <c r="M396" s="1116"/>
      <c r="N396" s="1116"/>
      <c r="O396" s="1116"/>
      <c r="P396" s="1116"/>
      <c r="Q396" s="1116"/>
      <c r="R396" s="1116"/>
      <c r="S396" s="1116"/>
      <c r="T396" s="1116"/>
      <c r="U396" s="1116"/>
      <c r="V396" s="1116"/>
      <c r="W396" s="1116"/>
      <c r="X396" s="1116"/>
      <c r="Y396" s="1116"/>
      <c r="Z396" s="1116"/>
      <c r="AA396" s="1116"/>
      <c r="AB396" s="1116"/>
      <c r="AC396" s="1116"/>
    </row>
    <row r="397" spans="1:29" x14ac:dyDescent="0.35">
      <c r="A397" s="1116"/>
      <c r="B397" s="1116"/>
      <c r="C397" s="1116"/>
      <c r="D397" s="1116"/>
      <c r="E397" s="1116"/>
      <c r="F397" s="1116"/>
      <c r="G397" s="1116"/>
      <c r="H397" s="1116"/>
      <c r="I397" s="1116"/>
      <c r="J397" s="1116"/>
      <c r="K397" s="1116"/>
      <c r="L397" s="1116"/>
      <c r="M397" s="1116"/>
      <c r="N397" s="1116"/>
      <c r="O397" s="1116"/>
      <c r="P397" s="1116"/>
      <c r="Q397" s="1116"/>
      <c r="R397" s="1116"/>
      <c r="S397" s="1116"/>
      <c r="T397" s="1116"/>
      <c r="U397" s="1116"/>
      <c r="V397" s="1116"/>
      <c r="W397" s="1116"/>
      <c r="X397" s="1116"/>
      <c r="Y397" s="1116"/>
      <c r="Z397" s="1116"/>
      <c r="AA397" s="1116"/>
      <c r="AB397" s="1116"/>
      <c r="AC397" s="1116"/>
    </row>
    <row r="398" spans="1:29" x14ac:dyDescent="0.35">
      <c r="A398" s="1116"/>
      <c r="B398" s="1116"/>
      <c r="C398" s="1116"/>
      <c r="D398" s="1116"/>
      <c r="E398" s="1116"/>
      <c r="F398" s="1116"/>
      <c r="G398" s="1116"/>
      <c r="H398" s="1116"/>
      <c r="I398" s="1116"/>
      <c r="J398" s="1116"/>
      <c r="K398" s="1116"/>
      <c r="L398" s="1116"/>
      <c r="M398" s="1116"/>
      <c r="N398" s="1116"/>
      <c r="O398" s="1116"/>
      <c r="P398" s="1116"/>
      <c r="Q398" s="1116"/>
      <c r="R398" s="1116"/>
      <c r="S398" s="1116"/>
      <c r="T398" s="1116"/>
      <c r="U398" s="1116"/>
      <c r="V398" s="1116"/>
      <c r="W398" s="1116"/>
      <c r="X398" s="1116"/>
      <c r="Y398" s="1116"/>
      <c r="Z398" s="1116"/>
      <c r="AA398" s="1116"/>
      <c r="AB398" s="1116"/>
      <c r="AC398" s="1116"/>
    </row>
    <row r="399" spans="1:29" x14ac:dyDescent="0.35">
      <c r="A399" s="1116"/>
      <c r="B399" s="1116"/>
      <c r="C399" s="1116"/>
      <c r="D399" s="1116"/>
      <c r="E399" s="1116"/>
      <c r="F399" s="1116"/>
      <c r="G399" s="1116"/>
      <c r="H399" s="1116"/>
      <c r="I399" s="1116"/>
      <c r="J399" s="1116"/>
      <c r="K399" s="1116"/>
      <c r="L399" s="1116"/>
      <c r="M399" s="1116"/>
      <c r="N399" s="1116"/>
      <c r="O399" s="1116"/>
      <c r="P399" s="1116"/>
      <c r="Q399" s="1116"/>
      <c r="R399" s="1116"/>
      <c r="S399" s="1116"/>
      <c r="T399" s="1116"/>
      <c r="U399" s="1116"/>
      <c r="V399" s="1116"/>
      <c r="W399" s="1116"/>
      <c r="X399" s="1116"/>
      <c r="Y399" s="1116"/>
      <c r="Z399" s="1116"/>
      <c r="AA399" s="1116"/>
      <c r="AB399" s="1116"/>
      <c r="AC399" s="1116"/>
    </row>
    <row r="400" spans="1:29" x14ac:dyDescent="0.35">
      <c r="A400" s="1116"/>
      <c r="B400" s="1116"/>
      <c r="C400" s="1116"/>
      <c r="D400" s="1116"/>
      <c r="E400" s="1116"/>
      <c r="F400" s="1116"/>
      <c r="G400" s="1116"/>
      <c r="H400" s="1116"/>
      <c r="I400" s="1116"/>
      <c r="J400" s="1116"/>
      <c r="K400" s="1116"/>
      <c r="L400" s="1116"/>
      <c r="M400" s="1116"/>
      <c r="N400" s="1116"/>
      <c r="O400" s="1116"/>
      <c r="P400" s="1116"/>
      <c r="Q400" s="1116"/>
      <c r="R400" s="1116"/>
      <c r="S400" s="1116"/>
      <c r="T400" s="1116"/>
      <c r="U400" s="1116"/>
      <c r="V400" s="1116"/>
      <c r="W400" s="1116"/>
      <c r="X400" s="1116"/>
      <c r="Y400" s="1116"/>
      <c r="Z400" s="1116"/>
      <c r="AA400" s="1116"/>
      <c r="AB400" s="1116"/>
      <c r="AC400" s="1116"/>
    </row>
    <row r="401" spans="1:29" x14ac:dyDescent="0.35">
      <c r="A401" s="1116"/>
      <c r="B401" s="1116"/>
      <c r="C401" s="1116"/>
      <c r="D401" s="1116"/>
      <c r="E401" s="1116"/>
      <c r="F401" s="1116"/>
      <c r="G401" s="1116"/>
      <c r="H401" s="1116"/>
      <c r="I401" s="1116"/>
      <c r="J401" s="1116"/>
      <c r="K401" s="1116"/>
      <c r="L401" s="1116"/>
      <c r="M401" s="1116"/>
      <c r="N401" s="1116"/>
      <c r="O401" s="1116"/>
      <c r="P401" s="1116"/>
      <c r="Q401" s="1116"/>
      <c r="R401" s="1116"/>
      <c r="S401" s="1116"/>
      <c r="T401" s="1116"/>
      <c r="U401" s="1116"/>
      <c r="V401" s="1116"/>
      <c r="W401" s="1116"/>
      <c r="X401" s="1116"/>
      <c r="Y401" s="1116"/>
      <c r="Z401" s="1116"/>
      <c r="AA401" s="1116"/>
      <c r="AB401" s="1116"/>
      <c r="AC401" s="1116"/>
    </row>
    <row r="402" spans="1:29" x14ac:dyDescent="0.35">
      <c r="A402" s="1116"/>
      <c r="B402" s="1116"/>
      <c r="C402" s="1116"/>
      <c r="D402" s="1116"/>
      <c r="E402" s="1116"/>
      <c r="F402" s="1116"/>
      <c r="G402" s="1116"/>
      <c r="H402" s="1116"/>
      <c r="I402" s="1116"/>
      <c r="J402" s="1116"/>
      <c r="K402" s="1116"/>
      <c r="L402" s="1116"/>
      <c r="M402" s="1116"/>
      <c r="N402" s="1116"/>
      <c r="O402" s="1116"/>
      <c r="P402" s="1116"/>
      <c r="Q402" s="1116"/>
      <c r="R402" s="1116"/>
      <c r="S402" s="1116"/>
      <c r="T402" s="1116"/>
      <c r="U402" s="1116"/>
      <c r="V402" s="1116"/>
      <c r="W402" s="1116"/>
      <c r="X402" s="1116"/>
      <c r="Y402" s="1116"/>
      <c r="Z402" s="1116"/>
      <c r="AA402" s="1116"/>
      <c r="AB402" s="1116"/>
      <c r="AC402" s="1116"/>
    </row>
    <row r="403" spans="1:29" x14ac:dyDescent="0.35">
      <c r="A403" s="1116"/>
      <c r="B403" s="1116"/>
      <c r="C403" s="1116"/>
      <c r="D403" s="1116"/>
      <c r="E403" s="1116"/>
      <c r="F403" s="1116"/>
      <c r="G403" s="1116"/>
      <c r="H403" s="1116"/>
      <c r="I403" s="1116"/>
      <c r="J403" s="1116"/>
      <c r="K403" s="1116"/>
      <c r="L403" s="1116"/>
      <c r="M403" s="1116"/>
      <c r="N403" s="1116"/>
      <c r="O403" s="1116"/>
      <c r="P403" s="1116"/>
      <c r="Q403" s="1116"/>
      <c r="R403" s="1116"/>
      <c r="S403" s="1116"/>
      <c r="T403" s="1116"/>
      <c r="U403" s="1116"/>
      <c r="V403" s="1116"/>
      <c r="W403" s="1116"/>
      <c r="X403" s="1116"/>
      <c r="Y403" s="1116"/>
      <c r="Z403" s="1116"/>
      <c r="AA403" s="1116"/>
      <c r="AB403" s="1116"/>
      <c r="AC403" s="1116"/>
    </row>
    <row r="404" spans="1:29" x14ac:dyDescent="0.35">
      <c r="A404" s="1116"/>
      <c r="B404" s="1116"/>
      <c r="C404" s="1116"/>
      <c r="D404" s="1116"/>
      <c r="E404" s="1116"/>
      <c r="F404" s="1116"/>
      <c r="G404" s="1116"/>
      <c r="H404" s="1116"/>
      <c r="I404" s="1116"/>
      <c r="J404" s="1116"/>
      <c r="K404" s="1116"/>
      <c r="L404" s="1116"/>
      <c r="M404" s="1116"/>
      <c r="N404" s="1116"/>
      <c r="O404" s="1116"/>
      <c r="P404" s="1116"/>
      <c r="Q404" s="1116"/>
      <c r="R404" s="1116"/>
      <c r="S404" s="1116"/>
      <c r="T404" s="1116"/>
      <c r="U404" s="1116"/>
      <c r="V404" s="1116"/>
      <c r="W404" s="1116"/>
      <c r="X404" s="1116"/>
      <c r="Y404" s="1116"/>
      <c r="Z404" s="1116"/>
      <c r="AA404" s="1116"/>
      <c r="AB404" s="1116"/>
      <c r="AC404" s="1116"/>
    </row>
    <row r="405" spans="1:29" x14ac:dyDescent="0.35">
      <c r="A405" s="1116"/>
      <c r="B405" s="1116"/>
      <c r="C405" s="1116"/>
      <c r="D405" s="1116"/>
      <c r="E405" s="1116"/>
      <c r="F405" s="1116"/>
      <c r="G405" s="1116"/>
      <c r="H405" s="1116"/>
      <c r="I405" s="1116"/>
      <c r="J405" s="1116"/>
      <c r="K405" s="1116"/>
      <c r="L405" s="1116"/>
      <c r="M405" s="1116"/>
      <c r="N405" s="1116"/>
      <c r="O405" s="1116"/>
      <c r="P405" s="1116"/>
      <c r="Q405" s="1116"/>
      <c r="R405" s="1116"/>
      <c r="S405" s="1116"/>
      <c r="T405" s="1116"/>
      <c r="U405" s="1116"/>
      <c r="V405" s="1116"/>
      <c r="W405" s="1116"/>
      <c r="X405" s="1116"/>
      <c r="Y405" s="1116"/>
      <c r="Z405" s="1116"/>
      <c r="AA405" s="1116"/>
      <c r="AB405" s="1116"/>
      <c r="AC405" s="1116"/>
    </row>
    <row r="406" spans="1:29" x14ac:dyDescent="0.35">
      <c r="A406" s="1116"/>
      <c r="B406" s="1116"/>
      <c r="C406" s="1116"/>
      <c r="D406" s="1116"/>
      <c r="E406" s="1116"/>
      <c r="F406" s="1116"/>
      <c r="G406" s="1116"/>
      <c r="H406" s="1116"/>
      <c r="I406" s="1116"/>
      <c r="J406" s="1116"/>
      <c r="K406" s="1116"/>
      <c r="L406" s="1116"/>
      <c r="M406" s="1116"/>
      <c r="N406" s="1116"/>
      <c r="O406" s="1116"/>
      <c r="P406" s="1116"/>
      <c r="Q406" s="1116"/>
      <c r="R406" s="1116"/>
      <c r="S406" s="1116"/>
      <c r="T406" s="1116"/>
      <c r="U406" s="1116"/>
      <c r="V406" s="1116"/>
      <c r="W406" s="1116"/>
      <c r="X406" s="1116"/>
      <c r="Y406" s="1116"/>
      <c r="Z406" s="1116"/>
      <c r="AA406" s="1116"/>
      <c r="AB406" s="1116"/>
      <c r="AC406" s="1116"/>
    </row>
    <row r="407" spans="1:29" x14ac:dyDescent="0.35">
      <c r="A407" s="1116"/>
      <c r="B407" s="1116"/>
      <c r="C407" s="1116"/>
      <c r="D407" s="1116"/>
      <c r="E407" s="1116"/>
      <c r="F407" s="1116"/>
      <c r="G407" s="1116"/>
      <c r="H407" s="1116"/>
      <c r="I407" s="1116"/>
      <c r="J407" s="1116"/>
      <c r="K407" s="1116"/>
      <c r="L407" s="1116"/>
      <c r="M407" s="1116"/>
      <c r="N407" s="1116"/>
      <c r="O407" s="1116"/>
      <c r="P407" s="1116"/>
      <c r="Q407" s="1116"/>
      <c r="R407" s="1116"/>
      <c r="S407" s="1116"/>
      <c r="T407" s="1116"/>
      <c r="U407" s="1116"/>
      <c r="V407" s="1116"/>
      <c r="W407" s="1116"/>
      <c r="X407" s="1116"/>
      <c r="Y407" s="1116"/>
      <c r="Z407" s="1116"/>
      <c r="AA407" s="1116"/>
      <c r="AB407" s="1116"/>
      <c r="AC407" s="1116"/>
    </row>
    <row r="408" spans="1:29" x14ac:dyDescent="0.35">
      <c r="A408" s="1116"/>
      <c r="B408" s="1116"/>
      <c r="C408" s="1116"/>
      <c r="D408" s="1116"/>
      <c r="E408" s="1116"/>
      <c r="F408" s="1116"/>
      <c r="G408" s="1116"/>
      <c r="H408" s="1116"/>
      <c r="I408" s="1116"/>
      <c r="J408" s="1116"/>
      <c r="K408" s="1116"/>
      <c r="L408" s="1116"/>
      <c r="M408" s="1116"/>
      <c r="N408" s="1116"/>
      <c r="O408" s="1116"/>
      <c r="P408" s="1116"/>
      <c r="Q408" s="1116"/>
      <c r="R408" s="1116"/>
      <c r="S408" s="1116"/>
      <c r="T408" s="1116"/>
      <c r="U408" s="1116"/>
      <c r="V408" s="1116"/>
      <c r="W408" s="1116"/>
      <c r="X408" s="1116"/>
      <c r="Y408" s="1116"/>
      <c r="Z408" s="1116"/>
      <c r="AA408" s="1116"/>
      <c r="AB408" s="1116"/>
      <c r="AC408" s="1116"/>
    </row>
    <row r="409" spans="1:29" x14ac:dyDescent="0.35">
      <c r="A409" s="1116"/>
      <c r="B409" s="1116"/>
      <c r="C409" s="1116"/>
      <c r="D409" s="1116"/>
      <c r="E409" s="1116"/>
      <c r="F409" s="1116"/>
      <c r="G409" s="1116"/>
      <c r="H409" s="1116"/>
      <c r="I409" s="1116"/>
      <c r="J409" s="1116"/>
      <c r="K409" s="1116"/>
      <c r="L409" s="1116"/>
      <c r="M409" s="1116"/>
      <c r="N409" s="1116"/>
      <c r="O409" s="1116"/>
      <c r="P409" s="1116"/>
      <c r="Q409" s="1116"/>
      <c r="R409" s="1116"/>
      <c r="S409" s="1116"/>
      <c r="T409" s="1116"/>
      <c r="U409" s="1116"/>
      <c r="V409" s="1116"/>
      <c r="W409" s="1116"/>
      <c r="X409" s="1116"/>
      <c r="Y409" s="1116"/>
      <c r="Z409" s="1116"/>
      <c r="AA409" s="1116"/>
      <c r="AB409" s="1116"/>
      <c r="AC409" s="1116"/>
    </row>
    <row r="410" spans="1:29" x14ac:dyDescent="0.35">
      <c r="A410" s="1116"/>
      <c r="B410" s="1116"/>
      <c r="C410" s="1116"/>
      <c r="D410" s="1116"/>
      <c r="E410" s="1116"/>
      <c r="F410" s="1116"/>
      <c r="G410" s="1116"/>
      <c r="H410" s="1116"/>
      <c r="I410" s="1116"/>
      <c r="J410" s="1116"/>
      <c r="K410" s="1116"/>
      <c r="L410" s="1116"/>
      <c r="M410" s="1116"/>
      <c r="N410" s="1116"/>
      <c r="O410" s="1116"/>
      <c r="P410" s="1116"/>
      <c r="Q410" s="1116"/>
      <c r="R410" s="1116"/>
      <c r="S410" s="1116"/>
      <c r="T410" s="1116"/>
      <c r="U410" s="1116"/>
      <c r="V410" s="1116"/>
      <c r="W410" s="1116"/>
      <c r="X410" s="1116"/>
      <c r="Y410" s="1116"/>
      <c r="Z410" s="1116"/>
      <c r="AA410" s="1116"/>
      <c r="AB410" s="1116"/>
      <c r="AC410" s="1116"/>
    </row>
    <row r="411" spans="1:29" x14ac:dyDescent="0.35">
      <c r="A411" s="1116"/>
      <c r="B411" s="1116"/>
      <c r="C411" s="1116"/>
      <c r="D411" s="1116"/>
      <c r="E411" s="1116"/>
      <c r="F411" s="1116"/>
      <c r="G411" s="1116"/>
      <c r="H411" s="1116"/>
      <c r="I411" s="1116"/>
      <c r="J411" s="1116"/>
      <c r="K411" s="1116"/>
      <c r="L411" s="1116"/>
      <c r="M411" s="1116"/>
      <c r="N411" s="1116"/>
      <c r="O411" s="1116"/>
      <c r="P411" s="1116"/>
      <c r="Q411" s="1116"/>
      <c r="R411" s="1116"/>
      <c r="S411" s="1116"/>
      <c r="T411" s="1116"/>
      <c r="U411" s="1116"/>
      <c r="V411" s="1116"/>
      <c r="W411" s="1116"/>
      <c r="X411" s="1116"/>
      <c r="Y411" s="1116"/>
      <c r="Z411" s="1116"/>
      <c r="AA411" s="1116"/>
      <c r="AB411" s="1116"/>
      <c r="AC411" s="1116"/>
    </row>
    <row r="412" spans="1:29" x14ac:dyDescent="0.35">
      <c r="A412" s="1116"/>
      <c r="B412" s="1116"/>
      <c r="C412" s="1116"/>
      <c r="D412" s="1116"/>
      <c r="E412" s="1116"/>
      <c r="F412" s="1116"/>
      <c r="G412" s="1116"/>
      <c r="H412" s="1116"/>
      <c r="I412" s="1116"/>
      <c r="J412" s="1116"/>
      <c r="K412" s="1116"/>
      <c r="L412" s="1116"/>
      <c r="M412" s="1116"/>
      <c r="N412" s="1116"/>
      <c r="O412" s="1116"/>
      <c r="P412" s="1116"/>
      <c r="Q412" s="1116"/>
      <c r="R412" s="1116"/>
      <c r="S412" s="1116"/>
      <c r="T412" s="1116"/>
      <c r="U412" s="1116"/>
      <c r="V412" s="1116"/>
      <c r="W412" s="1116"/>
      <c r="X412" s="1116"/>
      <c r="Y412" s="1116"/>
      <c r="Z412" s="1116"/>
      <c r="AA412" s="1116"/>
      <c r="AB412" s="1116"/>
      <c r="AC412" s="1116"/>
    </row>
    <row r="413" spans="1:29" x14ac:dyDescent="0.35">
      <c r="A413" s="1116"/>
      <c r="B413" s="1116"/>
      <c r="C413" s="1116"/>
      <c r="D413" s="1116"/>
      <c r="E413" s="1116"/>
      <c r="F413" s="1116"/>
      <c r="G413" s="1116"/>
      <c r="H413" s="1116"/>
      <c r="I413" s="1116"/>
      <c r="J413" s="1116"/>
      <c r="K413" s="1116"/>
      <c r="L413" s="1116"/>
      <c r="M413" s="1116"/>
      <c r="N413" s="1116"/>
      <c r="O413" s="1116"/>
      <c r="P413" s="1116"/>
      <c r="Q413" s="1116"/>
      <c r="R413" s="1116"/>
      <c r="S413" s="1116"/>
      <c r="T413" s="1116"/>
      <c r="U413" s="1116"/>
      <c r="V413" s="1116"/>
      <c r="W413" s="1116"/>
      <c r="X413" s="1116"/>
      <c r="Y413" s="1116"/>
      <c r="Z413" s="1116"/>
      <c r="AA413" s="1116"/>
      <c r="AB413" s="1116"/>
      <c r="AC413" s="1116"/>
    </row>
    <row r="414" spans="1:29" x14ac:dyDescent="0.35">
      <c r="A414" s="1116"/>
      <c r="B414" s="1116"/>
      <c r="C414" s="1116"/>
      <c r="D414" s="1116"/>
      <c r="E414" s="1116"/>
      <c r="F414" s="1116"/>
      <c r="G414" s="1116"/>
      <c r="H414" s="1116"/>
      <c r="I414" s="1116"/>
      <c r="J414" s="1116"/>
      <c r="K414" s="1116"/>
      <c r="L414" s="1116"/>
      <c r="M414" s="1116"/>
      <c r="N414" s="1116"/>
      <c r="O414" s="1116"/>
      <c r="P414" s="1116"/>
      <c r="Q414" s="1116"/>
      <c r="R414" s="1116"/>
      <c r="S414" s="1116"/>
      <c r="T414" s="1116"/>
      <c r="U414" s="1116"/>
      <c r="V414" s="1116"/>
      <c r="W414" s="1116"/>
      <c r="X414" s="1116"/>
      <c r="Y414" s="1116"/>
      <c r="Z414" s="1116"/>
      <c r="AA414" s="1116"/>
      <c r="AB414" s="1116"/>
      <c r="AC414" s="1116"/>
    </row>
    <row r="415" spans="1:29" x14ac:dyDescent="0.35">
      <c r="A415" s="1116"/>
      <c r="B415" s="1116"/>
      <c r="C415" s="1116"/>
      <c r="D415" s="1116"/>
      <c r="E415" s="1116"/>
      <c r="F415" s="1116"/>
      <c r="G415" s="1116"/>
      <c r="H415" s="1116"/>
      <c r="I415" s="1116"/>
      <c r="J415" s="1116"/>
      <c r="K415" s="1116"/>
      <c r="L415" s="1116"/>
      <c r="M415" s="1116"/>
      <c r="N415" s="1116"/>
      <c r="O415" s="1116"/>
      <c r="P415" s="1116"/>
      <c r="Q415" s="1116"/>
      <c r="R415" s="1116"/>
      <c r="S415" s="1116"/>
      <c r="T415" s="1116"/>
      <c r="U415" s="1116"/>
      <c r="V415" s="1116"/>
      <c r="W415" s="1116"/>
      <c r="X415" s="1116"/>
      <c r="Y415" s="1116"/>
      <c r="Z415" s="1116"/>
      <c r="AA415" s="1116"/>
      <c r="AB415" s="1116"/>
      <c r="AC415" s="1116"/>
    </row>
    <row r="416" spans="1:29" x14ac:dyDescent="0.35">
      <c r="A416" s="1116"/>
      <c r="B416" s="1116"/>
      <c r="C416" s="1116"/>
      <c r="D416" s="1116"/>
      <c r="E416" s="1116"/>
      <c r="F416" s="1116"/>
      <c r="G416" s="1116"/>
      <c r="H416" s="1116"/>
      <c r="I416" s="1116"/>
      <c r="J416" s="1116"/>
      <c r="K416" s="1116"/>
      <c r="L416" s="1116"/>
      <c r="M416" s="1116"/>
      <c r="N416" s="1116"/>
      <c r="O416" s="1116"/>
      <c r="P416" s="1116"/>
      <c r="Q416" s="1116"/>
      <c r="R416" s="1116"/>
      <c r="S416" s="1116"/>
      <c r="T416" s="1116"/>
      <c r="U416" s="1116"/>
      <c r="V416" s="1116"/>
      <c r="W416" s="1116"/>
      <c r="X416" s="1116"/>
      <c r="Y416" s="1116"/>
      <c r="Z416" s="1116"/>
      <c r="AA416" s="1116"/>
      <c r="AB416" s="1116"/>
      <c r="AC416" s="1116"/>
    </row>
    <row r="417" spans="1:29" x14ac:dyDescent="0.35">
      <c r="A417" s="1116"/>
      <c r="B417" s="1116"/>
      <c r="C417" s="1116"/>
      <c r="D417" s="1116"/>
      <c r="E417" s="1116"/>
      <c r="F417" s="1116"/>
      <c r="G417" s="1116"/>
      <c r="H417" s="1116"/>
      <c r="I417" s="1116"/>
      <c r="J417" s="1116"/>
      <c r="K417" s="1116"/>
      <c r="L417" s="1116"/>
      <c r="M417" s="1116"/>
      <c r="N417" s="1116"/>
      <c r="O417" s="1116"/>
      <c r="P417" s="1116"/>
      <c r="Q417" s="1116"/>
      <c r="R417" s="1116"/>
      <c r="S417" s="1116"/>
      <c r="T417" s="1116"/>
      <c r="U417" s="1116"/>
      <c r="V417" s="1116"/>
      <c r="W417" s="1116"/>
      <c r="X417" s="1116"/>
      <c r="Y417" s="1116"/>
      <c r="Z417" s="1116"/>
      <c r="AA417" s="1116"/>
      <c r="AB417" s="1116"/>
      <c r="AC417" s="1116"/>
    </row>
    <row r="418" spans="1:29" x14ac:dyDescent="0.35">
      <c r="A418" s="1116"/>
      <c r="B418" s="1116"/>
      <c r="C418" s="1116"/>
      <c r="D418" s="1116"/>
      <c r="E418" s="1116"/>
      <c r="F418" s="1116"/>
      <c r="G418" s="1116"/>
      <c r="H418" s="1116"/>
      <c r="I418" s="1116"/>
      <c r="J418" s="1116"/>
      <c r="K418" s="1116"/>
      <c r="L418" s="1116"/>
      <c r="M418" s="1116"/>
      <c r="N418" s="1116"/>
      <c r="O418" s="1116"/>
      <c r="P418" s="1116"/>
      <c r="Q418" s="1116"/>
      <c r="R418" s="1116"/>
      <c r="S418" s="1116"/>
      <c r="T418" s="1116"/>
      <c r="U418" s="1116"/>
      <c r="V418" s="1116"/>
      <c r="W418" s="1116"/>
      <c r="X418" s="1116"/>
      <c r="Y418" s="1116"/>
      <c r="Z418" s="1116"/>
      <c r="AA418" s="1116"/>
      <c r="AB418" s="1116"/>
      <c r="AC418" s="1116"/>
    </row>
    <row r="419" spans="1:29" x14ac:dyDescent="0.35">
      <c r="A419" s="1116"/>
      <c r="B419" s="1116"/>
      <c r="C419" s="1116"/>
      <c r="D419" s="1116"/>
      <c r="E419" s="1116"/>
      <c r="F419" s="1116"/>
      <c r="G419" s="1116"/>
      <c r="H419" s="1116"/>
      <c r="I419" s="1116"/>
      <c r="J419" s="1116"/>
      <c r="K419" s="1116"/>
      <c r="L419" s="1116"/>
      <c r="M419" s="1116"/>
      <c r="N419" s="1116"/>
      <c r="O419" s="1116"/>
      <c r="P419" s="1116"/>
      <c r="Q419" s="1116"/>
      <c r="R419" s="1116"/>
      <c r="S419" s="1116"/>
      <c r="T419" s="1116"/>
      <c r="U419" s="1116"/>
      <c r="V419" s="1116"/>
      <c r="W419" s="1116"/>
      <c r="X419" s="1116"/>
      <c r="Y419" s="1116"/>
      <c r="Z419" s="1116"/>
      <c r="AA419" s="1116"/>
      <c r="AB419" s="1116"/>
      <c r="AC419" s="1116"/>
    </row>
    <row r="420" spans="1:29" x14ac:dyDescent="0.35">
      <c r="A420" s="1116"/>
      <c r="B420" s="1116"/>
      <c r="C420" s="1116"/>
      <c r="D420" s="1116"/>
      <c r="E420" s="1116"/>
      <c r="F420" s="1116"/>
      <c r="G420" s="1116"/>
      <c r="H420" s="1116"/>
      <c r="I420" s="1116"/>
      <c r="J420" s="1116"/>
      <c r="K420" s="1116"/>
      <c r="L420" s="1116"/>
      <c r="M420" s="1116"/>
      <c r="N420" s="1116"/>
      <c r="O420" s="1116"/>
      <c r="P420" s="1116"/>
      <c r="Q420" s="1116"/>
      <c r="R420" s="1116"/>
      <c r="S420" s="1116"/>
      <c r="T420" s="1116"/>
      <c r="U420" s="1116"/>
      <c r="V420" s="1116"/>
      <c r="W420" s="1116"/>
      <c r="X420" s="1116"/>
      <c r="Y420" s="1116"/>
      <c r="Z420" s="1116"/>
      <c r="AA420" s="1116"/>
      <c r="AB420" s="1116"/>
      <c r="AC420" s="1116"/>
    </row>
    <row r="421" spans="1:29" x14ac:dyDescent="0.35">
      <c r="A421" s="1116"/>
      <c r="B421" s="1116"/>
      <c r="C421" s="1116"/>
      <c r="D421" s="1116"/>
      <c r="E421" s="1116"/>
      <c r="F421" s="1116"/>
      <c r="G421" s="1116"/>
      <c r="H421" s="1116"/>
      <c r="I421" s="1116"/>
      <c r="J421" s="1116"/>
      <c r="K421" s="1116"/>
      <c r="L421" s="1116"/>
      <c r="M421" s="1116"/>
      <c r="N421" s="1116"/>
      <c r="O421" s="1116"/>
      <c r="P421" s="1116"/>
      <c r="Q421" s="1116"/>
      <c r="R421" s="1116"/>
      <c r="S421" s="1116"/>
      <c r="T421" s="1116"/>
      <c r="U421" s="1116"/>
      <c r="V421" s="1116"/>
      <c r="W421" s="1116"/>
      <c r="X421" s="1116"/>
      <c r="Y421" s="1116"/>
      <c r="Z421" s="1116"/>
      <c r="AA421" s="1116"/>
      <c r="AB421" s="1116"/>
      <c r="AC421" s="1116"/>
    </row>
    <row r="422" spans="1:29" x14ac:dyDescent="0.35">
      <c r="A422" s="1116"/>
      <c r="B422" s="1116"/>
      <c r="C422" s="1116"/>
      <c r="D422" s="1116"/>
      <c r="E422" s="1116"/>
      <c r="F422" s="1116"/>
      <c r="G422" s="1116"/>
      <c r="H422" s="1116"/>
      <c r="I422" s="1116"/>
      <c r="J422" s="1116"/>
      <c r="K422" s="1116"/>
      <c r="L422" s="1116"/>
      <c r="M422" s="1116"/>
      <c r="N422" s="1116"/>
      <c r="O422" s="1116"/>
      <c r="P422" s="1116"/>
      <c r="Q422" s="1116"/>
      <c r="R422" s="1116"/>
      <c r="S422" s="1116"/>
      <c r="T422" s="1116"/>
      <c r="U422" s="1116"/>
      <c r="V422" s="1116"/>
      <c r="W422" s="1116"/>
      <c r="X422" s="1116"/>
      <c r="Y422" s="1116"/>
      <c r="Z422" s="1116"/>
      <c r="AA422" s="1116"/>
      <c r="AB422" s="1116"/>
      <c r="AC422" s="1116"/>
    </row>
    <row r="423" spans="1:29" x14ac:dyDescent="0.35">
      <c r="A423" s="1116"/>
      <c r="B423" s="1116"/>
      <c r="C423" s="1116"/>
      <c r="D423" s="1116"/>
      <c r="E423" s="1116"/>
      <c r="F423" s="1116"/>
      <c r="G423" s="1116"/>
      <c r="H423" s="1116"/>
      <c r="I423" s="1116"/>
      <c r="J423" s="1116"/>
      <c r="K423" s="1116"/>
      <c r="L423" s="1116"/>
      <c r="M423" s="1116"/>
      <c r="N423" s="1116"/>
      <c r="O423" s="1116"/>
      <c r="P423" s="1116"/>
      <c r="Q423" s="1116"/>
      <c r="R423" s="1116"/>
      <c r="S423" s="1116"/>
      <c r="T423" s="1116"/>
      <c r="U423" s="1116"/>
      <c r="V423" s="1116"/>
      <c r="W423" s="1116"/>
      <c r="X423" s="1116"/>
      <c r="Y423" s="1116"/>
      <c r="Z423" s="1116"/>
      <c r="AA423" s="1116"/>
      <c r="AB423" s="1116"/>
      <c r="AC423" s="1116"/>
    </row>
    <row r="424" spans="1:29" x14ac:dyDescent="0.35">
      <c r="A424" s="1116"/>
      <c r="B424" s="1116"/>
      <c r="C424" s="1116"/>
      <c r="D424" s="1116"/>
      <c r="E424" s="1116"/>
      <c r="F424" s="1116"/>
      <c r="G424" s="1116"/>
      <c r="H424" s="1116"/>
      <c r="I424" s="1116"/>
      <c r="J424" s="1116"/>
      <c r="K424" s="1116"/>
      <c r="L424" s="1116"/>
      <c r="M424" s="1116"/>
      <c r="N424" s="1116"/>
      <c r="O424" s="1116"/>
      <c r="P424" s="1116"/>
      <c r="Q424" s="1116"/>
      <c r="R424" s="1116"/>
      <c r="S424" s="1116"/>
      <c r="T424" s="1116"/>
      <c r="U424" s="1116"/>
      <c r="V424" s="1116"/>
      <c r="W424" s="1116"/>
      <c r="X424" s="1116"/>
      <c r="Y424" s="1116"/>
      <c r="Z424" s="1116"/>
      <c r="AA424" s="1116"/>
      <c r="AB424" s="1116"/>
      <c r="AC424" s="1116"/>
    </row>
    <row r="425" spans="1:29" x14ac:dyDescent="0.35">
      <c r="A425" s="1116"/>
      <c r="B425" s="1116"/>
      <c r="C425" s="1116"/>
      <c r="D425" s="1116"/>
      <c r="E425" s="1116"/>
      <c r="F425" s="1116"/>
      <c r="G425" s="1116"/>
      <c r="H425" s="1116"/>
      <c r="I425" s="1116"/>
      <c r="J425" s="1116"/>
      <c r="K425" s="1116"/>
      <c r="L425" s="1116"/>
      <c r="M425" s="1116"/>
      <c r="N425" s="1116"/>
      <c r="O425" s="1116"/>
      <c r="P425" s="1116"/>
      <c r="Q425" s="1116"/>
      <c r="R425" s="1116"/>
      <c r="S425" s="1116"/>
      <c r="T425" s="1116"/>
      <c r="U425" s="1116"/>
      <c r="V425" s="1116"/>
      <c r="W425" s="1116"/>
      <c r="X425" s="1116"/>
      <c r="Y425" s="1116"/>
      <c r="Z425" s="1116"/>
      <c r="AA425" s="1116"/>
      <c r="AB425" s="1116"/>
      <c r="AC425" s="1116"/>
    </row>
    <row r="426" spans="1:29" x14ac:dyDescent="0.35">
      <c r="A426" s="1116"/>
      <c r="B426" s="1116"/>
      <c r="C426" s="1116"/>
      <c r="D426" s="1116"/>
      <c r="E426" s="1116"/>
      <c r="F426" s="1116"/>
      <c r="G426" s="1116"/>
      <c r="H426" s="1116"/>
      <c r="I426" s="1116"/>
      <c r="J426" s="1116"/>
      <c r="K426" s="1116"/>
      <c r="L426" s="1116"/>
      <c r="M426" s="1116"/>
      <c r="N426" s="1116"/>
      <c r="O426" s="1116"/>
      <c r="P426" s="1116"/>
      <c r="Q426" s="1116"/>
      <c r="R426" s="1116"/>
      <c r="S426" s="1116"/>
      <c r="T426" s="1116"/>
      <c r="U426" s="1116"/>
      <c r="V426" s="1116"/>
      <c r="W426" s="1116"/>
      <c r="X426" s="1116"/>
      <c r="Y426" s="1116"/>
      <c r="Z426" s="1116"/>
      <c r="AA426" s="1116"/>
      <c r="AB426" s="1116"/>
      <c r="AC426" s="1116"/>
    </row>
    <row r="427" spans="1:29" x14ac:dyDescent="0.35">
      <c r="A427" s="1116"/>
      <c r="B427" s="1116"/>
      <c r="C427" s="1116"/>
      <c r="D427" s="1116"/>
      <c r="E427" s="1116"/>
      <c r="F427" s="1116"/>
      <c r="G427" s="1116"/>
      <c r="H427" s="1116"/>
      <c r="I427" s="1116"/>
      <c r="J427" s="1116"/>
      <c r="K427" s="1116"/>
      <c r="L427" s="1116"/>
      <c r="M427" s="1116"/>
      <c r="N427" s="1116"/>
      <c r="O427" s="1116"/>
      <c r="P427" s="1116"/>
      <c r="Q427" s="1116"/>
      <c r="R427" s="1116"/>
      <c r="S427" s="1116"/>
      <c r="T427" s="1116"/>
      <c r="U427" s="1116"/>
      <c r="V427" s="1116"/>
      <c r="W427" s="1116"/>
      <c r="X427" s="1116"/>
      <c r="Y427" s="1116"/>
      <c r="Z427" s="1116"/>
      <c r="AA427" s="1116"/>
      <c r="AB427" s="1116"/>
      <c r="AC427" s="1116"/>
    </row>
    <row r="428" spans="1:29" x14ac:dyDescent="0.35">
      <c r="A428" s="1116"/>
      <c r="B428" s="1116"/>
      <c r="C428" s="1116"/>
      <c r="D428" s="1116"/>
      <c r="E428" s="1116"/>
      <c r="F428" s="1116"/>
      <c r="G428" s="1116"/>
      <c r="H428" s="1116"/>
      <c r="I428" s="1116"/>
      <c r="J428" s="1116"/>
      <c r="K428" s="1116"/>
      <c r="L428" s="1116"/>
      <c r="M428" s="1116"/>
      <c r="N428" s="1116"/>
      <c r="O428" s="1116"/>
      <c r="P428" s="1116"/>
      <c r="Q428" s="1116"/>
      <c r="R428" s="1116"/>
      <c r="S428" s="1116"/>
      <c r="T428" s="1116"/>
      <c r="U428" s="1116"/>
      <c r="V428" s="1116"/>
      <c r="W428" s="1116"/>
      <c r="X428" s="1116"/>
      <c r="Y428" s="1116"/>
      <c r="Z428" s="1116"/>
      <c r="AA428" s="1116"/>
      <c r="AB428" s="1116"/>
      <c r="AC428" s="1116"/>
    </row>
    <row r="429" spans="1:29" x14ac:dyDescent="0.35">
      <c r="A429" s="1116"/>
      <c r="B429" s="1116"/>
      <c r="C429" s="1116"/>
      <c r="D429" s="1116"/>
      <c r="E429" s="1116"/>
      <c r="F429" s="1116"/>
      <c r="G429" s="1116"/>
      <c r="H429" s="1116"/>
      <c r="I429" s="1116"/>
      <c r="J429" s="1116"/>
      <c r="K429" s="1116"/>
      <c r="L429" s="1116"/>
      <c r="M429" s="1116"/>
      <c r="N429" s="1116"/>
      <c r="O429" s="1116"/>
      <c r="P429" s="1116"/>
      <c r="Q429" s="1116"/>
      <c r="R429" s="1116"/>
      <c r="S429" s="1116"/>
      <c r="T429" s="1116"/>
      <c r="U429" s="1116"/>
      <c r="V429" s="1116"/>
      <c r="W429" s="1116"/>
      <c r="X429" s="1116"/>
      <c r="Y429" s="1116"/>
      <c r="Z429" s="1116"/>
      <c r="AA429" s="1116"/>
      <c r="AB429" s="1116"/>
      <c r="AC429" s="1116"/>
    </row>
    <row r="430" spans="1:29" x14ac:dyDescent="0.35">
      <c r="A430" s="1116"/>
      <c r="B430" s="1116"/>
      <c r="C430" s="1116"/>
      <c r="D430" s="1116"/>
      <c r="E430" s="1116"/>
      <c r="F430" s="1116"/>
      <c r="G430" s="1116"/>
      <c r="H430" s="1116"/>
      <c r="I430" s="1116"/>
      <c r="J430" s="1116"/>
      <c r="K430" s="1116"/>
      <c r="L430" s="1116"/>
      <c r="M430" s="1116"/>
      <c r="N430" s="1116"/>
      <c r="O430" s="1116"/>
      <c r="P430" s="1116"/>
      <c r="Q430" s="1116"/>
      <c r="R430" s="1116"/>
      <c r="S430" s="1116"/>
      <c r="T430" s="1116"/>
      <c r="U430" s="1116"/>
      <c r="V430" s="1116"/>
      <c r="W430" s="1116"/>
      <c r="X430" s="1116"/>
      <c r="Y430" s="1116"/>
      <c r="Z430" s="1116"/>
      <c r="AA430" s="1116"/>
      <c r="AB430" s="1116"/>
      <c r="AC430" s="1116"/>
    </row>
    <row r="431" spans="1:29" x14ac:dyDescent="0.35">
      <c r="A431" s="1116"/>
      <c r="B431" s="1116"/>
      <c r="C431" s="1116"/>
      <c r="D431" s="1116"/>
      <c r="E431" s="1116"/>
      <c r="F431" s="1116"/>
      <c r="G431" s="1116"/>
      <c r="H431" s="1116"/>
      <c r="I431" s="1116"/>
      <c r="J431" s="1116"/>
      <c r="K431" s="1116"/>
      <c r="L431" s="1116"/>
      <c r="M431" s="1116"/>
      <c r="N431" s="1116"/>
      <c r="O431" s="1116"/>
      <c r="P431" s="1116"/>
      <c r="Q431" s="1116"/>
      <c r="R431" s="1116"/>
      <c r="S431" s="1116"/>
      <c r="T431" s="1116"/>
      <c r="U431" s="1116"/>
      <c r="V431" s="1116"/>
      <c r="W431" s="1116"/>
      <c r="X431" s="1116"/>
      <c r="Y431" s="1116"/>
      <c r="Z431" s="1116"/>
      <c r="AA431" s="1116"/>
      <c r="AB431" s="1116"/>
      <c r="AC431" s="1116"/>
    </row>
    <row r="432" spans="1:29" x14ac:dyDescent="0.35">
      <c r="A432" s="1116"/>
      <c r="B432" s="1116"/>
      <c r="C432" s="1116"/>
      <c r="D432" s="1116"/>
      <c r="E432" s="1116"/>
      <c r="F432" s="1116"/>
      <c r="G432" s="1116"/>
      <c r="H432" s="1116"/>
      <c r="I432" s="1116"/>
      <c r="J432" s="1116"/>
      <c r="K432" s="1116"/>
      <c r="L432" s="1116"/>
      <c r="M432" s="1116"/>
      <c r="N432" s="1116"/>
      <c r="O432" s="1116"/>
      <c r="P432" s="1116"/>
      <c r="Q432" s="1116"/>
      <c r="R432" s="1116"/>
      <c r="S432" s="1116"/>
      <c r="T432" s="1116"/>
      <c r="U432" s="1116"/>
      <c r="V432" s="1116"/>
      <c r="W432" s="1116"/>
      <c r="X432" s="1116"/>
      <c r="Y432" s="1116"/>
      <c r="Z432" s="1116"/>
      <c r="AA432" s="1116"/>
      <c r="AB432" s="1116"/>
      <c r="AC432" s="1116"/>
    </row>
    <row r="433" spans="1:29" x14ac:dyDescent="0.35">
      <c r="A433" s="1116"/>
      <c r="B433" s="1116"/>
      <c r="C433" s="1116"/>
      <c r="D433" s="1116"/>
      <c r="E433" s="1116"/>
      <c r="F433" s="1116"/>
      <c r="G433" s="1116"/>
      <c r="H433" s="1116"/>
      <c r="I433" s="1116"/>
      <c r="J433" s="1116"/>
      <c r="K433" s="1116"/>
      <c r="L433" s="1116"/>
      <c r="M433" s="1116"/>
      <c r="N433" s="1116"/>
      <c r="O433" s="1116"/>
      <c r="P433" s="1116"/>
      <c r="Q433" s="1116"/>
      <c r="R433" s="1116"/>
      <c r="S433" s="1116"/>
      <c r="T433" s="1116"/>
      <c r="U433" s="1116"/>
      <c r="V433" s="1116"/>
      <c r="W433" s="1116"/>
      <c r="X433" s="1116"/>
      <c r="Y433" s="1116"/>
      <c r="Z433" s="1116"/>
      <c r="AA433" s="1116"/>
      <c r="AB433" s="1116"/>
      <c r="AC433" s="1116"/>
    </row>
    <row r="434" spans="1:29" x14ac:dyDescent="0.35">
      <c r="A434" s="1116"/>
      <c r="B434" s="1116"/>
      <c r="C434" s="1116"/>
      <c r="D434" s="1116"/>
      <c r="E434" s="1116"/>
      <c r="F434" s="1116"/>
      <c r="G434" s="1116"/>
      <c r="H434" s="1116"/>
      <c r="I434" s="1116"/>
      <c r="J434" s="1116"/>
      <c r="K434" s="1116"/>
      <c r="L434" s="1116"/>
      <c r="M434" s="1116"/>
      <c r="N434" s="1116"/>
      <c r="O434" s="1116"/>
      <c r="P434" s="1116"/>
      <c r="Q434" s="1116"/>
      <c r="R434" s="1116"/>
      <c r="S434" s="1116"/>
      <c r="T434" s="1116"/>
      <c r="U434" s="1116"/>
      <c r="V434" s="1116"/>
      <c r="W434" s="1116"/>
      <c r="X434" s="1116"/>
      <c r="Y434" s="1116"/>
      <c r="Z434" s="1116"/>
      <c r="AA434" s="1116"/>
      <c r="AB434" s="1116"/>
      <c r="AC434" s="1116"/>
    </row>
    <row r="435" spans="1:29" x14ac:dyDescent="0.35">
      <c r="A435" s="1116"/>
      <c r="B435" s="1116"/>
      <c r="C435" s="1116"/>
      <c r="D435" s="1116"/>
      <c r="E435" s="1116"/>
      <c r="F435" s="1116"/>
      <c r="G435" s="1116"/>
      <c r="H435" s="1116"/>
      <c r="I435" s="1116"/>
      <c r="J435" s="1116"/>
      <c r="K435" s="1116"/>
      <c r="L435" s="1116"/>
      <c r="M435" s="1116"/>
      <c r="N435" s="1116"/>
      <c r="O435" s="1116"/>
      <c r="P435" s="1116"/>
      <c r="Q435" s="1116"/>
      <c r="R435" s="1116"/>
      <c r="S435" s="1116"/>
      <c r="T435" s="1116"/>
      <c r="U435" s="1116"/>
      <c r="V435" s="1116"/>
      <c r="W435" s="1116"/>
      <c r="X435" s="1116"/>
      <c r="Y435" s="1116"/>
      <c r="Z435" s="1116"/>
      <c r="AA435" s="1116"/>
      <c r="AB435" s="1116"/>
      <c r="AC435" s="1116"/>
    </row>
    <row r="436" spans="1:29" x14ac:dyDescent="0.35">
      <c r="A436" s="1116"/>
      <c r="B436" s="1116"/>
      <c r="C436" s="1116"/>
      <c r="D436" s="1116"/>
      <c r="E436" s="1116"/>
      <c r="F436" s="1116"/>
      <c r="G436" s="1116"/>
      <c r="H436" s="1116"/>
      <c r="I436" s="1116"/>
      <c r="J436" s="1116"/>
      <c r="K436" s="1116"/>
      <c r="L436" s="1116"/>
      <c r="M436" s="1116"/>
      <c r="N436" s="1116"/>
      <c r="O436" s="1116"/>
      <c r="P436" s="1116"/>
      <c r="Q436" s="1116"/>
      <c r="R436" s="1116"/>
      <c r="S436" s="1116"/>
      <c r="T436" s="1116"/>
      <c r="U436" s="1116"/>
      <c r="V436" s="1116"/>
      <c r="W436" s="1116"/>
      <c r="X436" s="1116"/>
      <c r="Y436" s="1116"/>
      <c r="Z436" s="1116"/>
      <c r="AA436" s="1116"/>
      <c r="AB436" s="1116"/>
      <c r="AC436" s="1116"/>
    </row>
    <row r="437" spans="1:29" x14ac:dyDescent="0.35">
      <c r="A437" s="1116"/>
      <c r="B437" s="1116"/>
      <c r="C437" s="1116"/>
      <c r="D437" s="1116"/>
      <c r="E437" s="1116"/>
      <c r="F437" s="1116"/>
      <c r="G437" s="1116"/>
      <c r="H437" s="1116"/>
      <c r="I437" s="1116"/>
      <c r="J437" s="1116"/>
      <c r="K437" s="1116"/>
      <c r="L437" s="1116"/>
      <c r="M437" s="1116"/>
      <c r="N437" s="1116"/>
      <c r="O437" s="1116"/>
      <c r="P437" s="1116"/>
      <c r="Q437" s="1116"/>
      <c r="R437" s="1116"/>
      <c r="S437" s="1116"/>
      <c r="T437" s="1116"/>
      <c r="U437" s="1116"/>
      <c r="V437" s="1116"/>
      <c r="W437" s="1116"/>
      <c r="X437" s="1116"/>
      <c r="Y437" s="1116"/>
      <c r="Z437" s="1116"/>
      <c r="AA437" s="1116"/>
      <c r="AB437" s="1116"/>
      <c r="AC437" s="1116"/>
    </row>
    <row r="438" spans="1:29" x14ac:dyDescent="0.35">
      <c r="A438" s="1116"/>
      <c r="B438" s="1116"/>
      <c r="C438" s="1116"/>
      <c r="D438" s="1116"/>
      <c r="E438" s="1116"/>
      <c r="F438" s="1116"/>
      <c r="G438" s="1116"/>
      <c r="H438" s="1116"/>
      <c r="I438" s="1116"/>
      <c r="J438" s="1116"/>
      <c r="K438" s="1116"/>
      <c r="L438" s="1116"/>
      <c r="M438" s="1116"/>
      <c r="N438" s="1116"/>
      <c r="O438" s="1116"/>
      <c r="P438" s="1116"/>
      <c r="Q438" s="1116"/>
      <c r="R438" s="1116"/>
      <c r="S438" s="1116"/>
      <c r="T438" s="1116"/>
      <c r="U438" s="1116"/>
      <c r="V438" s="1116"/>
      <c r="W438" s="1116"/>
      <c r="X438" s="1116"/>
      <c r="Y438" s="1116"/>
      <c r="Z438" s="1116"/>
      <c r="AA438" s="1116"/>
      <c r="AB438" s="1116"/>
      <c r="AC438" s="1116"/>
    </row>
    <row r="439" spans="1:29" x14ac:dyDescent="0.35">
      <c r="A439" s="1116"/>
      <c r="B439" s="1116"/>
      <c r="C439" s="1116"/>
      <c r="D439" s="1116"/>
      <c r="E439" s="1116"/>
      <c r="F439" s="1116"/>
      <c r="G439" s="1116"/>
      <c r="H439" s="1116"/>
      <c r="I439" s="1116"/>
      <c r="J439" s="1116"/>
      <c r="K439" s="1116"/>
      <c r="L439" s="1116"/>
      <c r="M439" s="1116"/>
      <c r="N439" s="1116"/>
      <c r="O439" s="1116"/>
      <c r="P439" s="1116"/>
      <c r="Q439" s="1116"/>
      <c r="R439" s="1116"/>
      <c r="S439" s="1116"/>
      <c r="T439" s="1116"/>
      <c r="U439" s="1116"/>
      <c r="V439" s="1116"/>
      <c r="W439" s="1116"/>
      <c r="X439" s="1116"/>
      <c r="Y439" s="1116"/>
      <c r="Z439" s="1116"/>
      <c r="AA439" s="1116"/>
      <c r="AB439" s="1116"/>
      <c r="AC439" s="1116"/>
    </row>
    <row r="440" spans="1:29" x14ac:dyDescent="0.35">
      <c r="A440" s="1116"/>
      <c r="B440" s="1116"/>
      <c r="C440" s="1116"/>
      <c r="D440" s="1116"/>
      <c r="E440" s="1116"/>
      <c r="F440" s="1116"/>
      <c r="G440" s="1116"/>
      <c r="H440" s="1116"/>
      <c r="I440" s="1116"/>
      <c r="J440" s="1116"/>
      <c r="K440" s="1116"/>
      <c r="L440" s="1116"/>
      <c r="M440" s="1116"/>
      <c r="N440" s="1116"/>
      <c r="O440" s="1116"/>
      <c r="P440" s="1116"/>
      <c r="Q440" s="1116"/>
      <c r="R440" s="1116"/>
      <c r="S440" s="1116"/>
      <c r="T440" s="1116"/>
      <c r="U440" s="1116"/>
      <c r="V440" s="1116"/>
      <c r="W440" s="1116"/>
      <c r="X440" s="1116"/>
      <c r="Y440" s="1116"/>
      <c r="Z440" s="1116"/>
      <c r="AA440" s="1116"/>
      <c r="AB440" s="1116"/>
      <c r="AC440" s="1116"/>
    </row>
    <row r="441" spans="1:29" x14ac:dyDescent="0.35">
      <c r="A441" s="1116"/>
      <c r="B441" s="1116"/>
      <c r="C441" s="1116"/>
      <c r="D441" s="1116"/>
      <c r="E441" s="1116"/>
      <c r="F441" s="1116"/>
      <c r="G441" s="1116"/>
      <c r="H441" s="1116"/>
      <c r="I441" s="1116"/>
      <c r="J441" s="1116"/>
      <c r="K441" s="1116"/>
      <c r="L441" s="1116"/>
      <c r="M441" s="1116"/>
      <c r="N441" s="1116"/>
      <c r="O441" s="1116"/>
      <c r="P441" s="1116"/>
      <c r="Q441" s="1116"/>
      <c r="R441" s="1116"/>
      <c r="S441" s="1116"/>
      <c r="T441" s="1116"/>
      <c r="U441" s="1116"/>
      <c r="V441" s="1116"/>
      <c r="W441" s="1116"/>
      <c r="X441" s="1116"/>
      <c r="Y441" s="1116"/>
      <c r="Z441" s="1116"/>
      <c r="AA441" s="1116"/>
      <c r="AB441" s="1116"/>
      <c r="AC441" s="1116"/>
    </row>
    <row r="442" spans="1:29" x14ac:dyDescent="0.35">
      <c r="A442" s="1116"/>
      <c r="B442" s="1116"/>
      <c r="C442" s="1116"/>
      <c r="D442" s="1116"/>
      <c r="E442" s="1116"/>
      <c r="F442" s="1116"/>
      <c r="G442" s="1116"/>
      <c r="H442" s="1116"/>
      <c r="I442" s="1116"/>
      <c r="J442" s="1116"/>
      <c r="K442" s="1116"/>
      <c r="L442" s="1116"/>
      <c r="M442" s="1116"/>
      <c r="N442" s="1116"/>
      <c r="O442" s="1116"/>
      <c r="P442" s="1116"/>
      <c r="Q442" s="1116"/>
      <c r="R442" s="1116"/>
      <c r="S442" s="1116"/>
      <c r="T442" s="1116"/>
      <c r="U442" s="1116"/>
      <c r="V442" s="1116"/>
      <c r="W442" s="1116"/>
      <c r="X442" s="1116"/>
      <c r="Y442" s="1116"/>
      <c r="Z442" s="1116"/>
      <c r="AA442" s="1116"/>
      <c r="AB442" s="1116"/>
      <c r="AC442" s="1116"/>
    </row>
    <row r="443" spans="1:29" x14ac:dyDescent="0.35">
      <c r="A443" s="1116"/>
      <c r="B443" s="1116"/>
      <c r="C443" s="1116"/>
      <c r="D443" s="1116"/>
      <c r="E443" s="1116"/>
      <c r="F443" s="1116"/>
      <c r="G443" s="1116"/>
      <c r="H443" s="1116"/>
      <c r="I443" s="1116"/>
      <c r="J443" s="1116"/>
      <c r="K443" s="1116"/>
      <c r="L443" s="1116"/>
      <c r="M443" s="1116"/>
      <c r="N443" s="1116"/>
      <c r="O443" s="1116"/>
      <c r="P443" s="1116"/>
      <c r="Q443" s="1116"/>
      <c r="R443" s="1116"/>
      <c r="S443" s="1116"/>
      <c r="T443" s="1116"/>
      <c r="U443" s="1116"/>
      <c r="V443" s="1116"/>
      <c r="W443" s="1116"/>
      <c r="X443" s="1116"/>
      <c r="Y443" s="1116"/>
      <c r="Z443" s="1116"/>
      <c r="AA443" s="1116"/>
      <c r="AB443" s="1116"/>
      <c r="AC443" s="1116"/>
    </row>
    <row r="444" spans="1:29" x14ac:dyDescent="0.35">
      <c r="A444" s="1116"/>
      <c r="B444" s="1116"/>
      <c r="C444" s="1116"/>
      <c r="D444" s="1116"/>
      <c r="E444" s="1116"/>
      <c r="F444" s="1116"/>
      <c r="G444" s="1116"/>
      <c r="H444" s="1116"/>
      <c r="I444" s="1116"/>
      <c r="J444" s="1116"/>
      <c r="K444" s="1116"/>
      <c r="L444" s="1116"/>
      <c r="M444" s="1116"/>
      <c r="N444" s="1116"/>
      <c r="O444" s="1116"/>
      <c r="P444" s="1116"/>
      <c r="Q444" s="1116"/>
      <c r="R444" s="1116"/>
      <c r="S444" s="1116"/>
      <c r="T444" s="1116"/>
      <c r="U444" s="1116"/>
      <c r="V444" s="1116"/>
      <c r="W444" s="1116"/>
      <c r="X444" s="1116"/>
      <c r="Y444" s="1116"/>
      <c r="Z444" s="1116"/>
      <c r="AA444" s="1116"/>
      <c r="AB444" s="1116"/>
      <c r="AC444" s="1116"/>
    </row>
    <row r="445" spans="1:29" x14ac:dyDescent="0.35">
      <c r="A445" s="1116"/>
      <c r="B445" s="1116"/>
      <c r="C445" s="1116"/>
      <c r="D445" s="1116"/>
      <c r="E445" s="1116"/>
      <c r="F445" s="1116"/>
      <c r="G445" s="1116"/>
      <c r="H445" s="1116"/>
      <c r="I445" s="1116"/>
      <c r="J445" s="1116"/>
      <c r="K445" s="1116"/>
      <c r="L445" s="1116"/>
      <c r="M445" s="1116"/>
      <c r="N445" s="1116"/>
      <c r="O445" s="1116"/>
      <c r="P445" s="1116"/>
      <c r="Q445" s="1116"/>
      <c r="R445" s="1116"/>
      <c r="S445" s="1116"/>
      <c r="T445" s="1116"/>
      <c r="U445" s="1116"/>
      <c r="V445" s="1116"/>
      <c r="W445" s="1116"/>
      <c r="X445" s="1116"/>
      <c r="Y445" s="1116"/>
      <c r="Z445" s="1116"/>
      <c r="AA445" s="1116"/>
      <c r="AB445" s="1116"/>
      <c r="AC445" s="1116"/>
    </row>
    <row r="446" spans="1:29" x14ac:dyDescent="0.35">
      <c r="A446" s="1116"/>
      <c r="B446" s="1116"/>
      <c r="C446" s="1116"/>
      <c r="D446" s="1116"/>
      <c r="E446" s="1116"/>
      <c r="F446" s="1116"/>
      <c r="G446" s="1116"/>
      <c r="H446" s="1116"/>
      <c r="I446" s="1116"/>
      <c r="J446" s="1116"/>
      <c r="K446" s="1116"/>
      <c r="L446" s="1116"/>
      <c r="M446" s="1116"/>
      <c r="N446" s="1116"/>
      <c r="O446" s="1116"/>
      <c r="P446" s="1116"/>
      <c r="Q446" s="1116"/>
      <c r="R446" s="1116"/>
      <c r="S446" s="1116"/>
      <c r="T446" s="1116"/>
      <c r="U446" s="1116"/>
      <c r="V446" s="1116"/>
      <c r="W446" s="1116"/>
      <c r="X446" s="1116"/>
      <c r="Y446" s="1116"/>
      <c r="Z446" s="1116"/>
      <c r="AA446" s="1116"/>
      <c r="AB446" s="1116"/>
      <c r="AC446" s="1116"/>
    </row>
    <row r="447" spans="1:29" x14ac:dyDescent="0.35">
      <c r="A447" s="1116"/>
      <c r="B447" s="1116"/>
      <c r="C447" s="1116"/>
      <c r="D447" s="1116"/>
      <c r="E447" s="1116"/>
      <c r="F447" s="1116"/>
      <c r="G447" s="1116"/>
      <c r="H447" s="1116"/>
      <c r="I447" s="1116"/>
      <c r="J447" s="1116"/>
      <c r="K447" s="1116"/>
      <c r="L447" s="1116"/>
      <c r="M447" s="1116"/>
      <c r="N447" s="1116"/>
      <c r="O447" s="1116"/>
      <c r="P447" s="1116"/>
      <c r="Q447" s="1116"/>
      <c r="R447" s="1116"/>
      <c r="S447" s="1116"/>
      <c r="T447" s="1116"/>
      <c r="U447" s="1116"/>
      <c r="V447" s="1116"/>
      <c r="W447" s="1116"/>
      <c r="X447" s="1116"/>
      <c r="Y447" s="1116"/>
      <c r="Z447" s="1116"/>
      <c r="AA447" s="1116"/>
      <c r="AB447" s="1116"/>
      <c r="AC447" s="1116"/>
    </row>
    <row r="448" spans="1:29" x14ac:dyDescent="0.35">
      <c r="A448" s="1116"/>
      <c r="B448" s="1116"/>
      <c r="C448" s="1116"/>
      <c r="D448" s="1116"/>
      <c r="E448" s="1116"/>
      <c r="F448" s="1116"/>
      <c r="G448" s="1116"/>
      <c r="H448" s="1116"/>
      <c r="I448" s="1116"/>
      <c r="J448" s="1116"/>
      <c r="K448" s="1116"/>
      <c r="L448" s="1116"/>
      <c r="M448" s="1116"/>
      <c r="N448" s="1116"/>
      <c r="O448" s="1116"/>
      <c r="P448" s="1116"/>
      <c r="Q448" s="1116"/>
      <c r="R448" s="1116"/>
      <c r="S448" s="1116"/>
      <c r="T448" s="1116"/>
      <c r="U448" s="1116"/>
      <c r="V448" s="1116"/>
      <c r="W448" s="1116"/>
      <c r="X448" s="1116"/>
      <c r="Y448" s="1116"/>
      <c r="Z448" s="1116"/>
      <c r="AA448" s="1116"/>
      <c r="AB448" s="1116"/>
      <c r="AC448" s="1116"/>
    </row>
    <row r="449" spans="1:29" x14ac:dyDescent="0.35">
      <c r="A449" s="1116"/>
      <c r="B449" s="1116"/>
      <c r="C449" s="1116"/>
      <c r="D449" s="1116"/>
      <c r="E449" s="1116"/>
      <c r="F449" s="1116"/>
      <c r="G449" s="1116"/>
      <c r="H449" s="1116"/>
      <c r="I449" s="1116"/>
      <c r="J449" s="1116"/>
      <c r="K449" s="1116"/>
      <c r="L449" s="1116"/>
      <c r="M449" s="1116"/>
      <c r="N449" s="1116"/>
      <c r="O449" s="1116"/>
      <c r="P449" s="1116"/>
      <c r="Q449" s="1116"/>
      <c r="R449" s="1116"/>
      <c r="S449" s="1116"/>
      <c r="T449" s="1116"/>
      <c r="U449" s="1116"/>
      <c r="V449" s="1116"/>
      <c r="W449" s="1116"/>
      <c r="X449" s="1116"/>
      <c r="Y449" s="1116"/>
      <c r="Z449" s="1116"/>
      <c r="AA449" s="1116"/>
      <c r="AB449" s="1116"/>
      <c r="AC449" s="1116"/>
    </row>
    <row r="450" spans="1:29" x14ac:dyDescent="0.35">
      <c r="A450" s="1116"/>
      <c r="B450" s="1116"/>
      <c r="C450" s="1116"/>
      <c r="D450" s="1116"/>
      <c r="E450" s="1116"/>
      <c r="F450" s="1116"/>
      <c r="G450" s="1116"/>
      <c r="H450" s="1116"/>
      <c r="I450" s="1116"/>
      <c r="J450" s="1116"/>
      <c r="K450" s="1116"/>
      <c r="L450" s="1116"/>
      <c r="M450" s="1116"/>
      <c r="N450" s="1116"/>
      <c r="O450" s="1116"/>
      <c r="P450" s="1116"/>
      <c r="Q450" s="1116"/>
      <c r="R450" s="1116"/>
      <c r="S450" s="1116"/>
      <c r="T450" s="1116"/>
      <c r="U450" s="1116"/>
      <c r="V450" s="1116"/>
      <c r="W450" s="1116"/>
      <c r="X450" s="1116"/>
      <c r="Y450" s="1116"/>
      <c r="Z450" s="1116"/>
      <c r="AA450" s="1116"/>
      <c r="AB450" s="1116"/>
      <c r="AC450" s="1116"/>
    </row>
    <row r="451" spans="1:29" x14ac:dyDescent="0.35">
      <c r="A451" s="1116"/>
      <c r="B451" s="1116"/>
      <c r="C451" s="1116"/>
      <c r="D451" s="1116"/>
      <c r="E451" s="1116"/>
      <c r="F451" s="1116"/>
      <c r="G451" s="1116"/>
      <c r="H451" s="1116"/>
      <c r="I451" s="1116"/>
      <c r="J451" s="1116"/>
      <c r="K451" s="1116"/>
      <c r="L451" s="1116"/>
      <c r="M451" s="1116"/>
      <c r="N451" s="1116"/>
      <c r="O451" s="1116"/>
      <c r="P451" s="1116"/>
      <c r="Q451" s="1116"/>
      <c r="R451" s="1116"/>
      <c r="S451" s="1116"/>
      <c r="T451" s="1116"/>
      <c r="U451" s="1116"/>
      <c r="V451" s="1116"/>
      <c r="W451" s="1116"/>
      <c r="X451" s="1116"/>
      <c r="Y451" s="1116"/>
      <c r="Z451" s="1116"/>
      <c r="AA451" s="1116"/>
      <c r="AB451" s="1116"/>
      <c r="AC451" s="1116"/>
    </row>
    <row r="452" spans="1:29" x14ac:dyDescent="0.35">
      <c r="A452" s="1116"/>
      <c r="B452" s="1116"/>
      <c r="C452" s="1116"/>
      <c r="D452" s="1116"/>
      <c r="E452" s="1116"/>
      <c r="F452" s="1116"/>
      <c r="G452" s="1116"/>
      <c r="H452" s="1116"/>
      <c r="I452" s="1116"/>
      <c r="J452" s="1116"/>
      <c r="K452" s="1116"/>
      <c r="L452" s="1116"/>
      <c r="M452" s="1116"/>
      <c r="N452" s="1116"/>
      <c r="O452" s="1116"/>
      <c r="P452" s="1116"/>
      <c r="Q452" s="1116"/>
      <c r="R452" s="1116"/>
      <c r="S452" s="1116"/>
      <c r="T452" s="1116"/>
      <c r="U452" s="1116"/>
      <c r="V452" s="1116"/>
      <c r="W452" s="1116"/>
      <c r="X452" s="1116"/>
      <c r="Y452" s="1116"/>
      <c r="Z452" s="1116"/>
      <c r="AA452" s="1116"/>
      <c r="AB452" s="1116"/>
      <c r="AC452" s="1116"/>
    </row>
    <row r="453" spans="1:29" x14ac:dyDescent="0.35">
      <c r="A453" s="1116"/>
      <c r="B453" s="1116"/>
      <c r="C453" s="1116"/>
      <c r="D453" s="1116"/>
      <c r="E453" s="1116"/>
      <c r="F453" s="1116"/>
      <c r="G453" s="1116"/>
      <c r="H453" s="1116"/>
      <c r="I453" s="1116"/>
      <c r="J453" s="1116"/>
      <c r="K453" s="1116"/>
      <c r="L453" s="1116"/>
      <c r="M453" s="1116"/>
      <c r="N453" s="1116"/>
      <c r="O453" s="1116"/>
      <c r="P453" s="1116"/>
      <c r="Q453" s="1116"/>
      <c r="R453" s="1116"/>
      <c r="S453" s="1116"/>
      <c r="T453" s="1116"/>
      <c r="U453" s="1116"/>
      <c r="V453" s="1116"/>
      <c r="W453" s="1116"/>
      <c r="X453" s="1116"/>
      <c r="Y453" s="1116"/>
      <c r="Z453" s="1116"/>
      <c r="AA453" s="1116"/>
      <c r="AB453" s="1116"/>
      <c r="AC453" s="1116"/>
    </row>
    <row r="454" spans="1:29" x14ac:dyDescent="0.35">
      <c r="A454" s="1116"/>
      <c r="B454" s="1116"/>
      <c r="C454" s="1116"/>
      <c r="D454" s="1116"/>
      <c r="E454" s="1116"/>
      <c r="F454" s="1116"/>
      <c r="G454" s="1116"/>
      <c r="H454" s="1116"/>
      <c r="I454" s="1116"/>
      <c r="J454" s="1116"/>
      <c r="K454" s="1116"/>
      <c r="L454" s="1116"/>
      <c r="M454" s="1116"/>
      <c r="N454" s="1116"/>
      <c r="O454" s="1116"/>
      <c r="P454" s="1116"/>
      <c r="Q454" s="1116"/>
      <c r="R454" s="1116"/>
      <c r="S454" s="1116"/>
      <c r="T454" s="1116"/>
      <c r="U454" s="1116"/>
      <c r="V454" s="1116"/>
      <c r="W454" s="1116"/>
      <c r="X454" s="1116"/>
      <c r="Y454" s="1116"/>
      <c r="Z454" s="1116"/>
      <c r="AA454" s="1116"/>
      <c r="AB454" s="1116"/>
      <c r="AC454" s="1116"/>
    </row>
    <row r="455" spans="1:29" x14ac:dyDescent="0.35">
      <c r="A455" s="1116"/>
      <c r="B455" s="1116"/>
      <c r="C455" s="1116"/>
      <c r="D455" s="1116"/>
      <c r="E455" s="1116"/>
      <c r="F455" s="1116"/>
      <c r="G455" s="1116"/>
      <c r="H455" s="1116"/>
      <c r="I455" s="1116"/>
      <c r="J455" s="1116"/>
      <c r="K455" s="1116"/>
      <c r="L455" s="1116"/>
      <c r="M455" s="1116"/>
      <c r="N455" s="1116"/>
      <c r="O455" s="1116"/>
      <c r="P455" s="1116"/>
      <c r="Q455" s="1116"/>
      <c r="R455" s="1116"/>
      <c r="S455" s="1116"/>
      <c r="T455" s="1116"/>
      <c r="U455" s="1116"/>
      <c r="V455" s="1116"/>
      <c r="W455" s="1116"/>
      <c r="X455" s="1116"/>
      <c r="Y455" s="1116"/>
      <c r="Z455" s="1116"/>
      <c r="AA455" s="1116"/>
      <c r="AB455" s="1116"/>
      <c r="AC455" s="1116"/>
    </row>
    <row r="456" spans="1:29" x14ac:dyDescent="0.35">
      <c r="A456" s="1116"/>
      <c r="B456" s="1116"/>
      <c r="C456" s="1116"/>
      <c r="D456" s="1116"/>
      <c r="E456" s="1116"/>
      <c r="F456" s="1116"/>
      <c r="G456" s="1116"/>
      <c r="H456" s="1116"/>
      <c r="I456" s="1116"/>
      <c r="J456" s="1116"/>
      <c r="K456" s="1116"/>
      <c r="L456" s="1116"/>
      <c r="M456" s="1116"/>
      <c r="N456" s="1116"/>
      <c r="O456" s="1116"/>
      <c r="P456" s="1116"/>
      <c r="Q456" s="1116"/>
      <c r="R456" s="1116"/>
      <c r="S456" s="1116"/>
      <c r="T456" s="1116"/>
      <c r="U456" s="1116"/>
      <c r="V456" s="1116"/>
      <c r="W456" s="1116"/>
      <c r="X456" s="1116"/>
      <c r="Y456" s="1116"/>
      <c r="Z456" s="1116"/>
      <c r="AA456" s="1116"/>
      <c r="AB456" s="1116"/>
      <c r="AC456" s="1116"/>
    </row>
    <row r="457" spans="1:29" x14ac:dyDescent="0.35">
      <c r="A457" s="1116"/>
      <c r="B457" s="1116"/>
      <c r="C457" s="1116"/>
      <c r="D457" s="1116"/>
      <c r="E457" s="1116"/>
      <c r="F457" s="1116"/>
      <c r="G457" s="1116"/>
      <c r="H457" s="1116"/>
      <c r="I457" s="1116"/>
      <c r="J457" s="1116"/>
      <c r="K457" s="1116"/>
      <c r="L457" s="1116"/>
      <c r="M457" s="1116"/>
      <c r="N457" s="1116"/>
      <c r="O457" s="1116"/>
      <c r="P457" s="1116"/>
      <c r="Q457" s="1116"/>
      <c r="R457" s="1116"/>
      <c r="S457" s="1116"/>
      <c r="T457" s="1116"/>
      <c r="U457" s="1116"/>
      <c r="V457" s="1116"/>
      <c r="W457" s="1116"/>
      <c r="X457" s="1116"/>
      <c r="Y457" s="1116"/>
      <c r="Z457" s="1116"/>
      <c r="AA457" s="1116"/>
      <c r="AB457" s="1116"/>
      <c r="AC457" s="1116"/>
    </row>
    <row r="458" spans="1:29" x14ac:dyDescent="0.35">
      <c r="A458" s="1116"/>
      <c r="B458" s="1116"/>
      <c r="C458" s="1116"/>
      <c r="D458" s="1116"/>
      <c r="E458" s="1116"/>
      <c r="F458" s="1116"/>
      <c r="G458" s="1116"/>
      <c r="H458" s="1116"/>
      <c r="I458" s="1116"/>
      <c r="J458" s="1116"/>
      <c r="K458" s="1116"/>
      <c r="L458" s="1116"/>
      <c r="M458" s="1116"/>
      <c r="N458" s="1116"/>
      <c r="O458" s="1116"/>
      <c r="P458" s="1116"/>
      <c r="Q458" s="1116"/>
      <c r="R458" s="1116"/>
      <c r="S458" s="1116"/>
      <c r="T458" s="1116"/>
      <c r="U458" s="1116"/>
      <c r="V458" s="1116"/>
      <c r="W458" s="1116"/>
      <c r="X458" s="1116"/>
      <c r="Y458" s="1116"/>
      <c r="Z458" s="1116"/>
      <c r="AA458" s="1116"/>
      <c r="AB458" s="1116"/>
      <c r="AC458" s="1116"/>
    </row>
    <row r="459" spans="1:29" x14ac:dyDescent="0.35">
      <c r="A459" s="1116"/>
      <c r="B459" s="1116"/>
      <c r="C459" s="1116"/>
      <c r="D459" s="1116"/>
      <c r="E459" s="1116"/>
      <c r="F459" s="1116"/>
      <c r="G459" s="1116"/>
      <c r="H459" s="1116"/>
      <c r="I459" s="1116"/>
      <c r="J459" s="1116"/>
      <c r="K459" s="1116"/>
      <c r="L459" s="1116"/>
      <c r="M459" s="1116"/>
      <c r="N459" s="1116"/>
      <c r="O459" s="1116"/>
      <c r="P459" s="1116"/>
      <c r="Q459" s="1116"/>
      <c r="R459" s="1116"/>
      <c r="S459" s="1116"/>
      <c r="T459" s="1116"/>
      <c r="U459" s="1116"/>
      <c r="V459" s="1116"/>
      <c r="W459" s="1116"/>
      <c r="X459" s="1116"/>
      <c r="Y459" s="1116"/>
      <c r="Z459" s="1116"/>
      <c r="AA459" s="1116"/>
      <c r="AB459" s="1116"/>
      <c r="AC459" s="1116"/>
    </row>
    <row r="460" spans="1:29" x14ac:dyDescent="0.35">
      <c r="A460" s="1116"/>
      <c r="B460" s="1116"/>
      <c r="C460" s="1116"/>
      <c r="D460" s="1116"/>
      <c r="E460" s="1116"/>
      <c r="F460" s="1116"/>
      <c r="G460" s="1116"/>
      <c r="H460" s="1116"/>
      <c r="I460" s="1116"/>
      <c r="J460" s="1116"/>
      <c r="K460" s="1116"/>
      <c r="L460" s="1116"/>
      <c r="M460" s="1116"/>
      <c r="N460" s="1116"/>
      <c r="O460" s="1116"/>
      <c r="P460" s="1116"/>
      <c r="Q460" s="1116"/>
      <c r="R460" s="1116"/>
      <c r="S460" s="1116"/>
      <c r="T460" s="1116"/>
      <c r="U460" s="1116"/>
      <c r="V460" s="1116"/>
      <c r="W460" s="1116"/>
      <c r="X460" s="1116"/>
      <c r="Y460" s="1116"/>
      <c r="Z460" s="1116"/>
      <c r="AA460" s="1116"/>
      <c r="AB460" s="1116"/>
      <c r="AC460" s="1116"/>
    </row>
    <row r="461" spans="1:29" x14ac:dyDescent="0.35">
      <c r="A461" s="1116"/>
      <c r="B461" s="1116"/>
      <c r="C461" s="1116"/>
      <c r="D461" s="1116"/>
      <c r="E461" s="1116"/>
      <c r="F461" s="1116"/>
      <c r="G461" s="1116"/>
      <c r="H461" s="1116"/>
      <c r="I461" s="1116"/>
      <c r="J461" s="1116"/>
      <c r="K461" s="1116"/>
      <c r="L461" s="1116"/>
      <c r="M461" s="1116"/>
      <c r="N461" s="1116"/>
      <c r="O461" s="1116"/>
      <c r="P461" s="1116"/>
      <c r="Q461" s="1116"/>
      <c r="R461" s="1116"/>
      <c r="S461" s="1116"/>
      <c r="T461" s="1116"/>
      <c r="U461" s="1116"/>
      <c r="V461" s="1116"/>
      <c r="W461" s="1116"/>
      <c r="X461" s="1116"/>
      <c r="Y461" s="1116"/>
      <c r="Z461" s="1116"/>
      <c r="AA461" s="1116"/>
      <c r="AB461" s="1116"/>
      <c r="AC461" s="1116"/>
    </row>
    <row r="462" spans="1:29" x14ac:dyDescent="0.35">
      <c r="A462" s="1116"/>
      <c r="B462" s="1116"/>
      <c r="C462" s="1116"/>
      <c r="D462" s="1116"/>
      <c r="E462" s="1116"/>
      <c r="F462" s="1116"/>
      <c r="G462" s="1116"/>
      <c r="H462" s="1116"/>
      <c r="I462" s="1116"/>
      <c r="J462" s="1116"/>
      <c r="K462" s="1116"/>
      <c r="L462" s="1116"/>
      <c r="M462" s="1116"/>
      <c r="N462" s="1116"/>
      <c r="O462" s="1116"/>
      <c r="P462" s="1116"/>
      <c r="Q462" s="1116"/>
      <c r="R462" s="1116"/>
      <c r="S462" s="1116"/>
      <c r="T462" s="1116"/>
      <c r="U462" s="1116"/>
      <c r="V462" s="1116"/>
      <c r="W462" s="1116"/>
      <c r="X462" s="1116"/>
      <c r="Y462" s="1116"/>
      <c r="Z462" s="1116"/>
      <c r="AA462" s="1116"/>
      <c r="AB462" s="1116"/>
      <c r="AC462" s="1116"/>
    </row>
    <row r="463" spans="1:29" x14ac:dyDescent="0.35">
      <c r="A463" s="1116"/>
      <c r="B463" s="1116"/>
      <c r="C463" s="1116"/>
      <c r="D463" s="1116"/>
      <c r="E463" s="1116"/>
      <c r="F463" s="1116"/>
      <c r="G463" s="1116"/>
      <c r="H463" s="1116"/>
      <c r="I463" s="1116"/>
      <c r="J463" s="1116"/>
      <c r="K463" s="1116"/>
      <c r="L463" s="1116"/>
      <c r="M463" s="1116"/>
      <c r="N463" s="1116"/>
      <c r="O463" s="1116"/>
      <c r="P463" s="1116"/>
      <c r="Q463" s="1116"/>
      <c r="R463" s="1116"/>
      <c r="S463" s="1116"/>
      <c r="T463" s="1116"/>
      <c r="U463" s="1116"/>
      <c r="V463" s="1116"/>
      <c r="W463" s="1116"/>
      <c r="X463" s="1116"/>
      <c r="Y463" s="1116"/>
      <c r="Z463" s="1116"/>
      <c r="AA463" s="1116"/>
      <c r="AB463" s="1116"/>
      <c r="AC463" s="1116"/>
    </row>
    <row r="464" spans="1:29" x14ac:dyDescent="0.35">
      <c r="A464" s="1116"/>
      <c r="B464" s="1116"/>
      <c r="C464" s="1116"/>
      <c r="D464" s="1116"/>
      <c r="E464" s="1116"/>
      <c r="F464" s="1116"/>
      <c r="G464" s="1116"/>
      <c r="H464" s="1116"/>
      <c r="I464" s="1116"/>
      <c r="J464" s="1116"/>
      <c r="K464" s="1116"/>
      <c r="L464" s="1116"/>
      <c r="M464" s="1116"/>
      <c r="N464" s="1116"/>
      <c r="O464" s="1116"/>
      <c r="P464" s="1116"/>
      <c r="Q464" s="1116"/>
      <c r="R464" s="1116"/>
      <c r="S464" s="1116"/>
      <c r="T464" s="1116"/>
      <c r="U464" s="1116"/>
      <c r="V464" s="1116"/>
      <c r="W464" s="1116"/>
      <c r="X464" s="1116"/>
      <c r="Y464" s="1116"/>
      <c r="Z464" s="1116"/>
      <c r="AA464" s="1116"/>
      <c r="AB464" s="1116"/>
      <c r="AC464" s="1116"/>
    </row>
    <row r="465" spans="1:29" x14ac:dyDescent="0.35">
      <c r="A465" s="1116"/>
      <c r="B465" s="1116"/>
      <c r="C465" s="1116"/>
      <c r="D465" s="1116"/>
      <c r="E465" s="1116"/>
      <c r="F465" s="1116"/>
      <c r="G465" s="1116"/>
      <c r="H465" s="1116"/>
      <c r="I465" s="1116"/>
      <c r="J465" s="1116"/>
      <c r="K465" s="1116"/>
      <c r="L465" s="1116"/>
      <c r="M465" s="1116"/>
      <c r="N465" s="1116"/>
      <c r="O465" s="1116"/>
      <c r="P465" s="1116"/>
      <c r="Q465" s="1116"/>
      <c r="R465" s="1116"/>
      <c r="S465" s="1116"/>
      <c r="T465" s="1116"/>
      <c r="U465" s="1116"/>
      <c r="V465" s="1116"/>
      <c r="W465" s="1116"/>
      <c r="X465" s="1116"/>
      <c r="Y465" s="1116"/>
      <c r="Z465" s="1116"/>
      <c r="AA465" s="1116"/>
      <c r="AB465" s="1116"/>
      <c r="AC465" s="1116"/>
    </row>
    <row r="466" spans="1:29" x14ac:dyDescent="0.35">
      <c r="A466" s="1116"/>
      <c r="B466" s="1116"/>
      <c r="C466" s="1116"/>
      <c r="D466" s="1116"/>
      <c r="E466" s="1116"/>
      <c r="F466" s="1116"/>
      <c r="G466" s="1116"/>
      <c r="H466" s="1116"/>
      <c r="I466" s="1116"/>
      <c r="J466" s="1116"/>
      <c r="K466" s="1116"/>
      <c r="L466" s="1116"/>
      <c r="M466" s="1116"/>
      <c r="N466" s="1116"/>
      <c r="O466" s="1116"/>
      <c r="P466" s="1116"/>
      <c r="Q466" s="1116"/>
      <c r="R466" s="1116"/>
      <c r="S466" s="1116"/>
      <c r="T466" s="1116"/>
      <c r="U466" s="1116"/>
      <c r="V466" s="1116"/>
      <c r="W466" s="1116"/>
      <c r="X466" s="1116"/>
      <c r="Y466" s="1116"/>
      <c r="Z466" s="1116"/>
      <c r="AA466" s="1116"/>
      <c r="AB466" s="1116"/>
      <c r="AC466" s="1116"/>
    </row>
    <row r="467" spans="1:29" x14ac:dyDescent="0.35">
      <c r="A467" s="1116"/>
      <c r="B467" s="1116"/>
      <c r="C467" s="1116"/>
      <c r="D467" s="1116"/>
      <c r="E467" s="1116"/>
      <c r="F467" s="1116"/>
      <c r="G467" s="1116"/>
      <c r="H467" s="1116"/>
      <c r="I467" s="1116"/>
      <c r="J467" s="1116"/>
      <c r="K467" s="1116"/>
      <c r="L467" s="1116"/>
      <c r="M467" s="1116"/>
      <c r="N467" s="1116"/>
      <c r="O467" s="1116"/>
      <c r="P467" s="1116"/>
      <c r="Q467" s="1116"/>
      <c r="R467" s="1116"/>
      <c r="S467" s="1116"/>
      <c r="T467" s="1116"/>
      <c r="U467" s="1116"/>
      <c r="V467" s="1116"/>
      <c r="W467" s="1116"/>
      <c r="X467" s="1116"/>
      <c r="Y467" s="1116"/>
      <c r="Z467" s="1116"/>
      <c r="AA467" s="1116"/>
      <c r="AB467" s="1116"/>
      <c r="AC467" s="1116"/>
    </row>
    <row r="468" spans="1:29" x14ac:dyDescent="0.35">
      <c r="A468" s="1116"/>
      <c r="B468" s="1116"/>
      <c r="C468" s="1116"/>
      <c r="D468" s="1116"/>
      <c r="E468" s="1116"/>
      <c r="F468" s="1116"/>
      <c r="G468" s="1116"/>
      <c r="H468" s="1116"/>
      <c r="I468" s="1116"/>
      <c r="J468" s="1116"/>
      <c r="K468" s="1116"/>
      <c r="L468" s="1116"/>
      <c r="M468" s="1116"/>
      <c r="N468" s="1116"/>
      <c r="O468" s="1116"/>
      <c r="P468" s="1116"/>
      <c r="Q468" s="1116"/>
      <c r="R468" s="1116"/>
      <c r="S468" s="1116"/>
      <c r="T468" s="1116"/>
      <c r="U468" s="1116"/>
      <c r="V468" s="1116"/>
      <c r="W468" s="1116"/>
      <c r="X468" s="1116"/>
      <c r="Y468" s="1116"/>
      <c r="Z468" s="1116"/>
      <c r="AA468" s="1116"/>
      <c r="AB468" s="1116"/>
      <c r="AC468" s="1116"/>
    </row>
    <row r="469" spans="1:29" x14ac:dyDescent="0.35">
      <c r="A469" s="1116"/>
      <c r="B469" s="1116"/>
      <c r="C469" s="1116"/>
      <c r="D469" s="1116"/>
      <c r="E469" s="1116"/>
      <c r="F469" s="1116"/>
      <c r="G469" s="1116"/>
      <c r="H469" s="1116"/>
      <c r="I469" s="1116"/>
      <c r="J469" s="1116"/>
      <c r="K469" s="1116"/>
      <c r="L469" s="1116"/>
      <c r="M469" s="1116"/>
      <c r="N469" s="1116"/>
      <c r="O469" s="1116"/>
      <c r="P469" s="1116"/>
      <c r="Q469" s="1116"/>
      <c r="R469" s="1116"/>
      <c r="S469" s="1116"/>
      <c r="T469" s="1116"/>
      <c r="U469" s="1116"/>
      <c r="V469" s="1116"/>
      <c r="W469" s="1116"/>
      <c r="X469" s="1116"/>
      <c r="Y469" s="1116"/>
      <c r="Z469" s="1116"/>
      <c r="AA469" s="1116"/>
      <c r="AB469" s="1116"/>
      <c r="AC469" s="1116"/>
    </row>
    <row r="470" spans="1:29" x14ac:dyDescent="0.35">
      <c r="A470" s="1116"/>
      <c r="B470" s="1116"/>
      <c r="C470" s="1116"/>
      <c r="D470" s="1116"/>
      <c r="E470" s="1116"/>
      <c r="F470" s="1116"/>
      <c r="G470" s="1116"/>
      <c r="H470" s="1116"/>
      <c r="I470" s="1116"/>
      <c r="J470" s="1116"/>
      <c r="K470" s="1116"/>
      <c r="L470" s="1116"/>
      <c r="M470" s="1116"/>
      <c r="N470" s="1116"/>
      <c r="O470" s="1116"/>
      <c r="P470" s="1116"/>
      <c r="Q470" s="1116"/>
      <c r="R470" s="1116"/>
      <c r="S470" s="1116"/>
      <c r="T470" s="1116"/>
      <c r="U470" s="1116"/>
      <c r="V470" s="1116"/>
      <c r="W470" s="1116"/>
      <c r="X470" s="1116"/>
      <c r="Y470" s="1116"/>
      <c r="Z470" s="1116"/>
      <c r="AA470" s="1116"/>
      <c r="AB470" s="1116"/>
      <c r="AC470" s="1116"/>
    </row>
    <row r="471" spans="1:29" x14ac:dyDescent="0.35">
      <c r="A471" s="1116"/>
      <c r="B471" s="1116"/>
      <c r="C471" s="1116"/>
      <c r="D471" s="1116"/>
      <c r="E471" s="1116"/>
      <c r="F471" s="1116"/>
      <c r="G471" s="1116"/>
      <c r="H471" s="1116"/>
      <c r="I471" s="1116"/>
      <c r="J471" s="1116"/>
      <c r="K471" s="1116"/>
      <c r="L471" s="1116"/>
      <c r="M471" s="1116"/>
      <c r="N471" s="1116"/>
      <c r="O471" s="1116"/>
      <c r="P471" s="1116"/>
      <c r="Q471" s="1116"/>
      <c r="R471" s="1116"/>
      <c r="S471" s="1116"/>
      <c r="T471" s="1116"/>
      <c r="U471" s="1116"/>
      <c r="V471" s="1116"/>
      <c r="W471" s="1116"/>
      <c r="X471" s="1116"/>
      <c r="Y471" s="1116"/>
      <c r="Z471" s="1116"/>
      <c r="AA471" s="1116"/>
      <c r="AB471" s="1116"/>
      <c r="AC471" s="1116"/>
    </row>
    <row r="472" spans="1:29" x14ac:dyDescent="0.35">
      <c r="A472" s="1116"/>
      <c r="B472" s="1116"/>
      <c r="C472" s="1116"/>
      <c r="D472" s="1116"/>
      <c r="E472" s="1116"/>
      <c r="F472" s="1116"/>
      <c r="G472" s="1116"/>
      <c r="H472" s="1116"/>
      <c r="I472" s="1116"/>
      <c r="J472" s="1116"/>
      <c r="K472" s="1116"/>
      <c r="L472" s="1116"/>
      <c r="M472" s="1116"/>
      <c r="N472" s="1116"/>
      <c r="O472" s="1116"/>
      <c r="P472" s="1116"/>
      <c r="Q472" s="1116"/>
      <c r="R472" s="1116"/>
      <c r="S472" s="1116"/>
      <c r="T472" s="1116"/>
      <c r="U472" s="1116"/>
      <c r="V472" s="1116"/>
      <c r="W472" s="1116"/>
      <c r="X472" s="1116"/>
      <c r="Y472" s="1116"/>
      <c r="Z472" s="1116"/>
      <c r="AA472" s="1116"/>
      <c r="AB472" s="1116"/>
      <c r="AC472" s="1116"/>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1161"/>
  <sheetViews>
    <sheetView zoomScaleNormal="100" workbookViewId="0">
      <pane xSplit="1" ySplit="9" topLeftCell="B10" activePane="bottomRight" state="frozen"/>
      <selection pane="topRight" activeCell="B1" sqref="B1"/>
      <selection pane="bottomLeft" activeCell="A10" sqref="A10"/>
      <selection pane="bottomRight" activeCell="E12" sqref="E12"/>
    </sheetView>
  </sheetViews>
  <sheetFormatPr defaultRowHeight="14.25" x14ac:dyDescent="0.45"/>
  <cols>
    <col min="10" max="10" width="11.796875" customWidth="1"/>
  </cols>
  <sheetData>
    <row r="1" spans="1:52" ht="17.649999999999999" x14ac:dyDescent="0.5">
      <c r="A1" s="971" t="s">
        <v>2295</v>
      </c>
      <c r="AZ1" s="972"/>
    </row>
    <row r="2" spans="1:52" x14ac:dyDescent="0.45">
      <c r="A2" s="1096"/>
      <c r="B2" s="1096" t="s">
        <v>2296</v>
      </c>
      <c r="C2" s="1096"/>
      <c r="D2" s="1096"/>
      <c r="E2" s="1096"/>
      <c r="F2" s="1096"/>
      <c r="G2" s="1096"/>
      <c r="H2" s="1096"/>
      <c r="I2" s="1096"/>
      <c r="J2" s="1096"/>
      <c r="K2" s="1096"/>
      <c r="L2" s="1096"/>
      <c r="M2" s="1096"/>
      <c r="N2" s="1096"/>
      <c r="O2" s="1096"/>
      <c r="P2" s="1096" t="s">
        <v>1254</v>
      </c>
      <c r="Q2" s="1096" t="s">
        <v>1255</v>
      </c>
      <c r="R2" s="1096" t="s">
        <v>1256</v>
      </c>
      <c r="S2" s="1096" t="s">
        <v>1255</v>
      </c>
      <c r="T2" s="1096" t="s">
        <v>1257</v>
      </c>
      <c r="U2" s="1096" t="s">
        <v>1255</v>
      </c>
      <c r="V2" s="1096" t="s">
        <v>1258</v>
      </c>
      <c r="W2" s="1096" t="s">
        <v>1255</v>
      </c>
      <c r="X2" s="1096" t="s">
        <v>1259</v>
      </c>
      <c r="Y2" s="1096" t="s">
        <v>1255</v>
      </c>
      <c r="Z2" s="1102" t="s">
        <v>1260</v>
      </c>
      <c r="AA2" s="1096"/>
      <c r="AB2" s="1096" t="s">
        <v>1255</v>
      </c>
      <c r="AC2" s="1096" t="s">
        <v>1254</v>
      </c>
      <c r="AD2" s="1096" t="s">
        <v>1255</v>
      </c>
      <c r="AE2" s="1096" t="s">
        <v>1256</v>
      </c>
      <c r="AF2" s="1096" t="s">
        <v>1255</v>
      </c>
      <c r="AG2" s="1096" t="s">
        <v>1257</v>
      </c>
      <c r="AH2" s="1096" t="s">
        <v>1255</v>
      </c>
      <c r="AI2" s="1096" t="s">
        <v>1258</v>
      </c>
      <c r="AJ2" s="1096" t="s">
        <v>1255</v>
      </c>
      <c r="AK2" s="1096" t="s">
        <v>1259</v>
      </c>
      <c r="AL2" s="1096" t="s">
        <v>1255</v>
      </c>
      <c r="AM2" s="1102" t="s">
        <v>1260</v>
      </c>
      <c r="AN2" s="1096"/>
      <c r="AO2" s="1096"/>
      <c r="AP2" s="1096"/>
      <c r="AQ2" s="1096"/>
      <c r="AR2" s="1096"/>
      <c r="AS2" s="1096"/>
      <c r="AT2" s="1096"/>
      <c r="AU2" s="1096"/>
      <c r="AV2" s="1096"/>
      <c r="AW2" s="1096"/>
      <c r="AX2" s="1096"/>
      <c r="AY2" s="1096"/>
    </row>
    <row r="3" spans="1:52" ht="14.65" thickBot="1" x14ac:dyDescent="0.5">
      <c r="A3" s="1103"/>
      <c r="B3" s="1103"/>
      <c r="C3" s="1103"/>
      <c r="D3" s="1103" t="s">
        <v>1268</v>
      </c>
      <c r="E3" s="1096"/>
      <c r="F3" s="1102" t="s">
        <v>1269</v>
      </c>
      <c r="G3" s="1102" t="s">
        <v>1269</v>
      </c>
      <c r="H3" s="1102" t="s">
        <v>1269</v>
      </c>
      <c r="I3" s="1102" t="s">
        <v>1269</v>
      </c>
      <c r="J3" s="1102" t="s">
        <v>1269</v>
      </c>
      <c r="K3" s="1096"/>
      <c r="L3" s="1096"/>
      <c r="M3" s="1096"/>
      <c r="N3" s="1096"/>
      <c r="O3" s="1096"/>
      <c r="P3" s="1096" t="s">
        <v>1261</v>
      </c>
      <c r="Q3" s="1096" t="s">
        <v>1262</v>
      </c>
      <c r="R3" s="1096" t="s">
        <v>1263</v>
      </c>
      <c r="S3" s="1096" t="s">
        <v>1262</v>
      </c>
      <c r="T3" s="1096" t="s">
        <v>1264</v>
      </c>
      <c r="U3" s="1096" t="s">
        <v>1262</v>
      </c>
      <c r="V3" s="1096" t="s">
        <v>1265</v>
      </c>
      <c r="W3" s="1096" t="s">
        <v>1262</v>
      </c>
      <c r="X3" s="1096" t="s">
        <v>1266</v>
      </c>
      <c r="Y3" s="1096" t="s">
        <v>1262</v>
      </c>
      <c r="Z3" s="1096" t="s">
        <v>1267</v>
      </c>
      <c r="AA3" s="1096"/>
      <c r="AB3" s="1096" t="s">
        <v>1262</v>
      </c>
      <c r="AC3" s="1096" t="s">
        <v>1261</v>
      </c>
      <c r="AD3" s="1096" t="s">
        <v>1262</v>
      </c>
      <c r="AE3" s="1096" t="s">
        <v>1263</v>
      </c>
      <c r="AF3" s="1096" t="s">
        <v>1262</v>
      </c>
      <c r="AG3" s="1096" t="s">
        <v>1264</v>
      </c>
      <c r="AH3" s="1096" t="s">
        <v>1262</v>
      </c>
      <c r="AI3" s="1096" t="s">
        <v>1265</v>
      </c>
      <c r="AJ3" s="1096" t="s">
        <v>1262</v>
      </c>
      <c r="AK3" s="1096" t="s">
        <v>1266</v>
      </c>
      <c r="AL3" s="1096" t="s">
        <v>1262</v>
      </c>
      <c r="AM3" s="1096" t="s">
        <v>1267</v>
      </c>
      <c r="AN3" s="1096"/>
      <c r="AO3" s="1096"/>
      <c r="AP3" s="1096"/>
      <c r="AQ3" s="1096"/>
      <c r="AR3" s="1096"/>
      <c r="AS3" s="1096"/>
      <c r="AT3" s="1096"/>
      <c r="AU3" s="1096"/>
      <c r="AV3" s="1096"/>
      <c r="AW3" s="1096"/>
      <c r="AX3" s="1096"/>
      <c r="AY3" s="1096"/>
    </row>
    <row r="4" spans="1:52" ht="55.9" x14ac:dyDescent="0.45">
      <c r="A4" s="1105"/>
      <c r="B4" s="1105"/>
      <c r="C4" s="1105" t="s">
        <v>1272</v>
      </c>
      <c r="D4" s="1106" t="s">
        <v>1273</v>
      </c>
      <c r="E4" s="1106"/>
      <c r="F4" s="1107" t="s">
        <v>1273</v>
      </c>
      <c r="G4" s="1107" t="s">
        <v>1274</v>
      </c>
      <c r="H4" s="1107" t="s">
        <v>192</v>
      </c>
      <c r="I4" s="1107" t="s">
        <v>1275</v>
      </c>
      <c r="J4" s="1107" t="s">
        <v>13</v>
      </c>
      <c r="K4" s="1096"/>
      <c r="L4" s="1096"/>
      <c r="M4" s="1096"/>
      <c r="N4" s="1096"/>
      <c r="O4" s="1096"/>
      <c r="P4" s="1096" t="s">
        <v>1270</v>
      </c>
      <c r="Q4" s="1096" t="s">
        <v>1271</v>
      </c>
      <c r="R4" s="1096" t="s">
        <v>1270</v>
      </c>
      <c r="S4" s="1096" t="s">
        <v>1271</v>
      </c>
      <c r="T4" s="1096" t="s">
        <v>1270</v>
      </c>
      <c r="U4" s="1096" t="s">
        <v>1271</v>
      </c>
      <c r="V4" s="1096" t="s">
        <v>1270</v>
      </c>
      <c r="W4" s="1096" t="s">
        <v>1271</v>
      </c>
      <c r="X4" s="1096" t="s">
        <v>1270</v>
      </c>
      <c r="Y4" s="1096" t="s">
        <v>1271</v>
      </c>
      <c r="Z4" s="1096" t="s">
        <v>1270</v>
      </c>
      <c r="AA4" s="1096"/>
      <c r="AB4" s="1096" t="s">
        <v>1271</v>
      </c>
      <c r="AC4" s="1096" t="s">
        <v>1270</v>
      </c>
      <c r="AD4" s="1096" t="s">
        <v>1271</v>
      </c>
      <c r="AE4" s="1096" t="s">
        <v>1270</v>
      </c>
      <c r="AF4" s="1096" t="s">
        <v>1271</v>
      </c>
      <c r="AG4" s="1096" t="s">
        <v>1270</v>
      </c>
      <c r="AH4" s="1096" t="s">
        <v>1271</v>
      </c>
      <c r="AI4" s="1096" t="s">
        <v>1270</v>
      </c>
      <c r="AJ4" s="1096" t="s">
        <v>1271</v>
      </c>
      <c r="AK4" s="1096" t="s">
        <v>1270</v>
      </c>
      <c r="AL4" s="1096" t="s">
        <v>1271</v>
      </c>
      <c r="AM4" s="1096" t="s">
        <v>1270</v>
      </c>
      <c r="AN4" s="1096"/>
      <c r="AO4" s="1096"/>
      <c r="AP4" s="1096"/>
      <c r="AQ4" s="1096"/>
      <c r="AR4" s="1096"/>
      <c r="AS4" s="1096"/>
      <c r="AT4" s="1096"/>
      <c r="AU4" s="1096"/>
      <c r="AV4" s="1096"/>
      <c r="AW4" s="1096"/>
      <c r="AX4" s="1096"/>
      <c r="AY4" s="1096"/>
    </row>
    <row r="5" spans="1:52" x14ac:dyDescent="0.45">
      <c r="A5" s="1096"/>
      <c r="B5" s="1096"/>
      <c r="C5" s="1096"/>
      <c r="D5" s="1096"/>
      <c r="E5" s="1096"/>
      <c r="F5" s="1096" t="s">
        <v>1261</v>
      </c>
      <c r="G5" s="1096" t="s">
        <v>1263</v>
      </c>
      <c r="H5" s="1096" t="s">
        <v>1264</v>
      </c>
      <c r="I5" s="1096" t="s">
        <v>1265</v>
      </c>
      <c r="J5" s="1096" t="s">
        <v>1266</v>
      </c>
      <c r="K5" s="1096"/>
      <c r="L5" s="1096"/>
      <c r="M5" s="1096"/>
      <c r="N5" s="1096"/>
      <c r="O5" s="1096"/>
      <c r="P5" s="1096" t="s">
        <v>1276</v>
      </c>
      <c r="Q5" s="1096" t="s">
        <v>1277</v>
      </c>
      <c r="R5" s="1096" t="s">
        <v>1276</v>
      </c>
      <c r="S5" s="1096" t="s">
        <v>1277</v>
      </c>
      <c r="T5" s="1096" t="s">
        <v>1276</v>
      </c>
      <c r="U5" s="1096" t="s">
        <v>1277</v>
      </c>
      <c r="V5" s="1096" t="s">
        <v>1276</v>
      </c>
      <c r="W5" s="1096" t="s">
        <v>1277</v>
      </c>
      <c r="X5" s="1096" t="s">
        <v>1276</v>
      </c>
      <c r="Y5" s="1096" t="s">
        <v>1277</v>
      </c>
      <c r="Z5" s="1096" t="s">
        <v>1276</v>
      </c>
      <c r="AA5" s="1096"/>
      <c r="AB5" s="1096" t="s">
        <v>1277</v>
      </c>
      <c r="AC5" s="1096" t="s">
        <v>1276</v>
      </c>
      <c r="AD5" s="1096" t="s">
        <v>1277</v>
      </c>
      <c r="AE5" s="1096" t="s">
        <v>1276</v>
      </c>
      <c r="AF5" s="1096" t="s">
        <v>1277</v>
      </c>
      <c r="AG5" s="1096" t="s">
        <v>1276</v>
      </c>
      <c r="AH5" s="1096" t="s">
        <v>1277</v>
      </c>
      <c r="AI5" s="1096" t="s">
        <v>1276</v>
      </c>
      <c r="AJ5" s="1096" t="s">
        <v>1277</v>
      </c>
      <c r="AK5" s="1096" t="s">
        <v>1276</v>
      </c>
      <c r="AL5" s="1096" t="s">
        <v>1277</v>
      </c>
      <c r="AM5" s="1096" t="s">
        <v>1276</v>
      </c>
      <c r="AN5" s="1096"/>
      <c r="AO5" s="1096"/>
      <c r="AP5" s="1096"/>
      <c r="AQ5" s="1096"/>
      <c r="AR5" s="1096"/>
      <c r="AS5" s="1096"/>
      <c r="AT5" s="1096"/>
      <c r="AU5" s="1096"/>
      <c r="AV5" s="1096"/>
      <c r="AW5" s="1096"/>
      <c r="AX5" s="1096"/>
      <c r="AY5" s="1096"/>
    </row>
    <row r="6" spans="1:52" x14ac:dyDescent="0.45">
      <c r="A6" s="973" t="s">
        <v>1280</v>
      </c>
      <c r="B6" s="1096"/>
      <c r="C6" s="1096"/>
      <c r="D6" s="1096"/>
      <c r="E6" s="1096"/>
      <c r="F6" s="1096"/>
      <c r="G6" s="1096"/>
      <c r="H6" s="1096"/>
      <c r="I6" s="1096"/>
      <c r="J6" s="1096"/>
      <c r="K6" s="1096"/>
      <c r="L6" s="1096"/>
      <c r="M6" s="1096"/>
      <c r="N6" s="1096"/>
      <c r="O6" s="1096"/>
      <c r="P6" s="1096" t="s">
        <v>1278</v>
      </c>
      <c r="Q6" s="1096" t="s">
        <v>1279</v>
      </c>
      <c r="R6" s="1096" t="s">
        <v>1278</v>
      </c>
      <c r="S6" s="1096" t="s">
        <v>1279</v>
      </c>
      <c r="T6" s="1096" t="s">
        <v>1278</v>
      </c>
      <c r="U6" s="1096" t="s">
        <v>1279</v>
      </c>
      <c r="V6" s="1096" t="s">
        <v>1278</v>
      </c>
      <c r="W6" s="1096" t="s">
        <v>1279</v>
      </c>
      <c r="X6" s="1096" t="s">
        <v>1278</v>
      </c>
      <c r="Y6" s="1096" t="s">
        <v>1279</v>
      </c>
      <c r="Z6" s="1096" t="s">
        <v>1278</v>
      </c>
      <c r="AA6" s="1096"/>
      <c r="AB6" s="1096" t="s">
        <v>1279</v>
      </c>
      <c r="AC6" s="1096" t="s">
        <v>1278</v>
      </c>
      <c r="AD6" s="1096" t="s">
        <v>1279</v>
      </c>
      <c r="AE6" s="1096" t="s">
        <v>1278</v>
      </c>
      <c r="AF6" s="1096" t="s">
        <v>1279</v>
      </c>
      <c r="AG6" s="1096" t="s">
        <v>1278</v>
      </c>
      <c r="AH6" s="1096" t="s">
        <v>1279</v>
      </c>
      <c r="AI6" s="1096" t="s">
        <v>1278</v>
      </c>
      <c r="AJ6" s="1096" t="s">
        <v>1279</v>
      </c>
      <c r="AK6" s="1096" t="s">
        <v>1278</v>
      </c>
      <c r="AL6" s="1096" t="s">
        <v>1279</v>
      </c>
      <c r="AM6" s="1096" t="s">
        <v>1278</v>
      </c>
      <c r="AN6" s="1096"/>
      <c r="AO6" s="1096"/>
      <c r="AP6" s="1096"/>
      <c r="AQ6" s="1096"/>
      <c r="AR6" s="1096"/>
      <c r="AS6" s="1096"/>
      <c r="AT6" s="1096"/>
      <c r="AU6" s="1096"/>
      <c r="AV6" s="1096"/>
      <c r="AW6" s="1096"/>
      <c r="AX6" s="1096"/>
      <c r="AY6" s="1096"/>
    </row>
    <row r="7" spans="1:52" x14ac:dyDescent="0.45">
      <c r="A7" s="1096"/>
      <c r="B7" s="1096"/>
      <c r="C7" s="1096"/>
      <c r="D7" s="1096"/>
      <c r="E7" s="1096"/>
      <c r="F7" s="1096"/>
      <c r="G7" s="1096"/>
      <c r="H7" s="1096"/>
      <c r="I7" s="1096"/>
      <c r="J7" s="1096"/>
      <c r="K7" s="1096"/>
      <c r="L7" s="1096"/>
      <c r="M7" s="1096"/>
      <c r="N7" s="1096"/>
      <c r="O7" s="1096"/>
      <c r="P7" s="1096" t="s">
        <v>1281</v>
      </c>
      <c r="Q7" s="1096" t="s">
        <v>1282</v>
      </c>
      <c r="R7" s="1096" t="s">
        <v>1281</v>
      </c>
      <c r="S7" s="1096" t="s">
        <v>1282</v>
      </c>
      <c r="T7" s="1096" t="s">
        <v>1281</v>
      </c>
      <c r="U7" s="1096" t="s">
        <v>1282</v>
      </c>
      <c r="V7" s="1096" t="s">
        <v>1281</v>
      </c>
      <c r="W7" s="1096" t="s">
        <v>1282</v>
      </c>
      <c r="X7" s="1096" t="s">
        <v>1281</v>
      </c>
      <c r="Y7" s="1096" t="s">
        <v>1282</v>
      </c>
      <c r="Z7" s="1096" t="s">
        <v>1281</v>
      </c>
      <c r="AA7" s="1096"/>
      <c r="AB7" s="1096" t="s">
        <v>1282</v>
      </c>
      <c r="AC7" s="1096" t="s">
        <v>1281</v>
      </c>
      <c r="AD7" s="1096" t="s">
        <v>1282</v>
      </c>
      <c r="AE7" s="1096" t="s">
        <v>1281</v>
      </c>
      <c r="AF7" s="1096" t="s">
        <v>1282</v>
      </c>
      <c r="AG7" s="1096" t="s">
        <v>1281</v>
      </c>
      <c r="AH7" s="1096" t="s">
        <v>1282</v>
      </c>
      <c r="AI7" s="1096" t="s">
        <v>1281</v>
      </c>
      <c r="AJ7" s="1096" t="s">
        <v>1282</v>
      </c>
      <c r="AK7" s="1096" t="s">
        <v>1281</v>
      </c>
      <c r="AL7" s="1096" t="s">
        <v>1282</v>
      </c>
      <c r="AM7" s="1096" t="s">
        <v>1281</v>
      </c>
      <c r="AN7" s="1096"/>
      <c r="AO7" s="1096"/>
      <c r="AP7" s="1096"/>
      <c r="AQ7" s="1096"/>
      <c r="AR7" s="1096"/>
      <c r="AS7" s="1096"/>
      <c r="AT7" s="1096"/>
      <c r="AU7" s="1096"/>
      <c r="AV7" s="1096"/>
      <c r="AW7" s="1096"/>
      <c r="AX7" s="1096"/>
      <c r="AY7" s="1096"/>
    </row>
    <row r="8" spans="1:52" x14ac:dyDescent="0.45">
      <c r="A8" s="1096"/>
      <c r="B8" s="1096"/>
      <c r="C8" s="1096"/>
      <c r="D8" s="1096"/>
      <c r="E8" s="1096"/>
      <c r="F8" s="1096"/>
      <c r="G8" s="1102"/>
      <c r="H8" s="1096"/>
      <c r="I8" s="1096"/>
      <c r="J8" s="1096"/>
      <c r="K8" s="1096"/>
      <c r="L8" s="1096"/>
      <c r="M8" s="1096"/>
      <c r="N8" s="1096"/>
      <c r="O8" s="1096"/>
      <c r="P8" s="1096" t="s">
        <v>1283</v>
      </c>
      <c r="Q8" s="1096" t="s">
        <v>1284</v>
      </c>
      <c r="R8" s="1096" t="s">
        <v>1283</v>
      </c>
      <c r="S8" s="1096" t="s">
        <v>1284</v>
      </c>
      <c r="T8" s="1096" t="s">
        <v>1283</v>
      </c>
      <c r="U8" s="1096" t="s">
        <v>1284</v>
      </c>
      <c r="V8" s="1096" t="s">
        <v>1283</v>
      </c>
      <c r="W8" s="1096" t="s">
        <v>1284</v>
      </c>
      <c r="X8" s="1096" t="s">
        <v>1283</v>
      </c>
      <c r="Y8" s="1096" t="s">
        <v>1284</v>
      </c>
      <c r="Z8" s="1096" t="s">
        <v>1283</v>
      </c>
      <c r="AA8" s="1096"/>
      <c r="AB8" s="1096" t="s">
        <v>1284</v>
      </c>
      <c r="AC8" s="1096" t="s">
        <v>1283</v>
      </c>
      <c r="AD8" s="1096" t="s">
        <v>1284</v>
      </c>
      <c r="AE8" s="1096" t="s">
        <v>1283</v>
      </c>
      <c r="AF8" s="1096" t="s">
        <v>1284</v>
      </c>
      <c r="AG8" s="1096" t="s">
        <v>1283</v>
      </c>
      <c r="AH8" s="1096" t="s">
        <v>1284</v>
      </c>
      <c r="AI8" s="1096" t="s">
        <v>1283</v>
      </c>
      <c r="AJ8" s="1096" t="s">
        <v>1284</v>
      </c>
      <c r="AK8" s="1096" t="s">
        <v>1283</v>
      </c>
      <c r="AL8" s="1096" t="s">
        <v>1284</v>
      </c>
      <c r="AM8" s="1096" t="s">
        <v>1283</v>
      </c>
      <c r="AN8" s="1096"/>
      <c r="AO8" s="1096"/>
      <c r="AP8" s="1096"/>
      <c r="AQ8" s="1096"/>
      <c r="AR8" s="1096"/>
      <c r="AS8" s="1096"/>
      <c r="AT8" s="1096"/>
      <c r="AU8" s="1096"/>
      <c r="AV8" s="1096"/>
      <c r="AW8" s="1096"/>
      <c r="AX8" s="1096"/>
      <c r="AY8" s="1096"/>
    </row>
    <row r="9" spans="1:52" x14ac:dyDescent="0.45">
      <c r="A9" s="1096"/>
      <c r="B9" s="1096"/>
      <c r="C9" s="1096"/>
      <c r="D9" s="1096"/>
      <c r="E9" s="1096"/>
      <c r="F9" s="1096"/>
      <c r="G9" s="1096"/>
      <c r="H9" s="1096"/>
      <c r="I9" s="1096"/>
      <c r="J9" s="1096"/>
      <c r="K9" s="1096"/>
      <c r="L9" s="1096"/>
      <c r="M9" s="1096"/>
      <c r="N9" s="1096"/>
      <c r="O9" s="1096"/>
      <c r="P9" s="1096"/>
      <c r="Q9" s="1096"/>
      <c r="R9" s="1096"/>
      <c r="S9" s="1096"/>
      <c r="T9" s="1096"/>
      <c r="U9" s="1096"/>
      <c r="V9" s="1096"/>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c r="AT9" s="1096"/>
      <c r="AU9" s="1096"/>
      <c r="AV9" s="1096"/>
      <c r="AW9" s="1096"/>
      <c r="AX9" s="1096"/>
      <c r="AY9" s="1096"/>
    </row>
    <row r="10" spans="1:52" x14ac:dyDescent="0.45">
      <c r="A10" s="1096">
        <v>1940</v>
      </c>
      <c r="B10" s="1096"/>
      <c r="C10" s="1096"/>
      <c r="D10" s="1096"/>
      <c r="E10" s="1096"/>
      <c r="F10" s="1096"/>
      <c r="G10" s="1096"/>
      <c r="H10" s="1096"/>
      <c r="I10" s="1096"/>
      <c r="J10" s="1096"/>
      <c r="K10" s="1096"/>
      <c r="L10" s="1096"/>
      <c r="M10" s="1096"/>
      <c r="N10" s="1096"/>
      <c r="O10" s="1096"/>
      <c r="P10" s="1096"/>
      <c r="Q10" s="1096"/>
      <c r="R10" s="1096"/>
      <c r="S10" s="1096"/>
      <c r="T10" s="1096"/>
      <c r="U10" s="1096"/>
      <c r="V10" s="1096"/>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c r="AT10" s="1096"/>
      <c r="AU10" s="1096"/>
      <c r="AV10" s="1096"/>
      <c r="AW10" s="1096"/>
      <c r="AX10" s="1096"/>
      <c r="AY10" s="1096"/>
    </row>
    <row r="11" spans="1:52" x14ac:dyDescent="0.45">
      <c r="A11" s="1096">
        <v>1941</v>
      </c>
      <c r="B11" s="1096"/>
      <c r="C11" s="1096"/>
      <c r="D11" s="1096"/>
      <c r="E11" s="1096"/>
      <c r="F11" s="1096"/>
      <c r="G11" s="1096"/>
      <c r="H11" s="1096"/>
      <c r="I11" s="1096"/>
      <c r="J11" s="1096"/>
      <c r="K11" s="1096"/>
      <c r="L11" s="1096"/>
      <c r="M11" s="1096"/>
      <c r="N11" s="1096"/>
      <c r="O11" s="1096"/>
      <c r="P11" s="1096"/>
      <c r="Q11" s="1096"/>
      <c r="R11" s="1096"/>
      <c r="S11" s="1096"/>
      <c r="T11" s="1096"/>
      <c r="U11" s="1096"/>
      <c r="V11" s="1096"/>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row>
    <row r="12" spans="1:52" x14ac:dyDescent="0.45">
      <c r="A12" s="1096">
        <v>1942</v>
      </c>
      <c r="B12" s="1096"/>
      <c r="C12" s="1096"/>
      <c r="D12" s="1096"/>
      <c r="E12" s="1096"/>
      <c r="F12" s="1096"/>
      <c r="G12" s="1096"/>
      <c r="H12" s="1096"/>
      <c r="I12" s="1096"/>
      <c r="J12" s="1096"/>
      <c r="K12" s="1096"/>
      <c r="L12" s="1096"/>
      <c r="M12" s="1096"/>
      <c r="N12" s="1096"/>
      <c r="O12" s="1096"/>
      <c r="P12" s="1096"/>
      <c r="Q12" s="1096"/>
      <c r="R12" s="1096"/>
      <c r="S12" s="1096"/>
      <c r="T12" s="1096"/>
      <c r="U12" s="1096"/>
      <c r="V12" s="1096"/>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row>
    <row r="13" spans="1:52" x14ac:dyDescent="0.45">
      <c r="A13" s="1096">
        <v>1943</v>
      </c>
      <c r="B13" s="1096"/>
      <c r="C13" s="1096"/>
      <c r="D13" s="1096"/>
      <c r="E13" s="1096"/>
      <c r="F13" s="1096"/>
      <c r="G13" s="1096"/>
      <c r="H13" s="1096"/>
      <c r="I13" s="1096"/>
      <c r="J13" s="1096"/>
      <c r="K13" s="1096"/>
      <c r="L13" s="1096"/>
      <c r="M13" s="1096"/>
      <c r="N13" s="1096"/>
      <c r="O13" s="1096"/>
      <c r="P13" s="1096"/>
      <c r="Q13" s="1096"/>
      <c r="R13" s="1096"/>
      <c r="S13" s="1096"/>
      <c r="T13" s="1096"/>
      <c r="U13" s="1096"/>
      <c r="V13" s="1096"/>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c r="AT13" s="1096"/>
      <c r="AU13" s="1096"/>
      <c r="AV13" s="1096"/>
      <c r="AW13" s="1096"/>
      <c r="AX13" s="1096"/>
      <c r="AY13" s="1096"/>
    </row>
    <row r="14" spans="1:52" x14ac:dyDescent="0.45">
      <c r="A14" s="1096">
        <v>1944</v>
      </c>
      <c r="B14" s="1096"/>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c r="AT14" s="1096"/>
      <c r="AU14" s="1096"/>
      <c r="AV14" s="1096"/>
      <c r="AW14" s="1096"/>
      <c r="AX14" s="1096"/>
      <c r="AY14" s="1096"/>
    </row>
    <row r="15" spans="1:52" x14ac:dyDescent="0.45">
      <c r="A15" s="1096">
        <v>1945</v>
      </c>
      <c r="B15" s="1096"/>
      <c r="C15" s="1096"/>
      <c r="D15" s="1096"/>
      <c r="E15" s="1096"/>
      <c r="F15" s="1096"/>
      <c r="G15" s="1096"/>
      <c r="H15" s="1096"/>
      <c r="I15" s="1096"/>
      <c r="J15" s="1096"/>
      <c r="K15" s="1096"/>
      <c r="L15" s="1096"/>
      <c r="M15" s="1096"/>
      <c r="N15" s="1096"/>
      <c r="O15" s="1096"/>
      <c r="P15" s="1096"/>
      <c r="Q15" s="1096"/>
      <c r="R15" s="1096"/>
      <c r="S15" s="1096"/>
      <c r="T15" s="1096"/>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c r="AT15" s="1096"/>
      <c r="AU15" s="1096"/>
      <c r="AV15" s="1096"/>
      <c r="AW15" s="1096"/>
      <c r="AX15" s="1096"/>
      <c r="AY15" s="1096"/>
    </row>
    <row r="16" spans="1:52" x14ac:dyDescent="0.45">
      <c r="A16" s="1096">
        <v>1946</v>
      </c>
      <c r="B16" s="1096"/>
      <c r="C16" s="1096"/>
      <c r="D16" s="1096"/>
      <c r="E16" s="1096"/>
      <c r="F16" s="1096"/>
      <c r="G16" s="1096"/>
      <c r="H16" s="1096"/>
      <c r="I16" s="1096"/>
      <c r="J16" s="1096"/>
      <c r="K16" s="1096"/>
      <c r="L16" s="1096"/>
      <c r="M16" s="1096"/>
      <c r="N16" s="1096"/>
      <c r="O16" s="1096"/>
      <c r="P16" s="1096"/>
      <c r="Q16" s="1096"/>
      <c r="R16" s="1096"/>
      <c r="S16" s="1096"/>
      <c r="T16" s="1096"/>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row>
    <row r="17" spans="1:51" x14ac:dyDescent="0.45">
      <c r="A17" s="1096">
        <v>1947</v>
      </c>
      <c r="B17" s="1096"/>
      <c r="C17" s="1113">
        <v>7.4332722644017943</v>
      </c>
      <c r="D17" s="1113">
        <v>4.6399203609356565</v>
      </c>
      <c r="E17" s="1096"/>
      <c r="F17" s="1114">
        <f t="shared" ref="F17:F80" si="0">D17/C17*100</f>
        <v>62.420966108780931</v>
      </c>
      <c r="G17" s="1096"/>
      <c r="H17" s="1096"/>
      <c r="I17" s="1096"/>
      <c r="J17" s="1096"/>
      <c r="K17" s="1096"/>
      <c r="L17" s="1096"/>
      <c r="M17" s="1096"/>
      <c r="N17" s="1096"/>
      <c r="O17" s="1096"/>
      <c r="P17" s="1096"/>
      <c r="Q17" s="1096"/>
      <c r="R17" s="1096"/>
      <c r="S17" s="1096"/>
      <c r="T17" s="1096"/>
      <c r="U17" s="1096"/>
      <c r="V17" s="1096"/>
      <c r="W17" s="1096"/>
      <c r="X17" s="1096"/>
      <c r="Y17" s="1096"/>
      <c r="Z17" s="1096"/>
      <c r="AA17" s="1096"/>
      <c r="AB17" s="1096" t="s">
        <v>1285</v>
      </c>
      <c r="AC17" s="1114">
        <v>99.9</v>
      </c>
      <c r="AD17" s="1096" t="s">
        <v>1285</v>
      </c>
      <c r="AE17" s="1114">
        <v>100.1</v>
      </c>
      <c r="AF17" s="1096" t="s">
        <v>1285</v>
      </c>
      <c r="AG17" s="1114">
        <v>98.5</v>
      </c>
      <c r="AH17" s="1096" t="s">
        <v>1285</v>
      </c>
      <c r="AI17" s="1114">
        <v>100</v>
      </c>
      <c r="AJ17" s="1096" t="s">
        <v>1285</v>
      </c>
      <c r="AK17" s="1114">
        <v>100</v>
      </c>
      <c r="AL17" s="1096" t="s">
        <v>1285</v>
      </c>
      <c r="AM17" s="1114">
        <v>100.3</v>
      </c>
      <c r="AN17" s="1096"/>
      <c r="AO17" s="1096"/>
      <c r="AP17" s="1096"/>
      <c r="AQ17" s="1096"/>
      <c r="AR17" s="1096"/>
      <c r="AS17" s="1096"/>
      <c r="AT17" s="1096"/>
      <c r="AU17" s="1096"/>
      <c r="AV17" s="1096"/>
      <c r="AW17" s="1096"/>
      <c r="AX17" s="1096"/>
      <c r="AY17" s="1096"/>
    </row>
    <row r="18" spans="1:51" x14ac:dyDescent="0.45">
      <c r="A18" s="1096">
        <v>1948</v>
      </c>
      <c r="B18" s="1096"/>
      <c r="C18" s="1113">
        <v>7.8938810158284012</v>
      </c>
      <c r="D18" s="1113">
        <v>4.9753498067576514</v>
      </c>
      <c r="E18" s="1096"/>
      <c r="F18" s="1114">
        <f t="shared" si="0"/>
        <v>63.027930073703132</v>
      </c>
      <c r="G18" s="1096"/>
      <c r="H18" s="1096"/>
      <c r="I18" s="1096"/>
      <c r="J18" s="1096"/>
      <c r="K18" s="1096"/>
      <c r="L18" s="1096"/>
      <c r="M18" s="1096"/>
      <c r="N18" s="1096"/>
      <c r="O18" s="1096"/>
      <c r="P18" s="1096"/>
      <c r="Q18" s="1096"/>
      <c r="R18" s="1096"/>
      <c r="S18" s="1096"/>
      <c r="T18" s="1096"/>
      <c r="U18" s="1096"/>
      <c r="V18" s="1096"/>
      <c r="W18" s="1096"/>
      <c r="X18" s="1096"/>
      <c r="Y18" s="1096"/>
      <c r="Z18" s="1096"/>
      <c r="AA18" s="1096"/>
      <c r="AB18" s="1096" t="s">
        <v>1286</v>
      </c>
      <c r="AC18" s="1114">
        <v>99.6</v>
      </c>
      <c r="AD18" s="1096" t="s">
        <v>1286</v>
      </c>
      <c r="AE18" s="1114">
        <v>97.5</v>
      </c>
      <c r="AF18" s="1096" t="s">
        <v>1286</v>
      </c>
      <c r="AG18" s="1114">
        <v>96.1</v>
      </c>
      <c r="AH18" s="1096" t="s">
        <v>1286</v>
      </c>
      <c r="AI18" s="1114">
        <v>100</v>
      </c>
      <c r="AJ18" s="1096" t="s">
        <v>1286</v>
      </c>
      <c r="AK18" s="1114">
        <v>100</v>
      </c>
      <c r="AL18" s="1096" t="s">
        <v>1286</v>
      </c>
      <c r="AM18" s="1114">
        <v>101.9</v>
      </c>
      <c r="AN18" s="1096"/>
      <c r="AO18" s="1096"/>
      <c r="AP18" s="1096"/>
      <c r="AQ18" s="1096"/>
      <c r="AR18" s="1096"/>
      <c r="AS18" s="1096"/>
      <c r="AT18" s="1096"/>
      <c r="AU18" s="1096"/>
      <c r="AV18" s="1096"/>
      <c r="AW18" s="1096"/>
      <c r="AX18" s="1096"/>
      <c r="AY18" s="1096"/>
    </row>
    <row r="19" spans="1:51" x14ac:dyDescent="0.45">
      <c r="A19" s="1096">
        <v>1949</v>
      </c>
      <c r="B19" s="1096"/>
      <c r="C19" s="1113">
        <v>8.1174656352211567</v>
      </c>
      <c r="D19" s="1113">
        <v>5.0725757330828651</v>
      </c>
      <c r="E19" s="1096"/>
      <c r="F19" s="1114">
        <f t="shared" si="0"/>
        <v>62.489648383274798</v>
      </c>
      <c r="G19" s="1096"/>
      <c r="H19" s="1096"/>
      <c r="I19" s="1096"/>
      <c r="J19" s="1096"/>
      <c r="K19" s="1096"/>
      <c r="L19" s="1096"/>
      <c r="M19" s="1096"/>
      <c r="N19" s="1096"/>
      <c r="O19" s="1096"/>
      <c r="P19" s="1096"/>
      <c r="Q19" s="1096"/>
      <c r="R19" s="1096"/>
      <c r="S19" s="1096"/>
      <c r="T19" s="1096"/>
      <c r="U19" s="1096"/>
      <c r="V19" s="1096"/>
      <c r="W19" s="1096"/>
      <c r="X19" s="1096"/>
      <c r="Y19" s="1096"/>
      <c r="Z19" s="1096"/>
      <c r="AA19" s="1096"/>
      <c r="AB19" s="1096" t="s">
        <v>1287</v>
      </c>
      <c r="AC19" s="1114">
        <v>98.9</v>
      </c>
      <c r="AD19" s="1096" t="s">
        <v>1287</v>
      </c>
      <c r="AE19" s="1114">
        <v>97.6</v>
      </c>
      <c r="AF19" s="1096" t="s">
        <v>1287</v>
      </c>
      <c r="AG19" s="1114">
        <v>97.6</v>
      </c>
      <c r="AH19" s="1096" t="s">
        <v>1287</v>
      </c>
      <c r="AI19" s="1114">
        <v>97.9</v>
      </c>
      <c r="AJ19" s="1096" t="s">
        <v>1287</v>
      </c>
      <c r="AK19" s="1114">
        <v>100</v>
      </c>
      <c r="AL19" s="1096" t="s">
        <v>1287</v>
      </c>
      <c r="AM19" s="1114">
        <v>102.1</v>
      </c>
      <c r="AN19" s="1096"/>
      <c r="AO19" s="1096"/>
      <c r="AP19" s="1096"/>
      <c r="AQ19" s="1096"/>
      <c r="AR19" s="1096"/>
      <c r="AS19" s="1096"/>
      <c r="AT19" s="1096"/>
      <c r="AU19" s="1096"/>
      <c r="AV19" s="1096"/>
      <c r="AW19" s="1096"/>
      <c r="AX19" s="1096"/>
      <c r="AY19" s="1096"/>
    </row>
    <row r="20" spans="1:51" x14ac:dyDescent="0.45">
      <c r="A20" s="1096">
        <v>1950</v>
      </c>
      <c r="B20" s="1096"/>
      <c r="C20" s="1113">
        <v>8.3624312974520194</v>
      </c>
      <c r="D20" s="1113">
        <v>5.2288851069441735</v>
      </c>
      <c r="E20" s="1096"/>
      <c r="F20" s="1114">
        <f t="shared" si="0"/>
        <v>62.528287778428528</v>
      </c>
      <c r="G20" s="1096"/>
      <c r="H20" s="1096"/>
      <c r="I20" s="1096"/>
      <c r="J20" s="1096"/>
      <c r="K20" s="1096"/>
      <c r="L20" s="1096"/>
      <c r="M20" s="1096"/>
      <c r="N20" s="1096"/>
      <c r="O20" s="1096"/>
      <c r="P20" s="1096"/>
      <c r="Q20" s="1096"/>
      <c r="R20" s="1096"/>
      <c r="S20" s="1096"/>
      <c r="T20" s="1096"/>
      <c r="U20" s="1096"/>
      <c r="V20" s="1096"/>
      <c r="W20" s="1096"/>
      <c r="X20" s="1096"/>
      <c r="Y20" s="1096"/>
      <c r="Z20" s="1096"/>
      <c r="AA20" s="1096"/>
      <c r="AB20" s="1096" t="s">
        <v>1288</v>
      </c>
      <c r="AC20" s="1114">
        <v>98.2</v>
      </c>
      <c r="AD20" s="1096" t="s">
        <v>1288</v>
      </c>
      <c r="AE20" s="1114">
        <v>100.1</v>
      </c>
      <c r="AF20" s="1096" t="s">
        <v>1288</v>
      </c>
      <c r="AG20" s="1114">
        <v>98.7</v>
      </c>
      <c r="AH20" s="1096" t="s">
        <v>1288</v>
      </c>
      <c r="AI20" s="1114">
        <v>95.5</v>
      </c>
      <c r="AJ20" s="1096" t="s">
        <v>1288</v>
      </c>
      <c r="AK20" s="1114">
        <v>100</v>
      </c>
      <c r="AL20" s="1096" t="s">
        <v>1288</v>
      </c>
      <c r="AM20" s="1114">
        <v>103.2</v>
      </c>
      <c r="AN20" s="1096"/>
      <c r="AO20" s="1096"/>
      <c r="AP20" s="1096"/>
      <c r="AQ20" s="1096"/>
      <c r="AR20" s="1096"/>
      <c r="AS20" s="1096"/>
      <c r="AT20" s="1096"/>
      <c r="AU20" s="1096"/>
      <c r="AV20" s="1096"/>
      <c r="AW20" s="1096"/>
      <c r="AX20" s="1096"/>
      <c r="AY20" s="1096"/>
    </row>
    <row r="21" spans="1:51" x14ac:dyDescent="0.45">
      <c r="A21" s="1096">
        <v>1951</v>
      </c>
      <c r="B21" s="1096"/>
      <c r="C21" s="1113">
        <v>9.1278726310561815</v>
      </c>
      <c r="D21" s="1113">
        <v>5.7419388412449246</v>
      </c>
      <c r="E21" s="1096"/>
      <c r="F21" s="1114">
        <f t="shared" si="0"/>
        <v>62.905553937166715</v>
      </c>
      <c r="G21" s="1096"/>
      <c r="H21" s="1096"/>
      <c r="I21" s="1096"/>
      <c r="J21" s="1096"/>
      <c r="K21" s="1096"/>
      <c r="L21" s="1096"/>
      <c r="M21" s="1096"/>
      <c r="N21" s="1096"/>
      <c r="O21" s="1096"/>
      <c r="P21" s="1096"/>
      <c r="Q21" s="1096"/>
      <c r="R21" s="1096"/>
      <c r="S21" s="1096"/>
      <c r="T21" s="1096"/>
      <c r="U21" s="1096"/>
      <c r="V21" s="1096"/>
      <c r="W21" s="1096"/>
      <c r="X21" s="1096"/>
      <c r="Y21" s="1096"/>
      <c r="Z21" s="1096"/>
      <c r="AA21" s="1096"/>
      <c r="AB21" s="1096" t="s">
        <v>1289</v>
      </c>
      <c r="AC21" s="1114">
        <v>98</v>
      </c>
      <c r="AD21" s="1096" t="s">
        <v>1289</v>
      </c>
      <c r="AE21" s="1114">
        <v>101.9</v>
      </c>
      <c r="AF21" s="1096" t="s">
        <v>1289</v>
      </c>
      <c r="AG21" s="1114">
        <v>93.2</v>
      </c>
      <c r="AH21" s="1096" t="s">
        <v>1289</v>
      </c>
      <c r="AI21" s="1114">
        <v>95.5</v>
      </c>
      <c r="AJ21" s="1096" t="s">
        <v>1289</v>
      </c>
      <c r="AK21" s="1114">
        <v>100</v>
      </c>
      <c r="AL21" s="1096" t="s">
        <v>1289</v>
      </c>
      <c r="AM21" s="1114">
        <v>103.7</v>
      </c>
      <c r="AN21" s="1096"/>
      <c r="AO21" s="1096"/>
      <c r="AP21" s="1096"/>
      <c r="AQ21" s="1096"/>
      <c r="AR21" s="1096"/>
      <c r="AS21" s="1096"/>
      <c r="AT21" s="1096"/>
      <c r="AU21" s="1096"/>
      <c r="AV21" s="1096"/>
      <c r="AW21" s="1096"/>
      <c r="AX21" s="1096"/>
      <c r="AY21" s="1096"/>
    </row>
    <row r="22" spans="1:51" x14ac:dyDescent="0.45">
      <c r="A22" s="1096">
        <v>1952</v>
      </c>
      <c r="B22" s="1096"/>
      <c r="C22" s="1113">
        <v>9.9656429781469615</v>
      </c>
      <c r="D22" s="1113">
        <v>6.370077782699223</v>
      </c>
      <c r="E22" s="1096"/>
      <c r="F22" s="1114">
        <f t="shared" si="0"/>
        <v>63.920389248017116</v>
      </c>
      <c r="G22" s="1096"/>
      <c r="H22" s="1096"/>
      <c r="I22" s="1096"/>
      <c r="J22" s="1096"/>
      <c r="K22" s="1096"/>
      <c r="L22" s="1096"/>
      <c r="M22" s="1096"/>
      <c r="N22" s="1096"/>
      <c r="O22" s="1096"/>
      <c r="P22" s="1096"/>
      <c r="Q22" s="1096"/>
      <c r="R22" s="1096"/>
      <c r="S22" s="1096"/>
      <c r="T22" s="1096"/>
      <c r="U22" s="1096"/>
      <c r="V22" s="1096"/>
      <c r="W22" s="1096"/>
      <c r="X22" s="1096"/>
      <c r="Y22" s="1096"/>
      <c r="Z22" s="1096"/>
      <c r="AA22" s="1096"/>
      <c r="AB22" s="1096" t="s">
        <v>1290</v>
      </c>
      <c r="AC22" s="1114">
        <v>100.7</v>
      </c>
      <c r="AD22" s="1096" t="s">
        <v>1290</v>
      </c>
      <c r="AE22" s="1114">
        <v>98.6</v>
      </c>
      <c r="AF22" s="1096" t="s">
        <v>1290</v>
      </c>
      <c r="AG22" s="1114">
        <v>89.4</v>
      </c>
      <c r="AH22" s="1096" t="s">
        <v>1290</v>
      </c>
      <c r="AI22" s="1114">
        <v>98.4</v>
      </c>
      <c r="AJ22" s="1096" t="s">
        <v>1290</v>
      </c>
      <c r="AK22" s="1114">
        <v>104.4</v>
      </c>
      <c r="AL22" s="1096" t="s">
        <v>1290</v>
      </c>
      <c r="AM22" s="1114">
        <v>106.2</v>
      </c>
      <c r="AN22" s="1096"/>
      <c r="AO22" s="1096"/>
      <c r="AP22" s="1096"/>
      <c r="AQ22" s="1096"/>
      <c r="AR22" s="1096"/>
      <c r="AS22" s="1096"/>
      <c r="AT22" s="1096"/>
      <c r="AU22" s="1096"/>
      <c r="AV22" s="1096"/>
      <c r="AW22" s="1096"/>
      <c r="AX22" s="1096"/>
      <c r="AY22" s="1096"/>
    </row>
    <row r="23" spans="1:51" x14ac:dyDescent="0.45">
      <c r="A23" s="1096">
        <v>1953</v>
      </c>
      <c r="B23" s="1096"/>
      <c r="C23" s="1113">
        <v>10.271605701160246</v>
      </c>
      <c r="D23" s="1113">
        <v>6.697514135539671</v>
      </c>
      <c r="E23" s="1096"/>
      <c r="F23" s="1114">
        <f t="shared" si="0"/>
        <v>65.204159217123589</v>
      </c>
      <c r="G23" s="1096"/>
      <c r="H23" s="1096"/>
      <c r="I23" s="1096"/>
      <c r="J23" s="1096"/>
      <c r="K23" s="1096"/>
      <c r="L23" s="1096"/>
      <c r="M23" s="1096"/>
      <c r="N23" s="1096"/>
      <c r="O23" s="1096"/>
      <c r="P23" s="1096"/>
      <c r="Q23" s="1096"/>
      <c r="R23" s="1096"/>
      <c r="S23" s="1096"/>
      <c r="T23" s="1096"/>
      <c r="U23" s="1096"/>
      <c r="V23" s="1096"/>
      <c r="W23" s="1096"/>
      <c r="X23" s="1096"/>
      <c r="Y23" s="1096"/>
      <c r="Z23" s="1096"/>
      <c r="AA23" s="1096"/>
      <c r="AB23" s="1096" t="s">
        <v>1291</v>
      </c>
      <c r="AC23" s="1114">
        <v>103.5</v>
      </c>
      <c r="AD23" s="1096" t="s">
        <v>1291</v>
      </c>
      <c r="AE23" s="1114">
        <v>97.4</v>
      </c>
      <c r="AF23" s="1096" t="s">
        <v>1291</v>
      </c>
      <c r="AG23" s="1114">
        <v>86.7</v>
      </c>
      <c r="AH23" s="1096" t="s">
        <v>1291</v>
      </c>
      <c r="AI23" s="1114">
        <v>101.2</v>
      </c>
      <c r="AJ23" s="1096" t="s">
        <v>1291</v>
      </c>
      <c r="AK23" s="1114">
        <v>108.6</v>
      </c>
      <c r="AL23" s="1096" t="s">
        <v>1291</v>
      </c>
      <c r="AM23" s="1114">
        <v>107.7</v>
      </c>
      <c r="AN23" s="1096"/>
      <c r="AO23" s="1096"/>
      <c r="AP23" s="1096"/>
      <c r="AQ23" s="1096"/>
      <c r="AR23" s="1096"/>
      <c r="AS23" s="1096"/>
      <c r="AT23" s="1096"/>
      <c r="AU23" s="1096"/>
      <c r="AV23" s="1096"/>
      <c r="AW23" s="1096"/>
      <c r="AX23" s="1096"/>
      <c r="AY23" s="1096"/>
    </row>
    <row r="24" spans="1:51" x14ac:dyDescent="0.45">
      <c r="A24" s="1096">
        <v>1954</v>
      </c>
      <c r="B24" s="1096"/>
      <c r="C24" s="1113">
        <v>10.461011196358944</v>
      </c>
      <c r="D24" s="1113">
        <v>6.9982316819883374</v>
      </c>
      <c r="E24" s="1096"/>
      <c r="F24" s="1114">
        <f t="shared" si="0"/>
        <v>66.89823336030976</v>
      </c>
      <c r="G24" s="1096"/>
      <c r="H24" s="1096"/>
      <c r="I24" s="1096"/>
      <c r="J24" s="1096"/>
      <c r="K24" s="1096"/>
      <c r="L24" s="1096"/>
      <c r="M24" s="1096"/>
      <c r="N24" s="1096"/>
      <c r="O24" s="1096"/>
      <c r="P24" s="1096"/>
      <c r="Q24" s="1096"/>
      <c r="R24" s="1096"/>
      <c r="S24" s="1096"/>
      <c r="T24" s="1096"/>
      <c r="U24" s="1096"/>
      <c r="V24" s="1096"/>
      <c r="W24" s="1096"/>
      <c r="X24" s="1096"/>
      <c r="Y24" s="1096"/>
      <c r="Z24" s="1096"/>
      <c r="AA24" s="1096"/>
      <c r="AB24" s="1096" t="s">
        <v>1292</v>
      </c>
      <c r="AC24" s="1114">
        <v>103.9</v>
      </c>
      <c r="AD24" s="1096" t="s">
        <v>1292</v>
      </c>
      <c r="AE24" s="1114">
        <v>101.8</v>
      </c>
      <c r="AF24" s="1096" t="s">
        <v>1292</v>
      </c>
      <c r="AG24" s="1114">
        <v>86.4</v>
      </c>
      <c r="AH24" s="1096" t="s">
        <v>1292</v>
      </c>
      <c r="AI24" s="1114">
        <v>101.2</v>
      </c>
      <c r="AJ24" s="1096" t="s">
        <v>1292</v>
      </c>
      <c r="AK24" s="1114">
        <v>108.6</v>
      </c>
      <c r="AL24" s="1096" t="s">
        <v>1292</v>
      </c>
      <c r="AM24" s="1114">
        <v>109.9</v>
      </c>
      <c r="AN24" s="1096"/>
      <c r="AO24" s="1096"/>
      <c r="AP24" s="1096"/>
      <c r="AQ24" s="1096"/>
      <c r="AR24" s="1096"/>
      <c r="AS24" s="1096"/>
      <c r="AT24" s="1096"/>
      <c r="AU24" s="1096"/>
      <c r="AV24" s="1096"/>
      <c r="AW24" s="1096"/>
      <c r="AX24" s="1096"/>
      <c r="AY24" s="1096"/>
    </row>
    <row r="25" spans="1:51" x14ac:dyDescent="0.45">
      <c r="A25" s="1096">
        <v>1955</v>
      </c>
      <c r="B25" s="1096"/>
      <c r="C25" s="1113">
        <v>10.93290608396938</v>
      </c>
      <c r="D25" s="1113">
        <v>7.3937747962195992</v>
      </c>
      <c r="E25" s="1096"/>
      <c r="F25" s="1114">
        <f t="shared" si="0"/>
        <v>67.628631760231499</v>
      </c>
      <c r="G25" s="1096"/>
      <c r="H25" s="1096"/>
      <c r="I25" s="1096"/>
      <c r="J25" s="1096"/>
      <c r="K25" s="1096"/>
      <c r="L25" s="1096"/>
      <c r="M25" s="1096"/>
      <c r="N25" s="1096"/>
      <c r="O25" s="1096"/>
      <c r="P25" s="1096"/>
      <c r="Q25" s="1096"/>
      <c r="R25" s="1096"/>
      <c r="S25" s="1096"/>
      <c r="T25" s="1096"/>
      <c r="U25" s="1096"/>
      <c r="V25" s="1096"/>
      <c r="W25" s="1096"/>
      <c r="X25" s="1096"/>
      <c r="Y25" s="1096"/>
      <c r="Z25" s="1096"/>
      <c r="AA25" s="1096"/>
      <c r="AB25" s="1096" t="s">
        <v>1293</v>
      </c>
      <c r="AC25" s="1114">
        <v>104.2</v>
      </c>
      <c r="AD25" s="1096" t="s">
        <v>1293</v>
      </c>
      <c r="AE25" s="1114">
        <v>103.2</v>
      </c>
      <c r="AF25" s="1096" t="s">
        <v>1293</v>
      </c>
      <c r="AG25" s="1114">
        <v>89.8</v>
      </c>
      <c r="AH25" s="1096" t="s">
        <v>1293</v>
      </c>
      <c r="AI25" s="1114">
        <v>101.2</v>
      </c>
      <c r="AJ25" s="1096" t="s">
        <v>1293</v>
      </c>
      <c r="AK25" s="1114">
        <v>108.6</v>
      </c>
      <c r="AL25" s="1096" t="s">
        <v>1293</v>
      </c>
      <c r="AM25" s="1114">
        <v>111.7</v>
      </c>
      <c r="AN25" s="1096"/>
      <c r="AO25" s="1096"/>
      <c r="AP25" s="1096"/>
      <c r="AQ25" s="1096"/>
      <c r="AR25" s="1096"/>
      <c r="AS25" s="1096"/>
      <c r="AT25" s="1096"/>
      <c r="AU25" s="1096"/>
      <c r="AV25" s="1096"/>
      <c r="AW25" s="1096"/>
      <c r="AX25" s="1096"/>
      <c r="AY25" s="1096"/>
    </row>
    <row r="26" spans="1:51" x14ac:dyDescent="0.45">
      <c r="A26" s="1096">
        <v>1956</v>
      </c>
      <c r="B26" s="1096"/>
      <c r="C26" s="1113">
        <v>11.477414505657917</v>
      </c>
      <c r="D26" s="1113">
        <v>8.1262137685503308</v>
      </c>
      <c r="E26" s="1096"/>
      <c r="F26" s="1114">
        <f t="shared" si="0"/>
        <v>70.801780004934258</v>
      </c>
      <c r="G26" s="1096"/>
      <c r="H26" s="1096"/>
      <c r="I26" s="1096"/>
      <c r="J26" s="1096"/>
      <c r="K26" s="1096"/>
      <c r="L26" s="1096"/>
      <c r="M26" s="1096"/>
      <c r="N26" s="1096"/>
      <c r="O26" s="1096"/>
      <c r="P26" s="1096"/>
      <c r="Q26" s="1096"/>
      <c r="R26" s="1096"/>
      <c r="S26" s="1096"/>
      <c r="T26" s="1096"/>
      <c r="U26" s="1096"/>
      <c r="V26" s="1096"/>
      <c r="W26" s="1096"/>
      <c r="X26" s="1096"/>
      <c r="Y26" s="1096"/>
      <c r="Z26" s="1096"/>
      <c r="AA26" s="1096"/>
      <c r="AB26" s="1096" t="s">
        <v>1294</v>
      </c>
      <c r="AC26" s="1114">
        <v>106.5</v>
      </c>
      <c r="AD26" s="1096" t="s">
        <v>1294</v>
      </c>
      <c r="AE26" s="1114">
        <v>99.1</v>
      </c>
      <c r="AF26" s="1096" t="s">
        <v>1294</v>
      </c>
      <c r="AG26" s="1114">
        <v>93.4</v>
      </c>
      <c r="AH26" s="1096" t="s">
        <v>1294</v>
      </c>
      <c r="AI26" s="1114">
        <v>102.9</v>
      </c>
      <c r="AJ26" s="1096" t="s">
        <v>1294</v>
      </c>
      <c r="AK26" s="1114">
        <v>112.2</v>
      </c>
      <c r="AL26" s="1096" t="s">
        <v>1294</v>
      </c>
      <c r="AM26" s="1114">
        <v>114.9</v>
      </c>
      <c r="AN26" s="1096"/>
      <c r="AO26" s="1096"/>
      <c r="AP26" s="1096"/>
      <c r="AQ26" s="1096"/>
      <c r="AR26" s="1096"/>
      <c r="AS26" s="1096"/>
      <c r="AT26" s="1096"/>
      <c r="AU26" s="1096"/>
      <c r="AV26" s="1096"/>
      <c r="AW26" s="1096"/>
      <c r="AX26" s="1096"/>
      <c r="AY26" s="1096"/>
    </row>
    <row r="27" spans="1:51" x14ac:dyDescent="0.45">
      <c r="A27" s="1096">
        <v>1957</v>
      </c>
      <c r="B27" s="1096"/>
      <c r="C27" s="1113">
        <v>11.901080602559292</v>
      </c>
      <c r="D27" s="1113">
        <v>8.651650098106149</v>
      </c>
      <c r="E27" s="1096"/>
      <c r="F27" s="1114">
        <f t="shared" si="0"/>
        <v>72.696340668809839</v>
      </c>
      <c r="G27" s="1096"/>
      <c r="H27" s="1096"/>
      <c r="I27" s="1096"/>
      <c r="J27" s="1096"/>
      <c r="K27" s="1096"/>
      <c r="L27" s="1096"/>
      <c r="M27" s="1096"/>
      <c r="N27" s="1096"/>
      <c r="O27" s="1096"/>
      <c r="P27" s="1096"/>
      <c r="Q27" s="1096"/>
      <c r="R27" s="1096"/>
      <c r="S27" s="1096"/>
      <c r="T27" s="1096"/>
      <c r="U27" s="1096"/>
      <c r="V27" s="1096"/>
      <c r="W27" s="1096"/>
      <c r="X27" s="1096"/>
      <c r="Y27" s="1096"/>
      <c r="Z27" s="1096"/>
      <c r="AA27" s="1096"/>
      <c r="AB27" s="1096" t="s">
        <v>1295</v>
      </c>
      <c r="AC27" s="1114">
        <v>108.7</v>
      </c>
      <c r="AD27" s="1096" t="s">
        <v>1295</v>
      </c>
      <c r="AE27" s="1114">
        <v>99.7</v>
      </c>
      <c r="AF27" s="1096" t="s">
        <v>1295</v>
      </c>
      <c r="AG27" s="1114">
        <v>92</v>
      </c>
      <c r="AH27" s="1096" t="s">
        <v>1295</v>
      </c>
      <c r="AI27" s="1114">
        <v>104.6</v>
      </c>
      <c r="AJ27" s="1096" t="s">
        <v>1295</v>
      </c>
      <c r="AK27" s="1114">
        <v>115.7</v>
      </c>
      <c r="AL27" s="1096" t="s">
        <v>1295</v>
      </c>
      <c r="AM27" s="1114">
        <v>116</v>
      </c>
      <c r="AN27" s="1096"/>
      <c r="AO27" s="1096"/>
      <c r="AP27" s="1096"/>
      <c r="AQ27" s="1096"/>
      <c r="AR27" s="1096"/>
      <c r="AS27" s="1096"/>
      <c r="AT27" s="1096"/>
      <c r="AU27" s="1096"/>
      <c r="AV27" s="1096"/>
      <c r="AW27" s="1096"/>
      <c r="AX27" s="1096"/>
      <c r="AY27" s="1096"/>
    </row>
    <row r="28" spans="1:51" x14ac:dyDescent="0.45">
      <c r="A28" s="1096">
        <v>1958</v>
      </c>
      <c r="B28" s="1096"/>
      <c r="C28" s="1113">
        <v>12.257260064556027</v>
      </c>
      <c r="D28" s="1113">
        <v>9.0848342476636201</v>
      </c>
      <c r="E28" s="1096"/>
      <c r="F28" s="1114">
        <f t="shared" si="0"/>
        <v>74.117985584184339</v>
      </c>
      <c r="G28" s="1096"/>
      <c r="H28" s="1096"/>
      <c r="I28" s="1096"/>
      <c r="J28" s="1096"/>
      <c r="K28" s="1096"/>
      <c r="L28" s="1096"/>
      <c r="M28" s="1096"/>
      <c r="N28" s="1096"/>
      <c r="O28" s="1096"/>
      <c r="P28" s="1096"/>
      <c r="Q28" s="1096"/>
      <c r="R28" s="1096"/>
      <c r="S28" s="1096"/>
      <c r="T28" s="1096"/>
      <c r="U28" s="1096"/>
      <c r="V28" s="1096"/>
      <c r="W28" s="1096"/>
      <c r="X28" s="1096"/>
      <c r="Y28" s="1096"/>
      <c r="Z28" s="1096"/>
      <c r="AA28" s="1096"/>
      <c r="AB28" s="1096" t="s">
        <v>1296</v>
      </c>
      <c r="AC28" s="1114">
        <v>109.7</v>
      </c>
      <c r="AD28" s="1096" t="s">
        <v>1296</v>
      </c>
      <c r="AE28" s="1114">
        <v>103.8</v>
      </c>
      <c r="AF28" s="1096" t="s">
        <v>1296</v>
      </c>
      <c r="AG28" s="1114">
        <v>107.8</v>
      </c>
      <c r="AH28" s="1096" t="s">
        <v>1296</v>
      </c>
      <c r="AI28" s="1114">
        <v>104.6</v>
      </c>
      <c r="AJ28" s="1096" t="s">
        <v>1296</v>
      </c>
      <c r="AK28" s="1114">
        <v>115.7</v>
      </c>
      <c r="AL28" s="1096" t="s">
        <v>1296</v>
      </c>
      <c r="AM28" s="1114">
        <v>118.3</v>
      </c>
      <c r="AN28" s="1096"/>
      <c r="AO28" s="1096"/>
      <c r="AP28" s="1096"/>
      <c r="AQ28" s="1096"/>
      <c r="AR28" s="1096"/>
      <c r="AS28" s="1096"/>
      <c r="AT28" s="1096"/>
      <c r="AU28" s="1096"/>
      <c r="AV28" s="1096"/>
      <c r="AW28" s="1096"/>
      <c r="AX28" s="1096"/>
      <c r="AY28" s="1096"/>
    </row>
    <row r="29" spans="1:51" x14ac:dyDescent="0.45">
      <c r="A29" s="1096">
        <v>1959</v>
      </c>
      <c r="B29" s="1096"/>
      <c r="C29" s="1113">
        <v>12.328495956955372</v>
      </c>
      <c r="D29" s="1113">
        <v>9.1837713682415618</v>
      </c>
      <c r="E29" s="1096"/>
      <c r="F29" s="1114">
        <f t="shared" si="0"/>
        <v>74.492228413802181</v>
      </c>
      <c r="G29" s="1096"/>
      <c r="H29" s="1096"/>
      <c r="I29" s="1096"/>
      <c r="J29" s="1096"/>
      <c r="K29" s="1096"/>
      <c r="L29" s="1096"/>
      <c r="M29" s="1096"/>
      <c r="N29" s="1096"/>
      <c r="O29" s="1096"/>
      <c r="P29" s="1096"/>
      <c r="Q29" s="1096"/>
      <c r="R29" s="1096"/>
      <c r="S29" s="1096"/>
      <c r="T29" s="1096"/>
      <c r="U29" s="1096"/>
      <c r="V29" s="1096"/>
      <c r="W29" s="1096"/>
      <c r="X29" s="1096"/>
      <c r="Y29" s="1096"/>
      <c r="Z29" s="1096"/>
      <c r="AA29" s="1096"/>
      <c r="AB29" s="1096" t="s">
        <v>1297</v>
      </c>
      <c r="AC29" s="1114">
        <v>110.2</v>
      </c>
      <c r="AD29" s="1096" t="s">
        <v>1297</v>
      </c>
      <c r="AE29" s="1114">
        <v>105.5</v>
      </c>
      <c r="AF29" s="1096" t="s">
        <v>1297</v>
      </c>
      <c r="AG29" s="1114">
        <v>113.6</v>
      </c>
      <c r="AH29" s="1096" t="s">
        <v>1297</v>
      </c>
      <c r="AI29" s="1114">
        <v>105.1</v>
      </c>
      <c r="AJ29" s="1096" t="s">
        <v>1297</v>
      </c>
      <c r="AK29" s="1114">
        <v>115.7</v>
      </c>
      <c r="AL29" s="1096" t="s">
        <v>1297</v>
      </c>
      <c r="AM29" s="1114">
        <v>120.4</v>
      </c>
      <c r="AN29" s="1096"/>
      <c r="AO29" s="1096"/>
      <c r="AP29" s="1096"/>
      <c r="AQ29" s="1096"/>
      <c r="AR29" s="1096"/>
      <c r="AS29" s="1096"/>
      <c r="AT29" s="1096"/>
      <c r="AU29" s="1096"/>
      <c r="AV29" s="1096"/>
      <c r="AW29" s="1096"/>
      <c r="AX29" s="1096"/>
      <c r="AY29" s="1096"/>
    </row>
    <row r="30" spans="1:51" x14ac:dyDescent="0.45">
      <c r="A30" s="1096">
        <v>1960</v>
      </c>
      <c r="B30" s="1096"/>
      <c r="C30" s="1113">
        <v>12.452221454280554</v>
      </c>
      <c r="D30" s="1113">
        <v>9.4077168776578475</v>
      </c>
      <c r="E30" s="1096"/>
      <c r="F30" s="1114">
        <f t="shared" si="0"/>
        <v>75.550510502877927</v>
      </c>
      <c r="G30" s="1096"/>
      <c r="H30" s="1096"/>
      <c r="I30" s="1096"/>
      <c r="J30" s="1096"/>
      <c r="K30" s="1096"/>
      <c r="L30" s="1096"/>
      <c r="M30" s="1096"/>
      <c r="N30" s="1096"/>
      <c r="O30" s="1096"/>
      <c r="P30" s="1096"/>
      <c r="Q30" s="1096"/>
      <c r="R30" s="1096"/>
      <c r="S30" s="1096"/>
      <c r="T30" s="1096"/>
      <c r="U30" s="1096"/>
      <c r="V30" s="1096"/>
      <c r="W30" s="1096"/>
      <c r="X30" s="1096"/>
      <c r="Y30" s="1096"/>
      <c r="Z30" s="1096"/>
      <c r="AA30" s="1096"/>
      <c r="AB30" s="1096" t="s">
        <v>1298</v>
      </c>
      <c r="AC30" s="1114">
        <v>114</v>
      </c>
      <c r="AD30" s="1096" t="s">
        <v>1298</v>
      </c>
      <c r="AE30" s="1114">
        <v>101.9</v>
      </c>
      <c r="AF30" s="1096" t="s">
        <v>1298</v>
      </c>
      <c r="AG30" s="1114">
        <v>103.5</v>
      </c>
      <c r="AH30" s="1096" t="s">
        <v>1298</v>
      </c>
      <c r="AI30" s="1114">
        <v>110.8</v>
      </c>
      <c r="AJ30" s="1096" t="s">
        <v>1298</v>
      </c>
      <c r="AK30" s="1114">
        <v>120.8</v>
      </c>
      <c r="AL30" s="1096" t="s">
        <v>1298</v>
      </c>
      <c r="AM30" s="1114">
        <v>126</v>
      </c>
      <c r="AN30" s="1096"/>
      <c r="AO30" s="1096"/>
      <c r="AP30" s="1096"/>
      <c r="AQ30" s="1096"/>
      <c r="AR30" s="1096"/>
      <c r="AS30" s="1096"/>
      <c r="AT30" s="1096"/>
      <c r="AU30" s="1096"/>
      <c r="AV30" s="1096"/>
      <c r="AW30" s="1096"/>
      <c r="AX30" s="1096"/>
      <c r="AY30" s="1096"/>
    </row>
    <row r="31" spans="1:51" x14ac:dyDescent="0.45">
      <c r="A31" s="1096">
        <v>1961</v>
      </c>
      <c r="B31" s="1096"/>
      <c r="C31" s="1113">
        <v>12.881511437423987</v>
      </c>
      <c r="D31" s="1113">
        <v>10.004682071415287</v>
      </c>
      <c r="E31" s="1096"/>
      <c r="F31" s="1114">
        <f t="shared" si="0"/>
        <v>77.666989002153912</v>
      </c>
      <c r="G31" s="1096"/>
      <c r="H31" s="1096"/>
      <c r="I31" s="1096"/>
      <c r="J31" s="1096"/>
      <c r="K31" s="1096"/>
      <c r="L31" s="1096"/>
      <c r="M31" s="1096"/>
      <c r="N31" s="1096"/>
      <c r="O31" s="1096"/>
      <c r="P31" s="1096"/>
      <c r="Q31" s="1096"/>
      <c r="R31" s="1096"/>
      <c r="S31" s="1096"/>
      <c r="T31" s="1096"/>
      <c r="U31" s="1096"/>
      <c r="V31" s="1096"/>
      <c r="W31" s="1096"/>
      <c r="X31" s="1096"/>
      <c r="Y31" s="1096"/>
      <c r="Z31" s="1096"/>
      <c r="AA31" s="1096"/>
      <c r="AB31" s="1096" t="s">
        <v>1299</v>
      </c>
      <c r="AC31" s="1114">
        <v>118.3</v>
      </c>
      <c r="AD31" s="1096" t="s">
        <v>1299</v>
      </c>
      <c r="AE31" s="1114">
        <v>103.2</v>
      </c>
      <c r="AF31" s="1096" t="s">
        <v>1299</v>
      </c>
      <c r="AG31" s="1114">
        <v>122.3</v>
      </c>
      <c r="AH31" s="1096" t="s">
        <v>1299</v>
      </c>
      <c r="AI31" s="1114">
        <v>112.4</v>
      </c>
      <c r="AJ31" s="1096" t="s">
        <v>1299</v>
      </c>
      <c r="AK31" s="1114">
        <v>126.2</v>
      </c>
      <c r="AL31" s="1096" t="s">
        <v>1299</v>
      </c>
      <c r="AM31" s="1114">
        <v>128.1</v>
      </c>
      <c r="AN31" s="1096"/>
      <c r="AO31" s="1096"/>
      <c r="AP31" s="1096"/>
      <c r="AQ31" s="1096"/>
      <c r="AR31" s="1096"/>
      <c r="AS31" s="1096"/>
      <c r="AT31" s="1096"/>
      <c r="AU31" s="1096"/>
      <c r="AV31" s="1096"/>
      <c r="AW31" s="1096"/>
      <c r="AX31" s="1096"/>
      <c r="AY31" s="1096"/>
    </row>
    <row r="32" spans="1:51" x14ac:dyDescent="0.45">
      <c r="A32" s="1096">
        <v>1962</v>
      </c>
      <c r="B32" s="1096"/>
      <c r="C32" s="1113">
        <v>13.422084069582061</v>
      </c>
      <c r="D32" s="1113">
        <v>10.617200447925201</v>
      </c>
      <c r="E32" s="1096"/>
      <c r="F32" s="1114">
        <f t="shared" si="0"/>
        <v>79.102473154571754</v>
      </c>
      <c r="G32" s="1096"/>
      <c r="H32" s="1096"/>
      <c r="I32" s="1096"/>
      <c r="J32" s="1096"/>
      <c r="K32" s="1096"/>
      <c r="L32" s="1096"/>
      <c r="M32" s="1096"/>
      <c r="N32" s="1096"/>
      <c r="O32" s="1096"/>
      <c r="P32" s="1096"/>
      <c r="Q32" s="1096"/>
      <c r="R32" s="1096"/>
      <c r="S32" s="1096"/>
      <c r="T32" s="1096"/>
      <c r="U32" s="1096"/>
      <c r="V32" s="1096"/>
      <c r="W32" s="1096"/>
      <c r="X32" s="1096"/>
      <c r="Y32" s="1096"/>
      <c r="Z32" s="1096"/>
      <c r="AA32" s="1096"/>
      <c r="AB32" s="1096" t="s">
        <v>1300</v>
      </c>
      <c r="AC32" s="1114">
        <v>121.1</v>
      </c>
      <c r="AD32" s="1096" t="s">
        <v>1300</v>
      </c>
      <c r="AE32" s="1114">
        <v>110</v>
      </c>
      <c r="AF32" s="1096" t="s">
        <v>1300</v>
      </c>
      <c r="AG32" s="1114">
        <v>159.69999999999999</v>
      </c>
      <c r="AH32" s="1096" t="s">
        <v>1300</v>
      </c>
      <c r="AI32" s="1114">
        <v>113.1</v>
      </c>
      <c r="AJ32" s="1096" t="s">
        <v>1300</v>
      </c>
      <c r="AK32" s="1114">
        <v>126.2</v>
      </c>
      <c r="AL32" s="1096" t="s">
        <v>1300</v>
      </c>
      <c r="AM32" s="1114">
        <v>130.1</v>
      </c>
      <c r="AN32" s="1096"/>
      <c r="AO32" s="1096"/>
      <c r="AP32" s="1096"/>
      <c r="AQ32" s="1096"/>
      <c r="AR32" s="1096"/>
      <c r="AS32" s="1096"/>
      <c r="AT32" s="1096"/>
      <c r="AU32" s="1096"/>
      <c r="AV32" s="1096"/>
      <c r="AW32" s="1096"/>
      <c r="AX32" s="1096"/>
      <c r="AY32" s="1096"/>
    </row>
    <row r="33" spans="1:51" x14ac:dyDescent="0.45">
      <c r="A33" s="1096">
        <v>1963</v>
      </c>
      <c r="B33" s="1096"/>
      <c r="C33" s="1113">
        <v>13.693014789292993</v>
      </c>
      <c r="D33" s="1113">
        <v>11.09999888947628</v>
      </c>
      <c r="E33" s="1096"/>
      <c r="F33" s="1114">
        <f t="shared" si="0"/>
        <v>81.063221359811322</v>
      </c>
      <c r="G33" s="1096"/>
      <c r="H33" s="1096"/>
      <c r="I33" s="1096"/>
      <c r="J33" s="1096"/>
      <c r="K33" s="1096"/>
      <c r="L33" s="1096"/>
      <c r="M33" s="1096"/>
      <c r="N33" s="1096"/>
      <c r="O33" s="1096"/>
      <c r="P33" s="1096"/>
      <c r="Q33" s="1096"/>
      <c r="R33" s="1096"/>
      <c r="S33" s="1096"/>
      <c r="T33" s="1096"/>
      <c r="U33" s="1096"/>
      <c r="V33" s="1096"/>
      <c r="W33" s="1096"/>
      <c r="X33" s="1096"/>
      <c r="Y33" s="1096"/>
      <c r="Z33" s="1096"/>
      <c r="AA33" s="1096"/>
      <c r="AB33" s="1096" t="s">
        <v>1301</v>
      </c>
      <c r="AC33" s="1114">
        <v>121.1</v>
      </c>
      <c r="AD33" s="1096" t="s">
        <v>1301</v>
      </c>
      <c r="AE33" s="1114">
        <v>112.6</v>
      </c>
      <c r="AF33" s="1096" t="s">
        <v>1301</v>
      </c>
      <c r="AG33" s="1114">
        <v>137.69999999999999</v>
      </c>
      <c r="AH33" s="1096" t="s">
        <v>1301</v>
      </c>
      <c r="AI33" s="1114">
        <v>115.6</v>
      </c>
      <c r="AJ33" s="1096" t="s">
        <v>1301</v>
      </c>
      <c r="AK33" s="1114">
        <v>126.2</v>
      </c>
      <c r="AL33" s="1096" t="s">
        <v>1301</v>
      </c>
      <c r="AM33" s="1114">
        <v>130.80000000000001</v>
      </c>
      <c r="AN33" s="1096"/>
      <c r="AO33" s="1096"/>
      <c r="AP33" s="1096"/>
      <c r="AQ33" s="1096"/>
      <c r="AR33" s="1096"/>
      <c r="AS33" s="1096"/>
      <c r="AT33" s="1096"/>
      <c r="AU33" s="1096"/>
      <c r="AV33" s="1096"/>
      <c r="AW33" s="1096"/>
      <c r="AX33" s="1096"/>
      <c r="AY33" s="1096"/>
    </row>
    <row r="34" spans="1:51" x14ac:dyDescent="0.45">
      <c r="A34" s="1096">
        <v>1964</v>
      </c>
      <c r="B34" s="1096"/>
      <c r="C34" s="1113">
        <v>14.142363300033084</v>
      </c>
      <c r="D34" s="1113">
        <v>11.455331558031956</v>
      </c>
      <c r="E34" s="1096"/>
      <c r="F34" s="1114">
        <f t="shared" si="0"/>
        <v>81.000122221475934</v>
      </c>
      <c r="G34" s="1096"/>
      <c r="H34" s="1096"/>
      <c r="I34" s="1096"/>
      <c r="J34" s="1096"/>
      <c r="K34" s="1096"/>
      <c r="L34" s="1096"/>
      <c r="M34" s="1096"/>
      <c r="N34" s="1096"/>
      <c r="O34" s="1096"/>
      <c r="P34" s="1096"/>
      <c r="Q34" s="1096"/>
      <c r="R34" s="1096"/>
      <c r="S34" s="1096"/>
      <c r="T34" s="1096"/>
      <c r="U34" s="1096"/>
      <c r="V34" s="1096"/>
      <c r="W34" s="1096"/>
      <c r="X34" s="1096"/>
      <c r="Y34" s="1096"/>
      <c r="Z34" s="1096"/>
      <c r="AA34" s="1096"/>
      <c r="AB34" s="1096" t="s">
        <v>1302</v>
      </c>
      <c r="AC34" s="1114">
        <v>123.5</v>
      </c>
      <c r="AD34" s="1096" t="s">
        <v>1302</v>
      </c>
      <c r="AE34" s="1114">
        <v>108.8</v>
      </c>
      <c r="AF34" s="1096" t="s">
        <v>1302</v>
      </c>
      <c r="AG34" s="1114">
        <v>114.3</v>
      </c>
      <c r="AH34" s="1096" t="s">
        <v>1302</v>
      </c>
      <c r="AI34" s="1114">
        <v>117.6</v>
      </c>
      <c r="AJ34" s="1096" t="s">
        <v>1302</v>
      </c>
      <c r="AK34" s="1114">
        <v>132.69999999999999</v>
      </c>
      <c r="AL34" s="1096" t="s">
        <v>1302</v>
      </c>
      <c r="AM34" s="1114">
        <v>133.6</v>
      </c>
      <c r="AN34" s="1096"/>
      <c r="AO34" s="1096"/>
      <c r="AP34" s="1096"/>
      <c r="AQ34" s="1096"/>
      <c r="AR34" s="1096"/>
      <c r="AS34" s="1096"/>
      <c r="AT34" s="1096"/>
      <c r="AU34" s="1096"/>
      <c r="AV34" s="1096"/>
      <c r="AW34" s="1096"/>
      <c r="AX34" s="1096"/>
      <c r="AY34" s="1096"/>
    </row>
    <row r="35" spans="1:51" x14ac:dyDescent="0.45">
      <c r="A35" s="1096">
        <v>1965</v>
      </c>
      <c r="B35" s="1096"/>
      <c r="C35" s="1113">
        <v>14.817487410532287</v>
      </c>
      <c r="D35" s="1113">
        <v>11.996624566642565</v>
      </c>
      <c r="E35" s="1096"/>
      <c r="F35" s="1114">
        <f t="shared" si="0"/>
        <v>80.962610152888331</v>
      </c>
      <c r="G35" s="1096"/>
      <c r="H35" s="1096"/>
      <c r="I35" s="1096"/>
      <c r="J35" s="1096"/>
      <c r="K35" s="1096"/>
      <c r="L35" s="1096"/>
      <c r="M35" s="1096"/>
      <c r="N35" s="1096"/>
      <c r="O35" s="1096"/>
      <c r="P35" s="1096"/>
      <c r="Q35" s="1096"/>
      <c r="R35" s="1096"/>
      <c r="S35" s="1096"/>
      <c r="T35" s="1096"/>
      <c r="U35" s="1096"/>
      <c r="V35" s="1096"/>
      <c r="W35" s="1096"/>
      <c r="X35" s="1096"/>
      <c r="Y35" s="1096"/>
      <c r="Z35" s="1096"/>
      <c r="AA35" s="1096"/>
      <c r="AB35" s="1096" t="s">
        <v>1303</v>
      </c>
      <c r="AC35" s="1114">
        <v>127.6</v>
      </c>
      <c r="AD35" s="1096" t="s">
        <v>1303</v>
      </c>
      <c r="AE35" s="1114">
        <v>110.1</v>
      </c>
      <c r="AF35" s="1096" t="s">
        <v>1303</v>
      </c>
      <c r="AG35" s="1114">
        <v>113.5</v>
      </c>
      <c r="AH35" s="1096" t="s">
        <v>1303</v>
      </c>
      <c r="AI35" s="1114">
        <v>119.5</v>
      </c>
      <c r="AJ35" s="1096" t="s">
        <v>1303</v>
      </c>
      <c r="AK35" s="1114">
        <v>139.6</v>
      </c>
      <c r="AL35" s="1096" t="s">
        <v>1303</v>
      </c>
      <c r="AM35" s="1114">
        <v>134.19999999999999</v>
      </c>
      <c r="AN35" s="1096"/>
      <c r="AO35" s="1096"/>
      <c r="AP35" s="1096"/>
      <c r="AQ35" s="1096"/>
      <c r="AR35" s="1096"/>
      <c r="AS35" s="1096"/>
      <c r="AT35" s="1096"/>
      <c r="AU35" s="1096"/>
      <c r="AV35" s="1096"/>
      <c r="AW35" s="1096"/>
      <c r="AX35" s="1096"/>
      <c r="AY35" s="1096"/>
    </row>
    <row r="36" spans="1:51" x14ac:dyDescent="0.45">
      <c r="A36" s="1096">
        <v>1966</v>
      </c>
      <c r="B36" s="1096"/>
      <c r="C36" s="1113">
        <v>15.396794559182501</v>
      </c>
      <c r="D36" s="1113">
        <v>12.662764188529492</v>
      </c>
      <c r="E36" s="1096"/>
      <c r="F36" s="1114">
        <f t="shared" si="0"/>
        <v>82.242859965794253</v>
      </c>
      <c r="G36" s="1096"/>
      <c r="H36" s="1096"/>
      <c r="I36" s="1096"/>
      <c r="J36" s="1096"/>
      <c r="K36" s="1096"/>
      <c r="L36" s="1096"/>
      <c r="M36" s="1096"/>
      <c r="N36" s="1096"/>
      <c r="O36" s="1096"/>
      <c r="P36" s="1096"/>
      <c r="Q36" s="1096"/>
      <c r="R36" s="1096"/>
      <c r="S36" s="1096"/>
      <c r="T36" s="1096"/>
      <c r="U36" s="1096"/>
      <c r="V36" s="1096"/>
      <c r="W36" s="1096"/>
      <c r="X36" s="1096"/>
      <c r="Y36" s="1096"/>
      <c r="Z36" s="1096"/>
      <c r="AA36" s="1096"/>
      <c r="AB36" s="1096" t="s">
        <v>1304</v>
      </c>
      <c r="AC36" s="1114">
        <v>128.1</v>
      </c>
      <c r="AD36" s="1096" t="s">
        <v>1304</v>
      </c>
      <c r="AE36" s="1114">
        <v>116.1</v>
      </c>
      <c r="AF36" s="1096" t="s">
        <v>1304</v>
      </c>
      <c r="AG36" s="1114">
        <v>114.6</v>
      </c>
      <c r="AH36" s="1096" t="s">
        <v>1304</v>
      </c>
      <c r="AI36" s="1114">
        <v>119.5</v>
      </c>
      <c r="AJ36" s="1096" t="s">
        <v>1304</v>
      </c>
      <c r="AK36" s="1114">
        <v>139.6</v>
      </c>
      <c r="AL36" s="1096" t="s">
        <v>1304</v>
      </c>
      <c r="AM36" s="1114">
        <v>135.5</v>
      </c>
      <c r="AN36" s="1096"/>
      <c r="AO36" s="1096"/>
      <c r="AP36" s="1096"/>
      <c r="AQ36" s="1096"/>
      <c r="AR36" s="1096"/>
      <c r="AS36" s="1096"/>
      <c r="AT36" s="1096"/>
      <c r="AU36" s="1096"/>
      <c r="AV36" s="1096"/>
      <c r="AW36" s="1096"/>
      <c r="AX36" s="1096"/>
      <c r="AY36" s="1096"/>
    </row>
    <row r="37" spans="1:51" x14ac:dyDescent="0.45">
      <c r="A37" s="1096">
        <v>1967</v>
      </c>
      <c r="B37" s="1096"/>
      <c r="C37" s="1113">
        <v>15.778961062189394</v>
      </c>
      <c r="D37" s="1113">
        <v>13.018969910324861</v>
      </c>
      <c r="E37" s="1096"/>
      <c r="F37" s="1114">
        <f t="shared" si="0"/>
        <v>82.508410148256146</v>
      </c>
      <c r="G37" s="1096"/>
      <c r="H37" s="1096"/>
      <c r="I37" s="1096"/>
      <c r="J37" s="1096"/>
      <c r="K37" s="1096"/>
      <c r="L37" s="1096"/>
      <c r="M37" s="1096"/>
      <c r="N37" s="1096"/>
      <c r="O37" s="1096"/>
      <c r="P37" s="1096"/>
      <c r="Q37" s="1096"/>
      <c r="R37" s="1096"/>
      <c r="S37" s="1096"/>
      <c r="T37" s="1096"/>
      <c r="U37" s="1096"/>
      <c r="V37" s="1096"/>
      <c r="W37" s="1096"/>
      <c r="X37" s="1096"/>
      <c r="Y37" s="1096"/>
      <c r="Z37" s="1096"/>
      <c r="AA37" s="1096"/>
      <c r="AB37" s="1096" t="s">
        <v>1305</v>
      </c>
      <c r="AC37" s="1114">
        <v>127.7</v>
      </c>
      <c r="AD37" s="1096" t="s">
        <v>1305</v>
      </c>
      <c r="AE37" s="1114">
        <v>117.6</v>
      </c>
      <c r="AF37" s="1096" t="s">
        <v>1305</v>
      </c>
      <c r="AG37" s="1114">
        <v>104.9</v>
      </c>
      <c r="AH37" s="1096" t="s">
        <v>1305</v>
      </c>
      <c r="AI37" s="1114">
        <v>119.5</v>
      </c>
      <c r="AJ37" s="1096" t="s">
        <v>1305</v>
      </c>
      <c r="AK37" s="1114">
        <v>139.6</v>
      </c>
      <c r="AL37" s="1096" t="s">
        <v>1305</v>
      </c>
      <c r="AM37" s="1114">
        <v>136.19999999999999</v>
      </c>
      <c r="AN37" s="1096"/>
      <c r="AO37" s="1096"/>
      <c r="AP37" s="1096"/>
      <c r="AQ37" s="1096"/>
      <c r="AR37" s="1096"/>
      <c r="AS37" s="1096"/>
      <c r="AT37" s="1096"/>
      <c r="AU37" s="1096"/>
      <c r="AV37" s="1096"/>
      <c r="AW37" s="1096"/>
      <c r="AX37" s="1096"/>
      <c r="AY37" s="1096"/>
    </row>
    <row r="38" spans="1:51" x14ac:dyDescent="0.45">
      <c r="A38" s="1096">
        <v>1968</v>
      </c>
      <c r="B38" s="1096"/>
      <c r="C38" s="1113">
        <v>16.520165836032731</v>
      </c>
      <c r="D38" s="1113">
        <v>14.017742816535405</v>
      </c>
      <c r="E38" s="1096"/>
      <c r="F38" s="1114">
        <f t="shared" si="0"/>
        <v>84.852312958994631</v>
      </c>
      <c r="G38" s="1096"/>
      <c r="H38" s="1096"/>
      <c r="I38" s="1096"/>
      <c r="J38" s="1096"/>
      <c r="K38" s="1096"/>
      <c r="L38" s="1096"/>
      <c r="M38" s="1096"/>
      <c r="N38" s="1096"/>
      <c r="O38" s="1096"/>
      <c r="P38" s="1096"/>
      <c r="Q38" s="1096"/>
      <c r="R38" s="1096"/>
      <c r="S38" s="1096"/>
      <c r="T38" s="1096"/>
      <c r="U38" s="1096"/>
      <c r="V38" s="1096"/>
      <c r="W38" s="1096"/>
      <c r="X38" s="1096"/>
      <c r="Y38" s="1096"/>
      <c r="Z38" s="1096"/>
      <c r="AA38" s="1096"/>
      <c r="AB38" s="1096" t="s">
        <v>1306</v>
      </c>
      <c r="AC38" s="1114">
        <v>128.1</v>
      </c>
      <c r="AD38" s="1096" t="s">
        <v>1306</v>
      </c>
      <c r="AE38" s="1114">
        <v>115.4</v>
      </c>
      <c r="AF38" s="1096" t="s">
        <v>1306</v>
      </c>
      <c r="AG38" s="1114">
        <v>103.3</v>
      </c>
      <c r="AH38" s="1096" t="s">
        <v>1306</v>
      </c>
      <c r="AI38" s="1114">
        <v>119.5</v>
      </c>
      <c r="AJ38" s="1096" t="s">
        <v>1306</v>
      </c>
      <c r="AK38" s="1114">
        <v>141</v>
      </c>
      <c r="AL38" s="1096" t="s">
        <v>1306</v>
      </c>
      <c r="AM38" s="1114">
        <v>139.1</v>
      </c>
      <c r="AN38" s="1096"/>
      <c r="AO38" s="1096"/>
      <c r="AP38" s="1096"/>
      <c r="AQ38" s="1096"/>
      <c r="AR38" s="1096"/>
      <c r="AS38" s="1096"/>
      <c r="AT38" s="1096"/>
      <c r="AU38" s="1096"/>
      <c r="AV38" s="1096"/>
      <c r="AW38" s="1096"/>
      <c r="AX38" s="1096"/>
      <c r="AY38" s="1096"/>
    </row>
    <row r="39" spans="1:51" x14ac:dyDescent="0.45">
      <c r="A39" s="1096">
        <v>1969</v>
      </c>
      <c r="B39" s="1096"/>
      <c r="C39" s="1113">
        <v>17.41996420190198</v>
      </c>
      <c r="D39" s="1113">
        <v>14.438554478068172</v>
      </c>
      <c r="E39" s="1096"/>
      <c r="F39" s="1114">
        <f t="shared" si="0"/>
        <v>82.885098446366001</v>
      </c>
      <c r="G39" s="1096"/>
      <c r="H39" s="1096"/>
      <c r="I39" s="1096"/>
      <c r="J39" s="1096"/>
      <c r="K39" s="1096"/>
      <c r="L39" s="1096"/>
      <c r="M39" s="1096"/>
      <c r="N39" s="1096"/>
      <c r="O39" s="1096"/>
      <c r="P39" s="1096"/>
      <c r="Q39" s="1096"/>
      <c r="R39" s="1096"/>
      <c r="S39" s="1096"/>
      <c r="T39" s="1096"/>
      <c r="U39" s="1096"/>
      <c r="V39" s="1096"/>
      <c r="W39" s="1096"/>
      <c r="X39" s="1096"/>
      <c r="Y39" s="1096"/>
      <c r="Z39" s="1096"/>
      <c r="AA39" s="1096"/>
      <c r="AB39" s="1096" t="s">
        <v>1307</v>
      </c>
      <c r="AC39" s="1114">
        <v>127.9</v>
      </c>
      <c r="AD39" s="1096" t="s">
        <v>1307</v>
      </c>
      <c r="AE39" s="1114">
        <v>113.5</v>
      </c>
      <c r="AF39" s="1096" t="s">
        <v>1307</v>
      </c>
      <c r="AG39" s="1114">
        <v>100.8</v>
      </c>
      <c r="AH39" s="1096" t="s">
        <v>1307</v>
      </c>
      <c r="AI39" s="1114">
        <v>117.7</v>
      </c>
      <c r="AJ39" s="1096" t="s">
        <v>1307</v>
      </c>
      <c r="AK39" s="1114">
        <v>142.69999999999999</v>
      </c>
      <c r="AL39" s="1096" t="s">
        <v>1307</v>
      </c>
      <c r="AM39" s="1114">
        <v>139</v>
      </c>
      <c r="AN39" s="1096"/>
      <c r="AO39" s="1096"/>
      <c r="AP39" s="1096"/>
      <c r="AQ39" s="1096"/>
      <c r="AR39" s="1096"/>
      <c r="AS39" s="1096"/>
      <c r="AT39" s="1096"/>
      <c r="AU39" s="1096"/>
      <c r="AV39" s="1096"/>
      <c r="AW39" s="1096"/>
      <c r="AX39" s="1096"/>
      <c r="AY39" s="1096"/>
    </row>
    <row r="40" spans="1:51" x14ac:dyDescent="0.45">
      <c r="A40" s="1096">
        <v>1970</v>
      </c>
      <c r="B40" s="1096"/>
      <c r="C40" s="1113">
        <v>18.529018001694308</v>
      </c>
      <c r="D40" s="1113">
        <v>15.259224523381031</v>
      </c>
      <c r="E40" s="1096"/>
      <c r="F40" s="1114">
        <f t="shared" si="0"/>
        <v>82.353120505283741</v>
      </c>
      <c r="G40" s="1096"/>
      <c r="H40" s="1096"/>
      <c r="I40" s="1096"/>
      <c r="J40" s="1096"/>
      <c r="K40" s="1096"/>
      <c r="L40" s="1096"/>
      <c r="M40" s="1096"/>
      <c r="N40" s="1096"/>
      <c r="O40" s="1096"/>
      <c r="P40" s="1096"/>
      <c r="Q40" s="1096"/>
      <c r="R40" s="1096"/>
      <c r="S40" s="1096"/>
      <c r="T40" s="1096"/>
      <c r="U40" s="1096"/>
      <c r="V40" s="1096"/>
      <c r="W40" s="1096"/>
      <c r="X40" s="1096"/>
      <c r="Y40" s="1096"/>
      <c r="Z40" s="1096"/>
      <c r="AA40" s="1096"/>
      <c r="AB40" s="1096" t="s">
        <v>1308</v>
      </c>
      <c r="AC40" s="1114">
        <v>127.6</v>
      </c>
      <c r="AD40" s="1096" t="s">
        <v>1308</v>
      </c>
      <c r="AE40" s="1114">
        <v>118.4</v>
      </c>
      <c r="AF40" s="1096" t="s">
        <v>1308</v>
      </c>
      <c r="AG40" s="1114">
        <v>113.6</v>
      </c>
      <c r="AH40" s="1096" t="s">
        <v>1308</v>
      </c>
      <c r="AI40" s="1114">
        <v>114.6</v>
      </c>
      <c r="AJ40" s="1096" t="s">
        <v>1308</v>
      </c>
      <c r="AK40" s="1114">
        <v>142.69999999999999</v>
      </c>
      <c r="AL40" s="1096" t="s">
        <v>1308</v>
      </c>
      <c r="AM40" s="1114">
        <v>139.6</v>
      </c>
      <c r="AN40" s="1096"/>
      <c r="AO40" s="1096"/>
      <c r="AP40" s="1096"/>
      <c r="AQ40" s="1096"/>
      <c r="AR40" s="1096"/>
      <c r="AS40" s="1096"/>
      <c r="AT40" s="1096"/>
      <c r="AU40" s="1096"/>
      <c r="AV40" s="1096"/>
      <c r="AW40" s="1096"/>
      <c r="AX40" s="1096"/>
      <c r="AY40" s="1096"/>
    </row>
    <row r="41" spans="1:51" x14ac:dyDescent="0.45">
      <c r="A41" s="1096">
        <v>1971</v>
      </c>
      <c r="B41" s="1096"/>
      <c r="C41" s="1113">
        <v>20.279054235924704</v>
      </c>
      <c r="D41" s="1113">
        <v>16.852546685823551</v>
      </c>
      <c r="E41" s="1096"/>
      <c r="F41" s="1114">
        <f t="shared" si="0"/>
        <v>83.10321817656056</v>
      </c>
      <c r="G41" s="1096"/>
      <c r="H41" s="1096"/>
      <c r="I41" s="1096"/>
      <c r="J41" s="1096"/>
      <c r="K41" s="1096"/>
      <c r="L41" s="1096"/>
      <c r="M41" s="1096"/>
      <c r="N41" s="1096"/>
      <c r="O41" s="1096"/>
      <c r="P41" s="1096"/>
      <c r="Q41" s="1096"/>
      <c r="R41" s="1096"/>
      <c r="S41" s="1096"/>
      <c r="T41" s="1096"/>
      <c r="U41" s="1096"/>
      <c r="V41" s="1096"/>
      <c r="W41" s="1096"/>
      <c r="X41" s="1096"/>
      <c r="Y41" s="1096"/>
      <c r="Z41" s="1096"/>
      <c r="AA41" s="1096"/>
      <c r="AB41" s="1096" t="s">
        <v>1309</v>
      </c>
      <c r="AC41" s="1114">
        <v>127.2</v>
      </c>
      <c r="AD41" s="1096" t="s">
        <v>1309</v>
      </c>
      <c r="AE41" s="1114">
        <v>118.6</v>
      </c>
      <c r="AF41" s="1096" t="s">
        <v>1309</v>
      </c>
      <c r="AG41" s="1114">
        <v>115.2</v>
      </c>
      <c r="AH41" s="1096" t="s">
        <v>1309</v>
      </c>
      <c r="AI41" s="1114">
        <v>113.3</v>
      </c>
      <c r="AJ41" s="1096" t="s">
        <v>1309</v>
      </c>
      <c r="AK41" s="1114">
        <v>142.69999999999999</v>
      </c>
      <c r="AL41" s="1096" t="s">
        <v>1309</v>
      </c>
      <c r="AM41" s="1114">
        <v>138.69999999999999</v>
      </c>
      <c r="AN41" s="1096"/>
      <c r="AO41" s="1096"/>
      <c r="AP41" s="1096"/>
      <c r="AQ41" s="1096"/>
      <c r="AR41" s="1096"/>
      <c r="AS41" s="1096"/>
      <c r="AT41" s="1096"/>
      <c r="AU41" s="1096"/>
      <c r="AV41" s="1096"/>
      <c r="AW41" s="1096"/>
      <c r="AX41" s="1096"/>
      <c r="AY41" s="1096"/>
    </row>
    <row r="42" spans="1:51" x14ac:dyDescent="0.45">
      <c r="A42" s="1096">
        <v>1972</v>
      </c>
      <c r="B42" s="1096"/>
      <c r="C42" s="1113">
        <v>21.71300463049235</v>
      </c>
      <c r="D42" s="1113">
        <v>18.162999598605044</v>
      </c>
      <c r="E42" s="1096"/>
      <c r="F42" s="1114">
        <f t="shared" si="0"/>
        <v>83.650328030134034</v>
      </c>
      <c r="G42" s="1096"/>
      <c r="H42" s="1096"/>
      <c r="I42" s="1096"/>
      <c r="J42" s="1096"/>
      <c r="K42" s="1096"/>
      <c r="L42" s="1096"/>
      <c r="M42" s="1096"/>
      <c r="N42" s="1096"/>
      <c r="O42" s="1096"/>
      <c r="P42" s="1096"/>
      <c r="Q42" s="1096"/>
      <c r="R42" s="1096"/>
      <c r="S42" s="1096"/>
      <c r="T42" s="1096"/>
      <c r="U42" s="1096"/>
      <c r="V42" s="1096"/>
      <c r="W42" s="1096"/>
      <c r="X42" s="1096"/>
      <c r="Y42" s="1096"/>
      <c r="Z42" s="1096"/>
      <c r="AA42" s="1096"/>
      <c r="AB42" s="1096" t="s">
        <v>1310</v>
      </c>
      <c r="AC42" s="1114">
        <v>126.3</v>
      </c>
      <c r="AD42" s="1096" t="s">
        <v>1310</v>
      </c>
      <c r="AE42" s="1114">
        <v>115</v>
      </c>
      <c r="AF42" s="1096" t="s">
        <v>1310</v>
      </c>
      <c r="AG42" s="1114">
        <v>112.9</v>
      </c>
      <c r="AH42" s="1096" t="s">
        <v>1310</v>
      </c>
      <c r="AI42" s="1114">
        <v>113.3</v>
      </c>
      <c r="AJ42" s="1096" t="s">
        <v>1310</v>
      </c>
      <c r="AK42" s="1114">
        <v>141.30000000000001</v>
      </c>
      <c r="AL42" s="1096" t="s">
        <v>1310</v>
      </c>
      <c r="AM42" s="1114">
        <v>140.9</v>
      </c>
      <c r="AN42" s="1096"/>
      <c r="AO42" s="1096"/>
      <c r="AP42" s="1096"/>
      <c r="AQ42" s="1096"/>
      <c r="AR42" s="1096"/>
      <c r="AS42" s="1096"/>
      <c r="AT42" s="1096"/>
      <c r="AU42" s="1096"/>
      <c r="AV42" s="1096"/>
      <c r="AW42" s="1096"/>
      <c r="AX42" s="1096"/>
      <c r="AY42" s="1096"/>
    </row>
    <row r="43" spans="1:51" x14ac:dyDescent="0.45">
      <c r="A43" s="1096">
        <v>1973</v>
      </c>
      <c r="B43" s="1096"/>
      <c r="C43" s="1113">
        <v>23.709742007874173</v>
      </c>
      <c r="D43" s="1113">
        <v>18.679847116504202</v>
      </c>
      <c r="E43" s="1096"/>
      <c r="F43" s="1114">
        <f t="shared" si="0"/>
        <v>78.785535120122745</v>
      </c>
      <c r="G43" s="1096"/>
      <c r="H43" s="1096"/>
      <c r="I43" s="1096"/>
      <c r="J43" s="1096"/>
      <c r="K43" s="1096"/>
      <c r="L43" s="1096"/>
      <c r="M43" s="1096"/>
      <c r="N43" s="1096"/>
      <c r="O43" s="1096"/>
      <c r="P43" s="1096"/>
      <c r="Q43" s="1096"/>
      <c r="R43" s="1096"/>
      <c r="S43" s="1096"/>
      <c r="T43" s="1096"/>
      <c r="U43" s="1096"/>
      <c r="V43" s="1096"/>
      <c r="W43" s="1096"/>
      <c r="X43" s="1096"/>
      <c r="Y43" s="1096"/>
      <c r="Z43" s="1096"/>
      <c r="AA43" s="1096"/>
      <c r="AB43" s="1096" t="s">
        <v>1311</v>
      </c>
      <c r="AC43" s="1114">
        <v>125.5</v>
      </c>
      <c r="AD43" s="1096" t="s">
        <v>1311</v>
      </c>
      <c r="AE43" s="1114">
        <v>114.4</v>
      </c>
      <c r="AF43" s="1096" t="s">
        <v>1311</v>
      </c>
      <c r="AG43" s="1114">
        <v>108.8</v>
      </c>
      <c r="AH43" s="1096" t="s">
        <v>1311</v>
      </c>
      <c r="AI43" s="1114">
        <v>113.3</v>
      </c>
      <c r="AJ43" s="1096" t="s">
        <v>1311</v>
      </c>
      <c r="AK43" s="1114">
        <v>140.1</v>
      </c>
      <c r="AL43" s="1096" t="s">
        <v>1311</v>
      </c>
      <c r="AM43" s="1114">
        <v>141.30000000000001</v>
      </c>
      <c r="AN43" s="1096"/>
      <c r="AO43" s="1096"/>
      <c r="AP43" s="1096"/>
      <c r="AQ43" s="1096"/>
      <c r="AR43" s="1096"/>
      <c r="AS43" s="1096"/>
      <c r="AT43" s="1096"/>
      <c r="AU43" s="1096"/>
      <c r="AV43" s="1096"/>
      <c r="AW43" s="1096"/>
      <c r="AX43" s="1096"/>
      <c r="AY43" s="1096"/>
    </row>
    <row r="44" spans="1:51" x14ac:dyDescent="0.45">
      <c r="A44" s="1096">
        <v>1974</v>
      </c>
      <c r="B44" s="1096"/>
      <c r="C44" s="1113">
        <v>27.513730460498522</v>
      </c>
      <c r="D44" s="1113">
        <v>21.87808733451887</v>
      </c>
      <c r="E44" s="1096"/>
      <c r="F44" s="1114">
        <f t="shared" si="0"/>
        <v>79.516979225806011</v>
      </c>
      <c r="G44" s="1096"/>
      <c r="H44" s="1096"/>
      <c r="I44" s="1096"/>
      <c r="J44" s="1096"/>
      <c r="K44" s="1096"/>
      <c r="L44" s="1096"/>
      <c r="M44" s="1096"/>
      <c r="N44" s="1096"/>
      <c r="O44" s="1096"/>
      <c r="P44" s="1096"/>
      <c r="Q44" s="1096"/>
      <c r="R44" s="1096"/>
      <c r="S44" s="1096"/>
      <c r="T44" s="1096"/>
      <c r="U44" s="1096"/>
      <c r="V44" s="1096"/>
      <c r="W44" s="1096"/>
      <c r="X44" s="1096"/>
      <c r="Y44" s="1096"/>
      <c r="Z44" s="1096"/>
      <c r="AA44" s="1096"/>
      <c r="AB44" s="1096" t="s">
        <v>1312</v>
      </c>
      <c r="AC44" s="1114">
        <v>125.8</v>
      </c>
      <c r="AD44" s="1096" t="s">
        <v>1312</v>
      </c>
      <c r="AE44" s="1114">
        <v>119.1</v>
      </c>
      <c r="AF44" s="1096" t="s">
        <v>1312</v>
      </c>
      <c r="AG44" s="1114">
        <v>111.9</v>
      </c>
      <c r="AH44" s="1096" t="s">
        <v>1312</v>
      </c>
      <c r="AI44" s="1114">
        <v>113.3</v>
      </c>
      <c r="AJ44" s="1096" t="s">
        <v>1312</v>
      </c>
      <c r="AK44" s="1114">
        <v>139.9</v>
      </c>
      <c r="AL44" s="1096" t="s">
        <v>1312</v>
      </c>
      <c r="AM44" s="1114">
        <v>141.80000000000001</v>
      </c>
      <c r="AN44" s="1096"/>
      <c r="AO44" s="1096"/>
      <c r="AP44" s="1096"/>
      <c r="AQ44" s="1096"/>
      <c r="AR44" s="1096"/>
      <c r="AS44" s="1096"/>
      <c r="AT44" s="1096"/>
      <c r="AU44" s="1096"/>
      <c r="AV44" s="1096"/>
      <c r="AW44" s="1096"/>
      <c r="AX44" s="1096"/>
      <c r="AY44" s="1096"/>
    </row>
    <row r="45" spans="1:51" x14ac:dyDescent="0.45">
      <c r="A45" s="1096">
        <v>1975</v>
      </c>
      <c r="B45" s="1096"/>
      <c r="C45" s="1113">
        <v>34.174059991550486</v>
      </c>
      <c r="D45" s="1113">
        <v>29.121385760389909</v>
      </c>
      <c r="E45" s="1096"/>
      <c r="F45" s="1114">
        <f t="shared" si="0"/>
        <v>85.214884528177663</v>
      </c>
      <c r="G45" s="1096"/>
      <c r="H45" s="1096"/>
      <c r="I45" s="1096"/>
      <c r="J45" s="1096"/>
      <c r="K45" s="1096"/>
      <c r="L45" s="1096"/>
      <c r="M45" s="1096"/>
      <c r="N45" s="1096"/>
      <c r="O45" s="1096"/>
      <c r="P45" s="1096"/>
      <c r="Q45" s="1096"/>
      <c r="R45" s="1096"/>
      <c r="S45" s="1096"/>
      <c r="T45" s="1096"/>
      <c r="U45" s="1096"/>
      <c r="V45" s="1096"/>
      <c r="W45" s="1096"/>
      <c r="X45" s="1096"/>
      <c r="Y45" s="1096"/>
      <c r="Z45" s="1096"/>
      <c r="AA45" s="1096"/>
      <c r="AB45" s="1096" t="s">
        <v>1313</v>
      </c>
      <c r="AC45" s="1114">
        <v>124.9</v>
      </c>
      <c r="AD45" s="1096" t="s">
        <v>1313</v>
      </c>
      <c r="AE45" s="1114">
        <v>119.6</v>
      </c>
      <c r="AF45" s="1096" t="s">
        <v>1313</v>
      </c>
      <c r="AG45" s="1114">
        <v>107.4</v>
      </c>
      <c r="AH45" s="1096" t="s">
        <v>1313</v>
      </c>
      <c r="AI45" s="1114">
        <v>113.3</v>
      </c>
      <c r="AJ45" s="1096" t="s">
        <v>1313</v>
      </c>
      <c r="AK45" s="1114">
        <v>138.4</v>
      </c>
      <c r="AL45" s="1096" t="s">
        <v>1313</v>
      </c>
      <c r="AM45" s="1114">
        <v>142</v>
      </c>
      <c r="AN45" s="1096"/>
      <c r="AO45" s="1096"/>
      <c r="AP45" s="1096"/>
      <c r="AQ45" s="1096"/>
      <c r="AR45" s="1096"/>
      <c r="AS45" s="1096"/>
      <c r="AT45" s="1096"/>
      <c r="AU45" s="1096"/>
      <c r="AV45" s="1096"/>
      <c r="AW45" s="1096"/>
      <c r="AX45" s="1096"/>
      <c r="AY45" s="1096"/>
    </row>
    <row r="46" spans="1:51" x14ac:dyDescent="0.45">
      <c r="A46" s="1096">
        <v>1976</v>
      </c>
      <c r="B46" s="1096"/>
      <c r="C46" s="1113">
        <v>39.83312209547951</v>
      </c>
      <c r="D46" s="1113">
        <v>36.043601396298492</v>
      </c>
      <c r="E46" s="1096"/>
      <c r="F46" s="1114">
        <f t="shared" si="0"/>
        <v>90.486508463741345</v>
      </c>
      <c r="G46" s="1096"/>
      <c r="H46" s="1096"/>
      <c r="I46" s="1096"/>
      <c r="J46" s="1096"/>
      <c r="K46" s="1096"/>
      <c r="L46" s="1096"/>
      <c r="M46" s="1096"/>
      <c r="N46" s="1096"/>
      <c r="O46" s="1096"/>
      <c r="P46" s="1096"/>
      <c r="Q46" s="1096"/>
      <c r="R46" s="1096"/>
      <c r="S46" s="1096"/>
      <c r="T46" s="1096"/>
      <c r="U46" s="1096"/>
      <c r="V46" s="1096"/>
      <c r="W46" s="1096"/>
      <c r="X46" s="1096"/>
      <c r="Y46" s="1096"/>
      <c r="Z46" s="1096"/>
      <c r="AA46" s="1096"/>
      <c r="AB46" s="1096" t="s">
        <v>1314</v>
      </c>
      <c r="AC46" s="1114">
        <v>133.9</v>
      </c>
      <c r="AD46" s="1096" t="s">
        <v>1314</v>
      </c>
      <c r="AE46" s="1114">
        <v>125.2</v>
      </c>
      <c r="AF46" s="1096" t="s">
        <v>1314</v>
      </c>
      <c r="AG46" s="1114">
        <v>115.5</v>
      </c>
      <c r="AH46" s="1096" t="s">
        <v>1314</v>
      </c>
      <c r="AI46" s="1114">
        <v>122.4</v>
      </c>
      <c r="AJ46" s="1096" t="s">
        <v>1314</v>
      </c>
      <c r="AK46" s="1114">
        <v>147.9</v>
      </c>
      <c r="AL46" s="1096" t="s">
        <v>1314</v>
      </c>
      <c r="AM46" s="1114">
        <v>144.5</v>
      </c>
      <c r="AN46" s="1096"/>
      <c r="AO46" s="1096"/>
      <c r="AP46" s="1096"/>
      <c r="AQ46" s="1096"/>
      <c r="AR46" s="1096"/>
      <c r="AS46" s="1096"/>
      <c r="AT46" s="1096"/>
      <c r="AU46" s="1096"/>
      <c r="AV46" s="1096"/>
      <c r="AW46" s="1096"/>
      <c r="AX46" s="1096"/>
      <c r="AY46" s="1096"/>
    </row>
    <row r="47" spans="1:51" x14ac:dyDescent="0.45">
      <c r="A47" s="1096">
        <v>1977</v>
      </c>
      <c r="B47" s="1096"/>
      <c r="C47" s="1113">
        <v>46.142796789184615</v>
      </c>
      <c r="D47" s="1113">
        <v>41.753935322400061</v>
      </c>
      <c r="E47" s="1096"/>
      <c r="F47" s="1114">
        <f t="shared" si="0"/>
        <v>90.488523080132722</v>
      </c>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t="s">
        <v>1315</v>
      </c>
      <c r="AC47" s="1114">
        <v>134.1</v>
      </c>
      <c r="AD47" s="1096" t="s">
        <v>1315</v>
      </c>
      <c r="AE47" s="1114">
        <v>124.1</v>
      </c>
      <c r="AF47" s="1096" t="s">
        <v>1315</v>
      </c>
      <c r="AG47" s="1114">
        <v>113.6</v>
      </c>
      <c r="AH47" s="1096" t="s">
        <v>1315</v>
      </c>
      <c r="AI47" s="1114">
        <v>122.4</v>
      </c>
      <c r="AJ47" s="1096" t="s">
        <v>1315</v>
      </c>
      <c r="AK47" s="1114">
        <v>148.6</v>
      </c>
      <c r="AL47" s="1096" t="s">
        <v>1315</v>
      </c>
      <c r="AM47" s="1114">
        <v>144.6</v>
      </c>
      <c r="AN47" s="1096"/>
      <c r="AO47" s="1096"/>
      <c r="AP47" s="1096"/>
      <c r="AQ47" s="1096"/>
      <c r="AR47" s="1096"/>
      <c r="AS47" s="1096"/>
      <c r="AT47" s="1096"/>
      <c r="AU47" s="1096"/>
      <c r="AV47" s="1096"/>
      <c r="AW47" s="1096"/>
      <c r="AX47" s="1096"/>
      <c r="AY47" s="1096"/>
    </row>
    <row r="48" spans="1:51" x14ac:dyDescent="0.45">
      <c r="A48" s="1096">
        <v>1978</v>
      </c>
      <c r="B48" s="1096"/>
      <c r="C48" s="1113">
        <v>49.955640050697077</v>
      </c>
      <c r="D48" s="1113">
        <v>44.959823486794441</v>
      </c>
      <c r="E48" s="1096"/>
      <c r="F48" s="1114">
        <f t="shared" si="0"/>
        <v>89.999494433796329</v>
      </c>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t="s">
        <v>1316</v>
      </c>
      <c r="AC48" s="1114">
        <v>133.9</v>
      </c>
      <c r="AD48" s="1096" t="s">
        <v>1316</v>
      </c>
      <c r="AE48" s="1114">
        <v>128</v>
      </c>
      <c r="AF48" s="1096" t="s">
        <v>1316</v>
      </c>
      <c r="AG48" s="1114">
        <v>112.7</v>
      </c>
      <c r="AH48" s="1096" t="s">
        <v>1316</v>
      </c>
      <c r="AI48" s="1114">
        <v>122.4</v>
      </c>
      <c r="AJ48" s="1096" t="s">
        <v>1316</v>
      </c>
      <c r="AK48" s="1114">
        <v>147.80000000000001</v>
      </c>
      <c r="AL48" s="1096" t="s">
        <v>1316</v>
      </c>
      <c r="AM48" s="1114">
        <v>145.5</v>
      </c>
      <c r="AN48" s="1096"/>
      <c r="AO48" s="1096"/>
      <c r="AP48" s="1096"/>
      <c r="AQ48" s="1096"/>
      <c r="AR48" s="1096"/>
      <c r="AS48" s="1096"/>
      <c r="AT48" s="1096"/>
      <c r="AU48" s="1096"/>
      <c r="AV48" s="1096"/>
      <c r="AW48" s="1096"/>
      <c r="AX48" s="1096"/>
      <c r="AY48" s="1096"/>
    </row>
    <row r="49" spans="1:51" x14ac:dyDescent="0.45">
      <c r="A49" s="1096">
        <v>1979</v>
      </c>
      <c r="B49" s="1096"/>
      <c r="C49" s="1113">
        <v>56.660329531051964</v>
      </c>
      <c r="D49" s="1113">
        <v>49.496147006520452</v>
      </c>
      <c r="E49" s="1096"/>
      <c r="F49" s="1114">
        <f t="shared" si="0"/>
        <v>87.35591094540797</v>
      </c>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t="s">
        <v>1317</v>
      </c>
      <c r="AC49" s="1114">
        <v>134.30000000000001</v>
      </c>
      <c r="AD49" s="1096" t="s">
        <v>1317</v>
      </c>
      <c r="AE49" s="1114">
        <v>128.30000000000001</v>
      </c>
      <c r="AF49" s="1096" t="s">
        <v>1317</v>
      </c>
      <c r="AG49" s="1114">
        <v>111.5</v>
      </c>
      <c r="AH49" s="1096" t="s">
        <v>1317</v>
      </c>
      <c r="AI49" s="1114">
        <v>123.4</v>
      </c>
      <c r="AJ49" s="1096" t="s">
        <v>1317</v>
      </c>
      <c r="AK49" s="1114">
        <v>147.9</v>
      </c>
      <c r="AL49" s="1096" t="s">
        <v>1317</v>
      </c>
      <c r="AM49" s="1114">
        <v>146.80000000000001</v>
      </c>
      <c r="AN49" s="1096"/>
      <c r="AO49" s="1096"/>
      <c r="AP49" s="1096"/>
      <c r="AQ49" s="1096"/>
      <c r="AR49" s="1096"/>
      <c r="AS49" s="1096"/>
      <c r="AT49" s="1096"/>
      <c r="AU49" s="1096"/>
      <c r="AV49" s="1096"/>
      <c r="AW49" s="1096"/>
      <c r="AX49" s="1096"/>
      <c r="AY49" s="1096"/>
    </row>
    <row r="50" spans="1:51" x14ac:dyDescent="0.45">
      <c r="A50" s="1096">
        <v>1980</v>
      </c>
      <c r="B50" s="1096"/>
      <c r="C50" s="1113">
        <v>66.839881706801862</v>
      </c>
      <c r="D50" s="1113">
        <v>61.875123493380755</v>
      </c>
      <c r="E50" s="1096"/>
      <c r="F50" s="1114">
        <f t="shared" si="0"/>
        <v>92.572161879041943</v>
      </c>
      <c r="G50" s="1096"/>
      <c r="H50" s="1096"/>
      <c r="I50" s="1096"/>
      <c r="J50" s="1096"/>
      <c r="K50" s="1096"/>
      <c r="L50" s="1096"/>
      <c r="M50" s="1096"/>
      <c r="N50" s="1096"/>
      <c r="O50" s="1096"/>
      <c r="P50" s="1096"/>
      <c r="Q50" s="1096"/>
      <c r="R50" s="1096"/>
      <c r="S50" s="1096"/>
      <c r="T50" s="1096"/>
      <c r="U50" s="1096"/>
      <c r="V50" s="1096"/>
      <c r="W50" s="1096"/>
      <c r="X50" s="1096"/>
      <c r="Y50" s="1096"/>
      <c r="Z50" s="1096"/>
      <c r="AA50" s="1096"/>
      <c r="AB50" s="1096" t="s">
        <v>1318</v>
      </c>
      <c r="AC50" s="1114">
        <v>134.5</v>
      </c>
      <c r="AD50" s="1096" t="s">
        <v>1318</v>
      </c>
      <c r="AE50" s="1114">
        <v>125.1</v>
      </c>
      <c r="AF50" s="1096" t="s">
        <v>1318</v>
      </c>
      <c r="AG50" s="1114">
        <v>111.9</v>
      </c>
      <c r="AH50" s="1096" t="s">
        <v>1318</v>
      </c>
      <c r="AI50" s="1114">
        <v>124.4</v>
      </c>
      <c r="AJ50" s="1096" t="s">
        <v>1318</v>
      </c>
      <c r="AK50" s="1114">
        <v>147.6</v>
      </c>
      <c r="AL50" s="1096" t="s">
        <v>1318</v>
      </c>
      <c r="AM50" s="1114">
        <v>149.5</v>
      </c>
      <c r="AN50" s="1096"/>
      <c r="AO50" s="1096"/>
      <c r="AP50" s="1096"/>
      <c r="AQ50" s="1096"/>
      <c r="AR50" s="1096"/>
      <c r="AS50" s="1096"/>
      <c r="AT50" s="1096"/>
      <c r="AU50" s="1096"/>
      <c r="AV50" s="1096"/>
      <c r="AW50" s="1096"/>
      <c r="AX50" s="1096"/>
      <c r="AY50" s="1096"/>
    </row>
    <row r="51" spans="1:51" x14ac:dyDescent="0.45">
      <c r="A51" s="1096">
        <v>1981</v>
      </c>
      <c r="B51" s="1096"/>
      <c r="C51" s="1113">
        <v>74.778200253485423</v>
      </c>
      <c r="D51" s="1113">
        <v>75.083975498913262</v>
      </c>
      <c r="E51" s="1096"/>
      <c r="F51" s="1114">
        <f t="shared" si="0"/>
        <v>100.40890960786875</v>
      </c>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t="s">
        <v>1319</v>
      </c>
      <c r="AC51" s="1114">
        <v>134.5</v>
      </c>
      <c r="AD51" s="1096" t="s">
        <v>1319</v>
      </c>
      <c r="AE51" s="1114">
        <v>124.2</v>
      </c>
      <c r="AF51" s="1096" t="s">
        <v>1319</v>
      </c>
      <c r="AG51" s="1114">
        <v>112.1</v>
      </c>
      <c r="AH51" s="1096" t="s">
        <v>1319</v>
      </c>
      <c r="AI51" s="1114">
        <v>124.4</v>
      </c>
      <c r="AJ51" s="1096" t="s">
        <v>1319</v>
      </c>
      <c r="AK51" s="1114">
        <v>147.69999999999999</v>
      </c>
      <c r="AL51" s="1096" t="s">
        <v>1319</v>
      </c>
      <c r="AM51" s="1114">
        <v>149.9</v>
      </c>
      <c r="AN51" s="1096"/>
      <c r="AO51" s="1096"/>
      <c r="AP51" s="1096"/>
      <c r="AQ51" s="1096"/>
      <c r="AR51" s="1096"/>
      <c r="AS51" s="1096"/>
      <c r="AT51" s="1096"/>
      <c r="AU51" s="1096"/>
      <c r="AV51" s="1096"/>
      <c r="AW51" s="1096"/>
      <c r="AX51" s="1096"/>
      <c r="AY51" s="1096"/>
    </row>
    <row r="52" spans="1:51" x14ac:dyDescent="0.45">
      <c r="A52" s="1096">
        <v>1982</v>
      </c>
      <c r="B52" s="1096"/>
      <c r="C52" s="1113">
        <v>81.208280523869874</v>
      </c>
      <c r="D52" s="1113">
        <v>85.605611539221499</v>
      </c>
      <c r="E52" s="1096"/>
      <c r="F52" s="1114">
        <f t="shared" si="0"/>
        <v>105.41488009225746</v>
      </c>
      <c r="G52" s="1096"/>
      <c r="H52" s="1096"/>
      <c r="I52" s="1096"/>
      <c r="J52" s="1096"/>
      <c r="K52" s="1096"/>
      <c r="L52" s="1096"/>
      <c r="M52" s="1096"/>
      <c r="N52" s="1096"/>
      <c r="O52" s="1096"/>
      <c r="P52" s="1096"/>
      <c r="Q52" s="1096"/>
      <c r="R52" s="1096"/>
      <c r="S52" s="1096"/>
      <c r="T52" s="1096"/>
      <c r="U52" s="1096"/>
      <c r="V52" s="1096"/>
      <c r="W52" s="1096"/>
      <c r="X52" s="1096"/>
      <c r="Y52" s="1096"/>
      <c r="Z52" s="1096"/>
      <c r="AA52" s="1096"/>
      <c r="AB52" s="1096" t="s">
        <v>1320</v>
      </c>
      <c r="AC52" s="1114">
        <v>134.69999999999999</v>
      </c>
      <c r="AD52" s="1096" t="s">
        <v>1320</v>
      </c>
      <c r="AE52" s="1114">
        <v>127.9</v>
      </c>
      <c r="AF52" s="1096" t="s">
        <v>1320</v>
      </c>
      <c r="AG52" s="1114">
        <v>113.5</v>
      </c>
      <c r="AH52" s="1096" t="s">
        <v>1320</v>
      </c>
      <c r="AI52" s="1114">
        <v>124.4</v>
      </c>
      <c r="AJ52" s="1096" t="s">
        <v>1320</v>
      </c>
      <c r="AK52" s="1114">
        <v>147.5</v>
      </c>
      <c r="AL52" s="1096" t="s">
        <v>1320</v>
      </c>
      <c r="AM52" s="1114">
        <v>150.1</v>
      </c>
      <c r="AN52" s="1096"/>
      <c r="AO52" s="1096"/>
      <c r="AP52" s="1096"/>
      <c r="AQ52" s="1096"/>
      <c r="AR52" s="1096"/>
      <c r="AS52" s="1096"/>
      <c r="AT52" s="1096"/>
      <c r="AU52" s="1096"/>
      <c r="AV52" s="1096"/>
      <c r="AW52" s="1096"/>
      <c r="AX52" s="1096"/>
      <c r="AY52" s="1096"/>
    </row>
    <row r="53" spans="1:51" x14ac:dyDescent="0.45">
      <c r="A53" s="1096">
        <v>1983</v>
      </c>
      <c r="B53" s="1096"/>
      <c r="C53" s="1113">
        <v>84.951415293620627</v>
      </c>
      <c r="D53" s="1113">
        <v>91.959757623658035</v>
      </c>
      <c r="E53" s="1096"/>
      <c r="F53" s="1114">
        <f t="shared" si="0"/>
        <v>108.24982409747292</v>
      </c>
      <c r="G53" s="1096"/>
      <c r="H53" s="1096"/>
      <c r="I53" s="1096"/>
      <c r="J53" s="1096"/>
      <c r="K53" s="1096"/>
      <c r="L53" s="1096"/>
      <c r="M53" s="1096"/>
      <c r="N53" s="1096"/>
      <c r="O53" s="1096"/>
      <c r="P53" s="1096"/>
      <c r="Q53" s="1096"/>
      <c r="R53" s="1096"/>
      <c r="S53" s="1096"/>
      <c r="T53" s="1096"/>
      <c r="U53" s="1096"/>
      <c r="V53" s="1096"/>
      <c r="W53" s="1096"/>
      <c r="X53" s="1096"/>
      <c r="Y53" s="1096"/>
      <c r="Z53" s="1096"/>
      <c r="AA53" s="1096"/>
      <c r="AB53" s="1096" t="s">
        <v>1321</v>
      </c>
      <c r="AC53" s="1114">
        <v>134.9</v>
      </c>
      <c r="AD53" s="1096" t="s">
        <v>1321</v>
      </c>
      <c r="AE53" s="1114">
        <v>128.69999999999999</v>
      </c>
      <c r="AF53" s="1096" t="s">
        <v>1321</v>
      </c>
      <c r="AG53" s="1114">
        <v>118.9</v>
      </c>
      <c r="AH53" s="1096" t="s">
        <v>1321</v>
      </c>
      <c r="AI53" s="1114">
        <v>124.4</v>
      </c>
      <c r="AJ53" s="1096" t="s">
        <v>1321</v>
      </c>
      <c r="AK53" s="1114">
        <v>147.4</v>
      </c>
      <c r="AL53" s="1096" t="s">
        <v>1321</v>
      </c>
      <c r="AM53" s="1114">
        <v>150.9</v>
      </c>
      <c r="AN53" s="1096"/>
      <c r="AO53" s="1096"/>
      <c r="AP53" s="1096"/>
      <c r="AQ53" s="1096"/>
      <c r="AR53" s="1096"/>
      <c r="AS53" s="1096"/>
      <c r="AT53" s="1096"/>
      <c r="AU53" s="1096"/>
      <c r="AV53" s="1096"/>
      <c r="AW53" s="1096"/>
      <c r="AX53" s="1096"/>
      <c r="AY53" s="1096"/>
    </row>
    <row r="54" spans="1:51" x14ac:dyDescent="0.45">
      <c r="A54" s="1096">
        <v>1984</v>
      </c>
      <c r="B54" s="1096"/>
      <c r="C54" s="1113">
        <v>89.165610477397536</v>
      </c>
      <c r="D54" s="1113">
        <v>94.59757623658038</v>
      </c>
      <c r="E54" s="1096"/>
      <c r="F54" s="1114">
        <f t="shared" si="0"/>
        <v>106.0919963762933</v>
      </c>
      <c r="G54" s="1096"/>
      <c r="H54" s="1096"/>
      <c r="I54" s="1096"/>
      <c r="J54" s="1096"/>
      <c r="K54" s="1096"/>
      <c r="L54" s="1096"/>
      <c r="M54" s="1096"/>
      <c r="N54" s="1096"/>
      <c r="O54" s="1096"/>
      <c r="P54" s="1096"/>
      <c r="Q54" s="1096"/>
      <c r="R54" s="1096"/>
      <c r="S54" s="1096"/>
      <c r="T54" s="1096"/>
      <c r="U54" s="1096"/>
      <c r="V54" s="1096"/>
      <c r="W54" s="1096"/>
      <c r="X54" s="1096"/>
      <c r="Y54" s="1096"/>
      <c r="Z54" s="1096"/>
      <c r="AA54" s="1096"/>
      <c r="AB54" s="1096" t="s">
        <v>1322</v>
      </c>
      <c r="AC54" s="1114">
        <v>135</v>
      </c>
      <c r="AD54" s="1096" t="s">
        <v>1322</v>
      </c>
      <c r="AE54" s="1114">
        <v>125.9</v>
      </c>
      <c r="AF54" s="1096" t="s">
        <v>1322</v>
      </c>
      <c r="AG54" s="1114">
        <v>118.9</v>
      </c>
      <c r="AH54" s="1096" t="s">
        <v>1322</v>
      </c>
      <c r="AI54" s="1114">
        <v>124.4</v>
      </c>
      <c r="AJ54" s="1096" t="s">
        <v>1322</v>
      </c>
      <c r="AK54" s="1114">
        <v>147.9</v>
      </c>
      <c r="AL54" s="1096" t="s">
        <v>1322</v>
      </c>
      <c r="AM54" s="1114">
        <v>152.80000000000001</v>
      </c>
      <c r="AN54" s="1096"/>
      <c r="AO54" s="1096"/>
      <c r="AP54" s="1096"/>
      <c r="AQ54" s="1096"/>
      <c r="AR54" s="1096"/>
      <c r="AS54" s="1096"/>
      <c r="AT54" s="1096"/>
      <c r="AU54" s="1096"/>
      <c r="AV54" s="1096"/>
      <c r="AW54" s="1096"/>
      <c r="AX54" s="1096"/>
      <c r="AY54" s="1096"/>
    </row>
    <row r="55" spans="1:51" x14ac:dyDescent="0.45">
      <c r="A55" s="1096">
        <v>1985</v>
      </c>
      <c r="B55" s="1096"/>
      <c r="C55" s="1113">
        <v>94.588086185044389</v>
      </c>
      <c r="D55" s="1113">
        <v>98.661331752618068</v>
      </c>
      <c r="E55" s="1096"/>
      <c r="F55" s="1114">
        <f t="shared" si="0"/>
        <v>104.30629874422567</v>
      </c>
      <c r="G55" s="1096"/>
      <c r="H55" s="1096"/>
      <c r="I55" s="1096"/>
      <c r="J55" s="1096"/>
      <c r="K55" s="1096"/>
      <c r="L55" s="1096"/>
      <c r="M55" s="1096"/>
      <c r="N55" s="1096"/>
      <c r="O55" s="1096"/>
      <c r="P55" s="1096"/>
      <c r="Q55" s="1096"/>
      <c r="R55" s="1096"/>
      <c r="S55" s="1096"/>
      <c r="T55" s="1096"/>
      <c r="U55" s="1096"/>
      <c r="V55" s="1096"/>
      <c r="W55" s="1096"/>
      <c r="X55" s="1096"/>
      <c r="Y55" s="1096"/>
      <c r="Z55" s="1096"/>
      <c r="AA55" s="1096"/>
      <c r="AB55" s="1096" t="s">
        <v>1323</v>
      </c>
      <c r="AC55" s="1114">
        <v>135.1</v>
      </c>
      <c r="AD55" s="1096" t="s">
        <v>1323</v>
      </c>
      <c r="AE55" s="1114">
        <v>125.4</v>
      </c>
      <c r="AF55" s="1096" t="s">
        <v>1323</v>
      </c>
      <c r="AG55" s="1114">
        <v>121.6</v>
      </c>
      <c r="AH55" s="1096" t="s">
        <v>1323</v>
      </c>
      <c r="AI55" s="1114">
        <v>124.3</v>
      </c>
      <c r="AJ55" s="1096" t="s">
        <v>1323</v>
      </c>
      <c r="AK55" s="1114">
        <v>147.9</v>
      </c>
      <c r="AL55" s="1096" t="s">
        <v>1323</v>
      </c>
      <c r="AM55" s="1114">
        <v>153.1</v>
      </c>
      <c r="AN55" s="1096"/>
      <c r="AO55" s="1096"/>
      <c r="AP55" s="1096"/>
      <c r="AQ55" s="1096"/>
      <c r="AR55" s="1096"/>
      <c r="AS55" s="1096"/>
      <c r="AT55" s="1096"/>
      <c r="AU55" s="1096"/>
      <c r="AV55" s="1096"/>
      <c r="AW55" s="1096"/>
      <c r="AX55" s="1096"/>
      <c r="AY55" s="1096"/>
    </row>
    <row r="56" spans="1:51" x14ac:dyDescent="0.45">
      <c r="A56" s="1096">
        <v>1986</v>
      </c>
      <c r="B56" s="1096"/>
      <c r="C56" s="1113">
        <v>97.82425010561893</v>
      </c>
      <c r="D56" s="1113">
        <v>99.981887637489308</v>
      </c>
      <c r="E56" s="1096"/>
      <c r="F56" s="1114">
        <f t="shared" si="0"/>
        <v>102.20562644696057</v>
      </c>
      <c r="G56" s="1096"/>
      <c r="H56" s="1096"/>
      <c r="I56" s="1096"/>
      <c r="J56" s="1096"/>
      <c r="K56" s="1096"/>
      <c r="L56" s="1096"/>
      <c r="M56" s="1096"/>
      <c r="N56" s="1096"/>
      <c r="O56" s="1096"/>
      <c r="P56" s="1096"/>
      <c r="Q56" s="1096"/>
      <c r="R56" s="1096"/>
      <c r="S56" s="1096"/>
      <c r="T56" s="1096"/>
      <c r="U56" s="1096"/>
      <c r="V56" s="1096"/>
      <c r="W56" s="1096"/>
      <c r="X56" s="1096"/>
      <c r="Y56" s="1096"/>
      <c r="Z56" s="1096"/>
      <c r="AA56" s="1096"/>
      <c r="AB56" s="1096" t="s">
        <v>1324</v>
      </c>
      <c r="AC56" s="1114">
        <v>134.30000000000001</v>
      </c>
      <c r="AD56" s="1096" t="s">
        <v>1324</v>
      </c>
      <c r="AE56" s="1114">
        <v>130.4</v>
      </c>
      <c r="AF56" s="1096" t="s">
        <v>1324</v>
      </c>
      <c r="AG56" s="1114">
        <v>135.1</v>
      </c>
      <c r="AH56" s="1096" t="s">
        <v>1324</v>
      </c>
      <c r="AI56" s="1114">
        <v>124.3</v>
      </c>
      <c r="AJ56" s="1096" t="s">
        <v>1324</v>
      </c>
      <c r="AK56" s="1114">
        <v>145</v>
      </c>
      <c r="AL56" s="1096" t="s">
        <v>1324</v>
      </c>
      <c r="AM56" s="1114">
        <v>154</v>
      </c>
      <c r="AN56" s="1096"/>
      <c r="AO56" s="1096"/>
      <c r="AP56" s="1096"/>
      <c r="AQ56" s="1096"/>
      <c r="AR56" s="1096"/>
      <c r="AS56" s="1096"/>
      <c r="AT56" s="1096"/>
      <c r="AU56" s="1096"/>
      <c r="AV56" s="1096"/>
      <c r="AW56" s="1096"/>
      <c r="AX56" s="1096"/>
      <c r="AY56" s="1096"/>
    </row>
    <row r="57" spans="1:51" x14ac:dyDescent="0.45">
      <c r="A57" s="1096">
        <v>1987</v>
      </c>
      <c r="B57" s="1096"/>
      <c r="C57" s="1113">
        <v>101.9</v>
      </c>
      <c r="D57" s="1113">
        <v>99.1</v>
      </c>
      <c r="E57" s="1096"/>
      <c r="F57" s="1114">
        <f t="shared" si="0"/>
        <v>97.252208047105</v>
      </c>
      <c r="G57" s="1112">
        <f t="shared" ref="G57:G89" si="1">R57/$Z57*100</f>
        <v>96.957801766437683</v>
      </c>
      <c r="H57" s="1112">
        <f t="shared" ref="H57:H89" si="2">T57/$Z57*100</f>
        <v>95.8783120706575</v>
      </c>
      <c r="I57" s="1112">
        <f t="shared" ref="I57:I89" si="3">V57/$Z57*100</f>
        <v>96.56526005888125</v>
      </c>
      <c r="J57" s="1112">
        <f t="shared" ref="J57:J89" si="4">X57/$Z57*100</f>
        <v>98.135426889106952</v>
      </c>
      <c r="K57" s="1096"/>
      <c r="L57" s="1096"/>
      <c r="M57" s="1096"/>
      <c r="N57" s="1096"/>
      <c r="O57" s="1096"/>
      <c r="P57" s="1114">
        <v>99.1</v>
      </c>
      <c r="Q57" s="1096" t="s">
        <v>110</v>
      </c>
      <c r="R57" s="1114">
        <v>98.8</v>
      </c>
      <c r="S57" s="1096" t="s">
        <v>110</v>
      </c>
      <c r="T57" s="1114">
        <v>97.7</v>
      </c>
      <c r="U57" s="1096" t="s">
        <v>110</v>
      </c>
      <c r="V57" s="1114">
        <v>98.4</v>
      </c>
      <c r="W57" s="1096" t="s">
        <v>110</v>
      </c>
      <c r="X57" s="1114">
        <v>100</v>
      </c>
      <c r="Y57" s="1096" t="s">
        <v>110</v>
      </c>
      <c r="Z57" s="1114">
        <v>101.9</v>
      </c>
      <c r="AA57" s="1096"/>
      <c r="AB57" s="1096" t="s">
        <v>1325</v>
      </c>
      <c r="AC57" s="1114">
        <v>133.19999999999999</v>
      </c>
      <c r="AD57" s="1096" t="s">
        <v>1325</v>
      </c>
      <c r="AE57" s="1114">
        <v>130.9</v>
      </c>
      <c r="AF57" s="1096" t="s">
        <v>1325</v>
      </c>
      <c r="AG57" s="1114">
        <v>129.30000000000001</v>
      </c>
      <c r="AH57" s="1096" t="s">
        <v>1325</v>
      </c>
      <c r="AI57" s="1114">
        <v>124.3</v>
      </c>
      <c r="AJ57" s="1096" t="s">
        <v>1325</v>
      </c>
      <c r="AK57" s="1114">
        <v>143.19999999999999</v>
      </c>
      <c r="AL57" s="1096" t="s">
        <v>1325</v>
      </c>
      <c r="AM57" s="1114">
        <v>154.9</v>
      </c>
      <c r="AN57" s="1096"/>
      <c r="AO57" s="1096"/>
      <c r="AP57" s="1096"/>
      <c r="AQ57" s="1096"/>
      <c r="AR57" s="1096"/>
      <c r="AS57" s="1096"/>
      <c r="AT57" s="1096"/>
      <c r="AU57" s="1096"/>
      <c r="AV57" s="1096"/>
      <c r="AW57" s="1096"/>
      <c r="AX57" s="1096"/>
      <c r="AY57" s="1096"/>
    </row>
    <row r="58" spans="1:51" x14ac:dyDescent="0.45">
      <c r="A58" s="1096">
        <v>1988</v>
      </c>
      <c r="B58" s="1096"/>
      <c r="C58" s="1113">
        <v>106.9</v>
      </c>
      <c r="D58" s="1113">
        <v>101.6</v>
      </c>
      <c r="E58" s="1096"/>
      <c r="F58" s="1114">
        <f t="shared" si="0"/>
        <v>95.042095416276879</v>
      </c>
      <c r="G58" s="1112">
        <f t="shared" si="1"/>
        <v>93.451824134705333</v>
      </c>
      <c r="H58" s="1112">
        <f t="shared" si="2"/>
        <v>83.161833489242284</v>
      </c>
      <c r="I58" s="1112">
        <f t="shared" si="3"/>
        <v>92.703461178671645</v>
      </c>
      <c r="J58" s="1112">
        <f t="shared" si="4"/>
        <v>98.596819457436851</v>
      </c>
      <c r="K58" s="1096"/>
      <c r="L58" s="1096"/>
      <c r="M58" s="1096"/>
      <c r="N58" s="1096"/>
      <c r="O58" s="1096"/>
      <c r="P58" s="1114">
        <v>101.6</v>
      </c>
      <c r="Q58" s="1096" t="s">
        <v>111</v>
      </c>
      <c r="R58" s="1114">
        <v>99.9</v>
      </c>
      <c r="S58" s="1096" t="s">
        <v>111</v>
      </c>
      <c r="T58" s="1114">
        <v>88.9</v>
      </c>
      <c r="U58" s="1096" t="s">
        <v>111</v>
      </c>
      <c r="V58" s="1114">
        <v>99.1</v>
      </c>
      <c r="W58" s="1096" t="s">
        <v>111</v>
      </c>
      <c r="X58" s="1114">
        <v>105.4</v>
      </c>
      <c r="Y58" s="1096" t="s">
        <v>111</v>
      </c>
      <c r="Z58" s="1114">
        <v>106.9</v>
      </c>
      <c r="AA58" s="1096"/>
      <c r="AB58" s="1096" t="s">
        <v>1326</v>
      </c>
      <c r="AC58" s="1114">
        <v>132.30000000000001</v>
      </c>
      <c r="AD58" s="1096" t="s">
        <v>1326</v>
      </c>
      <c r="AE58" s="1114">
        <v>127.9</v>
      </c>
      <c r="AF58" s="1096" t="s">
        <v>1326</v>
      </c>
      <c r="AG58" s="1114">
        <v>118.7</v>
      </c>
      <c r="AH58" s="1096" t="s">
        <v>1326</v>
      </c>
      <c r="AI58" s="1114">
        <v>124.2</v>
      </c>
      <c r="AJ58" s="1096" t="s">
        <v>1326</v>
      </c>
      <c r="AK58" s="1114">
        <v>142.6</v>
      </c>
      <c r="AL58" s="1096" t="s">
        <v>1326</v>
      </c>
      <c r="AM58" s="1114">
        <v>156.9</v>
      </c>
      <c r="AN58" s="1096"/>
      <c r="AO58" s="1096"/>
      <c r="AP58" s="1096"/>
      <c r="AQ58" s="1096"/>
      <c r="AR58" s="1096"/>
      <c r="AS58" s="1096"/>
      <c r="AT58" s="1096"/>
      <c r="AU58" s="1096"/>
      <c r="AV58" s="1096"/>
      <c r="AW58" s="1096"/>
      <c r="AX58" s="1096"/>
      <c r="AY58" s="1096"/>
    </row>
    <row r="59" spans="1:51" x14ac:dyDescent="0.45">
      <c r="A59" s="1096">
        <v>1989</v>
      </c>
      <c r="B59" s="1096"/>
      <c r="C59" s="1113">
        <v>115.2</v>
      </c>
      <c r="D59" s="1113">
        <v>107.3</v>
      </c>
      <c r="E59" s="1096"/>
      <c r="F59" s="1114">
        <f t="shared" si="0"/>
        <v>93.1423611111111</v>
      </c>
      <c r="G59" s="1112">
        <f t="shared" si="1"/>
        <v>88.020833333333343</v>
      </c>
      <c r="H59" s="1112">
        <f t="shared" si="2"/>
        <v>83.072916666666657</v>
      </c>
      <c r="I59" s="1112">
        <f t="shared" si="3"/>
        <v>89.670138888888886</v>
      </c>
      <c r="J59" s="1112">
        <f t="shared" si="4"/>
        <v>98.177083333333329</v>
      </c>
      <c r="K59" s="1096"/>
      <c r="L59" s="1096"/>
      <c r="M59" s="1096"/>
      <c r="N59" s="1096"/>
      <c r="O59" s="1096"/>
      <c r="P59" s="1114">
        <v>107.3</v>
      </c>
      <c r="Q59" s="1096" t="s">
        <v>112</v>
      </c>
      <c r="R59" s="1114">
        <v>101.4</v>
      </c>
      <c r="S59" s="1096" t="s">
        <v>112</v>
      </c>
      <c r="T59" s="1114">
        <v>95.7</v>
      </c>
      <c r="U59" s="1096" t="s">
        <v>112</v>
      </c>
      <c r="V59" s="1114">
        <v>103.3</v>
      </c>
      <c r="W59" s="1096" t="s">
        <v>112</v>
      </c>
      <c r="X59" s="1114">
        <v>113.1</v>
      </c>
      <c r="Y59" s="1096" t="s">
        <v>112</v>
      </c>
      <c r="Z59" s="1114">
        <v>115.2</v>
      </c>
      <c r="AA59" s="1096"/>
      <c r="AB59" s="1096" t="s">
        <v>1327</v>
      </c>
      <c r="AC59" s="1114">
        <v>130</v>
      </c>
      <c r="AD59" s="1096" t="s">
        <v>1327</v>
      </c>
      <c r="AE59" s="1114">
        <v>126</v>
      </c>
      <c r="AF59" s="1096" t="s">
        <v>1327</v>
      </c>
      <c r="AG59" s="1114">
        <v>116.1</v>
      </c>
      <c r="AH59" s="1096" t="s">
        <v>1327</v>
      </c>
      <c r="AI59" s="1114">
        <v>123.1</v>
      </c>
      <c r="AJ59" s="1096" t="s">
        <v>1327</v>
      </c>
      <c r="AK59" s="1114">
        <v>139.19999999999999</v>
      </c>
      <c r="AL59" s="1096" t="s">
        <v>1327</v>
      </c>
      <c r="AM59" s="1114">
        <v>158.4</v>
      </c>
      <c r="AN59" s="1096"/>
      <c r="AO59" s="1096"/>
      <c r="AP59" s="1096"/>
      <c r="AQ59" s="1096"/>
      <c r="AR59" s="1096"/>
      <c r="AS59" s="1096"/>
      <c r="AT59" s="1096"/>
      <c r="AU59" s="1096"/>
      <c r="AV59" s="1096"/>
      <c r="AW59" s="1096"/>
      <c r="AX59" s="1096"/>
      <c r="AY59" s="1096"/>
    </row>
    <row r="60" spans="1:51" x14ac:dyDescent="0.45">
      <c r="A60" s="1096">
        <v>1990</v>
      </c>
      <c r="B60" s="1096"/>
      <c r="C60" s="1113">
        <v>126.1</v>
      </c>
      <c r="D60" s="1113">
        <v>115.9</v>
      </c>
      <c r="E60" s="1096"/>
      <c r="F60" s="1114">
        <f t="shared" si="0"/>
        <v>91.911181601903252</v>
      </c>
      <c r="G60" s="1112">
        <f t="shared" si="1"/>
        <v>83.346550356859638</v>
      </c>
      <c r="H60" s="1112">
        <f t="shared" si="2"/>
        <v>98.969072164948457</v>
      </c>
      <c r="I60" s="1112">
        <f t="shared" si="3"/>
        <v>87.549563838223648</v>
      </c>
      <c r="J60" s="1112">
        <f t="shared" si="4"/>
        <v>96.907216494845372</v>
      </c>
      <c r="K60" s="1096"/>
      <c r="L60" s="1096"/>
      <c r="M60" s="1096"/>
      <c r="N60" s="1096"/>
      <c r="O60" s="1096"/>
      <c r="P60" s="1114">
        <v>115.9</v>
      </c>
      <c r="Q60" s="1096" t="s">
        <v>113</v>
      </c>
      <c r="R60" s="1114">
        <v>105.1</v>
      </c>
      <c r="S60" s="1096" t="s">
        <v>113</v>
      </c>
      <c r="T60" s="1114">
        <v>124.8</v>
      </c>
      <c r="U60" s="1096" t="s">
        <v>113</v>
      </c>
      <c r="V60" s="1114">
        <v>110.4</v>
      </c>
      <c r="W60" s="1096" t="s">
        <v>113</v>
      </c>
      <c r="X60" s="1114">
        <v>122.2</v>
      </c>
      <c r="Y60" s="1096" t="s">
        <v>113</v>
      </c>
      <c r="Z60" s="1114">
        <v>126.1</v>
      </c>
      <c r="AA60" s="1096"/>
      <c r="AB60" s="1096" t="s">
        <v>1328</v>
      </c>
      <c r="AC60" s="1114">
        <v>127.1</v>
      </c>
      <c r="AD60" s="1096" t="s">
        <v>1328</v>
      </c>
      <c r="AE60" s="1114">
        <v>130</v>
      </c>
      <c r="AF60" s="1096" t="s">
        <v>1328</v>
      </c>
      <c r="AG60" s="1114">
        <v>117.6</v>
      </c>
      <c r="AH60" s="1096" t="s">
        <v>1328</v>
      </c>
      <c r="AI60" s="1114">
        <v>120.8</v>
      </c>
      <c r="AJ60" s="1096" t="s">
        <v>1328</v>
      </c>
      <c r="AK60" s="1114">
        <v>134.9</v>
      </c>
      <c r="AL60" s="1096" t="s">
        <v>1328</v>
      </c>
      <c r="AM60" s="1114">
        <v>159.69999999999999</v>
      </c>
      <c r="AN60" s="1096"/>
      <c r="AO60" s="1096"/>
      <c r="AP60" s="1096"/>
      <c r="AQ60" s="1096"/>
      <c r="AR60" s="1096"/>
      <c r="AS60" s="1096"/>
      <c r="AT60" s="1096"/>
      <c r="AU60" s="1096"/>
      <c r="AV60" s="1096"/>
      <c r="AW60" s="1096"/>
      <c r="AX60" s="1096"/>
      <c r="AY60" s="1096"/>
    </row>
    <row r="61" spans="1:51" x14ac:dyDescent="0.45">
      <c r="A61" s="1096">
        <v>1991</v>
      </c>
      <c r="B61" s="1096"/>
      <c r="C61" s="1113">
        <v>133.5</v>
      </c>
      <c r="D61" s="1113">
        <v>125.1</v>
      </c>
      <c r="E61" s="1096"/>
      <c r="F61" s="1114">
        <f t="shared" si="0"/>
        <v>93.707865168539314</v>
      </c>
      <c r="G61" s="1112">
        <f t="shared" si="1"/>
        <v>83.820224719101134</v>
      </c>
      <c r="H61" s="1112">
        <f t="shared" si="2"/>
        <v>89.887640449438194</v>
      </c>
      <c r="I61" s="1112">
        <f t="shared" si="3"/>
        <v>88.464419475655433</v>
      </c>
      <c r="J61" s="1112">
        <f t="shared" si="4"/>
        <v>100.74906367041199</v>
      </c>
      <c r="K61" s="1096"/>
      <c r="L61" s="1096"/>
      <c r="M61" s="1096"/>
      <c r="N61" s="1096"/>
      <c r="O61" s="1096"/>
      <c r="P61" s="1114">
        <v>125.1</v>
      </c>
      <c r="Q61" s="1096" t="s">
        <v>114</v>
      </c>
      <c r="R61" s="1114">
        <v>111.9</v>
      </c>
      <c r="S61" s="1096" t="s">
        <v>114</v>
      </c>
      <c r="T61" s="1114">
        <v>120</v>
      </c>
      <c r="U61" s="1096" t="s">
        <v>114</v>
      </c>
      <c r="V61" s="1114">
        <v>118.1</v>
      </c>
      <c r="W61" s="1096" t="s">
        <v>114</v>
      </c>
      <c r="X61" s="1114">
        <v>134.5</v>
      </c>
      <c r="Y61" s="1096" t="s">
        <v>114</v>
      </c>
      <c r="Z61" s="1114">
        <v>133.5</v>
      </c>
      <c r="AA61" s="1096"/>
      <c r="AB61" s="1096" t="s">
        <v>1329</v>
      </c>
      <c r="AC61" s="1114">
        <v>125.9</v>
      </c>
      <c r="AD61" s="1096" t="s">
        <v>1329</v>
      </c>
      <c r="AE61" s="1114">
        <v>130.1</v>
      </c>
      <c r="AF61" s="1096" t="s">
        <v>1329</v>
      </c>
      <c r="AG61" s="1114">
        <v>106.3</v>
      </c>
      <c r="AH61" s="1096" t="s">
        <v>1329</v>
      </c>
      <c r="AI61" s="1114">
        <v>119.2</v>
      </c>
      <c r="AJ61" s="1096" t="s">
        <v>1329</v>
      </c>
      <c r="AK61" s="1114">
        <v>134.9</v>
      </c>
      <c r="AL61" s="1096" t="s">
        <v>1329</v>
      </c>
      <c r="AM61" s="1114">
        <v>160.19999999999999</v>
      </c>
      <c r="AN61" s="1096"/>
      <c r="AO61" s="1096"/>
      <c r="AP61" s="1096"/>
      <c r="AQ61" s="1096"/>
      <c r="AR61" s="1096"/>
      <c r="AS61" s="1096"/>
      <c r="AT61" s="1096"/>
      <c r="AU61" s="1096"/>
      <c r="AV61" s="1096"/>
      <c r="AW61" s="1096"/>
      <c r="AX61" s="1096"/>
      <c r="AY61" s="1096"/>
    </row>
    <row r="62" spans="1:51" x14ac:dyDescent="0.45">
      <c r="A62" s="1096">
        <v>1992</v>
      </c>
      <c r="B62" s="1096"/>
      <c r="C62" s="1113">
        <v>138.5</v>
      </c>
      <c r="D62" s="1113">
        <v>127.8</v>
      </c>
      <c r="E62" s="1096"/>
      <c r="F62" s="1114">
        <f t="shared" si="0"/>
        <v>92.274368231046935</v>
      </c>
      <c r="G62" s="1112">
        <f t="shared" si="1"/>
        <v>83.898916967509024</v>
      </c>
      <c r="H62" s="1112">
        <f t="shared" si="2"/>
        <v>76.317689530685911</v>
      </c>
      <c r="I62" s="1112">
        <f t="shared" si="3"/>
        <v>85.054151624548737</v>
      </c>
      <c r="J62" s="1112">
        <f t="shared" si="4"/>
        <v>102.16606498194946</v>
      </c>
      <c r="K62" s="1096"/>
      <c r="L62" s="1096"/>
      <c r="M62" s="1096"/>
      <c r="N62" s="1096"/>
      <c r="O62" s="1096"/>
      <c r="P62" s="1114">
        <v>127.8</v>
      </c>
      <c r="Q62" s="1096" t="s">
        <v>1330</v>
      </c>
      <c r="R62" s="1114">
        <v>116.2</v>
      </c>
      <c r="S62" s="1096" t="s">
        <v>1330</v>
      </c>
      <c r="T62" s="1114">
        <v>105.7</v>
      </c>
      <c r="U62" s="1096" t="s">
        <v>1330</v>
      </c>
      <c r="V62" s="1114">
        <v>117.8</v>
      </c>
      <c r="W62" s="1096" t="s">
        <v>1330</v>
      </c>
      <c r="X62" s="1114">
        <v>141.5</v>
      </c>
      <c r="Y62" s="1096" t="s">
        <v>1330</v>
      </c>
      <c r="Z62" s="1114">
        <v>138.5</v>
      </c>
      <c r="AA62" s="1096"/>
      <c r="AB62" s="1096" t="s">
        <v>1331</v>
      </c>
      <c r="AC62" s="1114">
        <v>125.4</v>
      </c>
      <c r="AD62" s="1096" t="s">
        <v>1331</v>
      </c>
      <c r="AE62" s="1114">
        <v>128.19999999999999</v>
      </c>
      <c r="AF62" s="1096" t="s">
        <v>1331</v>
      </c>
      <c r="AG62" s="1114">
        <v>101.5</v>
      </c>
      <c r="AH62" s="1096" t="s">
        <v>1331</v>
      </c>
      <c r="AI62" s="1114">
        <v>118.9</v>
      </c>
      <c r="AJ62" s="1096" t="s">
        <v>1331</v>
      </c>
      <c r="AK62" s="1114">
        <v>134.5</v>
      </c>
      <c r="AL62" s="1096" t="s">
        <v>1331</v>
      </c>
      <c r="AM62" s="1114">
        <v>163.19999999999999</v>
      </c>
      <c r="AN62" s="1096"/>
      <c r="AO62" s="1096"/>
      <c r="AP62" s="1096"/>
      <c r="AQ62" s="1096"/>
      <c r="AR62" s="1096"/>
      <c r="AS62" s="1096"/>
      <c r="AT62" s="1096"/>
      <c r="AU62" s="1096"/>
      <c r="AV62" s="1096"/>
      <c r="AW62" s="1096"/>
      <c r="AX62" s="1096"/>
      <c r="AY62" s="1096"/>
    </row>
    <row r="63" spans="1:51" x14ac:dyDescent="0.45">
      <c r="A63" s="1096">
        <v>1993</v>
      </c>
      <c r="B63" s="1096"/>
      <c r="C63" s="1113">
        <v>140.69999999999999</v>
      </c>
      <c r="D63" s="1113">
        <v>126.2</v>
      </c>
      <c r="E63" s="1096"/>
      <c r="F63" s="1114">
        <f t="shared" si="0"/>
        <v>89.694385216773284</v>
      </c>
      <c r="G63" s="1112">
        <f t="shared" si="1"/>
        <v>83.013503909026298</v>
      </c>
      <c r="H63" s="1112">
        <f t="shared" si="2"/>
        <v>79.744136460554387</v>
      </c>
      <c r="I63" s="1112">
        <f t="shared" si="3"/>
        <v>80.52594171997157</v>
      </c>
      <c r="J63" s="1112">
        <f t="shared" si="4"/>
        <v>100.21321961620471</v>
      </c>
      <c r="K63" s="1096"/>
      <c r="L63" s="1096"/>
      <c r="M63" s="1096"/>
      <c r="N63" s="1096"/>
      <c r="O63" s="1096"/>
      <c r="P63" s="1114">
        <v>126.2</v>
      </c>
      <c r="Q63" s="1096" t="s">
        <v>116</v>
      </c>
      <c r="R63" s="1114">
        <v>116.8</v>
      </c>
      <c r="S63" s="1096" t="s">
        <v>116</v>
      </c>
      <c r="T63" s="1114">
        <v>112.2</v>
      </c>
      <c r="U63" s="1096" t="s">
        <v>116</v>
      </c>
      <c r="V63" s="1114">
        <v>113.3</v>
      </c>
      <c r="W63" s="1096" t="s">
        <v>116</v>
      </c>
      <c r="X63" s="1114">
        <v>141</v>
      </c>
      <c r="Y63" s="1096" t="s">
        <v>116</v>
      </c>
      <c r="Z63" s="1114">
        <v>140.69999999999999</v>
      </c>
      <c r="AA63" s="1096"/>
      <c r="AB63" s="1096" t="s">
        <v>1332</v>
      </c>
      <c r="AC63" s="1114">
        <v>124.2</v>
      </c>
      <c r="AD63" s="1096" t="s">
        <v>1332</v>
      </c>
      <c r="AE63" s="1114">
        <v>128.1</v>
      </c>
      <c r="AF63" s="1096" t="s">
        <v>1332</v>
      </c>
      <c r="AG63" s="1114">
        <v>97.8</v>
      </c>
      <c r="AH63" s="1096" t="s">
        <v>1332</v>
      </c>
      <c r="AI63" s="1114">
        <v>118.8</v>
      </c>
      <c r="AJ63" s="1096" t="s">
        <v>1332</v>
      </c>
      <c r="AK63" s="1114">
        <v>132.5</v>
      </c>
      <c r="AL63" s="1096" t="s">
        <v>1332</v>
      </c>
      <c r="AM63" s="1114">
        <v>163.69999999999999</v>
      </c>
      <c r="AN63" s="1096"/>
      <c r="AO63" s="1096"/>
      <c r="AP63" s="1096"/>
      <c r="AQ63" s="1096"/>
      <c r="AR63" s="1096"/>
      <c r="AS63" s="1096"/>
      <c r="AT63" s="1096"/>
      <c r="AU63" s="1096"/>
      <c r="AV63" s="1096"/>
      <c r="AW63" s="1096"/>
      <c r="AX63" s="1096"/>
      <c r="AY63" s="1096"/>
    </row>
    <row r="64" spans="1:51" x14ac:dyDescent="0.45">
      <c r="A64" s="1096">
        <v>1994</v>
      </c>
      <c r="B64" s="1096"/>
      <c r="C64" s="1113">
        <v>144.1</v>
      </c>
      <c r="D64" s="1113">
        <v>131.69999999999999</v>
      </c>
      <c r="E64" s="1096"/>
      <c r="F64" s="1114">
        <f t="shared" si="0"/>
        <v>91.394864677307424</v>
      </c>
      <c r="G64" s="1112">
        <f t="shared" si="1"/>
        <v>86.25954198473282</v>
      </c>
      <c r="H64" s="1112">
        <f t="shared" si="2"/>
        <v>77.931991672449684</v>
      </c>
      <c r="I64" s="1112">
        <f t="shared" si="3"/>
        <v>83.344899375433727</v>
      </c>
      <c r="J64" s="1112">
        <f t="shared" si="4"/>
        <v>101.11034004163774</v>
      </c>
      <c r="K64" s="1096"/>
      <c r="L64" s="1096"/>
      <c r="M64" s="1096"/>
      <c r="N64" s="1096"/>
      <c r="O64" s="1096"/>
      <c r="P64" s="1114">
        <v>131.69999999999999</v>
      </c>
      <c r="Q64" s="1096" t="s">
        <v>117</v>
      </c>
      <c r="R64" s="1114">
        <v>124.3</v>
      </c>
      <c r="S64" s="1096" t="s">
        <v>117</v>
      </c>
      <c r="T64" s="1114">
        <v>112.3</v>
      </c>
      <c r="U64" s="1096" t="s">
        <v>117</v>
      </c>
      <c r="V64" s="1114">
        <v>120.1</v>
      </c>
      <c r="W64" s="1096" t="s">
        <v>117</v>
      </c>
      <c r="X64" s="1114">
        <v>145.69999999999999</v>
      </c>
      <c r="Y64" s="1096" t="s">
        <v>117</v>
      </c>
      <c r="Z64" s="1114">
        <v>144.1</v>
      </c>
      <c r="AA64" s="1096"/>
      <c r="AB64" s="1096" t="s">
        <v>1333</v>
      </c>
      <c r="AC64" s="1114">
        <v>124.4</v>
      </c>
      <c r="AD64" s="1096" t="s">
        <v>1333</v>
      </c>
      <c r="AE64" s="1114">
        <v>133.19999999999999</v>
      </c>
      <c r="AF64" s="1096" t="s">
        <v>1333</v>
      </c>
      <c r="AG64" s="1114">
        <v>97.9</v>
      </c>
      <c r="AH64" s="1096" t="s">
        <v>1333</v>
      </c>
      <c r="AI64" s="1114">
        <v>118.8</v>
      </c>
      <c r="AJ64" s="1096" t="s">
        <v>1333</v>
      </c>
      <c r="AK64" s="1114">
        <v>132.5</v>
      </c>
      <c r="AL64" s="1096" t="s">
        <v>1333</v>
      </c>
      <c r="AM64" s="1114">
        <v>164.4</v>
      </c>
      <c r="AN64" s="1096"/>
      <c r="AO64" s="1096"/>
      <c r="AP64" s="1096"/>
      <c r="AQ64" s="1096"/>
      <c r="AR64" s="1096"/>
      <c r="AS64" s="1096"/>
      <c r="AT64" s="1096"/>
      <c r="AU64" s="1096"/>
      <c r="AV64" s="1096"/>
      <c r="AW64" s="1096"/>
      <c r="AX64" s="1096"/>
      <c r="AY64" s="1096"/>
    </row>
    <row r="65" spans="1:51" x14ac:dyDescent="0.45">
      <c r="A65" s="1096">
        <v>1995</v>
      </c>
      <c r="B65" s="1096"/>
      <c r="C65" s="1113">
        <v>149.1</v>
      </c>
      <c r="D65" s="1113">
        <v>134.5</v>
      </c>
      <c r="E65" s="1096"/>
      <c r="F65" s="1114">
        <f t="shared" si="0"/>
        <v>90.207914151576134</v>
      </c>
      <c r="G65" s="1112">
        <f t="shared" si="1"/>
        <v>84.775318578135483</v>
      </c>
      <c r="H65" s="1112">
        <f t="shared" si="2"/>
        <v>75.318578135479541</v>
      </c>
      <c r="I65" s="1112">
        <f t="shared" si="3"/>
        <v>83.299798792756548</v>
      </c>
      <c r="J65" s="1112">
        <f t="shared" si="4"/>
        <v>99.061032863849761</v>
      </c>
      <c r="K65" s="1096"/>
      <c r="L65" s="1096"/>
      <c r="M65" s="1096"/>
      <c r="N65" s="1096"/>
      <c r="O65" s="1096"/>
      <c r="P65" s="1114">
        <v>134.5</v>
      </c>
      <c r="Q65" s="1096" t="s">
        <v>118</v>
      </c>
      <c r="R65" s="1114">
        <v>126.4</v>
      </c>
      <c r="S65" s="1096" t="s">
        <v>118</v>
      </c>
      <c r="T65" s="1114">
        <v>112.3</v>
      </c>
      <c r="U65" s="1096" t="s">
        <v>118</v>
      </c>
      <c r="V65" s="1114">
        <v>124.2</v>
      </c>
      <c r="W65" s="1096" t="s">
        <v>118</v>
      </c>
      <c r="X65" s="1114">
        <v>147.69999999999999</v>
      </c>
      <c r="Y65" s="1096" t="s">
        <v>118</v>
      </c>
      <c r="Z65" s="1114">
        <v>149.1</v>
      </c>
      <c r="AA65" s="1096"/>
      <c r="AB65" s="1096" t="s">
        <v>1334</v>
      </c>
      <c r="AC65" s="1114">
        <v>124.3</v>
      </c>
      <c r="AD65" s="1096" t="s">
        <v>1334</v>
      </c>
      <c r="AE65" s="1114">
        <v>133.30000000000001</v>
      </c>
      <c r="AF65" s="1096" t="s">
        <v>1334</v>
      </c>
      <c r="AG65" s="1114">
        <v>95.4</v>
      </c>
      <c r="AH65" s="1096" t="s">
        <v>1334</v>
      </c>
      <c r="AI65" s="1114">
        <v>118.9</v>
      </c>
      <c r="AJ65" s="1096" t="s">
        <v>1334</v>
      </c>
      <c r="AK65" s="1114">
        <v>132.4</v>
      </c>
      <c r="AL65" s="1096" t="s">
        <v>1334</v>
      </c>
      <c r="AM65" s="1114">
        <v>163.69999999999999</v>
      </c>
      <c r="AN65" s="1096"/>
      <c r="AO65" s="1096"/>
      <c r="AP65" s="1096"/>
      <c r="AQ65" s="1096"/>
      <c r="AR65" s="1096"/>
      <c r="AS65" s="1096"/>
      <c r="AT65" s="1096"/>
      <c r="AU65" s="1096"/>
      <c r="AV65" s="1096"/>
      <c r="AW65" s="1096"/>
      <c r="AX65" s="1096"/>
      <c r="AY65" s="1096"/>
    </row>
    <row r="66" spans="1:51" x14ac:dyDescent="0.45">
      <c r="A66" s="1096">
        <v>1996</v>
      </c>
      <c r="B66" s="1096"/>
      <c r="C66" s="1113">
        <v>152.69999999999999</v>
      </c>
      <c r="D66" s="1113">
        <v>134.80000000000001</v>
      </c>
      <c r="E66" s="1096"/>
      <c r="F66" s="1114">
        <f t="shared" si="0"/>
        <v>88.277668631303214</v>
      </c>
      <c r="G66" s="1112">
        <f t="shared" si="1"/>
        <v>83.562540929927962</v>
      </c>
      <c r="H66" s="1112">
        <f t="shared" si="2"/>
        <v>80.943025540275045</v>
      </c>
      <c r="I66" s="1112">
        <f t="shared" si="3"/>
        <v>81.401440733464312</v>
      </c>
      <c r="J66" s="1112">
        <f t="shared" si="4"/>
        <v>96.267190569744614</v>
      </c>
      <c r="K66" s="1096"/>
      <c r="L66" s="1096"/>
      <c r="M66" s="1096"/>
      <c r="N66" s="1096"/>
      <c r="O66" s="1096"/>
      <c r="P66" s="1114">
        <v>134.80000000000001</v>
      </c>
      <c r="Q66" s="1096" t="s">
        <v>119</v>
      </c>
      <c r="R66" s="1114">
        <v>127.6</v>
      </c>
      <c r="S66" s="1096" t="s">
        <v>119</v>
      </c>
      <c r="T66" s="1114">
        <v>123.6</v>
      </c>
      <c r="U66" s="1096" t="s">
        <v>119</v>
      </c>
      <c r="V66" s="1114">
        <v>124.3</v>
      </c>
      <c r="W66" s="1096" t="s">
        <v>119</v>
      </c>
      <c r="X66" s="1114">
        <v>147</v>
      </c>
      <c r="Y66" s="1096" t="s">
        <v>119</v>
      </c>
      <c r="Z66" s="1114">
        <v>152.69999999999999</v>
      </c>
      <c r="AA66" s="1096"/>
      <c r="AB66" s="1096" t="s">
        <v>1335</v>
      </c>
      <c r="AC66" s="1114">
        <v>124</v>
      </c>
      <c r="AD66" s="1096" t="s">
        <v>1335</v>
      </c>
      <c r="AE66" s="1114">
        <v>131.30000000000001</v>
      </c>
      <c r="AF66" s="1096" t="s">
        <v>1335</v>
      </c>
      <c r="AG66" s="1114">
        <v>104.5</v>
      </c>
      <c r="AH66" s="1096" t="s">
        <v>1335</v>
      </c>
      <c r="AI66" s="1114">
        <v>117.9</v>
      </c>
      <c r="AJ66" s="1096" t="s">
        <v>1335</v>
      </c>
      <c r="AK66" s="1114">
        <v>132.1</v>
      </c>
      <c r="AL66" s="1096" t="s">
        <v>1335</v>
      </c>
      <c r="AM66" s="1114">
        <v>165.5</v>
      </c>
      <c r="AN66" s="1096"/>
      <c r="AO66" s="1096"/>
      <c r="AP66" s="1096"/>
      <c r="AQ66" s="1096"/>
      <c r="AR66" s="1096"/>
      <c r="AS66" s="1096"/>
      <c r="AT66" s="1096"/>
      <c r="AU66" s="1096"/>
      <c r="AV66" s="1096"/>
      <c r="AW66" s="1096"/>
      <c r="AX66" s="1096"/>
      <c r="AY66" s="1096"/>
    </row>
    <row r="67" spans="1:51" x14ac:dyDescent="0.45">
      <c r="A67" s="1096">
        <v>1997</v>
      </c>
      <c r="B67" s="1096"/>
      <c r="C67" s="1113">
        <v>157.5</v>
      </c>
      <c r="D67" s="1113">
        <v>130.6</v>
      </c>
      <c r="E67" s="1096"/>
      <c r="F67" s="1114">
        <f t="shared" si="0"/>
        <v>82.92063492063491</v>
      </c>
      <c r="G67" s="1112">
        <f t="shared" si="1"/>
        <v>81.714285714285708</v>
      </c>
      <c r="H67" s="1112">
        <f t="shared" si="2"/>
        <v>76.444444444444443</v>
      </c>
      <c r="I67" s="1112">
        <f t="shared" si="3"/>
        <v>78.158730158730151</v>
      </c>
      <c r="J67" s="1112">
        <f t="shared" si="4"/>
        <v>88.888888888888886</v>
      </c>
      <c r="K67" s="1096"/>
      <c r="L67" s="1096"/>
      <c r="M67" s="1096"/>
      <c r="N67" s="1096"/>
      <c r="O67" s="1096"/>
      <c r="P67" s="1114">
        <v>130.6</v>
      </c>
      <c r="Q67" s="1096" t="s">
        <v>120</v>
      </c>
      <c r="R67" s="1114">
        <v>128.69999999999999</v>
      </c>
      <c r="S67" s="1096" t="s">
        <v>120</v>
      </c>
      <c r="T67" s="1114">
        <v>120.4</v>
      </c>
      <c r="U67" s="1096" t="s">
        <v>120</v>
      </c>
      <c r="V67" s="1114">
        <v>123.1</v>
      </c>
      <c r="W67" s="1096" t="s">
        <v>120</v>
      </c>
      <c r="X67" s="1114">
        <v>140</v>
      </c>
      <c r="Y67" s="1096" t="s">
        <v>120</v>
      </c>
      <c r="Z67" s="1114">
        <v>157.5</v>
      </c>
      <c r="AA67" s="1096"/>
      <c r="AB67" s="1096" t="s">
        <v>1336</v>
      </c>
      <c r="AC67" s="1114">
        <v>124.3</v>
      </c>
      <c r="AD67" s="1096" t="s">
        <v>1336</v>
      </c>
      <c r="AE67" s="1114">
        <v>130.4</v>
      </c>
      <c r="AF67" s="1096" t="s">
        <v>1336</v>
      </c>
      <c r="AG67" s="1114">
        <v>118.1</v>
      </c>
      <c r="AH67" s="1096" t="s">
        <v>1336</v>
      </c>
      <c r="AI67" s="1114">
        <v>117.9</v>
      </c>
      <c r="AJ67" s="1096" t="s">
        <v>1336</v>
      </c>
      <c r="AK67" s="1114">
        <v>131.6</v>
      </c>
      <c r="AL67" s="1096" t="s">
        <v>1336</v>
      </c>
      <c r="AM67" s="1114">
        <v>165.6</v>
      </c>
      <c r="AN67" s="1096"/>
      <c r="AO67" s="1096"/>
      <c r="AP67" s="1096"/>
      <c r="AQ67" s="1096"/>
      <c r="AR67" s="1096"/>
      <c r="AS67" s="1096"/>
      <c r="AT67" s="1096"/>
      <c r="AU67" s="1096"/>
      <c r="AV67" s="1096"/>
      <c r="AW67" s="1096"/>
      <c r="AX67" s="1096"/>
      <c r="AY67" s="1096"/>
    </row>
    <row r="68" spans="1:51" x14ac:dyDescent="0.45">
      <c r="A68" s="1096">
        <v>1998</v>
      </c>
      <c r="B68" s="1096"/>
      <c r="C68" s="1113">
        <v>162.9</v>
      </c>
      <c r="D68" s="1113">
        <v>125</v>
      </c>
      <c r="E68" s="1096"/>
      <c r="F68" s="1114">
        <f t="shared" si="0"/>
        <v>76.734192756292202</v>
      </c>
      <c r="G68" s="1112">
        <f t="shared" si="1"/>
        <v>79.742173112338861</v>
      </c>
      <c r="H68" s="1112">
        <f t="shared" si="2"/>
        <v>61.939840392879063</v>
      </c>
      <c r="I68" s="1112">
        <f t="shared" si="3"/>
        <v>72.989564149785153</v>
      </c>
      <c r="J68" s="1112">
        <f t="shared" si="4"/>
        <v>82.013505217925101</v>
      </c>
      <c r="K68" s="1096"/>
      <c r="L68" s="1096"/>
      <c r="M68" s="1096"/>
      <c r="N68" s="1096"/>
      <c r="O68" s="1096"/>
      <c r="P68" s="1114">
        <v>125</v>
      </c>
      <c r="Q68" s="1096" t="s">
        <v>121</v>
      </c>
      <c r="R68" s="1114">
        <v>129.9</v>
      </c>
      <c r="S68" s="1096" t="s">
        <v>121</v>
      </c>
      <c r="T68" s="1114">
        <v>100.9</v>
      </c>
      <c r="U68" s="1096" t="s">
        <v>121</v>
      </c>
      <c r="V68" s="1114">
        <v>118.9</v>
      </c>
      <c r="W68" s="1096" t="s">
        <v>121</v>
      </c>
      <c r="X68" s="1114">
        <v>133.6</v>
      </c>
      <c r="Y68" s="1096" t="s">
        <v>121</v>
      </c>
      <c r="Z68" s="1114">
        <v>162.9</v>
      </c>
      <c r="AA68" s="1096"/>
      <c r="AB68" s="1096" t="s">
        <v>1337</v>
      </c>
      <c r="AC68" s="1114">
        <v>125</v>
      </c>
      <c r="AD68" s="1096" t="s">
        <v>1337</v>
      </c>
      <c r="AE68" s="1114">
        <v>134.9</v>
      </c>
      <c r="AF68" s="1096" t="s">
        <v>1337</v>
      </c>
      <c r="AG68" s="1114">
        <v>133.6</v>
      </c>
      <c r="AH68" s="1096" t="s">
        <v>1337</v>
      </c>
      <c r="AI68" s="1114">
        <v>117.9</v>
      </c>
      <c r="AJ68" s="1096" t="s">
        <v>1337</v>
      </c>
      <c r="AK68" s="1114">
        <v>131.6</v>
      </c>
      <c r="AL68" s="1096" t="s">
        <v>1337</v>
      </c>
      <c r="AM68" s="1114">
        <v>166.8</v>
      </c>
      <c r="AN68" s="1096"/>
      <c r="AO68" s="1096"/>
      <c r="AP68" s="1096"/>
      <c r="AQ68" s="1096"/>
      <c r="AR68" s="1096"/>
      <c r="AS68" s="1096"/>
      <c r="AT68" s="1096"/>
      <c r="AU68" s="1096"/>
      <c r="AV68" s="1096"/>
      <c r="AW68" s="1096"/>
      <c r="AX68" s="1096"/>
      <c r="AY68" s="1096"/>
    </row>
    <row r="69" spans="1:51" x14ac:dyDescent="0.45">
      <c r="A69" s="1096">
        <v>1999</v>
      </c>
      <c r="B69" s="1096"/>
      <c r="C69" s="1113">
        <v>165.4</v>
      </c>
      <c r="D69" s="1113">
        <v>124.4</v>
      </c>
      <c r="E69" s="1096"/>
      <c r="F69" s="1114">
        <f t="shared" si="0"/>
        <v>75.211608222490938</v>
      </c>
      <c r="G69" s="1112">
        <f t="shared" si="1"/>
        <v>80.108827085852468</v>
      </c>
      <c r="H69" s="1112">
        <f t="shared" si="2"/>
        <v>68.258766626360341</v>
      </c>
      <c r="I69" s="1112">
        <f t="shared" si="3"/>
        <v>71.463119709794427</v>
      </c>
      <c r="J69" s="1112">
        <f t="shared" si="4"/>
        <v>79.746070133010889</v>
      </c>
      <c r="K69" s="1096"/>
      <c r="L69" s="1096"/>
      <c r="M69" s="1096"/>
      <c r="N69" s="1096"/>
      <c r="O69" s="1096"/>
      <c r="P69" s="1114">
        <v>124.4</v>
      </c>
      <c r="Q69" s="1096" t="s">
        <v>122</v>
      </c>
      <c r="R69" s="1114">
        <v>132.5</v>
      </c>
      <c r="S69" s="1096" t="s">
        <v>122</v>
      </c>
      <c r="T69" s="1114">
        <v>112.9</v>
      </c>
      <c r="U69" s="1096" t="s">
        <v>122</v>
      </c>
      <c r="V69" s="1114">
        <v>118.2</v>
      </c>
      <c r="W69" s="1096" t="s">
        <v>122</v>
      </c>
      <c r="X69" s="1114">
        <v>131.9</v>
      </c>
      <c r="Y69" s="1096" t="s">
        <v>122</v>
      </c>
      <c r="Z69" s="1114">
        <v>165.4</v>
      </c>
      <c r="AA69" s="1096"/>
      <c r="AB69" s="1096" t="s">
        <v>1338</v>
      </c>
      <c r="AC69" s="1114">
        <v>125.4</v>
      </c>
      <c r="AD69" s="1096" t="s">
        <v>1338</v>
      </c>
      <c r="AE69" s="1114">
        <v>135.5</v>
      </c>
      <c r="AF69" s="1096" t="s">
        <v>1338</v>
      </c>
      <c r="AG69" s="1114">
        <v>144.6</v>
      </c>
      <c r="AH69" s="1096" t="s">
        <v>1338</v>
      </c>
      <c r="AI69" s="1114">
        <v>117.8</v>
      </c>
      <c r="AJ69" s="1096" t="s">
        <v>1338</v>
      </c>
      <c r="AK69" s="1114">
        <v>131.6</v>
      </c>
      <c r="AL69" s="1096" t="s">
        <v>1338</v>
      </c>
      <c r="AM69" s="1114">
        <v>167.5</v>
      </c>
      <c r="AN69" s="1096"/>
      <c r="AO69" s="1096"/>
      <c r="AP69" s="1096"/>
      <c r="AQ69" s="1096"/>
      <c r="AR69" s="1096"/>
      <c r="AS69" s="1096"/>
      <c r="AT69" s="1096"/>
      <c r="AU69" s="1096"/>
      <c r="AV69" s="1096"/>
      <c r="AW69" s="1096"/>
      <c r="AX69" s="1096"/>
      <c r="AY69" s="1096"/>
    </row>
    <row r="70" spans="1:51" x14ac:dyDescent="0.45">
      <c r="A70" s="1096">
        <v>2000</v>
      </c>
      <c r="B70" s="1096"/>
      <c r="C70" s="1113">
        <v>170.3</v>
      </c>
      <c r="D70" s="1113">
        <v>123.9</v>
      </c>
      <c r="E70" s="1096"/>
      <c r="F70" s="1114">
        <f t="shared" si="0"/>
        <v>72.753963593658241</v>
      </c>
      <c r="G70" s="1112">
        <f t="shared" si="1"/>
        <v>79.095713446858468</v>
      </c>
      <c r="H70" s="1112">
        <f t="shared" si="2"/>
        <v>92.953611274221956</v>
      </c>
      <c r="I70" s="1112">
        <f t="shared" si="3"/>
        <v>67.704051673517313</v>
      </c>
      <c r="J70" s="1112">
        <f t="shared" si="4"/>
        <v>75.866118614210208</v>
      </c>
      <c r="K70" s="1096"/>
      <c r="L70" s="1096"/>
      <c r="M70" s="1096"/>
      <c r="N70" s="1096"/>
      <c r="O70" s="1096"/>
      <c r="P70" s="1114">
        <v>123.9</v>
      </c>
      <c r="Q70" s="1096" t="s">
        <v>123</v>
      </c>
      <c r="R70" s="1114">
        <v>134.69999999999999</v>
      </c>
      <c r="S70" s="1096" t="s">
        <v>123</v>
      </c>
      <c r="T70" s="1114">
        <v>158.30000000000001</v>
      </c>
      <c r="U70" s="1096" t="s">
        <v>123</v>
      </c>
      <c r="V70" s="1114">
        <v>115.3</v>
      </c>
      <c r="W70" s="1096" t="s">
        <v>123</v>
      </c>
      <c r="X70" s="1114">
        <v>129.19999999999999</v>
      </c>
      <c r="Y70" s="1096" t="s">
        <v>123</v>
      </c>
      <c r="Z70" s="1114">
        <v>170.3</v>
      </c>
      <c r="AA70" s="1096"/>
      <c r="AB70" s="1096" t="s">
        <v>1339</v>
      </c>
      <c r="AC70" s="1114">
        <v>123</v>
      </c>
      <c r="AD70" s="1096" t="s">
        <v>1339</v>
      </c>
      <c r="AE70" s="1114">
        <v>132.80000000000001</v>
      </c>
      <c r="AF70" s="1096" t="s">
        <v>1339</v>
      </c>
      <c r="AG70" s="1114">
        <v>143.69999999999999</v>
      </c>
      <c r="AH70" s="1096" t="s">
        <v>1339</v>
      </c>
      <c r="AI70" s="1114">
        <v>114.5</v>
      </c>
      <c r="AJ70" s="1096" t="s">
        <v>1339</v>
      </c>
      <c r="AK70" s="1114">
        <v>129.80000000000001</v>
      </c>
      <c r="AL70" s="1096" t="s">
        <v>1339</v>
      </c>
      <c r="AM70" s="1114">
        <v>170.6</v>
      </c>
      <c r="AN70" s="1096"/>
      <c r="AO70" s="1096"/>
      <c r="AP70" s="1096"/>
      <c r="AQ70" s="1096"/>
      <c r="AR70" s="1096"/>
      <c r="AS70" s="1096"/>
      <c r="AT70" s="1096"/>
      <c r="AU70" s="1096"/>
      <c r="AV70" s="1096"/>
      <c r="AW70" s="1096"/>
      <c r="AX70" s="1096"/>
      <c r="AY70" s="1096"/>
    </row>
    <row r="71" spans="1:51" x14ac:dyDescent="0.45">
      <c r="A71" s="1096">
        <v>2001</v>
      </c>
      <c r="B71" s="1096"/>
      <c r="C71" s="1113">
        <v>173.3</v>
      </c>
      <c r="D71" s="1113">
        <v>124.9</v>
      </c>
      <c r="E71" s="1096"/>
      <c r="F71" s="1114">
        <f t="shared" si="0"/>
        <v>72.071552221581072</v>
      </c>
      <c r="G71" s="1112">
        <f t="shared" si="1"/>
        <v>81.41950375072129</v>
      </c>
      <c r="H71" s="1112">
        <f t="shared" si="2"/>
        <v>88.920946335833804</v>
      </c>
      <c r="I71" s="1112">
        <f t="shared" si="3"/>
        <v>68.320830929024808</v>
      </c>
      <c r="J71" s="1112">
        <f t="shared" si="4"/>
        <v>73.860357761107892</v>
      </c>
      <c r="K71" s="1096"/>
      <c r="L71" s="1096"/>
      <c r="M71" s="1096"/>
      <c r="N71" s="1096"/>
      <c r="O71" s="1096"/>
      <c r="P71" s="1114">
        <v>124.9</v>
      </c>
      <c r="Q71" s="1096" t="s">
        <v>124</v>
      </c>
      <c r="R71" s="1114">
        <v>141.1</v>
      </c>
      <c r="S71" s="1096" t="s">
        <v>124</v>
      </c>
      <c r="T71" s="1114">
        <v>154.1</v>
      </c>
      <c r="U71" s="1096" t="s">
        <v>124</v>
      </c>
      <c r="V71" s="1114">
        <v>118.4</v>
      </c>
      <c r="W71" s="1096" t="s">
        <v>124</v>
      </c>
      <c r="X71" s="1114">
        <v>128</v>
      </c>
      <c r="Y71" s="1096" t="s">
        <v>124</v>
      </c>
      <c r="Z71" s="1114">
        <v>173.3</v>
      </c>
      <c r="AA71" s="1096"/>
      <c r="AB71" s="1096" t="s">
        <v>1340</v>
      </c>
      <c r="AC71" s="1114">
        <v>123</v>
      </c>
      <c r="AD71" s="1096" t="s">
        <v>1340</v>
      </c>
      <c r="AE71" s="1114">
        <v>131.80000000000001</v>
      </c>
      <c r="AF71" s="1096" t="s">
        <v>1340</v>
      </c>
      <c r="AG71" s="1114">
        <v>163.6</v>
      </c>
      <c r="AH71" s="1096" t="s">
        <v>1340</v>
      </c>
      <c r="AI71" s="1114">
        <v>114.4</v>
      </c>
      <c r="AJ71" s="1096" t="s">
        <v>1340</v>
      </c>
      <c r="AK71" s="1114">
        <v>127.7</v>
      </c>
      <c r="AL71" s="1096" t="s">
        <v>1340</v>
      </c>
      <c r="AM71" s="1114">
        <v>170.9</v>
      </c>
      <c r="AN71" s="1096"/>
      <c r="AO71" s="1096"/>
      <c r="AP71" s="1096"/>
      <c r="AQ71" s="1096"/>
      <c r="AR71" s="1096"/>
      <c r="AS71" s="1096"/>
      <c r="AT71" s="1096"/>
      <c r="AU71" s="1096"/>
      <c r="AV71" s="1096"/>
      <c r="AW71" s="1096"/>
      <c r="AX71" s="1096"/>
      <c r="AY71" s="1096"/>
    </row>
    <row r="72" spans="1:51" x14ac:dyDescent="0.45">
      <c r="A72" s="1096">
        <v>2002</v>
      </c>
      <c r="B72" s="1096"/>
      <c r="C72" s="1113">
        <v>176.2</v>
      </c>
      <c r="D72" s="1113">
        <v>128.80000000000001</v>
      </c>
      <c r="E72" s="1096"/>
      <c r="F72" s="1114">
        <f t="shared" si="0"/>
        <v>73.098751418842227</v>
      </c>
      <c r="G72" s="1112">
        <f t="shared" si="1"/>
        <v>84.222474460839962</v>
      </c>
      <c r="H72" s="1112">
        <f t="shared" si="2"/>
        <v>82.519863791146435</v>
      </c>
      <c r="I72" s="1112">
        <f t="shared" si="3"/>
        <v>71.452894438138486</v>
      </c>
      <c r="J72" s="1112">
        <f t="shared" si="4"/>
        <v>73.04199772985244</v>
      </c>
      <c r="K72" s="1096"/>
      <c r="L72" s="1096"/>
      <c r="M72" s="1096"/>
      <c r="N72" s="1096"/>
      <c r="O72" s="1096"/>
      <c r="P72" s="1114">
        <v>128.80000000000001</v>
      </c>
      <c r="Q72" s="1096" t="s">
        <v>125</v>
      </c>
      <c r="R72" s="1114">
        <v>148.4</v>
      </c>
      <c r="S72" s="1096" t="s">
        <v>125</v>
      </c>
      <c r="T72" s="1114">
        <v>145.4</v>
      </c>
      <c r="U72" s="1096" t="s">
        <v>125</v>
      </c>
      <c r="V72" s="1114">
        <v>125.9</v>
      </c>
      <c r="W72" s="1096" t="s">
        <v>125</v>
      </c>
      <c r="X72" s="1114">
        <v>128.69999999999999</v>
      </c>
      <c r="Y72" s="1096" t="s">
        <v>125</v>
      </c>
      <c r="Z72" s="1114">
        <v>176.2</v>
      </c>
      <c r="AA72" s="1096"/>
      <c r="AB72" s="1096" t="s">
        <v>1341</v>
      </c>
      <c r="AC72" s="1114">
        <v>124.2</v>
      </c>
      <c r="AD72" s="1096" t="s">
        <v>1341</v>
      </c>
      <c r="AE72" s="1114">
        <v>138.80000000000001</v>
      </c>
      <c r="AF72" s="1096" t="s">
        <v>1341</v>
      </c>
      <c r="AG72" s="1114">
        <v>181.4</v>
      </c>
      <c r="AH72" s="1096" t="s">
        <v>1341</v>
      </c>
      <c r="AI72" s="1114">
        <v>114.4</v>
      </c>
      <c r="AJ72" s="1096" t="s">
        <v>1341</v>
      </c>
      <c r="AK72" s="1114">
        <v>127.7</v>
      </c>
      <c r="AL72" s="1096" t="s">
        <v>1341</v>
      </c>
      <c r="AM72" s="1114">
        <v>172</v>
      </c>
      <c r="AN72" s="1096"/>
      <c r="AO72" s="1096"/>
      <c r="AP72" s="1096"/>
      <c r="AQ72" s="1096"/>
      <c r="AR72" s="1096"/>
      <c r="AS72" s="1096"/>
      <c r="AT72" s="1096"/>
      <c r="AU72" s="1096"/>
      <c r="AV72" s="1096"/>
      <c r="AW72" s="1096"/>
      <c r="AX72" s="1096"/>
      <c r="AY72" s="1096"/>
    </row>
    <row r="73" spans="1:51" x14ac:dyDescent="0.45">
      <c r="A73" s="1096">
        <v>2003</v>
      </c>
      <c r="B73" s="1096"/>
      <c r="C73" s="1113">
        <v>181.3</v>
      </c>
      <c r="D73" s="1113">
        <v>131.4</v>
      </c>
      <c r="E73" s="1096"/>
      <c r="F73" s="1114">
        <f t="shared" si="0"/>
        <v>72.476558190843903</v>
      </c>
      <c r="G73" s="1112">
        <f t="shared" si="1"/>
        <v>83.618312189740749</v>
      </c>
      <c r="H73" s="1112">
        <f t="shared" si="2"/>
        <v>88.913403199117468</v>
      </c>
      <c r="I73" s="1112">
        <f t="shared" si="3"/>
        <v>70.711527854384983</v>
      </c>
      <c r="J73" s="1112">
        <f t="shared" si="4"/>
        <v>71.704357418643127</v>
      </c>
      <c r="K73" s="1096"/>
      <c r="L73" s="1096"/>
      <c r="M73" s="1096"/>
      <c r="N73" s="1096"/>
      <c r="O73" s="1096"/>
      <c r="P73" s="1114">
        <v>131.4</v>
      </c>
      <c r="Q73" s="1096" t="s">
        <v>126</v>
      </c>
      <c r="R73" s="1114">
        <v>151.6</v>
      </c>
      <c r="S73" s="1096" t="s">
        <v>126</v>
      </c>
      <c r="T73" s="1114">
        <v>161.19999999999999</v>
      </c>
      <c r="U73" s="1096" t="s">
        <v>126</v>
      </c>
      <c r="V73" s="1114">
        <v>128.19999999999999</v>
      </c>
      <c r="W73" s="1096" t="s">
        <v>126</v>
      </c>
      <c r="X73" s="1114">
        <v>130</v>
      </c>
      <c r="Y73" s="1096" t="s">
        <v>126</v>
      </c>
      <c r="Z73" s="1114">
        <v>181.3</v>
      </c>
      <c r="AA73" s="1096"/>
      <c r="AB73" s="1096" t="s">
        <v>1342</v>
      </c>
      <c r="AC73" s="1114">
        <v>123.2</v>
      </c>
      <c r="AD73" s="1096" t="s">
        <v>1342</v>
      </c>
      <c r="AE73" s="1114">
        <v>139.5</v>
      </c>
      <c r="AF73" s="1096" t="s">
        <v>1342</v>
      </c>
      <c r="AG73" s="1114">
        <v>159.4</v>
      </c>
      <c r="AH73" s="1096" t="s">
        <v>1342</v>
      </c>
      <c r="AI73" s="1114">
        <v>114.7</v>
      </c>
      <c r="AJ73" s="1096" t="s">
        <v>1342</v>
      </c>
      <c r="AK73" s="1114">
        <v>127.7</v>
      </c>
      <c r="AL73" s="1096" t="s">
        <v>1342</v>
      </c>
      <c r="AM73" s="1114">
        <v>171.8</v>
      </c>
      <c r="AN73" s="1096"/>
      <c r="AO73" s="1096"/>
      <c r="AP73" s="1096"/>
      <c r="AQ73" s="1096"/>
      <c r="AR73" s="1096"/>
      <c r="AS73" s="1096"/>
      <c r="AT73" s="1096"/>
      <c r="AU73" s="1096"/>
      <c r="AV73" s="1096"/>
      <c r="AW73" s="1096"/>
      <c r="AX73" s="1096"/>
      <c r="AY73" s="1096"/>
    </row>
    <row r="74" spans="1:51" x14ac:dyDescent="0.45">
      <c r="A74" s="1096">
        <v>2004</v>
      </c>
      <c r="B74" s="1096"/>
      <c r="C74" s="1113">
        <v>186.7</v>
      </c>
      <c r="D74" s="1113">
        <v>140.69999999999999</v>
      </c>
      <c r="E74" s="1096"/>
      <c r="F74" s="1114">
        <f t="shared" si="0"/>
        <v>75.361542581681846</v>
      </c>
      <c r="G74" s="1112">
        <f t="shared" si="1"/>
        <v>85.377611140867714</v>
      </c>
      <c r="H74" s="1112">
        <f t="shared" si="2"/>
        <v>98.232458489555441</v>
      </c>
      <c r="I74" s="1112">
        <f t="shared" si="3"/>
        <v>73.701124799143017</v>
      </c>
      <c r="J74" s="1112">
        <f t="shared" si="4"/>
        <v>73.754686663095868</v>
      </c>
      <c r="K74" s="1096"/>
      <c r="L74" s="1096"/>
      <c r="M74" s="1096"/>
      <c r="N74" s="1096"/>
      <c r="O74" s="1096"/>
      <c r="P74" s="1114">
        <v>140.69999999999999</v>
      </c>
      <c r="Q74" s="1096" t="s">
        <v>127</v>
      </c>
      <c r="R74" s="1114">
        <v>159.4</v>
      </c>
      <c r="S74" s="1096" t="s">
        <v>127</v>
      </c>
      <c r="T74" s="1114">
        <v>183.4</v>
      </c>
      <c r="U74" s="1096" t="s">
        <v>127</v>
      </c>
      <c r="V74" s="1114">
        <v>137.6</v>
      </c>
      <c r="W74" s="1096" t="s">
        <v>127</v>
      </c>
      <c r="X74" s="1114">
        <v>137.69999999999999</v>
      </c>
      <c r="Y74" s="1096" t="s">
        <v>127</v>
      </c>
      <c r="Z74" s="1114">
        <v>186.7</v>
      </c>
      <c r="AA74" s="1096"/>
      <c r="AB74" s="1096" t="s">
        <v>1343</v>
      </c>
      <c r="AC74" s="1114">
        <v>125.3</v>
      </c>
      <c r="AD74" s="1096" t="s">
        <v>1343</v>
      </c>
      <c r="AE74" s="1114">
        <v>138.1</v>
      </c>
      <c r="AF74" s="1096" t="s">
        <v>1343</v>
      </c>
      <c r="AG74" s="1114">
        <v>157.30000000000001</v>
      </c>
      <c r="AH74" s="1096" t="s">
        <v>1343</v>
      </c>
      <c r="AI74" s="1114">
        <v>119.6</v>
      </c>
      <c r="AJ74" s="1096" t="s">
        <v>1343</v>
      </c>
      <c r="AK74" s="1114">
        <v>127.9</v>
      </c>
      <c r="AL74" s="1096" t="s">
        <v>1343</v>
      </c>
      <c r="AM74" s="1114">
        <v>173.9</v>
      </c>
      <c r="AN74" s="1096"/>
      <c r="AO74" s="1096"/>
      <c r="AP74" s="1096"/>
      <c r="AQ74" s="1096"/>
      <c r="AR74" s="1096"/>
      <c r="AS74" s="1096"/>
      <c r="AT74" s="1096"/>
      <c r="AU74" s="1096"/>
      <c r="AV74" s="1096"/>
      <c r="AW74" s="1096"/>
      <c r="AX74" s="1096"/>
      <c r="AY74" s="1096"/>
    </row>
    <row r="75" spans="1:51" x14ac:dyDescent="0.45">
      <c r="A75" s="1096">
        <v>2005</v>
      </c>
      <c r="B75" s="1096"/>
      <c r="C75" s="1113">
        <v>191.99999999999997</v>
      </c>
      <c r="D75" s="1113">
        <v>159.80000000000001</v>
      </c>
      <c r="E75" s="1096"/>
      <c r="F75" s="1114">
        <f t="shared" si="0"/>
        <v>83.229166666666686</v>
      </c>
      <c r="G75" s="1112">
        <f t="shared" si="1"/>
        <v>91.458333333333329</v>
      </c>
      <c r="H75" s="1112">
        <f t="shared" si="2"/>
        <v>122.55208333333334</v>
      </c>
      <c r="I75" s="1112">
        <f t="shared" si="3"/>
        <v>82.239583333333329</v>
      </c>
      <c r="J75" s="1112">
        <f t="shared" si="4"/>
        <v>79.375</v>
      </c>
      <c r="K75" s="1096"/>
      <c r="L75" s="1096"/>
      <c r="M75" s="1096"/>
      <c r="N75" s="1096"/>
      <c r="O75" s="1096"/>
      <c r="P75" s="1114">
        <v>159.80000000000001</v>
      </c>
      <c r="Q75" s="1096" t="s">
        <v>128</v>
      </c>
      <c r="R75" s="1114">
        <v>175.6</v>
      </c>
      <c r="S75" s="1096" t="s">
        <v>128</v>
      </c>
      <c r="T75" s="1114">
        <v>235.3</v>
      </c>
      <c r="U75" s="1096" t="s">
        <v>128</v>
      </c>
      <c r="V75" s="1114">
        <v>157.9</v>
      </c>
      <c r="W75" s="1096" t="s">
        <v>128</v>
      </c>
      <c r="X75" s="1114">
        <v>152.4</v>
      </c>
      <c r="Y75" s="1096" t="s">
        <v>128</v>
      </c>
      <c r="Z75" s="1114">
        <v>192</v>
      </c>
      <c r="AA75" s="1096"/>
      <c r="AB75" s="1096" t="s">
        <v>1344</v>
      </c>
      <c r="AC75" s="1114">
        <v>125.6</v>
      </c>
      <c r="AD75" s="1096" t="s">
        <v>1344</v>
      </c>
      <c r="AE75" s="1114">
        <v>139</v>
      </c>
      <c r="AF75" s="1096" t="s">
        <v>1344</v>
      </c>
      <c r="AG75" s="1114">
        <v>158.80000000000001</v>
      </c>
      <c r="AH75" s="1096" t="s">
        <v>1344</v>
      </c>
      <c r="AI75" s="1114">
        <v>119.7</v>
      </c>
      <c r="AJ75" s="1096" t="s">
        <v>1344</v>
      </c>
      <c r="AK75" s="1114">
        <v>128.19999999999999</v>
      </c>
      <c r="AL75" s="1096" t="s">
        <v>1344</v>
      </c>
      <c r="AM75" s="1114">
        <v>174</v>
      </c>
      <c r="AN75" s="1096"/>
      <c r="AO75" s="1096"/>
      <c r="AP75" s="1096"/>
      <c r="AQ75" s="1096"/>
      <c r="AR75" s="1096"/>
      <c r="AS75" s="1096"/>
      <c r="AT75" s="1096"/>
      <c r="AU75" s="1096"/>
      <c r="AV75" s="1096"/>
      <c r="AW75" s="1096"/>
      <c r="AX75" s="1096"/>
      <c r="AY75" s="1096"/>
    </row>
    <row r="76" spans="1:51" x14ac:dyDescent="0.45">
      <c r="A76" s="1096">
        <v>2006</v>
      </c>
      <c r="B76" s="1096"/>
      <c r="C76" s="1113">
        <v>198.1</v>
      </c>
      <c r="D76" s="1113">
        <v>199.1</v>
      </c>
      <c r="E76" s="1096"/>
      <c r="F76" s="1114">
        <f t="shared" si="0"/>
        <v>100.5047955577991</v>
      </c>
      <c r="G76" s="1112">
        <f t="shared" si="1"/>
        <v>95.305401312468462</v>
      </c>
      <c r="H76" s="1112">
        <f t="shared" si="2"/>
        <v>134.47753659767793</v>
      </c>
      <c r="I76" s="1112">
        <f t="shared" si="3"/>
        <v>105.09843513377082</v>
      </c>
      <c r="J76" s="1112">
        <f t="shared" si="4"/>
        <v>93.589096415951545</v>
      </c>
      <c r="K76" s="1096"/>
      <c r="L76" s="1096"/>
      <c r="M76" s="1096"/>
      <c r="N76" s="1096"/>
      <c r="O76" s="1096"/>
      <c r="P76" s="1114">
        <v>199.1</v>
      </c>
      <c r="Q76" s="1096" t="s">
        <v>129</v>
      </c>
      <c r="R76" s="1114">
        <v>188.8</v>
      </c>
      <c r="S76" s="1096" t="s">
        <v>129</v>
      </c>
      <c r="T76" s="1114">
        <v>266.39999999999998</v>
      </c>
      <c r="U76" s="1096" t="s">
        <v>129</v>
      </c>
      <c r="V76" s="1114">
        <v>208.2</v>
      </c>
      <c r="W76" s="1096" t="s">
        <v>129</v>
      </c>
      <c r="X76" s="1114">
        <v>185.4</v>
      </c>
      <c r="Y76" s="1096" t="s">
        <v>129</v>
      </c>
      <c r="Z76" s="1114">
        <v>198.1</v>
      </c>
      <c r="AA76" s="1096"/>
      <c r="AB76" s="1096" t="s">
        <v>1345</v>
      </c>
      <c r="AC76" s="1114">
        <v>125.5</v>
      </c>
      <c r="AD76" s="1096" t="s">
        <v>1345</v>
      </c>
      <c r="AE76" s="1114">
        <v>147.9</v>
      </c>
      <c r="AF76" s="1096" t="s">
        <v>1345</v>
      </c>
      <c r="AG76" s="1114">
        <v>140.80000000000001</v>
      </c>
      <c r="AH76" s="1096" t="s">
        <v>1345</v>
      </c>
      <c r="AI76" s="1114">
        <v>119.7</v>
      </c>
      <c r="AJ76" s="1096" t="s">
        <v>1345</v>
      </c>
      <c r="AK76" s="1114">
        <v>128.4</v>
      </c>
      <c r="AL76" s="1096" t="s">
        <v>1345</v>
      </c>
      <c r="AM76" s="1114">
        <v>173.8</v>
      </c>
      <c r="AN76" s="1096"/>
      <c r="AO76" s="1096"/>
      <c r="AP76" s="1096"/>
      <c r="AQ76" s="1096"/>
      <c r="AR76" s="1096"/>
      <c r="AS76" s="1096"/>
      <c r="AT76" s="1096"/>
      <c r="AU76" s="1096"/>
      <c r="AV76" s="1096"/>
      <c r="AW76" s="1096"/>
      <c r="AX76" s="1096"/>
      <c r="AY76" s="1096"/>
    </row>
    <row r="77" spans="1:51" x14ac:dyDescent="0.45">
      <c r="A77" s="1096">
        <v>2007</v>
      </c>
      <c r="B77" s="1096"/>
      <c r="C77" s="1113">
        <v>206.6</v>
      </c>
      <c r="D77" s="1113">
        <v>213.20000000000002</v>
      </c>
      <c r="E77" s="1096"/>
      <c r="F77" s="1114">
        <f t="shared" si="0"/>
        <v>103.19457889641821</v>
      </c>
      <c r="G77" s="1112">
        <f t="shared" si="1"/>
        <v>97.918683446273008</v>
      </c>
      <c r="H77" s="1112">
        <f t="shared" si="2"/>
        <v>130.05808325266216</v>
      </c>
      <c r="I77" s="1112">
        <f t="shared" si="3"/>
        <v>108.567279767667</v>
      </c>
      <c r="J77" s="1112">
        <f t="shared" si="4"/>
        <v>96.950629235237187</v>
      </c>
      <c r="K77" s="1096"/>
      <c r="L77" s="1096"/>
      <c r="M77" s="1096"/>
      <c r="N77" s="1096"/>
      <c r="O77" s="1096"/>
      <c r="P77" s="1114">
        <v>213.2</v>
      </c>
      <c r="Q77" s="1096" t="s">
        <v>130</v>
      </c>
      <c r="R77" s="1114">
        <v>202.3</v>
      </c>
      <c r="S77" s="1096" t="s">
        <v>130</v>
      </c>
      <c r="T77" s="1114">
        <v>268.7</v>
      </c>
      <c r="U77" s="1096" t="s">
        <v>130</v>
      </c>
      <c r="V77" s="1114">
        <v>224.3</v>
      </c>
      <c r="W77" s="1096" t="s">
        <v>130</v>
      </c>
      <c r="X77" s="1114">
        <v>200.3</v>
      </c>
      <c r="Y77" s="1096" t="s">
        <v>130</v>
      </c>
      <c r="Z77" s="1114">
        <v>206.6</v>
      </c>
      <c r="AA77" s="1096"/>
      <c r="AB77" s="1096" t="s">
        <v>1346</v>
      </c>
      <c r="AC77" s="1114">
        <v>127.9</v>
      </c>
      <c r="AD77" s="1096" t="s">
        <v>1346</v>
      </c>
      <c r="AE77" s="1114">
        <v>148.5</v>
      </c>
      <c r="AF77" s="1096" t="s">
        <v>1346</v>
      </c>
      <c r="AG77" s="1114">
        <v>137.80000000000001</v>
      </c>
      <c r="AH77" s="1096" t="s">
        <v>1346</v>
      </c>
      <c r="AI77" s="1114">
        <v>125.2</v>
      </c>
      <c r="AJ77" s="1096" t="s">
        <v>1346</v>
      </c>
      <c r="AK77" s="1114">
        <v>128.4</v>
      </c>
      <c r="AL77" s="1096" t="s">
        <v>1346</v>
      </c>
      <c r="AM77" s="1114">
        <v>173.9</v>
      </c>
      <c r="AN77" s="1096"/>
      <c r="AO77" s="1096"/>
      <c r="AP77" s="1096"/>
      <c r="AQ77" s="1096"/>
      <c r="AR77" s="1096"/>
      <c r="AS77" s="1096"/>
      <c r="AT77" s="1096"/>
      <c r="AU77" s="1096"/>
      <c r="AV77" s="1096"/>
      <c r="AW77" s="1096"/>
      <c r="AX77" s="1096"/>
      <c r="AY77" s="1096"/>
    </row>
    <row r="78" spans="1:51" x14ac:dyDescent="0.45">
      <c r="A78" s="1096">
        <v>2008</v>
      </c>
      <c r="B78" s="1096"/>
      <c r="C78" s="1113">
        <v>214.8</v>
      </c>
      <c r="D78" s="1113">
        <v>253.6</v>
      </c>
      <c r="E78" s="1096"/>
      <c r="F78" s="1114">
        <f t="shared" si="0"/>
        <v>118.0633147113594</v>
      </c>
      <c r="G78" s="1112">
        <f t="shared" si="1"/>
        <v>112.15083798882681</v>
      </c>
      <c r="H78" s="1112">
        <f t="shared" si="2"/>
        <v>180.58659217877093</v>
      </c>
      <c r="I78" s="1112">
        <f t="shared" si="3"/>
        <v>125.04655493482308</v>
      </c>
      <c r="J78" s="1112">
        <f t="shared" si="4"/>
        <v>107.77467411545622</v>
      </c>
      <c r="K78" s="1096"/>
      <c r="L78" s="1096"/>
      <c r="M78" s="1096"/>
      <c r="N78" s="1096"/>
      <c r="O78" s="1096"/>
      <c r="P78" s="1114">
        <v>253.6</v>
      </c>
      <c r="Q78" s="1096" t="s">
        <v>131</v>
      </c>
      <c r="R78" s="1114">
        <v>240.9</v>
      </c>
      <c r="S78" s="1096" t="s">
        <v>131</v>
      </c>
      <c r="T78" s="1114">
        <v>387.9</v>
      </c>
      <c r="U78" s="1096" t="s">
        <v>131</v>
      </c>
      <c r="V78" s="1114">
        <v>268.60000000000002</v>
      </c>
      <c r="W78" s="1096" t="s">
        <v>131</v>
      </c>
      <c r="X78" s="1114">
        <v>231.5</v>
      </c>
      <c r="Y78" s="1096" t="s">
        <v>131</v>
      </c>
      <c r="Z78" s="1114">
        <v>214.8</v>
      </c>
      <c r="AA78" s="1096"/>
      <c r="AB78" s="1096" t="s">
        <v>1347</v>
      </c>
      <c r="AC78" s="1114">
        <v>128.69999999999999</v>
      </c>
      <c r="AD78" s="1096" t="s">
        <v>1347</v>
      </c>
      <c r="AE78" s="1114">
        <v>147</v>
      </c>
      <c r="AF78" s="1096" t="s">
        <v>1347</v>
      </c>
      <c r="AG78" s="1114">
        <v>145</v>
      </c>
      <c r="AH78" s="1096" t="s">
        <v>1347</v>
      </c>
      <c r="AI78" s="1114">
        <v>125.9</v>
      </c>
      <c r="AJ78" s="1096" t="s">
        <v>1347</v>
      </c>
      <c r="AK78" s="1114">
        <v>128.6</v>
      </c>
      <c r="AL78" s="1096" t="s">
        <v>1347</v>
      </c>
      <c r="AM78" s="1114">
        <v>176</v>
      </c>
      <c r="AN78" s="1096"/>
      <c r="AO78" s="1096"/>
      <c r="AP78" s="1096"/>
      <c r="AQ78" s="1096"/>
      <c r="AR78" s="1096"/>
      <c r="AS78" s="1096"/>
      <c r="AT78" s="1096"/>
      <c r="AU78" s="1096"/>
      <c r="AV78" s="1096"/>
      <c r="AW78" s="1096"/>
      <c r="AX78" s="1096"/>
      <c r="AY78" s="1096"/>
    </row>
    <row r="79" spans="1:51" x14ac:dyDescent="0.45">
      <c r="A79" s="1096">
        <v>2009</v>
      </c>
      <c r="B79" s="1096"/>
      <c r="C79" s="1113">
        <v>213.7</v>
      </c>
      <c r="D79" s="1113">
        <v>269.39999999999998</v>
      </c>
      <c r="E79" s="1096"/>
      <c r="F79" s="1114">
        <f t="shared" si="0"/>
        <v>126.06457650912495</v>
      </c>
      <c r="G79" s="1112">
        <f t="shared" si="1"/>
        <v>132.47543284978946</v>
      </c>
      <c r="H79" s="1112">
        <f t="shared" si="2"/>
        <v>139.16705662143193</v>
      </c>
      <c r="I79" s="1112">
        <f t="shared" si="3"/>
        <v>142.95741693963501</v>
      </c>
      <c r="J79" s="1112">
        <f t="shared" si="4"/>
        <v>113.24286382779599</v>
      </c>
      <c r="K79" s="1096"/>
      <c r="L79" s="1096"/>
      <c r="M79" s="1096"/>
      <c r="N79" s="1096"/>
      <c r="O79" s="1096"/>
      <c r="P79" s="1114">
        <v>269.39999999999998</v>
      </c>
      <c r="Q79" s="1096" t="s">
        <v>132</v>
      </c>
      <c r="R79" s="1114">
        <v>283.10000000000002</v>
      </c>
      <c r="S79" s="1096" t="s">
        <v>132</v>
      </c>
      <c r="T79" s="1114">
        <v>297.39999999999998</v>
      </c>
      <c r="U79" s="1096" t="s">
        <v>132</v>
      </c>
      <c r="V79" s="1114">
        <v>305.5</v>
      </c>
      <c r="W79" s="1096" t="s">
        <v>132</v>
      </c>
      <c r="X79" s="1114">
        <v>242</v>
      </c>
      <c r="Y79" s="1096" t="s">
        <v>132</v>
      </c>
      <c r="Z79" s="1114">
        <v>213.7</v>
      </c>
      <c r="AA79" s="1096"/>
      <c r="AB79" s="1096" t="s">
        <v>1348</v>
      </c>
      <c r="AC79" s="1114">
        <v>128.9</v>
      </c>
      <c r="AD79" s="1096" t="s">
        <v>1348</v>
      </c>
      <c r="AE79" s="1114">
        <v>146.5</v>
      </c>
      <c r="AF79" s="1096" t="s">
        <v>1348</v>
      </c>
      <c r="AG79" s="1114">
        <v>145.4</v>
      </c>
      <c r="AH79" s="1096" t="s">
        <v>1348</v>
      </c>
      <c r="AI79" s="1114">
        <v>126.2</v>
      </c>
      <c r="AJ79" s="1096" t="s">
        <v>1348</v>
      </c>
      <c r="AK79" s="1114">
        <v>128.80000000000001</v>
      </c>
      <c r="AL79" s="1096" t="s">
        <v>1348</v>
      </c>
      <c r="AM79" s="1114">
        <v>176.6</v>
      </c>
      <c r="AN79" s="1096"/>
      <c r="AO79" s="1096"/>
      <c r="AP79" s="1096"/>
      <c r="AQ79" s="1096"/>
      <c r="AR79" s="1096"/>
      <c r="AS79" s="1096"/>
      <c r="AT79" s="1096"/>
      <c r="AU79" s="1096"/>
      <c r="AV79" s="1096"/>
      <c r="AW79" s="1096"/>
      <c r="AX79" s="1096"/>
      <c r="AY79" s="1096"/>
    </row>
    <row r="80" spans="1:51" x14ac:dyDescent="0.45">
      <c r="A80" s="1096">
        <v>2010</v>
      </c>
      <c r="B80" s="1096"/>
      <c r="C80" s="1113">
        <v>223.6</v>
      </c>
      <c r="D80" s="1113">
        <v>262.10000000000002</v>
      </c>
      <c r="E80" s="1096"/>
      <c r="F80" s="1114">
        <f t="shared" si="0"/>
        <v>117.21824686940967</v>
      </c>
      <c r="G80" s="1112">
        <f t="shared" si="1"/>
        <v>126.65474060822899</v>
      </c>
      <c r="H80" s="1112">
        <f t="shared" si="2"/>
        <v>169.58855098389984</v>
      </c>
      <c r="I80" s="1112">
        <f t="shared" si="3"/>
        <v>128.53309481216456</v>
      </c>
      <c r="J80" s="1112">
        <f t="shared" si="4"/>
        <v>105.54561717352415</v>
      </c>
      <c r="K80" s="1096"/>
      <c r="L80" s="1096"/>
      <c r="M80" s="1096"/>
      <c r="N80" s="1096"/>
      <c r="O80" s="1096"/>
      <c r="P80" s="1114">
        <v>262.10000000000002</v>
      </c>
      <c r="Q80" s="1096" t="s">
        <v>133</v>
      </c>
      <c r="R80" s="1114">
        <v>283.2</v>
      </c>
      <c r="S80" s="1096" t="s">
        <v>133</v>
      </c>
      <c r="T80" s="1114">
        <v>379.2</v>
      </c>
      <c r="U80" s="1096" t="s">
        <v>133</v>
      </c>
      <c r="V80" s="1114">
        <v>287.39999999999998</v>
      </c>
      <c r="W80" s="1096" t="s">
        <v>133</v>
      </c>
      <c r="X80" s="1114">
        <v>236</v>
      </c>
      <c r="Y80" s="1096" t="s">
        <v>133</v>
      </c>
      <c r="Z80" s="1114">
        <v>223.6</v>
      </c>
      <c r="AA80" s="1096"/>
      <c r="AB80" s="1096" t="s">
        <v>1349</v>
      </c>
      <c r="AC80" s="1114">
        <v>129.6</v>
      </c>
      <c r="AD80" s="1096" t="s">
        <v>1349</v>
      </c>
      <c r="AE80" s="1114">
        <v>151.80000000000001</v>
      </c>
      <c r="AF80" s="1096" t="s">
        <v>1349</v>
      </c>
      <c r="AG80" s="1114">
        <v>153.6</v>
      </c>
      <c r="AH80" s="1096" t="s">
        <v>1349</v>
      </c>
      <c r="AI80" s="1114">
        <v>126.3</v>
      </c>
      <c r="AJ80" s="1096" t="s">
        <v>1349</v>
      </c>
      <c r="AK80" s="1114">
        <v>128.80000000000001</v>
      </c>
      <c r="AL80" s="1096" t="s">
        <v>1349</v>
      </c>
      <c r="AM80" s="1114">
        <v>178.2</v>
      </c>
      <c r="AN80" s="1096"/>
      <c r="AO80" s="1096"/>
      <c r="AP80" s="1096"/>
      <c r="AQ80" s="1096"/>
      <c r="AR80" s="1096"/>
      <c r="AS80" s="1096"/>
      <c r="AT80" s="1096"/>
      <c r="AU80" s="1096"/>
      <c r="AV80" s="1096"/>
      <c r="AW80" s="1096"/>
      <c r="AX80" s="1096"/>
      <c r="AY80" s="1096"/>
    </row>
    <row r="81" spans="1:51" x14ac:dyDescent="0.45">
      <c r="A81" s="1096">
        <v>2011</v>
      </c>
      <c r="B81" s="1096"/>
      <c r="C81" s="1113">
        <v>235.20000000000002</v>
      </c>
      <c r="D81" s="1113">
        <v>289.89999999999998</v>
      </c>
      <c r="E81" s="1096"/>
      <c r="F81" s="1114">
        <f t="shared" ref="F81:F87" si="5">D81/C81*100</f>
        <v>123.25680272108841</v>
      </c>
      <c r="G81" s="1112">
        <f t="shared" si="1"/>
        <v>126.27551020408163</v>
      </c>
      <c r="H81" s="1112">
        <f t="shared" si="2"/>
        <v>201.48809523809524</v>
      </c>
      <c r="I81" s="1112">
        <f t="shared" si="3"/>
        <v>135.20408163265307</v>
      </c>
      <c r="J81" s="1112">
        <f t="shared" si="4"/>
        <v>107.61054421768708</v>
      </c>
      <c r="K81" s="1096"/>
      <c r="L81" s="1096"/>
      <c r="M81" s="1096"/>
      <c r="N81" s="1096"/>
      <c r="O81" s="1096"/>
      <c r="P81" s="1114">
        <v>289.89999999999998</v>
      </c>
      <c r="Q81" s="1096" t="s">
        <v>134</v>
      </c>
      <c r="R81" s="1114">
        <v>297</v>
      </c>
      <c r="S81" s="1096" t="s">
        <v>134</v>
      </c>
      <c r="T81" s="1114">
        <v>473.9</v>
      </c>
      <c r="U81" s="1096" t="s">
        <v>134</v>
      </c>
      <c r="V81" s="1114">
        <v>318</v>
      </c>
      <c r="W81" s="1096" t="s">
        <v>134</v>
      </c>
      <c r="X81" s="1114">
        <v>253.1</v>
      </c>
      <c r="Y81" s="1096" t="s">
        <v>134</v>
      </c>
      <c r="Z81" s="1114">
        <v>235.2</v>
      </c>
      <c r="AA81" s="1096"/>
      <c r="AB81" s="1096" t="s">
        <v>1350</v>
      </c>
      <c r="AC81" s="1114">
        <v>131.19999999999999</v>
      </c>
      <c r="AD81" s="1096" t="s">
        <v>1350</v>
      </c>
      <c r="AE81" s="1114">
        <v>151.9</v>
      </c>
      <c r="AF81" s="1096" t="s">
        <v>1350</v>
      </c>
      <c r="AG81" s="1114">
        <v>180.8</v>
      </c>
      <c r="AH81" s="1096" t="s">
        <v>1350</v>
      </c>
      <c r="AI81" s="1114">
        <v>126.4</v>
      </c>
      <c r="AJ81" s="1096" t="s">
        <v>1350</v>
      </c>
      <c r="AK81" s="1114">
        <v>128.9</v>
      </c>
      <c r="AL81" s="1096" t="s">
        <v>1350</v>
      </c>
      <c r="AM81" s="1114">
        <v>179.2</v>
      </c>
      <c r="AN81" s="1096"/>
      <c r="AO81" s="1096"/>
      <c r="AP81" s="1096"/>
      <c r="AQ81" s="1096"/>
      <c r="AR81" s="1096"/>
      <c r="AS81" s="1096"/>
      <c r="AT81" s="1096"/>
      <c r="AU81" s="1096"/>
      <c r="AV81" s="1096"/>
      <c r="AW81" s="1096"/>
      <c r="AX81" s="1096"/>
      <c r="AY81" s="1096"/>
    </row>
    <row r="82" spans="1:51" x14ac:dyDescent="0.45">
      <c r="A82" s="1096">
        <v>2012</v>
      </c>
      <c r="B82" s="1096"/>
      <c r="C82" s="1113">
        <v>242.69999999999996</v>
      </c>
      <c r="D82" s="1113">
        <v>311.89999999999998</v>
      </c>
      <c r="E82" s="1096"/>
      <c r="F82" s="1114">
        <f t="shared" si="5"/>
        <v>128.5125669550886</v>
      </c>
      <c r="G82" s="1112">
        <f t="shared" si="1"/>
        <v>126.69962917181708</v>
      </c>
      <c r="H82" s="1112">
        <f t="shared" si="2"/>
        <v>200.45323444581791</v>
      </c>
      <c r="I82" s="1112">
        <f t="shared" si="3"/>
        <v>144.95261639884635</v>
      </c>
      <c r="J82" s="1112">
        <f t="shared" si="4"/>
        <v>110.21837659662135</v>
      </c>
      <c r="K82" s="1096"/>
      <c r="L82" s="1096"/>
      <c r="M82" s="1096"/>
      <c r="N82" s="1096"/>
      <c r="O82" s="1096"/>
      <c r="P82" s="1114">
        <v>311.89999999999998</v>
      </c>
      <c r="Q82" s="1096" t="s">
        <v>135</v>
      </c>
      <c r="R82" s="1114">
        <v>307.5</v>
      </c>
      <c r="S82" s="1096" t="s">
        <v>135</v>
      </c>
      <c r="T82" s="1114">
        <v>486.5</v>
      </c>
      <c r="U82" s="1096" t="s">
        <v>135</v>
      </c>
      <c r="V82" s="1114">
        <v>351.8</v>
      </c>
      <c r="W82" s="1096" t="s">
        <v>135</v>
      </c>
      <c r="X82" s="1114">
        <v>267.5</v>
      </c>
      <c r="Y82" s="1096" t="s">
        <v>135</v>
      </c>
      <c r="Z82" s="1114">
        <v>242.7</v>
      </c>
      <c r="AA82" s="1096"/>
      <c r="AB82" s="1096" t="s">
        <v>1351</v>
      </c>
      <c r="AC82" s="1114">
        <v>130.19999999999999</v>
      </c>
      <c r="AD82" s="1096" t="s">
        <v>1351</v>
      </c>
      <c r="AE82" s="1114">
        <v>149.9</v>
      </c>
      <c r="AF82" s="1096" t="s">
        <v>1351</v>
      </c>
      <c r="AG82" s="1114">
        <v>149.5</v>
      </c>
      <c r="AH82" s="1096" t="s">
        <v>1351</v>
      </c>
      <c r="AI82" s="1114">
        <v>127.5</v>
      </c>
      <c r="AJ82" s="1096" t="s">
        <v>1351</v>
      </c>
      <c r="AK82" s="1114">
        <v>129.4</v>
      </c>
      <c r="AL82" s="1096" t="s">
        <v>1351</v>
      </c>
      <c r="AM82" s="1114">
        <v>181.3</v>
      </c>
      <c r="AN82" s="1096"/>
      <c r="AO82" s="1096"/>
      <c r="AP82" s="1096"/>
      <c r="AQ82" s="1096"/>
      <c r="AR82" s="1096"/>
      <c r="AS82" s="1096"/>
      <c r="AT82" s="1096"/>
      <c r="AU82" s="1096"/>
      <c r="AV82" s="1096"/>
      <c r="AW82" s="1096"/>
      <c r="AX82" s="1096"/>
      <c r="AY82" s="1096"/>
    </row>
    <row r="83" spans="1:51" x14ac:dyDescent="0.45">
      <c r="A83" s="1096">
        <v>2013</v>
      </c>
      <c r="B83" s="1096"/>
      <c r="C83" s="1113">
        <v>250.10000000000002</v>
      </c>
      <c r="D83" s="1113">
        <v>333.7</v>
      </c>
      <c r="E83" s="1096"/>
      <c r="F83" s="1114">
        <f t="shared" si="5"/>
        <v>133.42662934826069</v>
      </c>
      <c r="G83" s="1112">
        <f t="shared" si="1"/>
        <v>124.750099960016</v>
      </c>
      <c r="H83" s="1112">
        <f t="shared" si="2"/>
        <v>195.1219512195122</v>
      </c>
      <c r="I83" s="1112">
        <f t="shared" si="3"/>
        <v>151.73930427828867</v>
      </c>
      <c r="J83" s="1112">
        <f t="shared" si="4"/>
        <v>114.83406637345061</v>
      </c>
      <c r="K83" s="1096"/>
      <c r="L83" s="1096"/>
      <c r="M83" s="1096"/>
      <c r="N83" s="1096"/>
      <c r="O83" s="1096"/>
      <c r="P83" s="1114">
        <v>333.7</v>
      </c>
      <c r="Q83" s="1096" t="s">
        <v>136</v>
      </c>
      <c r="R83" s="1114">
        <v>312</v>
      </c>
      <c r="S83" s="1096" t="s">
        <v>136</v>
      </c>
      <c r="T83" s="1114">
        <v>488</v>
      </c>
      <c r="U83" s="1096" t="s">
        <v>136</v>
      </c>
      <c r="V83" s="1114">
        <v>379.5</v>
      </c>
      <c r="W83" s="1096" t="s">
        <v>136</v>
      </c>
      <c r="X83" s="1114">
        <v>287.2</v>
      </c>
      <c r="Y83" s="1096" t="s">
        <v>136</v>
      </c>
      <c r="Z83" s="1114">
        <v>250.1</v>
      </c>
      <c r="AA83" s="1096"/>
      <c r="AB83" s="1096" t="s">
        <v>1352</v>
      </c>
      <c r="AC83" s="1114">
        <v>131.4</v>
      </c>
      <c r="AD83" s="1096" t="s">
        <v>1352</v>
      </c>
      <c r="AE83" s="1114">
        <v>149.9</v>
      </c>
      <c r="AF83" s="1096" t="s">
        <v>1352</v>
      </c>
      <c r="AG83" s="1114">
        <v>151.69999999999999</v>
      </c>
      <c r="AH83" s="1096" t="s">
        <v>1352</v>
      </c>
      <c r="AI83" s="1114">
        <v>129.1</v>
      </c>
      <c r="AJ83" s="1096" t="s">
        <v>1352</v>
      </c>
      <c r="AK83" s="1114">
        <v>130.4</v>
      </c>
      <c r="AL83" s="1096" t="s">
        <v>1352</v>
      </c>
      <c r="AM83" s="1114">
        <v>181.8</v>
      </c>
      <c r="AN83" s="1096"/>
      <c r="AO83" s="1096"/>
      <c r="AP83" s="1096"/>
      <c r="AQ83" s="1096"/>
      <c r="AR83" s="1096"/>
      <c r="AS83" s="1096"/>
      <c r="AT83" s="1096"/>
      <c r="AU83" s="1096"/>
      <c r="AV83" s="1096"/>
      <c r="AW83" s="1096"/>
      <c r="AX83" s="1096"/>
      <c r="AY83" s="1096"/>
    </row>
    <row r="84" spans="1:51" x14ac:dyDescent="0.45">
      <c r="A84" s="1096">
        <v>2014</v>
      </c>
      <c r="B84" s="1096"/>
      <c r="C84" s="1113">
        <v>256</v>
      </c>
      <c r="D84" s="1113">
        <v>347.1</v>
      </c>
      <c r="E84" s="1096"/>
      <c r="F84" s="1114">
        <f t="shared" si="5"/>
        <v>135.5859375</v>
      </c>
      <c r="G84" s="1112">
        <f t="shared" si="1"/>
        <v>125.35156249999999</v>
      </c>
      <c r="H84" s="1112">
        <f t="shared" si="2"/>
        <v>173.7890625</v>
      </c>
      <c r="I84" s="1112">
        <f t="shared" si="3"/>
        <v>155.234375</v>
      </c>
      <c r="J84" s="1112">
        <f t="shared" si="4"/>
        <v>118.39843750000001</v>
      </c>
      <c r="K84" s="1096"/>
      <c r="L84" s="1096"/>
      <c r="M84" s="1096"/>
      <c r="N84" s="1096"/>
      <c r="O84" s="1096"/>
      <c r="P84" s="1114">
        <v>347.1</v>
      </c>
      <c r="Q84" s="1096" t="s">
        <v>137</v>
      </c>
      <c r="R84" s="1114">
        <v>320.89999999999998</v>
      </c>
      <c r="S84" s="1096" t="s">
        <v>137</v>
      </c>
      <c r="T84" s="1114">
        <v>444.9</v>
      </c>
      <c r="U84" s="1096" t="s">
        <v>137</v>
      </c>
      <c r="V84" s="1114">
        <v>397.4</v>
      </c>
      <c r="W84" s="1096" t="s">
        <v>137</v>
      </c>
      <c r="X84" s="1114">
        <v>303.10000000000002</v>
      </c>
      <c r="Y84" s="1096" t="s">
        <v>137</v>
      </c>
      <c r="Z84" s="1114">
        <v>256</v>
      </c>
      <c r="AA84" s="1096"/>
      <c r="AB84" s="1096" t="s">
        <v>1353</v>
      </c>
      <c r="AC84" s="1114">
        <v>132.9</v>
      </c>
      <c r="AD84" s="1096" t="s">
        <v>1353</v>
      </c>
      <c r="AE84" s="1114">
        <v>154.4</v>
      </c>
      <c r="AF84" s="1096" t="s">
        <v>1353</v>
      </c>
      <c r="AG84" s="1114">
        <v>162.80000000000001</v>
      </c>
      <c r="AH84" s="1096" t="s">
        <v>1353</v>
      </c>
      <c r="AI84" s="1114">
        <v>129.9</v>
      </c>
      <c r="AJ84" s="1096" t="s">
        <v>1353</v>
      </c>
      <c r="AK84" s="1114">
        <v>131.19999999999999</v>
      </c>
      <c r="AL84" s="1096" t="s">
        <v>1353</v>
      </c>
      <c r="AM84" s="1114">
        <v>182.9</v>
      </c>
      <c r="AN84" s="1096"/>
      <c r="AO84" s="1096"/>
      <c r="AP84" s="1096"/>
      <c r="AQ84" s="1096"/>
      <c r="AR84" s="1096"/>
      <c r="AS84" s="1096"/>
      <c r="AT84" s="1096"/>
      <c r="AU84" s="1096"/>
      <c r="AV84" s="1096"/>
      <c r="AW84" s="1096"/>
      <c r="AX84" s="1096"/>
      <c r="AY84" s="1096"/>
    </row>
    <row r="85" spans="1:51" x14ac:dyDescent="0.45">
      <c r="A85" s="1096">
        <v>2015</v>
      </c>
      <c r="B85" s="1096"/>
      <c r="C85" s="1113">
        <v>258.5</v>
      </c>
      <c r="D85" s="1113">
        <v>332.7</v>
      </c>
      <c r="E85" s="1096"/>
      <c r="F85" s="1114">
        <f t="shared" si="5"/>
        <v>128.70406189555126</v>
      </c>
      <c r="G85" s="1112">
        <f t="shared" si="1"/>
        <v>124.37137330754354</v>
      </c>
      <c r="H85" s="1112">
        <f t="shared" si="2"/>
        <v>128.39458413926499</v>
      </c>
      <c r="I85" s="1112">
        <f t="shared" si="3"/>
        <v>146.7311411992263</v>
      </c>
      <c r="J85" s="1112">
        <f t="shared" si="4"/>
        <v>116.86653771760156</v>
      </c>
      <c r="K85" s="1096"/>
      <c r="L85" s="1096"/>
      <c r="M85" s="1096"/>
      <c r="N85" s="1096"/>
      <c r="O85" s="1096"/>
      <c r="P85" s="1114">
        <v>332.7</v>
      </c>
      <c r="Q85" s="1096" t="s">
        <v>138</v>
      </c>
      <c r="R85" s="1114">
        <v>321.5</v>
      </c>
      <c r="S85" s="1096" t="s">
        <v>138</v>
      </c>
      <c r="T85" s="1114">
        <v>331.9</v>
      </c>
      <c r="U85" s="1096" t="s">
        <v>138</v>
      </c>
      <c r="V85" s="1114">
        <v>379.3</v>
      </c>
      <c r="W85" s="1096" t="s">
        <v>138</v>
      </c>
      <c r="X85" s="1114">
        <v>302.10000000000002</v>
      </c>
      <c r="Y85" s="1096" t="s">
        <v>138</v>
      </c>
      <c r="Z85" s="1114">
        <v>258.5</v>
      </c>
      <c r="AA85" s="1096"/>
      <c r="AB85" s="1096" t="s">
        <v>1354</v>
      </c>
      <c r="AC85" s="1114">
        <v>135.1</v>
      </c>
      <c r="AD85" s="1096" t="s">
        <v>1354</v>
      </c>
      <c r="AE85" s="1114">
        <v>155.5</v>
      </c>
      <c r="AF85" s="1096" t="s">
        <v>1354</v>
      </c>
      <c r="AG85" s="1114">
        <v>162.9</v>
      </c>
      <c r="AH85" s="1096" t="s">
        <v>1354</v>
      </c>
      <c r="AI85" s="1114">
        <v>132.69999999999999</v>
      </c>
      <c r="AJ85" s="1096" t="s">
        <v>1354</v>
      </c>
      <c r="AK85" s="1114">
        <v>133.19999999999999</v>
      </c>
      <c r="AL85" s="1096" t="s">
        <v>1354</v>
      </c>
      <c r="AM85" s="1114">
        <v>183.8</v>
      </c>
      <c r="AN85" s="1096"/>
      <c r="AO85" s="1096"/>
      <c r="AP85" s="1096"/>
      <c r="AQ85" s="1096"/>
      <c r="AR85" s="1096"/>
      <c r="AS85" s="1096"/>
      <c r="AT85" s="1096"/>
      <c r="AU85" s="1096"/>
      <c r="AV85" s="1096"/>
      <c r="AW85" s="1096"/>
      <c r="AX85" s="1096"/>
      <c r="AY85" s="1096"/>
    </row>
    <row r="86" spans="1:51" x14ac:dyDescent="0.45">
      <c r="A86" s="1096">
        <v>2016</v>
      </c>
      <c r="B86" s="1096"/>
      <c r="C86" s="1113">
        <v>263.10000000000002</v>
      </c>
      <c r="D86" s="1113">
        <v>323.10000000000002</v>
      </c>
      <c r="E86" s="1096"/>
      <c r="F86" s="1114">
        <f t="shared" si="5"/>
        <v>122.80501710376284</v>
      </c>
      <c r="G86" s="1112">
        <f t="shared" si="1"/>
        <v>121.9688331432915</v>
      </c>
      <c r="H86" s="1112">
        <f t="shared" si="2"/>
        <v>116.49562903838844</v>
      </c>
      <c r="I86" s="1112">
        <f t="shared" si="3"/>
        <v>135.5378183200304</v>
      </c>
      <c r="J86" s="1112">
        <f t="shared" si="4"/>
        <v>114.55720258456859</v>
      </c>
      <c r="K86" s="1096"/>
      <c r="L86" s="1096"/>
      <c r="M86" s="1096"/>
      <c r="N86" s="1096"/>
      <c r="O86" s="1096"/>
      <c r="P86" s="1114">
        <v>323.10000000000002</v>
      </c>
      <c r="Q86" s="1096" t="s">
        <v>139</v>
      </c>
      <c r="R86" s="1114">
        <v>320.89999999999998</v>
      </c>
      <c r="S86" s="1096" t="s">
        <v>139</v>
      </c>
      <c r="T86" s="1114">
        <v>306.5</v>
      </c>
      <c r="U86" s="1096" t="s">
        <v>139</v>
      </c>
      <c r="V86" s="1114">
        <v>356.6</v>
      </c>
      <c r="W86" s="1096" t="s">
        <v>139</v>
      </c>
      <c r="X86" s="1114">
        <v>301.39999999999998</v>
      </c>
      <c r="Y86" s="1096" t="s">
        <v>139</v>
      </c>
      <c r="Z86" s="1114">
        <v>263.10000000000002</v>
      </c>
      <c r="AA86" s="1096"/>
      <c r="AB86" s="1096" t="s">
        <v>1355</v>
      </c>
      <c r="AC86" s="1114">
        <v>139.1</v>
      </c>
      <c r="AD86" s="1096" t="s">
        <v>1355</v>
      </c>
      <c r="AE86" s="1114">
        <v>154.6</v>
      </c>
      <c r="AF86" s="1096" t="s">
        <v>1355</v>
      </c>
      <c r="AG86" s="1114">
        <v>176.4</v>
      </c>
      <c r="AH86" s="1096" t="s">
        <v>1355</v>
      </c>
      <c r="AI86" s="1114">
        <v>136.30000000000001</v>
      </c>
      <c r="AJ86" s="1096" t="s">
        <v>1355</v>
      </c>
      <c r="AK86" s="1114">
        <v>136.69999999999999</v>
      </c>
      <c r="AL86" s="1096" t="s">
        <v>1355</v>
      </c>
      <c r="AM86" s="1114">
        <v>186.3</v>
      </c>
      <c r="AN86" s="1096"/>
      <c r="AO86" s="1096"/>
      <c r="AP86" s="1096"/>
      <c r="AQ86" s="1096"/>
      <c r="AR86" s="1096"/>
      <c r="AS86" s="1096"/>
      <c r="AT86" s="1096"/>
      <c r="AU86" s="1096"/>
      <c r="AV86" s="1096"/>
      <c r="AW86" s="1096"/>
      <c r="AX86" s="1096"/>
      <c r="AY86" s="1096"/>
    </row>
    <row r="87" spans="1:51" x14ac:dyDescent="0.45">
      <c r="A87" s="1096">
        <v>2017</v>
      </c>
      <c r="B87" s="1096"/>
      <c r="C87" s="1113">
        <v>272.5</v>
      </c>
      <c r="D87" s="1113">
        <v>336.9</v>
      </c>
      <c r="E87" s="1096"/>
      <c r="F87" s="1114">
        <f t="shared" si="5"/>
        <v>123.63302752293576</v>
      </c>
      <c r="G87" s="1112">
        <f t="shared" si="1"/>
        <v>120.44036697247707</v>
      </c>
      <c r="H87" s="1112">
        <f t="shared" si="2"/>
        <v>137.87155963302752</v>
      </c>
      <c r="I87" s="1112">
        <f t="shared" si="3"/>
        <v>129.17431192660553</v>
      </c>
      <c r="J87" s="1112">
        <f t="shared" si="4"/>
        <v>118.05504587155964</v>
      </c>
      <c r="K87" s="1096"/>
      <c r="L87" s="1096"/>
      <c r="M87" s="1096"/>
      <c r="N87" s="1096"/>
      <c r="O87" s="1096"/>
      <c r="P87" s="1114">
        <v>336.9</v>
      </c>
      <c r="Q87" s="1096" t="s">
        <v>140</v>
      </c>
      <c r="R87" s="1114">
        <v>328.2</v>
      </c>
      <c r="S87" s="1096" t="s">
        <v>140</v>
      </c>
      <c r="T87" s="1114">
        <v>375.7</v>
      </c>
      <c r="U87" s="1096" t="s">
        <v>140</v>
      </c>
      <c r="V87" s="1114">
        <v>352</v>
      </c>
      <c r="W87" s="1096" t="s">
        <v>140</v>
      </c>
      <c r="X87" s="1114">
        <v>321.7</v>
      </c>
      <c r="Y87" s="1096" t="s">
        <v>140</v>
      </c>
      <c r="Z87" s="1114">
        <v>272.5</v>
      </c>
      <c r="AA87" s="1096"/>
      <c r="AB87" s="1096" t="s">
        <v>1356</v>
      </c>
      <c r="AC87" s="1114">
        <v>141</v>
      </c>
      <c r="AD87" s="1096" t="s">
        <v>1356</v>
      </c>
      <c r="AE87" s="1114">
        <v>158</v>
      </c>
      <c r="AF87" s="1096" t="s">
        <v>1356</v>
      </c>
      <c r="AG87" s="1114">
        <v>188.5</v>
      </c>
      <c r="AH87" s="1096" t="s">
        <v>1356</v>
      </c>
      <c r="AI87" s="1114">
        <v>137.19999999999999</v>
      </c>
      <c r="AJ87" s="1096" t="s">
        <v>1356</v>
      </c>
      <c r="AK87" s="1114">
        <v>138.30000000000001</v>
      </c>
      <c r="AL87" s="1096" t="s">
        <v>1356</v>
      </c>
      <c r="AM87" s="1114">
        <v>187.4</v>
      </c>
      <c r="AN87" s="1096"/>
      <c r="AO87" s="1096"/>
      <c r="AP87" s="1096"/>
      <c r="AQ87" s="1096"/>
      <c r="AR87" s="1096"/>
      <c r="AS87" s="1096"/>
      <c r="AT87" s="1096"/>
      <c r="AU87" s="1096"/>
      <c r="AV87" s="1096"/>
      <c r="AW87" s="1096"/>
      <c r="AX87" s="1096"/>
      <c r="AY87" s="1096"/>
    </row>
    <row r="88" spans="1:51" x14ac:dyDescent="0.45">
      <c r="A88" s="1096">
        <v>2018</v>
      </c>
      <c r="B88" s="1096"/>
      <c r="C88" s="1113">
        <v>281.60000000000002</v>
      </c>
      <c r="D88" s="1113">
        <v>360.6</v>
      </c>
      <c r="E88" s="1096"/>
      <c r="F88" s="1114">
        <f>D88/C88*100</f>
        <v>128.05397727272728</v>
      </c>
      <c r="G88" s="1112">
        <f t="shared" si="1"/>
        <v>118.60795454545455</v>
      </c>
      <c r="H88" s="1112">
        <f t="shared" si="2"/>
        <v>162.89062499999997</v>
      </c>
      <c r="I88" s="1112">
        <f t="shared" si="3"/>
        <v>129.61647727272728</v>
      </c>
      <c r="J88" s="1112">
        <f t="shared" si="4"/>
        <v>124.11221590909089</v>
      </c>
      <c r="K88" s="1096"/>
      <c r="L88" s="1096"/>
      <c r="M88" s="1096"/>
      <c r="N88" s="1096"/>
      <c r="O88" s="1096"/>
      <c r="P88" s="1114">
        <v>360.6</v>
      </c>
      <c r="Q88" s="1096" t="s">
        <v>141</v>
      </c>
      <c r="R88" s="1114">
        <v>334</v>
      </c>
      <c r="S88" s="1096" t="s">
        <v>141</v>
      </c>
      <c r="T88" s="1114">
        <v>458.7</v>
      </c>
      <c r="U88" s="1096" t="s">
        <v>141</v>
      </c>
      <c r="V88" s="1114">
        <v>365</v>
      </c>
      <c r="W88" s="1096" t="s">
        <v>141</v>
      </c>
      <c r="X88" s="1114">
        <v>349.5</v>
      </c>
      <c r="Y88" s="1096" t="s">
        <v>141</v>
      </c>
      <c r="Z88" s="1114">
        <v>281.60000000000002</v>
      </c>
      <c r="AA88" s="1096"/>
      <c r="AB88" s="1096" t="s">
        <v>1357</v>
      </c>
      <c r="AC88" s="1114">
        <v>147.6</v>
      </c>
      <c r="AD88" s="1096" t="s">
        <v>1357</v>
      </c>
      <c r="AE88" s="1114">
        <v>169.7</v>
      </c>
      <c r="AF88" s="1096" t="s">
        <v>1357</v>
      </c>
      <c r="AG88" s="1114">
        <v>205.9</v>
      </c>
      <c r="AH88" s="1096" t="s">
        <v>1357</v>
      </c>
      <c r="AI88" s="1114">
        <v>144.19999999999999</v>
      </c>
      <c r="AJ88" s="1096" t="s">
        <v>1357</v>
      </c>
      <c r="AK88" s="1114">
        <v>142.69999999999999</v>
      </c>
      <c r="AL88" s="1096" t="s">
        <v>1357</v>
      </c>
      <c r="AM88" s="1114">
        <v>189.2</v>
      </c>
      <c r="AN88" s="1096"/>
      <c r="AO88" s="1096"/>
      <c r="AP88" s="1096"/>
      <c r="AQ88" s="1096"/>
      <c r="AR88" s="1096"/>
      <c r="AS88" s="1096"/>
      <c r="AT88" s="1096"/>
      <c r="AU88" s="1096"/>
      <c r="AV88" s="1096"/>
      <c r="AW88" s="1096"/>
      <c r="AX88" s="1096"/>
      <c r="AY88" s="1096"/>
    </row>
    <row r="89" spans="1:51" x14ac:dyDescent="0.45">
      <c r="A89" s="1096">
        <v>2019</v>
      </c>
      <c r="B89" s="1096"/>
      <c r="C89" s="1096"/>
      <c r="D89" s="1096"/>
      <c r="E89" s="1096"/>
      <c r="F89" s="1114">
        <f>([6]ONS!P89/[6]ONS!Z89)/([6]ONS!P88/[6]ONS!Z88)*F$88</f>
        <v>129.22437673130193</v>
      </c>
      <c r="G89" s="1112">
        <f t="shared" si="1"/>
        <v>119.8753462603878</v>
      </c>
      <c r="H89" s="1112">
        <f t="shared" si="2"/>
        <v>157.20221606648198</v>
      </c>
      <c r="I89" s="1112">
        <f t="shared" si="3"/>
        <v>125.6578947368421</v>
      </c>
      <c r="J89" s="1112">
        <f t="shared" si="4"/>
        <v>129.77839335180056</v>
      </c>
      <c r="K89" s="1096"/>
      <c r="L89" s="1096"/>
      <c r="M89" s="1096"/>
      <c r="N89" s="1096"/>
      <c r="O89" s="1096"/>
      <c r="P89" s="1114">
        <v>373.2</v>
      </c>
      <c r="Q89" s="1096" t="s">
        <v>1358</v>
      </c>
      <c r="R89" s="1114">
        <v>346.2</v>
      </c>
      <c r="S89" s="1096" t="s">
        <v>1358</v>
      </c>
      <c r="T89" s="1114">
        <v>454</v>
      </c>
      <c r="U89" s="1096" t="s">
        <v>1358</v>
      </c>
      <c r="V89" s="1114">
        <v>362.9</v>
      </c>
      <c r="W89" s="1096" t="s">
        <v>1358</v>
      </c>
      <c r="X89" s="1114">
        <v>374.8</v>
      </c>
      <c r="Y89" s="1096" t="s">
        <v>1358</v>
      </c>
      <c r="Z89" s="1114">
        <v>288.8</v>
      </c>
      <c r="AA89" s="1096"/>
      <c r="AB89" s="1096" t="s">
        <v>1359</v>
      </c>
      <c r="AC89" s="1114">
        <v>154</v>
      </c>
      <c r="AD89" s="1096" t="s">
        <v>1359</v>
      </c>
      <c r="AE89" s="1114">
        <v>172.9</v>
      </c>
      <c r="AF89" s="1096" t="s">
        <v>1359</v>
      </c>
      <c r="AG89" s="1114">
        <v>204</v>
      </c>
      <c r="AH89" s="1096" t="s">
        <v>1359</v>
      </c>
      <c r="AI89" s="1114">
        <v>152.6</v>
      </c>
      <c r="AJ89" s="1096" t="s">
        <v>1359</v>
      </c>
      <c r="AK89" s="1114">
        <v>148.5</v>
      </c>
      <c r="AL89" s="1096" t="s">
        <v>1359</v>
      </c>
      <c r="AM89" s="1114">
        <v>189.7</v>
      </c>
      <c r="AN89" s="1096"/>
      <c r="AO89" s="1096"/>
      <c r="AP89" s="1096"/>
      <c r="AQ89" s="1096"/>
      <c r="AR89" s="1096"/>
      <c r="AS89" s="1096"/>
      <c r="AT89" s="1096"/>
      <c r="AU89" s="1096"/>
      <c r="AV89" s="1096"/>
      <c r="AW89" s="1096"/>
      <c r="AX89" s="1096"/>
      <c r="AY89" s="1096"/>
    </row>
    <row r="90" spans="1:51" x14ac:dyDescent="0.45">
      <c r="A90" s="1096">
        <v>2020</v>
      </c>
      <c r="B90" s="1096"/>
      <c r="C90" s="1096"/>
      <c r="D90" s="1096"/>
      <c r="E90" s="1096"/>
      <c r="F90" s="1096"/>
      <c r="G90" s="1096"/>
      <c r="H90" s="1096"/>
      <c r="I90" s="1096"/>
      <c r="J90" s="1096"/>
      <c r="K90" s="1096"/>
      <c r="L90" s="1096"/>
      <c r="M90" s="1096"/>
      <c r="N90" s="1096"/>
      <c r="O90" s="1096"/>
      <c r="P90" s="1096"/>
      <c r="Q90" s="1096"/>
      <c r="R90" s="1096"/>
      <c r="S90" s="1096"/>
      <c r="T90" s="1096"/>
      <c r="U90" s="1096"/>
      <c r="V90" s="1096"/>
      <c r="W90" s="1096"/>
      <c r="X90" s="1096"/>
      <c r="Y90" s="1096"/>
      <c r="Z90" s="1096"/>
      <c r="AA90" s="1096"/>
      <c r="AB90" s="1096" t="s">
        <v>1360</v>
      </c>
      <c r="AC90" s="1114">
        <v>156.6</v>
      </c>
      <c r="AD90" s="1096" t="s">
        <v>1360</v>
      </c>
      <c r="AE90" s="1114">
        <v>172.3</v>
      </c>
      <c r="AF90" s="1096" t="s">
        <v>1360</v>
      </c>
      <c r="AG90" s="1114">
        <v>224</v>
      </c>
      <c r="AH90" s="1096" t="s">
        <v>1360</v>
      </c>
      <c r="AI90" s="1114">
        <v>154.30000000000001</v>
      </c>
      <c r="AJ90" s="1096" t="s">
        <v>1360</v>
      </c>
      <c r="AK90" s="1114">
        <v>150.4</v>
      </c>
      <c r="AL90" s="1096" t="s">
        <v>1360</v>
      </c>
      <c r="AM90" s="1114">
        <v>191.9</v>
      </c>
      <c r="AN90" s="1096"/>
      <c r="AO90" s="1096"/>
      <c r="AP90" s="1096"/>
      <c r="AQ90" s="1096"/>
      <c r="AR90" s="1096"/>
      <c r="AS90" s="1096"/>
      <c r="AT90" s="1096"/>
      <c r="AU90" s="1096"/>
      <c r="AV90" s="1096"/>
      <c r="AW90" s="1096"/>
      <c r="AX90" s="1096"/>
      <c r="AY90" s="1096"/>
    </row>
    <row r="91" spans="1:51" x14ac:dyDescent="0.45">
      <c r="A91" s="1096"/>
      <c r="B91" s="1096"/>
      <c r="C91" s="1096"/>
      <c r="D91" s="1096"/>
      <c r="E91" s="1096"/>
      <c r="F91" s="1096"/>
      <c r="G91" s="1096"/>
      <c r="H91" s="1096"/>
      <c r="I91" s="1096"/>
      <c r="J91" s="1096"/>
      <c r="K91" s="1096"/>
      <c r="L91" s="1096"/>
      <c r="M91" s="1096"/>
      <c r="N91" s="1096"/>
      <c r="O91" s="1096"/>
      <c r="P91" s="1096"/>
      <c r="Q91" s="1096"/>
      <c r="R91" s="1096"/>
      <c r="S91" s="1096"/>
      <c r="T91" s="1096"/>
      <c r="U91" s="1096"/>
      <c r="V91" s="1096"/>
      <c r="W91" s="1096"/>
      <c r="X91" s="1096"/>
      <c r="Y91" s="1096"/>
      <c r="Z91" s="1096"/>
      <c r="AA91" s="1096"/>
      <c r="AB91" s="1096" t="s">
        <v>1361</v>
      </c>
      <c r="AC91" s="1114">
        <v>159.5</v>
      </c>
      <c r="AD91" s="1096" t="s">
        <v>1361</v>
      </c>
      <c r="AE91" s="1114">
        <v>173.2</v>
      </c>
      <c r="AF91" s="1096" t="s">
        <v>1361</v>
      </c>
      <c r="AG91" s="1114">
        <v>255.1</v>
      </c>
      <c r="AH91" s="1096" t="s">
        <v>1361</v>
      </c>
      <c r="AI91" s="1114">
        <v>156</v>
      </c>
      <c r="AJ91" s="1096" t="s">
        <v>1361</v>
      </c>
      <c r="AK91" s="1114">
        <v>151.6</v>
      </c>
      <c r="AL91" s="1096" t="s">
        <v>1361</v>
      </c>
      <c r="AM91" s="1114">
        <v>192.6</v>
      </c>
      <c r="AN91" s="1096"/>
      <c r="AO91" s="1096"/>
      <c r="AP91" s="1096"/>
      <c r="AQ91" s="1096"/>
      <c r="AR91" s="1096"/>
      <c r="AS91" s="1096"/>
      <c r="AT91" s="1096"/>
      <c r="AU91" s="1096"/>
      <c r="AV91" s="1096"/>
      <c r="AW91" s="1096"/>
      <c r="AX91" s="1096"/>
      <c r="AY91" s="1096"/>
    </row>
    <row r="92" spans="1:51" x14ac:dyDescent="0.45">
      <c r="A92" s="1096"/>
      <c r="B92" s="1096"/>
      <c r="C92" s="1096"/>
      <c r="D92" s="1096"/>
      <c r="E92" s="1096"/>
      <c r="F92" s="1096"/>
      <c r="G92" s="1096"/>
      <c r="H92" s="1096"/>
      <c r="I92" s="1096"/>
      <c r="J92" s="1096"/>
      <c r="K92" s="1096"/>
      <c r="L92" s="1096"/>
      <c r="M92" s="1096"/>
      <c r="N92" s="1096"/>
      <c r="O92" s="1096"/>
      <c r="P92" s="1096"/>
      <c r="Q92" s="1096"/>
      <c r="R92" s="1096"/>
      <c r="S92" s="1096"/>
      <c r="T92" s="1096"/>
      <c r="U92" s="1096"/>
      <c r="V92" s="1096"/>
      <c r="W92" s="1096"/>
      <c r="X92" s="1096"/>
      <c r="Y92" s="1096"/>
      <c r="Z92" s="1096"/>
      <c r="AA92" s="1096"/>
      <c r="AB92" s="1096" t="s">
        <v>1362</v>
      </c>
      <c r="AC92" s="1114">
        <v>168.9</v>
      </c>
      <c r="AD92" s="1096" t="s">
        <v>1362</v>
      </c>
      <c r="AE92" s="1114">
        <v>184.1</v>
      </c>
      <c r="AF92" s="1096" t="s">
        <v>1362</v>
      </c>
      <c r="AG92" s="1114">
        <v>258.2</v>
      </c>
      <c r="AH92" s="1096" t="s">
        <v>1362</v>
      </c>
      <c r="AI92" s="1114">
        <v>168.6</v>
      </c>
      <c r="AJ92" s="1096" t="s">
        <v>1362</v>
      </c>
      <c r="AK92" s="1114">
        <v>158.9</v>
      </c>
      <c r="AL92" s="1096" t="s">
        <v>1362</v>
      </c>
      <c r="AM92" s="1114">
        <v>193.7</v>
      </c>
      <c r="AN92" s="1096"/>
      <c r="AO92" s="1096"/>
      <c r="AP92" s="1096"/>
      <c r="AQ92" s="1096"/>
      <c r="AR92" s="1096"/>
      <c r="AS92" s="1096"/>
      <c r="AT92" s="1096"/>
      <c r="AU92" s="1096"/>
      <c r="AV92" s="1096"/>
      <c r="AW92" s="1096"/>
      <c r="AX92" s="1096"/>
      <c r="AY92" s="1096"/>
    </row>
    <row r="93" spans="1:51" x14ac:dyDescent="0.45">
      <c r="A93" s="1096"/>
      <c r="B93" s="1096"/>
      <c r="C93" s="1096"/>
      <c r="D93" s="1096"/>
      <c r="E93" s="1096"/>
      <c r="F93" s="1096"/>
      <c r="G93" s="1096"/>
      <c r="H93" s="1096"/>
      <c r="I93" s="1096"/>
      <c r="J93" s="1096"/>
      <c r="K93" s="1096"/>
      <c r="L93" s="1096"/>
      <c r="M93" s="1096"/>
      <c r="N93" s="1096"/>
      <c r="O93" s="1096"/>
      <c r="P93" s="1096"/>
      <c r="Q93" s="1096"/>
      <c r="R93" s="1096"/>
      <c r="S93" s="1096"/>
      <c r="T93" s="1096"/>
      <c r="U93" s="1096"/>
      <c r="V93" s="1096"/>
      <c r="W93" s="1096"/>
      <c r="X93" s="1096"/>
      <c r="Y93" s="1096"/>
      <c r="Z93" s="1096"/>
      <c r="AA93" s="1096"/>
      <c r="AB93" s="1096" t="s">
        <v>1363</v>
      </c>
      <c r="AC93" s="1114">
        <v>175.9</v>
      </c>
      <c r="AD93" s="1096" t="s">
        <v>1363</v>
      </c>
      <c r="AE93" s="1114">
        <v>185.1</v>
      </c>
      <c r="AF93" s="1096" t="s">
        <v>1363</v>
      </c>
      <c r="AG93" s="1114">
        <v>265.39999999999998</v>
      </c>
      <c r="AH93" s="1096" t="s">
        <v>1363</v>
      </c>
      <c r="AI93" s="1114">
        <v>176.7</v>
      </c>
      <c r="AJ93" s="1096" t="s">
        <v>1363</v>
      </c>
      <c r="AK93" s="1114">
        <v>165.3</v>
      </c>
      <c r="AL93" s="1096" t="s">
        <v>1363</v>
      </c>
      <c r="AM93" s="1114">
        <v>194.2</v>
      </c>
      <c r="AN93" s="1096"/>
      <c r="AO93" s="1096"/>
      <c r="AP93" s="1096"/>
      <c r="AQ93" s="1096"/>
      <c r="AR93" s="1096"/>
      <c r="AS93" s="1096"/>
      <c r="AT93" s="1096"/>
      <c r="AU93" s="1096"/>
      <c r="AV93" s="1096"/>
      <c r="AW93" s="1096"/>
      <c r="AX93" s="1096"/>
      <c r="AY93" s="1096"/>
    </row>
    <row r="94" spans="1:51" x14ac:dyDescent="0.45">
      <c r="A94" s="1096"/>
      <c r="B94" s="1096"/>
      <c r="C94" s="1096"/>
      <c r="D94" s="1096"/>
      <c r="E94" s="1096"/>
      <c r="F94" s="1096"/>
      <c r="G94" s="1096"/>
      <c r="H94" s="1096"/>
      <c r="I94" s="1096"/>
      <c r="J94" s="1096"/>
      <c r="K94" s="1096"/>
      <c r="L94" s="1096"/>
      <c r="M94" s="1096"/>
      <c r="N94" s="1096"/>
      <c r="O94" s="1096"/>
      <c r="P94" s="1096"/>
      <c r="Q94" s="1096"/>
      <c r="R94" s="1096"/>
      <c r="S94" s="1096"/>
      <c r="T94" s="1096"/>
      <c r="U94" s="1096"/>
      <c r="V94" s="1096"/>
      <c r="W94" s="1096"/>
      <c r="X94" s="1096"/>
      <c r="Y94" s="1096"/>
      <c r="Z94" s="1096"/>
      <c r="AA94" s="1096"/>
      <c r="AB94" s="1096" t="s">
        <v>1364</v>
      </c>
      <c r="AC94" s="1114">
        <v>195.8</v>
      </c>
      <c r="AD94" s="1096" t="s">
        <v>1364</v>
      </c>
      <c r="AE94" s="1114">
        <v>185.7</v>
      </c>
      <c r="AF94" s="1096" t="s">
        <v>1364</v>
      </c>
      <c r="AG94" s="1114">
        <v>276.3</v>
      </c>
      <c r="AH94" s="1096" t="s">
        <v>1364</v>
      </c>
      <c r="AI94" s="1114">
        <v>202.4</v>
      </c>
      <c r="AJ94" s="1096" t="s">
        <v>1364</v>
      </c>
      <c r="AK94" s="1114">
        <v>182.5</v>
      </c>
      <c r="AL94" s="1096" t="s">
        <v>1364</v>
      </c>
      <c r="AM94" s="1114">
        <v>197.6</v>
      </c>
      <c r="AN94" s="1096"/>
      <c r="AO94" s="1096"/>
      <c r="AP94" s="1096"/>
      <c r="AQ94" s="1096"/>
      <c r="AR94" s="1096"/>
      <c r="AS94" s="1096"/>
      <c r="AT94" s="1096"/>
      <c r="AU94" s="1096"/>
      <c r="AV94" s="1096"/>
      <c r="AW94" s="1096"/>
      <c r="AX94" s="1096"/>
      <c r="AY94" s="1096"/>
    </row>
    <row r="95" spans="1:51" x14ac:dyDescent="0.45">
      <c r="A95" s="1096"/>
      <c r="B95" s="1096"/>
      <c r="C95" s="1096"/>
      <c r="D95" s="1096"/>
      <c r="E95" s="1096"/>
      <c r="F95" s="1096"/>
      <c r="G95" s="1096"/>
      <c r="H95" s="1096"/>
      <c r="I95" s="1096"/>
      <c r="J95" s="1096"/>
      <c r="K95" s="1096"/>
      <c r="L95" s="1096"/>
      <c r="M95" s="1096"/>
      <c r="N95" s="1096"/>
      <c r="O95" s="1096"/>
      <c r="P95" s="1096"/>
      <c r="Q95" s="1096"/>
      <c r="R95" s="1096"/>
      <c r="S95" s="1096"/>
      <c r="T95" s="1096"/>
      <c r="U95" s="1096"/>
      <c r="V95" s="1096"/>
      <c r="W95" s="1096"/>
      <c r="X95" s="1096"/>
      <c r="Y95" s="1096"/>
      <c r="Z95" s="1096"/>
      <c r="AA95" s="1096"/>
      <c r="AB95" s="1096" t="s">
        <v>1365</v>
      </c>
      <c r="AC95" s="1114">
        <v>206</v>
      </c>
      <c r="AD95" s="1096" t="s">
        <v>1365</v>
      </c>
      <c r="AE95" s="1114">
        <v>185.5</v>
      </c>
      <c r="AF95" s="1096" t="s">
        <v>1365</v>
      </c>
      <c r="AG95" s="1114">
        <v>277.60000000000002</v>
      </c>
      <c r="AH95" s="1096" t="s">
        <v>1365</v>
      </c>
      <c r="AI95" s="1114">
        <v>216</v>
      </c>
      <c r="AJ95" s="1096" t="s">
        <v>1365</v>
      </c>
      <c r="AK95" s="1114">
        <v>191.6</v>
      </c>
      <c r="AL95" s="1096" t="s">
        <v>1365</v>
      </c>
      <c r="AM95" s="1114">
        <v>199.3</v>
      </c>
      <c r="AN95" s="1096"/>
      <c r="AO95" s="1096"/>
      <c r="AP95" s="1096"/>
      <c r="AQ95" s="1096"/>
      <c r="AR95" s="1096"/>
      <c r="AS95" s="1096"/>
      <c r="AT95" s="1096"/>
      <c r="AU95" s="1096"/>
      <c r="AV95" s="1096"/>
      <c r="AW95" s="1096"/>
      <c r="AX95" s="1096"/>
      <c r="AY95" s="1096"/>
    </row>
    <row r="96" spans="1:51" x14ac:dyDescent="0.45">
      <c r="A96" s="1096"/>
      <c r="B96" s="1096"/>
      <c r="C96" s="1096"/>
      <c r="D96" s="1096"/>
      <c r="E96" s="1096"/>
      <c r="F96" s="1096"/>
      <c r="G96" s="1096"/>
      <c r="H96" s="1096"/>
      <c r="I96" s="1096"/>
      <c r="J96" s="1096"/>
      <c r="K96" s="1096"/>
      <c r="L96" s="1096"/>
      <c r="M96" s="1096"/>
      <c r="N96" s="1096"/>
      <c r="O96" s="1096"/>
      <c r="P96" s="1096"/>
      <c r="Q96" s="1096"/>
      <c r="R96" s="1096"/>
      <c r="S96" s="1096"/>
      <c r="T96" s="1096"/>
      <c r="U96" s="1096"/>
      <c r="V96" s="1096"/>
      <c r="W96" s="1096"/>
      <c r="X96" s="1096"/>
      <c r="Y96" s="1096"/>
      <c r="Z96" s="1096"/>
      <c r="AA96" s="1096"/>
      <c r="AB96" s="1096" t="s">
        <v>1366</v>
      </c>
      <c r="AC96" s="1114">
        <v>218.7</v>
      </c>
      <c r="AD96" s="1096" t="s">
        <v>1366</v>
      </c>
      <c r="AE96" s="1114">
        <v>198.8</v>
      </c>
      <c r="AF96" s="1096" t="s">
        <v>1366</v>
      </c>
      <c r="AG96" s="1114">
        <v>246.2</v>
      </c>
      <c r="AH96" s="1096" t="s">
        <v>1366</v>
      </c>
      <c r="AI96" s="1114">
        <v>237.7</v>
      </c>
      <c r="AJ96" s="1096" t="s">
        <v>1366</v>
      </c>
      <c r="AK96" s="1114">
        <v>202.1</v>
      </c>
      <c r="AL96" s="1096" t="s">
        <v>1366</v>
      </c>
      <c r="AM96" s="1114">
        <v>201.4</v>
      </c>
      <c r="AN96" s="1096"/>
      <c r="AO96" s="1096"/>
      <c r="AP96" s="1096"/>
      <c r="AQ96" s="1096"/>
      <c r="AR96" s="1096"/>
      <c r="AS96" s="1096"/>
      <c r="AT96" s="1096"/>
      <c r="AU96" s="1096"/>
      <c r="AV96" s="1096"/>
      <c r="AW96" s="1096"/>
      <c r="AX96" s="1096"/>
      <c r="AY96" s="1096"/>
    </row>
    <row r="97" spans="1:51" x14ac:dyDescent="0.45">
      <c r="A97" s="1096"/>
      <c r="B97" s="1096"/>
      <c r="C97" s="1096"/>
      <c r="D97" s="1096"/>
      <c r="E97" s="1096"/>
      <c r="F97" s="1096"/>
      <c r="G97" s="1096"/>
      <c r="H97" s="1096"/>
      <c r="I97" s="1096"/>
      <c r="J97" s="1096"/>
      <c r="K97" s="1096"/>
      <c r="L97" s="1096"/>
      <c r="M97" s="1096"/>
      <c r="N97" s="1096"/>
      <c r="O97" s="1096"/>
      <c r="P97" s="1096"/>
      <c r="Q97" s="1096"/>
      <c r="R97" s="1096"/>
      <c r="S97" s="1096"/>
      <c r="T97" s="1096"/>
      <c r="U97" s="1096"/>
      <c r="V97" s="1096"/>
      <c r="W97" s="1096"/>
      <c r="X97" s="1096"/>
      <c r="Y97" s="1096"/>
      <c r="Z97" s="1096"/>
      <c r="AA97" s="1096"/>
      <c r="AB97" s="1096" t="s">
        <v>1367</v>
      </c>
      <c r="AC97" s="1114">
        <v>223.1</v>
      </c>
      <c r="AD97" s="1096" t="s">
        <v>1367</v>
      </c>
      <c r="AE97" s="1114">
        <v>200.2</v>
      </c>
      <c r="AF97" s="1096" t="s">
        <v>1367</v>
      </c>
      <c r="AG97" s="1114">
        <v>240.8</v>
      </c>
      <c r="AH97" s="1096" t="s">
        <v>1367</v>
      </c>
      <c r="AI97" s="1114">
        <v>243.8</v>
      </c>
      <c r="AJ97" s="1096" t="s">
        <v>1367</v>
      </c>
      <c r="AK97" s="1114">
        <v>206.5</v>
      </c>
      <c r="AL97" s="1096" t="s">
        <v>1367</v>
      </c>
      <c r="AM97" s="1114">
        <v>203</v>
      </c>
      <c r="AN97" s="1096"/>
      <c r="AO97" s="1096"/>
      <c r="AP97" s="1096"/>
      <c r="AQ97" s="1096"/>
      <c r="AR97" s="1096"/>
      <c r="AS97" s="1096"/>
      <c r="AT97" s="1096"/>
      <c r="AU97" s="1096"/>
      <c r="AV97" s="1096"/>
      <c r="AW97" s="1096"/>
      <c r="AX97" s="1096"/>
      <c r="AY97" s="1096"/>
    </row>
    <row r="98" spans="1:51" x14ac:dyDescent="0.45">
      <c r="A98" s="1096"/>
      <c r="B98" s="1096"/>
      <c r="C98" s="1096"/>
      <c r="D98" s="1096"/>
      <c r="E98" s="1096"/>
      <c r="F98" s="1096"/>
      <c r="G98" s="1096"/>
      <c r="H98" s="1096"/>
      <c r="I98" s="1096"/>
      <c r="J98" s="1096"/>
      <c r="K98" s="1096"/>
      <c r="L98" s="1096"/>
      <c r="M98" s="1096"/>
      <c r="N98" s="1096"/>
      <c r="O98" s="1096"/>
      <c r="P98" s="1096"/>
      <c r="Q98" s="1096"/>
      <c r="R98" s="1096"/>
      <c r="S98" s="1096"/>
      <c r="T98" s="1096"/>
      <c r="U98" s="1096"/>
      <c r="V98" s="1096"/>
      <c r="W98" s="1096"/>
      <c r="X98" s="1096"/>
      <c r="Y98" s="1096"/>
      <c r="Z98" s="1096"/>
      <c r="AA98" s="1096"/>
      <c r="AB98" s="1096" t="s">
        <v>1368</v>
      </c>
      <c r="AC98" s="1114">
        <v>215.3</v>
      </c>
      <c r="AD98" s="1096" t="s">
        <v>1368</v>
      </c>
      <c r="AE98" s="1114">
        <v>199.4</v>
      </c>
      <c r="AF98" s="1096" t="s">
        <v>1368</v>
      </c>
      <c r="AG98" s="1114">
        <v>257.2</v>
      </c>
      <c r="AH98" s="1096" t="s">
        <v>1368</v>
      </c>
      <c r="AI98" s="1114">
        <v>228.4</v>
      </c>
      <c r="AJ98" s="1096" t="s">
        <v>1368</v>
      </c>
      <c r="AK98" s="1114">
        <v>202.4</v>
      </c>
      <c r="AL98" s="1096" t="s">
        <v>1368</v>
      </c>
      <c r="AM98" s="1114">
        <v>206.3</v>
      </c>
      <c r="AN98" s="1096"/>
      <c r="AO98" s="1096"/>
      <c r="AP98" s="1096"/>
      <c r="AQ98" s="1096"/>
      <c r="AR98" s="1096"/>
      <c r="AS98" s="1096"/>
      <c r="AT98" s="1096"/>
      <c r="AU98" s="1096"/>
      <c r="AV98" s="1096"/>
      <c r="AW98" s="1096"/>
      <c r="AX98" s="1096"/>
      <c r="AY98" s="1096"/>
    </row>
    <row r="99" spans="1:51" x14ac:dyDescent="0.45">
      <c r="A99" s="1096"/>
      <c r="B99" s="1096"/>
      <c r="C99" s="1096"/>
      <c r="D99" s="1096"/>
      <c r="E99" s="1096"/>
      <c r="F99" s="1096"/>
      <c r="G99" s="1096"/>
      <c r="H99" s="1096"/>
      <c r="I99" s="1096"/>
      <c r="J99" s="1096"/>
      <c r="K99" s="1096"/>
      <c r="L99" s="1096"/>
      <c r="M99" s="1096"/>
      <c r="N99" s="1096"/>
      <c r="O99" s="1096"/>
      <c r="P99" s="1096"/>
      <c r="Q99" s="1096"/>
      <c r="R99" s="1096"/>
      <c r="S99" s="1096"/>
      <c r="T99" s="1096"/>
      <c r="U99" s="1096"/>
      <c r="V99" s="1096"/>
      <c r="W99" s="1096"/>
      <c r="X99" s="1096"/>
      <c r="Y99" s="1096"/>
      <c r="Z99" s="1096"/>
      <c r="AA99" s="1096"/>
      <c r="AB99" s="1096" t="s">
        <v>1369</v>
      </c>
      <c r="AC99" s="1114">
        <v>206.8</v>
      </c>
      <c r="AD99" s="1096" t="s">
        <v>1369</v>
      </c>
      <c r="AE99" s="1114">
        <v>199.1</v>
      </c>
      <c r="AF99" s="1096" t="s">
        <v>1369</v>
      </c>
      <c r="AG99" s="1114">
        <v>268.60000000000002</v>
      </c>
      <c r="AH99" s="1096" t="s">
        <v>1369</v>
      </c>
      <c r="AI99" s="1114">
        <v>213.9</v>
      </c>
      <c r="AJ99" s="1096" t="s">
        <v>1369</v>
      </c>
      <c r="AK99" s="1114">
        <v>196.4</v>
      </c>
      <c r="AL99" s="1096" t="s">
        <v>1369</v>
      </c>
      <c r="AM99" s="1114">
        <v>207.1</v>
      </c>
      <c r="AN99" s="1096"/>
      <c r="AO99" s="1096"/>
      <c r="AP99" s="1096"/>
      <c r="AQ99" s="1096"/>
      <c r="AR99" s="1096"/>
      <c r="AS99" s="1096"/>
      <c r="AT99" s="1096"/>
      <c r="AU99" s="1096"/>
      <c r="AV99" s="1096"/>
      <c r="AW99" s="1096"/>
      <c r="AX99" s="1096"/>
      <c r="AY99" s="1096"/>
    </row>
    <row r="100" spans="1:51" x14ac:dyDescent="0.45">
      <c r="A100" s="1096"/>
      <c r="B100" s="1096"/>
      <c r="C100" s="1096"/>
      <c r="D100" s="1096"/>
      <c r="E100" s="1096"/>
      <c r="F100" s="1096"/>
      <c r="G100" s="1096"/>
      <c r="H100" s="1096"/>
      <c r="I100" s="1096"/>
      <c r="J100" s="1096"/>
      <c r="K100" s="1096"/>
      <c r="L100" s="1096"/>
      <c r="M100" s="1096"/>
      <c r="N100" s="1096"/>
      <c r="O100" s="1096"/>
      <c r="P100" s="1096"/>
      <c r="Q100" s="1096"/>
      <c r="R100" s="1096"/>
      <c r="S100" s="1096"/>
      <c r="T100" s="1096"/>
      <c r="U100" s="1096"/>
      <c r="V100" s="1096"/>
      <c r="W100" s="1096"/>
      <c r="X100" s="1096"/>
      <c r="Y100" s="1096"/>
      <c r="Z100" s="1096"/>
      <c r="AA100" s="1096"/>
      <c r="AB100" s="1096" t="s">
        <v>1370</v>
      </c>
      <c r="AC100" s="1114">
        <v>207.6</v>
      </c>
      <c r="AD100" s="1096" t="s">
        <v>1370</v>
      </c>
      <c r="AE100" s="1114">
        <v>210.6</v>
      </c>
      <c r="AF100" s="1096" t="s">
        <v>1370</v>
      </c>
      <c r="AG100" s="1114">
        <v>308.3</v>
      </c>
      <c r="AH100" s="1096" t="s">
        <v>1370</v>
      </c>
      <c r="AI100" s="1114">
        <v>211.1</v>
      </c>
      <c r="AJ100" s="1096" t="s">
        <v>1370</v>
      </c>
      <c r="AK100" s="1114">
        <v>195.8</v>
      </c>
      <c r="AL100" s="1096" t="s">
        <v>1370</v>
      </c>
      <c r="AM100" s="1114">
        <v>209.8</v>
      </c>
      <c r="AN100" s="1096"/>
      <c r="AO100" s="1096"/>
      <c r="AP100" s="1096"/>
      <c r="AQ100" s="1096"/>
      <c r="AR100" s="1096"/>
      <c r="AS100" s="1096"/>
      <c r="AT100" s="1096"/>
      <c r="AU100" s="1096"/>
      <c r="AV100" s="1096"/>
      <c r="AW100" s="1096"/>
      <c r="AX100" s="1096"/>
      <c r="AY100" s="1096"/>
    </row>
    <row r="101" spans="1:51" x14ac:dyDescent="0.45">
      <c r="A101" s="1096">
        <v>1947</v>
      </c>
      <c r="B101" s="138" t="s">
        <v>1371</v>
      </c>
      <c r="C101" s="1113">
        <f>[7]LRAll!C92</f>
        <v>7.330643258778891</v>
      </c>
      <c r="D101" s="1113">
        <f>[7]LRAll!I92</f>
        <v>4.4873504457791658</v>
      </c>
      <c r="E101" s="1096"/>
      <c r="F101" s="1114">
        <f>D101/C101*100</f>
        <v>61.213597325245516</v>
      </c>
      <c r="G101" s="1096"/>
      <c r="H101" s="1096"/>
      <c r="I101" s="1096"/>
      <c r="J101" s="1096"/>
      <c r="K101" s="1096"/>
      <c r="L101" s="1096"/>
      <c r="M101" s="1096"/>
      <c r="N101" s="1096"/>
      <c r="O101" s="1096"/>
      <c r="P101" s="1096"/>
      <c r="Q101" s="1096"/>
      <c r="R101" s="1096"/>
      <c r="S101" s="1096"/>
      <c r="T101" s="1096"/>
      <c r="U101" s="1096"/>
      <c r="V101" s="1096"/>
      <c r="W101" s="1096"/>
      <c r="X101" s="1096"/>
      <c r="Y101" s="1096"/>
      <c r="Z101" s="1096"/>
      <c r="AA101" s="1096"/>
      <c r="AB101" s="1096" t="s">
        <v>1372</v>
      </c>
      <c r="AC101" s="1114">
        <v>224.9</v>
      </c>
      <c r="AD101" s="1096" t="s">
        <v>1372</v>
      </c>
      <c r="AE101" s="1114">
        <v>218.2</v>
      </c>
      <c r="AF101" s="1096" t="s">
        <v>1372</v>
      </c>
      <c r="AG101" s="1114">
        <v>348.8</v>
      </c>
      <c r="AH101" s="1096" t="s">
        <v>1372</v>
      </c>
      <c r="AI101" s="1114">
        <v>230.2</v>
      </c>
      <c r="AJ101" s="1096" t="s">
        <v>1372</v>
      </c>
      <c r="AK101" s="1114">
        <v>210.5</v>
      </c>
      <c r="AL101" s="1096" t="s">
        <v>1372</v>
      </c>
      <c r="AM101" s="1114">
        <v>211.1</v>
      </c>
      <c r="AN101" s="1096"/>
      <c r="AO101" s="1096"/>
      <c r="AP101" s="1096"/>
      <c r="AQ101" s="1096"/>
      <c r="AR101" s="1096"/>
      <c r="AS101" s="1096"/>
      <c r="AT101" s="1096"/>
      <c r="AU101" s="1096"/>
      <c r="AV101" s="1096"/>
      <c r="AW101" s="1096"/>
      <c r="AX101" s="1096"/>
      <c r="AY101" s="1096"/>
    </row>
    <row r="102" spans="1:51" x14ac:dyDescent="0.45">
      <c r="A102" s="1096">
        <v>1947</v>
      </c>
      <c r="B102" s="1096" t="s">
        <v>1373</v>
      </c>
      <c r="C102" s="1113">
        <f>[7]LRAll!C93</f>
        <v>7.3819577615903418</v>
      </c>
      <c r="D102" s="1113">
        <f>[7]LRAll!I93</f>
        <v>4.4918377962249441</v>
      </c>
      <c r="E102" s="1096"/>
      <c r="F102" s="1114">
        <f t="shared" ref="F102:F165" si="6">D102/C102*100</f>
        <v>60.848868840685952</v>
      </c>
      <c r="G102" s="1096"/>
      <c r="H102" s="1096"/>
      <c r="I102" s="1096"/>
      <c r="J102" s="1096"/>
      <c r="K102" s="1096"/>
      <c r="L102" s="1096"/>
      <c r="M102" s="1096"/>
      <c r="N102" s="1096"/>
      <c r="O102" s="1096"/>
      <c r="P102" s="1096"/>
      <c r="Q102" s="1096"/>
      <c r="R102" s="1096"/>
      <c r="S102" s="1096"/>
      <c r="T102" s="1096"/>
      <c r="U102" s="1096"/>
      <c r="V102" s="1096"/>
      <c r="W102" s="1096"/>
      <c r="X102" s="1096"/>
      <c r="Y102" s="1096"/>
      <c r="Z102" s="1096"/>
      <c r="AA102" s="1096"/>
      <c r="AB102" s="1096" t="s">
        <v>1374</v>
      </c>
      <c r="AC102" s="1114">
        <v>241.3</v>
      </c>
      <c r="AD102" s="1096" t="s">
        <v>1374</v>
      </c>
      <c r="AE102" s="1114">
        <v>224.2</v>
      </c>
      <c r="AF102" s="1096" t="s">
        <v>1374</v>
      </c>
      <c r="AG102" s="1114">
        <v>433.1</v>
      </c>
      <c r="AH102" s="1096" t="s">
        <v>1374</v>
      </c>
      <c r="AI102" s="1114">
        <v>244.4</v>
      </c>
      <c r="AJ102" s="1096" t="s">
        <v>1374</v>
      </c>
      <c r="AK102" s="1114">
        <v>222</v>
      </c>
      <c r="AL102" s="1096" t="s">
        <v>1374</v>
      </c>
      <c r="AM102" s="1114">
        <v>215.3</v>
      </c>
      <c r="AN102" s="1096"/>
      <c r="AO102" s="1096"/>
      <c r="AP102" s="1096"/>
      <c r="AQ102" s="1096"/>
      <c r="AR102" s="1096"/>
      <c r="AS102" s="1096"/>
      <c r="AT102" s="1096"/>
      <c r="AU102" s="1096"/>
      <c r="AV102" s="1096"/>
      <c r="AW102" s="1096"/>
      <c r="AX102" s="1096"/>
      <c r="AY102" s="1096"/>
    </row>
    <row r="103" spans="1:51" x14ac:dyDescent="0.45">
      <c r="A103" s="1096">
        <v>1947</v>
      </c>
      <c r="B103" s="138" t="s">
        <v>1375</v>
      </c>
      <c r="C103" s="1113">
        <f>[7]LRAll!C94</f>
        <v>7.3379739020376684</v>
      </c>
      <c r="D103" s="1113">
        <f>[7]LRAll!I94</f>
        <v>4.4873504457791658</v>
      </c>
      <c r="E103" s="1096"/>
      <c r="F103" s="1114">
        <f t="shared" si="6"/>
        <v>61.152444880365167</v>
      </c>
      <c r="G103" s="1096"/>
      <c r="H103" s="1096"/>
      <c r="I103" s="1096"/>
      <c r="J103" s="1096"/>
      <c r="K103" s="1096"/>
      <c r="L103" s="1096"/>
      <c r="M103" s="1096"/>
      <c r="N103" s="1096"/>
      <c r="O103" s="1096"/>
      <c r="P103" s="1096"/>
      <c r="Q103" s="1096"/>
      <c r="R103" s="1096"/>
      <c r="S103" s="1096"/>
      <c r="T103" s="1096"/>
      <c r="U103" s="1096"/>
      <c r="V103" s="1096"/>
      <c r="W103" s="1096"/>
      <c r="X103" s="1096"/>
      <c r="Y103" s="1096"/>
      <c r="Z103" s="1096"/>
      <c r="AA103" s="1096"/>
      <c r="AB103" s="1096" t="s">
        <v>1376</v>
      </c>
      <c r="AC103" s="1114">
        <v>262.89999999999998</v>
      </c>
      <c r="AD103" s="1096" t="s">
        <v>1376</v>
      </c>
      <c r="AE103" s="1114">
        <v>240.2</v>
      </c>
      <c r="AF103" s="1096" t="s">
        <v>1376</v>
      </c>
      <c r="AG103" s="1114">
        <v>433.4</v>
      </c>
      <c r="AH103" s="1096" t="s">
        <v>1376</v>
      </c>
      <c r="AI103" s="1114">
        <v>279.5</v>
      </c>
      <c r="AJ103" s="1096" t="s">
        <v>1376</v>
      </c>
      <c r="AK103" s="1114">
        <v>236.3</v>
      </c>
      <c r="AL103" s="1096" t="s">
        <v>1376</v>
      </c>
      <c r="AM103" s="1114">
        <v>217.4</v>
      </c>
      <c r="AN103" s="1096"/>
      <c r="AO103" s="1096"/>
      <c r="AP103" s="1096"/>
      <c r="AQ103" s="1096"/>
      <c r="AR103" s="1096"/>
      <c r="AS103" s="1096"/>
      <c r="AT103" s="1096"/>
      <c r="AU103" s="1096"/>
      <c r="AV103" s="1096"/>
      <c r="AW103" s="1096"/>
      <c r="AX103" s="1096"/>
      <c r="AY103" s="1096"/>
    </row>
    <row r="104" spans="1:51" x14ac:dyDescent="0.45">
      <c r="A104" s="1096">
        <v>1947</v>
      </c>
      <c r="B104" s="1096" t="s">
        <v>1377</v>
      </c>
      <c r="C104" s="1113">
        <f>[7]LRAll!C95</f>
        <v>7.3746271183315644</v>
      </c>
      <c r="D104" s="1113">
        <f>[7]LRAll!I95</f>
        <v>4.6488950618272158</v>
      </c>
      <c r="E104" s="1096"/>
      <c r="F104" s="1114">
        <f t="shared" si="6"/>
        <v>63.039052513871127</v>
      </c>
      <c r="G104" s="1096"/>
      <c r="H104" s="1096"/>
      <c r="I104" s="1096"/>
      <c r="J104" s="1096"/>
      <c r="K104" s="1096"/>
      <c r="L104" s="1096"/>
      <c r="M104" s="1096"/>
      <c r="N104" s="1096"/>
      <c r="O104" s="1096"/>
      <c r="P104" s="1096"/>
      <c r="Q104" s="1096"/>
      <c r="R104" s="1096"/>
      <c r="S104" s="1096"/>
      <c r="T104" s="1096"/>
      <c r="U104" s="1096"/>
      <c r="V104" s="1096"/>
      <c r="W104" s="1096"/>
      <c r="X104" s="1096"/>
      <c r="Y104" s="1096"/>
      <c r="Z104" s="1096"/>
      <c r="AA104" s="1096"/>
      <c r="AB104" s="1096" t="s">
        <v>1378</v>
      </c>
      <c r="AC104" s="1114">
        <v>285.39999999999998</v>
      </c>
      <c r="AD104" s="1096" t="s">
        <v>1378</v>
      </c>
      <c r="AE104" s="1114">
        <v>281</v>
      </c>
      <c r="AF104" s="1096" t="s">
        <v>1378</v>
      </c>
      <c r="AG104" s="1114">
        <v>336.2</v>
      </c>
      <c r="AH104" s="1096" t="s">
        <v>1378</v>
      </c>
      <c r="AI104" s="1114">
        <v>320.39999999999998</v>
      </c>
      <c r="AJ104" s="1096" t="s">
        <v>1378</v>
      </c>
      <c r="AK104" s="1114">
        <v>257.2</v>
      </c>
      <c r="AL104" s="1096" t="s">
        <v>1378</v>
      </c>
      <c r="AM104" s="1114">
        <v>215.5</v>
      </c>
      <c r="AN104" s="1096"/>
      <c r="AO104" s="1096"/>
      <c r="AP104" s="1096"/>
      <c r="AQ104" s="1096"/>
      <c r="AR104" s="1096"/>
      <c r="AS104" s="1096"/>
      <c r="AT104" s="1096"/>
      <c r="AU104" s="1096"/>
      <c r="AV104" s="1096"/>
      <c r="AW104" s="1096"/>
      <c r="AX104" s="1096"/>
      <c r="AY104" s="1096"/>
    </row>
    <row r="105" spans="1:51" x14ac:dyDescent="0.45">
      <c r="A105" s="1096">
        <v>1947</v>
      </c>
      <c r="B105" s="138" t="s">
        <v>1379</v>
      </c>
      <c r="C105" s="1113">
        <f>[7]LRAll!C96</f>
        <v>7.4259416211430151</v>
      </c>
      <c r="D105" s="1113">
        <f>[7]LRAll!I96</f>
        <v>4.7610788229716947</v>
      </c>
      <c r="E105" s="1096"/>
      <c r="F105" s="1114">
        <f t="shared" si="6"/>
        <v>64.114142904329213</v>
      </c>
      <c r="G105" s="1096"/>
      <c r="H105" s="1096"/>
      <c r="I105" s="1096"/>
      <c r="J105" s="1096"/>
      <c r="K105" s="1096"/>
      <c r="L105" s="1096"/>
      <c r="M105" s="1096"/>
      <c r="N105" s="1096"/>
      <c r="O105" s="1096"/>
      <c r="P105" s="1096"/>
      <c r="Q105" s="1096"/>
      <c r="R105" s="1096"/>
      <c r="S105" s="1096"/>
      <c r="T105" s="1096"/>
      <c r="U105" s="1096"/>
      <c r="V105" s="1096"/>
      <c r="W105" s="1096"/>
      <c r="X105" s="1096"/>
      <c r="Y105" s="1096"/>
      <c r="Z105" s="1096"/>
      <c r="AA105" s="1096"/>
      <c r="AB105" s="1096" t="s">
        <v>1380</v>
      </c>
      <c r="AC105" s="1114">
        <v>280.60000000000002</v>
      </c>
      <c r="AD105" s="1096" t="s">
        <v>1380</v>
      </c>
      <c r="AE105" s="1114">
        <v>286</v>
      </c>
      <c r="AF105" s="1096" t="s">
        <v>1380</v>
      </c>
      <c r="AG105" s="1114">
        <v>287.8</v>
      </c>
      <c r="AH105" s="1096" t="s">
        <v>1380</v>
      </c>
      <c r="AI105" s="1114">
        <v>315.60000000000002</v>
      </c>
      <c r="AJ105" s="1096" t="s">
        <v>1380</v>
      </c>
      <c r="AK105" s="1114">
        <v>256.2</v>
      </c>
      <c r="AL105" s="1096" t="s">
        <v>1380</v>
      </c>
      <c r="AM105" s="1114">
        <v>210.9</v>
      </c>
      <c r="AN105" s="1096"/>
      <c r="AO105" s="1096"/>
      <c r="AP105" s="1096"/>
      <c r="AQ105" s="1096"/>
      <c r="AR105" s="1096"/>
      <c r="AS105" s="1096"/>
      <c r="AT105" s="1096"/>
      <c r="AU105" s="1096"/>
      <c r="AV105" s="1096"/>
      <c r="AW105" s="1096"/>
      <c r="AX105" s="1096"/>
      <c r="AY105" s="1096"/>
    </row>
    <row r="106" spans="1:51" x14ac:dyDescent="0.45">
      <c r="A106" s="1096">
        <v>1947</v>
      </c>
      <c r="B106" s="1096" t="s">
        <v>1381</v>
      </c>
      <c r="C106" s="1113">
        <f>[7]LRAll!C97</f>
        <v>7.5798851295773728</v>
      </c>
      <c r="D106" s="1113">
        <f>[7]LRAll!I97</f>
        <v>4.7969776265379283</v>
      </c>
      <c r="E106" s="1096"/>
      <c r="F106" s="1114">
        <f t="shared" si="6"/>
        <v>63.285624314011081</v>
      </c>
      <c r="G106" s="1096"/>
      <c r="H106" s="1096"/>
      <c r="I106" s="1096"/>
      <c r="J106" s="1096"/>
      <c r="K106" s="1096"/>
      <c r="L106" s="1096"/>
      <c r="M106" s="1096"/>
      <c r="N106" s="1096"/>
      <c r="O106" s="1096"/>
      <c r="P106" s="1096"/>
      <c r="Q106" s="1096"/>
      <c r="R106" s="1096"/>
      <c r="S106" s="1096"/>
      <c r="T106" s="1096"/>
      <c r="U106" s="1096"/>
      <c r="V106" s="1096"/>
      <c r="W106" s="1096"/>
      <c r="X106" s="1096"/>
      <c r="Y106" s="1096"/>
      <c r="Z106" s="1096"/>
      <c r="AA106" s="1096"/>
      <c r="AB106" s="1096" t="s">
        <v>1382</v>
      </c>
      <c r="AC106" s="1114">
        <v>266.3</v>
      </c>
      <c r="AD106" s="1096" t="s">
        <v>1382</v>
      </c>
      <c r="AE106" s="1114">
        <v>282.10000000000002</v>
      </c>
      <c r="AF106" s="1096" t="s">
        <v>1382</v>
      </c>
      <c r="AG106" s="1114">
        <v>288.2</v>
      </c>
      <c r="AH106" s="1096" t="s">
        <v>1382</v>
      </c>
      <c r="AI106" s="1114">
        <v>303.10000000000002</v>
      </c>
      <c r="AJ106" s="1096" t="s">
        <v>1382</v>
      </c>
      <c r="AK106" s="1114">
        <v>238.8</v>
      </c>
      <c r="AL106" s="1096" t="s">
        <v>1382</v>
      </c>
      <c r="AM106" s="1114">
        <v>212.6</v>
      </c>
      <c r="AN106" s="1096"/>
      <c r="AO106" s="1096"/>
      <c r="AP106" s="1096"/>
      <c r="AQ106" s="1096"/>
      <c r="AR106" s="1096"/>
      <c r="AS106" s="1096"/>
      <c r="AT106" s="1096"/>
      <c r="AU106" s="1096"/>
      <c r="AV106" s="1096"/>
      <c r="AW106" s="1096"/>
      <c r="AX106" s="1096"/>
      <c r="AY106" s="1096"/>
    </row>
    <row r="107" spans="1:51" x14ac:dyDescent="0.45">
      <c r="A107" s="1096">
        <v>1947</v>
      </c>
      <c r="B107" s="138" t="s">
        <v>1383</v>
      </c>
      <c r="C107" s="1113">
        <f>[7]LRAll!C98</f>
        <v>7.6018770593537095</v>
      </c>
      <c r="D107" s="1113">
        <f>[7]LRAll!I98</f>
        <v>4.8059523274294866</v>
      </c>
      <c r="E107" s="1096"/>
      <c r="F107" s="1114">
        <f t="shared" si="6"/>
        <v>63.220600516237177</v>
      </c>
      <c r="G107" s="1096"/>
      <c r="H107" s="1096"/>
      <c r="I107" s="1096"/>
      <c r="J107" s="1096"/>
      <c r="K107" s="1096"/>
      <c r="L107" s="1096"/>
      <c r="M107" s="1096"/>
      <c r="N107" s="1096"/>
      <c r="O107" s="1096"/>
      <c r="P107" s="1096"/>
      <c r="Q107" s="1096"/>
      <c r="R107" s="1096"/>
      <c r="S107" s="1096"/>
      <c r="T107" s="1096"/>
      <c r="U107" s="1096"/>
      <c r="V107" s="1096"/>
      <c r="W107" s="1096"/>
      <c r="X107" s="1096"/>
      <c r="Y107" s="1096"/>
      <c r="Z107" s="1096"/>
      <c r="AA107" s="1096"/>
      <c r="AB107" s="1096" t="s">
        <v>1384</v>
      </c>
      <c r="AC107" s="1114">
        <v>265</v>
      </c>
      <c r="AD107" s="1096" t="s">
        <v>1384</v>
      </c>
      <c r="AE107" s="1114">
        <v>278.10000000000002</v>
      </c>
      <c r="AF107" s="1096" t="s">
        <v>1384</v>
      </c>
      <c r="AG107" s="1114">
        <v>292.60000000000002</v>
      </c>
      <c r="AH107" s="1096" t="s">
        <v>1384</v>
      </c>
      <c r="AI107" s="1114">
        <v>301.8</v>
      </c>
      <c r="AJ107" s="1096" t="s">
        <v>1384</v>
      </c>
      <c r="AK107" s="1114">
        <v>237</v>
      </c>
      <c r="AL107" s="1096" t="s">
        <v>1384</v>
      </c>
      <c r="AM107" s="1114">
        <v>214.4</v>
      </c>
      <c r="AN107" s="1096"/>
      <c r="AO107" s="1096"/>
      <c r="AP107" s="1096"/>
      <c r="AQ107" s="1096"/>
      <c r="AR107" s="1096"/>
      <c r="AS107" s="1096"/>
      <c r="AT107" s="1096"/>
      <c r="AU107" s="1096"/>
      <c r="AV107" s="1096"/>
      <c r="AW107" s="1096"/>
      <c r="AX107" s="1096"/>
      <c r="AY107" s="1096"/>
    </row>
    <row r="108" spans="1:51" x14ac:dyDescent="0.45">
      <c r="A108" s="1096">
        <v>1948</v>
      </c>
      <c r="B108" s="1096" t="s">
        <v>1385</v>
      </c>
      <c r="C108" s="1113">
        <f>[7]LRAll!C99</f>
        <v>7.6385302756476037</v>
      </c>
      <c r="D108" s="1113">
        <f>[7]LRAll!I99</f>
        <v>4.9001866867908488</v>
      </c>
      <c r="E108" s="1096"/>
      <c r="F108" s="1114">
        <f t="shared" si="6"/>
        <v>64.150910056783204</v>
      </c>
      <c r="G108" s="1096"/>
      <c r="H108" s="1096"/>
      <c r="I108" s="1096"/>
      <c r="J108" s="1096"/>
      <c r="K108" s="1096"/>
      <c r="L108" s="1096"/>
      <c r="M108" s="1096"/>
      <c r="N108" s="1096"/>
      <c r="O108" s="1096"/>
      <c r="P108" s="1096"/>
      <c r="Q108" s="1096"/>
      <c r="R108" s="1096"/>
      <c r="S108" s="1096"/>
      <c r="T108" s="1096"/>
      <c r="U108" s="1096"/>
      <c r="V108" s="1096"/>
      <c r="W108" s="1096"/>
      <c r="X108" s="1096"/>
      <c r="Y108" s="1096"/>
      <c r="Z108" s="1096"/>
      <c r="AA108" s="1096"/>
      <c r="AB108" s="1096" t="s">
        <v>1386</v>
      </c>
      <c r="AC108" s="1114">
        <v>265.5</v>
      </c>
      <c r="AD108" s="1096" t="s">
        <v>1386</v>
      </c>
      <c r="AE108" s="1114">
        <v>286.3</v>
      </c>
      <c r="AF108" s="1096" t="s">
        <v>1386</v>
      </c>
      <c r="AG108" s="1114">
        <v>321</v>
      </c>
      <c r="AH108" s="1096" t="s">
        <v>1386</v>
      </c>
      <c r="AI108" s="1114">
        <v>301.3</v>
      </c>
      <c r="AJ108" s="1096" t="s">
        <v>1386</v>
      </c>
      <c r="AK108" s="1114">
        <v>236.2</v>
      </c>
      <c r="AL108" s="1096" t="s">
        <v>1386</v>
      </c>
      <c r="AM108" s="1114">
        <v>216.9</v>
      </c>
      <c r="AN108" s="1096"/>
      <c r="AO108" s="1096"/>
      <c r="AP108" s="1096"/>
      <c r="AQ108" s="1096"/>
      <c r="AR108" s="1096"/>
      <c r="AS108" s="1096"/>
      <c r="AT108" s="1096"/>
      <c r="AU108" s="1096"/>
      <c r="AV108" s="1096"/>
      <c r="AW108" s="1096"/>
      <c r="AX108" s="1096"/>
      <c r="AY108" s="1096"/>
    </row>
    <row r="109" spans="1:51" x14ac:dyDescent="0.45">
      <c r="A109" s="1096">
        <v>1948</v>
      </c>
      <c r="B109" s="138" t="s">
        <v>1387</v>
      </c>
      <c r="C109" s="1113">
        <f>[7]LRAll!C100</f>
        <v>7.7778124975644012</v>
      </c>
      <c r="D109" s="1113">
        <f>[7]LRAll!I100</f>
        <v>4.9405728408028615</v>
      </c>
      <c r="E109" s="1096"/>
      <c r="F109" s="1114">
        <f t="shared" si="6"/>
        <v>63.521367252681735</v>
      </c>
      <c r="G109" s="1096"/>
      <c r="H109" s="1096"/>
      <c r="I109" s="1096"/>
      <c r="J109" s="1096"/>
      <c r="K109" s="1096"/>
      <c r="L109" s="1096"/>
      <c r="M109" s="1096"/>
      <c r="N109" s="1096"/>
      <c r="O109" s="1096"/>
      <c r="P109" s="1096"/>
      <c r="Q109" s="1096"/>
      <c r="R109" s="1096"/>
      <c r="S109" s="1096"/>
      <c r="T109" s="1096"/>
      <c r="U109" s="1096"/>
      <c r="V109" s="1096"/>
      <c r="W109" s="1096"/>
      <c r="X109" s="1096"/>
      <c r="Y109" s="1096"/>
      <c r="Z109" s="1096"/>
      <c r="AA109" s="1096"/>
      <c r="AB109" s="1096" t="s">
        <v>1388</v>
      </c>
      <c r="AC109" s="1114">
        <v>264.39999999999998</v>
      </c>
      <c r="AD109" s="1096" t="s">
        <v>1388</v>
      </c>
      <c r="AE109" s="1114">
        <v>287.10000000000002</v>
      </c>
      <c r="AF109" s="1096" t="s">
        <v>1388</v>
      </c>
      <c r="AG109" s="1114">
        <v>366.8</v>
      </c>
      <c r="AH109" s="1096" t="s">
        <v>1388</v>
      </c>
      <c r="AI109" s="1114">
        <v>295.5</v>
      </c>
      <c r="AJ109" s="1096" t="s">
        <v>1388</v>
      </c>
      <c r="AK109" s="1114">
        <v>236.2</v>
      </c>
      <c r="AL109" s="1096" t="s">
        <v>1388</v>
      </c>
      <c r="AM109" s="1114">
        <v>219.3</v>
      </c>
      <c r="AN109" s="1096"/>
      <c r="AO109" s="1096"/>
      <c r="AP109" s="1096"/>
      <c r="AQ109" s="1096"/>
      <c r="AR109" s="1096"/>
      <c r="AS109" s="1096"/>
      <c r="AT109" s="1096"/>
      <c r="AU109" s="1096"/>
      <c r="AV109" s="1096"/>
      <c r="AW109" s="1096"/>
      <c r="AX109" s="1096"/>
      <c r="AY109" s="1096"/>
    </row>
    <row r="110" spans="1:51" x14ac:dyDescent="0.45">
      <c r="A110" s="1096">
        <v>1948</v>
      </c>
      <c r="B110" s="1096" t="s">
        <v>1389</v>
      </c>
      <c r="C110" s="1113">
        <f>[7]LRAll!C101</f>
        <v>7.7998044273407396</v>
      </c>
      <c r="D110" s="1113">
        <f>[7]LRAll!I101</f>
        <v>4.9405728408028615</v>
      </c>
      <c r="E110" s="1096"/>
      <c r="F110" s="1114">
        <f t="shared" si="6"/>
        <v>63.342265653285068</v>
      </c>
      <c r="G110" s="1096"/>
      <c r="H110" s="1096"/>
      <c r="I110" s="1096"/>
      <c r="J110" s="1096"/>
      <c r="K110" s="1096"/>
      <c r="L110" s="1096"/>
      <c r="M110" s="1096"/>
      <c r="N110" s="1096"/>
      <c r="O110" s="1096"/>
      <c r="P110" s="1096"/>
      <c r="Q110" s="1096"/>
      <c r="R110" s="1096"/>
      <c r="S110" s="1096"/>
      <c r="T110" s="1096"/>
      <c r="U110" s="1096"/>
      <c r="V110" s="1096"/>
      <c r="W110" s="1096"/>
      <c r="X110" s="1096"/>
      <c r="Y110" s="1096"/>
      <c r="Z110" s="1096"/>
      <c r="AA110" s="1096"/>
      <c r="AB110" s="1096" t="s">
        <v>1390</v>
      </c>
      <c r="AC110" s="1114">
        <v>260.10000000000002</v>
      </c>
      <c r="AD110" s="1096" t="s">
        <v>1390</v>
      </c>
      <c r="AE110" s="1114">
        <v>281.60000000000002</v>
      </c>
      <c r="AF110" s="1096" t="s">
        <v>1390</v>
      </c>
      <c r="AG110" s="1114">
        <v>376.4</v>
      </c>
      <c r="AH110" s="1096" t="s">
        <v>1390</v>
      </c>
      <c r="AI110" s="1114">
        <v>283.2</v>
      </c>
      <c r="AJ110" s="1096" t="s">
        <v>1390</v>
      </c>
      <c r="AK110" s="1114">
        <v>235.8</v>
      </c>
      <c r="AL110" s="1096" t="s">
        <v>1390</v>
      </c>
      <c r="AM110" s="1114">
        <v>223.5</v>
      </c>
      <c r="AN110" s="1096"/>
      <c r="AO110" s="1096"/>
      <c r="AP110" s="1096"/>
      <c r="AQ110" s="1096"/>
      <c r="AR110" s="1096"/>
      <c r="AS110" s="1096"/>
      <c r="AT110" s="1096"/>
      <c r="AU110" s="1096"/>
      <c r="AV110" s="1096"/>
      <c r="AW110" s="1096"/>
      <c r="AX110" s="1096"/>
      <c r="AY110" s="1096"/>
    </row>
    <row r="111" spans="1:51" x14ac:dyDescent="0.45">
      <c r="A111" s="1096">
        <v>1948</v>
      </c>
      <c r="B111" s="138" t="s">
        <v>1391</v>
      </c>
      <c r="C111" s="1113">
        <f>[7]LRAll!C102</f>
        <v>7.9097640762224231</v>
      </c>
      <c r="D111" s="1113">
        <f>[7]LRAll!I102</f>
        <v>4.9226234390197448</v>
      </c>
      <c r="E111" s="1096"/>
      <c r="F111" s="1114">
        <f t="shared" si="6"/>
        <v>62.234769477103178</v>
      </c>
      <c r="G111" s="1096"/>
      <c r="H111" s="1096"/>
      <c r="I111" s="1096"/>
      <c r="J111" s="1096"/>
      <c r="K111" s="1096"/>
      <c r="L111" s="1096"/>
      <c r="M111" s="1096"/>
      <c r="N111" s="1096"/>
      <c r="O111" s="1096"/>
      <c r="P111" s="1096"/>
      <c r="Q111" s="1096"/>
      <c r="R111" s="1096"/>
      <c r="S111" s="1096"/>
      <c r="T111" s="1096"/>
      <c r="U111" s="1096"/>
      <c r="V111" s="1096"/>
      <c r="W111" s="1096"/>
      <c r="X111" s="1096"/>
      <c r="Y111" s="1096"/>
      <c r="Z111" s="1096"/>
      <c r="AA111" s="1096"/>
      <c r="AB111" s="1096" t="s">
        <v>1392</v>
      </c>
      <c r="AC111" s="1114">
        <v>259.10000000000002</v>
      </c>
      <c r="AD111" s="1096" t="s">
        <v>1392</v>
      </c>
      <c r="AE111" s="1114">
        <v>276.3</v>
      </c>
      <c r="AF111" s="1096" t="s">
        <v>1392</v>
      </c>
      <c r="AG111" s="1114">
        <v>363.3</v>
      </c>
      <c r="AH111" s="1096" t="s">
        <v>1392</v>
      </c>
      <c r="AI111" s="1114">
        <v>283.2</v>
      </c>
      <c r="AJ111" s="1096" t="s">
        <v>1392</v>
      </c>
      <c r="AK111" s="1114">
        <v>235.8</v>
      </c>
      <c r="AL111" s="1096" t="s">
        <v>1392</v>
      </c>
      <c r="AM111" s="1114">
        <v>224.5</v>
      </c>
      <c r="AN111" s="1096"/>
      <c r="AO111" s="1096"/>
      <c r="AP111" s="1096"/>
      <c r="AQ111" s="1096"/>
      <c r="AR111" s="1096"/>
      <c r="AS111" s="1096"/>
      <c r="AT111" s="1096"/>
      <c r="AU111" s="1096"/>
      <c r="AV111" s="1096"/>
      <c r="AW111" s="1096"/>
      <c r="AX111" s="1096"/>
      <c r="AY111" s="1096"/>
    </row>
    <row r="112" spans="1:51" x14ac:dyDescent="0.45">
      <c r="A112" s="1096">
        <v>1948</v>
      </c>
      <c r="B112" s="1096" t="s">
        <v>1393</v>
      </c>
      <c r="C112" s="1113">
        <f>[7]LRAll!C103</f>
        <v>7.902433432963643</v>
      </c>
      <c r="D112" s="1113">
        <f>[7]LRAll!I103</f>
        <v>4.9450601912486407</v>
      </c>
      <c r="E112" s="1096"/>
      <c r="F112" s="1114">
        <f t="shared" si="6"/>
        <v>62.576423239722232</v>
      </c>
      <c r="G112" s="1096"/>
      <c r="H112" s="1096"/>
      <c r="I112" s="1096"/>
      <c r="J112" s="1096"/>
      <c r="K112" s="1096"/>
      <c r="L112" s="1096"/>
      <c r="M112" s="1096"/>
      <c r="N112" s="1096"/>
      <c r="O112" s="1096"/>
      <c r="P112" s="1096"/>
      <c r="Q112" s="1096"/>
      <c r="R112" s="1096"/>
      <c r="S112" s="1096"/>
      <c r="T112" s="1096"/>
      <c r="U112" s="1096"/>
      <c r="V112" s="1096"/>
      <c r="W112" s="1096"/>
      <c r="X112" s="1096"/>
      <c r="Y112" s="1096"/>
      <c r="Z112" s="1096"/>
      <c r="AA112" s="1096"/>
      <c r="AB112" s="1096" t="s">
        <v>1394</v>
      </c>
      <c r="AC112" s="1114">
        <v>264.5</v>
      </c>
      <c r="AD112" s="1096" t="s">
        <v>1394</v>
      </c>
      <c r="AE112" s="1114">
        <v>287.7</v>
      </c>
      <c r="AF112" s="1096" t="s">
        <v>1394</v>
      </c>
      <c r="AG112" s="1114">
        <v>410.2</v>
      </c>
      <c r="AH112" s="1096" t="s">
        <v>1394</v>
      </c>
      <c r="AI112" s="1114">
        <v>287.7</v>
      </c>
      <c r="AJ112" s="1096" t="s">
        <v>1394</v>
      </c>
      <c r="AK112" s="1114">
        <v>236.2</v>
      </c>
      <c r="AL112" s="1096" t="s">
        <v>1394</v>
      </c>
      <c r="AM112" s="1114">
        <v>227</v>
      </c>
      <c r="AN112" s="1096"/>
      <c r="AO112" s="1096"/>
      <c r="AP112" s="1096"/>
      <c r="AQ112" s="1096"/>
      <c r="AR112" s="1096"/>
      <c r="AS112" s="1096"/>
      <c r="AT112" s="1096"/>
      <c r="AU112" s="1096"/>
      <c r="AV112" s="1096"/>
      <c r="AW112" s="1096"/>
      <c r="AX112" s="1096"/>
      <c r="AY112" s="1096"/>
    </row>
    <row r="113" spans="1:51" x14ac:dyDescent="0.45">
      <c r="A113" s="1096">
        <v>1948</v>
      </c>
      <c r="B113" s="138" t="s">
        <v>1371</v>
      </c>
      <c r="C113" s="1113">
        <f>[7]LRAll!C104</f>
        <v>8.0417156548804414</v>
      </c>
      <c r="D113" s="1113">
        <f>[7]LRAll!I104</f>
        <v>4.9540348921401991</v>
      </c>
      <c r="E113" s="1096"/>
      <c r="F113" s="1114">
        <f t="shared" si="6"/>
        <v>61.604203689217016</v>
      </c>
      <c r="G113" s="1096"/>
      <c r="H113" s="1096"/>
      <c r="I113" s="1096"/>
      <c r="J113" s="1096"/>
      <c r="K113" s="1096"/>
      <c r="L113" s="1096"/>
      <c r="M113" s="1096"/>
      <c r="N113" s="1096"/>
      <c r="O113" s="1096"/>
      <c r="P113" s="1096"/>
      <c r="Q113" s="1096"/>
      <c r="R113" s="1096"/>
      <c r="S113" s="1096"/>
      <c r="T113" s="1096"/>
      <c r="U113" s="1096"/>
      <c r="V113" s="1096"/>
      <c r="W113" s="1096"/>
      <c r="X113" s="1096"/>
      <c r="Y113" s="1096"/>
      <c r="Z113" s="1096"/>
      <c r="AA113" s="1096"/>
      <c r="AB113" s="1096" t="s">
        <v>1395</v>
      </c>
      <c r="AC113" s="1114">
        <v>276.8</v>
      </c>
      <c r="AD113" s="1096" t="s">
        <v>1395</v>
      </c>
      <c r="AE113" s="1114">
        <v>293.39999999999998</v>
      </c>
      <c r="AF113" s="1096" t="s">
        <v>1395</v>
      </c>
      <c r="AG113" s="1114">
        <v>469.2</v>
      </c>
      <c r="AH113" s="1096" t="s">
        <v>1395</v>
      </c>
      <c r="AI113" s="1114">
        <v>299.39999999999998</v>
      </c>
      <c r="AJ113" s="1096" t="s">
        <v>1395</v>
      </c>
      <c r="AK113" s="1114">
        <v>243</v>
      </c>
      <c r="AL113" s="1096" t="s">
        <v>1395</v>
      </c>
      <c r="AM113" s="1114">
        <v>230.9</v>
      </c>
      <c r="AN113" s="1096"/>
      <c r="AO113" s="1096"/>
      <c r="AP113" s="1096"/>
      <c r="AQ113" s="1096"/>
      <c r="AR113" s="1096"/>
      <c r="AS113" s="1096"/>
      <c r="AT113" s="1096"/>
      <c r="AU113" s="1096"/>
      <c r="AV113" s="1096"/>
      <c r="AW113" s="1096"/>
      <c r="AX113" s="1096"/>
      <c r="AY113" s="1096"/>
    </row>
    <row r="114" spans="1:51" x14ac:dyDescent="0.45">
      <c r="A114" s="1096">
        <v>1948</v>
      </c>
      <c r="B114" s="1096" t="s">
        <v>1373</v>
      </c>
      <c r="C114" s="1113">
        <f>[7]LRAll!C105</f>
        <v>7.9170947194812014</v>
      </c>
      <c r="D114" s="1113">
        <f>[7]LRAll!I105</f>
        <v>4.9719842939233168</v>
      </c>
      <c r="E114" s="1096"/>
      <c r="F114" s="1114">
        <f t="shared" si="6"/>
        <v>62.800616515159305</v>
      </c>
      <c r="G114" s="1096"/>
      <c r="H114" s="1096"/>
      <c r="I114" s="1096"/>
      <c r="J114" s="1096"/>
      <c r="K114" s="1096"/>
      <c r="L114" s="1096"/>
      <c r="M114" s="1096"/>
      <c r="N114" s="1096"/>
      <c r="O114" s="1096"/>
      <c r="P114" s="1096"/>
      <c r="Q114" s="1096"/>
      <c r="R114" s="1096"/>
      <c r="S114" s="1096"/>
      <c r="T114" s="1096"/>
      <c r="U114" s="1096"/>
      <c r="V114" s="1096"/>
      <c r="W114" s="1096"/>
      <c r="X114" s="1096"/>
      <c r="Y114" s="1096"/>
      <c r="Z114" s="1096"/>
      <c r="AA114" s="1096"/>
      <c r="AB114" s="1096" t="s">
        <v>1396</v>
      </c>
      <c r="AC114" s="1114">
        <v>279.2</v>
      </c>
      <c r="AD114" s="1096" t="s">
        <v>1396</v>
      </c>
      <c r="AE114" s="1114">
        <v>292.2</v>
      </c>
      <c r="AF114" s="1096" t="s">
        <v>1396</v>
      </c>
      <c r="AG114" s="1114">
        <v>484.6</v>
      </c>
      <c r="AH114" s="1096" t="s">
        <v>1396</v>
      </c>
      <c r="AI114" s="1114">
        <v>300.7</v>
      </c>
      <c r="AJ114" s="1096" t="s">
        <v>1396</v>
      </c>
      <c r="AK114" s="1114">
        <v>245.3</v>
      </c>
      <c r="AL114" s="1096" t="s">
        <v>1396</v>
      </c>
      <c r="AM114" s="1114">
        <v>234.9</v>
      </c>
      <c r="AN114" s="1096"/>
      <c r="AO114" s="1096"/>
      <c r="AP114" s="1096"/>
      <c r="AQ114" s="1096"/>
      <c r="AR114" s="1096"/>
      <c r="AS114" s="1096"/>
      <c r="AT114" s="1096"/>
      <c r="AU114" s="1096"/>
      <c r="AV114" s="1096"/>
      <c r="AW114" s="1096"/>
      <c r="AX114" s="1096"/>
      <c r="AY114" s="1096"/>
    </row>
    <row r="115" spans="1:51" x14ac:dyDescent="0.45">
      <c r="A115" s="1096">
        <v>1948</v>
      </c>
      <c r="B115" s="138" t="s">
        <v>1375</v>
      </c>
      <c r="C115" s="1113">
        <f>[7]LRAll!C106</f>
        <v>7.9170947194812014</v>
      </c>
      <c r="D115" s="1113">
        <f>[7]LRAll!I106</f>
        <v>4.9854463452606534</v>
      </c>
      <c r="E115" s="1096"/>
      <c r="F115" s="1114">
        <f t="shared" si="6"/>
        <v>62.970654285507202</v>
      </c>
      <c r="G115" s="1096"/>
      <c r="H115" s="1096"/>
      <c r="I115" s="1096"/>
      <c r="J115" s="1096"/>
      <c r="K115" s="1096"/>
      <c r="L115" s="1096"/>
      <c r="M115" s="1096"/>
      <c r="N115" s="1096"/>
      <c r="O115" s="1096"/>
      <c r="P115" s="1096"/>
      <c r="Q115" s="1096"/>
      <c r="R115" s="1096"/>
      <c r="S115" s="1096"/>
      <c r="T115" s="1096"/>
      <c r="U115" s="1096"/>
      <c r="V115" s="1096"/>
      <c r="W115" s="1096"/>
      <c r="X115" s="1096"/>
      <c r="Y115" s="1096"/>
      <c r="Z115" s="1096"/>
      <c r="AA115" s="1096"/>
      <c r="AB115" s="1096" t="s">
        <v>1397</v>
      </c>
      <c r="AC115" s="1114">
        <v>289.2</v>
      </c>
      <c r="AD115" s="1096" t="s">
        <v>1397</v>
      </c>
      <c r="AE115" s="1114">
        <v>291.7</v>
      </c>
      <c r="AF115" s="1096" t="s">
        <v>1397</v>
      </c>
      <c r="AG115" s="1114">
        <v>462</v>
      </c>
      <c r="AH115" s="1096" t="s">
        <v>1397</v>
      </c>
      <c r="AI115" s="1114">
        <v>317.8</v>
      </c>
      <c r="AJ115" s="1096" t="s">
        <v>1397</v>
      </c>
      <c r="AK115" s="1114">
        <v>253.1</v>
      </c>
      <c r="AL115" s="1096" t="s">
        <v>1397</v>
      </c>
      <c r="AM115" s="1114">
        <v>236.2</v>
      </c>
      <c r="AN115" s="1096"/>
      <c r="AO115" s="1096"/>
      <c r="AP115" s="1096"/>
      <c r="AQ115" s="1096"/>
      <c r="AR115" s="1096"/>
      <c r="AS115" s="1096"/>
      <c r="AT115" s="1096"/>
      <c r="AU115" s="1096"/>
      <c r="AV115" s="1096"/>
      <c r="AW115" s="1096"/>
      <c r="AX115" s="1096"/>
      <c r="AY115" s="1096"/>
    </row>
    <row r="116" spans="1:51" x14ac:dyDescent="0.45">
      <c r="A116" s="1096">
        <v>1948</v>
      </c>
      <c r="B116" s="1096" t="s">
        <v>1377</v>
      </c>
      <c r="C116" s="1113">
        <f>[7]LRAll!C107</f>
        <v>7.931756005998758</v>
      </c>
      <c r="D116" s="1113">
        <f>[7]LRAll!I107</f>
        <v>4.9899336957064326</v>
      </c>
      <c r="E116" s="1096"/>
      <c r="F116" s="1114">
        <f t="shared" si="6"/>
        <v>62.910832001546247</v>
      </c>
      <c r="G116" s="1096"/>
      <c r="H116" s="1096"/>
      <c r="I116" s="1096"/>
      <c r="J116" s="1096"/>
      <c r="K116" s="1096"/>
      <c r="L116" s="1096"/>
      <c r="M116" s="1096"/>
      <c r="N116" s="1096"/>
      <c r="O116" s="1096"/>
      <c r="P116" s="1096"/>
      <c r="Q116" s="1096"/>
      <c r="R116" s="1096"/>
      <c r="S116" s="1096"/>
      <c r="T116" s="1096"/>
      <c r="U116" s="1096"/>
      <c r="V116" s="1096"/>
      <c r="W116" s="1096"/>
      <c r="X116" s="1096"/>
      <c r="Y116" s="1096"/>
      <c r="Z116" s="1096"/>
      <c r="AA116" s="1096"/>
      <c r="AB116" s="1096" t="s">
        <v>1398</v>
      </c>
      <c r="AC116" s="1114">
        <v>314.5</v>
      </c>
      <c r="AD116" s="1096" t="s">
        <v>1398</v>
      </c>
      <c r="AE116" s="1114">
        <v>310.8</v>
      </c>
      <c r="AF116" s="1096" t="s">
        <v>1398</v>
      </c>
      <c r="AG116" s="1114">
        <v>480</v>
      </c>
      <c r="AH116" s="1096" t="s">
        <v>1398</v>
      </c>
      <c r="AI116" s="1114">
        <v>353.9</v>
      </c>
      <c r="AJ116" s="1096" t="s">
        <v>1398</v>
      </c>
      <c r="AK116" s="1114">
        <v>271.10000000000002</v>
      </c>
      <c r="AL116" s="1096" t="s">
        <v>1398</v>
      </c>
      <c r="AM116" s="1114">
        <v>238.6</v>
      </c>
      <c r="AN116" s="1096"/>
      <c r="AO116" s="1096"/>
      <c r="AP116" s="1096"/>
      <c r="AQ116" s="1096"/>
      <c r="AR116" s="1096"/>
      <c r="AS116" s="1096"/>
      <c r="AT116" s="1096"/>
      <c r="AU116" s="1096"/>
      <c r="AV116" s="1096"/>
      <c r="AW116" s="1096"/>
      <c r="AX116" s="1096"/>
      <c r="AY116" s="1096"/>
    </row>
    <row r="117" spans="1:51" x14ac:dyDescent="0.45">
      <c r="A117" s="1096">
        <v>1948</v>
      </c>
      <c r="B117" s="138" t="s">
        <v>1379</v>
      </c>
      <c r="C117" s="1113">
        <f>[7]LRAll!C108</f>
        <v>7.9464172925163163</v>
      </c>
      <c r="D117" s="1113">
        <f>[7]LRAll!I108</f>
        <v>5.0258324992726662</v>
      </c>
      <c r="E117" s="1096"/>
      <c r="F117" s="1114">
        <f t="shared" si="6"/>
        <v>63.246521221655904</v>
      </c>
      <c r="G117" s="1096"/>
      <c r="H117" s="1096"/>
      <c r="I117" s="1096"/>
      <c r="J117" s="1096"/>
      <c r="K117" s="1096"/>
      <c r="L117" s="1096"/>
      <c r="M117" s="1096"/>
      <c r="N117" s="1096"/>
      <c r="O117" s="1096"/>
      <c r="P117" s="1096"/>
      <c r="Q117" s="1096"/>
      <c r="R117" s="1096"/>
      <c r="S117" s="1096"/>
      <c r="T117" s="1096"/>
      <c r="U117" s="1096"/>
      <c r="V117" s="1096"/>
      <c r="W117" s="1096"/>
      <c r="X117" s="1096"/>
      <c r="Y117" s="1096"/>
      <c r="Z117" s="1096"/>
      <c r="AA117" s="1096"/>
      <c r="AB117" s="1096" t="s">
        <v>1399</v>
      </c>
      <c r="AC117" s="1114">
        <v>313.10000000000002</v>
      </c>
      <c r="AD117" s="1096" t="s">
        <v>1399</v>
      </c>
      <c r="AE117" s="1114">
        <v>311.39999999999998</v>
      </c>
      <c r="AF117" s="1096" t="s">
        <v>1399</v>
      </c>
      <c r="AG117" s="1114">
        <v>497.9</v>
      </c>
      <c r="AH117" s="1096" t="s">
        <v>1399</v>
      </c>
      <c r="AI117" s="1114">
        <v>352.4</v>
      </c>
      <c r="AJ117" s="1096" t="s">
        <v>1399</v>
      </c>
      <c r="AK117" s="1114">
        <v>268.3</v>
      </c>
      <c r="AL117" s="1096" t="s">
        <v>1399</v>
      </c>
      <c r="AM117" s="1114">
        <v>239.6</v>
      </c>
      <c r="AN117" s="1096"/>
      <c r="AO117" s="1096"/>
      <c r="AP117" s="1096"/>
      <c r="AQ117" s="1096"/>
      <c r="AR117" s="1096"/>
      <c r="AS117" s="1096"/>
      <c r="AT117" s="1096"/>
      <c r="AU117" s="1096"/>
      <c r="AV117" s="1096"/>
      <c r="AW117" s="1096"/>
      <c r="AX117" s="1096"/>
      <c r="AY117" s="1096"/>
    </row>
    <row r="118" spans="1:51" x14ac:dyDescent="0.45">
      <c r="A118" s="1096">
        <v>1948</v>
      </c>
      <c r="B118" s="1096" t="s">
        <v>1381</v>
      </c>
      <c r="C118" s="1113">
        <f>[7]LRAll!C109</f>
        <v>7.968409222292653</v>
      </c>
      <c r="D118" s="1113">
        <f>[7]LRAll!I109</f>
        <v>5.0258324992726662</v>
      </c>
      <c r="E118" s="1096"/>
      <c r="F118" s="1114">
        <f t="shared" si="6"/>
        <v>63.071967805220787</v>
      </c>
      <c r="G118" s="1096"/>
      <c r="H118" s="1096"/>
      <c r="I118" s="1096"/>
      <c r="J118" s="1096"/>
      <c r="K118" s="1096"/>
      <c r="L118" s="1096"/>
      <c r="M118" s="1096"/>
      <c r="N118" s="1096"/>
      <c r="O118" s="1096"/>
      <c r="P118" s="1096"/>
      <c r="Q118" s="1096"/>
      <c r="R118" s="1096"/>
      <c r="S118" s="1096"/>
      <c r="T118" s="1096"/>
      <c r="U118" s="1096"/>
      <c r="V118" s="1096"/>
      <c r="W118" s="1096"/>
      <c r="X118" s="1096"/>
      <c r="Y118" s="1096"/>
      <c r="Z118" s="1096"/>
      <c r="AA118" s="1096"/>
      <c r="AB118" s="1096" t="s">
        <v>1400</v>
      </c>
      <c r="AC118" s="1114">
        <v>308.5</v>
      </c>
      <c r="AD118" s="1096" t="s">
        <v>1400</v>
      </c>
      <c r="AE118" s="1114">
        <v>306.5</v>
      </c>
      <c r="AF118" s="1096" t="s">
        <v>1400</v>
      </c>
      <c r="AG118" s="1114">
        <v>473.9</v>
      </c>
      <c r="AH118" s="1096" t="s">
        <v>1400</v>
      </c>
      <c r="AI118" s="1114">
        <v>348</v>
      </c>
      <c r="AJ118" s="1096" t="s">
        <v>1400</v>
      </c>
      <c r="AK118" s="1114">
        <v>265.10000000000002</v>
      </c>
      <c r="AL118" s="1096" t="s">
        <v>1400</v>
      </c>
      <c r="AM118" s="1114">
        <v>242.2</v>
      </c>
      <c r="AN118" s="1096"/>
      <c r="AO118" s="1096"/>
      <c r="AP118" s="1096"/>
      <c r="AQ118" s="1096"/>
      <c r="AR118" s="1096"/>
      <c r="AS118" s="1096"/>
      <c r="AT118" s="1096"/>
      <c r="AU118" s="1096"/>
      <c r="AV118" s="1096"/>
      <c r="AW118" s="1096"/>
      <c r="AX118" s="1096"/>
      <c r="AY118" s="1096"/>
    </row>
    <row r="119" spans="1:51" x14ac:dyDescent="0.45">
      <c r="A119" s="1096">
        <v>1948</v>
      </c>
      <c r="B119" s="138" t="s">
        <v>1383</v>
      </c>
      <c r="C119" s="1113">
        <f>[7]LRAll!C110</f>
        <v>7.9757398655514313</v>
      </c>
      <c r="D119" s="1113">
        <f>[7]LRAll!I110</f>
        <v>5.1021174568509116</v>
      </c>
      <c r="E119" s="1096"/>
      <c r="F119" s="1114">
        <f t="shared" si="6"/>
        <v>63.970459704783245</v>
      </c>
      <c r="G119" s="1096"/>
      <c r="H119" s="1096"/>
      <c r="I119" s="1096"/>
      <c r="J119" s="1096"/>
      <c r="K119" s="1096"/>
      <c r="L119" s="1096"/>
      <c r="M119" s="1096"/>
      <c r="N119" s="1096"/>
      <c r="O119" s="1096"/>
      <c r="P119" s="1096"/>
      <c r="Q119" s="1096"/>
      <c r="R119" s="1096"/>
      <c r="S119" s="1096"/>
      <c r="T119" s="1096"/>
      <c r="U119" s="1096"/>
      <c r="V119" s="1096"/>
      <c r="W119" s="1096"/>
      <c r="X119" s="1096"/>
      <c r="Y119" s="1096"/>
      <c r="Z119" s="1096"/>
      <c r="AA119" s="1096"/>
      <c r="AB119" s="1096" t="s">
        <v>1401</v>
      </c>
      <c r="AC119" s="1114">
        <v>308.5</v>
      </c>
      <c r="AD119" s="1096" t="s">
        <v>1401</v>
      </c>
      <c r="AE119" s="1114">
        <v>303.7</v>
      </c>
      <c r="AF119" s="1096" t="s">
        <v>1401</v>
      </c>
      <c r="AG119" s="1114">
        <v>476.1</v>
      </c>
      <c r="AH119" s="1096" t="s">
        <v>1401</v>
      </c>
      <c r="AI119" s="1114">
        <v>348</v>
      </c>
      <c r="AJ119" s="1096" t="s">
        <v>1401</v>
      </c>
      <c r="AK119" s="1114">
        <v>265</v>
      </c>
      <c r="AL119" s="1096" t="s">
        <v>1401</v>
      </c>
      <c r="AM119" s="1114">
        <v>243.1</v>
      </c>
      <c r="AN119" s="1096"/>
      <c r="AO119" s="1096"/>
      <c r="AP119" s="1096"/>
      <c r="AQ119" s="1096"/>
      <c r="AR119" s="1096"/>
      <c r="AS119" s="1096"/>
      <c r="AT119" s="1096"/>
      <c r="AU119" s="1096"/>
      <c r="AV119" s="1096"/>
      <c r="AW119" s="1096"/>
      <c r="AX119" s="1096"/>
      <c r="AY119" s="1096"/>
    </row>
    <row r="120" spans="1:51" x14ac:dyDescent="0.45">
      <c r="A120" s="1096">
        <v>1949</v>
      </c>
      <c r="B120" s="1096" t="s">
        <v>1385</v>
      </c>
      <c r="C120" s="1113">
        <f>[7]LRAll!C111</f>
        <v>7.9904011520689897</v>
      </c>
      <c r="D120" s="1113">
        <f>[7]LRAll!I111</f>
        <v>5.1066048072966908</v>
      </c>
      <c r="E120" s="1096"/>
      <c r="F120" s="1114">
        <f t="shared" si="6"/>
        <v>63.909241978100376</v>
      </c>
      <c r="G120" s="1096"/>
      <c r="H120" s="1096"/>
      <c r="I120" s="1096"/>
      <c r="J120" s="1096"/>
      <c r="K120" s="1096"/>
      <c r="L120" s="1096"/>
      <c r="M120" s="1096"/>
      <c r="N120" s="1096"/>
      <c r="O120" s="1096"/>
      <c r="P120" s="1096"/>
      <c r="Q120" s="1096"/>
      <c r="R120" s="1096"/>
      <c r="S120" s="1096"/>
      <c r="T120" s="1096"/>
      <c r="U120" s="1096"/>
      <c r="V120" s="1096"/>
      <c r="W120" s="1096"/>
      <c r="X120" s="1096"/>
      <c r="Y120" s="1096"/>
      <c r="Z120" s="1096"/>
      <c r="AA120" s="1096"/>
      <c r="AB120" s="1096" t="s">
        <v>1402</v>
      </c>
      <c r="AC120" s="1114">
        <v>317.39999999999998</v>
      </c>
      <c r="AD120" s="1096" t="s">
        <v>1402</v>
      </c>
      <c r="AE120" s="1114">
        <v>308.3</v>
      </c>
      <c r="AF120" s="1096" t="s">
        <v>1402</v>
      </c>
      <c r="AG120" s="1114">
        <v>498</v>
      </c>
      <c r="AH120" s="1096" t="s">
        <v>1402</v>
      </c>
      <c r="AI120" s="1114">
        <v>358.8</v>
      </c>
      <c r="AJ120" s="1096" t="s">
        <v>1402</v>
      </c>
      <c r="AK120" s="1114">
        <v>271.5</v>
      </c>
      <c r="AL120" s="1096" t="s">
        <v>1402</v>
      </c>
      <c r="AM120" s="1114">
        <v>246</v>
      </c>
      <c r="AN120" s="1096"/>
      <c r="AO120" s="1096"/>
      <c r="AP120" s="1096"/>
      <c r="AQ120" s="1096"/>
      <c r="AR120" s="1096"/>
      <c r="AS120" s="1096"/>
      <c r="AT120" s="1096"/>
      <c r="AU120" s="1096"/>
      <c r="AV120" s="1096"/>
      <c r="AW120" s="1096"/>
      <c r="AX120" s="1096"/>
      <c r="AY120" s="1096"/>
    </row>
    <row r="121" spans="1:51" x14ac:dyDescent="0.45">
      <c r="A121" s="1096">
        <v>1949</v>
      </c>
      <c r="B121" s="138" t="s">
        <v>1387</v>
      </c>
      <c r="C121" s="1113">
        <f>[7]LRAll!C112</f>
        <v>8.0050624385865472</v>
      </c>
      <c r="D121" s="1113">
        <f>[7]LRAll!I112</f>
        <v>5.1066048072966908</v>
      </c>
      <c r="E121" s="1096"/>
      <c r="F121" s="1114">
        <f t="shared" si="6"/>
        <v>63.792192084367592</v>
      </c>
      <c r="G121" s="1096"/>
      <c r="H121" s="1096"/>
      <c r="I121" s="1096"/>
      <c r="J121" s="1096"/>
      <c r="K121" s="1096"/>
      <c r="L121" s="1096"/>
      <c r="M121" s="1096"/>
      <c r="N121" s="1096"/>
      <c r="O121" s="1096"/>
      <c r="P121" s="1096"/>
      <c r="Q121" s="1096"/>
      <c r="R121" s="1096"/>
      <c r="S121" s="1096"/>
      <c r="T121" s="1096"/>
      <c r="U121" s="1096"/>
      <c r="V121" s="1096"/>
      <c r="W121" s="1096"/>
      <c r="X121" s="1096"/>
      <c r="Y121" s="1096"/>
      <c r="Z121" s="1096"/>
      <c r="AA121" s="1096"/>
      <c r="AB121" s="1096" t="s">
        <v>1403</v>
      </c>
      <c r="AC121" s="1114">
        <v>332.1</v>
      </c>
      <c r="AD121" s="1096" t="s">
        <v>1403</v>
      </c>
      <c r="AE121" s="1114">
        <v>310.10000000000002</v>
      </c>
      <c r="AF121" s="1096" t="s">
        <v>1403</v>
      </c>
      <c r="AG121" s="1114">
        <v>515.70000000000005</v>
      </c>
      <c r="AH121" s="1096" t="s">
        <v>1403</v>
      </c>
      <c r="AI121" s="1114">
        <v>376.3</v>
      </c>
      <c r="AJ121" s="1096" t="s">
        <v>1403</v>
      </c>
      <c r="AK121" s="1114">
        <v>284.3</v>
      </c>
      <c r="AL121" s="1096" t="s">
        <v>1403</v>
      </c>
      <c r="AM121" s="1114">
        <v>247.4</v>
      </c>
      <c r="AN121" s="1096"/>
      <c r="AO121" s="1096"/>
      <c r="AP121" s="1096"/>
      <c r="AQ121" s="1096"/>
      <c r="AR121" s="1096"/>
      <c r="AS121" s="1096"/>
      <c r="AT121" s="1096"/>
      <c r="AU121" s="1096"/>
      <c r="AV121" s="1096"/>
      <c r="AW121" s="1096"/>
      <c r="AX121" s="1096"/>
      <c r="AY121" s="1096"/>
    </row>
    <row r="122" spans="1:51" x14ac:dyDescent="0.45">
      <c r="A122" s="1096">
        <v>1949</v>
      </c>
      <c r="B122" s="1096" t="s">
        <v>1389</v>
      </c>
      <c r="C122" s="1113">
        <f>[7]LRAll!C113</f>
        <v>7.9830705088102123</v>
      </c>
      <c r="D122" s="1113">
        <f>[7]LRAll!I113</f>
        <v>5.0168577983811069</v>
      </c>
      <c r="E122" s="1096"/>
      <c r="F122" s="1114">
        <f t="shared" si="6"/>
        <v>62.843711487258467</v>
      </c>
      <c r="G122" s="1096"/>
      <c r="H122" s="1096"/>
      <c r="I122" s="1096"/>
      <c r="J122" s="1096"/>
      <c r="K122" s="1096"/>
      <c r="L122" s="1096"/>
      <c r="M122" s="1096"/>
      <c r="N122" s="1096"/>
      <c r="O122" s="1096"/>
      <c r="P122" s="1096"/>
      <c r="Q122" s="1096"/>
      <c r="R122" s="1096"/>
      <c r="S122" s="1096"/>
      <c r="T122" s="1096"/>
      <c r="U122" s="1096"/>
      <c r="V122" s="1096"/>
      <c r="W122" s="1096"/>
      <c r="X122" s="1096"/>
      <c r="Y122" s="1096"/>
      <c r="Z122" s="1096"/>
      <c r="AA122" s="1096"/>
      <c r="AB122" s="1096" t="s">
        <v>1404</v>
      </c>
      <c r="AC122" s="1114">
        <v>331.5</v>
      </c>
      <c r="AD122" s="1096" t="s">
        <v>1404</v>
      </c>
      <c r="AE122" s="1114">
        <v>309.5</v>
      </c>
      <c r="AF122" s="1096" t="s">
        <v>1404</v>
      </c>
      <c r="AG122" s="1114">
        <v>478.7</v>
      </c>
      <c r="AH122" s="1096" t="s">
        <v>1404</v>
      </c>
      <c r="AI122" s="1114">
        <v>377.6</v>
      </c>
      <c r="AJ122" s="1096" t="s">
        <v>1404</v>
      </c>
      <c r="AK122" s="1114">
        <v>285.39999999999998</v>
      </c>
      <c r="AL122" s="1096" t="s">
        <v>1404</v>
      </c>
      <c r="AM122" s="1114">
        <v>249.7</v>
      </c>
      <c r="AN122" s="1096"/>
      <c r="AO122" s="1096"/>
      <c r="AP122" s="1096"/>
      <c r="AQ122" s="1096"/>
      <c r="AR122" s="1096"/>
      <c r="AS122" s="1096"/>
      <c r="AT122" s="1096"/>
      <c r="AU122" s="1096"/>
      <c r="AV122" s="1096"/>
      <c r="AW122" s="1096"/>
      <c r="AX122" s="1096"/>
      <c r="AY122" s="1096"/>
    </row>
    <row r="123" spans="1:51" x14ac:dyDescent="0.45">
      <c r="A123" s="1096">
        <v>1949</v>
      </c>
      <c r="B123" s="138" t="s">
        <v>1391</v>
      </c>
      <c r="C123" s="1113">
        <f>[7]LRAll!C114</f>
        <v>7.9610785790338738</v>
      </c>
      <c r="D123" s="1113">
        <f>[7]LRAll!I114</f>
        <v>5.0033957470437711</v>
      </c>
      <c r="E123" s="1096"/>
      <c r="F123" s="1114">
        <f t="shared" si="6"/>
        <v>62.848214565054128</v>
      </c>
      <c r="G123" s="1096"/>
      <c r="H123" s="1096"/>
      <c r="I123" s="1096"/>
      <c r="J123" s="1096"/>
      <c r="K123" s="1096"/>
      <c r="L123" s="1096"/>
      <c r="M123" s="1096"/>
      <c r="N123" s="1096"/>
      <c r="O123" s="1096"/>
      <c r="P123" s="1096"/>
      <c r="Q123" s="1096"/>
      <c r="R123" s="1096"/>
      <c r="S123" s="1096"/>
      <c r="T123" s="1096"/>
      <c r="U123" s="1096"/>
      <c r="V123" s="1096"/>
      <c r="W123" s="1096"/>
      <c r="X123" s="1096"/>
      <c r="Y123" s="1096"/>
      <c r="Z123" s="1096"/>
      <c r="AA123" s="1096"/>
      <c r="AB123" s="1096" t="s">
        <v>1405</v>
      </c>
      <c r="AC123" s="1114">
        <v>332.3</v>
      </c>
      <c r="AD123" s="1096" t="s">
        <v>1405</v>
      </c>
      <c r="AE123" s="1114">
        <v>310.89999999999998</v>
      </c>
      <c r="AF123" s="1096" t="s">
        <v>1405</v>
      </c>
      <c r="AG123" s="1114">
        <v>482.3</v>
      </c>
      <c r="AH123" s="1096" t="s">
        <v>1405</v>
      </c>
      <c r="AI123" s="1114">
        <v>377.6</v>
      </c>
      <c r="AJ123" s="1096" t="s">
        <v>1405</v>
      </c>
      <c r="AK123" s="1114">
        <v>286.5</v>
      </c>
      <c r="AL123" s="1096" t="s">
        <v>1405</v>
      </c>
      <c r="AM123" s="1114">
        <v>250.9</v>
      </c>
      <c r="AN123" s="1096"/>
      <c r="AO123" s="1096"/>
      <c r="AP123" s="1096"/>
      <c r="AQ123" s="1096"/>
      <c r="AR123" s="1096"/>
      <c r="AS123" s="1096"/>
      <c r="AT123" s="1096"/>
      <c r="AU123" s="1096"/>
      <c r="AV123" s="1096"/>
      <c r="AW123" s="1096"/>
      <c r="AX123" s="1096"/>
      <c r="AY123" s="1096"/>
    </row>
    <row r="124" spans="1:51" x14ac:dyDescent="0.45">
      <c r="A124" s="1096">
        <v>1949</v>
      </c>
      <c r="B124" s="1096" t="s">
        <v>1393</v>
      </c>
      <c r="C124" s="1113">
        <f>[7]LRAll!C115</f>
        <v>8.1076914442094541</v>
      </c>
      <c r="D124" s="1113">
        <f>[7]LRAll!I115</f>
        <v>5.0033957470437711</v>
      </c>
      <c r="E124" s="1096"/>
      <c r="F124" s="1114">
        <f t="shared" si="6"/>
        <v>61.711718822467233</v>
      </c>
      <c r="G124" s="1096"/>
      <c r="H124" s="1096"/>
      <c r="I124" s="1096"/>
      <c r="J124" s="1096"/>
      <c r="K124" s="1096"/>
      <c r="L124" s="1096"/>
      <c r="M124" s="1096"/>
      <c r="N124" s="1096"/>
      <c r="O124" s="1096"/>
      <c r="P124" s="1096"/>
      <c r="Q124" s="1096"/>
      <c r="R124" s="1096"/>
      <c r="S124" s="1096"/>
      <c r="T124" s="1096"/>
      <c r="U124" s="1096"/>
      <c r="V124" s="1096"/>
      <c r="W124" s="1096"/>
      <c r="X124" s="1096"/>
      <c r="Y124" s="1096"/>
      <c r="Z124" s="1096"/>
      <c r="AA124" s="1096"/>
      <c r="AB124" s="1096" t="s">
        <v>1406</v>
      </c>
      <c r="AC124" s="1114">
        <v>338.9</v>
      </c>
      <c r="AD124" s="1096" t="s">
        <v>1406</v>
      </c>
      <c r="AE124" s="1114">
        <v>317.60000000000002</v>
      </c>
      <c r="AF124" s="1096" t="s">
        <v>1406</v>
      </c>
      <c r="AG124" s="1114">
        <v>475.2</v>
      </c>
      <c r="AH124" s="1096" t="s">
        <v>1406</v>
      </c>
      <c r="AI124" s="1114">
        <v>386.3</v>
      </c>
      <c r="AJ124" s="1096" t="s">
        <v>1406</v>
      </c>
      <c r="AK124" s="1114">
        <v>292.7</v>
      </c>
      <c r="AL124" s="1096" t="s">
        <v>1406</v>
      </c>
      <c r="AM124" s="1114">
        <v>252.5</v>
      </c>
      <c r="AN124" s="1096"/>
      <c r="AO124" s="1096"/>
      <c r="AP124" s="1096"/>
      <c r="AQ124" s="1096"/>
      <c r="AR124" s="1096"/>
      <c r="AS124" s="1096"/>
      <c r="AT124" s="1096"/>
      <c r="AU124" s="1096"/>
      <c r="AV124" s="1096"/>
      <c r="AW124" s="1096"/>
      <c r="AX124" s="1096"/>
      <c r="AY124" s="1096"/>
    </row>
    <row r="125" spans="1:51" x14ac:dyDescent="0.45">
      <c r="A125" s="1096">
        <v>1949</v>
      </c>
      <c r="B125" s="138" t="s">
        <v>1371</v>
      </c>
      <c r="C125" s="1113">
        <f>[7]LRAll!C116</f>
        <v>8.1443446605033465</v>
      </c>
      <c r="D125" s="1113">
        <f>[7]LRAll!I116</f>
        <v>5.0482692515015612</v>
      </c>
      <c r="E125" s="1096"/>
      <c r="F125" s="1114">
        <f t="shared" si="6"/>
        <v>61.984965788389935</v>
      </c>
      <c r="G125" s="1096"/>
      <c r="H125" s="1096"/>
      <c r="I125" s="1096"/>
      <c r="J125" s="1096"/>
      <c r="K125" s="1096"/>
      <c r="L125" s="1096"/>
      <c r="M125" s="1096"/>
      <c r="N125" s="1096"/>
      <c r="O125" s="1096"/>
      <c r="P125" s="1096"/>
      <c r="Q125" s="1096"/>
      <c r="R125" s="1096"/>
      <c r="S125" s="1096"/>
      <c r="T125" s="1096"/>
      <c r="U125" s="1096"/>
      <c r="V125" s="1096"/>
      <c r="W125" s="1096"/>
      <c r="X125" s="1096"/>
      <c r="Y125" s="1096"/>
      <c r="Z125" s="1096"/>
      <c r="AA125" s="1096"/>
      <c r="AB125" s="1096" t="s">
        <v>1407</v>
      </c>
      <c r="AC125" s="1114">
        <v>350.3</v>
      </c>
      <c r="AD125" s="1096" t="s">
        <v>1407</v>
      </c>
      <c r="AE125" s="1114">
        <v>320.89999999999998</v>
      </c>
      <c r="AF125" s="1096" t="s">
        <v>1407</v>
      </c>
      <c r="AG125" s="1114">
        <v>471.1</v>
      </c>
      <c r="AH125" s="1096" t="s">
        <v>1407</v>
      </c>
      <c r="AI125" s="1114">
        <v>399.2</v>
      </c>
      <c r="AJ125" s="1096" t="s">
        <v>1407</v>
      </c>
      <c r="AK125" s="1114">
        <v>304.8</v>
      </c>
      <c r="AL125" s="1096" t="s">
        <v>1407</v>
      </c>
      <c r="AM125" s="1114">
        <v>253.9</v>
      </c>
      <c r="AN125" s="1096"/>
      <c r="AO125" s="1096"/>
      <c r="AP125" s="1096"/>
      <c r="AQ125" s="1096"/>
      <c r="AR125" s="1096"/>
      <c r="AS125" s="1096"/>
      <c r="AT125" s="1096"/>
      <c r="AU125" s="1096"/>
      <c r="AV125" s="1096"/>
      <c r="AW125" s="1096"/>
      <c r="AX125" s="1096"/>
      <c r="AY125" s="1096"/>
    </row>
    <row r="126" spans="1:51" x14ac:dyDescent="0.45">
      <c r="A126" s="1096">
        <v>1949</v>
      </c>
      <c r="B126" s="1096" t="s">
        <v>1373</v>
      </c>
      <c r="C126" s="1113">
        <f>[7]LRAll!C117</f>
        <v>8.1516753037621257</v>
      </c>
      <c r="D126" s="1113">
        <f>[7]LRAll!I117</f>
        <v>5.066218653284678</v>
      </c>
      <c r="E126" s="1096"/>
      <c r="F126" s="1114">
        <f t="shared" si="6"/>
        <v>62.149416708814918</v>
      </c>
      <c r="G126" s="1096"/>
      <c r="H126" s="1096"/>
      <c r="I126" s="1096"/>
      <c r="J126" s="1096"/>
      <c r="K126" s="1096"/>
      <c r="L126" s="1096"/>
      <c r="M126" s="1096"/>
      <c r="N126" s="1096"/>
      <c r="O126" s="1096"/>
      <c r="P126" s="1096"/>
      <c r="Q126" s="1096"/>
      <c r="R126" s="1096"/>
      <c r="S126" s="1096"/>
      <c r="T126" s="1096"/>
      <c r="U126" s="1096"/>
      <c r="V126" s="1096"/>
      <c r="W126" s="1096"/>
      <c r="X126" s="1096"/>
      <c r="Y126" s="1096"/>
      <c r="Z126" s="1096"/>
      <c r="AA126" s="1096"/>
      <c r="AB126" s="1096" t="s">
        <v>1408</v>
      </c>
      <c r="AC126" s="1114">
        <v>347</v>
      </c>
      <c r="AD126" s="1096" t="s">
        <v>1408</v>
      </c>
      <c r="AE126" s="1114">
        <v>319.39999999999998</v>
      </c>
      <c r="AF126" s="1096" t="s">
        <v>1408</v>
      </c>
      <c r="AG126" s="1114">
        <v>453.2</v>
      </c>
      <c r="AH126" s="1096" t="s">
        <v>1408</v>
      </c>
      <c r="AI126" s="1114">
        <v>396.8</v>
      </c>
      <c r="AJ126" s="1096" t="s">
        <v>1408</v>
      </c>
      <c r="AK126" s="1114">
        <v>302.60000000000002</v>
      </c>
      <c r="AL126" s="1096" t="s">
        <v>1408</v>
      </c>
      <c r="AM126" s="1114">
        <v>256</v>
      </c>
      <c r="AN126" s="1096"/>
      <c r="AO126" s="1096"/>
      <c r="AP126" s="1096"/>
      <c r="AQ126" s="1096"/>
      <c r="AR126" s="1096"/>
      <c r="AS126" s="1096"/>
      <c r="AT126" s="1096"/>
      <c r="AU126" s="1096"/>
      <c r="AV126" s="1096"/>
      <c r="AW126" s="1096"/>
      <c r="AX126" s="1096"/>
      <c r="AY126" s="1096"/>
    </row>
    <row r="127" spans="1:51" x14ac:dyDescent="0.45">
      <c r="A127" s="1096">
        <v>1949</v>
      </c>
      <c r="B127" s="138" t="s">
        <v>1375</v>
      </c>
      <c r="C127" s="1113">
        <f>[7]LRAll!C118</f>
        <v>8.1590059470209031</v>
      </c>
      <c r="D127" s="1113">
        <f>[7]LRAll!I118</f>
        <v>5.066218653284678</v>
      </c>
      <c r="E127" s="1096"/>
      <c r="F127" s="1114">
        <f t="shared" si="6"/>
        <v>62.09357716100827</v>
      </c>
      <c r="G127" s="1096"/>
      <c r="H127" s="1096"/>
      <c r="I127" s="1096"/>
      <c r="J127" s="1096"/>
      <c r="K127" s="1096"/>
      <c r="L127" s="1096"/>
      <c r="M127" s="1096"/>
      <c r="N127" s="1096"/>
      <c r="O127" s="1096"/>
      <c r="P127" s="1096"/>
      <c r="Q127" s="1096"/>
      <c r="R127" s="1096"/>
      <c r="S127" s="1096"/>
      <c r="T127" s="1096"/>
      <c r="U127" s="1096"/>
      <c r="V127" s="1096"/>
      <c r="W127" s="1096"/>
      <c r="X127" s="1096"/>
      <c r="Y127" s="1096"/>
      <c r="Z127" s="1096"/>
      <c r="AA127" s="1096"/>
      <c r="AB127" s="1096" t="s">
        <v>1409</v>
      </c>
      <c r="AC127" s="1114">
        <v>346.5</v>
      </c>
      <c r="AD127" s="1096" t="s">
        <v>1409</v>
      </c>
      <c r="AE127" s="1114">
        <v>318</v>
      </c>
      <c r="AF127" s="1096" t="s">
        <v>1409</v>
      </c>
      <c r="AG127" s="1114">
        <v>445</v>
      </c>
      <c r="AH127" s="1096" t="s">
        <v>1409</v>
      </c>
      <c r="AI127" s="1114">
        <v>396.8</v>
      </c>
      <c r="AJ127" s="1096" t="s">
        <v>1409</v>
      </c>
      <c r="AK127" s="1114">
        <v>302.60000000000002</v>
      </c>
      <c r="AL127" s="1096" t="s">
        <v>1409</v>
      </c>
      <c r="AM127" s="1114">
        <v>256.89999999999998</v>
      </c>
      <c r="AN127" s="1096"/>
      <c r="AO127" s="1096"/>
      <c r="AP127" s="1096"/>
      <c r="AQ127" s="1096"/>
      <c r="AR127" s="1096"/>
      <c r="AS127" s="1096"/>
      <c r="AT127" s="1096"/>
      <c r="AU127" s="1096"/>
      <c r="AV127" s="1096"/>
      <c r="AW127" s="1096"/>
      <c r="AX127" s="1096"/>
      <c r="AY127" s="1096"/>
    </row>
    <row r="128" spans="1:51" x14ac:dyDescent="0.45">
      <c r="A128" s="1096">
        <v>1949</v>
      </c>
      <c r="B128" s="1096" t="s">
        <v>1377</v>
      </c>
      <c r="C128" s="1113">
        <f>[7]LRAll!C119</f>
        <v>8.1883285200560199</v>
      </c>
      <c r="D128" s="1113">
        <f>[7]LRAll!I119</f>
        <v>5.0796807046220156</v>
      </c>
      <c r="E128" s="1096"/>
      <c r="F128" s="1114">
        <f t="shared" si="6"/>
        <v>62.035624146981135</v>
      </c>
      <c r="G128" s="1096"/>
      <c r="H128" s="1096"/>
      <c r="I128" s="1096"/>
      <c r="J128" s="1096"/>
      <c r="K128" s="1096"/>
      <c r="L128" s="1096"/>
      <c r="M128" s="1096"/>
      <c r="N128" s="1096"/>
      <c r="O128" s="1096"/>
      <c r="P128" s="1096"/>
      <c r="Q128" s="1096"/>
      <c r="R128" s="1096"/>
      <c r="S128" s="1096"/>
      <c r="T128" s="1096"/>
      <c r="U128" s="1096"/>
      <c r="V128" s="1096"/>
      <c r="W128" s="1096"/>
      <c r="X128" s="1096"/>
      <c r="Y128" s="1096"/>
      <c r="Z128" s="1096"/>
      <c r="AA128" s="1096"/>
      <c r="AB128" s="1096" t="s">
        <v>1410</v>
      </c>
      <c r="AC128" s="1114">
        <v>344.6</v>
      </c>
      <c r="AD128" s="1096" t="s">
        <v>1410</v>
      </c>
      <c r="AE128" s="1114">
        <v>325.10000000000002</v>
      </c>
      <c r="AF128" s="1096" t="s">
        <v>1410</v>
      </c>
      <c r="AG128" s="1114">
        <v>410.5</v>
      </c>
      <c r="AH128" s="1096" t="s">
        <v>1410</v>
      </c>
      <c r="AI128" s="1114">
        <v>396.8</v>
      </c>
      <c r="AJ128" s="1096" t="s">
        <v>1410</v>
      </c>
      <c r="AK128" s="1114">
        <v>302.60000000000002</v>
      </c>
      <c r="AL128" s="1096" t="s">
        <v>1410</v>
      </c>
      <c r="AM128" s="1114">
        <v>257.39999999999998</v>
      </c>
      <c r="AN128" s="1096"/>
      <c r="AO128" s="1096"/>
      <c r="AP128" s="1096"/>
      <c r="AQ128" s="1096"/>
      <c r="AR128" s="1096"/>
      <c r="AS128" s="1096"/>
      <c r="AT128" s="1096"/>
      <c r="AU128" s="1096"/>
      <c r="AV128" s="1096"/>
      <c r="AW128" s="1096"/>
      <c r="AX128" s="1096"/>
      <c r="AY128" s="1096"/>
    </row>
    <row r="129" spans="1:51" x14ac:dyDescent="0.45">
      <c r="A129" s="1096">
        <v>1949</v>
      </c>
      <c r="B129" s="138" t="s">
        <v>1379</v>
      </c>
      <c r="C129" s="1113">
        <f>[7]LRAll!C120</f>
        <v>8.2323123796086932</v>
      </c>
      <c r="D129" s="1113">
        <f>[7]LRAll!I120</f>
        <v>5.1066048072966908</v>
      </c>
      <c r="E129" s="1096"/>
      <c r="F129" s="1114">
        <f t="shared" si="6"/>
        <v>62.031232196019062</v>
      </c>
      <c r="G129" s="1096"/>
      <c r="H129" s="1096"/>
      <c r="I129" s="1096"/>
      <c r="J129" s="1096"/>
      <c r="K129" s="1096"/>
      <c r="L129" s="1096"/>
      <c r="M129" s="1096"/>
      <c r="N129" s="1096"/>
      <c r="O129" s="1096"/>
      <c r="P129" s="1096"/>
      <c r="Q129" s="1096"/>
      <c r="R129" s="1096"/>
      <c r="S129" s="1096"/>
      <c r="T129" s="1096"/>
      <c r="U129" s="1096"/>
      <c r="V129" s="1096"/>
      <c r="W129" s="1096"/>
      <c r="X129" s="1096"/>
      <c r="Y129" s="1096"/>
      <c r="Z129" s="1096"/>
      <c r="AA129" s="1096"/>
      <c r="AB129" s="1096" t="s">
        <v>1411</v>
      </c>
      <c r="AC129" s="1114">
        <v>338.2</v>
      </c>
      <c r="AD129" s="1096" t="s">
        <v>1411</v>
      </c>
      <c r="AE129" s="1114">
        <v>324.60000000000002</v>
      </c>
      <c r="AF129" s="1096" t="s">
        <v>1411</v>
      </c>
      <c r="AG129" s="1114">
        <v>355.6</v>
      </c>
      <c r="AH129" s="1096" t="s">
        <v>1411</v>
      </c>
      <c r="AI129" s="1114">
        <v>389.6</v>
      </c>
      <c r="AJ129" s="1096" t="s">
        <v>1411</v>
      </c>
      <c r="AK129" s="1114">
        <v>302.60000000000002</v>
      </c>
      <c r="AL129" s="1096" t="s">
        <v>1411</v>
      </c>
      <c r="AM129" s="1114">
        <v>256.39999999999998</v>
      </c>
      <c r="AN129" s="1096"/>
      <c r="AO129" s="1096"/>
      <c r="AP129" s="1096"/>
      <c r="AQ129" s="1096"/>
      <c r="AR129" s="1096"/>
      <c r="AS129" s="1096"/>
      <c r="AT129" s="1096"/>
      <c r="AU129" s="1096"/>
      <c r="AV129" s="1096"/>
      <c r="AW129" s="1096"/>
      <c r="AX129" s="1096"/>
      <c r="AY129" s="1096"/>
    </row>
    <row r="130" spans="1:51" x14ac:dyDescent="0.45">
      <c r="A130" s="1096">
        <v>1949</v>
      </c>
      <c r="B130" s="1096" t="s">
        <v>1381</v>
      </c>
      <c r="C130" s="1113">
        <f>[7]LRAll!C121</f>
        <v>8.2323123796086932</v>
      </c>
      <c r="D130" s="1113">
        <f>[7]LRAll!I121</f>
        <v>5.1200668586340283</v>
      </c>
      <c r="E130" s="1096"/>
      <c r="F130" s="1114">
        <f t="shared" si="6"/>
        <v>62.194759170173775</v>
      </c>
      <c r="G130" s="1096"/>
      <c r="H130" s="1096"/>
      <c r="I130" s="1096"/>
      <c r="J130" s="1096"/>
      <c r="K130" s="1096"/>
      <c r="L130" s="1096"/>
      <c r="M130" s="1096"/>
      <c r="N130" s="1096"/>
      <c r="O130" s="1096"/>
      <c r="P130" s="1096"/>
      <c r="Q130" s="1096"/>
      <c r="R130" s="1096"/>
      <c r="S130" s="1096"/>
      <c r="T130" s="1096"/>
      <c r="U130" s="1096"/>
      <c r="V130" s="1096"/>
      <c r="W130" s="1096"/>
      <c r="X130" s="1096"/>
      <c r="Y130" s="1096"/>
      <c r="Z130" s="1096"/>
      <c r="AA130" s="1096"/>
      <c r="AB130" s="1096" t="s">
        <v>1412</v>
      </c>
      <c r="AC130" s="1114">
        <v>333.8</v>
      </c>
      <c r="AD130" s="1096" t="s">
        <v>1412</v>
      </c>
      <c r="AE130" s="1114">
        <v>320.5</v>
      </c>
      <c r="AF130" s="1096" t="s">
        <v>1412</v>
      </c>
      <c r="AG130" s="1114">
        <v>354.2</v>
      </c>
      <c r="AH130" s="1096" t="s">
        <v>1412</v>
      </c>
      <c r="AI130" s="1114">
        <v>380</v>
      </c>
      <c r="AJ130" s="1096" t="s">
        <v>1412</v>
      </c>
      <c r="AK130" s="1114">
        <v>302</v>
      </c>
      <c r="AL130" s="1096" t="s">
        <v>1412</v>
      </c>
      <c r="AM130" s="1114">
        <v>258.5</v>
      </c>
      <c r="AN130" s="1096"/>
      <c r="AO130" s="1096"/>
      <c r="AP130" s="1096"/>
      <c r="AQ130" s="1096"/>
      <c r="AR130" s="1096"/>
      <c r="AS130" s="1096"/>
      <c r="AT130" s="1096"/>
      <c r="AU130" s="1096"/>
      <c r="AV130" s="1096"/>
      <c r="AW130" s="1096"/>
      <c r="AX130" s="1096"/>
      <c r="AY130" s="1096"/>
    </row>
    <row r="131" spans="1:51" x14ac:dyDescent="0.45">
      <c r="A131" s="1096">
        <v>1949</v>
      </c>
      <c r="B131" s="138" t="s">
        <v>1383</v>
      </c>
      <c r="C131" s="1113">
        <f>[7]LRAll!C122</f>
        <v>8.254304309385029</v>
      </c>
      <c r="D131" s="1113">
        <f>[7]LRAll!I122</f>
        <v>5.1469909613087026</v>
      </c>
      <c r="E131" s="1096"/>
      <c r="F131" s="1114">
        <f t="shared" si="6"/>
        <v>62.355236351737666</v>
      </c>
      <c r="G131" s="1096"/>
      <c r="H131" s="1096"/>
      <c r="I131" s="1096"/>
      <c r="J131" s="1096"/>
      <c r="K131" s="1096"/>
      <c r="L131" s="1096"/>
      <c r="M131" s="1096"/>
      <c r="N131" s="1096"/>
      <c r="O131" s="1096"/>
      <c r="P131" s="1096"/>
      <c r="Q131" s="1096"/>
      <c r="R131" s="1096"/>
      <c r="S131" s="1096"/>
      <c r="T131" s="1096"/>
      <c r="U131" s="1096"/>
      <c r="V131" s="1096"/>
      <c r="W131" s="1096"/>
      <c r="X131" s="1096"/>
      <c r="Y131" s="1096"/>
      <c r="Z131" s="1096"/>
      <c r="AA131" s="1096"/>
      <c r="AB131" s="1096" t="s">
        <v>1413</v>
      </c>
      <c r="AC131" s="1114">
        <v>330.8</v>
      </c>
      <c r="AD131" s="1096" t="s">
        <v>1413</v>
      </c>
      <c r="AE131" s="1114">
        <v>317.8</v>
      </c>
      <c r="AF131" s="1096" t="s">
        <v>1413</v>
      </c>
      <c r="AG131" s="1114">
        <v>318.8</v>
      </c>
      <c r="AH131" s="1096" t="s">
        <v>1413</v>
      </c>
      <c r="AI131" s="1114">
        <v>376.5</v>
      </c>
      <c r="AJ131" s="1096" t="s">
        <v>1413</v>
      </c>
      <c r="AK131" s="1114">
        <v>301.89999999999998</v>
      </c>
      <c r="AL131" s="1096" t="s">
        <v>1413</v>
      </c>
      <c r="AM131" s="1114">
        <v>259.3</v>
      </c>
      <c r="AN131" s="1096"/>
      <c r="AO131" s="1096"/>
      <c r="AP131" s="1096"/>
      <c r="AQ131" s="1096"/>
      <c r="AR131" s="1096"/>
      <c r="AS131" s="1096"/>
      <c r="AT131" s="1096"/>
      <c r="AU131" s="1096"/>
      <c r="AV131" s="1096"/>
      <c r="AW131" s="1096"/>
      <c r="AX131" s="1096"/>
      <c r="AY131" s="1096"/>
    </row>
    <row r="132" spans="1:51" x14ac:dyDescent="0.45">
      <c r="A132" s="1096">
        <v>1950</v>
      </c>
      <c r="B132" s="1096" t="s">
        <v>1385</v>
      </c>
      <c r="C132" s="1113">
        <f>[7]LRAll!C123</f>
        <v>8.2762962391613666</v>
      </c>
      <c r="D132" s="1113">
        <f>[7]LRAll!I123</f>
        <v>5.1649403630918194</v>
      </c>
      <c r="E132" s="1096"/>
      <c r="F132" s="1114">
        <f t="shared" si="6"/>
        <v>62.40642207383312</v>
      </c>
      <c r="G132" s="1096"/>
      <c r="H132" s="1096"/>
      <c r="I132" s="1096"/>
      <c r="J132" s="1096"/>
      <c r="K132" s="1096"/>
      <c r="L132" s="1096"/>
      <c r="M132" s="1096"/>
      <c r="N132" s="1096"/>
      <c r="O132" s="1096"/>
      <c r="P132" s="1096"/>
      <c r="Q132" s="1096"/>
      <c r="R132" s="1096"/>
      <c r="S132" s="1096"/>
      <c r="T132" s="1096"/>
      <c r="U132" s="1096"/>
      <c r="V132" s="1096"/>
      <c r="W132" s="1096"/>
      <c r="X132" s="1096"/>
      <c r="Y132" s="1096"/>
      <c r="Z132" s="1096"/>
      <c r="AA132" s="1096"/>
      <c r="AB132" s="1096" t="s">
        <v>1414</v>
      </c>
      <c r="AC132" s="1114">
        <v>327.9</v>
      </c>
      <c r="AD132" s="1096" t="s">
        <v>1414</v>
      </c>
      <c r="AE132" s="1114">
        <v>322.89999999999998</v>
      </c>
      <c r="AF132" s="1096" t="s">
        <v>1414</v>
      </c>
      <c r="AG132" s="1114">
        <v>298.8</v>
      </c>
      <c r="AH132" s="1096" t="s">
        <v>1414</v>
      </c>
      <c r="AI132" s="1114">
        <v>371</v>
      </c>
      <c r="AJ132" s="1096" t="s">
        <v>1414</v>
      </c>
      <c r="AK132" s="1114">
        <v>301.89999999999998</v>
      </c>
      <c r="AL132" s="1096" t="s">
        <v>1414</v>
      </c>
      <c r="AM132" s="1114">
        <v>260</v>
      </c>
      <c r="AN132" s="1096"/>
      <c r="AO132" s="1096"/>
      <c r="AP132" s="1096"/>
      <c r="AQ132" s="1096"/>
      <c r="AR132" s="1096"/>
      <c r="AS132" s="1096"/>
      <c r="AT132" s="1096"/>
      <c r="AU132" s="1096"/>
      <c r="AV132" s="1096"/>
      <c r="AW132" s="1096"/>
      <c r="AX132" s="1096"/>
      <c r="AY132" s="1096"/>
    </row>
    <row r="133" spans="1:51" x14ac:dyDescent="0.45">
      <c r="A133" s="1096">
        <v>1950</v>
      </c>
      <c r="B133" s="138" t="s">
        <v>1387</v>
      </c>
      <c r="C133" s="1113">
        <f>[7]LRAll!C124</f>
        <v>8.2982881689377042</v>
      </c>
      <c r="D133" s="1113">
        <f>[7]LRAll!I124</f>
        <v>5.1694277135375986</v>
      </c>
      <c r="E133" s="1096"/>
      <c r="F133" s="1114">
        <f t="shared" si="6"/>
        <v>62.295109645479528</v>
      </c>
      <c r="G133" s="1096"/>
      <c r="H133" s="1096"/>
      <c r="I133" s="1096"/>
      <c r="J133" s="1096"/>
      <c r="K133" s="1096"/>
      <c r="L133" s="1096"/>
      <c r="M133" s="1096"/>
      <c r="N133" s="1096"/>
      <c r="O133" s="1096"/>
      <c r="P133" s="1096"/>
      <c r="Q133" s="1096"/>
      <c r="R133" s="1096"/>
      <c r="S133" s="1096"/>
      <c r="T133" s="1096"/>
      <c r="U133" s="1096"/>
      <c r="V133" s="1096"/>
      <c r="W133" s="1096"/>
      <c r="X133" s="1096"/>
      <c r="Y133" s="1096"/>
      <c r="Z133" s="1096"/>
      <c r="AA133" s="1096"/>
      <c r="AB133" s="1096" t="s">
        <v>1415</v>
      </c>
      <c r="AC133" s="1114">
        <v>324.3</v>
      </c>
      <c r="AD133" s="1096" t="s">
        <v>1415</v>
      </c>
      <c r="AE133" s="1114">
        <v>322.89999999999998</v>
      </c>
      <c r="AF133" s="1096" t="s">
        <v>1415</v>
      </c>
      <c r="AG133" s="1114">
        <v>262.7</v>
      </c>
      <c r="AH133" s="1096" t="s">
        <v>1415</v>
      </c>
      <c r="AI133" s="1114">
        <v>365.9</v>
      </c>
      <c r="AJ133" s="1096" t="s">
        <v>1415</v>
      </c>
      <c r="AK133" s="1114">
        <v>301.89999999999998</v>
      </c>
      <c r="AL133" s="1096" t="s">
        <v>1415</v>
      </c>
      <c r="AM133" s="1114">
        <v>260</v>
      </c>
      <c r="AN133" s="1096"/>
      <c r="AO133" s="1096"/>
      <c r="AP133" s="1096"/>
      <c r="AQ133" s="1096"/>
      <c r="AR133" s="1096"/>
      <c r="AS133" s="1096"/>
      <c r="AT133" s="1096"/>
      <c r="AU133" s="1096"/>
      <c r="AV133" s="1096"/>
      <c r="AW133" s="1096"/>
      <c r="AX133" s="1096"/>
      <c r="AY133" s="1096"/>
    </row>
    <row r="134" spans="1:51" x14ac:dyDescent="0.45">
      <c r="A134" s="1096">
        <v>1950</v>
      </c>
      <c r="B134" s="1096" t="s">
        <v>1389</v>
      </c>
      <c r="C134" s="1113">
        <f>[7]LRAll!C125</f>
        <v>8.32028009871404</v>
      </c>
      <c r="D134" s="1113">
        <f>[7]LRAll!I125</f>
        <v>5.1784024144291578</v>
      </c>
      <c r="E134" s="1096"/>
      <c r="F134" s="1114">
        <f t="shared" si="6"/>
        <v>62.238318337738633</v>
      </c>
      <c r="G134" s="1096"/>
      <c r="H134" s="1096"/>
      <c r="I134" s="1096"/>
      <c r="J134" s="1096"/>
      <c r="K134" s="1096"/>
      <c r="L134" s="1096"/>
      <c r="M134" s="1096"/>
      <c r="N134" s="1096"/>
      <c r="O134" s="1096"/>
      <c r="P134" s="1096"/>
      <c r="Q134" s="1096"/>
      <c r="R134" s="1096"/>
      <c r="S134" s="1096"/>
      <c r="T134" s="1096"/>
      <c r="U134" s="1096"/>
      <c r="V134" s="1096"/>
      <c r="W134" s="1096"/>
      <c r="X134" s="1096"/>
      <c r="Y134" s="1096"/>
      <c r="Z134" s="1096"/>
      <c r="AA134" s="1096"/>
      <c r="AB134" s="1096" t="s">
        <v>1416</v>
      </c>
      <c r="AC134" s="1114">
        <v>320.89999999999998</v>
      </c>
      <c r="AD134" s="1096" t="s">
        <v>1416</v>
      </c>
      <c r="AE134" s="1114">
        <v>320.10000000000002</v>
      </c>
      <c r="AF134" s="1096" t="s">
        <v>1416</v>
      </c>
      <c r="AG134" s="1114">
        <v>292.7</v>
      </c>
      <c r="AH134" s="1096" t="s">
        <v>1416</v>
      </c>
      <c r="AI134" s="1114">
        <v>353.5</v>
      </c>
      <c r="AJ134" s="1096" t="s">
        <v>1416</v>
      </c>
      <c r="AK134" s="1114">
        <v>301.3</v>
      </c>
      <c r="AL134" s="1096" t="s">
        <v>1416</v>
      </c>
      <c r="AM134" s="1114">
        <v>262.2</v>
      </c>
      <c r="AN134" s="1096"/>
      <c r="AO134" s="1096"/>
      <c r="AP134" s="1096"/>
      <c r="AQ134" s="1096"/>
      <c r="AR134" s="1096"/>
      <c r="AS134" s="1096"/>
      <c r="AT134" s="1096"/>
      <c r="AU134" s="1096"/>
      <c r="AV134" s="1096"/>
      <c r="AW134" s="1096"/>
      <c r="AX134" s="1096"/>
      <c r="AY134" s="1096"/>
    </row>
    <row r="135" spans="1:51" x14ac:dyDescent="0.45">
      <c r="A135" s="1096">
        <v>1950</v>
      </c>
      <c r="B135" s="138" t="s">
        <v>1391</v>
      </c>
      <c r="C135" s="1113">
        <f>[7]LRAll!C126</f>
        <v>8.3496026717491549</v>
      </c>
      <c r="D135" s="1113">
        <f>[7]LRAll!I126</f>
        <v>5.1694277135375986</v>
      </c>
      <c r="E135" s="1096"/>
      <c r="F135" s="1114">
        <f t="shared" si="6"/>
        <v>61.912259981284322</v>
      </c>
      <c r="G135" s="1096"/>
      <c r="H135" s="1096"/>
      <c r="I135" s="1096"/>
      <c r="J135" s="1096"/>
      <c r="K135" s="1096"/>
      <c r="L135" s="1096"/>
      <c r="M135" s="1096"/>
      <c r="N135" s="1096"/>
      <c r="O135" s="1096"/>
      <c r="P135" s="1096"/>
      <c r="Q135" s="1096"/>
      <c r="R135" s="1096"/>
      <c r="S135" s="1096"/>
      <c r="T135" s="1096"/>
      <c r="U135" s="1096"/>
      <c r="V135" s="1096"/>
      <c r="W135" s="1096"/>
      <c r="X135" s="1096"/>
      <c r="Y135" s="1096"/>
      <c r="Z135" s="1096"/>
      <c r="AA135" s="1096"/>
      <c r="AB135" s="1096" t="s">
        <v>1417</v>
      </c>
      <c r="AC135" s="1114">
        <v>322</v>
      </c>
      <c r="AD135" s="1096" t="s">
        <v>1417</v>
      </c>
      <c r="AE135" s="1114">
        <v>315.60000000000002</v>
      </c>
      <c r="AF135" s="1096" t="s">
        <v>1417</v>
      </c>
      <c r="AG135" s="1114">
        <v>312.7</v>
      </c>
      <c r="AH135" s="1096" t="s">
        <v>1417</v>
      </c>
      <c r="AI135" s="1114">
        <v>353.5</v>
      </c>
      <c r="AJ135" s="1096" t="s">
        <v>1417</v>
      </c>
      <c r="AK135" s="1114">
        <v>301.3</v>
      </c>
      <c r="AL135" s="1096" t="s">
        <v>1417</v>
      </c>
      <c r="AM135" s="1114">
        <v>264.2</v>
      </c>
      <c r="AN135" s="1096"/>
      <c r="AO135" s="1096"/>
      <c r="AP135" s="1096"/>
      <c r="AQ135" s="1096"/>
      <c r="AR135" s="1096"/>
      <c r="AS135" s="1096"/>
      <c r="AT135" s="1096"/>
      <c r="AU135" s="1096"/>
      <c r="AV135" s="1096"/>
      <c r="AW135" s="1096"/>
      <c r="AX135" s="1096"/>
      <c r="AY135" s="1096"/>
    </row>
    <row r="136" spans="1:51" x14ac:dyDescent="0.45">
      <c r="A136" s="1096">
        <v>1950</v>
      </c>
      <c r="B136" s="1096" t="s">
        <v>1393</v>
      </c>
      <c r="C136" s="1113">
        <f>[7]LRAll!C127</f>
        <v>8.3715946015254925</v>
      </c>
      <c r="D136" s="1113">
        <f>[7]LRAll!I127</f>
        <v>5.2232759188869498</v>
      </c>
      <c r="E136" s="1096"/>
      <c r="F136" s="1114">
        <f t="shared" si="6"/>
        <v>62.392843508393867</v>
      </c>
      <c r="G136" s="1096"/>
      <c r="H136" s="1096"/>
      <c r="I136" s="1096"/>
      <c r="J136" s="1096"/>
      <c r="K136" s="1096"/>
      <c r="L136" s="1096"/>
      <c r="M136" s="1096"/>
      <c r="N136" s="1096"/>
      <c r="O136" s="1096"/>
      <c r="P136" s="1096"/>
      <c r="Q136" s="1096"/>
      <c r="R136" s="1096"/>
      <c r="S136" s="1096"/>
      <c r="T136" s="1096"/>
      <c r="U136" s="1096"/>
      <c r="V136" s="1096"/>
      <c r="W136" s="1096"/>
      <c r="X136" s="1096"/>
      <c r="Y136" s="1096"/>
      <c r="Z136" s="1096"/>
      <c r="AA136" s="1096"/>
      <c r="AB136" s="1096" t="s">
        <v>1418</v>
      </c>
      <c r="AC136" s="1114">
        <v>325</v>
      </c>
      <c r="AD136" s="1096" t="s">
        <v>1418</v>
      </c>
      <c r="AE136" s="1114">
        <v>325</v>
      </c>
      <c r="AF136" s="1096" t="s">
        <v>1418</v>
      </c>
      <c r="AG136" s="1114">
        <v>357.8</v>
      </c>
      <c r="AH136" s="1096" t="s">
        <v>1418</v>
      </c>
      <c r="AI136" s="1114">
        <v>353.5</v>
      </c>
      <c r="AJ136" s="1096" t="s">
        <v>1418</v>
      </c>
      <c r="AK136" s="1114">
        <v>301.3</v>
      </c>
      <c r="AL136" s="1096" t="s">
        <v>1418</v>
      </c>
      <c r="AM136" s="1114">
        <v>265.8</v>
      </c>
      <c r="AN136" s="1096"/>
      <c r="AO136" s="1096"/>
      <c r="AP136" s="1096"/>
      <c r="AQ136" s="1096"/>
      <c r="AR136" s="1096"/>
      <c r="AS136" s="1096"/>
      <c r="AT136" s="1096"/>
      <c r="AU136" s="1096"/>
      <c r="AV136" s="1096"/>
      <c r="AW136" s="1096"/>
      <c r="AX136" s="1096"/>
      <c r="AY136" s="1096"/>
    </row>
    <row r="137" spans="1:51" x14ac:dyDescent="0.45">
      <c r="A137" s="1096">
        <v>1950</v>
      </c>
      <c r="B137" s="138" t="s">
        <v>1371</v>
      </c>
      <c r="C137" s="1113">
        <f>[7]LRAll!C128</f>
        <v>8.3276107419728174</v>
      </c>
      <c r="D137" s="1113">
        <f>[7]LRAll!I128</f>
        <v>5.1155795081882491</v>
      </c>
      <c r="E137" s="1096"/>
      <c r="F137" s="1114">
        <f t="shared" si="6"/>
        <v>61.429138160897814</v>
      </c>
      <c r="G137" s="1096"/>
      <c r="H137" s="1096"/>
      <c r="I137" s="1096"/>
      <c r="J137" s="1096"/>
      <c r="K137" s="1096"/>
      <c r="L137" s="1096"/>
      <c r="M137" s="1096"/>
      <c r="N137" s="1096"/>
      <c r="O137" s="1096"/>
      <c r="P137" s="1096"/>
      <c r="Q137" s="1096"/>
      <c r="R137" s="1096"/>
      <c r="S137" s="1096"/>
      <c r="T137" s="1096"/>
      <c r="U137" s="1096"/>
      <c r="V137" s="1096"/>
      <c r="W137" s="1096"/>
      <c r="X137" s="1096"/>
      <c r="Y137" s="1096"/>
      <c r="Z137" s="1096"/>
      <c r="AA137" s="1096"/>
      <c r="AB137" s="1096" t="s">
        <v>1419</v>
      </c>
      <c r="AC137" s="1114">
        <v>326.60000000000002</v>
      </c>
      <c r="AD137" s="1096" t="s">
        <v>1419</v>
      </c>
      <c r="AE137" s="1114">
        <v>328.8</v>
      </c>
      <c r="AF137" s="1096" t="s">
        <v>1419</v>
      </c>
      <c r="AG137" s="1114">
        <v>385</v>
      </c>
      <c r="AH137" s="1096" t="s">
        <v>1419</v>
      </c>
      <c r="AI137" s="1114">
        <v>351.4</v>
      </c>
      <c r="AJ137" s="1096" t="s">
        <v>1419</v>
      </c>
      <c r="AK137" s="1114">
        <v>302.3</v>
      </c>
      <c r="AL137" s="1096" t="s">
        <v>1419</v>
      </c>
      <c r="AM137" s="1114">
        <v>267.7</v>
      </c>
      <c r="AN137" s="1096"/>
      <c r="AO137" s="1096"/>
      <c r="AP137" s="1096"/>
      <c r="AQ137" s="1096"/>
      <c r="AR137" s="1096"/>
      <c r="AS137" s="1096"/>
      <c r="AT137" s="1096"/>
      <c r="AU137" s="1096"/>
      <c r="AV137" s="1096"/>
      <c r="AW137" s="1096"/>
      <c r="AX137" s="1096"/>
      <c r="AY137" s="1096"/>
    </row>
    <row r="138" spans="1:51" x14ac:dyDescent="0.45">
      <c r="A138" s="1096">
        <v>1950</v>
      </c>
      <c r="B138" s="1096" t="s">
        <v>1373</v>
      </c>
      <c r="C138" s="1113">
        <f>[7]LRAll!C129</f>
        <v>8.3276107419728174</v>
      </c>
      <c r="D138" s="1113">
        <f>[7]LRAll!I129</f>
        <v>5.155965662200261</v>
      </c>
      <c r="E138" s="1096"/>
      <c r="F138" s="1114">
        <f t="shared" si="6"/>
        <v>61.91410504111542</v>
      </c>
      <c r="G138" s="1096"/>
      <c r="H138" s="1096"/>
      <c r="I138" s="1096"/>
      <c r="J138" s="1096"/>
      <c r="K138" s="1096"/>
      <c r="L138" s="1096"/>
      <c r="M138" s="1096"/>
      <c r="N138" s="1096"/>
      <c r="O138" s="1096"/>
      <c r="P138" s="1096"/>
      <c r="Q138" s="1096"/>
      <c r="R138" s="1096"/>
      <c r="S138" s="1096"/>
      <c r="T138" s="1096"/>
      <c r="U138" s="1096"/>
      <c r="V138" s="1096"/>
      <c r="W138" s="1096"/>
      <c r="X138" s="1096"/>
      <c r="Y138" s="1096"/>
      <c r="Z138" s="1096"/>
      <c r="AA138" s="1096"/>
      <c r="AB138" s="1096" t="s">
        <v>1420</v>
      </c>
      <c r="AC138" s="1114">
        <v>334.8</v>
      </c>
      <c r="AD138" s="1096" t="s">
        <v>1420</v>
      </c>
      <c r="AE138" s="1114">
        <v>326.3</v>
      </c>
      <c r="AF138" s="1096" t="s">
        <v>1420</v>
      </c>
      <c r="AG138" s="1114">
        <v>358.7</v>
      </c>
      <c r="AH138" s="1096" t="s">
        <v>1420</v>
      </c>
      <c r="AI138" s="1114">
        <v>350.6</v>
      </c>
      <c r="AJ138" s="1096" t="s">
        <v>1420</v>
      </c>
      <c r="AK138" s="1114">
        <v>320.3</v>
      </c>
      <c r="AL138" s="1096" t="s">
        <v>1420</v>
      </c>
      <c r="AM138" s="1114">
        <v>271.5</v>
      </c>
      <c r="AN138" s="1096"/>
      <c r="AO138" s="1096"/>
      <c r="AP138" s="1096"/>
      <c r="AQ138" s="1096"/>
      <c r="AR138" s="1096"/>
      <c r="AS138" s="1096"/>
      <c r="AT138" s="1096"/>
      <c r="AU138" s="1096"/>
      <c r="AV138" s="1096"/>
      <c r="AW138" s="1096"/>
      <c r="AX138" s="1096"/>
      <c r="AY138" s="1096"/>
    </row>
    <row r="139" spans="1:51" x14ac:dyDescent="0.45">
      <c r="A139" s="1096">
        <v>1950</v>
      </c>
      <c r="B139" s="138" t="s">
        <v>1375</v>
      </c>
      <c r="C139" s="1113">
        <f>[7]LRAll!C130</f>
        <v>8.2982881689377042</v>
      </c>
      <c r="D139" s="1113">
        <f>[7]LRAll!I130</f>
        <v>5.1918644657664954</v>
      </c>
      <c r="E139" s="1096"/>
      <c r="F139" s="1114">
        <f t="shared" si="6"/>
        <v>62.565487725538048</v>
      </c>
      <c r="G139" s="1096"/>
      <c r="H139" s="1096"/>
      <c r="I139" s="1096"/>
      <c r="J139" s="1096"/>
      <c r="K139" s="1096"/>
      <c r="L139" s="1096"/>
      <c r="M139" s="1096"/>
      <c r="N139" s="1096"/>
      <c r="O139" s="1096"/>
      <c r="P139" s="1096"/>
      <c r="Q139" s="1096"/>
      <c r="R139" s="1096"/>
      <c r="S139" s="1096"/>
      <c r="T139" s="1096"/>
      <c r="U139" s="1096"/>
      <c r="V139" s="1096"/>
      <c r="W139" s="1096"/>
      <c r="X139" s="1096"/>
      <c r="Y139" s="1096"/>
      <c r="Z139" s="1096"/>
      <c r="AA139" s="1096"/>
      <c r="AB139" s="1096" t="s">
        <v>1421</v>
      </c>
      <c r="AC139" s="1114">
        <v>340.1</v>
      </c>
      <c r="AD139" s="1096" t="s">
        <v>1421</v>
      </c>
      <c r="AE139" s="1114">
        <v>324.10000000000002</v>
      </c>
      <c r="AF139" s="1096" t="s">
        <v>1421</v>
      </c>
      <c r="AG139" s="1114">
        <v>358.9</v>
      </c>
      <c r="AH139" s="1096" t="s">
        <v>1421</v>
      </c>
      <c r="AI139" s="1114">
        <v>352.9</v>
      </c>
      <c r="AJ139" s="1096" t="s">
        <v>1421</v>
      </c>
      <c r="AK139" s="1114">
        <v>328.4</v>
      </c>
      <c r="AL139" s="1096" t="s">
        <v>1421</v>
      </c>
      <c r="AM139" s="1114">
        <v>274.2</v>
      </c>
      <c r="AN139" s="1096"/>
      <c r="AO139" s="1096"/>
      <c r="AP139" s="1096"/>
      <c r="AQ139" s="1096"/>
      <c r="AR139" s="1096"/>
      <c r="AS139" s="1096"/>
      <c r="AT139" s="1096"/>
      <c r="AU139" s="1096"/>
      <c r="AV139" s="1096"/>
      <c r="AW139" s="1096"/>
      <c r="AX139" s="1096"/>
      <c r="AY139" s="1096"/>
    </row>
    <row r="140" spans="1:51" x14ac:dyDescent="0.45">
      <c r="A140" s="1096">
        <v>1950</v>
      </c>
      <c r="B140" s="1096" t="s">
        <v>1377</v>
      </c>
      <c r="C140" s="1113">
        <f>[7]LRAll!C131</f>
        <v>8.3496026717491549</v>
      </c>
      <c r="D140" s="1113">
        <f>[7]LRAll!I131</f>
        <v>5.2412253206700665</v>
      </c>
      <c r="E140" s="1096"/>
      <c r="F140" s="1114">
        <f t="shared" si="6"/>
        <v>62.772152481024399</v>
      </c>
      <c r="G140" s="1096"/>
      <c r="H140" s="1096"/>
      <c r="I140" s="1096"/>
      <c r="J140" s="1096"/>
      <c r="K140" s="1096"/>
      <c r="L140" s="1096"/>
      <c r="M140" s="1096"/>
      <c r="N140" s="1096"/>
      <c r="O140" s="1096"/>
      <c r="P140" s="1096"/>
      <c r="Q140" s="1096"/>
      <c r="R140" s="1096"/>
      <c r="S140" s="1096"/>
      <c r="T140" s="1096"/>
      <c r="U140" s="1096"/>
      <c r="V140" s="1096"/>
      <c r="W140" s="1096"/>
      <c r="X140" s="1096"/>
      <c r="Y140" s="1096"/>
      <c r="Z140" s="1096"/>
      <c r="AA140" s="1096"/>
      <c r="AB140" s="1096" t="s">
        <v>1422</v>
      </c>
      <c r="AC140" s="1114">
        <v>346.1</v>
      </c>
      <c r="AD140" s="1096" t="s">
        <v>1422</v>
      </c>
      <c r="AE140" s="1114">
        <v>333.7</v>
      </c>
      <c r="AF140" s="1096" t="s">
        <v>1422</v>
      </c>
      <c r="AG140" s="1114">
        <v>400</v>
      </c>
      <c r="AH140" s="1096" t="s">
        <v>1422</v>
      </c>
      <c r="AI140" s="1114">
        <v>353.2</v>
      </c>
      <c r="AJ140" s="1096" t="s">
        <v>1422</v>
      </c>
      <c r="AK140" s="1114">
        <v>335.7</v>
      </c>
      <c r="AL140" s="1096" t="s">
        <v>1422</v>
      </c>
      <c r="AM140" s="1114">
        <v>276.39999999999998</v>
      </c>
      <c r="AN140" s="1096"/>
      <c r="AO140" s="1096"/>
      <c r="AP140" s="1096"/>
      <c r="AQ140" s="1096"/>
      <c r="AR140" s="1096"/>
      <c r="AS140" s="1096"/>
      <c r="AT140" s="1096"/>
      <c r="AU140" s="1096"/>
      <c r="AV140" s="1096"/>
      <c r="AW140" s="1096"/>
      <c r="AX140" s="1096"/>
      <c r="AY140" s="1096"/>
    </row>
    <row r="141" spans="1:51" x14ac:dyDescent="0.45">
      <c r="A141" s="1096">
        <v>1950</v>
      </c>
      <c r="B141" s="138" t="s">
        <v>1379</v>
      </c>
      <c r="C141" s="1113">
        <f>[7]LRAll!C132</f>
        <v>8.4375703908545017</v>
      </c>
      <c r="D141" s="1113">
        <f>[7]LRAll!I132</f>
        <v>5.2860988251278576</v>
      </c>
      <c r="E141" s="1096"/>
      <c r="F141" s="1114">
        <f t="shared" si="6"/>
        <v>62.649537488392035</v>
      </c>
      <c r="G141" s="1096"/>
      <c r="H141" s="1096"/>
      <c r="I141" s="1096"/>
      <c r="J141" s="1096"/>
      <c r="K141" s="1096"/>
      <c r="L141" s="1096"/>
      <c r="M141" s="1096"/>
      <c r="N141" s="1096"/>
      <c r="O141" s="1096"/>
      <c r="P141" s="1096"/>
      <c r="Q141" s="1096"/>
      <c r="R141" s="1096"/>
      <c r="S141" s="1096"/>
      <c r="T141" s="1096"/>
      <c r="U141" s="1096"/>
      <c r="V141" s="1096"/>
      <c r="W141" s="1096"/>
      <c r="X141" s="1096"/>
      <c r="Y141" s="1096"/>
      <c r="Z141" s="1096"/>
      <c r="AA141" s="1096"/>
      <c r="AB141" s="1096" t="s">
        <v>1423</v>
      </c>
      <c r="AC141" s="1114">
        <v>347.8</v>
      </c>
      <c r="AD141" s="1096" t="s">
        <v>1423</v>
      </c>
      <c r="AE141" s="1114">
        <v>336.5</v>
      </c>
      <c r="AF141" s="1096" t="s">
        <v>1423</v>
      </c>
      <c r="AG141" s="1114">
        <v>437</v>
      </c>
      <c r="AH141" s="1096" t="s">
        <v>1423</v>
      </c>
      <c r="AI141" s="1114">
        <v>353.2</v>
      </c>
      <c r="AJ141" s="1096" t="s">
        <v>1423</v>
      </c>
      <c r="AK141" s="1114">
        <v>335.7</v>
      </c>
      <c r="AL141" s="1096" t="s">
        <v>1423</v>
      </c>
      <c r="AM141" s="1114">
        <v>277.5</v>
      </c>
      <c r="AN141" s="1096"/>
      <c r="AO141" s="1096"/>
      <c r="AP141" s="1096"/>
      <c r="AQ141" s="1096"/>
      <c r="AR141" s="1096"/>
      <c r="AS141" s="1096"/>
      <c r="AT141" s="1096"/>
      <c r="AU141" s="1096"/>
      <c r="AV141" s="1096"/>
      <c r="AW141" s="1096"/>
      <c r="AX141" s="1096"/>
      <c r="AY141" s="1096"/>
    </row>
    <row r="142" spans="1:51" x14ac:dyDescent="0.45">
      <c r="A142" s="1096">
        <v>1950</v>
      </c>
      <c r="B142" s="1096" t="s">
        <v>1381</v>
      </c>
      <c r="C142" s="1113">
        <f>[7]LRAll!C133</f>
        <v>8.4742236071483976</v>
      </c>
      <c r="D142" s="1113">
        <f>[7]LRAll!I133</f>
        <v>5.3803331844892206</v>
      </c>
      <c r="E142" s="1096"/>
      <c r="F142" s="1114">
        <f t="shared" si="6"/>
        <v>63.490573696340306</v>
      </c>
      <c r="G142" s="1096"/>
      <c r="H142" s="1096"/>
      <c r="I142" s="1096"/>
      <c r="J142" s="1096"/>
      <c r="K142" s="1096"/>
      <c r="L142" s="1096"/>
      <c r="M142" s="1096"/>
      <c r="N142" s="1096"/>
      <c r="O142" s="1096"/>
      <c r="P142" s="1096"/>
      <c r="Q142" s="1096"/>
      <c r="R142" s="1096"/>
      <c r="S142" s="1096"/>
      <c r="T142" s="1096"/>
      <c r="U142" s="1096"/>
      <c r="V142" s="1096"/>
      <c r="W142" s="1096"/>
      <c r="X142" s="1096"/>
      <c r="Y142" s="1096"/>
      <c r="Z142" s="1096"/>
      <c r="AA142" s="1096"/>
      <c r="AB142" s="1096" t="s">
        <v>1424</v>
      </c>
      <c r="AC142" s="1114">
        <v>353</v>
      </c>
      <c r="AD142" s="1096" t="s">
        <v>1424</v>
      </c>
      <c r="AE142" s="1114">
        <v>330.3</v>
      </c>
      <c r="AF142" s="1096" t="s">
        <v>1424</v>
      </c>
      <c r="AG142" s="1114">
        <v>456.4</v>
      </c>
      <c r="AH142" s="1096" t="s">
        <v>1424</v>
      </c>
      <c r="AI142" s="1114">
        <v>357.7</v>
      </c>
      <c r="AJ142" s="1096" t="s">
        <v>1424</v>
      </c>
      <c r="AK142" s="1114">
        <v>341.3</v>
      </c>
      <c r="AL142" s="1096" t="s">
        <v>1424</v>
      </c>
      <c r="AM142" s="1114">
        <v>280.60000000000002</v>
      </c>
      <c r="AN142" s="1096"/>
      <c r="AO142" s="1096"/>
      <c r="AP142" s="1096"/>
      <c r="AQ142" s="1096"/>
      <c r="AR142" s="1096"/>
      <c r="AS142" s="1096"/>
      <c r="AT142" s="1096"/>
      <c r="AU142" s="1096"/>
      <c r="AV142" s="1096"/>
      <c r="AW142" s="1096"/>
      <c r="AX142" s="1096"/>
      <c r="AY142" s="1096"/>
    </row>
    <row r="143" spans="1:51" x14ac:dyDescent="0.45">
      <c r="A143" s="1096">
        <v>1950</v>
      </c>
      <c r="B143" s="138" t="s">
        <v>1383</v>
      </c>
      <c r="C143" s="1113">
        <f>[7]LRAll!C134</f>
        <v>8.518207466701071</v>
      </c>
      <c r="D143" s="1113">
        <f>[7]LRAll!I134</f>
        <v>5.4700801934048027</v>
      </c>
      <c r="E143" s="1096"/>
      <c r="F143" s="1114">
        <f t="shared" si="6"/>
        <v>64.216329724160303</v>
      </c>
      <c r="G143" s="1096"/>
      <c r="H143" s="1096"/>
      <c r="I143" s="1096"/>
      <c r="J143" s="1096"/>
      <c r="K143" s="1096"/>
      <c r="L143" s="1096"/>
      <c r="M143" s="1096"/>
      <c r="N143" s="1096"/>
      <c r="O143" s="1096"/>
      <c r="P143" s="1096"/>
      <c r="Q143" s="1096"/>
      <c r="R143" s="1096"/>
      <c r="S143" s="1096"/>
      <c r="T143" s="1096"/>
      <c r="U143" s="1096"/>
      <c r="V143" s="1096"/>
      <c r="W143" s="1096"/>
      <c r="X143" s="1096"/>
      <c r="Y143" s="1096"/>
      <c r="Z143" s="1096"/>
      <c r="AA143" s="1096"/>
      <c r="AB143" s="1096" t="s">
        <v>1425</v>
      </c>
      <c r="AC143" s="1114">
        <v>365.2</v>
      </c>
      <c r="AD143" s="1096" t="s">
        <v>1425</v>
      </c>
      <c r="AE143" s="1114">
        <v>328.6</v>
      </c>
      <c r="AF143" s="1096" t="s">
        <v>1425</v>
      </c>
      <c r="AG143" s="1114">
        <v>460.3</v>
      </c>
      <c r="AH143" s="1096" t="s">
        <v>1425</v>
      </c>
      <c r="AI143" s="1114">
        <v>369.3</v>
      </c>
      <c r="AJ143" s="1096" t="s">
        <v>1425</v>
      </c>
      <c r="AK143" s="1114">
        <v>354.8</v>
      </c>
      <c r="AL143" s="1096" t="s">
        <v>1425</v>
      </c>
      <c r="AM143" s="1114">
        <v>283.3</v>
      </c>
      <c r="AN143" s="1096"/>
      <c r="AO143" s="1096"/>
      <c r="AP143" s="1096"/>
      <c r="AQ143" s="1096"/>
      <c r="AR143" s="1096"/>
      <c r="AS143" s="1096"/>
      <c r="AT143" s="1096"/>
      <c r="AU143" s="1096"/>
      <c r="AV143" s="1096"/>
      <c r="AW143" s="1096"/>
      <c r="AX143" s="1096"/>
      <c r="AY143" s="1096"/>
    </row>
    <row r="144" spans="1:51" x14ac:dyDescent="0.45">
      <c r="A144" s="1096">
        <v>1951</v>
      </c>
      <c r="B144" s="1096" t="s">
        <v>1385</v>
      </c>
      <c r="C144" s="1113">
        <f>[7]LRAll!C135</f>
        <v>8.5988445425476367</v>
      </c>
      <c r="D144" s="1113">
        <f>[7]LRAll!I135</f>
        <v>5.4880295951879203</v>
      </c>
      <c r="E144" s="1096"/>
      <c r="F144" s="1114">
        <f t="shared" si="6"/>
        <v>63.822872573550967</v>
      </c>
      <c r="G144" s="1096"/>
      <c r="H144" s="1096"/>
      <c r="I144" s="1096"/>
      <c r="J144" s="1096"/>
      <c r="K144" s="1096"/>
      <c r="L144" s="1096"/>
      <c r="M144" s="1096"/>
      <c r="N144" s="1096"/>
      <c r="O144" s="1096"/>
      <c r="P144" s="1096"/>
      <c r="Q144" s="1096"/>
      <c r="R144" s="1096"/>
      <c r="S144" s="1096"/>
      <c r="T144" s="1096"/>
      <c r="U144" s="1096"/>
      <c r="V144" s="1096"/>
      <c r="W144" s="1096"/>
      <c r="X144" s="1096"/>
      <c r="Y144" s="1096"/>
      <c r="Z144" s="1096"/>
      <c r="AA144" s="1096"/>
      <c r="AB144" s="1096" t="s">
        <v>1426</v>
      </c>
      <c r="AC144" s="1114">
        <v>376.5</v>
      </c>
      <c r="AD144" s="1096" t="s">
        <v>1426</v>
      </c>
      <c r="AE144" s="1114">
        <v>340.7</v>
      </c>
      <c r="AF144" s="1096" t="s">
        <v>1426</v>
      </c>
      <c r="AG144" s="1114">
        <v>480.9</v>
      </c>
      <c r="AH144" s="1096" t="s">
        <v>1426</v>
      </c>
      <c r="AI144" s="1114">
        <v>379.7</v>
      </c>
      <c r="AJ144" s="1096" t="s">
        <v>1426</v>
      </c>
      <c r="AK144" s="1114">
        <v>366</v>
      </c>
      <c r="AL144" s="1096" t="s">
        <v>1426</v>
      </c>
      <c r="AM144" s="1114">
        <v>284.89999999999998</v>
      </c>
      <c r="AN144" s="1096"/>
      <c r="AO144" s="1096"/>
      <c r="AP144" s="1096"/>
      <c r="AQ144" s="1096"/>
      <c r="AR144" s="1096"/>
      <c r="AS144" s="1096"/>
      <c r="AT144" s="1096"/>
      <c r="AU144" s="1096"/>
      <c r="AV144" s="1096"/>
      <c r="AW144" s="1096"/>
      <c r="AX144" s="1096"/>
      <c r="AY144" s="1096"/>
    </row>
    <row r="145" spans="1:51" x14ac:dyDescent="0.45">
      <c r="A145" s="1096">
        <v>1951</v>
      </c>
      <c r="B145" s="138" t="s">
        <v>1387</v>
      </c>
      <c r="C145" s="1113">
        <f>[7]LRAll!C136</f>
        <v>8.6794816183942061</v>
      </c>
      <c r="D145" s="1113">
        <f>[7]LRAll!I136</f>
        <v>5.6361121598986328</v>
      </c>
      <c r="E145" s="1096"/>
      <c r="F145" s="1114">
        <f t="shared" si="6"/>
        <v>64.936045811240177</v>
      </c>
      <c r="G145" s="1096"/>
      <c r="H145" s="1096"/>
      <c r="I145" s="1096"/>
      <c r="J145" s="1096"/>
      <c r="K145" s="1096"/>
      <c r="L145" s="1096"/>
      <c r="M145" s="1096"/>
      <c r="N145" s="1096"/>
      <c r="O145" s="1096"/>
      <c r="P145" s="1096"/>
      <c r="Q145" s="1096"/>
      <c r="R145" s="1096"/>
      <c r="S145" s="1096"/>
      <c r="T145" s="1096"/>
      <c r="U145" s="1096"/>
      <c r="V145" s="1096"/>
      <c r="W145" s="1096"/>
      <c r="X145" s="1096"/>
      <c r="Y145" s="1096"/>
      <c r="Z145" s="1096"/>
      <c r="AA145" s="1096"/>
      <c r="AB145" s="1096" t="s">
        <v>1427</v>
      </c>
      <c r="AC145" s="1114">
        <v>353.2</v>
      </c>
      <c r="AD145" s="1096" t="s">
        <v>1427</v>
      </c>
      <c r="AE145" s="1114">
        <v>345</v>
      </c>
      <c r="AF145" s="1096" t="s">
        <v>1427</v>
      </c>
      <c r="AG145" s="1114">
        <v>448.8</v>
      </c>
      <c r="AH145" s="1096" t="s">
        <v>1427</v>
      </c>
      <c r="AI145" s="1114">
        <v>346.9</v>
      </c>
      <c r="AJ145" s="1096" t="s">
        <v>1427</v>
      </c>
      <c r="AK145" s="1114">
        <v>348.5</v>
      </c>
      <c r="AL145" s="1096" t="s">
        <v>1427</v>
      </c>
      <c r="AM145" s="1114">
        <v>284.39999999999998</v>
      </c>
      <c r="AN145" s="1096"/>
      <c r="AO145" s="1096"/>
      <c r="AP145" s="1096"/>
      <c r="AQ145" s="1096"/>
      <c r="AR145" s="1096"/>
      <c r="AS145" s="1096"/>
      <c r="AT145" s="1096"/>
      <c r="AU145" s="1096"/>
      <c r="AV145" s="1096"/>
      <c r="AW145" s="1096"/>
      <c r="AX145" s="1096"/>
      <c r="AY145" s="1096"/>
    </row>
    <row r="146" spans="1:51" x14ac:dyDescent="0.45">
      <c r="A146" s="1096">
        <v>1951</v>
      </c>
      <c r="B146" s="1096" t="s">
        <v>1389</v>
      </c>
      <c r="C146" s="1113">
        <f>[7]LRAll!C137</f>
        <v>8.7381267644644378</v>
      </c>
      <c r="D146" s="1113">
        <f>[7]LRAll!I137</f>
        <v>5.6675236130190871</v>
      </c>
      <c r="E146" s="1096"/>
      <c r="F146" s="1114">
        <f t="shared" si="6"/>
        <v>64.859709246464007</v>
      </c>
      <c r="G146" s="1096"/>
      <c r="H146" s="1096"/>
      <c r="I146" s="1096"/>
      <c r="J146" s="1096"/>
      <c r="K146" s="1096"/>
      <c r="L146" s="1096"/>
      <c r="M146" s="1096"/>
      <c r="N146" s="1096"/>
      <c r="O146" s="1096"/>
      <c r="P146" s="1096"/>
      <c r="Q146" s="1096"/>
      <c r="R146" s="1096"/>
      <c r="S146" s="1096"/>
      <c r="T146" s="1096"/>
      <c r="U146" s="1096"/>
      <c r="V146" s="1096"/>
      <c r="W146" s="1096"/>
      <c r="X146" s="1096"/>
      <c r="Y146" s="1096"/>
      <c r="Z146" s="1096"/>
      <c r="AA146" s="1096"/>
      <c r="AB146" s="1096" t="s">
        <v>1428</v>
      </c>
      <c r="AC146" s="1114">
        <v>386</v>
      </c>
      <c r="AD146" s="1096" t="s">
        <v>1428</v>
      </c>
      <c r="AE146" s="1114">
        <v>342.5</v>
      </c>
      <c r="AF146" s="1096" t="s">
        <v>1428</v>
      </c>
      <c r="AG146" s="1114">
        <v>457.1</v>
      </c>
      <c r="AH146" s="1096" t="s">
        <v>1428</v>
      </c>
      <c r="AI146" s="1114">
        <v>379.5</v>
      </c>
      <c r="AJ146" s="1096" t="s">
        <v>1428</v>
      </c>
      <c r="AK146" s="1114">
        <v>386.4</v>
      </c>
      <c r="AL146" s="1096" t="s">
        <v>1428</v>
      </c>
      <c r="AM146" s="1114">
        <v>289</v>
      </c>
      <c r="AN146" s="1096"/>
      <c r="AO146" s="1096"/>
      <c r="AP146" s="1096"/>
      <c r="AQ146" s="1096"/>
      <c r="AR146" s="1096"/>
      <c r="AS146" s="1096"/>
      <c r="AT146" s="1096"/>
      <c r="AU146" s="1096"/>
      <c r="AV146" s="1096"/>
      <c r="AW146" s="1096"/>
      <c r="AX146" s="1096"/>
      <c r="AY146" s="1096"/>
    </row>
    <row r="147" spans="1:51" x14ac:dyDescent="0.45">
      <c r="A147" s="1096">
        <v>1951</v>
      </c>
      <c r="B147" s="138" t="s">
        <v>1391</v>
      </c>
      <c r="C147" s="1113">
        <f>[7]LRAll!C138</f>
        <v>8.8774089863812353</v>
      </c>
      <c r="D147" s="1113">
        <f>[7]LRAll!I138</f>
        <v>5.757270621934671</v>
      </c>
      <c r="E147" s="1096"/>
      <c r="F147" s="1114">
        <f t="shared" si="6"/>
        <v>64.853051501478149</v>
      </c>
      <c r="G147" s="1096"/>
      <c r="H147" s="1096"/>
      <c r="I147" s="1096"/>
      <c r="J147" s="1096"/>
      <c r="K147" s="1096"/>
      <c r="L147" s="1096"/>
      <c r="M147" s="1096"/>
      <c r="N147" s="1096"/>
      <c r="O147" s="1096"/>
      <c r="P147" s="1096"/>
      <c r="Q147" s="1096"/>
      <c r="R147" s="1096"/>
      <c r="S147" s="1096"/>
      <c r="T147" s="1096"/>
      <c r="U147" s="1096"/>
      <c r="V147" s="1096"/>
      <c r="W147" s="1096"/>
      <c r="X147" s="1096"/>
      <c r="Y147" s="1096"/>
      <c r="Z147" s="1096"/>
      <c r="AA147" s="1096"/>
      <c r="AB147" s="1096" t="s">
        <v>1429</v>
      </c>
      <c r="AC147" s="1114">
        <v>385.3</v>
      </c>
      <c r="AD147" s="1096" t="s">
        <v>1429</v>
      </c>
      <c r="AE147" s="1114">
        <v>343.1</v>
      </c>
      <c r="AF147" s="1096" t="s">
        <v>1429</v>
      </c>
      <c r="AG147" s="1114">
        <v>451.3</v>
      </c>
      <c r="AH147" s="1096" t="s">
        <v>1429</v>
      </c>
      <c r="AI147" s="1114">
        <v>379.5</v>
      </c>
      <c r="AJ147" s="1096" t="s">
        <v>1429</v>
      </c>
      <c r="AK147" s="1114">
        <v>386.4</v>
      </c>
      <c r="AL147" s="1096" t="s">
        <v>1429</v>
      </c>
      <c r="AM147" s="1114">
        <v>290.7</v>
      </c>
      <c r="AN147" s="1096"/>
      <c r="AO147" s="1096"/>
      <c r="AP147" s="1096"/>
      <c r="AQ147" s="1096"/>
      <c r="AR147" s="1096"/>
      <c r="AS147" s="1096"/>
      <c r="AT147" s="1096"/>
      <c r="AU147" s="1096"/>
      <c r="AV147" s="1096"/>
      <c r="AW147" s="1096"/>
      <c r="AX147" s="1096"/>
      <c r="AY147" s="1096"/>
    </row>
    <row r="148" spans="1:51" x14ac:dyDescent="0.45">
      <c r="A148" s="1096">
        <v>1951</v>
      </c>
      <c r="B148" s="1096" t="s">
        <v>1393</v>
      </c>
      <c r="C148" s="1113">
        <f>[7]LRAll!C139</f>
        <v>9.0973282841446022</v>
      </c>
      <c r="D148" s="1113">
        <f>[7]LRAll!I139</f>
        <v>5.6944477156937623</v>
      </c>
      <c r="E148" s="1096"/>
      <c r="F148" s="1114">
        <f t="shared" si="6"/>
        <v>62.594726032019807</v>
      </c>
      <c r="G148" s="1096"/>
      <c r="H148" s="1096"/>
      <c r="I148" s="1096"/>
      <c r="J148" s="1096"/>
      <c r="K148" s="1096"/>
      <c r="L148" s="1096"/>
      <c r="M148" s="1096"/>
      <c r="N148" s="1096"/>
      <c r="O148" s="1096"/>
      <c r="P148" s="1096"/>
      <c r="Q148" s="1096"/>
      <c r="R148" s="1096"/>
      <c r="S148" s="1096"/>
      <c r="T148" s="1096"/>
      <c r="U148" s="1096"/>
      <c r="V148" s="1096"/>
      <c r="W148" s="1096"/>
      <c r="X148" s="1096"/>
      <c r="Y148" s="1096"/>
      <c r="Z148" s="1096"/>
      <c r="AA148" s="1096"/>
      <c r="AB148" s="1096" t="s">
        <v>1430</v>
      </c>
      <c r="AC148" s="1114">
        <v>368.3</v>
      </c>
      <c r="AD148" s="1096" t="s">
        <v>1430</v>
      </c>
      <c r="AE148" s="1114">
        <v>354.3</v>
      </c>
      <c r="AF148" s="1096" t="s">
        <v>1430</v>
      </c>
      <c r="AG148" s="1114">
        <v>458.8</v>
      </c>
      <c r="AH148" s="1096" t="s">
        <v>1430</v>
      </c>
      <c r="AI148" s="1114">
        <v>345.7</v>
      </c>
      <c r="AJ148" s="1096" t="s">
        <v>1430</v>
      </c>
      <c r="AK148" s="1114">
        <v>378.1</v>
      </c>
      <c r="AL148" s="1096" t="s">
        <v>1430</v>
      </c>
      <c r="AM148" s="1114">
        <v>291.10000000000002</v>
      </c>
      <c r="AN148" s="1096"/>
      <c r="AO148" s="1096"/>
      <c r="AP148" s="1096"/>
      <c r="AQ148" s="1096"/>
      <c r="AR148" s="1096"/>
      <c r="AS148" s="1096"/>
      <c r="AT148" s="1096"/>
      <c r="AU148" s="1096"/>
      <c r="AV148" s="1096"/>
      <c r="AW148" s="1096"/>
      <c r="AX148" s="1096"/>
      <c r="AY148" s="1096"/>
    </row>
    <row r="149" spans="1:51" x14ac:dyDescent="0.45">
      <c r="A149" s="1096">
        <v>1951</v>
      </c>
      <c r="B149" s="138" t="s">
        <v>1371</v>
      </c>
      <c r="C149" s="1113">
        <f>[7]LRAll!C140</f>
        <v>9.1266508571797171</v>
      </c>
      <c r="D149" s="1113">
        <f>[7]LRAll!I140</f>
        <v>5.6361121598986328</v>
      </c>
      <c r="E149" s="1096"/>
      <c r="F149" s="1114">
        <f t="shared" si="6"/>
        <v>61.754440353822005</v>
      </c>
      <c r="G149" s="1096"/>
      <c r="H149" s="1096"/>
      <c r="I149" s="1096"/>
      <c r="J149" s="1096"/>
      <c r="K149" s="1096"/>
      <c r="L149" s="1096"/>
      <c r="M149" s="1096"/>
      <c r="N149" s="1096"/>
      <c r="O149" s="1096"/>
      <c r="P149" s="1096"/>
      <c r="Q149" s="1096"/>
      <c r="R149" s="1096"/>
      <c r="S149" s="1096"/>
      <c r="T149" s="1096"/>
      <c r="U149" s="1096"/>
      <c r="V149" s="1096"/>
      <c r="W149" s="1096"/>
      <c r="X149" s="1096"/>
      <c r="Y149" s="1096"/>
      <c r="Z149" s="1096"/>
      <c r="AA149" s="1096"/>
      <c r="AB149" s="1096"/>
      <c r="AC149" s="1096"/>
      <c r="AD149" s="1096"/>
      <c r="AE149" s="1096"/>
      <c r="AF149" s="1096"/>
      <c r="AG149" s="1096"/>
      <c r="AH149" s="1096"/>
      <c r="AI149" s="1096"/>
      <c r="AJ149" s="1096"/>
      <c r="AK149" s="1096"/>
      <c r="AL149" s="1096"/>
      <c r="AM149" s="1096"/>
      <c r="AN149" s="1096"/>
      <c r="AO149" s="1096"/>
      <c r="AP149" s="1096"/>
      <c r="AQ149" s="1096"/>
      <c r="AR149" s="1096"/>
      <c r="AS149" s="1096"/>
      <c r="AT149" s="1096"/>
      <c r="AU149" s="1096"/>
      <c r="AV149" s="1096"/>
      <c r="AW149" s="1096"/>
      <c r="AX149" s="1096"/>
      <c r="AY149" s="1096"/>
    </row>
    <row r="150" spans="1:51" x14ac:dyDescent="0.45">
      <c r="A150" s="1096">
        <v>1951</v>
      </c>
      <c r="B150" s="1096" t="s">
        <v>1373</v>
      </c>
      <c r="C150" s="1113">
        <f>[7]LRAll!C141</f>
        <v>9.2659330790965182</v>
      </c>
      <c r="D150" s="1113">
        <f>[7]LRAll!I141</f>
        <v>5.7213718183684366</v>
      </c>
      <c r="E150" s="1096"/>
      <c r="F150" s="1114">
        <f t="shared" si="6"/>
        <v>61.746310593107623</v>
      </c>
      <c r="G150" s="1096"/>
      <c r="H150" s="1096"/>
      <c r="I150" s="1096"/>
      <c r="J150" s="1096"/>
      <c r="K150" s="1096"/>
      <c r="L150" s="1096"/>
      <c r="M150" s="1096"/>
      <c r="N150" s="1096"/>
      <c r="O150" s="1096"/>
      <c r="P150" s="1096"/>
      <c r="Q150" s="1096"/>
      <c r="R150" s="1096"/>
      <c r="S150" s="1096"/>
      <c r="T150" s="1096"/>
      <c r="U150" s="1096"/>
      <c r="V150" s="1096"/>
      <c r="W150" s="1096"/>
      <c r="X150" s="1096"/>
      <c r="Y150" s="1096"/>
      <c r="Z150" s="1096"/>
      <c r="AA150" s="1096"/>
      <c r="AB150" s="1096"/>
      <c r="AC150" s="1096"/>
      <c r="AD150" s="1096"/>
      <c r="AE150" s="1096"/>
      <c r="AF150" s="1096"/>
      <c r="AG150" s="1096"/>
      <c r="AH150" s="1096"/>
      <c r="AI150" s="1096"/>
      <c r="AJ150" s="1096"/>
      <c r="AK150" s="1096"/>
      <c r="AL150" s="1096"/>
      <c r="AM150" s="1096"/>
      <c r="AN150" s="1096"/>
      <c r="AO150" s="1096"/>
      <c r="AP150" s="1096"/>
      <c r="AQ150" s="1096"/>
      <c r="AR150" s="1096"/>
      <c r="AS150" s="1096"/>
      <c r="AT150" s="1096"/>
      <c r="AU150" s="1096"/>
      <c r="AV150" s="1096"/>
      <c r="AW150" s="1096"/>
      <c r="AX150" s="1096"/>
      <c r="AY150" s="1096"/>
    </row>
    <row r="151" spans="1:51" x14ac:dyDescent="0.45">
      <c r="A151" s="1096">
        <v>1951</v>
      </c>
      <c r="B151" s="138" t="s">
        <v>1375</v>
      </c>
      <c r="C151" s="1113">
        <f>[7]LRAll!C142</f>
        <v>9.3099169386491916</v>
      </c>
      <c r="D151" s="1113">
        <f>[7]LRAll!I142</f>
        <v>5.7348338697057732</v>
      </c>
      <c r="E151" s="1096"/>
      <c r="F151" s="1114">
        <f t="shared" si="6"/>
        <v>61.599194788711621</v>
      </c>
      <c r="G151" s="1096"/>
      <c r="H151" s="1096"/>
      <c r="I151" s="1096"/>
      <c r="J151" s="1096"/>
      <c r="K151" s="1096"/>
      <c r="L151" s="1096"/>
      <c r="M151" s="1096"/>
      <c r="N151" s="1096"/>
      <c r="O151" s="1096"/>
      <c r="P151" s="1096"/>
      <c r="Q151" s="1096"/>
      <c r="R151" s="1096"/>
      <c r="S151" s="1096"/>
      <c r="T151" s="1096"/>
      <c r="U151" s="1096"/>
      <c r="V151" s="1096"/>
      <c r="W151" s="1096"/>
      <c r="X151" s="1096"/>
      <c r="Y151" s="1096"/>
      <c r="Z151" s="1096"/>
      <c r="AA151" s="1096"/>
      <c r="AB151" s="1096"/>
      <c r="AC151" s="1096"/>
      <c r="AD151" s="1096"/>
      <c r="AE151" s="1096"/>
      <c r="AF151" s="1096"/>
      <c r="AG151" s="1096"/>
      <c r="AH151" s="1096"/>
      <c r="AI151" s="1096"/>
      <c r="AJ151" s="1096"/>
      <c r="AK151" s="1096"/>
      <c r="AL151" s="1096"/>
      <c r="AM151" s="1096"/>
      <c r="AN151" s="1096"/>
      <c r="AO151" s="1096"/>
      <c r="AP151" s="1096"/>
      <c r="AQ151" s="1096"/>
      <c r="AR151" s="1096"/>
      <c r="AS151" s="1096"/>
      <c r="AT151" s="1096"/>
      <c r="AU151" s="1096"/>
      <c r="AV151" s="1096"/>
      <c r="AW151" s="1096"/>
      <c r="AX151" s="1096"/>
      <c r="AY151" s="1096"/>
    </row>
    <row r="152" spans="1:51" x14ac:dyDescent="0.45">
      <c r="A152" s="1096">
        <v>1951</v>
      </c>
      <c r="B152" s="1096" t="s">
        <v>1377</v>
      </c>
      <c r="C152" s="1113">
        <f>[7]LRAll!C143</f>
        <v>9.3758927279781989</v>
      </c>
      <c r="D152" s="1113">
        <f>[7]LRAll!I143</f>
        <v>5.7797073741635661</v>
      </c>
      <c r="E152" s="1096"/>
      <c r="F152" s="1114">
        <f t="shared" si="6"/>
        <v>61.644341950677287</v>
      </c>
      <c r="G152" s="1096"/>
      <c r="H152" s="1096"/>
      <c r="I152" s="1096"/>
      <c r="J152" s="1096"/>
      <c r="K152" s="1096"/>
      <c r="L152" s="1096"/>
      <c r="M152" s="1096"/>
      <c r="N152" s="1096"/>
      <c r="O152" s="1096"/>
      <c r="P152" s="1096"/>
      <c r="Q152" s="1096"/>
      <c r="R152" s="1096"/>
      <c r="S152" s="1096"/>
      <c r="T152" s="1096"/>
      <c r="U152" s="1096"/>
      <c r="V152" s="1096"/>
      <c r="W152" s="1096"/>
      <c r="X152" s="1096"/>
      <c r="Y152" s="1096"/>
      <c r="Z152" s="1096"/>
      <c r="AA152" s="1096"/>
      <c r="AB152" s="1096"/>
      <c r="AC152" s="1096"/>
      <c r="AD152" s="1096"/>
      <c r="AE152" s="1096"/>
      <c r="AF152" s="1096"/>
      <c r="AG152" s="1096"/>
      <c r="AH152" s="1096"/>
      <c r="AI152" s="1096"/>
      <c r="AJ152" s="1096"/>
      <c r="AK152" s="1096"/>
      <c r="AL152" s="1096"/>
      <c r="AM152" s="1096"/>
      <c r="AN152" s="1096"/>
      <c r="AO152" s="1096"/>
      <c r="AP152" s="1096"/>
      <c r="AQ152" s="1096"/>
      <c r="AR152" s="1096"/>
      <c r="AS152" s="1096"/>
      <c r="AT152" s="1096"/>
      <c r="AU152" s="1096"/>
      <c r="AV152" s="1096"/>
      <c r="AW152" s="1096"/>
      <c r="AX152" s="1096"/>
      <c r="AY152" s="1096"/>
    </row>
    <row r="153" spans="1:51" x14ac:dyDescent="0.45">
      <c r="A153" s="1096">
        <v>1951</v>
      </c>
      <c r="B153" s="138" t="s">
        <v>1379</v>
      </c>
      <c r="C153" s="1113">
        <f>[7]LRAll!C144</f>
        <v>9.4418685173072117</v>
      </c>
      <c r="D153" s="1113">
        <f>[7]LRAll!I144</f>
        <v>5.824580878621358</v>
      </c>
      <c r="E153" s="1096"/>
      <c r="F153" s="1114">
        <f t="shared" si="6"/>
        <v>61.688858174044015</v>
      </c>
      <c r="G153" s="1096"/>
      <c r="H153" s="1096"/>
      <c r="I153" s="1096"/>
      <c r="J153" s="1096"/>
      <c r="K153" s="1096"/>
      <c r="L153" s="1096"/>
      <c r="M153" s="1096"/>
      <c r="N153" s="1096"/>
      <c r="O153" s="1096"/>
      <c r="P153" s="1096"/>
      <c r="Q153" s="1096"/>
      <c r="R153" s="1096"/>
      <c r="S153" s="1096"/>
      <c r="T153" s="1096"/>
      <c r="U153" s="1096"/>
      <c r="V153" s="1096"/>
      <c r="W153" s="1096"/>
      <c r="X153" s="1096"/>
      <c r="Y153" s="1096"/>
      <c r="Z153" s="1096"/>
      <c r="AA153" s="1096"/>
      <c r="AB153" s="1096"/>
      <c r="AC153" s="1096"/>
      <c r="AD153" s="1096"/>
      <c r="AE153" s="1096"/>
      <c r="AF153" s="1096"/>
      <c r="AG153" s="1096"/>
      <c r="AH153" s="1096"/>
      <c r="AI153" s="1096"/>
      <c r="AJ153" s="1096"/>
      <c r="AK153" s="1096"/>
      <c r="AL153" s="1096"/>
      <c r="AM153" s="1096"/>
      <c r="AN153" s="1096"/>
      <c r="AO153" s="1096"/>
      <c r="AP153" s="1096"/>
      <c r="AQ153" s="1096"/>
      <c r="AR153" s="1096"/>
      <c r="AS153" s="1096"/>
      <c r="AT153" s="1096"/>
      <c r="AU153" s="1096"/>
      <c r="AV153" s="1096"/>
      <c r="AW153" s="1096"/>
      <c r="AX153" s="1096"/>
      <c r="AY153" s="1096"/>
    </row>
    <row r="154" spans="1:51" x14ac:dyDescent="0.45">
      <c r="A154" s="1096">
        <v>1951</v>
      </c>
      <c r="B154" s="1096" t="s">
        <v>1381</v>
      </c>
      <c r="C154" s="1113">
        <f>[7]LRAll!C145</f>
        <v>9.4785217336011058</v>
      </c>
      <c r="D154" s="1113">
        <f>[7]LRAll!I145</f>
        <v>5.9412519902116161</v>
      </c>
      <c r="E154" s="1096"/>
      <c r="F154" s="1114">
        <f t="shared" si="6"/>
        <v>62.681208707366643</v>
      </c>
      <c r="G154" s="1096"/>
      <c r="H154" s="1096"/>
      <c r="I154" s="1096"/>
      <c r="J154" s="1096"/>
      <c r="K154" s="1096"/>
      <c r="L154" s="1096"/>
      <c r="M154" s="1096"/>
      <c r="N154" s="1096"/>
      <c r="O154" s="1096"/>
      <c r="P154" s="1096"/>
      <c r="Q154" s="1096"/>
      <c r="R154" s="1096"/>
      <c r="S154" s="1096"/>
      <c r="T154" s="1096"/>
      <c r="U154" s="1096"/>
      <c r="V154" s="1096"/>
      <c r="W154" s="1096"/>
      <c r="X154" s="1096"/>
      <c r="Y154" s="1096"/>
      <c r="Z154" s="1096"/>
      <c r="AA154" s="1096"/>
      <c r="AB154" s="1096"/>
      <c r="AC154" s="1096"/>
      <c r="AD154" s="1096"/>
      <c r="AE154" s="1096"/>
      <c r="AF154" s="1096"/>
      <c r="AG154" s="1096"/>
      <c r="AH154" s="1096"/>
      <c r="AI154" s="1096"/>
      <c r="AJ154" s="1096"/>
      <c r="AK154" s="1096"/>
      <c r="AL154" s="1096"/>
      <c r="AM154" s="1096"/>
      <c r="AN154" s="1096"/>
      <c r="AO154" s="1096"/>
      <c r="AP154" s="1096"/>
      <c r="AQ154" s="1096"/>
      <c r="AR154" s="1096"/>
      <c r="AS154" s="1096"/>
      <c r="AT154" s="1096"/>
      <c r="AU154" s="1096"/>
      <c r="AV154" s="1096"/>
      <c r="AW154" s="1096"/>
      <c r="AX154" s="1096"/>
      <c r="AY154" s="1096"/>
    </row>
    <row r="155" spans="1:51" x14ac:dyDescent="0.45">
      <c r="A155" s="1096">
        <v>1951</v>
      </c>
      <c r="B155" s="138" t="s">
        <v>1383</v>
      </c>
      <c r="C155" s="1113">
        <f>[7]LRAll!C146</f>
        <v>9.5444975229301132</v>
      </c>
      <c r="D155" s="1113">
        <f>[7]LRAll!I146</f>
        <v>6.0220242982356398</v>
      </c>
      <c r="E155" s="1096"/>
      <c r="F155" s="1114">
        <f t="shared" si="6"/>
        <v>63.094199393609443</v>
      </c>
      <c r="G155" s="1096"/>
      <c r="H155" s="1096"/>
      <c r="I155" s="1096"/>
      <c r="J155" s="1096"/>
      <c r="K155" s="1096"/>
      <c r="L155" s="1096"/>
      <c r="M155" s="1096"/>
      <c r="N155" s="1096"/>
      <c r="O155" s="1096"/>
      <c r="P155" s="1096"/>
      <c r="Q155" s="1096"/>
      <c r="R155" s="1096"/>
      <c r="S155" s="1096"/>
      <c r="T155" s="1096"/>
      <c r="U155" s="1096"/>
      <c r="V155" s="1096"/>
      <c r="W155" s="1096"/>
      <c r="X155" s="1096"/>
      <c r="Y155" s="1096"/>
      <c r="Z155" s="1096"/>
      <c r="AA155" s="1096"/>
      <c r="AB155" s="1096"/>
      <c r="AC155" s="1096"/>
      <c r="AD155" s="1096"/>
      <c r="AE155" s="1096"/>
      <c r="AF155" s="1096"/>
      <c r="AG155" s="1096"/>
      <c r="AH155" s="1096"/>
      <c r="AI155" s="1096"/>
      <c r="AJ155" s="1096"/>
      <c r="AK155" s="1096"/>
      <c r="AL155" s="1096"/>
      <c r="AM155" s="1096"/>
      <c r="AN155" s="1096"/>
      <c r="AO155" s="1096"/>
      <c r="AP155" s="1096"/>
      <c r="AQ155" s="1096"/>
      <c r="AR155" s="1096"/>
      <c r="AS155" s="1096"/>
      <c r="AT155" s="1096"/>
      <c r="AU155" s="1096"/>
      <c r="AV155" s="1096"/>
      <c r="AW155" s="1096"/>
      <c r="AX155" s="1096"/>
      <c r="AY155" s="1096"/>
    </row>
    <row r="156" spans="1:51" x14ac:dyDescent="0.45">
      <c r="A156" s="1096">
        <v>1952</v>
      </c>
      <c r="B156" s="1096" t="s">
        <v>1385</v>
      </c>
      <c r="C156" s="1113">
        <f>[7]LRAll!C147</f>
        <v>9.7131023178820293</v>
      </c>
      <c r="D156" s="1113">
        <f>[7]LRAll!I147</f>
        <v>6.2867779745366104</v>
      </c>
      <c r="E156" s="1096"/>
      <c r="F156" s="1114">
        <f t="shared" si="6"/>
        <v>64.724716869938831</v>
      </c>
      <c r="G156" s="1096"/>
      <c r="H156" s="1096"/>
      <c r="I156" s="1096"/>
      <c r="J156" s="1096"/>
      <c r="K156" s="1096"/>
      <c r="L156" s="1096"/>
      <c r="M156" s="1096"/>
      <c r="N156" s="1096"/>
      <c r="O156" s="1096"/>
      <c r="P156" s="1096"/>
      <c r="Q156" s="1096"/>
      <c r="R156" s="1096"/>
      <c r="S156" s="1096"/>
      <c r="T156" s="1096"/>
      <c r="U156" s="1096"/>
      <c r="V156" s="1096"/>
      <c r="W156" s="1096"/>
      <c r="X156" s="1096"/>
      <c r="Y156" s="1096"/>
      <c r="Z156" s="1096"/>
      <c r="AA156" s="1096"/>
      <c r="AB156" s="1096"/>
      <c r="AC156" s="1096"/>
      <c r="AD156" s="1096"/>
      <c r="AE156" s="1096"/>
      <c r="AF156" s="1096"/>
      <c r="AG156" s="1096"/>
      <c r="AH156" s="1096"/>
      <c r="AI156" s="1096"/>
      <c r="AJ156" s="1096"/>
      <c r="AK156" s="1096"/>
      <c r="AL156" s="1096"/>
      <c r="AM156" s="1096"/>
      <c r="AN156" s="1096"/>
      <c r="AO156" s="1096"/>
      <c r="AP156" s="1096"/>
      <c r="AQ156" s="1096"/>
      <c r="AR156" s="1096"/>
      <c r="AS156" s="1096"/>
      <c r="AT156" s="1096"/>
      <c r="AU156" s="1096"/>
      <c r="AV156" s="1096"/>
      <c r="AW156" s="1096"/>
      <c r="AX156" s="1096"/>
      <c r="AY156" s="1096"/>
    </row>
    <row r="157" spans="1:51" x14ac:dyDescent="0.45">
      <c r="A157" s="1096">
        <v>1952</v>
      </c>
      <c r="B157" s="1096" t="s">
        <v>1387</v>
      </c>
      <c r="C157" s="1113">
        <f>[7]LRAll!C148</f>
        <v>9.7228154201999111</v>
      </c>
      <c r="D157" s="1113">
        <f>[7]LRAll!I148</f>
        <v>6.305638308460221</v>
      </c>
      <c r="E157" s="1096"/>
      <c r="F157" s="1114">
        <f t="shared" si="6"/>
        <v>64.854036983565095</v>
      </c>
      <c r="G157" s="1096"/>
      <c r="H157" s="1096"/>
      <c r="I157" s="1096"/>
      <c r="J157" s="1096"/>
      <c r="K157" s="1096"/>
      <c r="L157" s="1096"/>
      <c r="M157" s="1096"/>
      <c r="N157" s="1096"/>
      <c r="O157" s="1096"/>
      <c r="P157" s="1096"/>
      <c r="Q157" s="1096"/>
      <c r="R157" s="1096"/>
      <c r="S157" s="1096"/>
      <c r="T157" s="1096"/>
      <c r="U157" s="1096"/>
      <c r="V157" s="1096"/>
      <c r="W157" s="1096"/>
      <c r="X157" s="1096"/>
      <c r="Y157" s="1096"/>
      <c r="Z157" s="1096"/>
      <c r="AA157" s="1096"/>
      <c r="AB157" s="1096"/>
      <c r="AC157" s="1096"/>
      <c r="AD157" s="1096"/>
      <c r="AE157" s="1096"/>
      <c r="AF157" s="1096"/>
      <c r="AG157" s="1096"/>
      <c r="AH157" s="1096"/>
      <c r="AI157" s="1096"/>
      <c r="AJ157" s="1096"/>
      <c r="AK157" s="1096"/>
      <c r="AL157" s="1096"/>
      <c r="AM157" s="1096"/>
      <c r="AN157" s="1096"/>
      <c r="AO157" s="1096"/>
      <c r="AP157" s="1096"/>
      <c r="AQ157" s="1096"/>
      <c r="AR157" s="1096"/>
      <c r="AS157" s="1096"/>
      <c r="AT157" s="1096"/>
      <c r="AU157" s="1096"/>
      <c r="AV157" s="1096"/>
      <c r="AW157" s="1096"/>
      <c r="AX157" s="1096"/>
      <c r="AY157" s="1096"/>
    </row>
    <row r="158" spans="1:51" x14ac:dyDescent="0.45">
      <c r="A158" s="1096">
        <v>1952</v>
      </c>
      <c r="B158" s="1096" t="s">
        <v>1389</v>
      </c>
      <c r="C158" s="1113">
        <f>[7]LRAll!C149</f>
        <v>9.7713809317893201</v>
      </c>
      <c r="D158" s="1113">
        <f>[7]LRAll!I149</f>
        <v>6.3182118644092942</v>
      </c>
      <c r="E158" s="1096"/>
      <c r="F158" s="1114">
        <f t="shared" si="6"/>
        <v>64.660378185177493</v>
      </c>
      <c r="G158" s="1096"/>
      <c r="H158" s="1096"/>
      <c r="I158" s="1096"/>
      <c r="J158" s="1096"/>
      <c r="K158" s="1096"/>
      <c r="L158" s="1096"/>
      <c r="M158" s="1096"/>
      <c r="N158" s="1096"/>
      <c r="O158" s="1096"/>
      <c r="P158" s="1096"/>
      <c r="Q158" s="1096"/>
      <c r="R158" s="1096"/>
      <c r="S158" s="1096"/>
      <c r="T158" s="1096"/>
      <c r="U158" s="1096"/>
      <c r="V158" s="1096"/>
      <c r="W158" s="1096"/>
      <c r="X158" s="1096"/>
      <c r="Y158" s="1096"/>
      <c r="Z158" s="1096"/>
      <c r="AA158" s="1096"/>
      <c r="AB158" s="1096"/>
      <c r="AC158" s="1096"/>
      <c r="AD158" s="1096"/>
      <c r="AE158" s="1096"/>
      <c r="AF158" s="1096"/>
      <c r="AG158" s="1096"/>
      <c r="AH158" s="1096"/>
      <c r="AI158" s="1096"/>
      <c r="AJ158" s="1096"/>
      <c r="AK158" s="1096"/>
      <c r="AL158" s="1096"/>
      <c r="AM158" s="1096"/>
      <c r="AN158" s="1096"/>
      <c r="AO158" s="1096"/>
      <c r="AP158" s="1096"/>
      <c r="AQ158" s="1096"/>
      <c r="AR158" s="1096"/>
      <c r="AS158" s="1096"/>
      <c r="AT158" s="1096"/>
      <c r="AU158" s="1096"/>
      <c r="AV158" s="1096"/>
      <c r="AW158" s="1096"/>
      <c r="AX158" s="1096"/>
      <c r="AY158" s="1096"/>
    </row>
    <row r="159" spans="1:51" x14ac:dyDescent="0.45">
      <c r="A159" s="1096">
        <v>1952</v>
      </c>
      <c r="B159" s="1096" t="s">
        <v>1391</v>
      </c>
      <c r="C159" s="1113">
        <f>[7]LRAll!C150</f>
        <v>9.9267905688754325</v>
      </c>
      <c r="D159" s="1113">
        <f>[7]LRAll!I150</f>
        <v>6.38107964415466</v>
      </c>
      <c r="E159" s="1096"/>
      <c r="F159" s="1114">
        <f t="shared" si="6"/>
        <v>64.281396891377625</v>
      </c>
      <c r="G159" s="1096"/>
      <c r="H159" s="1096"/>
      <c r="I159" s="1096"/>
      <c r="J159" s="1096"/>
      <c r="K159" s="1096"/>
      <c r="L159" s="1096"/>
      <c r="M159" s="1096"/>
      <c r="N159" s="1096"/>
      <c r="O159" s="1096"/>
      <c r="P159" s="1096"/>
      <c r="Q159" s="1096"/>
      <c r="R159" s="1096"/>
      <c r="S159" s="1096"/>
      <c r="T159" s="1096"/>
      <c r="U159" s="1096"/>
      <c r="V159" s="1096"/>
      <c r="W159" s="1096"/>
      <c r="X159" s="1096"/>
      <c r="Y159" s="1096"/>
      <c r="Z159" s="1096"/>
      <c r="AA159" s="1096"/>
      <c r="AB159" s="1096"/>
      <c r="AC159" s="1096"/>
      <c r="AD159" s="1096"/>
      <c r="AE159" s="1096"/>
      <c r="AF159" s="1096"/>
      <c r="AG159" s="1096"/>
      <c r="AH159" s="1096"/>
      <c r="AI159" s="1096"/>
      <c r="AJ159" s="1096"/>
      <c r="AK159" s="1096"/>
      <c r="AL159" s="1096"/>
      <c r="AM159" s="1096"/>
      <c r="AN159" s="1096"/>
      <c r="AO159" s="1096"/>
      <c r="AP159" s="1096"/>
      <c r="AQ159" s="1096"/>
      <c r="AR159" s="1096"/>
      <c r="AS159" s="1096"/>
      <c r="AT159" s="1096"/>
      <c r="AU159" s="1096"/>
      <c r="AV159" s="1096"/>
      <c r="AW159" s="1096"/>
      <c r="AX159" s="1096"/>
      <c r="AY159" s="1096"/>
    </row>
    <row r="160" spans="1:51" x14ac:dyDescent="0.45">
      <c r="A160" s="1096">
        <v>1952</v>
      </c>
      <c r="B160" s="1096" t="s">
        <v>1393</v>
      </c>
      <c r="C160" s="1113">
        <f>[7]LRAll!C151</f>
        <v>9.9267905688754325</v>
      </c>
      <c r="D160" s="1113">
        <f>[7]LRAll!I151</f>
        <v>6.261630862638464</v>
      </c>
      <c r="E160" s="1096"/>
      <c r="F160" s="1114">
        <f t="shared" si="6"/>
        <v>63.078099806711442</v>
      </c>
      <c r="G160" s="1096"/>
      <c r="H160" s="1096"/>
      <c r="I160" s="1096"/>
      <c r="J160" s="1096"/>
      <c r="K160" s="1096"/>
      <c r="L160" s="1096"/>
      <c r="M160" s="1096"/>
      <c r="N160" s="1096"/>
      <c r="O160" s="1096"/>
      <c r="P160" s="1096"/>
      <c r="Q160" s="1096"/>
      <c r="R160" s="1096"/>
      <c r="S160" s="1096"/>
      <c r="T160" s="1096"/>
      <c r="U160" s="1096"/>
      <c r="V160" s="1096"/>
      <c r="W160" s="1096"/>
      <c r="X160" s="1096"/>
      <c r="Y160" s="1096"/>
      <c r="Z160" s="1096"/>
      <c r="AA160" s="1096"/>
      <c r="AB160" s="1096"/>
      <c r="AC160" s="1096"/>
      <c r="AD160" s="1096"/>
      <c r="AE160" s="1096"/>
      <c r="AF160" s="1096"/>
      <c r="AG160" s="1096"/>
      <c r="AH160" s="1096"/>
      <c r="AI160" s="1096"/>
      <c r="AJ160" s="1096"/>
      <c r="AK160" s="1096"/>
      <c r="AL160" s="1096"/>
      <c r="AM160" s="1096"/>
      <c r="AN160" s="1096"/>
      <c r="AO160" s="1096"/>
      <c r="AP160" s="1096"/>
      <c r="AQ160" s="1096"/>
      <c r="AR160" s="1096"/>
      <c r="AS160" s="1096"/>
      <c r="AT160" s="1096"/>
      <c r="AU160" s="1096"/>
      <c r="AV160" s="1096"/>
      <c r="AW160" s="1096"/>
      <c r="AX160" s="1096"/>
      <c r="AY160" s="1096"/>
    </row>
    <row r="161" spans="1:51" x14ac:dyDescent="0.45">
      <c r="A161" s="1096">
        <v>1952</v>
      </c>
      <c r="B161" s="1096" t="s">
        <v>1371</v>
      </c>
      <c r="C161" s="1113">
        <f>[7]LRAll!C152</f>
        <v>10.091913308279429</v>
      </c>
      <c r="D161" s="1113">
        <f>[7]LRAll!I152</f>
        <v>6.3307854203583691</v>
      </c>
      <c r="E161" s="1096"/>
      <c r="F161" s="1114">
        <f t="shared" si="6"/>
        <v>62.731270344589454</v>
      </c>
      <c r="G161" s="1096"/>
      <c r="H161" s="1096"/>
      <c r="I161" s="1096"/>
      <c r="J161" s="1096"/>
      <c r="K161" s="1096"/>
      <c r="L161" s="1096"/>
      <c r="M161" s="1096"/>
      <c r="N161" s="1096"/>
      <c r="O161" s="1096"/>
      <c r="P161" s="1096"/>
      <c r="Q161" s="1096"/>
      <c r="R161" s="1096"/>
      <c r="S161" s="1096"/>
      <c r="T161" s="1096"/>
      <c r="U161" s="1096"/>
      <c r="V161" s="1096"/>
      <c r="W161" s="1096"/>
      <c r="X161" s="1096"/>
      <c r="Y161" s="1096"/>
      <c r="Z161" s="1096"/>
      <c r="AA161" s="1096"/>
      <c r="AB161" s="1096"/>
      <c r="AC161" s="1096"/>
      <c r="AD161" s="1096"/>
      <c r="AE161" s="1096"/>
      <c r="AF161" s="1096"/>
      <c r="AG161" s="1096"/>
      <c r="AH161" s="1096"/>
      <c r="AI161" s="1096"/>
      <c r="AJ161" s="1096"/>
      <c r="AK161" s="1096"/>
      <c r="AL161" s="1096"/>
      <c r="AM161" s="1096"/>
      <c r="AN161" s="1096"/>
      <c r="AO161" s="1096"/>
      <c r="AP161" s="1096"/>
      <c r="AQ161" s="1096"/>
      <c r="AR161" s="1096"/>
      <c r="AS161" s="1096"/>
      <c r="AT161" s="1096"/>
      <c r="AU161" s="1096"/>
      <c r="AV161" s="1096"/>
      <c r="AW161" s="1096"/>
      <c r="AX161" s="1096"/>
      <c r="AY161" s="1096"/>
    </row>
    <row r="162" spans="1:51" x14ac:dyDescent="0.45">
      <c r="A162" s="1096">
        <v>1952</v>
      </c>
      <c r="B162" s="1096" t="s">
        <v>1373</v>
      </c>
      <c r="C162" s="1113">
        <f>[7]LRAll!C153</f>
        <v>10.082200205961545</v>
      </c>
      <c r="D162" s="1113">
        <f>[7]LRAll!I153</f>
        <v>6.3433589763074396</v>
      </c>
      <c r="E162" s="1096"/>
      <c r="F162" s="1114">
        <f t="shared" si="6"/>
        <v>62.916415531568681</v>
      </c>
      <c r="G162" s="1096"/>
      <c r="H162" s="1096"/>
      <c r="I162" s="1096"/>
      <c r="J162" s="1096"/>
      <c r="K162" s="1096"/>
      <c r="L162" s="1096"/>
      <c r="M162" s="1096"/>
      <c r="N162" s="1096"/>
      <c r="O162" s="1096"/>
      <c r="P162" s="1096"/>
      <c r="Q162" s="1096"/>
      <c r="R162" s="1096"/>
      <c r="S162" s="1096"/>
      <c r="T162" s="1096"/>
      <c r="U162" s="1096"/>
      <c r="V162" s="1096"/>
      <c r="W162" s="1096"/>
      <c r="X162" s="1096"/>
      <c r="Y162" s="1096"/>
      <c r="Z162" s="1096"/>
      <c r="AA162" s="1096"/>
      <c r="AB162" s="1096"/>
      <c r="AC162" s="1096"/>
      <c r="AD162" s="1096"/>
      <c r="AE162" s="1096"/>
      <c r="AF162" s="1096"/>
      <c r="AG162" s="1096"/>
      <c r="AH162" s="1096"/>
      <c r="AI162" s="1096"/>
      <c r="AJ162" s="1096"/>
      <c r="AK162" s="1096"/>
      <c r="AL162" s="1096"/>
      <c r="AM162" s="1096"/>
      <c r="AN162" s="1096"/>
      <c r="AO162" s="1096"/>
      <c r="AP162" s="1096"/>
      <c r="AQ162" s="1096"/>
      <c r="AR162" s="1096"/>
      <c r="AS162" s="1096"/>
      <c r="AT162" s="1096"/>
      <c r="AU162" s="1096"/>
      <c r="AV162" s="1096"/>
      <c r="AW162" s="1096"/>
      <c r="AX162" s="1096"/>
      <c r="AY162" s="1096"/>
    </row>
    <row r="163" spans="1:51" x14ac:dyDescent="0.45">
      <c r="A163" s="1096">
        <v>1952</v>
      </c>
      <c r="B163" s="1096" t="s">
        <v>1375</v>
      </c>
      <c r="C163" s="1113">
        <f>[7]LRAll!C154</f>
        <v>10.023921592054254</v>
      </c>
      <c r="D163" s="1113">
        <f>[7]LRAll!I154</f>
        <v>6.3559325322565137</v>
      </c>
      <c r="E163" s="1096"/>
      <c r="F163" s="1114">
        <f t="shared" si="6"/>
        <v>63.407644142934281</v>
      </c>
      <c r="G163" s="1096"/>
      <c r="H163" s="1096"/>
      <c r="I163" s="1096"/>
      <c r="J163" s="1096"/>
      <c r="K163" s="1096"/>
      <c r="L163" s="1096"/>
      <c r="M163" s="1096"/>
      <c r="N163" s="1096"/>
      <c r="O163" s="1096"/>
      <c r="P163" s="1096"/>
      <c r="Q163" s="1096"/>
      <c r="R163" s="1096"/>
      <c r="S163" s="1096"/>
      <c r="T163" s="1096"/>
      <c r="U163" s="1096"/>
      <c r="V163" s="1096"/>
      <c r="W163" s="1096"/>
      <c r="X163" s="1096"/>
      <c r="Y163" s="1096"/>
      <c r="Z163" s="1096"/>
      <c r="AA163" s="1096"/>
      <c r="AB163" s="1096"/>
      <c r="AC163" s="1096"/>
      <c r="AD163" s="1096"/>
      <c r="AE163" s="1096"/>
      <c r="AF163" s="1096"/>
      <c r="AG163" s="1096"/>
      <c r="AH163" s="1096"/>
      <c r="AI163" s="1096"/>
      <c r="AJ163" s="1096"/>
      <c r="AK163" s="1096"/>
      <c r="AL163" s="1096"/>
      <c r="AM163" s="1096"/>
      <c r="AN163" s="1096"/>
      <c r="AO163" s="1096"/>
      <c r="AP163" s="1096"/>
      <c r="AQ163" s="1096"/>
      <c r="AR163" s="1096"/>
      <c r="AS163" s="1096"/>
      <c r="AT163" s="1096"/>
      <c r="AU163" s="1096"/>
      <c r="AV163" s="1096"/>
      <c r="AW163" s="1096"/>
      <c r="AX163" s="1096"/>
      <c r="AY163" s="1096"/>
    </row>
    <row r="164" spans="1:51" x14ac:dyDescent="0.45">
      <c r="A164" s="1096">
        <v>1952</v>
      </c>
      <c r="B164" s="1096" t="s">
        <v>1377</v>
      </c>
      <c r="C164" s="1113">
        <f>[7]LRAll!C155</f>
        <v>10.004495387418489</v>
      </c>
      <c r="D164" s="1113">
        <f>[7]LRAll!I155</f>
        <v>6.3936532001037341</v>
      </c>
      <c r="E164" s="1096"/>
      <c r="F164" s="1114">
        <f t="shared" si="6"/>
        <v>63.907802967696917</v>
      </c>
      <c r="G164" s="1096"/>
      <c r="H164" s="1096"/>
      <c r="I164" s="1096"/>
      <c r="J164" s="1096"/>
      <c r="K164" s="1096"/>
      <c r="L164" s="1096"/>
      <c r="M164" s="1096"/>
      <c r="N164" s="1096"/>
      <c r="O164" s="1096"/>
      <c r="P164" s="1096"/>
      <c r="Q164" s="1096"/>
      <c r="R164" s="1096"/>
      <c r="S164" s="1096"/>
      <c r="T164" s="1096"/>
      <c r="U164" s="1096"/>
      <c r="V164" s="1096"/>
      <c r="W164" s="1096"/>
      <c r="X164" s="1096"/>
      <c r="Y164" s="1096"/>
      <c r="Z164" s="1096"/>
      <c r="AA164" s="1096"/>
      <c r="AB164" s="1096"/>
      <c r="AC164" s="1096"/>
      <c r="AD164" s="1096"/>
      <c r="AE164" s="1096"/>
      <c r="AF164" s="1096"/>
      <c r="AG164" s="1096"/>
      <c r="AH164" s="1096"/>
      <c r="AI164" s="1096"/>
      <c r="AJ164" s="1096"/>
      <c r="AK164" s="1096"/>
      <c r="AL164" s="1096"/>
      <c r="AM164" s="1096"/>
      <c r="AN164" s="1096"/>
      <c r="AO164" s="1096"/>
      <c r="AP164" s="1096"/>
      <c r="AQ164" s="1096"/>
      <c r="AR164" s="1096"/>
      <c r="AS164" s="1096"/>
      <c r="AT164" s="1096"/>
      <c r="AU164" s="1096"/>
      <c r="AV164" s="1096"/>
      <c r="AW164" s="1096"/>
      <c r="AX164" s="1096"/>
      <c r="AY164" s="1096"/>
    </row>
    <row r="165" spans="1:51" x14ac:dyDescent="0.45">
      <c r="A165" s="1096">
        <v>1952</v>
      </c>
      <c r="B165" s="1096" t="s">
        <v>1379</v>
      </c>
      <c r="C165" s="1113">
        <f>[7]LRAll!C156</f>
        <v>10.091913308279429</v>
      </c>
      <c r="D165" s="1113">
        <f>[7]LRAll!I156</f>
        <v>6.3999399780782715</v>
      </c>
      <c r="E165" s="1096"/>
      <c r="F165" s="1114">
        <f t="shared" si="6"/>
        <v>63.416517587678314</v>
      </c>
      <c r="G165" s="1096"/>
      <c r="H165" s="1096"/>
      <c r="I165" s="1096"/>
      <c r="J165" s="1096"/>
      <c r="K165" s="1096"/>
      <c r="L165" s="1096"/>
      <c r="M165" s="1096"/>
      <c r="N165" s="1096"/>
      <c r="O165" s="1096"/>
      <c r="P165" s="1096"/>
      <c r="Q165" s="1096"/>
      <c r="R165" s="1096"/>
      <c r="S165" s="1096"/>
      <c r="T165" s="1096"/>
      <c r="U165" s="1096"/>
      <c r="V165" s="1096"/>
      <c r="W165" s="1096"/>
      <c r="X165" s="1096"/>
      <c r="Y165" s="1096"/>
      <c r="Z165" s="1096"/>
      <c r="AA165" s="1096"/>
      <c r="AB165" s="1096"/>
      <c r="AC165" s="1096"/>
      <c r="AD165" s="1096"/>
      <c r="AE165" s="1096"/>
      <c r="AF165" s="1096"/>
      <c r="AG165" s="1096"/>
      <c r="AH165" s="1096"/>
      <c r="AI165" s="1096"/>
      <c r="AJ165" s="1096"/>
      <c r="AK165" s="1096"/>
      <c r="AL165" s="1096"/>
      <c r="AM165" s="1096"/>
      <c r="AN165" s="1096"/>
      <c r="AO165" s="1096"/>
      <c r="AP165" s="1096"/>
      <c r="AQ165" s="1096"/>
      <c r="AR165" s="1096"/>
      <c r="AS165" s="1096"/>
      <c r="AT165" s="1096"/>
      <c r="AU165" s="1096"/>
      <c r="AV165" s="1096"/>
      <c r="AW165" s="1096"/>
      <c r="AX165" s="1096"/>
      <c r="AY165" s="1096"/>
    </row>
    <row r="166" spans="1:51" x14ac:dyDescent="0.45">
      <c r="A166" s="1096">
        <v>1952</v>
      </c>
      <c r="B166" s="1096" t="s">
        <v>1381</v>
      </c>
      <c r="C166" s="1113">
        <f>[7]LRAll!C157</f>
        <v>10.082200205961545</v>
      </c>
      <c r="D166" s="1113">
        <f>[7]LRAll!I157</f>
        <v>6.4942416476963203</v>
      </c>
      <c r="E166" s="1096"/>
      <c r="F166" s="1114">
        <f t="shared" ref="F166:F229" si="7">D166/C166*100</f>
        <v>64.412940777116418</v>
      </c>
      <c r="G166" s="1096"/>
      <c r="H166" s="1096"/>
      <c r="I166" s="1096"/>
      <c r="J166" s="1096"/>
      <c r="K166" s="1096"/>
      <c r="L166" s="1096"/>
      <c r="M166" s="1096"/>
      <c r="N166" s="1096"/>
      <c r="O166" s="1096"/>
      <c r="P166" s="1096"/>
      <c r="Q166" s="1096"/>
      <c r="R166" s="1096"/>
      <c r="S166" s="1096"/>
      <c r="T166" s="1096"/>
      <c r="U166" s="1096"/>
      <c r="V166" s="1096"/>
      <c r="W166" s="1096"/>
      <c r="X166" s="1096"/>
      <c r="Y166" s="1096"/>
      <c r="Z166" s="1096"/>
      <c r="AA166" s="1096"/>
      <c r="AB166" s="1096"/>
      <c r="AC166" s="1096"/>
      <c r="AD166" s="1096"/>
      <c r="AE166" s="1096"/>
      <c r="AF166" s="1096"/>
      <c r="AG166" s="1096"/>
      <c r="AH166" s="1096"/>
      <c r="AI166" s="1096"/>
      <c r="AJ166" s="1096"/>
      <c r="AK166" s="1096"/>
      <c r="AL166" s="1096"/>
      <c r="AM166" s="1096"/>
      <c r="AN166" s="1096"/>
      <c r="AO166" s="1096"/>
      <c r="AP166" s="1096"/>
      <c r="AQ166" s="1096"/>
      <c r="AR166" s="1096"/>
      <c r="AS166" s="1096"/>
      <c r="AT166" s="1096"/>
      <c r="AU166" s="1096"/>
      <c r="AV166" s="1096"/>
      <c r="AW166" s="1096"/>
      <c r="AX166" s="1096"/>
      <c r="AY166" s="1096"/>
    </row>
    <row r="167" spans="1:51" x14ac:dyDescent="0.45">
      <c r="A167" s="1096">
        <v>1952</v>
      </c>
      <c r="B167" s="1096" t="s">
        <v>1383</v>
      </c>
      <c r="C167" s="1113">
        <f>[7]LRAll!C158</f>
        <v>10.150191922186721</v>
      </c>
      <c r="D167" s="1113">
        <f>[7]LRAll!I158</f>
        <v>6.5696829833907593</v>
      </c>
      <c r="E167" s="1096"/>
      <c r="F167" s="1114">
        <f t="shared" si="7"/>
        <v>64.724716869938845</v>
      </c>
      <c r="G167" s="1096"/>
      <c r="H167" s="1096"/>
      <c r="I167" s="1096"/>
      <c r="J167" s="1096"/>
      <c r="K167" s="1096"/>
      <c r="L167" s="1096"/>
      <c r="M167" s="1096"/>
      <c r="N167" s="1096"/>
      <c r="O167" s="1096"/>
      <c r="P167" s="1096"/>
      <c r="Q167" s="1096"/>
      <c r="R167" s="1096"/>
      <c r="S167" s="1096"/>
      <c r="T167" s="1096"/>
      <c r="U167" s="1096"/>
      <c r="V167" s="1096"/>
      <c r="W167" s="1096"/>
      <c r="X167" s="1096"/>
      <c r="Y167" s="1096"/>
      <c r="Z167" s="1096"/>
      <c r="AA167" s="1096"/>
      <c r="AB167" s="1096"/>
      <c r="AC167" s="1096"/>
      <c r="AD167" s="1096"/>
      <c r="AE167" s="1096"/>
      <c r="AF167" s="1096"/>
      <c r="AG167" s="1096"/>
      <c r="AH167" s="1096"/>
      <c r="AI167" s="1096"/>
      <c r="AJ167" s="1096"/>
      <c r="AK167" s="1096"/>
      <c r="AL167" s="1096"/>
      <c r="AM167" s="1096"/>
      <c r="AN167" s="1096"/>
      <c r="AO167" s="1096"/>
      <c r="AP167" s="1096"/>
      <c r="AQ167" s="1096"/>
      <c r="AR167" s="1096"/>
      <c r="AS167" s="1096"/>
      <c r="AT167" s="1096"/>
      <c r="AU167" s="1096"/>
      <c r="AV167" s="1096"/>
      <c r="AW167" s="1096"/>
      <c r="AX167" s="1096"/>
      <c r="AY167" s="1096"/>
    </row>
    <row r="168" spans="1:51" x14ac:dyDescent="0.45">
      <c r="A168" s="1096">
        <v>1953</v>
      </c>
      <c r="B168" s="1096" t="s">
        <v>1385</v>
      </c>
      <c r="C168" s="1113">
        <f>[7]LRAll!C159</f>
        <v>10.140478819868838</v>
      </c>
      <c r="D168" s="1113">
        <f>[7]LRAll!I159</f>
        <v>6.5696829833907593</v>
      </c>
      <c r="E168" s="1096"/>
      <c r="F168" s="1114">
        <f t="shared" si="7"/>
        <v>64.786713725178274</v>
      </c>
      <c r="G168" s="1096"/>
      <c r="H168" s="1096"/>
      <c r="I168" s="1096"/>
      <c r="J168" s="1096"/>
      <c r="K168" s="1096"/>
      <c r="L168" s="1096"/>
      <c r="M168" s="1096"/>
      <c r="N168" s="1096"/>
      <c r="O168" s="1096"/>
      <c r="P168" s="1096"/>
      <c r="Q168" s="1096"/>
      <c r="R168" s="1096"/>
      <c r="S168" s="1096"/>
      <c r="T168" s="1096"/>
      <c r="U168" s="1096"/>
      <c r="V168" s="1096"/>
      <c r="W168" s="1096"/>
      <c r="X168" s="1096"/>
      <c r="Y168" s="1096"/>
      <c r="Z168" s="1096"/>
      <c r="AA168" s="1096"/>
      <c r="AB168" s="1096"/>
      <c r="AC168" s="1096"/>
      <c r="AD168" s="1096"/>
      <c r="AE168" s="1096"/>
      <c r="AF168" s="1096"/>
      <c r="AG168" s="1096"/>
      <c r="AH168" s="1096"/>
      <c r="AI168" s="1096"/>
      <c r="AJ168" s="1096"/>
      <c r="AK168" s="1096"/>
      <c r="AL168" s="1096"/>
      <c r="AM168" s="1096"/>
      <c r="AN168" s="1096"/>
      <c r="AO168" s="1096"/>
      <c r="AP168" s="1096"/>
      <c r="AQ168" s="1096"/>
      <c r="AR168" s="1096"/>
      <c r="AS168" s="1096"/>
      <c r="AT168" s="1096"/>
      <c r="AU168" s="1096"/>
      <c r="AV168" s="1096"/>
      <c r="AW168" s="1096"/>
      <c r="AX168" s="1096"/>
      <c r="AY168" s="1096"/>
    </row>
    <row r="169" spans="1:51" x14ac:dyDescent="0.45">
      <c r="A169" s="1096">
        <v>1953</v>
      </c>
      <c r="B169" s="1096" t="s">
        <v>1387</v>
      </c>
      <c r="C169" s="1113">
        <f>[7]LRAll!C160</f>
        <v>10.169618126822485</v>
      </c>
      <c r="D169" s="1113">
        <f>[7]LRAll!I160</f>
        <v>6.5633962054162236</v>
      </c>
      <c r="E169" s="1096"/>
      <c r="F169" s="1114">
        <f t="shared" si="7"/>
        <v>64.539259228477718</v>
      </c>
      <c r="G169" s="1096"/>
      <c r="H169" s="1096"/>
      <c r="I169" s="1096"/>
      <c r="J169" s="1096"/>
      <c r="K169" s="1096"/>
      <c r="L169" s="1096"/>
      <c r="M169" s="1096"/>
      <c r="N169" s="1096"/>
      <c r="O169" s="1096"/>
      <c r="P169" s="1096"/>
      <c r="Q169" s="1096"/>
      <c r="R169" s="1096"/>
      <c r="S169" s="1096"/>
      <c r="T169" s="1096"/>
      <c r="U169" s="1096"/>
      <c r="V169" s="1096"/>
      <c r="W169" s="1096"/>
      <c r="X169" s="1096"/>
      <c r="Y169" s="1096"/>
      <c r="Z169" s="1096"/>
      <c r="AA169" s="1096"/>
      <c r="AB169" s="1096"/>
      <c r="AC169" s="1096"/>
      <c r="AD169" s="1096"/>
      <c r="AE169" s="1096"/>
      <c r="AF169" s="1096"/>
      <c r="AG169" s="1096"/>
      <c r="AH169" s="1096"/>
      <c r="AI169" s="1096"/>
      <c r="AJ169" s="1096"/>
      <c r="AK169" s="1096"/>
      <c r="AL169" s="1096"/>
      <c r="AM169" s="1096"/>
      <c r="AN169" s="1096"/>
      <c r="AO169" s="1096"/>
      <c r="AP169" s="1096"/>
      <c r="AQ169" s="1096"/>
      <c r="AR169" s="1096"/>
      <c r="AS169" s="1096"/>
      <c r="AT169" s="1096"/>
      <c r="AU169" s="1096"/>
      <c r="AV169" s="1096"/>
      <c r="AW169" s="1096"/>
      <c r="AX169" s="1096"/>
      <c r="AY169" s="1096"/>
    </row>
    <row r="170" spans="1:51" x14ac:dyDescent="0.45">
      <c r="A170" s="1096">
        <v>1953</v>
      </c>
      <c r="B170" s="1096" t="s">
        <v>1389</v>
      </c>
      <c r="C170" s="1113">
        <f>[7]LRAll!C161</f>
        <v>10.237609843047659</v>
      </c>
      <c r="D170" s="1113">
        <f>[7]LRAll!I161</f>
        <v>6.7394259887032497</v>
      </c>
      <c r="E170" s="1096"/>
      <c r="F170" s="1114">
        <f t="shared" si="7"/>
        <v>65.830072566009932</v>
      </c>
      <c r="G170" s="1096"/>
      <c r="H170" s="1096"/>
      <c r="I170" s="1096"/>
      <c r="J170" s="1096"/>
      <c r="K170" s="1096"/>
      <c r="L170" s="1096"/>
      <c r="M170" s="1096"/>
      <c r="N170" s="1096"/>
      <c r="O170" s="1096"/>
      <c r="P170" s="1096"/>
      <c r="Q170" s="1096"/>
      <c r="R170" s="1096"/>
      <c r="S170" s="1096"/>
      <c r="T170" s="1096"/>
      <c r="U170" s="1096"/>
      <c r="V170" s="1096"/>
      <c r="W170" s="1096"/>
      <c r="X170" s="1096"/>
      <c r="Y170" s="1096"/>
      <c r="Z170" s="1096"/>
      <c r="AA170" s="1096"/>
      <c r="AB170" s="1096"/>
      <c r="AC170" s="1096"/>
      <c r="AD170" s="1096"/>
      <c r="AE170" s="1096"/>
      <c r="AF170" s="1096"/>
      <c r="AG170" s="1096"/>
      <c r="AH170" s="1096"/>
      <c r="AI170" s="1096"/>
      <c r="AJ170" s="1096"/>
      <c r="AK170" s="1096"/>
      <c r="AL170" s="1096"/>
      <c r="AM170" s="1096"/>
      <c r="AN170" s="1096"/>
      <c r="AO170" s="1096"/>
      <c r="AP170" s="1096"/>
      <c r="AQ170" s="1096"/>
      <c r="AR170" s="1096"/>
      <c r="AS170" s="1096"/>
      <c r="AT170" s="1096"/>
      <c r="AU170" s="1096"/>
      <c r="AV170" s="1096"/>
      <c r="AW170" s="1096"/>
      <c r="AX170" s="1096"/>
      <c r="AY170" s="1096"/>
    </row>
    <row r="171" spans="1:51" x14ac:dyDescent="0.45">
      <c r="A171" s="1096">
        <v>1953</v>
      </c>
      <c r="B171" s="1096" t="s">
        <v>1391</v>
      </c>
      <c r="C171" s="1113">
        <f>[7]LRAll!C162</f>
        <v>10.334740866226479</v>
      </c>
      <c r="D171" s="1113">
        <f>[7]LRAll!I162</f>
        <v>6.7708598785759309</v>
      </c>
      <c r="E171" s="1096"/>
      <c r="F171" s="1114">
        <f t="shared" si="7"/>
        <v>65.515526380567806</v>
      </c>
      <c r="G171" s="1096"/>
      <c r="H171" s="1096"/>
      <c r="I171" s="1096"/>
      <c r="J171" s="1096"/>
      <c r="K171" s="1096"/>
      <c r="L171" s="1096"/>
      <c r="M171" s="1096"/>
      <c r="N171" s="1096"/>
      <c r="O171" s="1096"/>
      <c r="P171" s="1096"/>
      <c r="Q171" s="1096"/>
      <c r="R171" s="1096"/>
      <c r="S171" s="1096"/>
      <c r="T171" s="1096"/>
      <c r="U171" s="1096"/>
      <c r="V171" s="1096"/>
      <c r="W171" s="1096"/>
      <c r="X171" s="1096"/>
      <c r="Y171" s="1096"/>
      <c r="Z171" s="1096"/>
      <c r="AA171" s="1096"/>
      <c r="AB171" s="1096"/>
      <c r="AC171" s="1096"/>
      <c r="AD171" s="1096"/>
      <c r="AE171" s="1096"/>
      <c r="AF171" s="1096"/>
      <c r="AG171" s="1096"/>
      <c r="AH171" s="1096"/>
      <c r="AI171" s="1096"/>
      <c r="AJ171" s="1096"/>
      <c r="AK171" s="1096"/>
      <c r="AL171" s="1096"/>
      <c r="AM171" s="1096"/>
      <c r="AN171" s="1096"/>
      <c r="AO171" s="1096"/>
      <c r="AP171" s="1096"/>
      <c r="AQ171" s="1096"/>
      <c r="AR171" s="1096"/>
      <c r="AS171" s="1096"/>
      <c r="AT171" s="1096"/>
      <c r="AU171" s="1096"/>
      <c r="AV171" s="1096"/>
      <c r="AW171" s="1096"/>
      <c r="AX171" s="1096"/>
      <c r="AY171" s="1096"/>
    </row>
    <row r="172" spans="1:51" x14ac:dyDescent="0.45">
      <c r="A172" s="1096">
        <v>1953</v>
      </c>
      <c r="B172" s="1096" t="s">
        <v>1393</v>
      </c>
      <c r="C172" s="1113">
        <f>[7]LRAll!C163</f>
        <v>10.29588845695495</v>
      </c>
      <c r="D172" s="1113">
        <f>[7]LRAll!I163</f>
        <v>6.5822565393398316</v>
      </c>
      <c r="E172" s="1096"/>
      <c r="F172" s="1114">
        <f t="shared" si="7"/>
        <v>63.930923172477335</v>
      </c>
      <c r="G172" s="1096"/>
      <c r="H172" s="1096"/>
      <c r="I172" s="1096"/>
      <c r="J172" s="1096"/>
      <c r="K172" s="1096"/>
      <c r="L172" s="1096"/>
      <c r="M172" s="1096"/>
      <c r="N172" s="1096"/>
      <c r="O172" s="1096"/>
      <c r="P172" s="1096"/>
      <c r="Q172" s="1096"/>
      <c r="R172" s="1096"/>
      <c r="S172" s="1096"/>
      <c r="T172" s="1096"/>
      <c r="U172" s="1096"/>
      <c r="V172" s="1096"/>
      <c r="W172" s="1096"/>
      <c r="X172" s="1096"/>
      <c r="Y172" s="1096"/>
      <c r="Z172" s="1096"/>
      <c r="AA172" s="1096"/>
      <c r="AB172" s="1096"/>
      <c r="AC172" s="1096"/>
      <c r="AD172" s="1096"/>
      <c r="AE172" s="1096"/>
      <c r="AF172" s="1096"/>
      <c r="AG172" s="1096"/>
      <c r="AH172" s="1096"/>
      <c r="AI172" s="1096"/>
      <c r="AJ172" s="1096"/>
      <c r="AK172" s="1096"/>
      <c r="AL172" s="1096"/>
      <c r="AM172" s="1096"/>
      <c r="AN172" s="1096"/>
      <c r="AO172" s="1096"/>
      <c r="AP172" s="1096"/>
      <c r="AQ172" s="1096"/>
      <c r="AR172" s="1096"/>
      <c r="AS172" s="1096"/>
      <c r="AT172" s="1096"/>
      <c r="AU172" s="1096"/>
      <c r="AV172" s="1096"/>
      <c r="AW172" s="1096"/>
      <c r="AX172" s="1096"/>
      <c r="AY172" s="1096"/>
    </row>
    <row r="173" spans="1:51" x14ac:dyDescent="0.45">
      <c r="A173" s="1096">
        <v>1953</v>
      </c>
      <c r="B173" s="1096" t="s">
        <v>1371</v>
      </c>
      <c r="C173" s="1113">
        <f>[7]LRAll!C164</f>
        <v>10.354167070862241</v>
      </c>
      <c r="D173" s="1113">
        <f>[7]LRAll!I164</f>
        <v>6.6262639851615877</v>
      </c>
      <c r="E173" s="1096"/>
      <c r="F173" s="1114">
        <f t="shared" si="7"/>
        <v>63.996108424873874</v>
      </c>
      <c r="G173" s="1096"/>
      <c r="H173" s="1096"/>
      <c r="I173" s="1096"/>
      <c r="J173" s="1096"/>
      <c r="K173" s="1096"/>
      <c r="L173" s="1096"/>
      <c r="M173" s="1096"/>
      <c r="N173" s="1096"/>
      <c r="O173" s="1096"/>
      <c r="P173" s="1096"/>
      <c r="Q173" s="1096"/>
      <c r="R173" s="1096"/>
      <c r="S173" s="1096"/>
      <c r="T173" s="1096"/>
      <c r="U173" s="1096"/>
      <c r="V173" s="1096"/>
      <c r="W173" s="1096"/>
      <c r="X173" s="1096"/>
      <c r="Y173" s="1096"/>
      <c r="Z173" s="1096"/>
      <c r="AA173" s="1096"/>
      <c r="AB173" s="1096"/>
      <c r="AC173" s="1096"/>
      <c r="AD173" s="1096"/>
      <c r="AE173" s="1096"/>
      <c r="AF173" s="1096"/>
      <c r="AG173" s="1096"/>
      <c r="AH173" s="1096"/>
      <c r="AI173" s="1096"/>
      <c r="AJ173" s="1096"/>
      <c r="AK173" s="1096"/>
      <c r="AL173" s="1096"/>
      <c r="AM173" s="1096"/>
      <c r="AN173" s="1096"/>
      <c r="AO173" s="1096"/>
      <c r="AP173" s="1096"/>
      <c r="AQ173" s="1096"/>
      <c r="AR173" s="1096"/>
      <c r="AS173" s="1096"/>
      <c r="AT173" s="1096"/>
      <c r="AU173" s="1096"/>
      <c r="AV173" s="1096"/>
      <c r="AW173" s="1096"/>
      <c r="AX173" s="1096"/>
      <c r="AY173" s="1096"/>
    </row>
    <row r="174" spans="1:51" x14ac:dyDescent="0.45">
      <c r="A174" s="1096">
        <v>1953</v>
      </c>
      <c r="B174" s="1096" t="s">
        <v>1373</v>
      </c>
      <c r="C174" s="1113">
        <f>[7]LRAll!C165</f>
        <v>10.354167070862241</v>
      </c>
      <c r="D174" s="1113">
        <f>[7]LRAll!I165</f>
        <v>6.6388375411106617</v>
      </c>
      <c r="E174" s="1096"/>
      <c r="F174" s="1114">
        <f t="shared" si="7"/>
        <v>64.117543165718047</v>
      </c>
      <c r="G174" s="1096"/>
      <c r="H174" s="1096"/>
      <c r="I174" s="1096"/>
      <c r="J174" s="1096"/>
      <c r="K174" s="1096"/>
      <c r="L174" s="1096"/>
      <c r="M174" s="1096"/>
      <c r="N174" s="1096"/>
      <c r="O174" s="1096"/>
      <c r="P174" s="1096"/>
      <c r="Q174" s="1096"/>
      <c r="R174" s="1096"/>
      <c r="S174" s="1096"/>
      <c r="T174" s="1096"/>
      <c r="U174" s="1096"/>
      <c r="V174" s="1096"/>
      <c r="W174" s="1096"/>
      <c r="X174" s="1096"/>
      <c r="Y174" s="1096"/>
      <c r="Z174" s="1096"/>
      <c r="AA174" s="1096"/>
      <c r="AB174" s="1096"/>
      <c r="AC174" s="1096"/>
      <c r="AD174" s="1096"/>
      <c r="AE174" s="1096"/>
      <c r="AF174" s="1096"/>
      <c r="AG174" s="1096"/>
      <c r="AH174" s="1096"/>
      <c r="AI174" s="1096"/>
      <c r="AJ174" s="1096"/>
      <c r="AK174" s="1096"/>
      <c r="AL174" s="1096"/>
      <c r="AM174" s="1096"/>
      <c r="AN174" s="1096"/>
      <c r="AO174" s="1096"/>
      <c r="AP174" s="1096"/>
      <c r="AQ174" s="1096"/>
      <c r="AR174" s="1096"/>
      <c r="AS174" s="1096"/>
      <c r="AT174" s="1096"/>
      <c r="AU174" s="1096"/>
      <c r="AV174" s="1096"/>
      <c r="AW174" s="1096"/>
      <c r="AX174" s="1096"/>
      <c r="AY174" s="1096"/>
    </row>
    <row r="175" spans="1:51" x14ac:dyDescent="0.45">
      <c r="A175" s="1096">
        <v>1953</v>
      </c>
      <c r="B175" s="1096" t="s">
        <v>1375</v>
      </c>
      <c r="C175" s="1113">
        <f>[7]LRAll!C166</f>
        <v>10.28617535463707</v>
      </c>
      <c r="D175" s="1113">
        <f>[7]LRAll!I166</f>
        <v>6.6514110970597349</v>
      </c>
      <c r="E175" s="1096"/>
      <c r="F175" s="1114">
        <f t="shared" si="7"/>
        <v>64.663598157124923</v>
      </c>
      <c r="G175" s="1096"/>
      <c r="H175" s="1096"/>
      <c r="I175" s="1096"/>
      <c r="J175" s="1096"/>
      <c r="K175" s="1096"/>
      <c r="L175" s="1096"/>
      <c r="M175" s="1096"/>
      <c r="N175" s="1096"/>
      <c r="O175" s="1096"/>
      <c r="P175" s="1096"/>
      <c r="Q175" s="1096"/>
      <c r="R175" s="1096"/>
      <c r="S175" s="1096"/>
      <c r="T175" s="1096"/>
      <c r="U175" s="1096"/>
      <c r="V175" s="1096"/>
      <c r="W175" s="1096"/>
      <c r="X175" s="1096"/>
      <c r="Y175" s="1096"/>
      <c r="Z175" s="1096"/>
      <c r="AA175" s="1096"/>
      <c r="AB175" s="1096"/>
      <c r="AC175" s="1096"/>
      <c r="AD175" s="1096"/>
      <c r="AE175" s="1096"/>
      <c r="AF175" s="1096"/>
      <c r="AG175" s="1096"/>
      <c r="AH175" s="1096"/>
      <c r="AI175" s="1096"/>
      <c r="AJ175" s="1096"/>
      <c r="AK175" s="1096"/>
      <c r="AL175" s="1096"/>
      <c r="AM175" s="1096"/>
      <c r="AN175" s="1096"/>
      <c r="AO175" s="1096"/>
      <c r="AP175" s="1096"/>
      <c r="AQ175" s="1096"/>
      <c r="AR175" s="1096"/>
      <c r="AS175" s="1096"/>
      <c r="AT175" s="1096"/>
      <c r="AU175" s="1096"/>
      <c r="AV175" s="1096"/>
      <c r="AW175" s="1096"/>
      <c r="AX175" s="1096"/>
      <c r="AY175" s="1096"/>
    </row>
    <row r="176" spans="1:51" x14ac:dyDescent="0.45">
      <c r="A176" s="1096">
        <v>1953</v>
      </c>
      <c r="B176" s="1096" t="s">
        <v>1377</v>
      </c>
      <c r="C176" s="1113">
        <f>[7]LRAll!C167</f>
        <v>10.266749150001305</v>
      </c>
      <c r="D176" s="1113">
        <f>[7]LRAll!I167</f>
        <v>6.6954185428814919</v>
      </c>
      <c r="E176" s="1096"/>
      <c r="F176" s="1114">
        <f t="shared" si="7"/>
        <v>65.21459173745022</v>
      </c>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c r="AV176" s="1096"/>
      <c r="AW176" s="1096"/>
      <c r="AX176" s="1096"/>
      <c r="AY176" s="1096"/>
    </row>
    <row r="177" spans="1:51" x14ac:dyDescent="0.45">
      <c r="A177" s="1096">
        <v>1953</v>
      </c>
      <c r="B177" s="1096" t="s">
        <v>1379</v>
      </c>
      <c r="C177" s="1113">
        <f>[7]LRAll!C168</f>
        <v>10.266749150001305</v>
      </c>
      <c r="D177" s="1113">
        <f>[7]LRAll!I168</f>
        <v>6.6954185428814919</v>
      </c>
      <c r="E177" s="1096"/>
      <c r="F177" s="1114">
        <f t="shared" si="7"/>
        <v>65.21459173745022</v>
      </c>
      <c r="G177" s="1096"/>
      <c r="H177" s="1096"/>
      <c r="I177" s="1096"/>
      <c r="J177" s="1096"/>
      <c r="K177" s="1096"/>
      <c r="L177" s="1096"/>
      <c r="M177" s="1096"/>
      <c r="N177" s="1096"/>
      <c r="O177" s="1096"/>
      <c r="P177" s="1096"/>
      <c r="Q177" s="1096"/>
      <c r="R177" s="1096"/>
      <c r="S177" s="1096"/>
      <c r="T177" s="1096"/>
      <c r="U177" s="1096"/>
      <c r="V177" s="1096"/>
      <c r="W177" s="1096"/>
      <c r="X177" s="1096"/>
      <c r="Y177" s="1096"/>
      <c r="Z177" s="1096"/>
      <c r="AA177" s="1096"/>
      <c r="AB177" s="1096"/>
      <c r="AC177" s="1096"/>
      <c r="AD177" s="1096"/>
      <c r="AE177" s="1096"/>
      <c r="AF177" s="1096"/>
      <c r="AG177" s="1096"/>
      <c r="AH177" s="1096"/>
      <c r="AI177" s="1096"/>
      <c r="AJ177" s="1096"/>
      <c r="AK177" s="1096"/>
      <c r="AL177" s="1096"/>
      <c r="AM177" s="1096"/>
      <c r="AN177" s="1096"/>
      <c r="AO177" s="1096"/>
      <c r="AP177" s="1096"/>
      <c r="AQ177" s="1096"/>
      <c r="AR177" s="1096"/>
      <c r="AS177" s="1096"/>
      <c r="AT177" s="1096"/>
      <c r="AU177" s="1096"/>
      <c r="AV177" s="1096"/>
      <c r="AW177" s="1096"/>
      <c r="AX177" s="1096"/>
      <c r="AY177" s="1096"/>
    </row>
    <row r="178" spans="1:51" x14ac:dyDescent="0.45">
      <c r="A178" s="1096">
        <v>1953</v>
      </c>
      <c r="B178" s="1096" t="s">
        <v>1381</v>
      </c>
      <c r="C178" s="1113">
        <f>[7]LRAll!C169</f>
        <v>10.29588845695495</v>
      </c>
      <c r="D178" s="1113">
        <f>[7]LRAll!I169</f>
        <v>6.8903086600921251</v>
      </c>
      <c r="E178" s="1096"/>
      <c r="F178" s="1114">
        <f t="shared" si="7"/>
        <v>66.922914801370737</v>
      </c>
      <c r="G178" s="1096"/>
      <c r="H178" s="1096"/>
      <c r="I178" s="1096"/>
      <c r="J178" s="1096"/>
      <c r="K178" s="1096"/>
      <c r="L178" s="1096"/>
      <c r="M178" s="1096"/>
      <c r="N178" s="1096"/>
      <c r="O178" s="1096"/>
      <c r="P178" s="1096"/>
      <c r="Q178" s="1096"/>
      <c r="R178" s="1096"/>
      <c r="S178" s="1096"/>
      <c r="T178" s="1096"/>
      <c r="U178" s="1096"/>
      <c r="V178" s="1096"/>
      <c r="W178" s="1096"/>
      <c r="X178" s="1096"/>
      <c r="Y178" s="1096"/>
      <c r="Z178" s="1096"/>
      <c r="AA178" s="1096"/>
      <c r="AB178" s="1096"/>
      <c r="AC178" s="1096"/>
      <c r="AD178" s="1096"/>
      <c r="AE178" s="1096"/>
      <c r="AF178" s="1096"/>
      <c r="AG178" s="1096"/>
      <c r="AH178" s="1096"/>
      <c r="AI178" s="1096"/>
      <c r="AJ178" s="1096"/>
      <c r="AK178" s="1096"/>
      <c r="AL178" s="1096"/>
      <c r="AM178" s="1096"/>
      <c r="AN178" s="1096"/>
      <c r="AO178" s="1096"/>
      <c r="AP178" s="1096"/>
      <c r="AQ178" s="1096"/>
      <c r="AR178" s="1096"/>
      <c r="AS178" s="1096"/>
      <c r="AT178" s="1096"/>
      <c r="AU178" s="1096"/>
      <c r="AV178" s="1096"/>
      <c r="AW178" s="1096"/>
      <c r="AX178" s="1096"/>
      <c r="AY178" s="1096"/>
    </row>
    <row r="179" spans="1:51" x14ac:dyDescent="0.45">
      <c r="A179" s="1096">
        <v>1953</v>
      </c>
      <c r="B179" s="1096" t="s">
        <v>1383</v>
      </c>
      <c r="C179" s="1113">
        <f>[7]LRAll!C170</f>
        <v>10.257036047683423</v>
      </c>
      <c r="D179" s="1113">
        <f>[7]LRAll!I170</f>
        <v>6.9468896618629552</v>
      </c>
      <c r="E179" s="1096"/>
      <c r="F179" s="1114">
        <f t="shared" si="7"/>
        <v>67.728041800456836</v>
      </c>
      <c r="G179" s="1096"/>
      <c r="H179" s="1096"/>
      <c r="I179" s="1096"/>
      <c r="J179" s="1096"/>
      <c r="K179" s="1096"/>
      <c r="L179" s="1096"/>
      <c r="M179" s="1096"/>
      <c r="N179" s="1096"/>
      <c r="O179" s="1096"/>
      <c r="P179" s="1096"/>
      <c r="Q179" s="1096"/>
      <c r="R179" s="1096"/>
      <c r="S179" s="1096"/>
      <c r="T179" s="1096"/>
      <c r="U179" s="1096"/>
      <c r="V179" s="1096"/>
      <c r="W179" s="1096"/>
      <c r="X179" s="1096"/>
      <c r="Y179" s="1096"/>
      <c r="Z179" s="1096"/>
      <c r="AA179" s="1096"/>
      <c r="AB179" s="1096"/>
      <c r="AC179" s="1096"/>
      <c r="AD179" s="1096"/>
      <c r="AE179" s="1096"/>
      <c r="AF179" s="1096"/>
      <c r="AG179" s="1096"/>
      <c r="AH179" s="1096"/>
      <c r="AI179" s="1096"/>
      <c r="AJ179" s="1096"/>
      <c r="AK179" s="1096"/>
      <c r="AL179" s="1096"/>
      <c r="AM179" s="1096"/>
      <c r="AN179" s="1096"/>
      <c r="AO179" s="1096"/>
      <c r="AP179" s="1096"/>
      <c r="AQ179" s="1096"/>
      <c r="AR179" s="1096"/>
      <c r="AS179" s="1096"/>
      <c r="AT179" s="1096"/>
      <c r="AU179" s="1096"/>
      <c r="AV179" s="1096"/>
      <c r="AW179" s="1096"/>
      <c r="AX179" s="1096"/>
      <c r="AY179" s="1096"/>
    </row>
    <row r="180" spans="1:51" x14ac:dyDescent="0.45">
      <c r="A180" s="1096">
        <v>1954</v>
      </c>
      <c r="B180" s="1096" t="s">
        <v>1385</v>
      </c>
      <c r="C180" s="1113">
        <f>[7]LRAll!C171</f>
        <v>10.276462252319186</v>
      </c>
      <c r="D180" s="1113">
        <f>[7]LRAll!I171</f>
        <v>6.9594632178120284</v>
      </c>
      <c r="E180" s="1096"/>
      <c r="F180" s="1114">
        <f t="shared" si="7"/>
        <v>67.722364437639243</v>
      </c>
      <c r="G180" s="1096"/>
      <c r="H180" s="1096"/>
      <c r="I180" s="1096"/>
      <c r="J180" s="1096"/>
      <c r="K180" s="1096"/>
      <c r="L180" s="1096"/>
      <c r="M180" s="1096"/>
      <c r="N180" s="1096"/>
      <c r="O180" s="1096"/>
      <c r="P180" s="1096"/>
      <c r="Q180" s="1096"/>
      <c r="R180" s="1096"/>
      <c r="S180" s="1096"/>
      <c r="T180" s="1096"/>
      <c r="U180" s="1096"/>
      <c r="V180" s="1096"/>
      <c r="W180" s="1096"/>
      <c r="X180" s="1096"/>
      <c r="Y180" s="1096"/>
      <c r="Z180" s="1096"/>
      <c r="AA180" s="1096"/>
      <c r="AB180" s="1096"/>
      <c r="AC180" s="1096"/>
      <c r="AD180" s="1096"/>
      <c r="AE180" s="1096"/>
      <c r="AF180" s="1096"/>
      <c r="AG180" s="1096"/>
      <c r="AH180" s="1096"/>
      <c r="AI180" s="1096"/>
      <c r="AJ180" s="1096"/>
      <c r="AK180" s="1096"/>
      <c r="AL180" s="1096"/>
      <c r="AM180" s="1096"/>
      <c r="AN180" s="1096"/>
      <c r="AO180" s="1096"/>
      <c r="AP180" s="1096"/>
      <c r="AQ180" s="1096"/>
      <c r="AR180" s="1096"/>
      <c r="AS180" s="1096"/>
      <c r="AT180" s="1096"/>
      <c r="AU180" s="1096"/>
      <c r="AV180" s="1096"/>
      <c r="AW180" s="1096"/>
      <c r="AX180" s="1096"/>
      <c r="AY180" s="1096"/>
    </row>
    <row r="181" spans="1:51" x14ac:dyDescent="0.45">
      <c r="A181" s="1096">
        <v>1954</v>
      </c>
      <c r="B181" s="1096" t="s">
        <v>1387</v>
      </c>
      <c r="C181" s="1113">
        <f>[7]LRAll!C172</f>
        <v>10.257036047683423</v>
      </c>
      <c r="D181" s="1113">
        <f>[7]LRAll!I172</f>
        <v>6.9846103297101747</v>
      </c>
      <c r="E181" s="1096"/>
      <c r="F181" s="1114">
        <f t="shared" si="7"/>
        <v>68.095795873581494</v>
      </c>
      <c r="G181" s="1096"/>
      <c r="H181" s="1096"/>
      <c r="I181" s="1096"/>
      <c r="J181" s="1096"/>
      <c r="K181" s="1096"/>
      <c r="L181" s="1096"/>
      <c r="M181" s="1096"/>
      <c r="N181" s="1096"/>
      <c r="O181" s="1096"/>
      <c r="P181" s="1096"/>
      <c r="Q181" s="1096"/>
      <c r="R181" s="1096"/>
      <c r="S181" s="1096"/>
      <c r="T181" s="1096"/>
      <c r="U181" s="1096"/>
      <c r="V181" s="1096"/>
      <c r="W181" s="1096"/>
      <c r="X181" s="1096"/>
      <c r="Y181" s="1096"/>
      <c r="Z181" s="1096"/>
      <c r="AA181" s="1096"/>
      <c r="AB181" s="1096"/>
      <c r="AC181" s="1096"/>
      <c r="AD181" s="1096"/>
      <c r="AE181" s="1096"/>
      <c r="AF181" s="1096"/>
      <c r="AG181" s="1096"/>
      <c r="AH181" s="1096"/>
      <c r="AI181" s="1096"/>
      <c r="AJ181" s="1096"/>
      <c r="AK181" s="1096"/>
      <c r="AL181" s="1096"/>
      <c r="AM181" s="1096"/>
      <c r="AN181" s="1096"/>
      <c r="AO181" s="1096"/>
      <c r="AP181" s="1096"/>
      <c r="AQ181" s="1096"/>
      <c r="AR181" s="1096"/>
      <c r="AS181" s="1096"/>
      <c r="AT181" s="1096"/>
      <c r="AU181" s="1096"/>
      <c r="AV181" s="1096"/>
      <c r="AW181" s="1096"/>
      <c r="AX181" s="1096"/>
      <c r="AY181" s="1096"/>
    </row>
    <row r="182" spans="1:51" x14ac:dyDescent="0.45">
      <c r="A182" s="1096">
        <v>1954</v>
      </c>
      <c r="B182" s="1096" t="s">
        <v>1389</v>
      </c>
      <c r="C182" s="1113">
        <f>[7]LRAll!C173</f>
        <v>10.354167070862241</v>
      </c>
      <c r="D182" s="1113">
        <f>[7]LRAll!I173</f>
        <v>7.041191331481004</v>
      </c>
      <c r="E182" s="1096"/>
      <c r="F182" s="1114">
        <f t="shared" si="7"/>
        <v>68.003454872731268</v>
      </c>
      <c r="G182" s="1096"/>
      <c r="H182" s="1096"/>
      <c r="I182" s="1096"/>
      <c r="J182" s="1096"/>
      <c r="K182" s="1096"/>
      <c r="L182" s="1096"/>
      <c r="M182" s="1096"/>
      <c r="N182" s="1096"/>
      <c r="O182" s="1096"/>
      <c r="P182" s="1096"/>
      <c r="Q182" s="1096"/>
      <c r="R182" s="1096"/>
      <c r="S182" s="1096"/>
      <c r="T182" s="1096"/>
      <c r="U182" s="1096"/>
      <c r="V182" s="1096"/>
      <c r="W182" s="1096"/>
      <c r="X182" s="1096"/>
      <c r="Y182" s="1096"/>
      <c r="Z182" s="1096"/>
      <c r="AA182" s="1096"/>
      <c r="AB182" s="1096"/>
      <c r="AC182" s="1096"/>
      <c r="AD182" s="1096"/>
      <c r="AE182" s="1096"/>
      <c r="AF182" s="1096"/>
      <c r="AG182" s="1096"/>
      <c r="AH182" s="1096"/>
      <c r="AI182" s="1096"/>
      <c r="AJ182" s="1096"/>
      <c r="AK182" s="1096"/>
      <c r="AL182" s="1096"/>
      <c r="AM182" s="1096"/>
      <c r="AN182" s="1096"/>
      <c r="AO182" s="1096"/>
      <c r="AP182" s="1096"/>
      <c r="AQ182" s="1096"/>
      <c r="AR182" s="1096"/>
      <c r="AS182" s="1096"/>
      <c r="AT182" s="1096"/>
      <c r="AU182" s="1096"/>
      <c r="AV182" s="1096"/>
      <c r="AW182" s="1096"/>
      <c r="AX182" s="1096"/>
      <c r="AY182" s="1096"/>
    </row>
    <row r="183" spans="1:51" x14ac:dyDescent="0.45">
      <c r="A183" s="1096">
        <v>1954</v>
      </c>
      <c r="B183" s="1096" t="s">
        <v>1391</v>
      </c>
      <c r="C183" s="1113">
        <f>[7]LRAll!C174</f>
        <v>10.393019480133772</v>
      </c>
      <c r="D183" s="1113">
        <f>[7]LRAll!I174</f>
        <v>7.0474781094555405</v>
      </c>
      <c r="E183" s="1096"/>
      <c r="F183" s="1114">
        <f t="shared" si="7"/>
        <v>67.809726739440606</v>
      </c>
      <c r="G183" s="1096"/>
      <c r="H183" s="1096"/>
      <c r="I183" s="1096"/>
      <c r="J183" s="1096"/>
      <c r="K183" s="1096"/>
      <c r="L183" s="1096"/>
      <c r="M183" s="1096"/>
      <c r="N183" s="1096"/>
      <c r="O183" s="1096"/>
      <c r="P183" s="1096"/>
      <c r="Q183" s="1096"/>
      <c r="R183" s="1096"/>
      <c r="S183" s="1096"/>
      <c r="T183" s="1096"/>
      <c r="U183" s="1096"/>
      <c r="V183" s="1096"/>
      <c r="W183" s="1096"/>
      <c r="X183" s="1096"/>
      <c r="Y183" s="1096"/>
      <c r="Z183" s="1096"/>
      <c r="AA183" s="1096"/>
      <c r="AB183" s="1096"/>
      <c r="AC183" s="1096"/>
      <c r="AD183" s="1096"/>
      <c r="AE183" s="1096"/>
      <c r="AF183" s="1096"/>
      <c r="AG183" s="1096"/>
      <c r="AH183" s="1096"/>
      <c r="AI183" s="1096"/>
      <c r="AJ183" s="1096"/>
      <c r="AK183" s="1096"/>
      <c r="AL183" s="1096"/>
      <c r="AM183" s="1096"/>
      <c r="AN183" s="1096"/>
      <c r="AO183" s="1096"/>
      <c r="AP183" s="1096"/>
      <c r="AQ183" s="1096"/>
      <c r="AR183" s="1096"/>
      <c r="AS183" s="1096"/>
      <c r="AT183" s="1096"/>
      <c r="AU183" s="1096"/>
      <c r="AV183" s="1096"/>
      <c r="AW183" s="1096"/>
      <c r="AX183" s="1096"/>
      <c r="AY183" s="1096"/>
    </row>
    <row r="184" spans="1:51" x14ac:dyDescent="0.45">
      <c r="A184" s="1096">
        <v>1954</v>
      </c>
      <c r="B184" s="1096" t="s">
        <v>1393</v>
      </c>
      <c r="C184" s="1113">
        <f>[7]LRAll!C175</f>
        <v>10.363880173180126</v>
      </c>
      <c r="D184" s="1113">
        <f>[7]LRAll!I175</f>
        <v>6.8903086600921251</v>
      </c>
      <c r="E184" s="1096"/>
      <c r="F184" s="1114">
        <f t="shared" si="7"/>
        <v>66.483870374370156</v>
      </c>
      <c r="G184" s="1096"/>
      <c r="H184" s="1096"/>
      <c r="I184" s="1096"/>
      <c r="J184" s="1096"/>
      <c r="K184" s="1096"/>
      <c r="L184" s="1096"/>
      <c r="M184" s="1096"/>
      <c r="N184" s="1096"/>
      <c r="O184" s="1096"/>
      <c r="P184" s="1096"/>
      <c r="Q184" s="1096"/>
      <c r="R184" s="1096"/>
      <c r="S184" s="1096"/>
      <c r="T184" s="1096"/>
      <c r="U184" s="1096"/>
      <c r="V184" s="1096"/>
      <c r="W184" s="1096"/>
      <c r="X184" s="1096"/>
      <c r="Y184" s="1096"/>
      <c r="Z184" s="1096"/>
      <c r="AA184" s="1096"/>
      <c r="AB184" s="1096"/>
      <c r="AC184" s="1096"/>
      <c r="AD184" s="1096"/>
      <c r="AE184" s="1096"/>
      <c r="AF184" s="1096"/>
      <c r="AG184" s="1096"/>
      <c r="AH184" s="1096"/>
      <c r="AI184" s="1096"/>
      <c r="AJ184" s="1096"/>
      <c r="AK184" s="1096"/>
      <c r="AL184" s="1096"/>
      <c r="AM184" s="1096"/>
      <c r="AN184" s="1096"/>
      <c r="AO184" s="1096"/>
      <c r="AP184" s="1096"/>
      <c r="AQ184" s="1096"/>
      <c r="AR184" s="1096"/>
      <c r="AS184" s="1096"/>
      <c r="AT184" s="1096"/>
      <c r="AU184" s="1096"/>
      <c r="AV184" s="1096"/>
      <c r="AW184" s="1096"/>
      <c r="AX184" s="1096"/>
      <c r="AY184" s="1096"/>
    </row>
    <row r="185" spans="1:51" x14ac:dyDescent="0.45">
      <c r="A185" s="1096">
        <v>1954</v>
      </c>
      <c r="B185" s="1096" t="s">
        <v>1371</v>
      </c>
      <c r="C185" s="1113">
        <f>[7]LRAll!C176</f>
        <v>10.422158787087415</v>
      </c>
      <c r="D185" s="1113">
        <f>[7]LRAll!I176</f>
        <v>6.9154557719902723</v>
      </c>
      <c r="E185" s="1096"/>
      <c r="F185" s="1114">
        <f t="shared" si="7"/>
        <v>66.353391012984858</v>
      </c>
      <c r="G185" s="1096"/>
      <c r="H185" s="1096"/>
      <c r="I185" s="1096"/>
      <c r="J185" s="1096"/>
      <c r="K185" s="1096"/>
      <c r="L185" s="1096"/>
      <c r="M185" s="1096"/>
      <c r="N185" s="1096"/>
      <c r="O185" s="1096"/>
      <c r="P185" s="1096"/>
      <c r="Q185" s="1096"/>
      <c r="R185" s="1096"/>
      <c r="S185" s="1096"/>
      <c r="T185" s="1096"/>
      <c r="U185" s="1096"/>
      <c r="V185" s="1096"/>
      <c r="W185" s="1096"/>
      <c r="X185" s="1096"/>
      <c r="Y185" s="1096"/>
      <c r="Z185" s="1096"/>
      <c r="AA185" s="1096"/>
      <c r="AB185" s="1096"/>
      <c r="AC185" s="1096"/>
      <c r="AD185" s="1096"/>
      <c r="AE185" s="1096"/>
      <c r="AF185" s="1096"/>
      <c r="AG185" s="1096"/>
      <c r="AH185" s="1096"/>
      <c r="AI185" s="1096"/>
      <c r="AJ185" s="1096"/>
      <c r="AK185" s="1096"/>
      <c r="AL185" s="1096"/>
      <c r="AM185" s="1096"/>
      <c r="AN185" s="1096"/>
      <c r="AO185" s="1096"/>
      <c r="AP185" s="1096"/>
      <c r="AQ185" s="1096"/>
      <c r="AR185" s="1096"/>
      <c r="AS185" s="1096"/>
      <c r="AT185" s="1096"/>
      <c r="AU185" s="1096"/>
      <c r="AV185" s="1096"/>
      <c r="AW185" s="1096"/>
      <c r="AX185" s="1096"/>
      <c r="AY185" s="1096"/>
    </row>
    <row r="186" spans="1:51" x14ac:dyDescent="0.45">
      <c r="A186" s="1096">
        <v>1954</v>
      </c>
      <c r="B186" s="1096" t="s">
        <v>1373</v>
      </c>
      <c r="C186" s="1113">
        <f>[7]LRAll!C177</f>
        <v>10.596994628809295</v>
      </c>
      <c r="D186" s="1113">
        <f>[7]LRAll!I177</f>
        <v>6.9280293279393454</v>
      </c>
      <c r="E186" s="1096"/>
      <c r="F186" s="1114">
        <f t="shared" si="7"/>
        <v>65.377303382834654</v>
      </c>
      <c r="G186" s="1096"/>
      <c r="H186" s="1096"/>
      <c r="I186" s="1096"/>
      <c r="J186" s="1096"/>
      <c r="K186" s="1096"/>
      <c r="L186" s="1096"/>
      <c r="M186" s="1096"/>
      <c r="N186" s="1096"/>
      <c r="O186" s="1096"/>
      <c r="P186" s="1096"/>
      <c r="Q186" s="1096"/>
      <c r="R186" s="1096"/>
      <c r="S186" s="1096"/>
      <c r="T186" s="1096"/>
      <c r="U186" s="1096"/>
      <c r="V186" s="1096"/>
      <c r="W186" s="1096"/>
      <c r="X186" s="1096"/>
      <c r="Y186" s="1096"/>
      <c r="Z186" s="1096"/>
      <c r="AA186" s="1096"/>
      <c r="AB186" s="1096"/>
      <c r="AC186" s="1096"/>
      <c r="AD186" s="1096"/>
      <c r="AE186" s="1096"/>
      <c r="AF186" s="1096"/>
      <c r="AG186" s="1096"/>
      <c r="AH186" s="1096"/>
      <c r="AI186" s="1096"/>
      <c r="AJ186" s="1096"/>
      <c r="AK186" s="1096"/>
      <c r="AL186" s="1096"/>
      <c r="AM186" s="1096"/>
      <c r="AN186" s="1096"/>
      <c r="AO186" s="1096"/>
      <c r="AP186" s="1096"/>
      <c r="AQ186" s="1096"/>
      <c r="AR186" s="1096"/>
      <c r="AS186" s="1096"/>
      <c r="AT186" s="1096"/>
      <c r="AU186" s="1096"/>
      <c r="AV186" s="1096"/>
      <c r="AW186" s="1096"/>
      <c r="AX186" s="1096"/>
      <c r="AY186" s="1096"/>
    </row>
    <row r="187" spans="1:51" x14ac:dyDescent="0.45">
      <c r="A187" s="1096">
        <v>1954</v>
      </c>
      <c r="B187" s="1096" t="s">
        <v>1375</v>
      </c>
      <c r="C187" s="1113">
        <f>[7]LRAll!C178</f>
        <v>10.529002912584119</v>
      </c>
      <c r="D187" s="1113">
        <f>[7]LRAll!I178</f>
        <v>6.9280293279393454</v>
      </c>
      <c r="E187" s="1096"/>
      <c r="F187" s="1114">
        <f t="shared" si="7"/>
        <v>65.799481541210909</v>
      </c>
      <c r="G187" s="1096"/>
      <c r="H187" s="1096"/>
      <c r="I187" s="1096"/>
      <c r="J187" s="1096"/>
      <c r="K187" s="1096"/>
      <c r="L187" s="1096"/>
      <c r="M187" s="1096"/>
      <c r="N187" s="1096"/>
      <c r="O187" s="1096"/>
      <c r="P187" s="1096"/>
      <c r="Q187" s="1096"/>
      <c r="R187" s="1096"/>
      <c r="S187" s="1096"/>
      <c r="T187" s="1096"/>
      <c r="U187" s="1096"/>
      <c r="V187" s="1096"/>
      <c r="W187" s="1096"/>
      <c r="X187" s="1096"/>
      <c r="Y187" s="1096"/>
      <c r="Z187" s="1096"/>
      <c r="AA187" s="1096"/>
      <c r="AB187" s="1096"/>
      <c r="AC187" s="1096"/>
      <c r="AD187" s="1096"/>
      <c r="AE187" s="1096"/>
      <c r="AF187" s="1096"/>
      <c r="AG187" s="1096"/>
      <c r="AH187" s="1096"/>
      <c r="AI187" s="1096"/>
      <c r="AJ187" s="1096"/>
      <c r="AK187" s="1096"/>
      <c r="AL187" s="1096"/>
      <c r="AM187" s="1096"/>
      <c r="AN187" s="1096"/>
      <c r="AO187" s="1096"/>
      <c r="AP187" s="1096"/>
      <c r="AQ187" s="1096"/>
      <c r="AR187" s="1096"/>
      <c r="AS187" s="1096"/>
      <c r="AT187" s="1096"/>
      <c r="AU187" s="1096"/>
      <c r="AV187" s="1096"/>
      <c r="AW187" s="1096"/>
      <c r="AX187" s="1096"/>
      <c r="AY187" s="1096"/>
    </row>
    <row r="188" spans="1:51" x14ac:dyDescent="0.45">
      <c r="A188" s="1096">
        <v>1954</v>
      </c>
      <c r="B188" s="1096" t="s">
        <v>1377</v>
      </c>
      <c r="C188" s="1113">
        <f>[7]LRAll!C179</f>
        <v>10.509576707948355</v>
      </c>
      <c r="D188" s="1113">
        <f>[7]LRAll!I179</f>
        <v>6.9594632178120284</v>
      </c>
      <c r="E188" s="1096"/>
      <c r="F188" s="1114">
        <f t="shared" si="7"/>
        <v>66.220204782830223</v>
      </c>
      <c r="G188" s="1096"/>
      <c r="H188" s="1096"/>
      <c r="I188" s="1096"/>
      <c r="J188" s="1096"/>
      <c r="K188" s="1096"/>
      <c r="L188" s="1096"/>
      <c r="M188" s="1096"/>
      <c r="N188" s="1096"/>
      <c r="O188" s="1096"/>
      <c r="P188" s="1096"/>
      <c r="Q188" s="1096"/>
      <c r="R188" s="1096"/>
      <c r="S188" s="1096"/>
      <c r="T188" s="1096"/>
      <c r="U188" s="1096"/>
      <c r="V188" s="1096"/>
      <c r="W188" s="1096"/>
      <c r="X188" s="1096"/>
      <c r="Y188" s="1096"/>
      <c r="Z188" s="1096"/>
      <c r="AA188" s="1096"/>
      <c r="AB188" s="1096"/>
      <c r="AC188" s="1096"/>
      <c r="AD188" s="1096"/>
      <c r="AE188" s="1096"/>
      <c r="AF188" s="1096"/>
      <c r="AG188" s="1096"/>
      <c r="AH188" s="1096"/>
      <c r="AI188" s="1096"/>
      <c r="AJ188" s="1096"/>
      <c r="AK188" s="1096"/>
      <c r="AL188" s="1096"/>
      <c r="AM188" s="1096"/>
      <c r="AN188" s="1096"/>
      <c r="AO188" s="1096"/>
      <c r="AP188" s="1096"/>
      <c r="AQ188" s="1096"/>
      <c r="AR188" s="1096"/>
      <c r="AS188" s="1096"/>
      <c r="AT188" s="1096"/>
      <c r="AU188" s="1096"/>
      <c r="AV188" s="1096"/>
      <c r="AW188" s="1096"/>
      <c r="AX188" s="1096"/>
      <c r="AY188" s="1096"/>
    </row>
    <row r="189" spans="1:51" x14ac:dyDescent="0.45">
      <c r="A189" s="1096">
        <v>1954</v>
      </c>
      <c r="B189" s="1096" t="s">
        <v>1379</v>
      </c>
      <c r="C189" s="1113">
        <f>[7]LRAll!C180</f>
        <v>10.558142219537764</v>
      </c>
      <c r="D189" s="1113">
        <f>[7]LRAll!I180</f>
        <v>6.9783235517356381</v>
      </c>
      <c r="E189" s="1096"/>
      <c r="F189" s="1114">
        <f t="shared" si="7"/>
        <v>66.094237098097636</v>
      </c>
      <c r="G189" s="1096"/>
      <c r="H189" s="1096"/>
      <c r="I189" s="1096"/>
      <c r="J189" s="1096"/>
      <c r="K189" s="1096"/>
      <c r="L189" s="1096"/>
      <c r="M189" s="1096"/>
      <c r="N189" s="1096"/>
      <c r="O189" s="1096"/>
      <c r="P189" s="1096"/>
      <c r="Q189" s="1096"/>
      <c r="R189" s="1096"/>
      <c r="S189" s="1096"/>
      <c r="T189" s="1096"/>
      <c r="U189" s="1096"/>
      <c r="V189" s="1096"/>
      <c r="W189" s="1096"/>
      <c r="X189" s="1096"/>
      <c r="Y189" s="1096"/>
      <c r="Z189" s="1096"/>
      <c r="AA189" s="1096"/>
      <c r="AB189" s="1096"/>
      <c r="AC189" s="1096"/>
      <c r="AD189" s="1096"/>
      <c r="AE189" s="1096"/>
      <c r="AF189" s="1096"/>
      <c r="AG189" s="1096"/>
      <c r="AH189" s="1096"/>
      <c r="AI189" s="1096"/>
      <c r="AJ189" s="1096"/>
      <c r="AK189" s="1096"/>
      <c r="AL189" s="1096"/>
      <c r="AM189" s="1096"/>
      <c r="AN189" s="1096"/>
      <c r="AO189" s="1096"/>
      <c r="AP189" s="1096"/>
      <c r="AQ189" s="1096"/>
      <c r="AR189" s="1096"/>
      <c r="AS189" s="1096"/>
      <c r="AT189" s="1096"/>
      <c r="AU189" s="1096"/>
      <c r="AV189" s="1096"/>
      <c r="AW189" s="1096"/>
      <c r="AX189" s="1096"/>
      <c r="AY189" s="1096"/>
    </row>
    <row r="190" spans="1:51" x14ac:dyDescent="0.45">
      <c r="A190" s="1096">
        <v>1954</v>
      </c>
      <c r="B190" s="1096" t="s">
        <v>1381</v>
      </c>
      <c r="C190" s="1113">
        <f>[7]LRAll!C181</f>
        <v>10.606707731127177</v>
      </c>
      <c r="D190" s="1113">
        <f>[7]LRAll!I181</f>
        <v>7.1480665570481277</v>
      </c>
      <c r="E190" s="1096"/>
      <c r="F190" s="1114">
        <f t="shared" si="7"/>
        <v>67.391944213480286</v>
      </c>
      <c r="G190" s="1096"/>
      <c r="H190" s="1096"/>
      <c r="I190" s="1096"/>
      <c r="J190" s="1096"/>
      <c r="K190" s="1096"/>
      <c r="L190" s="1096"/>
      <c r="M190" s="1096"/>
      <c r="N190" s="1096"/>
      <c r="O190" s="1096"/>
      <c r="P190" s="1096"/>
      <c r="Q190" s="1096"/>
      <c r="R190" s="1096"/>
      <c r="S190" s="1096"/>
      <c r="T190" s="1096"/>
      <c r="U190" s="1096"/>
      <c r="V190" s="1096"/>
      <c r="W190" s="1096"/>
      <c r="X190" s="1096"/>
      <c r="Y190" s="1096"/>
      <c r="Z190" s="1096"/>
      <c r="AA190" s="1096"/>
      <c r="AB190" s="1096"/>
      <c r="AC190" s="1096"/>
      <c r="AD190" s="1096"/>
      <c r="AE190" s="1096"/>
      <c r="AF190" s="1096"/>
      <c r="AG190" s="1096"/>
      <c r="AH190" s="1096"/>
      <c r="AI190" s="1096"/>
      <c r="AJ190" s="1096"/>
      <c r="AK190" s="1096"/>
      <c r="AL190" s="1096"/>
      <c r="AM190" s="1096"/>
      <c r="AN190" s="1096"/>
      <c r="AO190" s="1096"/>
      <c r="AP190" s="1096"/>
      <c r="AQ190" s="1096"/>
      <c r="AR190" s="1096"/>
      <c r="AS190" s="1096"/>
      <c r="AT190" s="1096"/>
      <c r="AU190" s="1096"/>
      <c r="AV190" s="1096"/>
      <c r="AW190" s="1096"/>
      <c r="AX190" s="1096"/>
      <c r="AY190" s="1096"/>
    </row>
    <row r="191" spans="1:51" x14ac:dyDescent="0.45">
      <c r="A191" s="1096">
        <v>1954</v>
      </c>
      <c r="B191" s="1096" t="s">
        <v>1383</v>
      </c>
      <c r="C191" s="1113">
        <f>[7]LRAll!C182</f>
        <v>10.664986345034468</v>
      </c>
      <c r="D191" s="1113">
        <f>[7]LRAll!I182</f>
        <v>7.1983607808444203</v>
      </c>
      <c r="E191" s="1096"/>
      <c r="F191" s="1114">
        <f t="shared" si="7"/>
        <v>67.495264859817837</v>
      </c>
      <c r="G191" s="1096"/>
      <c r="H191" s="1096"/>
      <c r="I191" s="1096"/>
      <c r="J191" s="1096"/>
      <c r="K191" s="1096"/>
      <c r="L191" s="1096"/>
      <c r="M191" s="1096"/>
      <c r="N191" s="1096"/>
      <c r="O191" s="1096"/>
      <c r="P191" s="1096"/>
      <c r="Q191" s="1096"/>
      <c r="R191" s="1096"/>
      <c r="S191" s="1096"/>
      <c r="T191" s="1096"/>
      <c r="U191" s="1096"/>
      <c r="V191" s="1096"/>
      <c r="W191" s="1096"/>
      <c r="X191" s="1096"/>
      <c r="Y191" s="1096"/>
      <c r="Z191" s="1096"/>
      <c r="AA191" s="1096"/>
      <c r="AB191" s="1096"/>
      <c r="AC191" s="1096"/>
      <c r="AD191" s="1096"/>
      <c r="AE191" s="1096"/>
      <c r="AF191" s="1096"/>
      <c r="AG191" s="1096"/>
      <c r="AH191" s="1096"/>
      <c r="AI191" s="1096"/>
      <c r="AJ191" s="1096"/>
      <c r="AK191" s="1096"/>
      <c r="AL191" s="1096"/>
      <c r="AM191" s="1096"/>
      <c r="AN191" s="1096"/>
      <c r="AO191" s="1096"/>
      <c r="AP191" s="1096"/>
      <c r="AQ191" s="1096"/>
      <c r="AR191" s="1096"/>
      <c r="AS191" s="1096"/>
      <c r="AT191" s="1096"/>
      <c r="AU191" s="1096"/>
      <c r="AV191" s="1096"/>
      <c r="AW191" s="1096"/>
      <c r="AX191" s="1096"/>
      <c r="AY191" s="1096"/>
    </row>
    <row r="192" spans="1:51" x14ac:dyDescent="0.45">
      <c r="A192" s="1096">
        <v>1955</v>
      </c>
      <c r="B192" s="1096" t="s">
        <v>1385</v>
      </c>
      <c r="C192" s="1113">
        <f>[7]LRAll!C183</f>
        <v>10.703838754305997</v>
      </c>
      <c r="D192" s="1113">
        <f>[7]LRAll!I183</f>
        <v>7.2235078927425675</v>
      </c>
      <c r="E192" s="1096"/>
      <c r="F192" s="1114">
        <f t="shared" si="7"/>
        <v>67.485208424282888</v>
      </c>
      <c r="G192" s="1096"/>
      <c r="H192" s="1096"/>
      <c r="I192" s="1096"/>
      <c r="J192" s="1096"/>
      <c r="K192" s="1096"/>
      <c r="L192" s="1096"/>
      <c r="M192" s="1096"/>
      <c r="N192" s="1096"/>
      <c r="O192" s="1096"/>
      <c r="P192" s="1096"/>
      <c r="Q192" s="1096"/>
      <c r="R192" s="1096"/>
      <c r="S192" s="1096"/>
      <c r="T192" s="1096"/>
      <c r="U192" s="1096"/>
      <c r="V192" s="1096"/>
      <c r="W192" s="1096"/>
      <c r="X192" s="1096"/>
      <c r="Y192" s="1096"/>
      <c r="Z192" s="1096"/>
      <c r="AA192" s="1096"/>
      <c r="AB192" s="1096"/>
      <c r="AC192" s="1096"/>
      <c r="AD192" s="1096"/>
      <c r="AE192" s="1096"/>
      <c r="AF192" s="1096"/>
      <c r="AG192" s="1096"/>
      <c r="AH192" s="1096"/>
      <c r="AI192" s="1096"/>
      <c r="AJ192" s="1096"/>
      <c r="AK192" s="1096"/>
      <c r="AL192" s="1096"/>
      <c r="AM192" s="1096"/>
      <c r="AN192" s="1096"/>
      <c r="AO192" s="1096"/>
      <c r="AP192" s="1096"/>
      <c r="AQ192" s="1096"/>
      <c r="AR192" s="1096"/>
      <c r="AS192" s="1096"/>
      <c r="AT192" s="1096"/>
      <c r="AU192" s="1096"/>
      <c r="AV192" s="1096"/>
      <c r="AW192" s="1096"/>
      <c r="AX192" s="1096"/>
      <c r="AY192" s="1096"/>
    </row>
    <row r="193" spans="1:51" x14ac:dyDescent="0.45">
      <c r="A193" s="1096">
        <v>1955</v>
      </c>
      <c r="B193" s="1096" t="s">
        <v>1387</v>
      </c>
      <c r="C193" s="1113">
        <f>[7]LRAll!C184</f>
        <v>10.703838754305997</v>
      </c>
      <c r="D193" s="1113">
        <f>[7]LRAll!I184</f>
        <v>7.2172211147680283</v>
      </c>
      <c r="E193" s="1096"/>
      <c r="F193" s="1114">
        <f t="shared" si="7"/>
        <v>67.426474561424484</v>
      </c>
      <c r="G193" s="1096"/>
      <c r="H193" s="1096"/>
      <c r="I193" s="1096"/>
      <c r="J193" s="1096"/>
      <c r="K193" s="1096"/>
      <c r="L193" s="1096"/>
      <c r="M193" s="1096"/>
      <c r="N193" s="1096"/>
      <c r="O193" s="1096"/>
      <c r="P193" s="1096"/>
      <c r="Q193" s="1096"/>
      <c r="R193" s="1096"/>
      <c r="S193" s="1096"/>
      <c r="T193" s="1096"/>
      <c r="U193" s="1096"/>
      <c r="V193" s="1096"/>
      <c r="W193" s="1096"/>
      <c r="X193" s="1096"/>
      <c r="Y193" s="1096"/>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c r="AS193" s="1096"/>
      <c r="AT193" s="1096"/>
      <c r="AU193" s="1096"/>
      <c r="AV193" s="1096"/>
      <c r="AW193" s="1096"/>
      <c r="AX193" s="1096"/>
      <c r="AY193" s="1096"/>
    </row>
    <row r="194" spans="1:51" x14ac:dyDescent="0.45">
      <c r="A194" s="1096">
        <v>1955</v>
      </c>
      <c r="B194" s="1096" t="s">
        <v>1389</v>
      </c>
      <c r="C194" s="1113">
        <f>[7]LRAll!C185</f>
        <v>10.703838754305997</v>
      </c>
      <c r="D194" s="1113">
        <f>[7]LRAll!I185</f>
        <v>7.2172211147680283</v>
      </c>
      <c r="E194" s="1096"/>
      <c r="F194" s="1114">
        <f t="shared" si="7"/>
        <v>67.426474561424484</v>
      </c>
      <c r="G194" s="1096"/>
      <c r="H194" s="1096"/>
      <c r="I194" s="1096"/>
      <c r="J194" s="1096"/>
      <c r="K194" s="1096"/>
      <c r="L194" s="1096"/>
      <c r="M194" s="1096"/>
      <c r="N194" s="1096"/>
      <c r="O194" s="1096"/>
      <c r="P194" s="1096"/>
      <c r="Q194" s="1096"/>
      <c r="R194" s="1096"/>
      <c r="S194" s="1096"/>
      <c r="T194" s="1096"/>
      <c r="U194" s="1096"/>
      <c r="V194" s="1096"/>
      <c r="W194" s="1096"/>
      <c r="X194" s="1096"/>
      <c r="Y194" s="1096"/>
      <c r="Z194" s="1096"/>
      <c r="AA194" s="1096"/>
      <c r="AB194" s="1096"/>
      <c r="AC194" s="1096"/>
      <c r="AD194" s="1096"/>
      <c r="AE194" s="1096"/>
      <c r="AF194" s="1096"/>
      <c r="AG194" s="1096"/>
      <c r="AH194" s="1096"/>
      <c r="AI194" s="1096"/>
      <c r="AJ194" s="1096"/>
      <c r="AK194" s="1096"/>
      <c r="AL194" s="1096"/>
      <c r="AM194" s="1096"/>
      <c r="AN194" s="1096"/>
      <c r="AO194" s="1096"/>
      <c r="AP194" s="1096"/>
      <c r="AQ194" s="1096"/>
      <c r="AR194" s="1096"/>
      <c r="AS194" s="1096"/>
      <c r="AT194" s="1096"/>
      <c r="AU194" s="1096"/>
      <c r="AV194" s="1096"/>
      <c r="AW194" s="1096"/>
      <c r="AX194" s="1096"/>
      <c r="AY194" s="1096"/>
    </row>
    <row r="195" spans="1:51" x14ac:dyDescent="0.45">
      <c r="A195" s="1096">
        <v>1955</v>
      </c>
      <c r="B195" s="1096" t="s">
        <v>1391</v>
      </c>
      <c r="C195" s="1113">
        <f>[7]LRAll!C186</f>
        <v>10.762117368213287</v>
      </c>
      <c r="D195" s="1113">
        <f>[7]LRAll!I186</f>
        <v>7.2172211147680283</v>
      </c>
      <c r="E195" s="1096"/>
      <c r="F195" s="1114">
        <f t="shared" si="7"/>
        <v>67.061349247914976</v>
      </c>
      <c r="G195" s="1096"/>
      <c r="H195" s="1096"/>
      <c r="I195" s="1096"/>
      <c r="J195" s="1096"/>
      <c r="K195" s="1096"/>
      <c r="L195" s="1096"/>
      <c r="M195" s="1096"/>
      <c r="N195" s="1096"/>
      <c r="O195" s="1096"/>
      <c r="P195" s="1096"/>
      <c r="Q195" s="1096"/>
      <c r="R195" s="1096"/>
      <c r="S195" s="1096"/>
      <c r="T195" s="1096"/>
      <c r="U195" s="1096"/>
      <c r="V195" s="1096"/>
      <c r="W195" s="1096"/>
      <c r="X195" s="1096"/>
      <c r="Y195" s="1096"/>
      <c r="Z195" s="1096"/>
      <c r="AA195" s="1096"/>
      <c r="AB195" s="1096"/>
      <c r="AC195" s="1096"/>
      <c r="AD195" s="1096"/>
      <c r="AE195" s="1096"/>
      <c r="AF195" s="1096"/>
      <c r="AG195" s="1096"/>
      <c r="AH195" s="1096"/>
      <c r="AI195" s="1096"/>
      <c r="AJ195" s="1096"/>
      <c r="AK195" s="1096"/>
      <c r="AL195" s="1096"/>
      <c r="AM195" s="1096"/>
      <c r="AN195" s="1096"/>
      <c r="AO195" s="1096"/>
      <c r="AP195" s="1096"/>
      <c r="AQ195" s="1096"/>
      <c r="AR195" s="1096"/>
      <c r="AS195" s="1096"/>
      <c r="AT195" s="1096"/>
      <c r="AU195" s="1096"/>
      <c r="AV195" s="1096"/>
      <c r="AW195" s="1096"/>
      <c r="AX195" s="1096"/>
      <c r="AY195" s="1096"/>
    </row>
    <row r="196" spans="1:51" x14ac:dyDescent="0.45">
      <c r="A196" s="1096">
        <v>1955</v>
      </c>
      <c r="B196" s="1096" t="s">
        <v>1393</v>
      </c>
      <c r="C196" s="1113">
        <f>[7]LRAll!C187</f>
        <v>10.742691163577522</v>
      </c>
      <c r="D196" s="1113">
        <f>[7]LRAll!I187</f>
        <v>7.0034706636337853</v>
      </c>
      <c r="E196" s="1096"/>
      <c r="F196" s="1114">
        <f t="shared" si="7"/>
        <v>65.192888420535169</v>
      </c>
      <c r="G196" s="1096"/>
      <c r="H196" s="1096"/>
      <c r="I196" s="1096"/>
      <c r="J196" s="1096"/>
      <c r="K196" s="1096"/>
      <c r="L196" s="1096"/>
      <c r="M196" s="1096"/>
      <c r="N196" s="1096"/>
      <c r="O196" s="1096"/>
      <c r="P196" s="1096"/>
      <c r="Q196" s="1096"/>
      <c r="R196" s="1096"/>
      <c r="S196" s="1096"/>
      <c r="T196" s="1096"/>
      <c r="U196" s="1096"/>
      <c r="V196" s="1096"/>
      <c r="W196" s="1096"/>
      <c r="X196" s="1096"/>
      <c r="Y196" s="1096"/>
      <c r="Z196" s="1096"/>
      <c r="AA196" s="1096"/>
      <c r="AB196" s="1096"/>
      <c r="AC196" s="1096"/>
      <c r="AD196" s="1096"/>
      <c r="AE196" s="1096"/>
      <c r="AF196" s="1096"/>
      <c r="AG196" s="1096"/>
      <c r="AH196" s="1096"/>
      <c r="AI196" s="1096"/>
      <c r="AJ196" s="1096"/>
      <c r="AK196" s="1096"/>
      <c r="AL196" s="1096"/>
      <c r="AM196" s="1096"/>
      <c r="AN196" s="1096"/>
      <c r="AO196" s="1096"/>
      <c r="AP196" s="1096"/>
      <c r="AQ196" s="1096"/>
      <c r="AR196" s="1096"/>
      <c r="AS196" s="1096"/>
      <c r="AT196" s="1096"/>
      <c r="AU196" s="1096"/>
      <c r="AV196" s="1096"/>
      <c r="AW196" s="1096"/>
      <c r="AX196" s="1096"/>
      <c r="AY196" s="1096"/>
    </row>
    <row r="197" spans="1:51" x14ac:dyDescent="0.45">
      <c r="A197" s="1096">
        <v>1955</v>
      </c>
      <c r="B197" s="1096" t="s">
        <v>1371</v>
      </c>
      <c r="C197" s="1113">
        <f>[7]LRAll!C188</f>
        <v>10.966092516888811</v>
      </c>
      <c r="D197" s="1113">
        <f>[7]LRAll!I188</f>
        <v>7.0851987773027618</v>
      </c>
      <c r="E197" s="1096"/>
      <c r="F197" s="1114">
        <f t="shared" si="7"/>
        <v>64.610058381241004</v>
      </c>
      <c r="G197" s="1096"/>
      <c r="H197" s="1096"/>
      <c r="I197" s="1096"/>
      <c r="J197" s="1096"/>
      <c r="K197" s="1096"/>
      <c r="L197" s="1096"/>
      <c r="M197" s="1096"/>
      <c r="N197" s="1096"/>
      <c r="O197" s="1096"/>
      <c r="P197" s="1096"/>
      <c r="Q197" s="1096"/>
      <c r="R197" s="1096"/>
      <c r="S197" s="1096"/>
      <c r="T197" s="1096"/>
      <c r="U197" s="1096"/>
      <c r="V197" s="1096"/>
      <c r="W197" s="1096"/>
      <c r="X197" s="1096"/>
      <c r="Y197" s="1096"/>
      <c r="Z197" s="1096"/>
      <c r="AA197" s="1096"/>
      <c r="AB197" s="1096"/>
      <c r="AC197" s="1096"/>
      <c r="AD197" s="1096"/>
      <c r="AE197" s="1096"/>
      <c r="AF197" s="1096"/>
      <c r="AG197" s="1096"/>
      <c r="AH197" s="1096"/>
      <c r="AI197" s="1096"/>
      <c r="AJ197" s="1096"/>
      <c r="AK197" s="1096"/>
      <c r="AL197" s="1096"/>
      <c r="AM197" s="1096"/>
      <c r="AN197" s="1096"/>
      <c r="AO197" s="1096"/>
      <c r="AP197" s="1096"/>
      <c r="AQ197" s="1096"/>
      <c r="AR197" s="1096"/>
      <c r="AS197" s="1096"/>
      <c r="AT197" s="1096"/>
      <c r="AU197" s="1096"/>
      <c r="AV197" s="1096"/>
      <c r="AW197" s="1096"/>
      <c r="AX197" s="1096"/>
      <c r="AY197" s="1096"/>
    </row>
    <row r="198" spans="1:51" x14ac:dyDescent="0.45">
      <c r="A198" s="1096">
        <v>1955</v>
      </c>
      <c r="B198" s="1096" t="s">
        <v>1373</v>
      </c>
      <c r="C198" s="1113">
        <f>[7]LRAll!C189</f>
        <v>11.00494492616034</v>
      </c>
      <c r="D198" s="1113">
        <f>[7]LRAll!I189</f>
        <v>7.1040591112263716</v>
      </c>
      <c r="E198" s="1096"/>
      <c r="F198" s="1114">
        <f t="shared" si="7"/>
        <v>64.553336331006989</v>
      </c>
      <c r="G198" s="1096"/>
      <c r="H198" s="1096"/>
      <c r="I198" s="1096"/>
      <c r="J198" s="1096"/>
      <c r="K198" s="1096"/>
      <c r="L198" s="1096"/>
      <c r="M198" s="1096"/>
      <c r="N198" s="1096"/>
      <c r="O198" s="1096"/>
      <c r="P198" s="1096"/>
      <c r="Q198" s="1096"/>
      <c r="R198" s="1096"/>
      <c r="S198" s="1096"/>
      <c r="T198" s="1096"/>
      <c r="U198" s="1096"/>
      <c r="V198" s="1096"/>
      <c r="W198" s="1096"/>
      <c r="X198" s="1096"/>
      <c r="Y198" s="1096"/>
      <c r="Z198" s="1096"/>
      <c r="AA198" s="1096"/>
      <c r="AB198" s="1096"/>
      <c r="AC198" s="1096"/>
      <c r="AD198" s="1096"/>
      <c r="AE198" s="1096"/>
      <c r="AF198" s="1096"/>
      <c r="AG198" s="1096"/>
      <c r="AH198" s="1096"/>
      <c r="AI198" s="1096"/>
      <c r="AJ198" s="1096"/>
      <c r="AK198" s="1096"/>
      <c r="AL198" s="1096"/>
      <c r="AM198" s="1096"/>
      <c r="AN198" s="1096"/>
      <c r="AO198" s="1096"/>
      <c r="AP198" s="1096"/>
      <c r="AQ198" s="1096"/>
      <c r="AR198" s="1096"/>
      <c r="AS198" s="1096"/>
      <c r="AT198" s="1096"/>
      <c r="AU198" s="1096"/>
      <c r="AV198" s="1096"/>
      <c r="AW198" s="1096"/>
      <c r="AX198" s="1096"/>
      <c r="AY198" s="1096"/>
    </row>
    <row r="199" spans="1:51" x14ac:dyDescent="0.45">
      <c r="A199" s="1096">
        <v>1955</v>
      </c>
      <c r="B199" s="1096" t="s">
        <v>1375</v>
      </c>
      <c r="C199" s="1113">
        <f>[7]LRAll!C190</f>
        <v>10.927240107617283</v>
      </c>
      <c r="D199" s="1113">
        <f>[7]LRAll!I190</f>
        <v>7.4938393456476424</v>
      </c>
      <c r="E199" s="1096"/>
      <c r="F199" s="1114">
        <f t="shared" si="7"/>
        <v>68.57943334130411</v>
      </c>
      <c r="G199" s="1096"/>
      <c r="H199" s="1096"/>
      <c r="I199" s="1096"/>
      <c r="J199" s="1096"/>
      <c r="K199" s="1096"/>
      <c r="L199" s="1096"/>
      <c r="M199" s="1096"/>
      <c r="N199" s="1096"/>
      <c r="O199" s="1096"/>
      <c r="P199" s="1096"/>
      <c r="Q199" s="1096"/>
      <c r="R199" s="1096"/>
      <c r="S199" s="1096"/>
      <c r="T199" s="1096"/>
      <c r="U199" s="1096"/>
      <c r="V199" s="1096"/>
      <c r="W199" s="1096"/>
      <c r="X199" s="1096"/>
      <c r="Y199" s="1096"/>
      <c r="Z199" s="1096"/>
      <c r="AA199" s="1096"/>
      <c r="AB199" s="1096"/>
      <c r="AC199" s="1096"/>
      <c r="AD199" s="1096"/>
      <c r="AE199" s="1096"/>
      <c r="AF199" s="1096"/>
      <c r="AG199" s="1096"/>
      <c r="AH199" s="1096"/>
      <c r="AI199" s="1096"/>
      <c r="AJ199" s="1096"/>
      <c r="AK199" s="1096"/>
      <c r="AL199" s="1096"/>
      <c r="AM199" s="1096"/>
      <c r="AN199" s="1096"/>
      <c r="AO199" s="1096"/>
      <c r="AP199" s="1096"/>
      <c r="AQ199" s="1096"/>
      <c r="AR199" s="1096"/>
      <c r="AS199" s="1096"/>
      <c r="AT199" s="1096"/>
      <c r="AU199" s="1096"/>
      <c r="AV199" s="1096"/>
      <c r="AW199" s="1096"/>
      <c r="AX199" s="1096"/>
      <c r="AY199" s="1096"/>
    </row>
    <row r="200" spans="1:51" x14ac:dyDescent="0.45">
      <c r="A200" s="1096">
        <v>1955</v>
      </c>
      <c r="B200" s="1096" t="s">
        <v>1377</v>
      </c>
      <c r="C200" s="1113">
        <f>[7]LRAll!C191</f>
        <v>10.995231823842456</v>
      </c>
      <c r="D200" s="1113">
        <f>[7]LRAll!I191</f>
        <v>7.6007145712147643</v>
      </c>
      <c r="E200" s="1096"/>
      <c r="F200" s="1114">
        <f t="shared" si="7"/>
        <v>69.127369872576054</v>
      </c>
      <c r="G200" s="1096"/>
      <c r="H200" s="1096"/>
      <c r="I200" s="1096"/>
      <c r="J200" s="1096"/>
      <c r="K200" s="1096"/>
      <c r="L200" s="1096"/>
      <c r="M200" s="1096"/>
      <c r="N200" s="1096"/>
      <c r="O200" s="1096"/>
      <c r="P200" s="1096"/>
      <c r="Q200" s="1096"/>
      <c r="R200" s="1096"/>
      <c r="S200" s="1096"/>
      <c r="T200" s="1096"/>
      <c r="U200" s="1096"/>
      <c r="V200" s="1096"/>
      <c r="W200" s="1096"/>
      <c r="X200" s="1096"/>
      <c r="Y200" s="1096"/>
      <c r="Z200" s="1096"/>
      <c r="AA200" s="1096"/>
      <c r="AB200" s="1096"/>
      <c r="AC200" s="1096"/>
      <c r="AD200" s="1096"/>
      <c r="AE200" s="1096"/>
      <c r="AF200" s="1096"/>
      <c r="AG200" s="1096"/>
      <c r="AH200" s="1096"/>
      <c r="AI200" s="1096"/>
      <c r="AJ200" s="1096"/>
      <c r="AK200" s="1096"/>
      <c r="AL200" s="1096"/>
      <c r="AM200" s="1096"/>
      <c r="AN200" s="1096"/>
      <c r="AO200" s="1096"/>
      <c r="AP200" s="1096"/>
      <c r="AQ200" s="1096"/>
      <c r="AR200" s="1096"/>
      <c r="AS200" s="1096"/>
      <c r="AT200" s="1096"/>
      <c r="AU200" s="1096"/>
      <c r="AV200" s="1096"/>
      <c r="AW200" s="1096"/>
      <c r="AX200" s="1096"/>
      <c r="AY200" s="1096"/>
    </row>
    <row r="201" spans="1:51" x14ac:dyDescent="0.45">
      <c r="A201" s="1096">
        <v>1955</v>
      </c>
      <c r="B201" s="1096" t="s">
        <v>1379</v>
      </c>
      <c r="C201" s="1113">
        <f>[7]LRAll!C192</f>
        <v>11.111789051657041</v>
      </c>
      <c r="D201" s="1113">
        <f>[7]LRAll!I192</f>
        <v>7.6447220170365187</v>
      </c>
      <c r="E201" s="1096"/>
      <c r="F201" s="1114">
        <f t="shared" si="7"/>
        <v>68.798300449165765</v>
      </c>
      <c r="G201" s="1096"/>
      <c r="H201" s="1096"/>
      <c r="I201" s="1096"/>
      <c r="J201" s="1096"/>
      <c r="K201" s="1096"/>
      <c r="L201" s="1096"/>
      <c r="M201" s="1096"/>
      <c r="N201" s="1096"/>
      <c r="O201" s="1096"/>
      <c r="P201" s="1096"/>
      <c r="Q201" s="1096"/>
      <c r="R201" s="1096"/>
      <c r="S201" s="1096"/>
      <c r="T201" s="1096"/>
      <c r="U201" s="1096"/>
      <c r="V201" s="1096"/>
      <c r="W201" s="1096"/>
      <c r="X201" s="1096"/>
      <c r="Y201" s="1096"/>
      <c r="Z201" s="1096"/>
      <c r="AA201" s="1096"/>
      <c r="AB201" s="1096"/>
      <c r="AC201" s="1096"/>
      <c r="AD201" s="1096"/>
      <c r="AE201" s="1096"/>
      <c r="AF201" s="1096"/>
      <c r="AG201" s="1096"/>
      <c r="AH201" s="1096"/>
      <c r="AI201" s="1096"/>
      <c r="AJ201" s="1096"/>
      <c r="AK201" s="1096"/>
      <c r="AL201" s="1096"/>
      <c r="AM201" s="1096"/>
      <c r="AN201" s="1096"/>
      <c r="AO201" s="1096"/>
      <c r="AP201" s="1096"/>
      <c r="AQ201" s="1096"/>
      <c r="AR201" s="1096"/>
      <c r="AS201" s="1096"/>
      <c r="AT201" s="1096"/>
      <c r="AU201" s="1096"/>
      <c r="AV201" s="1096"/>
      <c r="AW201" s="1096"/>
      <c r="AX201" s="1096"/>
      <c r="AY201" s="1096"/>
    </row>
    <row r="202" spans="1:51" x14ac:dyDescent="0.45">
      <c r="A202" s="1096">
        <v>1955</v>
      </c>
      <c r="B202" s="1096" t="s">
        <v>1381</v>
      </c>
      <c r="C202" s="1113">
        <f>[7]LRAll!C193</f>
        <v>11.286624893378917</v>
      </c>
      <c r="D202" s="1113">
        <f>[7]LRAll!I193</f>
        <v>7.9024799139925213</v>
      </c>
      <c r="E202" s="1096"/>
      <c r="F202" s="1114">
        <f t="shared" si="7"/>
        <v>70.016324531422683</v>
      </c>
      <c r="G202" s="1096"/>
      <c r="H202" s="1096"/>
      <c r="I202" s="1096"/>
      <c r="J202" s="1096"/>
      <c r="K202" s="1096"/>
      <c r="L202" s="1096"/>
      <c r="M202" s="1096"/>
      <c r="N202" s="1096"/>
      <c r="O202" s="1096"/>
      <c r="P202" s="1096"/>
      <c r="Q202" s="1096"/>
      <c r="R202" s="1096"/>
      <c r="S202" s="1096"/>
      <c r="T202" s="1096"/>
      <c r="U202" s="1096"/>
      <c r="V202" s="1096"/>
      <c r="W202" s="1096"/>
      <c r="X202" s="1096"/>
      <c r="Y202" s="1096"/>
      <c r="Z202" s="1096"/>
      <c r="AA202" s="1096"/>
      <c r="AB202" s="1096"/>
      <c r="AC202" s="1096"/>
      <c r="AD202" s="1096"/>
      <c r="AE202" s="1096"/>
      <c r="AF202" s="1096"/>
      <c r="AG202" s="1096"/>
      <c r="AH202" s="1096"/>
      <c r="AI202" s="1096"/>
      <c r="AJ202" s="1096"/>
      <c r="AK202" s="1096"/>
      <c r="AL202" s="1096"/>
      <c r="AM202" s="1096"/>
      <c r="AN202" s="1096"/>
      <c r="AO202" s="1096"/>
      <c r="AP202" s="1096"/>
      <c r="AQ202" s="1096"/>
      <c r="AR202" s="1096"/>
      <c r="AS202" s="1096"/>
      <c r="AT202" s="1096"/>
      <c r="AU202" s="1096"/>
      <c r="AV202" s="1096"/>
      <c r="AW202" s="1096"/>
      <c r="AX202" s="1096"/>
      <c r="AY202" s="1096"/>
    </row>
    <row r="203" spans="1:51" x14ac:dyDescent="0.45">
      <c r="A203" s="1096">
        <v>1955</v>
      </c>
      <c r="B203" s="1096" t="s">
        <v>1383</v>
      </c>
      <c r="C203" s="1113">
        <f>[7]LRAll!C194</f>
        <v>11.286624893378917</v>
      </c>
      <c r="D203" s="1113">
        <f>[7]LRAll!I194</f>
        <v>8.0156419175341806</v>
      </c>
      <c r="E203" s="1096"/>
      <c r="F203" s="1114">
        <f t="shared" si="7"/>
        <v>71.018944930440668</v>
      </c>
      <c r="G203" s="1096"/>
      <c r="H203" s="1096"/>
      <c r="I203" s="1096"/>
      <c r="J203" s="1096"/>
      <c r="K203" s="1096"/>
      <c r="L203" s="1096"/>
      <c r="M203" s="1096"/>
      <c r="N203" s="1096"/>
      <c r="O203" s="1096"/>
      <c r="P203" s="1096"/>
      <c r="Q203" s="1096"/>
      <c r="R203" s="1096"/>
      <c r="S203" s="1096"/>
      <c r="T203" s="1096"/>
      <c r="U203" s="1096"/>
      <c r="V203" s="1096"/>
      <c r="W203" s="1096"/>
      <c r="X203" s="1096"/>
      <c r="Y203" s="1096"/>
      <c r="Z203" s="1096"/>
      <c r="AA203" s="1096"/>
      <c r="AB203" s="1096"/>
      <c r="AC203" s="1096"/>
      <c r="AD203" s="1096"/>
      <c r="AE203" s="1096"/>
      <c r="AF203" s="1096"/>
      <c r="AG203" s="1096"/>
      <c r="AH203" s="1096"/>
      <c r="AI203" s="1096"/>
      <c r="AJ203" s="1096"/>
      <c r="AK203" s="1096"/>
      <c r="AL203" s="1096"/>
      <c r="AM203" s="1096"/>
      <c r="AN203" s="1096"/>
      <c r="AO203" s="1096"/>
      <c r="AP203" s="1096"/>
      <c r="AQ203" s="1096"/>
      <c r="AR203" s="1096"/>
      <c r="AS203" s="1096"/>
      <c r="AT203" s="1096"/>
      <c r="AU203" s="1096"/>
      <c r="AV203" s="1096"/>
      <c r="AW203" s="1096"/>
      <c r="AX203" s="1096"/>
      <c r="AY203" s="1096"/>
    </row>
    <row r="204" spans="1:51" x14ac:dyDescent="0.45">
      <c r="A204" s="1096">
        <v>1956</v>
      </c>
      <c r="B204" s="1096" t="s">
        <v>1385</v>
      </c>
      <c r="C204" s="1113">
        <f>[7]LRAll!C195</f>
        <v>11.24777248410739</v>
      </c>
      <c r="D204" s="1113">
        <f>[7]LRAll!I195</f>
        <v>8.0219286955087163</v>
      </c>
      <c r="E204" s="1096"/>
      <c r="F204" s="1114">
        <f t="shared" si="7"/>
        <v>71.320154340278037</v>
      </c>
      <c r="G204" s="1096"/>
      <c r="H204" s="1096"/>
      <c r="I204" s="1096"/>
      <c r="J204" s="1096"/>
      <c r="K204" s="1096"/>
      <c r="L204" s="1096"/>
      <c r="M204" s="1096"/>
      <c r="N204" s="1096"/>
      <c r="O204" s="1096"/>
      <c r="P204" s="1096"/>
      <c r="Q204" s="1096"/>
      <c r="R204" s="1096"/>
      <c r="S204" s="1096"/>
      <c r="T204" s="1096"/>
      <c r="U204" s="1096"/>
      <c r="V204" s="1096"/>
      <c r="W204" s="1096"/>
      <c r="X204" s="1096"/>
      <c r="Y204" s="1096"/>
      <c r="Z204" s="1096"/>
      <c r="AA204" s="1096"/>
      <c r="AB204" s="1096"/>
      <c r="AC204" s="1096"/>
      <c r="AD204" s="1096"/>
      <c r="AE204" s="1096"/>
      <c r="AF204" s="1096"/>
      <c r="AG204" s="1096"/>
      <c r="AH204" s="1096"/>
      <c r="AI204" s="1096"/>
      <c r="AJ204" s="1096"/>
      <c r="AK204" s="1096"/>
      <c r="AL204" s="1096"/>
      <c r="AM204" s="1096"/>
      <c r="AN204" s="1096"/>
      <c r="AO204" s="1096"/>
      <c r="AP204" s="1096"/>
      <c r="AQ204" s="1096"/>
      <c r="AR204" s="1096"/>
      <c r="AS204" s="1096"/>
      <c r="AT204" s="1096"/>
      <c r="AU204" s="1096"/>
      <c r="AV204" s="1096"/>
      <c r="AW204" s="1096"/>
      <c r="AX204" s="1096"/>
      <c r="AY204" s="1096"/>
    </row>
    <row r="205" spans="1:51" x14ac:dyDescent="0.45">
      <c r="A205" s="1096">
        <v>1956</v>
      </c>
      <c r="B205" s="1096" t="s">
        <v>1387</v>
      </c>
      <c r="C205" s="1113">
        <f>[7]LRAll!C196</f>
        <v>11.24777248410739</v>
      </c>
      <c r="D205" s="1113">
        <f>[7]LRAll!I196</f>
        <v>8.0219286955087163</v>
      </c>
      <c r="E205" s="1096"/>
      <c r="F205" s="1114">
        <f t="shared" si="7"/>
        <v>71.320154340278037</v>
      </c>
      <c r="G205" s="1096"/>
      <c r="H205" s="1096"/>
      <c r="I205" s="1096"/>
      <c r="J205" s="1096"/>
      <c r="K205" s="1096"/>
      <c r="L205" s="1096"/>
      <c r="M205" s="1096"/>
      <c r="N205" s="1096"/>
      <c r="O205" s="1096"/>
      <c r="P205" s="1096"/>
      <c r="Q205" s="1096"/>
      <c r="R205" s="1096"/>
      <c r="S205" s="1096"/>
      <c r="T205" s="1096"/>
      <c r="U205" s="1096"/>
      <c r="V205" s="1096"/>
      <c r="W205" s="1096"/>
      <c r="X205" s="1096"/>
      <c r="Y205" s="1096"/>
      <c r="Z205" s="1096"/>
      <c r="AA205" s="1096"/>
      <c r="AB205" s="1096"/>
      <c r="AC205" s="1096"/>
      <c r="AD205" s="1096"/>
      <c r="AE205" s="1096"/>
      <c r="AF205" s="1096"/>
      <c r="AG205" s="1096"/>
      <c r="AH205" s="1096"/>
      <c r="AI205" s="1096"/>
      <c r="AJ205" s="1096"/>
      <c r="AK205" s="1096"/>
      <c r="AL205" s="1096"/>
      <c r="AM205" s="1096"/>
      <c r="AN205" s="1096"/>
      <c r="AO205" s="1096"/>
      <c r="AP205" s="1096"/>
      <c r="AQ205" s="1096"/>
      <c r="AR205" s="1096"/>
      <c r="AS205" s="1096"/>
      <c r="AT205" s="1096"/>
      <c r="AU205" s="1096"/>
      <c r="AV205" s="1096"/>
      <c r="AW205" s="1096"/>
      <c r="AX205" s="1096"/>
      <c r="AY205" s="1096"/>
    </row>
    <row r="206" spans="1:51" x14ac:dyDescent="0.45">
      <c r="A206" s="1096">
        <v>1956</v>
      </c>
      <c r="B206" s="1096" t="s">
        <v>1389</v>
      </c>
      <c r="C206" s="1113">
        <f>[7]LRAll!C197</f>
        <v>11.393993526400784</v>
      </c>
      <c r="D206" s="1113">
        <f>[7]LRAll!I197</f>
        <v>8.0219286955087163</v>
      </c>
      <c r="E206" s="1096"/>
      <c r="F206" s="1114">
        <f t="shared" si="7"/>
        <v>70.404890760392945</v>
      </c>
      <c r="G206" s="1096"/>
      <c r="H206" s="1096"/>
      <c r="I206" s="1096"/>
      <c r="J206" s="1096"/>
      <c r="K206" s="1096"/>
      <c r="L206" s="1096"/>
      <c r="M206" s="1096"/>
      <c r="N206" s="1096"/>
      <c r="O206" s="1096"/>
      <c r="P206" s="1096"/>
      <c r="Q206" s="1096"/>
      <c r="R206" s="1096"/>
      <c r="S206" s="1096"/>
      <c r="T206" s="1096"/>
      <c r="U206" s="1096"/>
      <c r="V206" s="1096"/>
      <c r="W206" s="1096"/>
      <c r="X206" s="1096"/>
      <c r="Y206" s="1096"/>
      <c r="Z206" s="1096"/>
      <c r="AA206" s="1096"/>
      <c r="AB206" s="1096"/>
      <c r="AC206" s="1096"/>
      <c r="AD206" s="1096"/>
      <c r="AE206" s="1096"/>
      <c r="AF206" s="1096"/>
      <c r="AG206" s="1096"/>
      <c r="AH206" s="1096"/>
      <c r="AI206" s="1096"/>
      <c r="AJ206" s="1096"/>
      <c r="AK206" s="1096"/>
      <c r="AL206" s="1096"/>
      <c r="AM206" s="1096"/>
      <c r="AN206" s="1096"/>
      <c r="AO206" s="1096"/>
      <c r="AP206" s="1096"/>
      <c r="AQ206" s="1096"/>
      <c r="AR206" s="1096"/>
      <c r="AS206" s="1096"/>
      <c r="AT206" s="1096"/>
      <c r="AU206" s="1096"/>
      <c r="AV206" s="1096"/>
      <c r="AW206" s="1096"/>
      <c r="AX206" s="1096"/>
      <c r="AY206" s="1096"/>
    </row>
    <row r="207" spans="1:51" x14ac:dyDescent="0.45">
      <c r="A207" s="1096">
        <v>1956</v>
      </c>
      <c r="B207" s="1096" t="s">
        <v>1391</v>
      </c>
      <c r="C207" s="1113">
        <f>[7]LRAll!C198</f>
        <v>11.551462341178288</v>
      </c>
      <c r="D207" s="1113">
        <f>[7]LRAll!I198</f>
        <v>8.0299506242042238</v>
      </c>
      <c r="E207" s="1096"/>
      <c r="F207" s="1114">
        <f t="shared" si="7"/>
        <v>69.514580812676058</v>
      </c>
      <c r="G207" s="1096"/>
      <c r="H207" s="1096"/>
      <c r="I207" s="1096"/>
      <c r="J207" s="1096"/>
      <c r="K207" s="1096"/>
      <c r="L207" s="1096"/>
      <c r="M207" s="1096"/>
      <c r="N207" s="1096"/>
      <c r="O207" s="1096"/>
      <c r="P207" s="1096"/>
      <c r="Q207" s="1096"/>
      <c r="R207" s="1096"/>
      <c r="S207" s="1096"/>
      <c r="T207" s="1096"/>
      <c r="U207" s="1096"/>
      <c r="V207" s="1096"/>
      <c r="W207" s="1096"/>
      <c r="X207" s="1096"/>
      <c r="Y207" s="1096"/>
      <c r="Z207" s="1096"/>
      <c r="AA207" s="1096"/>
      <c r="AB207" s="1096"/>
      <c r="AC207" s="1096"/>
      <c r="AD207" s="1096"/>
      <c r="AE207" s="1096"/>
      <c r="AF207" s="1096"/>
      <c r="AG207" s="1096"/>
      <c r="AH207" s="1096"/>
      <c r="AI207" s="1096"/>
      <c r="AJ207" s="1096"/>
      <c r="AK207" s="1096"/>
      <c r="AL207" s="1096"/>
      <c r="AM207" s="1096"/>
      <c r="AN207" s="1096"/>
      <c r="AO207" s="1096"/>
      <c r="AP207" s="1096"/>
      <c r="AQ207" s="1096"/>
      <c r="AR207" s="1096"/>
      <c r="AS207" s="1096"/>
      <c r="AT207" s="1096"/>
      <c r="AU207" s="1096"/>
      <c r="AV207" s="1096"/>
      <c r="AW207" s="1096"/>
      <c r="AX207" s="1096"/>
      <c r="AY207" s="1096"/>
    </row>
    <row r="208" spans="1:51" x14ac:dyDescent="0.45">
      <c r="A208" s="1096">
        <v>1956</v>
      </c>
      <c r="B208" s="1096" t="s">
        <v>1393</v>
      </c>
      <c r="C208" s="1113">
        <f>[7]LRAll!C199</f>
        <v>11.528966796210073</v>
      </c>
      <c r="D208" s="1113">
        <f>[7]LRAll!I199</f>
        <v>7.8614901215985409</v>
      </c>
      <c r="E208" s="1096"/>
      <c r="F208" s="1114">
        <f t="shared" si="7"/>
        <v>68.189025613143897</v>
      </c>
      <c r="G208" s="1096"/>
      <c r="H208" s="1096"/>
      <c r="I208" s="1096"/>
      <c r="J208" s="1096"/>
      <c r="K208" s="1096"/>
      <c r="L208" s="1096"/>
      <c r="M208" s="1096"/>
      <c r="N208" s="1096"/>
      <c r="O208" s="1096"/>
      <c r="P208" s="1096"/>
      <c r="Q208" s="1096"/>
      <c r="R208" s="1096"/>
      <c r="S208" s="1096"/>
      <c r="T208" s="1096"/>
      <c r="U208" s="1096"/>
      <c r="V208" s="1096"/>
      <c r="W208" s="1096"/>
      <c r="X208" s="1096"/>
      <c r="Y208" s="1096"/>
      <c r="Z208" s="1096"/>
      <c r="AA208" s="1096"/>
      <c r="AB208" s="1096"/>
      <c r="AC208" s="1096"/>
      <c r="AD208" s="1096"/>
      <c r="AE208" s="1096"/>
      <c r="AF208" s="1096"/>
      <c r="AG208" s="1096"/>
      <c r="AH208" s="1096"/>
      <c r="AI208" s="1096"/>
      <c r="AJ208" s="1096"/>
      <c r="AK208" s="1096"/>
      <c r="AL208" s="1096"/>
      <c r="AM208" s="1096"/>
      <c r="AN208" s="1096"/>
      <c r="AO208" s="1096"/>
      <c r="AP208" s="1096"/>
      <c r="AQ208" s="1096"/>
      <c r="AR208" s="1096"/>
      <c r="AS208" s="1096"/>
      <c r="AT208" s="1096"/>
      <c r="AU208" s="1096"/>
      <c r="AV208" s="1096"/>
      <c r="AW208" s="1096"/>
      <c r="AX208" s="1096"/>
      <c r="AY208" s="1096"/>
    </row>
    <row r="209" spans="1:51" x14ac:dyDescent="0.45">
      <c r="A209" s="1096">
        <v>1956</v>
      </c>
      <c r="B209" s="1096" t="s">
        <v>1371</v>
      </c>
      <c r="C209" s="1113">
        <f>[7]LRAll!C200</f>
        <v>11.517719023725967</v>
      </c>
      <c r="D209" s="1113">
        <f>[7]LRAll!I200</f>
        <v>8.0861041250727865</v>
      </c>
      <c r="E209" s="1096"/>
      <c r="F209" s="1114">
        <f t="shared" si="7"/>
        <v>70.205776928711202</v>
      </c>
      <c r="G209" s="1096"/>
      <c r="H209" s="1096"/>
      <c r="I209" s="1096"/>
      <c r="J209" s="1096"/>
      <c r="K209" s="1096"/>
      <c r="L209" s="1096"/>
      <c r="M209" s="1096"/>
      <c r="N209" s="1096"/>
      <c r="O209" s="1096"/>
      <c r="P209" s="1096"/>
      <c r="Q209" s="1096"/>
      <c r="R209" s="1096"/>
      <c r="S209" s="1096"/>
      <c r="T209" s="1096"/>
      <c r="U209" s="1096"/>
      <c r="V209" s="1096"/>
      <c r="W209" s="1096"/>
      <c r="X209" s="1096"/>
      <c r="Y209" s="1096"/>
      <c r="Z209" s="1096"/>
      <c r="AA209" s="1096"/>
      <c r="AB209" s="1096"/>
      <c r="AC209" s="1096"/>
      <c r="AD209" s="1096"/>
      <c r="AE209" s="1096"/>
      <c r="AF209" s="1096"/>
      <c r="AG209" s="1096"/>
      <c r="AH209" s="1096"/>
      <c r="AI209" s="1096"/>
      <c r="AJ209" s="1096"/>
      <c r="AK209" s="1096"/>
      <c r="AL209" s="1096"/>
      <c r="AM209" s="1096"/>
      <c r="AN209" s="1096"/>
      <c r="AO209" s="1096"/>
      <c r="AP209" s="1096"/>
      <c r="AQ209" s="1096"/>
      <c r="AR209" s="1096"/>
      <c r="AS209" s="1096"/>
      <c r="AT209" s="1096"/>
      <c r="AU209" s="1096"/>
      <c r="AV209" s="1096"/>
      <c r="AW209" s="1096"/>
      <c r="AX209" s="1096"/>
      <c r="AY209" s="1096"/>
    </row>
    <row r="210" spans="1:51" x14ac:dyDescent="0.45">
      <c r="A210" s="1096">
        <v>1956</v>
      </c>
      <c r="B210" s="1096" t="s">
        <v>1373</v>
      </c>
      <c r="C210" s="1113">
        <f>[7]LRAll!C201</f>
        <v>11.472727933789539</v>
      </c>
      <c r="D210" s="1113">
        <f>[7]LRAll!I201</f>
        <v>8.0941260537682957</v>
      </c>
      <c r="E210" s="1096"/>
      <c r="F210" s="1114">
        <f t="shared" si="7"/>
        <v>70.551015420922099</v>
      </c>
      <c r="G210" s="1096"/>
      <c r="H210" s="1096"/>
      <c r="I210" s="1096"/>
      <c r="J210" s="1096"/>
      <c r="K210" s="1096"/>
      <c r="L210" s="1096"/>
      <c r="M210" s="1096"/>
      <c r="N210" s="1096"/>
      <c r="O210" s="1096"/>
      <c r="P210" s="1096"/>
      <c r="Q210" s="1096"/>
      <c r="R210" s="1096"/>
      <c r="S210" s="1096"/>
      <c r="T210" s="1096"/>
      <c r="U210" s="1096"/>
      <c r="V210" s="1096"/>
      <c r="W210" s="1096"/>
      <c r="X210" s="1096"/>
      <c r="Y210" s="1096"/>
      <c r="Z210" s="1096"/>
      <c r="AA210" s="1096"/>
      <c r="AB210" s="1096"/>
      <c r="AC210" s="1096"/>
      <c r="AD210" s="1096"/>
      <c r="AE210" s="1096"/>
      <c r="AF210" s="1096"/>
      <c r="AG210" s="1096"/>
      <c r="AH210" s="1096"/>
      <c r="AI210" s="1096"/>
      <c r="AJ210" s="1096"/>
      <c r="AK210" s="1096"/>
      <c r="AL210" s="1096"/>
      <c r="AM210" s="1096"/>
      <c r="AN210" s="1096"/>
      <c r="AO210" s="1096"/>
      <c r="AP210" s="1096"/>
      <c r="AQ210" s="1096"/>
      <c r="AR210" s="1096"/>
      <c r="AS210" s="1096"/>
      <c r="AT210" s="1096"/>
      <c r="AU210" s="1096"/>
      <c r="AV210" s="1096"/>
      <c r="AW210" s="1096"/>
      <c r="AX210" s="1096"/>
      <c r="AY210" s="1096"/>
    </row>
    <row r="211" spans="1:51" x14ac:dyDescent="0.45">
      <c r="A211" s="1096">
        <v>1956</v>
      </c>
      <c r="B211" s="1096" t="s">
        <v>1375</v>
      </c>
      <c r="C211" s="1113">
        <f>[7]LRAll!C202</f>
        <v>11.506471251241859</v>
      </c>
      <c r="D211" s="1113">
        <f>[7]LRAll!I202</f>
        <v>8.1101699111593124</v>
      </c>
      <c r="E211" s="1096"/>
      <c r="F211" s="1114">
        <f t="shared" si="7"/>
        <v>70.483554289365699</v>
      </c>
      <c r="G211" s="1096"/>
      <c r="H211" s="1096"/>
      <c r="I211" s="1096"/>
      <c r="J211" s="1096"/>
      <c r="K211" s="1096"/>
      <c r="L211" s="1096"/>
      <c r="M211" s="1096"/>
      <c r="N211" s="1096"/>
      <c r="O211" s="1096"/>
      <c r="P211" s="1096"/>
      <c r="Q211" s="1096"/>
      <c r="R211" s="1096"/>
      <c r="S211" s="1096"/>
      <c r="T211" s="1096"/>
      <c r="U211" s="1096"/>
      <c r="V211" s="1096"/>
      <c r="W211" s="1096"/>
      <c r="X211" s="1096"/>
      <c r="Y211" s="1096"/>
      <c r="Z211" s="1096"/>
      <c r="AA211" s="1096"/>
      <c r="AB211" s="1096"/>
      <c r="AC211" s="1096"/>
      <c r="AD211" s="1096"/>
      <c r="AE211" s="1096"/>
      <c r="AF211" s="1096"/>
      <c r="AG211" s="1096"/>
      <c r="AH211" s="1096"/>
      <c r="AI211" s="1096"/>
      <c r="AJ211" s="1096"/>
      <c r="AK211" s="1096"/>
      <c r="AL211" s="1096"/>
      <c r="AM211" s="1096"/>
      <c r="AN211" s="1096"/>
      <c r="AO211" s="1096"/>
      <c r="AP211" s="1096"/>
      <c r="AQ211" s="1096"/>
      <c r="AR211" s="1096"/>
      <c r="AS211" s="1096"/>
      <c r="AT211" s="1096"/>
      <c r="AU211" s="1096"/>
      <c r="AV211" s="1096"/>
      <c r="AW211" s="1096"/>
      <c r="AX211" s="1096"/>
      <c r="AY211" s="1096"/>
    </row>
    <row r="212" spans="1:51" x14ac:dyDescent="0.45">
      <c r="A212" s="1096">
        <v>1956</v>
      </c>
      <c r="B212" s="1096" t="s">
        <v>1377</v>
      </c>
      <c r="C212" s="1113">
        <f>[7]LRAll!C203</f>
        <v>11.483975706273643</v>
      </c>
      <c r="D212" s="1113">
        <f>[7]LRAll!I203</f>
        <v>8.1743453407233826</v>
      </c>
      <c r="E212" s="1096"/>
      <c r="F212" s="1114">
        <f t="shared" si="7"/>
        <v>71.180447867525316</v>
      </c>
      <c r="G212" s="1096"/>
      <c r="H212" s="1096"/>
      <c r="I212" s="1096"/>
      <c r="J212" s="1096"/>
      <c r="K212" s="1096"/>
      <c r="L212" s="1096"/>
      <c r="M212" s="1096"/>
      <c r="N212" s="1096"/>
      <c r="O212" s="1096"/>
      <c r="P212" s="1096"/>
      <c r="Q212" s="1096"/>
      <c r="R212" s="1096"/>
      <c r="S212" s="1096"/>
      <c r="T212" s="1096"/>
      <c r="U212" s="1096"/>
      <c r="V212" s="1096"/>
      <c r="W212" s="1096"/>
      <c r="X212" s="1096"/>
      <c r="Y212" s="1096"/>
      <c r="Z212" s="1096"/>
      <c r="AA212" s="1096"/>
      <c r="AB212" s="1096"/>
      <c r="AC212" s="1096"/>
      <c r="AD212" s="1096"/>
      <c r="AE212" s="1096"/>
      <c r="AF212" s="1096"/>
      <c r="AG212" s="1096"/>
      <c r="AH212" s="1096"/>
      <c r="AI212" s="1096"/>
      <c r="AJ212" s="1096"/>
      <c r="AK212" s="1096"/>
      <c r="AL212" s="1096"/>
      <c r="AM212" s="1096"/>
      <c r="AN212" s="1096"/>
      <c r="AO212" s="1096"/>
      <c r="AP212" s="1096"/>
      <c r="AQ212" s="1096"/>
      <c r="AR212" s="1096"/>
      <c r="AS212" s="1096"/>
      <c r="AT212" s="1096"/>
      <c r="AU212" s="1096"/>
      <c r="AV212" s="1096"/>
      <c r="AW212" s="1096"/>
      <c r="AX212" s="1096"/>
      <c r="AY212" s="1096"/>
    </row>
    <row r="213" spans="1:51" x14ac:dyDescent="0.45">
      <c r="A213" s="1096">
        <v>1956</v>
      </c>
      <c r="B213" s="1096" t="s">
        <v>1379</v>
      </c>
      <c r="C213" s="1113">
        <f>[7]LRAll!C204</f>
        <v>11.551462341178288</v>
      </c>
      <c r="D213" s="1113">
        <f>[7]LRAll!I204</f>
        <v>8.2144549842009269</v>
      </c>
      <c r="E213" s="1096"/>
      <c r="F213" s="1114">
        <f t="shared" si="7"/>
        <v>71.111818933247079</v>
      </c>
      <c r="G213" s="1096"/>
      <c r="H213" s="1096"/>
      <c r="I213" s="1096"/>
      <c r="J213" s="1096"/>
      <c r="K213" s="1096"/>
      <c r="L213" s="1096"/>
      <c r="M213" s="1096"/>
      <c r="N213" s="1096"/>
      <c r="O213" s="1096"/>
      <c r="P213" s="1096"/>
      <c r="Q213" s="1096"/>
      <c r="R213" s="1096"/>
      <c r="S213" s="1096"/>
      <c r="T213" s="1096"/>
      <c r="U213" s="1096"/>
      <c r="V213" s="1096"/>
      <c r="W213" s="1096"/>
      <c r="X213" s="1096"/>
      <c r="Y213" s="1096"/>
      <c r="Z213" s="1096"/>
      <c r="AA213" s="1096"/>
      <c r="AB213" s="1096"/>
      <c r="AC213" s="1096"/>
      <c r="AD213" s="1096"/>
      <c r="AE213" s="1096"/>
      <c r="AF213" s="1096"/>
      <c r="AG213" s="1096"/>
      <c r="AH213" s="1096"/>
      <c r="AI213" s="1096"/>
      <c r="AJ213" s="1096"/>
      <c r="AK213" s="1096"/>
      <c r="AL213" s="1096"/>
      <c r="AM213" s="1096"/>
      <c r="AN213" s="1096"/>
      <c r="AO213" s="1096"/>
      <c r="AP213" s="1096"/>
      <c r="AQ213" s="1096"/>
      <c r="AR213" s="1096"/>
      <c r="AS213" s="1096"/>
      <c r="AT213" s="1096"/>
      <c r="AU213" s="1096"/>
      <c r="AV213" s="1096"/>
      <c r="AW213" s="1096"/>
      <c r="AX213" s="1096"/>
      <c r="AY213" s="1096"/>
    </row>
    <row r="214" spans="1:51" x14ac:dyDescent="0.45">
      <c r="A214" s="1096">
        <v>1956</v>
      </c>
      <c r="B214" s="1096" t="s">
        <v>1381</v>
      </c>
      <c r="C214" s="1113">
        <f>[7]LRAll!C205</f>
        <v>11.596453431114718</v>
      </c>
      <c r="D214" s="1113">
        <f>[7]LRAll!I205</f>
        <v>8.382915486806608</v>
      </c>
      <c r="E214" s="1096"/>
      <c r="F214" s="1114">
        <f t="shared" si="7"/>
        <v>72.288614244025766</v>
      </c>
      <c r="G214" s="1096"/>
      <c r="H214" s="1096"/>
      <c r="I214" s="1096"/>
      <c r="J214" s="1096"/>
      <c r="K214" s="1096"/>
      <c r="L214" s="1096"/>
      <c r="M214" s="1096"/>
      <c r="N214" s="1096"/>
      <c r="O214" s="1096"/>
      <c r="P214" s="1096"/>
      <c r="Q214" s="1096"/>
      <c r="R214" s="1096"/>
      <c r="S214" s="1096"/>
      <c r="T214" s="1096"/>
      <c r="U214" s="1096"/>
      <c r="V214" s="1096"/>
      <c r="W214" s="1096"/>
      <c r="X214" s="1096"/>
      <c r="Y214" s="1096"/>
      <c r="Z214" s="1096"/>
      <c r="AA214" s="1096"/>
      <c r="AB214" s="1096"/>
      <c r="AC214" s="1096"/>
      <c r="AD214" s="1096"/>
      <c r="AE214" s="1096"/>
      <c r="AF214" s="1096"/>
      <c r="AG214" s="1096"/>
      <c r="AH214" s="1096"/>
      <c r="AI214" s="1096"/>
      <c r="AJ214" s="1096"/>
      <c r="AK214" s="1096"/>
      <c r="AL214" s="1096"/>
      <c r="AM214" s="1096"/>
      <c r="AN214" s="1096"/>
      <c r="AO214" s="1096"/>
      <c r="AP214" s="1096"/>
      <c r="AQ214" s="1096"/>
      <c r="AR214" s="1096"/>
      <c r="AS214" s="1096"/>
      <c r="AT214" s="1096"/>
      <c r="AU214" s="1096"/>
      <c r="AV214" s="1096"/>
      <c r="AW214" s="1096"/>
      <c r="AX214" s="1096"/>
      <c r="AY214" s="1096"/>
    </row>
    <row r="215" spans="1:51" x14ac:dyDescent="0.45">
      <c r="A215" s="1096">
        <v>1956</v>
      </c>
      <c r="B215" s="1096" t="s">
        <v>1383</v>
      </c>
      <c r="C215" s="1113">
        <f>[7]LRAll!C206</f>
        <v>11.630196748567041</v>
      </c>
      <c r="D215" s="1113">
        <f>[7]LRAll!I206</f>
        <v>8.4952224885437317</v>
      </c>
      <c r="E215" s="1096"/>
      <c r="F215" s="1114">
        <f t="shared" si="7"/>
        <v>73.04452944521708</v>
      </c>
      <c r="G215" s="1096"/>
      <c r="H215" s="1096"/>
      <c r="I215" s="1096"/>
      <c r="J215" s="1096"/>
      <c r="K215" s="1096"/>
      <c r="L215" s="1096"/>
      <c r="M215" s="1096"/>
      <c r="N215" s="1096"/>
      <c r="O215" s="1096"/>
      <c r="P215" s="1096"/>
      <c r="Q215" s="1096"/>
      <c r="R215" s="1096"/>
      <c r="S215" s="1096"/>
      <c r="T215" s="1096"/>
      <c r="U215" s="1096"/>
      <c r="V215" s="1096"/>
      <c r="W215" s="1096"/>
      <c r="X215" s="109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row>
    <row r="216" spans="1:51" x14ac:dyDescent="0.45">
      <c r="A216" s="1096">
        <v>1957</v>
      </c>
      <c r="B216" s="1096" t="s">
        <v>1385</v>
      </c>
      <c r="C216" s="1113">
        <f>[7]LRAll!C207</f>
        <v>11.742674473408115</v>
      </c>
      <c r="D216" s="1113">
        <f>[7]LRAll!I207</f>
        <v>8.5192882746302576</v>
      </c>
      <c r="E216" s="1096"/>
      <c r="F216" s="1114">
        <f t="shared" si="7"/>
        <v>72.549812173731127</v>
      </c>
      <c r="G216" s="1096"/>
      <c r="H216" s="1096"/>
      <c r="I216" s="1096"/>
      <c r="J216" s="1096"/>
      <c r="K216" s="1096"/>
      <c r="L216" s="1096"/>
      <c r="M216" s="1096"/>
      <c r="N216" s="1096"/>
      <c r="O216" s="1096"/>
      <c r="P216" s="1096"/>
      <c r="Q216" s="1096"/>
      <c r="R216" s="1096"/>
      <c r="S216" s="1096"/>
      <c r="T216" s="1096"/>
      <c r="U216" s="1096"/>
      <c r="V216" s="1096"/>
      <c r="W216" s="1096"/>
      <c r="X216" s="1096"/>
      <c r="Y216" s="1096"/>
      <c r="Z216" s="1096"/>
      <c r="AA216" s="1096"/>
      <c r="AB216" s="1096"/>
      <c r="AC216" s="1096"/>
      <c r="AD216" s="1096"/>
      <c r="AE216" s="1096"/>
      <c r="AF216" s="1096"/>
      <c r="AG216" s="1096"/>
      <c r="AH216" s="1096"/>
      <c r="AI216" s="1096"/>
      <c r="AJ216" s="1096"/>
      <c r="AK216" s="1096"/>
      <c r="AL216" s="1096"/>
      <c r="AM216" s="1096"/>
      <c r="AN216" s="1096"/>
      <c r="AO216" s="1096"/>
      <c r="AP216" s="1096"/>
      <c r="AQ216" s="1096"/>
      <c r="AR216" s="1096"/>
      <c r="AS216" s="1096"/>
      <c r="AT216" s="1096"/>
      <c r="AU216" s="1096"/>
      <c r="AV216" s="1096"/>
      <c r="AW216" s="1096"/>
      <c r="AX216" s="1096"/>
      <c r="AY216" s="1096"/>
    </row>
    <row r="217" spans="1:51" x14ac:dyDescent="0.45">
      <c r="A217" s="1096">
        <v>1957</v>
      </c>
      <c r="B217" s="1096" t="s">
        <v>1387</v>
      </c>
      <c r="C217" s="1113">
        <f>[7]LRAll!C208</f>
        <v>11.731426700924004</v>
      </c>
      <c r="D217" s="1113">
        <f>[7]LRAll!I208</f>
        <v>8.5273102033257651</v>
      </c>
      <c r="E217" s="1096"/>
      <c r="F217" s="1114">
        <f t="shared" si="7"/>
        <v>72.687750780168344</v>
      </c>
      <c r="G217" s="1096"/>
      <c r="H217" s="1096"/>
      <c r="I217" s="1096"/>
      <c r="J217" s="1096"/>
      <c r="K217" s="1096"/>
      <c r="L217" s="1096"/>
      <c r="M217" s="1096"/>
      <c r="N217" s="1096"/>
      <c r="O217" s="1096"/>
      <c r="P217" s="1096"/>
      <c r="Q217" s="1096"/>
      <c r="R217" s="1096"/>
      <c r="S217" s="1096"/>
      <c r="T217" s="1096"/>
      <c r="U217" s="1096"/>
      <c r="V217" s="1096"/>
      <c r="W217" s="1096"/>
      <c r="X217" s="1096"/>
      <c r="Y217" s="1096"/>
      <c r="Z217" s="1096"/>
      <c r="AA217" s="1096"/>
      <c r="AB217" s="1096"/>
      <c r="AC217" s="1096"/>
      <c r="AD217" s="1096"/>
      <c r="AE217" s="1096"/>
      <c r="AF217" s="1096"/>
      <c r="AG217" s="1096"/>
      <c r="AH217" s="1096"/>
      <c r="AI217" s="1096"/>
      <c r="AJ217" s="1096"/>
      <c r="AK217" s="1096"/>
      <c r="AL217" s="1096"/>
      <c r="AM217" s="1096"/>
      <c r="AN217" s="1096"/>
      <c r="AO217" s="1096"/>
      <c r="AP217" s="1096"/>
      <c r="AQ217" s="1096"/>
      <c r="AR217" s="1096"/>
      <c r="AS217" s="1096"/>
      <c r="AT217" s="1096"/>
      <c r="AU217" s="1096"/>
      <c r="AV217" s="1096"/>
      <c r="AW217" s="1096"/>
      <c r="AX217" s="1096"/>
      <c r="AY217" s="1096"/>
    </row>
    <row r="218" spans="1:51" x14ac:dyDescent="0.45">
      <c r="A218" s="1096">
        <v>1957</v>
      </c>
      <c r="B218" s="1096" t="s">
        <v>1389</v>
      </c>
      <c r="C218" s="1113">
        <f>[7]LRAll!C209</f>
        <v>11.708931155955792</v>
      </c>
      <c r="D218" s="1113">
        <f>[7]LRAll!I209</f>
        <v>8.5273102033257651</v>
      </c>
      <c r="E218" s="1096"/>
      <c r="F218" s="1114">
        <f t="shared" si="7"/>
        <v>72.827400637574996</v>
      </c>
      <c r="G218" s="1096"/>
      <c r="H218" s="1096"/>
      <c r="I218" s="1096"/>
      <c r="J218" s="1096"/>
      <c r="K218" s="1096"/>
      <c r="L218" s="1096"/>
      <c r="M218" s="1096"/>
      <c r="N218" s="1096"/>
      <c r="O218" s="1096"/>
      <c r="P218" s="1096"/>
      <c r="Q218" s="1096"/>
      <c r="R218" s="1096"/>
      <c r="S218" s="1096"/>
      <c r="T218" s="1096"/>
      <c r="U218" s="1096"/>
      <c r="V218" s="1096"/>
      <c r="W218" s="1096"/>
      <c r="X218" s="1096"/>
      <c r="Y218" s="1096"/>
      <c r="Z218" s="1096"/>
      <c r="AA218" s="1096"/>
      <c r="AB218" s="1096"/>
      <c r="AC218" s="1096"/>
      <c r="AD218" s="1096"/>
      <c r="AE218" s="1096"/>
      <c r="AF218" s="1096"/>
      <c r="AG218" s="1096"/>
      <c r="AH218" s="1096"/>
      <c r="AI218" s="1096"/>
      <c r="AJ218" s="1096"/>
      <c r="AK218" s="1096"/>
      <c r="AL218" s="1096"/>
      <c r="AM218" s="1096"/>
      <c r="AN218" s="1096"/>
      <c r="AO218" s="1096"/>
      <c r="AP218" s="1096"/>
      <c r="AQ218" s="1096"/>
      <c r="AR218" s="1096"/>
      <c r="AS218" s="1096"/>
      <c r="AT218" s="1096"/>
      <c r="AU218" s="1096"/>
      <c r="AV218" s="1096"/>
      <c r="AW218" s="1096"/>
      <c r="AX218" s="1096"/>
      <c r="AY218" s="1096"/>
    </row>
    <row r="219" spans="1:51" x14ac:dyDescent="0.45">
      <c r="A219" s="1096">
        <v>1957</v>
      </c>
      <c r="B219" s="1096" t="s">
        <v>1391</v>
      </c>
      <c r="C219" s="1113">
        <f>[7]LRAll!C210</f>
        <v>11.753922245892221</v>
      </c>
      <c r="D219" s="1113">
        <f>[7]LRAll!I210</f>
        <v>8.5273102033257651</v>
      </c>
      <c r="E219" s="1096"/>
      <c r="F219" s="1114">
        <f t="shared" si="7"/>
        <v>72.548635467670394</v>
      </c>
      <c r="G219" s="1096"/>
      <c r="H219" s="1096"/>
      <c r="I219" s="1096"/>
      <c r="J219" s="1096"/>
      <c r="K219" s="1096"/>
      <c r="L219" s="1096"/>
      <c r="M219" s="1096"/>
      <c r="N219" s="1096"/>
      <c r="O219" s="1096"/>
      <c r="P219" s="1096"/>
      <c r="Q219" s="1096"/>
      <c r="R219" s="1096"/>
      <c r="S219" s="1096"/>
      <c r="T219" s="1096"/>
      <c r="U219" s="1096"/>
      <c r="V219" s="1096"/>
      <c r="W219" s="1096"/>
      <c r="X219" s="1096"/>
      <c r="Y219" s="1096"/>
      <c r="Z219" s="1096"/>
      <c r="AA219" s="1096"/>
      <c r="AB219" s="1096"/>
      <c r="AC219" s="1096"/>
      <c r="AD219" s="1096"/>
      <c r="AE219" s="1096"/>
      <c r="AF219" s="1096"/>
      <c r="AG219" s="1096"/>
      <c r="AH219" s="1096"/>
      <c r="AI219" s="1096"/>
      <c r="AJ219" s="1096"/>
      <c r="AK219" s="1096"/>
      <c r="AL219" s="1096"/>
      <c r="AM219" s="1096"/>
      <c r="AN219" s="1096"/>
      <c r="AO219" s="1096"/>
      <c r="AP219" s="1096"/>
      <c r="AQ219" s="1096"/>
      <c r="AR219" s="1096"/>
      <c r="AS219" s="1096"/>
      <c r="AT219" s="1096"/>
      <c r="AU219" s="1096"/>
      <c r="AV219" s="1096"/>
      <c r="AW219" s="1096"/>
      <c r="AX219" s="1096"/>
      <c r="AY219" s="1096"/>
    </row>
    <row r="220" spans="1:51" x14ac:dyDescent="0.45">
      <c r="A220" s="1096">
        <v>1957</v>
      </c>
      <c r="B220" s="1096" t="s">
        <v>1393</v>
      </c>
      <c r="C220" s="1113">
        <f>[7]LRAll!C211</f>
        <v>11.765170018376326</v>
      </c>
      <c r="D220" s="1113">
        <f>[7]LRAll!I211</f>
        <v>8.1663234120278734</v>
      </c>
      <c r="E220" s="1096"/>
      <c r="F220" s="1114">
        <f t="shared" si="7"/>
        <v>69.411010629448441</v>
      </c>
      <c r="G220" s="1096"/>
      <c r="H220" s="1096"/>
      <c r="I220" s="1096"/>
      <c r="J220" s="1096"/>
      <c r="K220" s="1096"/>
      <c r="L220" s="1096"/>
      <c r="M220" s="1096"/>
      <c r="N220" s="1096"/>
      <c r="O220" s="1096"/>
      <c r="P220" s="1096"/>
      <c r="Q220" s="1096"/>
      <c r="R220" s="1096"/>
      <c r="S220" s="1096"/>
      <c r="T220" s="1096"/>
      <c r="U220" s="1096"/>
      <c r="V220" s="1096"/>
      <c r="W220" s="1096"/>
      <c r="X220" s="1096"/>
      <c r="Y220" s="1096"/>
      <c r="Z220" s="1096"/>
      <c r="AA220" s="1096"/>
      <c r="AB220" s="1096"/>
      <c r="AC220" s="1096"/>
      <c r="AD220" s="1096"/>
      <c r="AE220" s="1096"/>
      <c r="AF220" s="1096"/>
      <c r="AG220" s="1096"/>
      <c r="AH220" s="1096"/>
      <c r="AI220" s="1096"/>
      <c r="AJ220" s="1096"/>
      <c r="AK220" s="1096"/>
      <c r="AL220" s="1096"/>
      <c r="AM220" s="1096"/>
      <c r="AN220" s="1096"/>
      <c r="AO220" s="1096"/>
      <c r="AP220" s="1096"/>
      <c r="AQ220" s="1096"/>
      <c r="AR220" s="1096"/>
      <c r="AS220" s="1096"/>
      <c r="AT220" s="1096"/>
      <c r="AU220" s="1096"/>
      <c r="AV220" s="1096"/>
      <c r="AW220" s="1096"/>
      <c r="AX220" s="1096"/>
      <c r="AY220" s="1096"/>
    </row>
    <row r="221" spans="1:51" x14ac:dyDescent="0.45">
      <c r="A221" s="1096">
        <v>1957</v>
      </c>
      <c r="B221" s="1096" t="s">
        <v>1371</v>
      </c>
      <c r="C221" s="1113">
        <f>[7]LRAll!C212</f>
        <v>11.888895515701511</v>
      </c>
      <c r="D221" s="1113">
        <f>[7]LRAll!I212</f>
        <v>8.2545646276784694</v>
      </c>
      <c r="E221" s="1096"/>
      <c r="F221" s="1114">
        <f t="shared" si="7"/>
        <v>69.430878728615056</v>
      </c>
      <c r="G221" s="1096"/>
      <c r="H221" s="1096"/>
      <c r="I221" s="1096"/>
      <c r="J221" s="1096"/>
      <c r="K221" s="1096"/>
      <c r="L221" s="1096"/>
      <c r="M221" s="1096"/>
      <c r="N221" s="1096"/>
      <c r="O221" s="1096"/>
      <c r="P221" s="1096"/>
      <c r="Q221" s="1096"/>
      <c r="R221" s="1096"/>
      <c r="S221" s="1096"/>
      <c r="T221" s="1096"/>
      <c r="U221" s="1096"/>
      <c r="V221" s="1096"/>
      <c r="W221" s="1096"/>
      <c r="X221" s="1096"/>
      <c r="Y221" s="1096"/>
      <c r="Z221" s="1096"/>
      <c r="AA221" s="1096"/>
      <c r="AB221" s="1096"/>
      <c r="AC221" s="1096"/>
      <c r="AD221" s="1096"/>
      <c r="AE221" s="1096"/>
      <c r="AF221" s="1096"/>
      <c r="AG221" s="1096"/>
      <c r="AH221" s="1096"/>
      <c r="AI221" s="1096"/>
      <c r="AJ221" s="1096"/>
      <c r="AK221" s="1096"/>
      <c r="AL221" s="1096"/>
      <c r="AM221" s="1096"/>
      <c r="AN221" s="1096"/>
      <c r="AO221" s="1096"/>
      <c r="AP221" s="1096"/>
      <c r="AQ221" s="1096"/>
      <c r="AR221" s="1096"/>
      <c r="AS221" s="1096"/>
      <c r="AT221" s="1096"/>
      <c r="AU221" s="1096"/>
      <c r="AV221" s="1096"/>
      <c r="AW221" s="1096"/>
      <c r="AX221" s="1096"/>
      <c r="AY221" s="1096"/>
    </row>
    <row r="222" spans="1:51" x14ac:dyDescent="0.45">
      <c r="A222" s="1096">
        <v>1957</v>
      </c>
      <c r="B222" s="1096" t="s">
        <v>1373</v>
      </c>
      <c r="C222" s="1113">
        <f>[7]LRAll!C213</f>
        <v>11.990125468058475</v>
      </c>
      <c r="D222" s="1113">
        <f>[7]LRAll!I213</f>
        <v>8.5273102033257651</v>
      </c>
      <c r="E222" s="1096"/>
      <c r="F222" s="1114">
        <f t="shared" si="7"/>
        <v>71.119440960333563</v>
      </c>
      <c r="G222" s="1096"/>
      <c r="H222" s="1096"/>
      <c r="I222" s="1096"/>
      <c r="J222" s="1096"/>
      <c r="K222" s="1096"/>
      <c r="L222" s="1096"/>
      <c r="M222" s="1096"/>
      <c r="N222" s="1096"/>
      <c r="O222" s="1096"/>
      <c r="P222" s="1096"/>
      <c r="Q222" s="1096"/>
      <c r="R222" s="1096"/>
      <c r="S222" s="1096"/>
      <c r="T222" s="1096"/>
      <c r="U222" s="1096"/>
      <c r="V222" s="1096"/>
      <c r="W222" s="1096"/>
      <c r="X222" s="1096"/>
      <c r="Y222" s="1096"/>
      <c r="Z222" s="1096"/>
      <c r="AA222" s="1096"/>
      <c r="AB222" s="1096"/>
      <c r="AC222" s="1096"/>
      <c r="AD222" s="1096"/>
      <c r="AE222" s="1096"/>
      <c r="AF222" s="1096"/>
      <c r="AG222" s="1096"/>
      <c r="AH222" s="1096"/>
      <c r="AI222" s="1096"/>
      <c r="AJ222" s="1096"/>
      <c r="AK222" s="1096"/>
      <c r="AL222" s="1096"/>
      <c r="AM222" s="1096"/>
      <c r="AN222" s="1096"/>
      <c r="AO222" s="1096"/>
      <c r="AP222" s="1096"/>
      <c r="AQ222" s="1096"/>
      <c r="AR222" s="1096"/>
      <c r="AS222" s="1096"/>
      <c r="AT222" s="1096"/>
      <c r="AU222" s="1096"/>
      <c r="AV222" s="1096"/>
      <c r="AW222" s="1096"/>
      <c r="AX222" s="1096"/>
      <c r="AY222" s="1096"/>
    </row>
    <row r="223" spans="1:51" x14ac:dyDescent="0.45">
      <c r="A223" s="1096">
        <v>1957</v>
      </c>
      <c r="B223" s="1096" t="s">
        <v>1375</v>
      </c>
      <c r="C223" s="1113">
        <f>[7]LRAll!C214</f>
        <v>11.967629923090263</v>
      </c>
      <c r="D223" s="1113">
        <f>[7]LRAll!I214</f>
        <v>8.6717049198449221</v>
      </c>
      <c r="E223" s="1096"/>
      <c r="F223" s="1114">
        <f t="shared" si="7"/>
        <v>72.459668084436629</v>
      </c>
      <c r="G223" s="1096"/>
      <c r="H223" s="1096"/>
      <c r="I223" s="1096"/>
      <c r="J223" s="1096"/>
      <c r="K223" s="1096"/>
      <c r="L223" s="1096"/>
      <c r="M223" s="1096"/>
      <c r="N223" s="1096"/>
      <c r="O223" s="1096"/>
      <c r="P223" s="1096"/>
      <c r="Q223" s="1096"/>
      <c r="R223" s="1096"/>
      <c r="S223" s="1096"/>
      <c r="T223" s="1096"/>
      <c r="U223" s="1096"/>
      <c r="V223" s="1096"/>
      <c r="W223" s="1096"/>
      <c r="X223" s="1096"/>
      <c r="Y223" s="1096"/>
      <c r="Z223" s="1096"/>
      <c r="AA223" s="1096"/>
      <c r="AB223" s="1096"/>
      <c r="AC223" s="1096"/>
      <c r="AD223" s="1096"/>
      <c r="AE223" s="1096"/>
      <c r="AF223" s="1096"/>
      <c r="AG223" s="1096"/>
      <c r="AH223" s="1096"/>
      <c r="AI223" s="1096"/>
      <c r="AJ223" s="1096"/>
      <c r="AK223" s="1096"/>
      <c r="AL223" s="1096"/>
      <c r="AM223" s="1096"/>
      <c r="AN223" s="1096"/>
      <c r="AO223" s="1096"/>
      <c r="AP223" s="1096"/>
      <c r="AQ223" s="1096"/>
      <c r="AR223" s="1096"/>
      <c r="AS223" s="1096"/>
      <c r="AT223" s="1096"/>
      <c r="AU223" s="1096"/>
      <c r="AV223" s="1096"/>
      <c r="AW223" s="1096"/>
      <c r="AX223" s="1096"/>
      <c r="AY223" s="1096"/>
    </row>
    <row r="224" spans="1:51" x14ac:dyDescent="0.45">
      <c r="A224" s="1096">
        <v>1957</v>
      </c>
      <c r="B224" s="1096" t="s">
        <v>1377</v>
      </c>
      <c r="C224" s="1113">
        <f>[7]LRAll!C215</f>
        <v>11.933886605637939</v>
      </c>
      <c r="D224" s="1113">
        <f>[7]LRAll!I215</f>
        <v>8.7599461354955181</v>
      </c>
      <c r="E224" s="1096"/>
      <c r="F224" s="1114">
        <f t="shared" si="7"/>
        <v>73.403966578306907</v>
      </c>
      <c r="G224" s="1096"/>
      <c r="H224" s="1096"/>
      <c r="I224" s="1096"/>
      <c r="J224" s="1096"/>
      <c r="K224" s="1096"/>
      <c r="L224" s="1096"/>
      <c r="M224" s="1096"/>
      <c r="N224" s="1096"/>
      <c r="O224" s="1096"/>
      <c r="P224" s="1096"/>
      <c r="Q224" s="1096"/>
      <c r="R224" s="1096"/>
      <c r="S224" s="1096"/>
      <c r="T224" s="1096"/>
      <c r="U224" s="1096"/>
      <c r="V224" s="1096"/>
      <c r="W224" s="1096"/>
      <c r="X224" s="1096"/>
      <c r="Y224" s="1096"/>
      <c r="Z224" s="1096"/>
      <c r="AA224" s="1096"/>
      <c r="AB224" s="1096"/>
      <c r="AC224" s="1096"/>
      <c r="AD224" s="1096"/>
      <c r="AE224" s="1096"/>
      <c r="AF224" s="1096"/>
      <c r="AG224" s="1096"/>
      <c r="AH224" s="1096"/>
      <c r="AI224" s="1096"/>
      <c r="AJ224" s="1096"/>
      <c r="AK224" s="1096"/>
      <c r="AL224" s="1096"/>
      <c r="AM224" s="1096"/>
      <c r="AN224" s="1096"/>
      <c r="AO224" s="1096"/>
      <c r="AP224" s="1096"/>
      <c r="AQ224" s="1096"/>
      <c r="AR224" s="1096"/>
      <c r="AS224" s="1096"/>
      <c r="AT224" s="1096"/>
      <c r="AU224" s="1096"/>
      <c r="AV224" s="1096"/>
      <c r="AW224" s="1096"/>
      <c r="AX224" s="1096"/>
      <c r="AY224" s="1096"/>
    </row>
    <row r="225" spans="1:51" x14ac:dyDescent="0.45">
      <c r="A225" s="1096">
        <v>1957</v>
      </c>
      <c r="B225" s="1096" t="s">
        <v>1379</v>
      </c>
      <c r="C225" s="1113">
        <f>[7]LRAll!C216</f>
        <v>12.046364330479014</v>
      </c>
      <c r="D225" s="1113">
        <f>[7]LRAll!I216</f>
        <v>8.8160996363640791</v>
      </c>
      <c r="E225" s="1096"/>
      <c r="F225" s="1114">
        <f t="shared" si="7"/>
        <v>73.184733538716699</v>
      </c>
      <c r="G225" s="1096"/>
      <c r="H225" s="1096"/>
      <c r="I225" s="1096"/>
      <c r="J225" s="1096"/>
      <c r="K225" s="1096"/>
      <c r="L225" s="1096"/>
      <c r="M225" s="1096"/>
      <c r="N225" s="1096"/>
      <c r="O225" s="1096"/>
      <c r="P225" s="1096"/>
      <c r="Q225" s="1096"/>
      <c r="R225" s="1096"/>
      <c r="S225" s="1096"/>
      <c r="T225" s="1096"/>
      <c r="U225" s="1096"/>
      <c r="V225" s="1096"/>
      <c r="W225" s="1096"/>
      <c r="X225" s="1096"/>
      <c r="Y225" s="1096"/>
      <c r="Z225" s="1096"/>
      <c r="AA225" s="1096"/>
      <c r="AB225" s="1096"/>
      <c r="AC225" s="1096"/>
      <c r="AD225" s="1096"/>
      <c r="AE225" s="1096"/>
      <c r="AF225" s="1096"/>
      <c r="AG225" s="1096"/>
      <c r="AH225" s="1096"/>
      <c r="AI225" s="1096"/>
      <c r="AJ225" s="1096"/>
      <c r="AK225" s="1096"/>
      <c r="AL225" s="1096"/>
      <c r="AM225" s="1096"/>
      <c r="AN225" s="1096"/>
      <c r="AO225" s="1096"/>
      <c r="AP225" s="1096"/>
      <c r="AQ225" s="1096"/>
      <c r="AR225" s="1096"/>
      <c r="AS225" s="1096"/>
      <c r="AT225" s="1096"/>
      <c r="AU225" s="1096"/>
      <c r="AV225" s="1096"/>
      <c r="AW225" s="1096"/>
      <c r="AX225" s="1096"/>
      <c r="AY225" s="1096"/>
    </row>
    <row r="226" spans="1:51" x14ac:dyDescent="0.45">
      <c r="A226" s="1096">
        <v>1957</v>
      </c>
      <c r="B226" s="1096" t="s">
        <v>1381</v>
      </c>
      <c r="C226" s="1113">
        <f>[7]LRAll!C217</f>
        <v>12.113850965383659</v>
      </c>
      <c r="D226" s="1113">
        <f>[7]LRAll!I217</f>
        <v>9.2492837859215484</v>
      </c>
      <c r="E226" s="1096"/>
      <c r="F226" s="1114">
        <f t="shared" si="7"/>
        <v>76.352960031885402</v>
      </c>
      <c r="G226" s="1096"/>
      <c r="H226" s="1096"/>
      <c r="I226" s="1096"/>
      <c r="J226" s="1096"/>
      <c r="K226" s="1096"/>
      <c r="L226" s="1096"/>
      <c r="M226" s="1096"/>
      <c r="N226" s="1096"/>
      <c r="O226" s="1096"/>
      <c r="P226" s="1096"/>
      <c r="Q226" s="1096"/>
      <c r="R226" s="1096"/>
      <c r="S226" s="1096"/>
      <c r="T226" s="1096"/>
      <c r="U226" s="1096"/>
      <c r="V226" s="1096"/>
      <c r="W226" s="1096"/>
      <c r="X226" s="1096"/>
      <c r="Y226" s="1096"/>
      <c r="Z226" s="1096"/>
      <c r="AA226" s="1096"/>
      <c r="AB226" s="1096"/>
      <c r="AC226" s="1096"/>
      <c r="AD226" s="1096"/>
      <c r="AE226" s="1096"/>
      <c r="AF226" s="1096"/>
      <c r="AG226" s="1096"/>
      <c r="AH226" s="1096"/>
      <c r="AI226" s="1096"/>
      <c r="AJ226" s="1096"/>
      <c r="AK226" s="1096"/>
      <c r="AL226" s="1096"/>
      <c r="AM226" s="1096"/>
      <c r="AN226" s="1096"/>
      <c r="AO226" s="1096"/>
      <c r="AP226" s="1096"/>
      <c r="AQ226" s="1096"/>
      <c r="AR226" s="1096"/>
      <c r="AS226" s="1096"/>
      <c r="AT226" s="1096"/>
      <c r="AU226" s="1096"/>
      <c r="AV226" s="1096"/>
      <c r="AW226" s="1096"/>
      <c r="AX226" s="1096"/>
      <c r="AY226" s="1096"/>
    </row>
    <row r="227" spans="1:51" x14ac:dyDescent="0.45">
      <c r="A227" s="1096">
        <v>1957</v>
      </c>
      <c r="B227" s="1096" t="s">
        <v>1383</v>
      </c>
      <c r="C227" s="1113">
        <f>[7]LRAll!C218</f>
        <v>12.170089827804194</v>
      </c>
      <c r="D227" s="1113">
        <f>[7]LRAll!I218</f>
        <v>9.2733495720080761</v>
      </c>
      <c r="E227" s="1096"/>
      <c r="F227" s="1114">
        <f t="shared" si="7"/>
        <v>76.197872844141799</v>
      </c>
      <c r="G227" s="1096"/>
      <c r="H227" s="1096"/>
      <c r="I227" s="1096"/>
      <c r="J227" s="1096"/>
      <c r="K227" s="1096"/>
      <c r="L227" s="1096"/>
      <c r="M227" s="1096"/>
      <c r="N227" s="1096"/>
      <c r="O227" s="1096"/>
      <c r="P227" s="1096"/>
      <c r="Q227" s="1096"/>
      <c r="R227" s="1096"/>
      <c r="S227" s="1096"/>
      <c r="T227" s="1096"/>
      <c r="U227" s="1096"/>
      <c r="V227" s="1096"/>
      <c r="W227" s="1096"/>
      <c r="X227" s="1096"/>
      <c r="Y227" s="1096"/>
      <c r="Z227" s="1096"/>
      <c r="AA227" s="1096"/>
      <c r="AB227" s="1096"/>
      <c r="AC227" s="1096"/>
      <c r="AD227" s="1096"/>
      <c r="AE227" s="1096"/>
      <c r="AF227" s="1096"/>
      <c r="AG227" s="1096"/>
      <c r="AH227" s="1096"/>
      <c r="AI227" s="1096"/>
      <c r="AJ227" s="1096"/>
      <c r="AK227" s="1096"/>
      <c r="AL227" s="1096"/>
      <c r="AM227" s="1096"/>
      <c r="AN227" s="1096"/>
      <c r="AO227" s="1096"/>
      <c r="AP227" s="1096"/>
      <c r="AQ227" s="1096"/>
      <c r="AR227" s="1096"/>
      <c r="AS227" s="1096"/>
      <c r="AT227" s="1096"/>
      <c r="AU227" s="1096"/>
      <c r="AV227" s="1096"/>
      <c r="AW227" s="1096"/>
      <c r="AX227" s="1096"/>
      <c r="AY227" s="1096"/>
    </row>
    <row r="228" spans="1:51" x14ac:dyDescent="0.45">
      <c r="A228" s="1096">
        <v>1958</v>
      </c>
      <c r="B228" s="1096" t="s">
        <v>1385</v>
      </c>
      <c r="C228" s="1113">
        <f>[7]LRAll!C219</f>
        <v>12.158842055320086</v>
      </c>
      <c r="D228" s="1113">
        <f>[7]LRAll!I219</f>
        <v>9.2733495720080761</v>
      </c>
      <c r="E228" s="1096"/>
      <c r="F228" s="1114">
        <f t="shared" si="7"/>
        <v>76.268361163146565</v>
      </c>
      <c r="G228" s="1096"/>
      <c r="H228" s="1096"/>
      <c r="I228" s="1096"/>
      <c r="J228" s="1096"/>
      <c r="K228" s="1096"/>
      <c r="L228" s="1096"/>
      <c r="M228" s="1096"/>
      <c r="N228" s="1096"/>
      <c r="O228" s="1096"/>
      <c r="P228" s="1096"/>
      <c r="Q228" s="1096"/>
      <c r="R228" s="1096"/>
      <c r="S228" s="1096"/>
      <c r="T228" s="1096"/>
      <c r="U228" s="1096"/>
      <c r="V228" s="1096"/>
      <c r="W228" s="1096"/>
      <c r="X228" s="1096"/>
      <c r="Y228" s="1096"/>
      <c r="Z228" s="1096"/>
      <c r="AA228" s="1096"/>
      <c r="AB228" s="1096"/>
      <c r="AC228" s="1096"/>
      <c r="AD228" s="1096"/>
      <c r="AE228" s="1096"/>
      <c r="AF228" s="1096"/>
      <c r="AG228" s="1096"/>
      <c r="AH228" s="1096"/>
      <c r="AI228" s="1096"/>
      <c r="AJ228" s="1096"/>
      <c r="AK228" s="1096"/>
      <c r="AL228" s="1096"/>
      <c r="AM228" s="1096"/>
      <c r="AN228" s="1096"/>
      <c r="AO228" s="1096"/>
      <c r="AP228" s="1096"/>
      <c r="AQ228" s="1096"/>
      <c r="AR228" s="1096"/>
      <c r="AS228" s="1096"/>
      <c r="AT228" s="1096"/>
      <c r="AU228" s="1096"/>
      <c r="AV228" s="1096"/>
      <c r="AW228" s="1096"/>
      <c r="AX228" s="1096"/>
      <c r="AY228" s="1096"/>
    </row>
    <row r="229" spans="1:51" x14ac:dyDescent="0.45">
      <c r="A229" s="1096">
        <v>1958</v>
      </c>
      <c r="B229" s="1096" t="s">
        <v>1387</v>
      </c>
      <c r="C229" s="1113">
        <f>[7]LRAll!C220</f>
        <v>12.102603192899549</v>
      </c>
      <c r="D229" s="1113">
        <f>[7]LRAll!I220</f>
        <v>9.2653276433125669</v>
      </c>
      <c r="E229" s="1096"/>
      <c r="F229" s="1114">
        <f t="shared" si="7"/>
        <v>76.556485374554967</v>
      </c>
      <c r="G229" s="1096"/>
      <c r="H229" s="1096"/>
      <c r="I229" s="1096"/>
      <c r="J229" s="1096"/>
      <c r="K229" s="1096"/>
      <c r="L229" s="1096"/>
      <c r="M229" s="1096"/>
      <c r="N229" s="1096"/>
      <c r="O229" s="1096"/>
      <c r="P229" s="1096"/>
      <c r="Q229" s="1096"/>
      <c r="R229" s="1096"/>
      <c r="S229" s="1096"/>
      <c r="T229" s="1096"/>
      <c r="U229" s="1096"/>
      <c r="V229" s="1096"/>
      <c r="W229" s="1096"/>
      <c r="X229" s="1096"/>
      <c r="Y229" s="1096"/>
      <c r="Z229" s="1096"/>
      <c r="AA229" s="1096"/>
      <c r="AB229" s="1096"/>
      <c r="AC229" s="1096"/>
      <c r="AD229" s="1096"/>
      <c r="AE229" s="1096"/>
      <c r="AF229" s="1096"/>
      <c r="AG229" s="1096"/>
      <c r="AH229" s="1096"/>
      <c r="AI229" s="1096"/>
      <c r="AJ229" s="1096"/>
      <c r="AK229" s="1096"/>
      <c r="AL229" s="1096"/>
      <c r="AM229" s="1096"/>
      <c r="AN229" s="1096"/>
      <c r="AO229" s="1096"/>
      <c r="AP229" s="1096"/>
      <c r="AQ229" s="1096"/>
      <c r="AR229" s="1096"/>
      <c r="AS229" s="1096"/>
      <c r="AT229" s="1096"/>
      <c r="AU229" s="1096"/>
      <c r="AV229" s="1096"/>
      <c r="AW229" s="1096"/>
      <c r="AX229" s="1096"/>
      <c r="AY229" s="1096"/>
    </row>
    <row r="230" spans="1:51" x14ac:dyDescent="0.45">
      <c r="A230" s="1096">
        <v>1958</v>
      </c>
      <c r="B230" s="1096" t="s">
        <v>1389</v>
      </c>
      <c r="C230" s="1113">
        <f>[7]LRAll!C221</f>
        <v>12.19258537277241</v>
      </c>
      <c r="D230" s="1113">
        <f>[7]LRAll!I221</f>
        <v>9.2733495720080761</v>
      </c>
      <c r="E230" s="1096"/>
      <c r="F230" s="1114">
        <f t="shared" ref="F230:F293" si="8">D230/C230*100</f>
        <v>76.057286362879552</v>
      </c>
      <c r="G230" s="1096"/>
      <c r="H230" s="1096"/>
      <c r="I230" s="1096"/>
      <c r="J230" s="1096"/>
      <c r="K230" s="1096"/>
      <c r="L230" s="1096"/>
      <c r="M230" s="1096"/>
      <c r="N230" s="1096"/>
      <c r="O230" s="1096"/>
      <c r="P230" s="1096"/>
      <c r="Q230" s="1096"/>
      <c r="R230" s="1096"/>
      <c r="S230" s="1096"/>
      <c r="T230" s="1096"/>
      <c r="U230" s="1096"/>
      <c r="V230" s="1096"/>
      <c r="W230" s="1096"/>
      <c r="X230" s="1096"/>
      <c r="Y230" s="1096"/>
      <c r="Z230" s="1096"/>
      <c r="AA230" s="1096"/>
      <c r="AB230" s="1096"/>
      <c r="AC230" s="1096"/>
      <c r="AD230" s="1096"/>
      <c r="AE230" s="1096"/>
      <c r="AF230" s="1096"/>
      <c r="AG230" s="1096"/>
      <c r="AH230" s="1096"/>
      <c r="AI230" s="1096"/>
      <c r="AJ230" s="1096"/>
      <c r="AK230" s="1096"/>
      <c r="AL230" s="1096"/>
      <c r="AM230" s="1096"/>
      <c r="AN230" s="1096"/>
      <c r="AO230" s="1096"/>
      <c r="AP230" s="1096"/>
      <c r="AQ230" s="1096"/>
      <c r="AR230" s="1096"/>
      <c r="AS230" s="1096"/>
      <c r="AT230" s="1096"/>
      <c r="AU230" s="1096"/>
      <c r="AV230" s="1096"/>
      <c r="AW230" s="1096"/>
      <c r="AX230" s="1096"/>
      <c r="AY230" s="1096"/>
    </row>
    <row r="231" spans="1:51" x14ac:dyDescent="0.45">
      <c r="A231" s="1096">
        <v>1958</v>
      </c>
      <c r="B231" s="1096" t="s">
        <v>1391</v>
      </c>
      <c r="C231" s="1113">
        <f>[7]LRAll!C222</f>
        <v>12.327558642581698</v>
      </c>
      <c r="D231" s="1113">
        <f>[7]LRAll!I222</f>
        <v>9.2813715007035853</v>
      </c>
      <c r="E231" s="1096"/>
      <c r="F231" s="1114">
        <f t="shared" si="8"/>
        <v>75.289615485129303</v>
      </c>
      <c r="G231" s="1096"/>
      <c r="H231" s="1096"/>
      <c r="I231" s="1096"/>
      <c r="J231" s="1096"/>
      <c r="K231" s="1096"/>
      <c r="L231" s="1096"/>
      <c r="M231" s="1096"/>
      <c r="N231" s="1096"/>
      <c r="O231" s="1096"/>
      <c r="P231" s="1096"/>
      <c r="Q231" s="1096"/>
      <c r="R231" s="1096"/>
      <c r="S231" s="1096"/>
      <c r="T231" s="1096"/>
      <c r="U231" s="1096"/>
      <c r="V231" s="1096"/>
      <c r="W231" s="1096"/>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c r="AU231" s="1096"/>
      <c r="AV231" s="1096"/>
      <c r="AW231" s="1096"/>
      <c r="AX231" s="1096"/>
      <c r="AY231" s="1096"/>
    </row>
    <row r="232" spans="1:51" x14ac:dyDescent="0.45">
      <c r="A232" s="1096">
        <v>1958</v>
      </c>
      <c r="B232" s="1096" t="s">
        <v>1393</v>
      </c>
      <c r="C232" s="1113">
        <f>[7]LRAll!C223</f>
        <v>12.282567552645268</v>
      </c>
      <c r="D232" s="1113">
        <f>[7]LRAll!I223</f>
        <v>8.8160996363640791</v>
      </c>
      <c r="E232" s="1096"/>
      <c r="F232" s="1114">
        <f t="shared" si="8"/>
        <v>71.777334816818296</v>
      </c>
      <c r="G232" s="1096"/>
      <c r="H232" s="1096"/>
      <c r="I232" s="1096"/>
      <c r="J232" s="1096"/>
      <c r="K232" s="1096"/>
      <c r="L232" s="1096"/>
      <c r="M232" s="1096"/>
      <c r="N232" s="1096"/>
      <c r="O232" s="1096"/>
      <c r="P232" s="1096"/>
      <c r="Q232" s="1096"/>
      <c r="R232" s="1096"/>
      <c r="S232" s="1096"/>
      <c r="T232" s="1096"/>
      <c r="U232" s="1096"/>
      <c r="V232" s="1096"/>
      <c r="W232" s="1096"/>
      <c r="X232" s="1096"/>
      <c r="Y232" s="1096"/>
      <c r="Z232" s="1096"/>
      <c r="AA232" s="1096"/>
      <c r="AB232" s="1096"/>
      <c r="AC232" s="1096"/>
      <c r="AD232" s="1096"/>
      <c r="AE232" s="1096"/>
      <c r="AF232" s="1096"/>
      <c r="AG232" s="1096"/>
      <c r="AH232" s="1096"/>
      <c r="AI232" s="1096"/>
      <c r="AJ232" s="1096"/>
      <c r="AK232" s="1096"/>
      <c r="AL232" s="1096"/>
      <c r="AM232" s="1096"/>
      <c r="AN232" s="1096"/>
      <c r="AO232" s="1096"/>
      <c r="AP232" s="1096"/>
      <c r="AQ232" s="1096"/>
      <c r="AR232" s="1096"/>
      <c r="AS232" s="1096"/>
      <c r="AT232" s="1096"/>
      <c r="AU232" s="1096"/>
      <c r="AV232" s="1096"/>
      <c r="AW232" s="1096"/>
      <c r="AX232" s="1096"/>
      <c r="AY232" s="1096"/>
    </row>
    <row r="233" spans="1:51" x14ac:dyDescent="0.45">
      <c r="A233" s="1096">
        <v>1958</v>
      </c>
      <c r="B233" s="1096" t="s">
        <v>1371</v>
      </c>
      <c r="C233" s="1113">
        <f>[7]LRAll!C224</f>
        <v>12.395045277486343</v>
      </c>
      <c r="D233" s="1113">
        <f>[7]LRAll!I224</f>
        <v>8.8642312085371309</v>
      </c>
      <c r="E233" s="1096"/>
      <c r="F233" s="1114">
        <f t="shared" si="8"/>
        <v>71.514310840296943</v>
      </c>
      <c r="G233" s="1096"/>
      <c r="H233" s="1096"/>
      <c r="I233" s="1096"/>
      <c r="J233" s="1096"/>
      <c r="K233" s="1096"/>
      <c r="L233" s="1096"/>
      <c r="M233" s="1096"/>
      <c r="N233" s="1096"/>
      <c r="O233" s="1096"/>
      <c r="P233" s="1096"/>
      <c r="Q233" s="1096"/>
      <c r="R233" s="1096"/>
      <c r="S233" s="1096"/>
      <c r="T233" s="1096"/>
      <c r="U233" s="1096"/>
      <c r="V233" s="1096"/>
      <c r="W233" s="1096"/>
      <c r="X233" s="1096"/>
      <c r="Y233" s="1096"/>
      <c r="Z233" s="1096"/>
      <c r="AA233" s="1096"/>
      <c r="AB233" s="1096"/>
      <c r="AC233" s="1096"/>
      <c r="AD233" s="1096"/>
      <c r="AE233" s="1096"/>
      <c r="AF233" s="1096"/>
      <c r="AG233" s="1096"/>
      <c r="AH233" s="1096"/>
      <c r="AI233" s="1096"/>
      <c r="AJ233" s="1096"/>
      <c r="AK233" s="1096"/>
      <c r="AL233" s="1096"/>
      <c r="AM233" s="1096"/>
      <c r="AN233" s="1096"/>
      <c r="AO233" s="1096"/>
      <c r="AP233" s="1096"/>
      <c r="AQ233" s="1096"/>
      <c r="AR233" s="1096"/>
      <c r="AS233" s="1096"/>
      <c r="AT233" s="1096"/>
      <c r="AU233" s="1096"/>
      <c r="AV233" s="1096"/>
      <c r="AW233" s="1096"/>
      <c r="AX233" s="1096"/>
      <c r="AY233" s="1096"/>
    </row>
    <row r="234" spans="1:51" x14ac:dyDescent="0.45">
      <c r="A234" s="1096">
        <v>1958</v>
      </c>
      <c r="B234" s="1096" t="s">
        <v>1373</v>
      </c>
      <c r="C234" s="1113">
        <f>[7]LRAll!C225</f>
        <v>12.203833145256516</v>
      </c>
      <c r="D234" s="1113">
        <f>[7]LRAll!I225</f>
        <v>8.8802750659281493</v>
      </c>
      <c r="E234" s="1096"/>
      <c r="F234" s="1114">
        <f t="shared" si="8"/>
        <v>72.766277285426568</v>
      </c>
      <c r="G234" s="1096"/>
      <c r="H234" s="1096"/>
      <c r="I234" s="1096"/>
      <c r="J234" s="1096"/>
      <c r="K234" s="1096"/>
      <c r="L234" s="1096"/>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1096"/>
      <c r="AG234" s="1096"/>
      <c r="AH234" s="1096"/>
      <c r="AI234" s="1096"/>
      <c r="AJ234" s="1096"/>
      <c r="AK234" s="1096"/>
      <c r="AL234" s="1096"/>
      <c r="AM234" s="1096"/>
      <c r="AN234" s="1096"/>
      <c r="AO234" s="1096"/>
      <c r="AP234" s="1096"/>
      <c r="AQ234" s="1096"/>
      <c r="AR234" s="1096"/>
      <c r="AS234" s="1096"/>
      <c r="AT234" s="1096"/>
      <c r="AU234" s="1096"/>
      <c r="AV234" s="1096"/>
      <c r="AW234" s="1096"/>
      <c r="AX234" s="1096"/>
      <c r="AY234" s="1096"/>
    </row>
    <row r="235" spans="1:51" x14ac:dyDescent="0.45">
      <c r="A235" s="1096">
        <v>1958</v>
      </c>
      <c r="B235" s="1096" t="s">
        <v>1375</v>
      </c>
      <c r="C235" s="1113">
        <f>[7]LRAll!C226</f>
        <v>12.181337600288302</v>
      </c>
      <c r="D235" s="1113">
        <f>[7]LRAll!I226</f>
        <v>8.8802750659281493</v>
      </c>
      <c r="E235" s="1096"/>
      <c r="F235" s="1114">
        <f t="shared" si="8"/>
        <v>72.900656375519674</v>
      </c>
      <c r="G235" s="1096"/>
      <c r="H235" s="1096"/>
      <c r="I235" s="1096"/>
      <c r="J235" s="1096"/>
      <c r="K235" s="1096"/>
      <c r="L235" s="1096"/>
      <c r="M235" s="1096"/>
      <c r="N235" s="1096"/>
      <c r="O235" s="1096"/>
      <c r="P235" s="1096"/>
      <c r="Q235" s="1096"/>
      <c r="R235" s="1096"/>
      <c r="S235" s="1096"/>
      <c r="T235" s="1096"/>
      <c r="U235" s="1096"/>
      <c r="V235" s="1096"/>
      <c r="W235" s="1096"/>
      <c r="X235" s="1096"/>
      <c r="Y235" s="1096"/>
      <c r="Z235" s="1096"/>
      <c r="AA235" s="1096"/>
      <c r="AB235" s="1096"/>
      <c r="AC235" s="1096"/>
      <c r="AD235" s="1096"/>
      <c r="AE235" s="1096"/>
      <c r="AF235" s="1096"/>
      <c r="AG235" s="1096"/>
      <c r="AH235" s="1096"/>
      <c r="AI235" s="1096"/>
      <c r="AJ235" s="1096"/>
      <c r="AK235" s="1096"/>
      <c r="AL235" s="1096"/>
      <c r="AM235" s="1096"/>
      <c r="AN235" s="1096"/>
      <c r="AO235" s="1096"/>
      <c r="AP235" s="1096"/>
      <c r="AQ235" s="1096"/>
      <c r="AR235" s="1096"/>
      <c r="AS235" s="1096"/>
      <c r="AT235" s="1096"/>
      <c r="AU235" s="1096"/>
      <c r="AV235" s="1096"/>
      <c r="AW235" s="1096"/>
      <c r="AX235" s="1096"/>
      <c r="AY235" s="1096"/>
    </row>
    <row r="236" spans="1:51" x14ac:dyDescent="0.45">
      <c r="A236" s="1096">
        <v>1958</v>
      </c>
      <c r="B236" s="1096" t="s">
        <v>1377</v>
      </c>
      <c r="C236" s="1113">
        <f>[7]LRAll!C227</f>
        <v>12.19258537277241</v>
      </c>
      <c r="D236" s="1113">
        <f>[7]LRAll!I227</f>
        <v>8.8882969946236585</v>
      </c>
      <c r="E236" s="1096"/>
      <c r="F236" s="1114">
        <f t="shared" si="8"/>
        <v>72.89919834781189</v>
      </c>
      <c r="G236" s="1096"/>
      <c r="H236" s="1096"/>
      <c r="I236" s="1096"/>
      <c r="J236" s="1096"/>
      <c r="K236" s="1096"/>
      <c r="L236" s="1096"/>
      <c r="M236" s="1096"/>
      <c r="N236" s="1096"/>
      <c r="O236" s="1096"/>
      <c r="P236" s="1096"/>
      <c r="Q236" s="1096"/>
      <c r="R236" s="1096"/>
      <c r="S236" s="1096"/>
      <c r="T236" s="1096"/>
      <c r="U236" s="1096"/>
      <c r="V236" s="1096"/>
      <c r="W236" s="1096"/>
      <c r="X236" s="1096"/>
      <c r="Y236" s="1096"/>
      <c r="Z236" s="1096"/>
      <c r="AA236" s="1096"/>
      <c r="AB236" s="1096"/>
      <c r="AC236" s="1096"/>
      <c r="AD236" s="1096"/>
      <c r="AE236" s="1096"/>
      <c r="AF236" s="1096"/>
      <c r="AG236" s="1096"/>
      <c r="AH236" s="1096"/>
      <c r="AI236" s="1096"/>
      <c r="AJ236" s="1096"/>
      <c r="AK236" s="1096"/>
      <c r="AL236" s="1096"/>
      <c r="AM236" s="1096"/>
      <c r="AN236" s="1096"/>
      <c r="AO236" s="1096"/>
      <c r="AP236" s="1096"/>
      <c r="AQ236" s="1096"/>
      <c r="AR236" s="1096"/>
      <c r="AS236" s="1096"/>
      <c r="AT236" s="1096"/>
      <c r="AU236" s="1096"/>
      <c r="AV236" s="1096"/>
      <c r="AW236" s="1096"/>
      <c r="AX236" s="1096"/>
      <c r="AY236" s="1096"/>
    </row>
    <row r="237" spans="1:51" x14ac:dyDescent="0.45">
      <c r="A237" s="1096">
        <v>1958</v>
      </c>
      <c r="B237" s="1096" t="s">
        <v>1379</v>
      </c>
      <c r="C237" s="1113">
        <f>[7]LRAll!C228</f>
        <v>12.305063097613484</v>
      </c>
      <c r="D237" s="1113">
        <f>[7]LRAll!I228</f>
        <v>8.8963189233191677</v>
      </c>
      <c r="E237" s="1096"/>
      <c r="F237" s="1114">
        <f t="shared" si="8"/>
        <v>72.298035798325742</v>
      </c>
      <c r="G237" s="1096"/>
      <c r="H237" s="1096"/>
      <c r="I237" s="1096"/>
      <c r="J237" s="1096"/>
      <c r="K237" s="1096"/>
      <c r="L237" s="1096"/>
      <c r="M237" s="1096"/>
      <c r="N237" s="1096"/>
      <c r="O237" s="1096"/>
      <c r="P237" s="1096"/>
      <c r="Q237" s="1096"/>
      <c r="R237" s="1096"/>
      <c r="S237" s="1096"/>
      <c r="T237" s="1096"/>
      <c r="U237" s="1096"/>
      <c r="V237" s="1096"/>
      <c r="W237" s="1096"/>
      <c r="X237" s="1096"/>
      <c r="Y237" s="1096"/>
      <c r="Z237" s="1096"/>
      <c r="AA237" s="1096"/>
      <c r="AB237" s="1096"/>
      <c r="AC237" s="1096"/>
      <c r="AD237" s="1096"/>
      <c r="AE237" s="1096"/>
      <c r="AF237" s="1096"/>
      <c r="AG237" s="1096"/>
      <c r="AH237" s="1096"/>
      <c r="AI237" s="1096"/>
      <c r="AJ237" s="1096"/>
      <c r="AK237" s="1096"/>
      <c r="AL237" s="1096"/>
      <c r="AM237" s="1096"/>
      <c r="AN237" s="1096"/>
      <c r="AO237" s="1096"/>
      <c r="AP237" s="1096"/>
      <c r="AQ237" s="1096"/>
      <c r="AR237" s="1096"/>
      <c r="AS237" s="1096"/>
      <c r="AT237" s="1096"/>
      <c r="AU237" s="1096"/>
      <c r="AV237" s="1096"/>
      <c r="AW237" s="1096"/>
      <c r="AX237" s="1096"/>
      <c r="AY237" s="1096"/>
    </row>
    <row r="238" spans="1:51" x14ac:dyDescent="0.45">
      <c r="A238" s="1096">
        <v>1958</v>
      </c>
      <c r="B238" s="1096" t="s">
        <v>1381</v>
      </c>
      <c r="C238" s="1113">
        <f>[7]LRAll!C229</f>
        <v>12.350054187549912</v>
      </c>
      <c r="D238" s="1113">
        <f>[7]LRAll!I229</f>
        <v>9.3455469302676537</v>
      </c>
      <c r="E238" s="1096"/>
      <c r="F238" s="1114">
        <f t="shared" si="8"/>
        <v>75.67211275630595</v>
      </c>
      <c r="G238" s="1096"/>
      <c r="H238" s="1096"/>
      <c r="I238" s="1096"/>
      <c r="J238" s="1096"/>
      <c r="K238" s="1096"/>
      <c r="L238" s="1096"/>
      <c r="M238" s="1096"/>
      <c r="N238" s="1096"/>
      <c r="O238" s="1096"/>
      <c r="P238" s="1096"/>
      <c r="Q238" s="1096"/>
      <c r="R238" s="1096"/>
      <c r="S238" s="1096"/>
      <c r="T238" s="1096"/>
      <c r="U238" s="1096"/>
      <c r="V238" s="1096"/>
      <c r="W238" s="1096"/>
      <c r="X238" s="1096"/>
      <c r="Y238" s="1096"/>
      <c r="Z238" s="1096"/>
      <c r="AA238" s="1096"/>
      <c r="AB238" s="1096"/>
      <c r="AC238" s="1096"/>
      <c r="AD238" s="1096"/>
      <c r="AE238" s="1096"/>
      <c r="AF238" s="1096"/>
      <c r="AG238" s="1096"/>
      <c r="AH238" s="1096"/>
      <c r="AI238" s="1096"/>
      <c r="AJ238" s="1096"/>
      <c r="AK238" s="1096"/>
      <c r="AL238" s="1096"/>
      <c r="AM238" s="1096"/>
      <c r="AN238" s="1096"/>
      <c r="AO238" s="1096"/>
      <c r="AP238" s="1096"/>
      <c r="AQ238" s="1096"/>
      <c r="AR238" s="1096"/>
      <c r="AS238" s="1096"/>
      <c r="AT238" s="1096"/>
      <c r="AU238" s="1096"/>
      <c r="AV238" s="1096"/>
      <c r="AW238" s="1096"/>
      <c r="AX238" s="1096"/>
      <c r="AY238" s="1096"/>
    </row>
    <row r="239" spans="1:51" x14ac:dyDescent="0.45">
      <c r="A239" s="1096">
        <v>1958</v>
      </c>
      <c r="B239" s="1096" t="s">
        <v>1383</v>
      </c>
      <c r="C239" s="1113">
        <f>[7]LRAll!C230</f>
        <v>12.395045277486343</v>
      </c>
      <c r="D239" s="1113">
        <f>[7]LRAll!I230</f>
        <v>9.3535688589631629</v>
      </c>
      <c r="E239" s="1096"/>
      <c r="F239" s="1114">
        <f t="shared" si="8"/>
        <v>75.4621596740147</v>
      </c>
      <c r="G239" s="1096"/>
      <c r="H239" s="1096"/>
      <c r="I239" s="1096"/>
      <c r="J239" s="1096"/>
      <c r="K239" s="1096"/>
      <c r="L239" s="1096"/>
      <c r="M239" s="1096"/>
      <c r="N239" s="1096"/>
      <c r="O239" s="1096"/>
      <c r="P239" s="1096"/>
      <c r="Q239" s="1096"/>
      <c r="R239" s="1096"/>
      <c r="S239" s="1096"/>
      <c r="T239" s="1096"/>
      <c r="U239" s="1096"/>
      <c r="V239" s="1096"/>
      <c r="W239" s="1096"/>
      <c r="X239" s="1096"/>
      <c r="Y239" s="1096"/>
      <c r="Z239" s="1096"/>
      <c r="AA239" s="1096"/>
      <c r="AB239" s="1096"/>
      <c r="AC239" s="1096"/>
      <c r="AD239" s="1096"/>
      <c r="AE239" s="1096"/>
      <c r="AF239" s="1096"/>
      <c r="AG239" s="1096"/>
      <c r="AH239" s="1096"/>
      <c r="AI239" s="1096"/>
      <c r="AJ239" s="1096"/>
      <c r="AK239" s="1096"/>
      <c r="AL239" s="1096"/>
      <c r="AM239" s="1096"/>
      <c r="AN239" s="1096"/>
      <c r="AO239" s="1096"/>
      <c r="AP239" s="1096"/>
      <c r="AQ239" s="1096"/>
      <c r="AR239" s="1096"/>
      <c r="AS239" s="1096"/>
      <c r="AT239" s="1096"/>
      <c r="AU239" s="1096"/>
      <c r="AV239" s="1096"/>
      <c r="AW239" s="1096"/>
      <c r="AX239" s="1096"/>
      <c r="AY239" s="1096"/>
    </row>
    <row r="240" spans="1:51" x14ac:dyDescent="0.45">
      <c r="A240" s="1096">
        <v>1959</v>
      </c>
      <c r="B240" s="1096" t="s">
        <v>1385</v>
      </c>
      <c r="C240" s="1113">
        <f>[7]LRAll!C231</f>
        <v>12.417540822454558</v>
      </c>
      <c r="D240" s="1113">
        <f>[7]LRAll!I231</f>
        <v>9.3535688589631629</v>
      </c>
      <c r="E240" s="1096"/>
      <c r="F240" s="1114">
        <f t="shared" si="8"/>
        <v>75.325452863011037</v>
      </c>
      <c r="G240" s="1096"/>
      <c r="H240" s="1096"/>
      <c r="I240" s="1096"/>
      <c r="J240" s="1096"/>
      <c r="K240" s="1096"/>
      <c r="L240" s="1096"/>
      <c r="M240" s="1096"/>
      <c r="N240" s="1096"/>
      <c r="O240" s="1096"/>
      <c r="P240" s="1096"/>
      <c r="Q240" s="1096"/>
      <c r="R240" s="1096"/>
      <c r="S240" s="1096"/>
      <c r="T240" s="1096"/>
      <c r="U240" s="1096"/>
      <c r="V240" s="1096"/>
      <c r="W240" s="1096"/>
      <c r="X240" s="1096"/>
      <c r="Y240" s="1096"/>
      <c r="Z240" s="1096"/>
      <c r="AA240" s="1096"/>
      <c r="AB240" s="1096"/>
      <c r="AC240" s="1096"/>
      <c r="AD240" s="1096"/>
      <c r="AE240" s="1096"/>
      <c r="AF240" s="1096"/>
      <c r="AG240" s="1096"/>
      <c r="AH240" s="1096"/>
      <c r="AI240" s="1096"/>
      <c r="AJ240" s="1096"/>
      <c r="AK240" s="1096"/>
      <c r="AL240" s="1096"/>
      <c r="AM240" s="1096"/>
      <c r="AN240" s="1096"/>
      <c r="AO240" s="1096"/>
      <c r="AP240" s="1096"/>
      <c r="AQ240" s="1096"/>
      <c r="AR240" s="1096"/>
      <c r="AS240" s="1096"/>
      <c r="AT240" s="1096"/>
      <c r="AU240" s="1096"/>
      <c r="AV240" s="1096"/>
      <c r="AW240" s="1096"/>
      <c r="AX240" s="1096"/>
      <c r="AY240" s="1096"/>
    </row>
    <row r="241" spans="1:51" x14ac:dyDescent="0.45">
      <c r="A241" s="1096">
        <v>1959</v>
      </c>
      <c r="B241" s="1096" t="s">
        <v>1387</v>
      </c>
      <c r="C241" s="1113">
        <f>[7]LRAll!C232</f>
        <v>12.406293049970447</v>
      </c>
      <c r="D241" s="1113">
        <f>[7]LRAll!I232</f>
        <v>9.3776346450496906</v>
      </c>
      <c r="E241" s="1096"/>
      <c r="F241" s="1114">
        <f t="shared" si="8"/>
        <v>75.587724772243945</v>
      </c>
      <c r="G241" s="1096"/>
      <c r="H241" s="1096"/>
      <c r="I241" s="1096"/>
      <c r="J241" s="1096"/>
      <c r="K241" s="1096"/>
      <c r="L241" s="1096"/>
      <c r="M241" s="1096"/>
      <c r="N241" s="1096"/>
      <c r="O241" s="1096"/>
      <c r="P241" s="1096"/>
      <c r="Q241" s="1096"/>
      <c r="R241" s="1096"/>
      <c r="S241" s="1096"/>
      <c r="T241" s="1096"/>
      <c r="U241" s="1096"/>
      <c r="V241" s="1096"/>
      <c r="W241" s="1096"/>
      <c r="X241" s="1096"/>
      <c r="Y241" s="1096"/>
      <c r="Z241" s="1096"/>
      <c r="AA241" s="1096"/>
      <c r="AB241" s="1096"/>
      <c r="AC241" s="1096"/>
      <c r="AD241" s="1096"/>
      <c r="AE241" s="1096"/>
      <c r="AF241" s="1096"/>
      <c r="AG241" s="1096"/>
      <c r="AH241" s="1096"/>
      <c r="AI241" s="1096"/>
      <c r="AJ241" s="1096"/>
      <c r="AK241" s="1096"/>
      <c r="AL241" s="1096"/>
      <c r="AM241" s="1096"/>
      <c r="AN241" s="1096"/>
      <c r="AO241" s="1096"/>
      <c r="AP241" s="1096"/>
      <c r="AQ241" s="1096"/>
      <c r="AR241" s="1096"/>
      <c r="AS241" s="1096"/>
      <c r="AT241" s="1096"/>
      <c r="AU241" s="1096"/>
      <c r="AV241" s="1096"/>
      <c r="AW241" s="1096"/>
      <c r="AX241" s="1096"/>
      <c r="AY241" s="1096"/>
    </row>
    <row r="242" spans="1:51" x14ac:dyDescent="0.45">
      <c r="A242" s="1096">
        <v>1959</v>
      </c>
      <c r="B242" s="1096" t="s">
        <v>1389</v>
      </c>
      <c r="C242" s="1113">
        <f>[7]LRAll!C233</f>
        <v>12.406293049970447</v>
      </c>
      <c r="D242" s="1113">
        <f>[7]LRAll!I233</f>
        <v>9.385656573745198</v>
      </c>
      <c r="E242" s="1096"/>
      <c r="F242" s="1114">
        <f t="shared" si="8"/>
        <v>75.652384930304024</v>
      </c>
      <c r="G242" s="1096"/>
      <c r="H242" s="1096"/>
      <c r="I242" s="1096"/>
      <c r="J242" s="1096"/>
      <c r="K242" s="1096"/>
      <c r="L242" s="1096"/>
      <c r="M242" s="1096"/>
      <c r="N242" s="1096"/>
      <c r="O242" s="1096"/>
      <c r="P242" s="1096"/>
      <c r="Q242" s="1096"/>
      <c r="R242" s="1096"/>
      <c r="S242" s="1096"/>
      <c r="T242" s="1096"/>
      <c r="U242" s="1096"/>
      <c r="V242" s="1096"/>
      <c r="W242" s="1096"/>
      <c r="X242" s="1096"/>
      <c r="Y242" s="1096"/>
      <c r="Z242" s="1096"/>
      <c r="AA242" s="1096"/>
      <c r="AB242" s="1096"/>
      <c r="AC242" s="1096"/>
      <c r="AD242" s="1096"/>
      <c r="AE242" s="1096"/>
      <c r="AF242" s="1096"/>
      <c r="AG242" s="1096"/>
      <c r="AH242" s="1096"/>
      <c r="AI242" s="1096"/>
      <c r="AJ242" s="1096"/>
      <c r="AK242" s="1096"/>
      <c r="AL242" s="1096"/>
      <c r="AM242" s="1096"/>
      <c r="AN242" s="1096"/>
      <c r="AO242" s="1096"/>
      <c r="AP242" s="1096"/>
      <c r="AQ242" s="1096"/>
      <c r="AR242" s="1096"/>
      <c r="AS242" s="1096"/>
      <c r="AT242" s="1096"/>
      <c r="AU242" s="1096"/>
      <c r="AV242" s="1096"/>
      <c r="AW242" s="1096"/>
      <c r="AX242" s="1096"/>
      <c r="AY242" s="1096"/>
    </row>
    <row r="243" spans="1:51" x14ac:dyDescent="0.45">
      <c r="A243" s="1096">
        <v>1959</v>
      </c>
      <c r="B243" s="1096" t="s">
        <v>1391</v>
      </c>
      <c r="C243" s="1113">
        <f>[7]LRAll!C234</f>
        <v>12.31631087009759</v>
      </c>
      <c r="D243" s="1113">
        <f>[7]LRAll!I234</f>
        <v>9.385656573745198</v>
      </c>
      <c r="E243" s="1096"/>
      <c r="F243" s="1114">
        <f t="shared" si="8"/>
        <v>76.205096418379298</v>
      </c>
      <c r="G243" s="1096"/>
      <c r="H243" s="1096"/>
      <c r="I243" s="1096"/>
      <c r="J243" s="1096"/>
      <c r="K243" s="1096"/>
      <c r="L243" s="1096"/>
      <c r="M243" s="1096"/>
      <c r="N243" s="1096"/>
      <c r="O243" s="1096"/>
      <c r="P243" s="1096"/>
      <c r="Q243" s="1096"/>
      <c r="R243" s="1096"/>
      <c r="S243" s="1096"/>
      <c r="T243" s="1096"/>
      <c r="U243" s="1096"/>
      <c r="V243" s="1096"/>
      <c r="W243" s="1096"/>
      <c r="X243" s="1096"/>
      <c r="Y243" s="1096"/>
      <c r="Z243" s="1096"/>
      <c r="AA243" s="1096"/>
      <c r="AB243" s="1096"/>
      <c r="AC243" s="1096"/>
      <c r="AD243" s="1096"/>
      <c r="AE243" s="1096"/>
      <c r="AF243" s="1096"/>
      <c r="AG243" s="1096"/>
      <c r="AH243" s="1096"/>
      <c r="AI243" s="1096"/>
      <c r="AJ243" s="1096"/>
      <c r="AK243" s="1096"/>
      <c r="AL243" s="1096"/>
      <c r="AM243" s="1096"/>
      <c r="AN243" s="1096"/>
      <c r="AO243" s="1096"/>
      <c r="AP243" s="1096"/>
      <c r="AQ243" s="1096"/>
      <c r="AR243" s="1096"/>
      <c r="AS243" s="1096"/>
      <c r="AT243" s="1096"/>
      <c r="AU243" s="1096"/>
      <c r="AV243" s="1096"/>
      <c r="AW243" s="1096"/>
      <c r="AX243" s="1096"/>
      <c r="AY243" s="1096"/>
    </row>
    <row r="244" spans="1:51" x14ac:dyDescent="0.45">
      <c r="A244" s="1096">
        <v>1959</v>
      </c>
      <c r="B244" s="1096" t="s">
        <v>1393</v>
      </c>
      <c r="C244" s="1113">
        <f>[7]LRAll!C235</f>
        <v>12.271319780161161</v>
      </c>
      <c r="D244" s="1113">
        <f>[7]LRAll!I235</f>
        <v>8.9123627807101844</v>
      </c>
      <c r="E244" s="1096"/>
      <c r="F244" s="1114">
        <f t="shared" si="8"/>
        <v>72.627581550915608</v>
      </c>
      <c r="G244" s="1096"/>
      <c r="H244" s="1096"/>
      <c r="I244" s="1096"/>
      <c r="J244" s="1096"/>
      <c r="K244" s="1096"/>
      <c r="L244" s="1096"/>
      <c r="M244" s="1096"/>
      <c r="N244" s="1096"/>
      <c r="O244" s="1096"/>
      <c r="P244" s="1096"/>
      <c r="Q244" s="1096"/>
      <c r="R244" s="1096"/>
      <c r="S244" s="1096"/>
      <c r="T244" s="1096"/>
      <c r="U244" s="1096"/>
      <c r="V244" s="1096"/>
      <c r="W244" s="1096"/>
      <c r="X244" s="1096"/>
      <c r="Y244" s="1096"/>
      <c r="Z244" s="1096"/>
      <c r="AA244" s="1096"/>
      <c r="AB244" s="1096"/>
      <c r="AC244" s="1096"/>
      <c r="AD244" s="1096"/>
      <c r="AE244" s="1096"/>
      <c r="AF244" s="1096"/>
      <c r="AG244" s="1096"/>
      <c r="AH244" s="1096"/>
      <c r="AI244" s="1096"/>
      <c r="AJ244" s="1096"/>
      <c r="AK244" s="1096"/>
      <c r="AL244" s="1096"/>
      <c r="AM244" s="1096"/>
      <c r="AN244" s="1096"/>
      <c r="AO244" s="1096"/>
      <c r="AP244" s="1096"/>
      <c r="AQ244" s="1096"/>
      <c r="AR244" s="1096"/>
      <c r="AS244" s="1096"/>
      <c r="AT244" s="1096"/>
      <c r="AU244" s="1096"/>
      <c r="AV244" s="1096"/>
      <c r="AW244" s="1096"/>
      <c r="AX244" s="1096"/>
      <c r="AY244" s="1096"/>
    </row>
    <row r="245" spans="1:51" x14ac:dyDescent="0.45">
      <c r="A245" s="1096">
        <v>1959</v>
      </c>
      <c r="B245" s="1096" t="s">
        <v>1371</v>
      </c>
      <c r="C245" s="1113">
        <f>[7]LRAll!C236</f>
        <v>12.293815325129376</v>
      </c>
      <c r="D245" s="1113">
        <f>[7]LRAll!I236</f>
        <v>8.9123627807101844</v>
      </c>
      <c r="E245" s="1096"/>
      <c r="F245" s="1114">
        <f t="shared" si="8"/>
        <v>72.494685701783084</v>
      </c>
      <c r="G245" s="1096"/>
      <c r="H245" s="1096"/>
      <c r="I245" s="1096"/>
      <c r="J245" s="1096"/>
      <c r="K245" s="1096"/>
      <c r="L245" s="1096"/>
      <c r="M245" s="1096"/>
      <c r="N245" s="1096"/>
      <c r="O245" s="1096"/>
      <c r="P245" s="1096"/>
      <c r="Q245" s="1096"/>
      <c r="R245" s="1096"/>
      <c r="S245" s="1096"/>
      <c r="T245" s="1096"/>
      <c r="U245" s="1096"/>
      <c r="V245" s="1096"/>
      <c r="W245" s="1096"/>
      <c r="X245" s="1096"/>
      <c r="Y245" s="1096"/>
      <c r="Z245" s="1096"/>
      <c r="AA245" s="1096"/>
      <c r="AB245" s="1096"/>
      <c r="AC245" s="1096"/>
      <c r="AD245" s="1096"/>
      <c r="AE245" s="1096"/>
      <c r="AF245" s="1096"/>
      <c r="AG245" s="1096"/>
      <c r="AH245" s="1096"/>
      <c r="AI245" s="1096"/>
      <c r="AJ245" s="1096"/>
      <c r="AK245" s="1096"/>
      <c r="AL245" s="1096"/>
      <c r="AM245" s="1096"/>
      <c r="AN245" s="1096"/>
      <c r="AO245" s="1096"/>
      <c r="AP245" s="1096"/>
      <c r="AQ245" s="1096"/>
      <c r="AR245" s="1096"/>
      <c r="AS245" s="1096"/>
      <c r="AT245" s="1096"/>
      <c r="AU245" s="1096"/>
      <c r="AV245" s="1096"/>
      <c r="AW245" s="1096"/>
      <c r="AX245" s="1096"/>
      <c r="AY245" s="1096"/>
    </row>
    <row r="246" spans="1:51" x14ac:dyDescent="0.45">
      <c r="A246" s="1096">
        <v>1959</v>
      </c>
      <c r="B246" s="1096" t="s">
        <v>1373</v>
      </c>
      <c r="C246" s="1113">
        <f>[7]LRAll!C237</f>
        <v>12.260072007677055</v>
      </c>
      <c r="D246" s="1113">
        <f>[7]LRAll!I237</f>
        <v>8.9123627807101844</v>
      </c>
      <c r="E246" s="1096"/>
      <c r="F246" s="1114">
        <f t="shared" si="8"/>
        <v>72.694212359677906</v>
      </c>
      <c r="G246" s="1096"/>
      <c r="H246" s="1096"/>
      <c r="I246" s="1096"/>
      <c r="J246" s="1096"/>
      <c r="K246" s="1096"/>
      <c r="L246" s="1096"/>
      <c r="M246" s="1096"/>
      <c r="N246" s="1096"/>
      <c r="O246" s="1096"/>
      <c r="P246" s="1096"/>
      <c r="Q246" s="1096"/>
      <c r="R246" s="1096"/>
      <c r="S246" s="1096"/>
      <c r="T246" s="1096"/>
      <c r="U246" s="1096"/>
      <c r="V246" s="1096"/>
      <c r="W246" s="1096"/>
      <c r="X246" s="1096"/>
      <c r="Y246" s="1096"/>
      <c r="Z246" s="1096"/>
      <c r="AA246" s="1096"/>
      <c r="AB246" s="1096"/>
      <c r="AC246" s="1096"/>
      <c r="AD246" s="1096"/>
      <c r="AE246" s="1096"/>
      <c r="AF246" s="1096"/>
      <c r="AG246" s="1096"/>
      <c r="AH246" s="1096"/>
      <c r="AI246" s="1096"/>
      <c r="AJ246" s="1096"/>
      <c r="AK246" s="1096"/>
      <c r="AL246" s="1096"/>
      <c r="AM246" s="1096"/>
      <c r="AN246" s="1096"/>
      <c r="AO246" s="1096"/>
      <c r="AP246" s="1096"/>
      <c r="AQ246" s="1096"/>
      <c r="AR246" s="1096"/>
      <c r="AS246" s="1096"/>
      <c r="AT246" s="1096"/>
      <c r="AU246" s="1096"/>
      <c r="AV246" s="1096"/>
      <c r="AW246" s="1096"/>
      <c r="AX246" s="1096"/>
      <c r="AY246" s="1096"/>
    </row>
    <row r="247" spans="1:51" x14ac:dyDescent="0.45">
      <c r="A247" s="1096">
        <v>1959</v>
      </c>
      <c r="B247" s="1096" t="s">
        <v>1375</v>
      </c>
      <c r="C247" s="1113">
        <f>[7]LRAll!C238</f>
        <v>12.293815325129376</v>
      </c>
      <c r="D247" s="1113">
        <f>[7]LRAll!I238</f>
        <v>8.9364285667967103</v>
      </c>
      <c r="E247" s="1096"/>
      <c r="F247" s="1114">
        <f t="shared" si="8"/>
        <v>72.690440928700596</v>
      </c>
      <c r="G247" s="1096"/>
      <c r="H247" s="1096"/>
      <c r="I247" s="1096"/>
      <c r="J247" s="1096"/>
      <c r="K247" s="1096"/>
      <c r="L247" s="1096"/>
      <c r="M247" s="1096"/>
      <c r="N247" s="1096"/>
      <c r="O247" s="1096"/>
      <c r="P247" s="1096"/>
      <c r="Q247" s="1096"/>
      <c r="R247" s="1096"/>
      <c r="S247" s="1096"/>
      <c r="T247" s="1096"/>
      <c r="U247" s="1096"/>
      <c r="V247" s="1096"/>
      <c r="W247" s="1096"/>
      <c r="X247" s="1096"/>
      <c r="Y247" s="1096"/>
      <c r="Z247" s="1096"/>
      <c r="AA247" s="1096"/>
      <c r="AB247" s="1096"/>
      <c r="AC247" s="1096"/>
      <c r="AD247" s="1096"/>
      <c r="AE247" s="1096"/>
      <c r="AF247" s="1096"/>
      <c r="AG247" s="1096"/>
      <c r="AH247" s="1096"/>
      <c r="AI247" s="1096"/>
      <c r="AJ247" s="1096"/>
      <c r="AK247" s="1096"/>
      <c r="AL247" s="1096"/>
      <c r="AM247" s="1096"/>
      <c r="AN247" s="1096"/>
      <c r="AO247" s="1096"/>
      <c r="AP247" s="1096"/>
      <c r="AQ247" s="1096"/>
      <c r="AR247" s="1096"/>
      <c r="AS247" s="1096"/>
      <c r="AT247" s="1096"/>
      <c r="AU247" s="1096"/>
      <c r="AV247" s="1096"/>
      <c r="AW247" s="1096"/>
      <c r="AX247" s="1096"/>
      <c r="AY247" s="1096"/>
    </row>
    <row r="248" spans="1:51" x14ac:dyDescent="0.45">
      <c r="A248" s="1096">
        <v>1959</v>
      </c>
      <c r="B248" s="1096" t="s">
        <v>1377</v>
      </c>
      <c r="C248" s="1113">
        <f>[7]LRAll!C239</f>
        <v>12.226328690224731</v>
      </c>
      <c r="D248" s="1113">
        <f>[7]LRAll!I239</f>
        <v>8.9604943528832361</v>
      </c>
      <c r="E248" s="1096"/>
      <c r="F248" s="1114">
        <f t="shared" si="8"/>
        <v>73.288511865768712</v>
      </c>
      <c r="G248" s="1096"/>
      <c r="H248" s="1096"/>
      <c r="I248" s="1096"/>
      <c r="J248" s="1096"/>
      <c r="K248" s="1096"/>
      <c r="L248" s="1096"/>
      <c r="M248" s="1096"/>
      <c r="N248" s="1096"/>
      <c r="O248" s="1096"/>
      <c r="P248" s="1096"/>
      <c r="Q248" s="1096"/>
      <c r="R248" s="1096"/>
      <c r="S248" s="1096"/>
      <c r="T248" s="1096"/>
      <c r="U248" s="1096"/>
      <c r="V248" s="1096"/>
      <c r="W248" s="1096"/>
      <c r="X248" s="1096"/>
      <c r="Y248" s="1096"/>
      <c r="Z248" s="1096"/>
      <c r="AA248" s="1096"/>
      <c r="AB248" s="1096"/>
      <c r="AC248" s="1096"/>
      <c r="AD248" s="1096"/>
      <c r="AE248" s="1096"/>
      <c r="AF248" s="1096"/>
      <c r="AG248" s="1096"/>
      <c r="AH248" s="1096"/>
      <c r="AI248" s="1096"/>
      <c r="AJ248" s="1096"/>
      <c r="AK248" s="1096"/>
      <c r="AL248" s="1096"/>
      <c r="AM248" s="1096"/>
      <c r="AN248" s="1096"/>
      <c r="AO248" s="1096"/>
      <c r="AP248" s="1096"/>
      <c r="AQ248" s="1096"/>
      <c r="AR248" s="1096"/>
      <c r="AS248" s="1096"/>
      <c r="AT248" s="1096"/>
      <c r="AU248" s="1096"/>
      <c r="AV248" s="1096"/>
      <c r="AW248" s="1096"/>
      <c r="AX248" s="1096"/>
      <c r="AY248" s="1096"/>
    </row>
    <row r="249" spans="1:51" x14ac:dyDescent="0.45">
      <c r="A249" s="1096">
        <v>1959</v>
      </c>
      <c r="B249" s="1096" t="s">
        <v>1379</v>
      </c>
      <c r="C249" s="1113">
        <f>[7]LRAll!C240</f>
        <v>12.282567552645268</v>
      </c>
      <c r="D249" s="1113">
        <f>[7]LRAll!I240</f>
        <v>9.0006039963607805</v>
      </c>
      <c r="E249" s="1096"/>
      <c r="F249" s="1114">
        <f t="shared" si="8"/>
        <v>73.279499239736239</v>
      </c>
      <c r="G249" s="1096"/>
      <c r="H249" s="1096"/>
      <c r="I249" s="1096"/>
      <c r="J249" s="1096"/>
      <c r="K249" s="1096"/>
      <c r="L249" s="1096"/>
      <c r="M249" s="1096"/>
      <c r="N249" s="1096"/>
      <c r="O249" s="1096"/>
      <c r="P249" s="1096"/>
      <c r="Q249" s="1096"/>
      <c r="R249" s="1096"/>
      <c r="S249" s="1096"/>
      <c r="T249" s="1096"/>
      <c r="U249" s="1096"/>
      <c r="V249" s="1096"/>
      <c r="W249" s="1096"/>
      <c r="X249" s="1096"/>
      <c r="Y249" s="1096"/>
      <c r="Z249" s="1096"/>
      <c r="AA249" s="1096"/>
      <c r="AB249" s="1096"/>
      <c r="AC249" s="1096"/>
      <c r="AD249" s="1096"/>
      <c r="AE249" s="1096"/>
      <c r="AF249" s="1096"/>
      <c r="AG249" s="1096"/>
      <c r="AH249" s="1096"/>
      <c r="AI249" s="1096"/>
      <c r="AJ249" s="1096"/>
      <c r="AK249" s="1096"/>
      <c r="AL249" s="1096"/>
      <c r="AM249" s="1096"/>
      <c r="AN249" s="1096"/>
      <c r="AO249" s="1096"/>
      <c r="AP249" s="1096"/>
      <c r="AQ249" s="1096"/>
      <c r="AR249" s="1096"/>
      <c r="AS249" s="1096"/>
      <c r="AT249" s="1096"/>
      <c r="AU249" s="1096"/>
      <c r="AV249" s="1096"/>
      <c r="AW249" s="1096"/>
      <c r="AX249" s="1096"/>
      <c r="AY249" s="1096"/>
    </row>
    <row r="250" spans="1:51" x14ac:dyDescent="0.45">
      <c r="A250" s="1096">
        <v>1959</v>
      </c>
      <c r="B250" s="1096" t="s">
        <v>1381</v>
      </c>
      <c r="C250" s="1113">
        <f>[7]LRAll!C241</f>
        <v>12.372549732518127</v>
      </c>
      <c r="D250" s="1113">
        <f>[7]LRAll!I241</f>
        <v>9.5220293615688458</v>
      </c>
      <c r="E250" s="1096"/>
      <c r="F250" s="1114">
        <f t="shared" si="8"/>
        <v>76.960930183554581</v>
      </c>
      <c r="G250" s="1096"/>
      <c r="H250" s="1096"/>
      <c r="I250" s="1096"/>
      <c r="J250" s="1096"/>
      <c r="K250" s="1096"/>
      <c r="L250" s="1096"/>
      <c r="M250" s="1096"/>
      <c r="N250" s="1096"/>
      <c r="O250" s="1096"/>
      <c r="P250" s="1096"/>
      <c r="Q250" s="1096"/>
      <c r="R250" s="1096"/>
      <c r="S250" s="1096"/>
      <c r="T250" s="1096"/>
      <c r="U250" s="1096"/>
      <c r="V250" s="1096"/>
      <c r="W250" s="1096"/>
      <c r="X250" s="1096"/>
      <c r="Y250" s="1096"/>
      <c r="Z250" s="1096"/>
      <c r="AA250" s="1096"/>
      <c r="AB250" s="1096"/>
      <c r="AC250" s="1096"/>
      <c r="AD250" s="1096"/>
      <c r="AE250" s="1096"/>
      <c r="AF250" s="1096"/>
      <c r="AG250" s="1096"/>
      <c r="AH250" s="1096"/>
      <c r="AI250" s="1096"/>
      <c r="AJ250" s="1096"/>
      <c r="AK250" s="1096"/>
      <c r="AL250" s="1096"/>
      <c r="AM250" s="1096"/>
      <c r="AN250" s="1096"/>
      <c r="AO250" s="1096"/>
      <c r="AP250" s="1096"/>
      <c r="AQ250" s="1096"/>
      <c r="AR250" s="1096"/>
      <c r="AS250" s="1096"/>
      <c r="AT250" s="1096"/>
      <c r="AU250" s="1096"/>
      <c r="AV250" s="1096"/>
      <c r="AW250" s="1096"/>
      <c r="AX250" s="1096"/>
      <c r="AY250" s="1096"/>
    </row>
    <row r="251" spans="1:51" x14ac:dyDescent="0.45">
      <c r="A251" s="1096">
        <v>1959</v>
      </c>
      <c r="B251" s="1096" t="s">
        <v>1383</v>
      </c>
      <c r="C251" s="1113">
        <f>[7]LRAll!C242</f>
        <v>12.395045277486343</v>
      </c>
      <c r="D251" s="1113">
        <f>[7]LRAll!I242</f>
        <v>9.5460951476553735</v>
      </c>
      <c r="E251" s="1096"/>
      <c r="F251" s="1114">
        <f t="shared" si="8"/>
        <v>77.015411674165961</v>
      </c>
      <c r="G251" s="1096"/>
      <c r="H251" s="1096"/>
      <c r="I251" s="1096"/>
      <c r="J251" s="1096"/>
      <c r="K251" s="1096"/>
      <c r="L251" s="1096"/>
      <c r="M251" s="1096"/>
      <c r="N251" s="1096"/>
      <c r="O251" s="1096"/>
      <c r="P251" s="1096"/>
      <c r="Q251" s="1096"/>
      <c r="R251" s="1096"/>
      <c r="S251" s="1096"/>
      <c r="T251" s="1096"/>
      <c r="U251" s="1096"/>
      <c r="V251" s="1096"/>
      <c r="W251" s="1096"/>
      <c r="X251" s="1096"/>
      <c r="Y251" s="1096"/>
      <c r="Z251" s="1096"/>
      <c r="AA251" s="1096"/>
      <c r="AB251" s="1096"/>
      <c r="AC251" s="1096"/>
      <c r="AD251" s="1096"/>
      <c r="AE251" s="1096"/>
      <c r="AF251" s="1096"/>
      <c r="AG251" s="1096"/>
      <c r="AH251" s="1096"/>
      <c r="AI251" s="1096"/>
      <c r="AJ251" s="1096"/>
      <c r="AK251" s="1096"/>
      <c r="AL251" s="1096"/>
      <c r="AM251" s="1096"/>
      <c r="AN251" s="1096"/>
      <c r="AO251" s="1096"/>
      <c r="AP251" s="1096"/>
      <c r="AQ251" s="1096"/>
      <c r="AR251" s="1096"/>
      <c r="AS251" s="1096"/>
      <c r="AT251" s="1096"/>
      <c r="AU251" s="1096"/>
      <c r="AV251" s="1096"/>
      <c r="AW251" s="1096"/>
      <c r="AX251" s="1096"/>
      <c r="AY251" s="1096"/>
    </row>
    <row r="252" spans="1:51" x14ac:dyDescent="0.45">
      <c r="A252" s="1096">
        <v>1960</v>
      </c>
      <c r="B252" s="1096" t="s">
        <v>1385</v>
      </c>
      <c r="C252" s="1113">
        <f>[7]LRAll!C243</f>
        <v>12.361301960034021</v>
      </c>
      <c r="D252" s="1113">
        <f>[7]LRAll!I243</f>
        <v>9.5460951476553735</v>
      </c>
      <c r="E252" s="1096"/>
      <c r="F252" s="1114">
        <f t="shared" si="8"/>
        <v>77.225644827052676</v>
      </c>
      <c r="G252" s="1096"/>
      <c r="H252" s="1096"/>
      <c r="I252" s="1096"/>
      <c r="J252" s="1096"/>
      <c r="K252" s="1096"/>
      <c r="L252" s="1096"/>
      <c r="M252" s="1096"/>
      <c r="N252" s="1096"/>
      <c r="O252" s="1096"/>
      <c r="P252" s="1096"/>
      <c r="Q252" s="1096"/>
      <c r="R252" s="1096"/>
      <c r="S252" s="1096"/>
      <c r="T252" s="1096"/>
      <c r="U252" s="1096"/>
      <c r="V252" s="1096"/>
      <c r="W252" s="1096"/>
      <c r="X252" s="1096"/>
      <c r="Y252" s="1096"/>
      <c r="Z252" s="1096"/>
      <c r="AA252" s="1096"/>
      <c r="AB252" s="1096"/>
      <c r="AC252" s="1096"/>
      <c r="AD252" s="1096"/>
      <c r="AE252" s="1096"/>
      <c r="AF252" s="1096"/>
      <c r="AG252" s="1096"/>
      <c r="AH252" s="1096"/>
      <c r="AI252" s="1096"/>
      <c r="AJ252" s="1096"/>
      <c r="AK252" s="1096"/>
      <c r="AL252" s="1096"/>
      <c r="AM252" s="1096"/>
      <c r="AN252" s="1096"/>
      <c r="AO252" s="1096"/>
      <c r="AP252" s="1096"/>
      <c r="AQ252" s="1096"/>
      <c r="AR252" s="1096"/>
      <c r="AS252" s="1096"/>
      <c r="AT252" s="1096"/>
      <c r="AU252" s="1096"/>
      <c r="AV252" s="1096"/>
      <c r="AW252" s="1096"/>
      <c r="AX252" s="1096"/>
      <c r="AY252" s="1096"/>
    </row>
    <row r="253" spans="1:51" x14ac:dyDescent="0.45">
      <c r="A253" s="1096">
        <v>1960</v>
      </c>
      <c r="B253" s="1096" t="s">
        <v>1387</v>
      </c>
      <c r="C253" s="1113">
        <f>[7]LRAll!C244</f>
        <v>12.361301960034021</v>
      </c>
      <c r="D253" s="1113">
        <f>[7]LRAll!I244</f>
        <v>9.5460951476553735</v>
      </c>
      <c r="E253" s="1096"/>
      <c r="F253" s="1114">
        <f t="shared" si="8"/>
        <v>77.225644827052676</v>
      </c>
      <c r="G253" s="1096"/>
      <c r="H253" s="1096"/>
      <c r="I253" s="1096"/>
      <c r="J253" s="1096"/>
      <c r="K253" s="1096"/>
      <c r="L253" s="1096"/>
      <c r="M253" s="1096"/>
      <c r="N253" s="1096"/>
      <c r="O253" s="1096"/>
      <c r="P253" s="1096"/>
      <c r="Q253" s="1096"/>
      <c r="R253" s="1096"/>
      <c r="S253" s="1096"/>
      <c r="T253" s="1096"/>
      <c r="U253" s="1096"/>
      <c r="V253" s="1096"/>
      <c r="W253" s="1096"/>
      <c r="X253" s="1096"/>
      <c r="Y253" s="1096"/>
      <c r="Z253" s="1096"/>
      <c r="AA253" s="1096"/>
      <c r="AB253" s="1096"/>
      <c r="AC253" s="1096"/>
      <c r="AD253" s="1096"/>
      <c r="AE253" s="1096"/>
      <c r="AF253" s="1096"/>
      <c r="AG253" s="1096"/>
      <c r="AH253" s="1096"/>
      <c r="AI253" s="1096"/>
      <c r="AJ253" s="1096"/>
      <c r="AK253" s="1096"/>
      <c r="AL253" s="1096"/>
      <c r="AM253" s="1096"/>
      <c r="AN253" s="1096"/>
      <c r="AO253" s="1096"/>
      <c r="AP253" s="1096"/>
      <c r="AQ253" s="1096"/>
      <c r="AR253" s="1096"/>
      <c r="AS253" s="1096"/>
      <c r="AT253" s="1096"/>
      <c r="AU253" s="1096"/>
      <c r="AV253" s="1096"/>
      <c r="AW253" s="1096"/>
      <c r="AX253" s="1096"/>
      <c r="AY253" s="1096"/>
    </row>
    <row r="254" spans="1:51" x14ac:dyDescent="0.45">
      <c r="A254" s="1096">
        <v>1960</v>
      </c>
      <c r="B254" s="1096" t="s">
        <v>1389</v>
      </c>
      <c r="C254" s="1113">
        <f>[7]LRAll!C245</f>
        <v>12.338806415065806</v>
      </c>
      <c r="D254" s="1113">
        <f>[7]LRAll!I245</f>
        <v>9.5541170763508809</v>
      </c>
      <c r="E254" s="1096"/>
      <c r="F254" s="1114">
        <f t="shared" si="8"/>
        <v>77.431452889034773</v>
      </c>
      <c r="G254" s="1096"/>
      <c r="H254" s="1096"/>
      <c r="I254" s="1096"/>
      <c r="J254" s="1096"/>
      <c r="K254" s="1096"/>
      <c r="L254" s="1096"/>
      <c r="M254" s="1096"/>
      <c r="N254" s="1096"/>
      <c r="O254" s="1096"/>
      <c r="P254" s="1096"/>
      <c r="Q254" s="1096"/>
      <c r="R254" s="1096"/>
      <c r="S254" s="1096"/>
      <c r="T254" s="1096"/>
      <c r="U254" s="1096"/>
      <c r="V254" s="1096"/>
      <c r="W254" s="1096"/>
      <c r="X254" s="1096"/>
      <c r="Y254" s="1096"/>
      <c r="Z254" s="1096"/>
      <c r="AA254" s="1096"/>
      <c r="AB254" s="1096"/>
      <c r="AC254" s="1096"/>
      <c r="AD254" s="1096"/>
      <c r="AE254" s="1096"/>
      <c r="AF254" s="1096"/>
      <c r="AG254" s="1096"/>
      <c r="AH254" s="1096"/>
      <c r="AI254" s="1096"/>
      <c r="AJ254" s="1096"/>
      <c r="AK254" s="1096"/>
      <c r="AL254" s="1096"/>
      <c r="AM254" s="1096"/>
      <c r="AN254" s="1096"/>
      <c r="AO254" s="1096"/>
      <c r="AP254" s="1096"/>
      <c r="AQ254" s="1096"/>
      <c r="AR254" s="1096"/>
      <c r="AS254" s="1096"/>
      <c r="AT254" s="1096"/>
      <c r="AU254" s="1096"/>
      <c r="AV254" s="1096"/>
      <c r="AW254" s="1096"/>
      <c r="AX254" s="1096"/>
      <c r="AY254" s="1096"/>
    </row>
    <row r="255" spans="1:51" x14ac:dyDescent="0.45">
      <c r="A255" s="1096">
        <v>1960</v>
      </c>
      <c r="B255" s="1096" t="s">
        <v>1391</v>
      </c>
      <c r="C255" s="1113">
        <f>[7]LRAll!C246</f>
        <v>12.406293049970447</v>
      </c>
      <c r="D255" s="1113">
        <f>[7]LRAll!I246</f>
        <v>9.5460951476553735</v>
      </c>
      <c r="E255" s="1096"/>
      <c r="F255" s="1114">
        <f t="shared" si="8"/>
        <v>76.945588091505812</v>
      </c>
      <c r="G255" s="1096"/>
      <c r="H255" s="1096"/>
      <c r="I255" s="1096"/>
      <c r="J255" s="1096"/>
      <c r="K255" s="1096"/>
      <c r="L255" s="1096"/>
      <c r="M255" s="1096"/>
      <c r="N255" s="1096"/>
      <c r="O255" s="1096"/>
      <c r="P255" s="1096"/>
      <c r="Q255" s="1096"/>
      <c r="R255" s="1096"/>
      <c r="S255" s="1096"/>
      <c r="T255" s="1096"/>
      <c r="U255" s="1096"/>
      <c r="V255" s="1096"/>
      <c r="W255" s="1096"/>
      <c r="X255" s="1096"/>
      <c r="Y255" s="1096"/>
      <c r="Z255" s="1096"/>
      <c r="AA255" s="1096"/>
      <c r="AB255" s="1096"/>
      <c r="AC255" s="1096"/>
      <c r="AD255" s="1096"/>
      <c r="AE255" s="1096"/>
      <c r="AF255" s="1096"/>
      <c r="AG255" s="1096"/>
      <c r="AH255" s="1096"/>
      <c r="AI255" s="1096"/>
      <c r="AJ255" s="1096"/>
      <c r="AK255" s="1096"/>
      <c r="AL255" s="1096"/>
      <c r="AM255" s="1096"/>
      <c r="AN255" s="1096"/>
      <c r="AO255" s="1096"/>
      <c r="AP255" s="1096"/>
      <c r="AQ255" s="1096"/>
      <c r="AR255" s="1096"/>
      <c r="AS255" s="1096"/>
      <c r="AT255" s="1096"/>
      <c r="AU255" s="1096"/>
      <c r="AV255" s="1096"/>
      <c r="AW255" s="1096"/>
      <c r="AX255" s="1096"/>
      <c r="AY255" s="1096"/>
    </row>
    <row r="256" spans="1:51" x14ac:dyDescent="0.45">
      <c r="A256" s="1096">
        <v>1960</v>
      </c>
      <c r="B256" s="1096" t="s">
        <v>1393</v>
      </c>
      <c r="C256" s="1113">
        <f>[7]LRAll!C247</f>
        <v>12.406293049970447</v>
      </c>
      <c r="D256" s="1113">
        <f>[7]LRAll!I247</f>
        <v>9.0086259250562897</v>
      </c>
      <c r="E256" s="1096"/>
      <c r="F256" s="1114">
        <f t="shared" si="8"/>
        <v>72.613357501479854</v>
      </c>
      <c r="G256" s="1096"/>
      <c r="H256" s="1096"/>
      <c r="I256" s="1096"/>
      <c r="J256" s="1096"/>
      <c r="K256" s="1096"/>
      <c r="L256" s="1096"/>
      <c r="M256" s="1096"/>
      <c r="N256" s="1096"/>
      <c r="O256" s="1096"/>
      <c r="P256" s="1096"/>
      <c r="Q256" s="1096"/>
      <c r="R256" s="1096"/>
      <c r="S256" s="1096"/>
      <c r="T256" s="1096"/>
      <c r="U256" s="1096"/>
      <c r="V256" s="1096"/>
      <c r="W256" s="1096"/>
      <c r="X256" s="1096"/>
      <c r="Y256" s="1096"/>
      <c r="Z256" s="1096"/>
      <c r="AA256" s="1096"/>
      <c r="AB256" s="1096"/>
      <c r="AC256" s="1096"/>
      <c r="AD256" s="1096"/>
      <c r="AE256" s="1096"/>
      <c r="AF256" s="1096"/>
      <c r="AG256" s="1096"/>
      <c r="AH256" s="1096"/>
      <c r="AI256" s="1096"/>
      <c r="AJ256" s="1096"/>
      <c r="AK256" s="1096"/>
      <c r="AL256" s="1096"/>
      <c r="AM256" s="1096"/>
      <c r="AN256" s="1096"/>
      <c r="AO256" s="1096"/>
      <c r="AP256" s="1096"/>
      <c r="AQ256" s="1096"/>
      <c r="AR256" s="1096"/>
      <c r="AS256" s="1096"/>
      <c r="AT256" s="1096"/>
      <c r="AU256" s="1096"/>
      <c r="AV256" s="1096"/>
      <c r="AW256" s="1096"/>
      <c r="AX256" s="1096"/>
      <c r="AY256" s="1096"/>
    </row>
    <row r="257" spans="1:51" x14ac:dyDescent="0.45">
      <c r="A257" s="1096">
        <v>1960</v>
      </c>
      <c r="B257" s="1096" t="s">
        <v>1371</v>
      </c>
      <c r="C257" s="1113">
        <f>[7]LRAll!C248</f>
        <v>12.473779684875094</v>
      </c>
      <c r="D257" s="1113">
        <f>[7]LRAll!I248</f>
        <v>9.0166478537517971</v>
      </c>
      <c r="E257" s="1096"/>
      <c r="F257" s="1114">
        <f t="shared" si="8"/>
        <v>72.284809268234923</v>
      </c>
      <c r="G257" s="1096"/>
      <c r="H257" s="1096"/>
      <c r="I257" s="1096"/>
      <c r="J257" s="1096"/>
      <c r="K257" s="1096"/>
      <c r="L257" s="1096"/>
      <c r="M257" s="1096"/>
      <c r="N257" s="1096"/>
      <c r="O257" s="1096"/>
      <c r="P257" s="1096"/>
      <c r="Q257" s="1096"/>
      <c r="R257" s="1096"/>
      <c r="S257" s="1096"/>
      <c r="T257" s="1096"/>
      <c r="U257" s="1096"/>
      <c r="V257" s="1096"/>
      <c r="W257" s="1096"/>
      <c r="X257" s="1096"/>
      <c r="Y257" s="1096"/>
      <c r="Z257" s="1096"/>
      <c r="AA257" s="1096"/>
      <c r="AB257" s="1096"/>
      <c r="AC257" s="1096"/>
      <c r="AD257" s="1096"/>
      <c r="AE257" s="1096"/>
      <c r="AF257" s="1096"/>
      <c r="AG257" s="1096"/>
      <c r="AH257" s="1096"/>
      <c r="AI257" s="1096"/>
      <c r="AJ257" s="1096"/>
      <c r="AK257" s="1096"/>
      <c r="AL257" s="1096"/>
      <c r="AM257" s="1096"/>
      <c r="AN257" s="1096"/>
      <c r="AO257" s="1096"/>
      <c r="AP257" s="1096"/>
      <c r="AQ257" s="1096"/>
      <c r="AR257" s="1096"/>
      <c r="AS257" s="1096"/>
      <c r="AT257" s="1096"/>
      <c r="AU257" s="1096"/>
      <c r="AV257" s="1096"/>
      <c r="AW257" s="1096"/>
      <c r="AX257" s="1096"/>
      <c r="AY257" s="1096"/>
    </row>
    <row r="258" spans="1:51" x14ac:dyDescent="0.45">
      <c r="A258" s="1096">
        <v>1960</v>
      </c>
      <c r="B258" s="1096" t="s">
        <v>1373</v>
      </c>
      <c r="C258" s="1113">
        <f>[7]LRAll!C249</f>
        <v>12.496275229843308</v>
      </c>
      <c r="D258" s="1113">
        <f>[7]LRAll!I249</f>
        <v>9.0166478537517971</v>
      </c>
      <c r="E258" s="1096"/>
      <c r="F258" s="1114">
        <f t="shared" si="8"/>
        <v>72.154683598985187</v>
      </c>
      <c r="G258" s="1096"/>
      <c r="H258" s="1096"/>
      <c r="I258" s="1096"/>
      <c r="J258" s="1096"/>
      <c r="K258" s="1096"/>
      <c r="L258" s="1096"/>
      <c r="M258" s="1096"/>
      <c r="N258" s="1096"/>
      <c r="O258" s="1096"/>
      <c r="P258" s="1096"/>
      <c r="Q258" s="1096"/>
      <c r="R258" s="1096"/>
      <c r="S258" s="1096"/>
      <c r="T258" s="1096"/>
      <c r="U258" s="1096"/>
      <c r="V258" s="1096"/>
      <c r="W258" s="1096"/>
      <c r="X258" s="1096"/>
      <c r="Y258" s="1096"/>
      <c r="Z258" s="1096"/>
      <c r="AA258" s="1096"/>
      <c r="AB258" s="1096"/>
      <c r="AC258" s="1096"/>
      <c r="AD258" s="1096"/>
      <c r="AE258" s="1096"/>
      <c r="AF258" s="1096"/>
      <c r="AG258" s="1096"/>
      <c r="AH258" s="1096"/>
      <c r="AI258" s="1096"/>
      <c r="AJ258" s="1096"/>
      <c r="AK258" s="1096"/>
      <c r="AL258" s="1096"/>
      <c r="AM258" s="1096"/>
      <c r="AN258" s="1096"/>
      <c r="AO258" s="1096"/>
      <c r="AP258" s="1096"/>
      <c r="AQ258" s="1096"/>
      <c r="AR258" s="1096"/>
      <c r="AS258" s="1096"/>
      <c r="AT258" s="1096"/>
      <c r="AU258" s="1096"/>
      <c r="AV258" s="1096"/>
      <c r="AW258" s="1096"/>
      <c r="AX258" s="1096"/>
      <c r="AY258" s="1096"/>
    </row>
    <row r="259" spans="1:51" x14ac:dyDescent="0.45">
      <c r="A259" s="1096">
        <v>1960</v>
      </c>
      <c r="B259" s="1096" t="s">
        <v>1375</v>
      </c>
      <c r="C259" s="1113">
        <f>[7]LRAll!C250</f>
        <v>12.417540822454558</v>
      </c>
      <c r="D259" s="1113">
        <f>[7]LRAll!I250</f>
        <v>9.0567574972293414</v>
      </c>
      <c r="E259" s="1096"/>
      <c r="F259" s="1114">
        <f t="shared" si="8"/>
        <v>72.935194067186529</v>
      </c>
      <c r="G259" s="1096"/>
      <c r="H259" s="1096"/>
      <c r="I259" s="1096"/>
      <c r="J259" s="1096"/>
      <c r="K259" s="1096"/>
      <c r="L259" s="1096"/>
      <c r="M259" s="1096"/>
      <c r="N259" s="1096"/>
      <c r="O259" s="1096"/>
      <c r="P259" s="1096"/>
      <c r="Q259" s="1096"/>
      <c r="R259" s="1096"/>
      <c r="S259" s="1096"/>
      <c r="T259" s="1096"/>
      <c r="U259" s="1096"/>
      <c r="V259" s="1096"/>
      <c r="W259" s="1096"/>
      <c r="X259" s="1096"/>
      <c r="Y259" s="1096"/>
      <c r="Z259" s="1096"/>
      <c r="AA259" s="1096"/>
      <c r="AB259" s="1096"/>
      <c r="AC259" s="1096"/>
      <c r="AD259" s="1096"/>
      <c r="AE259" s="1096"/>
      <c r="AF259" s="1096"/>
      <c r="AG259" s="1096"/>
      <c r="AH259" s="1096"/>
      <c r="AI259" s="1096"/>
      <c r="AJ259" s="1096"/>
      <c r="AK259" s="1096"/>
      <c r="AL259" s="1096"/>
      <c r="AM259" s="1096"/>
      <c r="AN259" s="1096"/>
      <c r="AO259" s="1096"/>
      <c r="AP259" s="1096"/>
      <c r="AQ259" s="1096"/>
      <c r="AR259" s="1096"/>
      <c r="AS259" s="1096"/>
      <c r="AT259" s="1096"/>
      <c r="AU259" s="1096"/>
      <c r="AV259" s="1096"/>
      <c r="AW259" s="1096"/>
      <c r="AX259" s="1096"/>
      <c r="AY259" s="1096"/>
    </row>
    <row r="260" spans="1:51" x14ac:dyDescent="0.45">
      <c r="A260" s="1096">
        <v>1960</v>
      </c>
      <c r="B260" s="1096" t="s">
        <v>1377</v>
      </c>
      <c r="C260" s="1113">
        <f>[7]LRAll!C251</f>
        <v>12.428788594938665</v>
      </c>
      <c r="D260" s="1113">
        <f>[7]LRAll!I251</f>
        <v>9.1048890694023932</v>
      </c>
      <c r="E260" s="1096"/>
      <c r="F260" s="1114">
        <f t="shared" si="8"/>
        <v>73.256448123272037</v>
      </c>
      <c r="G260" s="1096"/>
      <c r="H260" s="1096"/>
      <c r="I260" s="1096"/>
      <c r="J260" s="1096"/>
      <c r="K260" s="1096"/>
      <c r="L260" s="1096"/>
      <c r="M260" s="1096"/>
      <c r="N260" s="1096"/>
      <c r="O260" s="1096"/>
      <c r="P260" s="1096"/>
      <c r="Q260" s="1096"/>
      <c r="R260" s="1096"/>
      <c r="S260" s="1096"/>
      <c r="T260" s="1096"/>
      <c r="U260" s="1096"/>
      <c r="V260" s="1096"/>
      <c r="W260" s="1096"/>
      <c r="X260" s="1096"/>
      <c r="Y260" s="1096"/>
      <c r="Z260" s="1096"/>
      <c r="AA260" s="1096"/>
      <c r="AB260" s="1096"/>
      <c r="AC260" s="1096"/>
      <c r="AD260" s="1096"/>
      <c r="AE260" s="1096"/>
      <c r="AF260" s="1096"/>
      <c r="AG260" s="1096"/>
      <c r="AH260" s="1096"/>
      <c r="AI260" s="1096"/>
      <c r="AJ260" s="1096"/>
      <c r="AK260" s="1096"/>
      <c r="AL260" s="1096"/>
      <c r="AM260" s="1096"/>
      <c r="AN260" s="1096"/>
      <c r="AO260" s="1096"/>
      <c r="AP260" s="1096"/>
      <c r="AQ260" s="1096"/>
      <c r="AR260" s="1096"/>
      <c r="AS260" s="1096"/>
      <c r="AT260" s="1096"/>
      <c r="AU260" s="1096"/>
      <c r="AV260" s="1096"/>
      <c r="AW260" s="1096"/>
      <c r="AX260" s="1096"/>
      <c r="AY260" s="1096"/>
    </row>
    <row r="261" spans="1:51" x14ac:dyDescent="0.45">
      <c r="A261" s="1096">
        <v>1960</v>
      </c>
      <c r="B261" s="1096" t="s">
        <v>1379</v>
      </c>
      <c r="C261" s="1113">
        <f>[7]LRAll!C252</f>
        <v>12.530018547295633</v>
      </c>
      <c r="D261" s="1113">
        <f>[7]LRAll!I252</f>
        <v>9.4337881459182498</v>
      </c>
      <c r="E261" s="1096"/>
      <c r="F261" s="1114">
        <f t="shared" si="8"/>
        <v>75.289498657241452</v>
      </c>
      <c r="G261" s="1096"/>
      <c r="H261" s="1096"/>
      <c r="I261" s="1096"/>
      <c r="J261" s="1096"/>
      <c r="K261" s="1096"/>
      <c r="L261" s="1096"/>
      <c r="M261" s="1096"/>
      <c r="N261" s="1096"/>
      <c r="O261" s="1096"/>
      <c r="P261" s="1096"/>
      <c r="Q261" s="1096"/>
      <c r="R261" s="1096"/>
      <c r="S261" s="1096"/>
      <c r="T261" s="1096"/>
      <c r="U261" s="1096"/>
      <c r="V261" s="1096"/>
      <c r="W261" s="1096"/>
      <c r="X261" s="1096"/>
      <c r="Y261" s="1096"/>
      <c r="Z261" s="1096"/>
      <c r="AA261" s="1096"/>
      <c r="AB261" s="1096"/>
      <c r="AC261" s="1096"/>
      <c r="AD261" s="1096"/>
      <c r="AE261" s="1096"/>
      <c r="AF261" s="1096"/>
      <c r="AG261" s="1096"/>
      <c r="AH261" s="1096"/>
      <c r="AI261" s="1096"/>
      <c r="AJ261" s="1096"/>
      <c r="AK261" s="1096"/>
      <c r="AL261" s="1096"/>
      <c r="AM261" s="1096"/>
      <c r="AN261" s="1096"/>
      <c r="AO261" s="1096"/>
      <c r="AP261" s="1096"/>
      <c r="AQ261" s="1096"/>
      <c r="AR261" s="1096"/>
      <c r="AS261" s="1096"/>
      <c r="AT261" s="1096"/>
      <c r="AU261" s="1096"/>
      <c r="AV261" s="1096"/>
      <c r="AW261" s="1096"/>
      <c r="AX261" s="1096"/>
      <c r="AY261" s="1096"/>
    </row>
    <row r="262" spans="1:51" x14ac:dyDescent="0.45">
      <c r="A262" s="1096">
        <v>1960</v>
      </c>
      <c r="B262" s="1096" t="s">
        <v>1381</v>
      </c>
      <c r="C262" s="1113">
        <f>[7]LRAll!C253</f>
        <v>12.586257409716168</v>
      </c>
      <c r="D262" s="1113">
        <f>[7]LRAll!I253</f>
        <v>10.00334508329937</v>
      </c>
      <c r="E262" s="1096"/>
      <c r="F262" s="1114">
        <f t="shared" si="8"/>
        <v>79.478313192427834</v>
      </c>
      <c r="G262" s="1096"/>
      <c r="H262" s="1096"/>
      <c r="I262" s="1096"/>
      <c r="J262" s="1096"/>
      <c r="K262" s="1096"/>
      <c r="L262" s="1096"/>
      <c r="M262" s="1096"/>
      <c r="N262" s="1096"/>
      <c r="O262" s="1096"/>
      <c r="P262" s="1096"/>
      <c r="Q262" s="1096"/>
      <c r="R262" s="1096"/>
      <c r="S262" s="1096"/>
      <c r="T262" s="1096"/>
      <c r="U262" s="1096"/>
      <c r="V262" s="1096"/>
      <c r="W262" s="1096"/>
      <c r="X262" s="1096"/>
      <c r="Y262" s="1096"/>
      <c r="Z262" s="1096"/>
      <c r="AA262" s="1096"/>
      <c r="AB262" s="1096"/>
      <c r="AC262" s="1096"/>
      <c r="AD262" s="1096"/>
      <c r="AE262" s="1096"/>
      <c r="AF262" s="1096"/>
      <c r="AG262" s="1096"/>
      <c r="AH262" s="1096"/>
      <c r="AI262" s="1096"/>
      <c r="AJ262" s="1096"/>
      <c r="AK262" s="1096"/>
      <c r="AL262" s="1096"/>
      <c r="AM262" s="1096"/>
      <c r="AN262" s="1096"/>
      <c r="AO262" s="1096"/>
      <c r="AP262" s="1096"/>
      <c r="AQ262" s="1096"/>
      <c r="AR262" s="1096"/>
      <c r="AS262" s="1096"/>
      <c r="AT262" s="1096"/>
      <c r="AU262" s="1096"/>
      <c r="AV262" s="1096"/>
      <c r="AW262" s="1096"/>
      <c r="AX262" s="1096"/>
      <c r="AY262" s="1096"/>
    </row>
    <row r="263" spans="1:51" x14ac:dyDescent="0.45">
      <c r="A263" s="1096">
        <v>1960</v>
      </c>
      <c r="B263" s="1096" t="s">
        <v>1383</v>
      </c>
      <c r="C263" s="1113">
        <f>[7]LRAll!C254</f>
        <v>12.62000072716849</v>
      </c>
      <c r="D263" s="1113">
        <f>[7]LRAll!I254</f>
        <v>10.05949858416793</v>
      </c>
      <c r="E263" s="1096"/>
      <c r="F263" s="1114">
        <f t="shared" si="8"/>
        <v>79.710760733251945</v>
      </c>
      <c r="G263" s="1096"/>
      <c r="H263" s="1096"/>
      <c r="I263" s="1096"/>
      <c r="J263" s="1096"/>
      <c r="K263" s="1096"/>
      <c r="L263" s="1096"/>
      <c r="M263" s="1096"/>
      <c r="N263" s="1096"/>
      <c r="O263" s="1096"/>
      <c r="P263" s="1096"/>
      <c r="Q263" s="1096"/>
      <c r="R263" s="1096"/>
      <c r="S263" s="1096"/>
      <c r="T263" s="1096"/>
      <c r="U263" s="1096"/>
      <c r="V263" s="1096"/>
      <c r="W263" s="1096"/>
      <c r="X263" s="1096"/>
      <c r="Y263" s="1096"/>
      <c r="Z263" s="1096"/>
      <c r="AA263" s="1096"/>
      <c r="AB263" s="1096"/>
      <c r="AC263" s="1096"/>
      <c r="AD263" s="1096"/>
      <c r="AE263" s="1096"/>
      <c r="AF263" s="1096"/>
      <c r="AG263" s="1096"/>
      <c r="AH263" s="1096"/>
      <c r="AI263" s="1096"/>
      <c r="AJ263" s="1096"/>
      <c r="AK263" s="1096"/>
      <c r="AL263" s="1096"/>
      <c r="AM263" s="1096"/>
      <c r="AN263" s="1096"/>
      <c r="AO263" s="1096"/>
      <c r="AP263" s="1096"/>
      <c r="AQ263" s="1096"/>
      <c r="AR263" s="1096"/>
      <c r="AS263" s="1096"/>
      <c r="AT263" s="1096"/>
      <c r="AU263" s="1096"/>
      <c r="AV263" s="1096"/>
      <c r="AW263" s="1096"/>
      <c r="AX263" s="1096"/>
      <c r="AY263" s="1096"/>
    </row>
    <row r="264" spans="1:51" x14ac:dyDescent="0.45">
      <c r="A264" s="1096">
        <v>1961</v>
      </c>
      <c r="B264" s="1096" t="s">
        <v>1385</v>
      </c>
      <c r="C264" s="1113">
        <f>[7]LRAll!C255</f>
        <v>12.631248499652596</v>
      </c>
      <c r="D264" s="1113">
        <f>[7]LRAll!I255</f>
        <v>10.091586298949965</v>
      </c>
      <c r="E264" s="1096"/>
      <c r="F264" s="1114">
        <f t="shared" si="8"/>
        <v>79.893814924372037</v>
      </c>
      <c r="G264" s="1096"/>
      <c r="H264" s="1096"/>
      <c r="I264" s="1096"/>
      <c r="J264" s="1096"/>
      <c r="K264" s="1096"/>
      <c r="L264" s="1096"/>
      <c r="M264" s="1096"/>
      <c r="N264" s="1096"/>
      <c r="O264" s="1096"/>
      <c r="P264" s="1096"/>
      <c r="Q264" s="1096"/>
      <c r="R264" s="1096"/>
      <c r="S264" s="1096"/>
      <c r="T264" s="1096"/>
      <c r="U264" s="1096"/>
      <c r="V264" s="1096"/>
      <c r="W264" s="1096"/>
      <c r="X264" s="1096"/>
      <c r="Y264" s="1096"/>
      <c r="Z264" s="1096"/>
      <c r="AA264" s="1096"/>
      <c r="AB264" s="1096"/>
      <c r="AC264" s="1096"/>
      <c r="AD264" s="1096"/>
      <c r="AE264" s="1096"/>
      <c r="AF264" s="1096"/>
      <c r="AG264" s="1096"/>
      <c r="AH264" s="1096"/>
      <c r="AI264" s="1096"/>
      <c r="AJ264" s="1096"/>
      <c r="AK264" s="1096"/>
      <c r="AL264" s="1096"/>
      <c r="AM264" s="1096"/>
      <c r="AN264" s="1096"/>
      <c r="AO264" s="1096"/>
      <c r="AP264" s="1096"/>
      <c r="AQ264" s="1096"/>
      <c r="AR264" s="1096"/>
      <c r="AS264" s="1096"/>
      <c r="AT264" s="1096"/>
      <c r="AU264" s="1096"/>
      <c r="AV264" s="1096"/>
      <c r="AW264" s="1096"/>
      <c r="AX264" s="1096"/>
      <c r="AY264" s="1096"/>
    </row>
    <row r="265" spans="1:51" x14ac:dyDescent="0.45">
      <c r="A265" s="1096">
        <v>1961</v>
      </c>
      <c r="B265" s="1096" t="s">
        <v>1387</v>
      </c>
      <c r="C265" s="1113">
        <f>[7]LRAll!C256</f>
        <v>12.631248499652596</v>
      </c>
      <c r="D265" s="1113">
        <f>[7]LRAll!I256</f>
        <v>10.115652085036492</v>
      </c>
      <c r="E265" s="1096"/>
      <c r="F265" s="1114">
        <f t="shared" si="8"/>
        <v>80.084340715129699</v>
      </c>
      <c r="G265" s="1096"/>
      <c r="H265" s="1096"/>
      <c r="I265" s="1096"/>
      <c r="J265" s="1096"/>
      <c r="K265" s="1096"/>
      <c r="L265" s="1096"/>
      <c r="M265" s="1096"/>
      <c r="N265" s="1096"/>
      <c r="O265" s="1096"/>
      <c r="P265" s="1096"/>
      <c r="Q265" s="1096"/>
      <c r="R265" s="1096"/>
      <c r="S265" s="1096"/>
      <c r="T265" s="1096"/>
      <c r="U265" s="1096"/>
      <c r="V265" s="1096"/>
      <c r="W265" s="1096"/>
      <c r="X265" s="1096"/>
      <c r="Y265" s="1096"/>
      <c r="Z265" s="1096"/>
      <c r="AA265" s="1096"/>
      <c r="AB265" s="1096"/>
      <c r="AC265" s="1096"/>
      <c r="AD265" s="1096"/>
      <c r="AE265" s="1096"/>
      <c r="AF265" s="1096"/>
      <c r="AG265" s="1096"/>
      <c r="AH265" s="1096"/>
      <c r="AI265" s="1096"/>
      <c r="AJ265" s="1096"/>
      <c r="AK265" s="1096"/>
      <c r="AL265" s="1096"/>
      <c r="AM265" s="1096"/>
      <c r="AN265" s="1096"/>
      <c r="AO265" s="1096"/>
      <c r="AP265" s="1096"/>
      <c r="AQ265" s="1096"/>
      <c r="AR265" s="1096"/>
      <c r="AS265" s="1096"/>
      <c r="AT265" s="1096"/>
      <c r="AU265" s="1096"/>
      <c r="AV265" s="1096"/>
      <c r="AW265" s="1096"/>
      <c r="AX265" s="1096"/>
      <c r="AY265" s="1096"/>
    </row>
    <row r="266" spans="1:51" x14ac:dyDescent="0.45">
      <c r="A266" s="1096">
        <v>1961</v>
      </c>
      <c r="B266" s="1096" t="s">
        <v>1389</v>
      </c>
      <c r="C266" s="1113">
        <f>[7]LRAll!C257</f>
        <v>12.676239589589029</v>
      </c>
      <c r="D266" s="1113">
        <f>[7]LRAll!I257</f>
        <v>10.115652085036492</v>
      </c>
      <c r="E266" s="1096"/>
      <c r="F266" s="1114">
        <f t="shared" si="8"/>
        <v>79.800101706380318</v>
      </c>
      <c r="G266" s="1096"/>
      <c r="H266" s="1096"/>
      <c r="I266" s="1096"/>
      <c r="J266" s="1096"/>
      <c r="K266" s="1096"/>
      <c r="L266" s="1096"/>
      <c r="M266" s="1096"/>
      <c r="N266" s="1096"/>
      <c r="O266" s="1096"/>
      <c r="P266" s="1096"/>
      <c r="Q266" s="1096"/>
      <c r="R266" s="1096"/>
      <c r="S266" s="1096"/>
      <c r="T266" s="1096"/>
      <c r="U266" s="1096"/>
      <c r="V266" s="1096"/>
      <c r="W266" s="1096"/>
      <c r="X266" s="1096"/>
      <c r="Y266" s="1096"/>
      <c r="Z266" s="1096"/>
      <c r="AA266" s="1096"/>
      <c r="AB266" s="1096"/>
      <c r="AC266" s="1096"/>
      <c r="AD266" s="1096"/>
      <c r="AE266" s="1096"/>
      <c r="AF266" s="1096"/>
      <c r="AG266" s="1096"/>
      <c r="AH266" s="1096"/>
      <c r="AI266" s="1096"/>
      <c r="AJ266" s="1096"/>
      <c r="AK266" s="1096"/>
      <c r="AL266" s="1096"/>
      <c r="AM266" s="1096"/>
      <c r="AN266" s="1096"/>
      <c r="AO266" s="1096"/>
      <c r="AP266" s="1096"/>
      <c r="AQ266" s="1096"/>
      <c r="AR266" s="1096"/>
      <c r="AS266" s="1096"/>
      <c r="AT266" s="1096"/>
      <c r="AU266" s="1096"/>
      <c r="AV266" s="1096"/>
      <c r="AW266" s="1096"/>
      <c r="AX266" s="1096"/>
      <c r="AY266" s="1096"/>
    </row>
    <row r="267" spans="1:51" x14ac:dyDescent="0.45">
      <c r="A267" s="1096">
        <v>1961</v>
      </c>
      <c r="B267" s="1096" t="s">
        <v>1391</v>
      </c>
      <c r="C267" s="1113">
        <f>[7]LRAll!C258</f>
        <v>12.74372622449367</v>
      </c>
      <c r="D267" s="1113">
        <f>[7]LRAll!I258</f>
        <v>10.123674013732002</v>
      </c>
      <c r="E267" s="1096"/>
      <c r="F267" s="1114">
        <f t="shared" si="8"/>
        <v>79.440454349012285</v>
      </c>
      <c r="G267" s="1096"/>
      <c r="H267" s="1096"/>
      <c r="I267" s="1096"/>
      <c r="J267" s="1096"/>
      <c r="K267" s="1096"/>
      <c r="L267" s="1096"/>
      <c r="M267" s="1096"/>
      <c r="N267" s="1096"/>
      <c r="O267" s="1096"/>
      <c r="P267" s="1096"/>
      <c r="Q267" s="1096"/>
      <c r="R267" s="1096"/>
      <c r="S267" s="1096"/>
      <c r="T267" s="1096"/>
      <c r="U267" s="1096"/>
      <c r="V267" s="1096"/>
      <c r="W267" s="1096"/>
      <c r="X267" s="1096"/>
      <c r="Y267" s="1096"/>
      <c r="Z267" s="1096"/>
      <c r="AA267" s="1096"/>
      <c r="AB267" s="1096"/>
      <c r="AC267" s="1096"/>
      <c r="AD267" s="1096"/>
      <c r="AE267" s="1096"/>
      <c r="AF267" s="1096"/>
      <c r="AG267" s="1096"/>
      <c r="AH267" s="1096"/>
      <c r="AI267" s="1096"/>
      <c r="AJ267" s="1096"/>
      <c r="AK267" s="1096"/>
      <c r="AL267" s="1096"/>
      <c r="AM267" s="1096"/>
      <c r="AN267" s="1096"/>
      <c r="AO267" s="1096"/>
      <c r="AP267" s="1096"/>
      <c r="AQ267" s="1096"/>
      <c r="AR267" s="1096"/>
      <c r="AS267" s="1096"/>
      <c r="AT267" s="1096"/>
      <c r="AU267" s="1096"/>
      <c r="AV267" s="1096"/>
      <c r="AW267" s="1096"/>
      <c r="AX267" s="1096"/>
      <c r="AY267" s="1096"/>
    </row>
    <row r="268" spans="1:51" x14ac:dyDescent="0.45">
      <c r="A268" s="1096">
        <v>1961</v>
      </c>
      <c r="B268" s="1096" t="s">
        <v>1393</v>
      </c>
      <c r="C268" s="1113">
        <f>[7]LRAll!C259</f>
        <v>12.777469541945992</v>
      </c>
      <c r="D268" s="1113">
        <f>[7]LRAll!I259</f>
        <v>9.698511792870038</v>
      </c>
      <c r="E268" s="1096"/>
      <c r="F268" s="1114">
        <f t="shared" si="8"/>
        <v>75.903227638552977</v>
      </c>
      <c r="G268" s="1096"/>
      <c r="H268" s="1096"/>
      <c r="I268" s="1096"/>
      <c r="J268" s="1096"/>
      <c r="K268" s="1096"/>
      <c r="L268" s="1096"/>
      <c r="M268" s="1096"/>
      <c r="N268" s="1096"/>
      <c r="O268" s="1096"/>
      <c r="P268" s="1096"/>
      <c r="Q268" s="1096"/>
      <c r="R268" s="1096"/>
      <c r="S268" s="1096"/>
      <c r="T268" s="1096"/>
      <c r="U268" s="1096"/>
      <c r="V268" s="1096"/>
      <c r="W268" s="1096"/>
      <c r="X268" s="1096"/>
      <c r="Y268" s="1096"/>
      <c r="Z268" s="1096"/>
      <c r="AA268" s="1096"/>
      <c r="AB268" s="1096"/>
      <c r="AC268" s="1096"/>
      <c r="AD268" s="1096"/>
      <c r="AE268" s="1096"/>
      <c r="AF268" s="1096"/>
      <c r="AG268" s="1096"/>
      <c r="AH268" s="1096"/>
      <c r="AI268" s="1096"/>
      <c r="AJ268" s="1096"/>
      <c r="AK268" s="1096"/>
      <c r="AL268" s="1096"/>
      <c r="AM268" s="1096"/>
      <c r="AN268" s="1096"/>
      <c r="AO268" s="1096"/>
      <c r="AP268" s="1096"/>
      <c r="AQ268" s="1096"/>
      <c r="AR268" s="1096"/>
      <c r="AS268" s="1096"/>
      <c r="AT268" s="1096"/>
      <c r="AU268" s="1096"/>
      <c r="AV268" s="1096"/>
      <c r="AW268" s="1096"/>
      <c r="AX268" s="1096"/>
      <c r="AY268" s="1096"/>
    </row>
    <row r="269" spans="1:51" x14ac:dyDescent="0.45">
      <c r="A269" s="1096">
        <v>1961</v>
      </c>
      <c r="B269" s="1096" t="s">
        <v>1371</v>
      </c>
      <c r="C269" s="1113">
        <f>[7]LRAll!C260</f>
        <v>12.889947266787066</v>
      </c>
      <c r="D269" s="1113">
        <f>[7]LRAll!I260</f>
        <v>9.7626872224341081</v>
      </c>
      <c r="E269" s="1096"/>
      <c r="F269" s="1114">
        <f t="shared" si="8"/>
        <v>75.738767741813618</v>
      </c>
      <c r="G269" s="1096"/>
      <c r="H269" s="1096"/>
      <c r="I269" s="1096"/>
      <c r="J269" s="1096"/>
      <c r="K269" s="1096"/>
      <c r="L269" s="1096"/>
      <c r="M269" s="1096"/>
      <c r="N269" s="1096"/>
      <c r="O269" s="1096"/>
      <c r="P269" s="1096"/>
      <c r="Q269" s="1096"/>
      <c r="R269" s="1096"/>
      <c r="S269" s="1096"/>
      <c r="T269" s="1096"/>
      <c r="U269" s="1096"/>
      <c r="V269" s="1096"/>
      <c r="W269" s="1096"/>
      <c r="X269" s="1096"/>
      <c r="Y269" s="1096"/>
      <c r="Z269" s="1096"/>
      <c r="AA269" s="1096"/>
      <c r="AB269" s="1096"/>
      <c r="AC269" s="1096"/>
      <c r="AD269" s="1096"/>
      <c r="AE269" s="1096"/>
      <c r="AF269" s="1096"/>
      <c r="AG269" s="1096"/>
      <c r="AH269" s="1096"/>
      <c r="AI269" s="1096"/>
      <c r="AJ269" s="1096"/>
      <c r="AK269" s="1096"/>
      <c r="AL269" s="1096"/>
      <c r="AM269" s="1096"/>
      <c r="AN269" s="1096"/>
      <c r="AO269" s="1096"/>
      <c r="AP269" s="1096"/>
      <c r="AQ269" s="1096"/>
      <c r="AR269" s="1096"/>
      <c r="AS269" s="1096"/>
      <c r="AT269" s="1096"/>
      <c r="AU269" s="1096"/>
      <c r="AV269" s="1096"/>
      <c r="AW269" s="1096"/>
      <c r="AX269" s="1096"/>
      <c r="AY269" s="1096"/>
    </row>
    <row r="270" spans="1:51" x14ac:dyDescent="0.45">
      <c r="A270" s="1096">
        <v>1961</v>
      </c>
      <c r="B270" s="1096" t="s">
        <v>1373</v>
      </c>
      <c r="C270" s="1113">
        <f>[7]LRAll!C261</f>
        <v>12.889947266787066</v>
      </c>
      <c r="D270" s="1113">
        <f>[7]LRAll!I261</f>
        <v>9.7707091511296156</v>
      </c>
      <c r="E270" s="1096"/>
      <c r="F270" s="1114">
        <f t="shared" si="8"/>
        <v>75.801001733384524</v>
      </c>
      <c r="G270" s="1096"/>
      <c r="H270" s="1096"/>
      <c r="I270" s="1096"/>
      <c r="J270" s="1096"/>
      <c r="K270" s="1096"/>
      <c r="L270" s="1096"/>
      <c r="M270" s="1096"/>
      <c r="N270" s="1096"/>
      <c r="O270" s="1096"/>
      <c r="P270" s="1096"/>
      <c r="Q270" s="1096"/>
      <c r="R270" s="1096"/>
      <c r="S270" s="1096"/>
      <c r="T270" s="1096"/>
      <c r="U270" s="1096"/>
      <c r="V270" s="1096"/>
      <c r="W270" s="1096"/>
      <c r="X270" s="1096"/>
      <c r="Y270" s="1096"/>
      <c r="Z270" s="1096"/>
      <c r="AA270" s="1096"/>
      <c r="AB270" s="1096"/>
      <c r="AC270" s="1096"/>
      <c r="AD270" s="1096"/>
      <c r="AE270" s="1096"/>
      <c r="AF270" s="1096"/>
      <c r="AG270" s="1096"/>
      <c r="AH270" s="1096"/>
      <c r="AI270" s="1096"/>
      <c r="AJ270" s="1096"/>
      <c r="AK270" s="1096"/>
      <c r="AL270" s="1096"/>
      <c r="AM270" s="1096"/>
      <c r="AN270" s="1096"/>
      <c r="AO270" s="1096"/>
      <c r="AP270" s="1096"/>
      <c r="AQ270" s="1096"/>
      <c r="AR270" s="1096"/>
      <c r="AS270" s="1096"/>
      <c r="AT270" s="1096"/>
      <c r="AU270" s="1096"/>
      <c r="AV270" s="1096"/>
      <c r="AW270" s="1096"/>
      <c r="AX270" s="1096"/>
      <c r="AY270" s="1096"/>
    </row>
    <row r="271" spans="1:51" x14ac:dyDescent="0.45">
      <c r="A271" s="1096">
        <v>1961</v>
      </c>
      <c r="B271" s="1096" t="s">
        <v>1375</v>
      </c>
      <c r="C271" s="1113">
        <f>[7]LRAll!C262</f>
        <v>13.013672764112249</v>
      </c>
      <c r="D271" s="1113">
        <f>[7]LRAll!I262</f>
        <v>9.8027968659116507</v>
      </c>
      <c r="E271" s="1096"/>
      <c r="F271" s="1114">
        <f t="shared" si="8"/>
        <v>75.32690458411389</v>
      </c>
      <c r="G271" s="1096"/>
      <c r="H271" s="1096"/>
      <c r="I271" s="1096"/>
      <c r="J271" s="1096"/>
      <c r="K271" s="1096"/>
      <c r="L271" s="1096"/>
      <c r="M271" s="1096"/>
      <c r="N271" s="1096"/>
      <c r="O271" s="1096"/>
      <c r="P271" s="1096"/>
      <c r="Q271" s="1096"/>
      <c r="R271" s="1096"/>
      <c r="S271" s="1096"/>
      <c r="T271" s="1096"/>
      <c r="U271" s="1096"/>
      <c r="V271" s="1096"/>
      <c r="W271" s="1096"/>
      <c r="X271" s="1096"/>
      <c r="Y271" s="1096"/>
      <c r="Z271" s="1096"/>
      <c r="AA271" s="1096"/>
      <c r="AB271" s="1096"/>
      <c r="AC271" s="1096"/>
      <c r="AD271" s="1096"/>
      <c r="AE271" s="1096"/>
      <c r="AF271" s="1096"/>
      <c r="AG271" s="1096"/>
      <c r="AH271" s="1096"/>
      <c r="AI271" s="1096"/>
      <c r="AJ271" s="1096"/>
      <c r="AK271" s="1096"/>
      <c r="AL271" s="1096"/>
      <c r="AM271" s="1096"/>
      <c r="AN271" s="1096"/>
      <c r="AO271" s="1096"/>
      <c r="AP271" s="1096"/>
      <c r="AQ271" s="1096"/>
      <c r="AR271" s="1096"/>
      <c r="AS271" s="1096"/>
      <c r="AT271" s="1096"/>
      <c r="AU271" s="1096"/>
      <c r="AV271" s="1096"/>
      <c r="AW271" s="1096"/>
      <c r="AX271" s="1096"/>
      <c r="AY271" s="1096"/>
    </row>
    <row r="272" spans="1:51" x14ac:dyDescent="0.45">
      <c r="A272" s="1096">
        <v>1961</v>
      </c>
      <c r="B272" s="1096" t="s">
        <v>1377</v>
      </c>
      <c r="C272" s="1113">
        <f>[7]LRAll!C263</f>
        <v>12.991177219144033</v>
      </c>
      <c r="D272" s="1113">
        <f>[7]LRAll!I263</f>
        <v>9.8188407233026691</v>
      </c>
      <c r="E272" s="1096"/>
      <c r="F272" s="1114">
        <f t="shared" si="8"/>
        <v>75.580838885281693</v>
      </c>
      <c r="G272" s="1096"/>
      <c r="H272" s="1096"/>
      <c r="I272" s="1096"/>
      <c r="J272" s="1096"/>
      <c r="K272" s="1096"/>
      <c r="L272" s="1096"/>
      <c r="M272" s="1096"/>
      <c r="N272" s="1096"/>
      <c r="O272" s="1096"/>
      <c r="P272" s="1096"/>
      <c r="Q272" s="1096"/>
      <c r="R272" s="1096"/>
      <c r="S272" s="1096"/>
      <c r="T272" s="1096"/>
      <c r="U272" s="1096"/>
      <c r="V272" s="1096"/>
      <c r="W272" s="1096"/>
      <c r="X272" s="1096"/>
      <c r="Y272" s="1096"/>
      <c r="Z272" s="1096"/>
      <c r="AA272" s="1096"/>
      <c r="AB272" s="1096"/>
      <c r="AC272" s="1096"/>
      <c r="AD272" s="1096"/>
      <c r="AE272" s="1096"/>
      <c r="AF272" s="1096"/>
      <c r="AG272" s="1096"/>
      <c r="AH272" s="1096"/>
      <c r="AI272" s="1096"/>
      <c r="AJ272" s="1096"/>
      <c r="AK272" s="1096"/>
      <c r="AL272" s="1096"/>
      <c r="AM272" s="1096"/>
      <c r="AN272" s="1096"/>
      <c r="AO272" s="1096"/>
      <c r="AP272" s="1096"/>
      <c r="AQ272" s="1096"/>
      <c r="AR272" s="1096"/>
      <c r="AS272" s="1096"/>
      <c r="AT272" s="1096"/>
      <c r="AU272" s="1096"/>
      <c r="AV272" s="1096"/>
      <c r="AW272" s="1096"/>
      <c r="AX272" s="1096"/>
      <c r="AY272" s="1096"/>
    </row>
    <row r="273" spans="1:51" x14ac:dyDescent="0.45">
      <c r="A273" s="1096">
        <v>1961</v>
      </c>
      <c r="B273" s="1096" t="s">
        <v>1379</v>
      </c>
      <c r="C273" s="1113">
        <f>[7]LRAll!C264</f>
        <v>13.013672764112249</v>
      </c>
      <c r="D273" s="1113">
        <f>[7]LRAll!I264</f>
        <v>9.8509284380847042</v>
      </c>
      <c r="E273" s="1096"/>
      <c r="F273" s="1114">
        <f t="shared" si="8"/>
        <v>75.696758452775669</v>
      </c>
      <c r="G273" s="1096"/>
      <c r="H273" s="1096"/>
      <c r="I273" s="1096"/>
      <c r="J273" s="1096"/>
      <c r="K273" s="1096"/>
      <c r="L273" s="1096"/>
      <c r="M273" s="1096"/>
      <c r="N273" s="1096"/>
      <c r="O273" s="1096"/>
      <c r="P273" s="1096"/>
      <c r="Q273" s="1096"/>
      <c r="R273" s="1096"/>
      <c r="S273" s="1096"/>
      <c r="T273" s="1096"/>
      <c r="U273" s="1096"/>
      <c r="V273" s="1096"/>
      <c r="W273" s="1096"/>
      <c r="X273" s="1096"/>
      <c r="Y273" s="1096"/>
      <c r="Z273" s="1096"/>
      <c r="AA273" s="1096"/>
      <c r="AB273" s="1096"/>
      <c r="AC273" s="1096"/>
      <c r="AD273" s="1096"/>
      <c r="AE273" s="1096"/>
      <c r="AF273" s="1096"/>
      <c r="AG273" s="1096"/>
      <c r="AH273" s="1096"/>
      <c r="AI273" s="1096"/>
      <c r="AJ273" s="1096"/>
      <c r="AK273" s="1096"/>
      <c r="AL273" s="1096"/>
      <c r="AM273" s="1096"/>
      <c r="AN273" s="1096"/>
      <c r="AO273" s="1096"/>
      <c r="AP273" s="1096"/>
      <c r="AQ273" s="1096"/>
      <c r="AR273" s="1096"/>
      <c r="AS273" s="1096"/>
      <c r="AT273" s="1096"/>
      <c r="AU273" s="1096"/>
      <c r="AV273" s="1096"/>
      <c r="AW273" s="1096"/>
      <c r="AX273" s="1096"/>
      <c r="AY273" s="1096"/>
    </row>
    <row r="274" spans="1:51" x14ac:dyDescent="0.45">
      <c r="A274" s="1096">
        <v>1961</v>
      </c>
      <c r="B274" s="1096" t="s">
        <v>1381</v>
      </c>
      <c r="C274" s="1113">
        <f>[7]LRAll!C265</f>
        <v>13.148646033921539</v>
      </c>
      <c r="D274" s="1113">
        <f>[7]LRAll!I265</f>
        <v>10.444551161552347</v>
      </c>
      <c r="E274" s="1096"/>
      <c r="F274" s="1114">
        <f t="shared" si="8"/>
        <v>79.434423396956376</v>
      </c>
      <c r="G274" s="1096"/>
      <c r="H274" s="1096"/>
      <c r="I274" s="1096"/>
      <c r="J274" s="1096"/>
      <c r="K274" s="1096"/>
      <c r="L274" s="1096"/>
      <c r="M274" s="1096"/>
      <c r="N274" s="1096"/>
      <c r="O274" s="1096"/>
      <c r="P274" s="1096"/>
      <c r="Q274" s="1096"/>
      <c r="R274" s="1096"/>
      <c r="S274" s="1096"/>
      <c r="T274" s="1096"/>
      <c r="U274" s="1096"/>
      <c r="V274" s="1096"/>
      <c r="W274" s="1096"/>
      <c r="X274" s="1096"/>
      <c r="Y274" s="1096"/>
      <c r="Z274" s="1096"/>
      <c r="AA274" s="1096"/>
      <c r="AB274" s="1096"/>
      <c r="AC274" s="1096"/>
      <c r="AD274" s="1096"/>
      <c r="AE274" s="1096"/>
      <c r="AF274" s="1096"/>
      <c r="AG274" s="1096"/>
      <c r="AH274" s="1096"/>
      <c r="AI274" s="1096"/>
      <c r="AJ274" s="1096"/>
      <c r="AK274" s="1096"/>
      <c r="AL274" s="1096"/>
      <c r="AM274" s="1096"/>
      <c r="AN274" s="1096"/>
      <c r="AO274" s="1096"/>
      <c r="AP274" s="1096"/>
      <c r="AQ274" s="1096"/>
      <c r="AR274" s="1096"/>
      <c r="AS274" s="1096"/>
      <c r="AT274" s="1096"/>
      <c r="AU274" s="1096"/>
      <c r="AV274" s="1096"/>
      <c r="AW274" s="1096"/>
      <c r="AX274" s="1096"/>
      <c r="AY274" s="1096"/>
    </row>
    <row r="275" spans="1:51" x14ac:dyDescent="0.45">
      <c r="A275" s="1096">
        <v>1961</v>
      </c>
      <c r="B275" s="1096" t="s">
        <v>1383</v>
      </c>
      <c r="C275" s="1113">
        <f>[7]LRAll!C266</f>
        <v>13.171141578889753</v>
      </c>
      <c r="D275" s="1113">
        <f>[7]LRAll!I266</f>
        <v>10.460595018943366</v>
      </c>
      <c r="E275" s="1096"/>
      <c r="F275" s="1114">
        <f t="shared" si="8"/>
        <v>79.420564696603392</v>
      </c>
      <c r="G275" s="1096"/>
      <c r="H275" s="1096"/>
      <c r="I275" s="1096"/>
      <c r="J275" s="1096"/>
      <c r="K275" s="1096"/>
      <c r="L275" s="1096"/>
      <c r="M275" s="1096"/>
      <c r="N275" s="1096"/>
      <c r="O275" s="1096"/>
      <c r="P275" s="1096"/>
      <c r="Q275" s="1096"/>
      <c r="R275" s="1096"/>
      <c r="S275" s="1096"/>
      <c r="T275" s="1096"/>
      <c r="U275" s="1096"/>
      <c r="V275" s="1096"/>
      <c r="W275" s="1096"/>
      <c r="X275" s="1096"/>
      <c r="Y275" s="1096"/>
      <c r="Z275" s="1096"/>
      <c r="AA275" s="1096"/>
      <c r="AB275" s="1096"/>
      <c r="AC275" s="1096"/>
      <c r="AD275" s="1096"/>
      <c r="AE275" s="1096"/>
      <c r="AF275" s="1096"/>
      <c r="AG275" s="1096"/>
      <c r="AH275" s="1096"/>
      <c r="AI275" s="1096"/>
      <c r="AJ275" s="1096"/>
      <c r="AK275" s="1096"/>
      <c r="AL275" s="1096"/>
      <c r="AM275" s="1096"/>
      <c r="AN275" s="1096"/>
      <c r="AO275" s="1096"/>
      <c r="AP275" s="1096"/>
      <c r="AQ275" s="1096"/>
      <c r="AR275" s="1096"/>
      <c r="AS275" s="1096"/>
      <c r="AT275" s="1096"/>
      <c r="AU275" s="1096"/>
      <c r="AV275" s="1096"/>
      <c r="AW275" s="1096"/>
      <c r="AX275" s="1096"/>
      <c r="AY275" s="1096"/>
    </row>
    <row r="276" spans="1:51" x14ac:dyDescent="0.45">
      <c r="A276" s="1096">
        <v>1962</v>
      </c>
      <c r="B276" s="1096" t="s">
        <v>1385</v>
      </c>
      <c r="C276" s="1113">
        <f>[7]LRAll!C267</f>
        <v>13.216132668826182</v>
      </c>
      <c r="D276" s="1113">
        <f>[7]LRAll!I267</f>
        <v>10.476638876334384</v>
      </c>
      <c r="E276" s="1096"/>
      <c r="F276" s="1114">
        <f t="shared" si="8"/>
        <v>79.271592824172885</v>
      </c>
      <c r="G276" s="1096"/>
      <c r="H276" s="1096"/>
      <c r="I276" s="1096"/>
      <c r="J276" s="1096"/>
      <c r="K276" s="1096"/>
      <c r="L276" s="1096"/>
      <c r="M276" s="1096"/>
      <c r="N276" s="1096"/>
      <c r="O276" s="1096"/>
      <c r="P276" s="1096"/>
      <c r="Q276" s="1096"/>
      <c r="R276" s="1096"/>
      <c r="S276" s="1096"/>
      <c r="T276" s="1096"/>
      <c r="U276" s="1096"/>
      <c r="V276" s="1096"/>
      <c r="W276" s="1096"/>
      <c r="X276" s="1096"/>
      <c r="Y276" s="1096"/>
      <c r="Z276" s="1096"/>
      <c r="AA276" s="1096"/>
      <c r="AB276" s="1096"/>
      <c r="AC276" s="1096"/>
      <c r="AD276" s="1096"/>
      <c r="AE276" s="1096"/>
      <c r="AF276" s="1096"/>
      <c r="AG276" s="1096"/>
      <c r="AH276" s="1096"/>
      <c r="AI276" s="1096"/>
      <c r="AJ276" s="1096"/>
      <c r="AK276" s="1096"/>
      <c r="AL276" s="1096"/>
      <c r="AM276" s="1096"/>
      <c r="AN276" s="1096"/>
      <c r="AO276" s="1096"/>
      <c r="AP276" s="1096"/>
      <c r="AQ276" s="1096"/>
      <c r="AR276" s="1096"/>
      <c r="AS276" s="1096"/>
      <c r="AT276" s="1096"/>
      <c r="AU276" s="1096"/>
      <c r="AV276" s="1096"/>
      <c r="AW276" s="1096"/>
      <c r="AX276" s="1096"/>
      <c r="AY276" s="1096"/>
    </row>
    <row r="277" spans="1:51" x14ac:dyDescent="0.45">
      <c r="A277" s="1096">
        <v>1962</v>
      </c>
      <c r="B277" s="1096" t="s">
        <v>1387</v>
      </c>
      <c r="C277" s="1113">
        <f>[7]LRAll!C268</f>
        <v>13.229348801495007</v>
      </c>
      <c r="D277" s="1113">
        <f>[7]LRAll!I268</f>
        <v>10.518545431839721</v>
      </c>
      <c r="E277" s="1096"/>
      <c r="F277" s="1114">
        <f t="shared" si="8"/>
        <v>79.509170025444135</v>
      </c>
      <c r="G277" s="1096"/>
      <c r="H277" s="1096"/>
      <c r="I277" s="1096"/>
      <c r="J277" s="1096"/>
      <c r="K277" s="1096"/>
      <c r="L277" s="1096"/>
      <c r="M277" s="1096"/>
      <c r="N277" s="1096"/>
      <c r="O277" s="1096"/>
      <c r="P277" s="1096"/>
      <c r="Q277" s="1096"/>
      <c r="R277" s="1096"/>
      <c r="S277" s="1096"/>
      <c r="T277" s="1096"/>
      <c r="U277" s="1096"/>
      <c r="V277" s="1096"/>
      <c r="W277" s="1096"/>
      <c r="X277" s="1096"/>
      <c r="Y277" s="1096"/>
      <c r="Z277" s="1096"/>
      <c r="AA277" s="1096"/>
      <c r="AB277" s="1096"/>
      <c r="AC277" s="1096"/>
      <c r="AD277" s="1096"/>
      <c r="AE277" s="1096"/>
      <c r="AF277" s="1096"/>
      <c r="AG277" s="1096"/>
      <c r="AH277" s="1096"/>
      <c r="AI277" s="1096"/>
      <c r="AJ277" s="1096"/>
      <c r="AK277" s="1096"/>
      <c r="AL277" s="1096"/>
      <c r="AM277" s="1096"/>
      <c r="AN277" s="1096"/>
      <c r="AO277" s="1096"/>
      <c r="AP277" s="1096"/>
      <c r="AQ277" s="1096"/>
      <c r="AR277" s="1096"/>
      <c r="AS277" s="1096"/>
      <c r="AT277" s="1096"/>
      <c r="AU277" s="1096"/>
      <c r="AV277" s="1096"/>
      <c r="AW277" s="1096"/>
      <c r="AX277" s="1096"/>
      <c r="AY277" s="1096"/>
    </row>
    <row r="278" spans="1:51" x14ac:dyDescent="0.45">
      <c r="A278" s="1096">
        <v>1962</v>
      </c>
      <c r="B278" s="1096" t="s">
        <v>1389</v>
      </c>
      <c r="C278" s="1113">
        <f>[7]LRAll!C269</f>
        <v>13.282213332170313</v>
      </c>
      <c r="D278" s="1113">
        <f>[7]LRAll!I269</f>
        <v>10.529022070716056</v>
      </c>
      <c r="E278" s="1096"/>
      <c r="F278" s="1114">
        <f t="shared" si="8"/>
        <v>79.271592824172885</v>
      </c>
      <c r="G278" s="1096"/>
      <c r="H278" s="1096"/>
      <c r="I278" s="1096"/>
      <c r="J278" s="1096"/>
      <c r="K278" s="1096"/>
      <c r="L278" s="1096"/>
      <c r="M278" s="1096"/>
      <c r="N278" s="1096"/>
      <c r="O278" s="1096"/>
      <c r="P278" s="1096"/>
      <c r="Q278" s="1096"/>
      <c r="R278" s="1096"/>
      <c r="S278" s="1096"/>
      <c r="T278" s="1096"/>
      <c r="U278" s="1096"/>
      <c r="V278" s="1096"/>
      <c r="W278" s="1096"/>
      <c r="X278" s="1096"/>
      <c r="Y278" s="1096"/>
      <c r="Z278" s="1096"/>
      <c r="AA278" s="1096"/>
      <c r="AB278" s="1096"/>
      <c r="AC278" s="1096"/>
      <c r="AD278" s="1096"/>
      <c r="AE278" s="1096"/>
      <c r="AF278" s="1096"/>
      <c r="AG278" s="1096"/>
      <c r="AH278" s="1096"/>
      <c r="AI278" s="1096"/>
      <c r="AJ278" s="1096"/>
      <c r="AK278" s="1096"/>
      <c r="AL278" s="1096"/>
      <c r="AM278" s="1096"/>
      <c r="AN278" s="1096"/>
      <c r="AO278" s="1096"/>
      <c r="AP278" s="1096"/>
      <c r="AQ278" s="1096"/>
      <c r="AR278" s="1096"/>
      <c r="AS278" s="1096"/>
      <c r="AT278" s="1096"/>
      <c r="AU278" s="1096"/>
      <c r="AV278" s="1096"/>
      <c r="AW278" s="1096"/>
      <c r="AX278" s="1096"/>
      <c r="AY278" s="1096"/>
    </row>
    <row r="279" spans="1:51" x14ac:dyDescent="0.45">
      <c r="A279" s="1096">
        <v>1962</v>
      </c>
      <c r="B279" s="1096" t="s">
        <v>1391</v>
      </c>
      <c r="C279" s="1113">
        <f>[7]LRAll!C270</f>
        <v>13.467239189533881</v>
      </c>
      <c r="D279" s="1113">
        <f>[7]LRAll!I270</f>
        <v>10.56045198734506</v>
      </c>
      <c r="E279" s="1096"/>
      <c r="F279" s="1114">
        <f t="shared" si="8"/>
        <v>78.415864147955119</v>
      </c>
      <c r="G279" s="1096"/>
      <c r="H279" s="1096"/>
      <c r="I279" s="1096"/>
      <c r="J279" s="1096"/>
      <c r="K279" s="1096"/>
      <c r="L279" s="1096"/>
      <c r="M279" s="1096"/>
      <c r="N279" s="1096"/>
      <c r="O279" s="1096"/>
      <c r="P279" s="1096"/>
      <c r="Q279" s="1096"/>
      <c r="R279" s="1096"/>
      <c r="S279" s="1096"/>
      <c r="T279" s="1096"/>
      <c r="U279" s="1096"/>
      <c r="V279" s="1096"/>
      <c r="W279" s="1096"/>
      <c r="X279" s="1096"/>
      <c r="Y279" s="1096"/>
      <c r="Z279" s="1096"/>
      <c r="AA279" s="1096"/>
      <c r="AB279" s="1096"/>
      <c r="AC279" s="1096"/>
      <c r="AD279" s="1096"/>
      <c r="AE279" s="1096"/>
      <c r="AF279" s="1096"/>
      <c r="AG279" s="1096"/>
      <c r="AH279" s="1096"/>
      <c r="AI279" s="1096"/>
      <c r="AJ279" s="1096"/>
      <c r="AK279" s="1096"/>
      <c r="AL279" s="1096"/>
      <c r="AM279" s="1096"/>
      <c r="AN279" s="1096"/>
      <c r="AO279" s="1096"/>
      <c r="AP279" s="1096"/>
      <c r="AQ279" s="1096"/>
      <c r="AR279" s="1096"/>
      <c r="AS279" s="1096"/>
      <c r="AT279" s="1096"/>
      <c r="AU279" s="1096"/>
      <c r="AV279" s="1096"/>
      <c r="AW279" s="1096"/>
      <c r="AX279" s="1096"/>
      <c r="AY279" s="1096"/>
    </row>
    <row r="280" spans="1:51" x14ac:dyDescent="0.45">
      <c r="A280" s="1096">
        <v>1962</v>
      </c>
      <c r="B280" s="1096" t="s">
        <v>1393</v>
      </c>
      <c r="C280" s="1113">
        <f>[7]LRAll!C271</f>
        <v>13.50688758754036</v>
      </c>
      <c r="D280" s="1113">
        <f>[7]LRAll!I271</f>
        <v>10.455685598581715</v>
      </c>
      <c r="E280" s="1096"/>
      <c r="F280" s="1114">
        <f t="shared" si="8"/>
        <v>77.410029000513234</v>
      </c>
      <c r="G280" s="1096"/>
      <c r="H280" s="1096"/>
      <c r="I280" s="1096"/>
      <c r="J280" s="1096"/>
      <c r="K280" s="1096"/>
      <c r="L280" s="1096"/>
      <c r="M280" s="1096"/>
      <c r="N280" s="1096"/>
      <c r="O280" s="1096"/>
      <c r="P280" s="1096"/>
      <c r="Q280" s="1096"/>
      <c r="R280" s="1096"/>
      <c r="S280" s="1096"/>
      <c r="T280" s="1096"/>
      <c r="U280" s="1096"/>
      <c r="V280" s="1096"/>
      <c r="W280" s="1096"/>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096"/>
      <c r="AU280" s="1096"/>
      <c r="AV280" s="1096"/>
      <c r="AW280" s="1096"/>
      <c r="AX280" s="1096"/>
      <c r="AY280" s="1096"/>
    </row>
    <row r="281" spans="1:51" x14ac:dyDescent="0.45">
      <c r="A281" s="1096">
        <v>1962</v>
      </c>
      <c r="B281" s="1096" t="s">
        <v>1371</v>
      </c>
      <c r="C281" s="1113">
        <f>[7]LRAll!C272</f>
        <v>13.599400516222142</v>
      </c>
      <c r="D281" s="1113">
        <f>[7]LRAll!I272</f>
        <v>10.487115515210718</v>
      </c>
      <c r="E281" s="1096"/>
      <c r="F281" s="1114">
        <f t="shared" si="8"/>
        <v>77.114542679297429</v>
      </c>
      <c r="G281" s="1096"/>
      <c r="H281" s="1096"/>
      <c r="I281" s="1096"/>
      <c r="J281" s="1096"/>
      <c r="K281" s="1096"/>
      <c r="L281" s="1096"/>
      <c r="M281" s="1096"/>
      <c r="N281" s="1096"/>
      <c r="O281" s="1096"/>
      <c r="P281" s="1096"/>
      <c r="Q281" s="1096"/>
      <c r="R281" s="1096"/>
      <c r="S281" s="1096"/>
      <c r="T281" s="1096"/>
      <c r="U281" s="1096"/>
      <c r="V281" s="1096"/>
      <c r="W281" s="1096"/>
      <c r="X281" s="1096"/>
      <c r="Y281" s="1096"/>
      <c r="Z281" s="1096"/>
      <c r="AA281" s="1096"/>
      <c r="AB281" s="1096"/>
      <c r="AC281" s="1096"/>
      <c r="AD281" s="1096"/>
      <c r="AE281" s="1096"/>
      <c r="AF281" s="1096"/>
      <c r="AG281" s="1096"/>
      <c r="AH281" s="1096"/>
      <c r="AI281" s="1096"/>
      <c r="AJ281" s="1096"/>
      <c r="AK281" s="1096"/>
      <c r="AL281" s="1096"/>
      <c r="AM281" s="1096"/>
      <c r="AN281" s="1096"/>
      <c r="AO281" s="1096"/>
      <c r="AP281" s="1096"/>
      <c r="AQ281" s="1096"/>
      <c r="AR281" s="1096"/>
      <c r="AS281" s="1096"/>
      <c r="AT281" s="1096"/>
      <c r="AU281" s="1096"/>
      <c r="AV281" s="1096"/>
      <c r="AW281" s="1096"/>
      <c r="AX281" s="1096"/>
      <c r="AY281" s="1096"/>
    </row>
    <row r="282" spans="1:51" x14ac:dyDescent="0.45">
      <c r="A282" s="1096">
        <v>1962</v>
      </c>
      <c r="B282" s="1096" t="s">
        <v>1373</v>
      </c>
      <c r="C282" s="1113">
        <f>[7]LRAll!C273</f>
        <v>13.546535985546836</v>
      </c>
      <c r="D282" s="1113">
        <f>[7]LRAll!I273</f>
        <v>10.497592154087053</v>
      </c>
      <c r="E282" s="1096"/>
      <c r="F282" s="1114">
        <f t="shared" si="8"/>
        <v>77.49281561933779</v>
      </c>
      <c r="G282" s="1096"/>
      <c r="H282" s="1096"/>
      <c r="I282" s="1096"/>
      <c r="J282" s="1096"/>
      <c r="K282" s="1096"/>
      <c r="L282" s="1096"/>
      <c r="M282" s="1096"/>
      <c r="N282" s="1096"/>
      <c r="O282" s="1096"/>
      <c r="P282" s="1096"/>
      <c r="Q282" s="1096"/>
      <c r="R282" s="1096"/>
      <c r="S282" s="1096"/>
      <c r="T282" s="1096"/>
      <c r="U282" s="1096"/>
      <c r="V282" s="1096"/>
      <c r="W282" s="1096"/>
      <c r="X282" s="1096"/>
      <c r="Y282" s="1096"/>
      <c r="Z282" s="1096"/>
      <c r="AA282" s="1096"/>
      <c r="AB282" s="1096"/>
      <c r="AC282" s="1096"/>
      <c r="AD282" s="1096"/>
      <c r="AE282" s="1096"/>
      <c r="AF282" s="1096"/>
      <c r="AG282" s="1096"/>
      <c r="AH282" s="1096"/>
      <c r="AI282" s="1096"/>
      <c r="AJ282" s="1096"/>
      <c r="AK282" s="1096"/>
      <c r="AL282" s="1096"/>
      <c r="AM282" s="1096"/>
      <c r="AN282" s="1096"/>
      <c r="AO282" s="1096"/>
      <c r="AP282" s="1096"/>
      <c r="AQ282" s="1096"/>
      <c r="AR282" s="1096"/>
      <c r="AS282" s="1096"/>
      <c r="AT282" s="1096"/>
      <c r="AU282" s="1096"/>
      <c r="AV282" s="1096"/>
      <c r="AW282" s="1096"/>
      <c r="AX282" s="1096"/>
      <c r="AY282" s="1096"/>
    </row>
    <row r="283" spans="1:51" x14ac:dyDescent="0.45">
      <c r="A283" s="1096">
        <v>1962</v>
      </c>
      <c r="B283" s="1096" t="s">
        <v>1375</v>
      </c>
      <c r="C283" s="1113">
        <f>[7]LRAll!C274</f>
        <v>13.4275907915274</v>
      </c>
      <c r="D283" s="1113">
        <f>[7]LRAll!I274</f>
        <v>10.549975348468724</v>
      </c>
      <c r="E283" s="1096"/>
      <c r="F283" s="1114">
        <f t="shared" si="8"/>
        <v>78.569383832620161</v>
      </c>
      <c r="G283" s="1096"/>
      <c r="H283" s="1096"/>
      <c r="I283" s="1096"/>
      <c r="J283" s="1096"/>
      <c r="K283" s="1096"/>
      <c r="L283" s="1096"/>
      <c r="M283" s="1096"/>
      <c r="N283" s="1096"/>
      <c r="O283" s="1096"/>
      <c r="P283" s="1096"/>
      <c r="Q283" s="1096"/>
      <c r="R283" s="1096"/>
      <c r="S283" s="1096"/>
      <c r="T283" s="1096"/>
      <c r="U283" s="1096"/>
      <c r="V283" s="1096"/>
      <c r="W283" s="1096"/>
      <c r="X283" s="1096"/>
      <c r="Y283" s="1096"/>
      <c r="Z283" s="1096"/>
      <c r="AA283" s="1096"/>
      <c r="AB283" s="1096"/>
      <c r="AC283" s="1096"/>
      <c r="AD283" s="1096"/>
      <c r="AE283" s="1096"/>
      <c r="AF283" s="1096"/>
      <c r="AG283" s="1096"/>
      <c r="AH283" s="1096"/>
      <c r="AI283" s="1096"/>
      <c r="AJ283" s="1096"/>
      <c r="AK283" s="1096"/>
      <c r="AL283" s="1096"/>
      <c r="AM283" s="1096"/>
      <c r="AN283" s="1096"/>
      <c r="AO283" s="1096"/>
      <c r="AP283" s="1096"/>
      <c r="AQ283" s="1096"/>
      <c r="AR283" s="1096"/>
      <c r="AS283" s="1096"/>
      <c r="AT283" s="1096"/>
      <c r="AU283" s="1096"/>
      <c r="AV283" s="1096"/>
      <c r="AW283" s="1096"/>
      <c r="AX283" s="1096"/>
      <c r="AY283" s="1096"/>
    </row>
    <row r="284" spans="1:51" x14ac:dyDescent="0.45">
      <c r="A284" s="1096">
        <v>1962</v>
      </c>
      <c r="B284" s="1096" t="s">
        <v>1377</v>
      </c>
      <c r="C284" s="1113">
        <f>[7]LRAll!C275</f>
        <v>13.414374658858575</v>
      </c>
      <c r="D284" s="1113">
        <f>[7]LRAll!I275</f>
        <v>10.570928626221393</v>
      </c>
      <c r="E284" s="1096"/>
      <c r="F284" s="1114">
        <f t="shared" si="8"/>
        <v>78.802992275458564</v>
      </c>
      <c r="G284" s="1096"/>
      <c r="H284" s="1096"/>
      <c r="I284" s="1096"/>
      <c r="J284" s="1096"/>
      <c r="K284" s="1096"/>
      <c r="L284" s="1096"/>
      <c r="M284" s="1096"/>
      <c r="N284" s="1096"/>
      <c r="O284" s="1096"/>
      <c r="P284" s="1096"/>
      <c r="Q284" s="1096"/>
      <c r="R284" s="1096"/>
      <c r="S284" s="1096"/>
      <c r="T284" s="1096"/>
      <c r="U284" s="1096"/>
      <c r="V284" s="1096"/>
      <c r="W284" s="1096"/>
      <c r="X284" s="1096"/>
      <c r="Y284" s="1096"/>
      <c r="Z284" s="1096"/>
      <c r="AA284" s="1096"/>
      <c r="AB284" s="1096"/>
      <c r="AC284" s="1096"/>
      <c r="AD284" s="1096"/>
      <c r="AE284" s="1096"/>
      <c r="AF284" s="1096"/>
      <c r="AG284" s="1096"/>
      <c r="AH284" s="1096"/>
      <c r="AI284" s="1096"/>
      <c r="AJ284" s="1096"/>
      <c r="AK284" s="1096"/>
      <c r="AL284" s="1096"/>
      <c r="AM284" s="1096"/>
      <c r="AN284" s="1096"/>
      <c r="AO284" s="1096"/>
      <c r="AP284" s="1096"/>
      <c r="AQ284" s="1096"/>
      <c r="AR284" s="1096"/>
      <c r="AS284" s="1096"/>
      <c r="AT284" s="1096"/>
      <c r="AU284" s="1096"/>
      <c r="AV284" s="1096"/>
      <c r="AW284" s="1096"/>
      <c r="AX284" s="1096"/>
      <c r="AY284" s="1096"/>
    </row>
    <row r="285" spans="1:51" x14ac:dyDescent="0.45">
      <c r="A285" s="1096">
        <v>1962</v>
      </c>
      <c r="B285" s="1096" t="s">
        <v>1379</v>
      </c>
      <c r="C285" s="1113">
        <f>[7]LRAll!C276</f>
        <v>13.40115852618975</v>
      </c>
      <c r="D285" s="1113">
        <f>[7]LRAll!I276</f>
        <v>10.591881903974061</v>
      </c>
      <c r="E285" s="1096"/>
      <c r="F285" s="1114">
        <f t="shared" si="8"/>
        <v>79.037061484456373</v>
      </c>
      <c r="G285" s="1096"/>
      <c r="H285" s="1096"/>
      <c r="I285" s="1096"/>
      <c r="J285" s="1096"/>
      <c r="K285" s="1096"/>
      <c r="L285" s="1096"/>
      <c r="M285" s="1096"/>
      <c r="N285" s="1096"/>
      <c r="O285" s="1096"/>
      <c r="P285" s="1096"/>
      <c r="Q285" s="1096"/>
      <c r="R285" s="1096"/>
      <c r="S285" s="1096"/>
      <c r="T285" s="1096"/>
      <c r="U285" s="1096"/>
      <c r="V285" s="1096"/>
      <c r="W285" s="1096"/>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096"/>
      <c r="AU285" s="1096"/>
      <c r="AV285" s="1096"/>
      <c r="AW285" s="1096"/>
      <c r="AX285" s="1096"/>
      <c r="AY285" s="1096"/>
    </row>
    <row r="286" spans="1:51" x14ac:dyDescent="0.45">
      <c r="A286" s="1096">
        <v>1962</v>
      </c>
      <c r="B286" s="1096" t="s">
        <v>1381</v>
      </c>
      <c r="C286" s="1113">
        <f>[7]LRAll!C277</f>
        <v>13.454023056865054</v>
      </c>
      <c r="D286" s="1113">
        <f>[7]LRAll!I277</f>
        <v>11.052854014532775</v>
      </c>
      <c r="E286" s="1096"/>
      <c r="F286" s="1114">
        <f t="shared" si="8"/>
        <v>82.152780382615305</v>
      </c>
      <c r="G286" s="1096"/>
      <c r="H286" s="1096"/>
      <c r="I286" s="1096"/>
      <c r="J286" s="1096"/>
      <c r="K286" s="1096"/>
      <c r="L286" s="1096"/>
      <c r="M286" s="1096"/>
      <c r="N286" s="1096"/>
      <c r="O286" s="1096"/>
      <c r="P286" s="1096"/>
      <c r="Q286" s="1096"/>
      <c r="R286" s="1096"/>
      <c r="S286" s="1096"/>
      <c r="T286" s="1096"/>
      <c r="U286" s="1096"/>
      <c r="V286" s="1096"/>
      <c r="W286" s="1096"/>
      <c r="X286" s="1096"/>
      <c r="Y286" s="1096"/>
      <c r="Z286" s="1096"/>
      <c r="AA286" s="1096"/>
      <c r="AB286" s="1096"/>
      <c r="AC286" s="1096"/>
      <c r="AD286" s="1096"/>
      <c r="AE286" s="1096"/>
      <c r="AF286" s="1096"/>
      <c r="AG286" s="1096"/>
      <c r="AH286" s="1096"/>
      <c r="AI286" s="1096"/>
      <c r="AJ286" s="1096"/>
      <c r="AK286" s="1096"/>
      <c r="AL286" s="1096"/>
      <c r="AM286" s="1096"/>
      <c r="AN286" s="1096"/>
      <c r="AO286" s="1096"/>
      <c r="AP286" s="1096"/>
      <c r="AQ286" s="1096"/>
      <c r="AR286" s="1096"/>
      <c r="AS286" s="1096"/>
      <c r="AT286" s="1096"/>
      <c r="AU286" s="1096"/>
      <c r="AV286" s="1096"/>
      <c r="AW286" s="1096"/>
      <c r="AX286" s="1096"/>
      <c r="AY286" s="1096"/>
    </row>
    <row r="287" spans="1:51" x14ac:dyDescent="0.45">
      <c r="A287" s="1096">
        <v>1962</v>
      </c>
      <c r="B287" s="1096" t="s">
        <v>1383</v>
      </c>
      <c r="C287" s="1113">
        <f>[7]LRAll!C278</f>
        <v>13.520103720209184</v>
      </c>
      <c r="D287" s="1113">
        <f>[7]LRAll!I278</f>
        <v>11.115713847790781</v>
      </c>
      <c r="E287" s="1096"/>
      <c r="F287" s="1114">
        <f t="shared" si="8"/>
        <v>82.216187670036589</v>
      </c>
      <c r="G287" s="1096"/>
      <c r="H287" s="1096"/>
      <c r="I287" s="1096"/>
      <c r="J287" s="1096"/>
      <c r="K287" s="1096"/>
      <c r="L287" s="1096"/>
      <c r="M287" s="1096"/>
      <c r="N287" s="1096"/>
      <c r="O287" s="1096"/>
      <c r="P287" s="1096"/>
      <c r="Q287" s="1096"/>
      <c r="R287" s="1096"/>
      <c r="S287" s="1096"/>
      <c r="T287" s="1096"/>
      <c r="U287" s="1096"/>
      <c r="V287" s="1096"/>
      <c r="W287" s="1096"/>
      <c r="X287" s="1096"/>
      <c r="Y287" s="1096"/>
      <c r="Z287" s="1096"/>
      <c r="AA287" s="1096"/>
      <c r="AB287" s="1096"/>
      <c r="AC287" s="1096"/>
      <c r="AD287" s="1096"/>
      <c r="AE287" s="1096"/>
      <c r="AF287" s="1096"/>
      <c r="AG287" s="1096"/>
      <c r="AH287" s="1096"/>
      <c r="AI287" s="1096"/>
      <c r="AJ287" s="1096"/>
      <c r="AK287" s="1096"/>
      <c r="AL287" s="1096"/>
      <c r="AM287" s="1096"/>
      <c r="AN287" s="1096"/>
      <c r="AO287" s="1096"/>
      <c r="AP287" s="1096"/>
      <c r="AQ287" s="1096"/>
      <c r="AR287" s="1096"/>
      <c r="AS287" s="1096"/>
      <c r="AT287" s="1096"/>
      <c r="AU287" s="1096"/>
      <c r="AV287" s="1096"/>
      <c r="AW287" s="1096"/>
      <c r="AX287" s="1096"/>
      <c r="AY287" s="1096"/>
    </row>
    <row r="288" spans="1:51" x14ac:dyDescent="0.45">
      <c r="A288" s="1096">
        <v>1963</v>
      </c>
      <c r="B288" s="1096" t="s">
        <v>1385</v>
      </c>
      <c r="C288" s="1113">
        <f>[7]LRAll!C279</f>
        <v>13.57296825088449</v>
      </c>
      <c r="D288" s="1113">
        <f>[7]LRAll!I279</f>
        <v>11.15762040329612</v>
      </c>
      <c r="E288" s="1096"/>
      <c r="F288" s="1114">
        <f t="shared" si="8"/>
        <v>82.204718946196806</v>
      </c>
      <c r="G288" s="1096"/>
      <c r="H288" s="1096"/>
      <c r="I288" s="1096"/>
      <c r="J288" s="1096"/>
      <c r="K288" s="1096"/>
      <c r="L288" s="1096"/>
      <c r="M288" s="1096"/>
      <c r="N288" s="1096"/>
      <c r="O288" s="1096"/>
      <c r="P288" s="1096"/>
      <c r="Q288" s="1096"/>
      <c r="R288" s="1096"/>
      <c r="S288" s="1096"/>
      <c r="T288" s="1096"/>
      <c r="U288" s="1096"/>
      <c r="V288" s="1096"/>
      <c r="W288" s="1096"/>
      <c r="X288" s="1096"/>
      <c r="Y288" s="1096"/>
      <c r="Z288" s="1096"/>
      <c r="AA288" s="1096"/>
      <c r="AB288" s="1096"/>
      <c r="AC288" s="1096"/>
      <c r="AD288" s="1096"/>
      <c r="AE288" s="1096"/>
      <c r="AF288" s="1096"/>
      <c r="AG288" s="1096"/>
      <c r="AH288" s="1096"/>
      <c r="AI288" s="1096"/>
      <c r="AJ288" s="1096"/>
      <c r="AK288" s="1096"/>
      <c r="AL288" s="1096"/>
      <c r="AM288" s="1096"/>
      <c r="AN288" s="1096"/>
      <c r="AO288" s="1096"/>
      <c r="AP288" s="1096"/>
      <c r="AQ288" s="1096"/>
      <c r="AR288" s="1096"/>
      <c r="AS288" s="1096"/>
      <c r="AT288" s="1096"/>
      <c r="AU288" s="1096"/>
      <c r="AV288" s="1096"/>
      <c r="AW288" s="1096"/>
      <c r="AX288" s="1096"/>
      <c r="AY288" s="1096"/>
    </row>
    <row r="289" spans="1:51" x14ac:dyDescent="0.45">
      <c r="A289" s="1096">
        <v>1963</v>
      </c>
      <c r="B289" s="1096" t="s">
        <v>1387</v>
      </c>
      <c r="C289" s="1113">
        <f>[7]LRAll!C280</f>
        <v>13.691913444903923</v>
      </c>
      <c r="D289" s="1113">
        <f>[7]LRAll!I280</f>
        <v>11.168097042172452</v>
      </c>
      <c r="E289" s="1096"/>
      <c r="F289" s="1114">
        <f t="shared" si="8"/>
        <v>81.56710226888832</v>
      </c>
      <c r="G289" s="1096"/>
      <c r="H289" s="1096"/>
      <c r="I289" s="1096"/>
      <c r="J289" s="1096"/>
      <c r="K289" s="1096"/>
      <c r="L289" s="1096"/>
      <c r="M289" s="1096"/>
      <c r="N289" s="1096"/>
      <c r="O289" s="1096"/>
      <c r="P289" s="1096"/>
      <c r="Q289" s="1096"/>
      <c r="R289" s="1096"/>
      <c r="S289" s="1096"/>
      <c r="T289" s="1096"/>
      <c r="U289" s="1096"/>
      <c r="V289" s="1096"/>
      <c r="W289" s="1096"/>
      <c r="X289" s="1096"/>
      <c r="Y289" s="1096"/>
      <c r="Z289" s="1096"/>
      <c r="AA289" s="1096"/>
      <c r="AB289" s="1096"/>
      <c r="AC289" s="1096"/>
      <c r="AD289" s="1096"/>
      <c r="AE289" s="1096"/>
      <c r="AF289" s="1096"/>
      <c r="AG289" s="1096"/>
      <c r="AH289" s="1096"/>
      <c r="AI289" s="1096"/>
      <c r="AJ289" s="1096"/>
      <c r="AK289" s="1096"/>
      <c r="AL289" s="1096"/>
      <c r="AM289" s="1096"/>
      <c r="AN289" s="1096"/>
      <c r="AO289" s="1096"/>
      <c r="AP289" s="1096"/>
      <c r="AQ289" s="1096"/>
      <c r="AR289" s="1096"/>
      <c r="AS289" s="1096"/>
      <c r="AT289" s="1096"/>
      <c r="AU289" s="1096"/>
      <c r="AV289" s="1096"/>
      <c r="AW289" s="1096"/>
      <c r="AX289" s="1096"/>
      <c r="AY289" s="1096"/>
    </row>
    <row r="290" spans="1:51" x14ac:dyDescent="0.45">
      <c r="A290" s="1096">
        <v>1963</v>
      </c>
      <c r="B290" s="1096" t="s">
        <v>1389</v>
      </c>
      <c r="C290" s="1113">
        <f>[7]LRAll!C281</f>
        <v>13.705129577572752</v>
      </c>
      <c r="D290" s="1113">
        <f>[7]LRAll!I281</f>
        <v>11.189050319925121</v>
      </c>
      <c r="E290" s="1096"/>
      <c r="F290" s="1114">
        <f t="shared" si="8"/>
        <v>81.641331857489519</v>
      </c>
      <c r="G290" s="1096"/>
      <c r="H290" s="1096"/>
      <c r="I290" s="1096"/>
      <c r="J290" s="1096"/>
      <c r="K290" s="1096"/>
      <c r="L290" s="1096"/>
      <c r="M290" s="1096"/>
      <c r="N290" s="1096"/>
      <c r="O290" s="1096"/>
      <c r="P290" s="1096"/>
      <c r="Q290" s="1096"/>
      <c r="R290" s="1096"/>
      <c r="S290" s="1096"/>
      <c r="T290" s="1096"/>
      <c r="U290" s="1096"/>
      <c r="V290" s="1096"/>
      <c r="W290" s="1096"/>
      <c r="X290" s="1096"/>
      <c r="Y290" s="1096"/>
      <c r="Z290" s="1096"/>
      <c r="AA290" s="1096"/>
      <c r="AB290" s="1096"/>
      <c r="AC290" s="1096"/>
      <c r="AD290" s="1096"/>
      <c r="AE290" s="1096"/>
      <c r="AF290" s="1096"/>
      <c r="AG290" s="1096"/>
      <c r="AH290" s="1096"/>
      <c r="AI290" s="1096"/>
      <c r="AJ290" s="1096"/>
      <c r="AK290" s="1096"/>
      <c r="AL290" s="1096"/>
      <c r="AM290" s="1096"/>
      <c r="AN290" s="1096"/>
      <c r="AO290" s="1096"/>
      <c r="AP290" s="1096"/>
      <c r="AQ290" s="1096"/>
      <c r="AR290" s="1096"/>
      <c r="AS290" s="1096"/>
      <c r="AT290" s="1096"/>
      <c r="AU290" s="1096"/>
      <c r="AV290" s="1096"/>
      <c r="AW290" s="1096"/>
      <c r="AX290" s="1096"/>
      <c r="AY290" s="1096"/>
    </row>
    <row r="291" spans="1:51" x14ac:dyDescent="0.45">
      <c r="A291" s="1096">
        <v>1963</v>
      </c>
      <c r="B291" s="1096" t="s">
        <v>1391</v>
      </c>
      <c r="C291" s="1113">
        <f>[7]LRAll!C282</f>
        <v>13.744777975579229</v>
      </c>
      <c r="D291" s="1113">
        <f>[7]LRAll!I282</f>
        <v>11.189050319925121</v>
      </c>
      <c r="E291" s="1096"/>
      <c r="F291" s="1114">
        <f t="shared" si="8"/>
        <v>81.405828015592917</v>
      </c>
      <c r="G291" s="1096"/>
      <c r="H291" s="1096"/>
      <c r="I291" s="1096"/>
      <c r="J291" s="1096"/>
      <c r="K291" s="1096"/>
      <c r="L291" s="1096"/>
      <c r="M291" s="1096"/>
      <c r="N291" s="1096"/>
      <c r="O291" s="1096"/>
      <c r="P291" s="1096"/>
      <c r="Q291" s="1096"/>
      <c r="R291" s="1096"/>
      <c r="S291" s="1096"/>
      <c r="T291" s="1096"/>
      <c r="U291" s="1096"/>
      <c r="V291" s="1096"/>
      <c r="W291" s="1096"/>
      <c r="X291" s="1096"/>
      <c r="Y291" s="1096"/>
      <c r="Z291" s="1096"/>
      <c r="AA291" s="1096"/>
      <c r="AB291" s="1096"/>
      <c r="AC291" s="1096"/>
      <c r="AD291" s="1096"/>
      <c r="AE291" s="1096"/>
      <c r="AF291" s="1096"/>
      <c r="AG291" s="1096"/>
      <c r="AH291" s="1096"/>
      <c r="AI291" s="1096"/>
      <c r="AJ291" s="1096"/>
      <c r="AK291" s="1096"/>
      <c r="AL291" s="1096"/>
      <c r="AM291" s="1096"/>
      <c r="AN291" s="1096"/>
      <c r="AO291" s="1096"/>
      <c r="AP291" s="1096"/>
      <c r="AQ291" s="1096"/>
      <c r="AR291" s="1096"/>
      <c r="AS291" s="1096"/>
      <c r="AT291" s="1096"/>
      <c r="AU291" s="1096"/>
      <c r="AV291" s="1096"/>
      <c r="AW291" s="1096"/>
      <c r="AX291" s="1096"/>
      <c r="AY291" s="1096"/>
    </row>
    <row r="292" spans="1:51" x14ac:dyDescent="0.45">
      <c r="A292" s="1096">
        <v>1963</v>
      </c>
      <c r="B292" s="1096" t="s">
        <v>1393</v>
      </c>
      <c r="C292" s="1113">
        <f>[7]LRAll!C283</f>
        <v>13.731561842910404</v>
      </c>
      <c r="D292" s="1113">
        <f>[7]LRAll!I283</f>
        <v>10.811891320377084</v>
      </c>
      <c r="E292" s="1096"/>
      <c r="F292" s="1114">
        <f t="shared" si="8"/>
        <v>78.737520495232346</v>
      </c>
      <c r="G292" s="1096"/>
      <c r="H292" s="1096"/>
      <c r="I292" s="1096"/>
      <c r="J292" s="1096"/>
      <c r="K292" s="1096"/>
      <c r="L292" s="1096"/>
      <c r="M292" s="1096"/>
      <c r="N292" s="1096"/>
      <c r="O292" s="1096"/>
      <c r="P292" s="1096"/>
      <c r="Q292" s="1096"/>
      <c r="R292" s="1096"/>
      <c r="S292" s="1096"/>
      <c r="T292" s="1096"/>
      <c r="U292" s="1096"/>
      <c r="V292" s="1096"/>
      <c r="W292" s="1096"/>
      <c r="X292" s="1096"/>
      <c r="Y292" s="1096"/>
      <c r="Z292" s="1096"/>
      <c r="AA292" s="1096"/>
      <c r="AB292" s="1096"/>
      <c r="AC292" s="1096"/>
      <c r="AD292" s="1096"/>
      <c r="AE292" s="1096"/>
      <c r="AF292" s="1096"/>
      <c r="AG292" s="1096"/>
      <c r="AH292" s="1096"/>
      <c r="AI292" s="1096"/>
      <c r="AJ292" s="1096"/>
      <c r="AK292" s="1096"/>
      <c r="AL292" s="1096"/>
      <c r="AM292" s="1096"/>
      <c r="AN292" s="1096"/>
      <c r="AO292" s="1096"/>
      <c r="AP292" s="1096"/>
      <c r="AQ292" s="1096"/>
      <c r="AR292" s="1096"/>
      <c r="AS292" s="1096"/>
      <c r="AT292" s="1096"/>
      <c r="AU292" s="1096"/>
      <c r="AV292" s="1096"/>
      <c r="AW292" s="1096"/>
      <c r="AX292" s="1096"/>
      <c r="AY292" s="1096"/>
    </row>
    <row r="293" spans="1:51" x14ac:dyDescent="0.45">
      <c r="A293" s="1096">
        <v>1963</v>
      </c>
      <c r="B293" s="1096" t="s">
        <v>1371</v>
      </c>
      <c r="C293" s="1113">
        <f>[7]LRAll!C284</f>
        <v>13.731561842910404</v>
      </c>
      <c r="D293" s="1113">
        <f>[7]LRAll!I284</f>
        <v>10.885227792511426</v>
      </c>
      <c r="E293" s="1096"/>
      <c r="F293" s="1114">
        <f t="shared" si="8"/>
        <v>79.271592824172885</v>
      </c>
      <c r="G293" s="1096"/>
      <c r="H293" s="1096"/>
      <c r="I293" s="1096"/>
      <c r="J293" s="1096"/>
      <c r="K293" s="1096"/>
      <c r="L293" s="1096"/>
      <c r="M293" s="1096"/>
      <c r="N293" s="1096"/>
      <c r="O293" s="1096"/>
      <c r="P293" s="1096"/>
      <c r="Q293" s="1096"/>
      <c r="R293" s="1096"/>
      <c r="S293" s="1096"/>
      <c r="T293" s="1096"/>
      <c r="U293" s="1096"/>
      <c r="V293" s="1096"/>
      <c r="W293" s="1096"/>
      <c r="X293" s="1096"/>
      <c r="Y293" s="1096"/>
      <c r="Z293" s="1096"/>
      <c r="AA293" s="1096"/>
      <c r="AB293" s="1096"/>
      <c r="AC293" s="1096"/>
      <c r="AD293" s="1096"/>
      <c r="AE293" s="1096"/>
      <c r="AF293" s="1096"/>
      <c r="AG293" s="1096"/>
      <c r="AH293" s="1096"/>
      <c r="AI293" s="1096"/>
      <c r="AJ293" s="1096"/>
      <c r="AK293" s="1096"/>
      <c r="AL293" s="1096"/>
      <c r="AM293" s="1096"/>
      <c r="AN293" s="1096"/>
      <c r="AO293" s="1096"/>
      <c r="AP293" s="1096"/>
      <c r="AQ293" s="1096"/>
      <c r="AR293" s="1096"/>
      <c r="AS293" s="1096"/>
      <c r="AT293" s="1096"/>
      <c r="AU293" s="1096"/>
      <c r="AV293" s="1096"/>
      <c r="AW293" s="1096"/>
      <c r="AX293" s="1096"/>
      <c r="AY293" s="1096"/>
    </row>
    <row r="294" spans="1:51" x14ac:dyDescent="0.45">
      <c r="A294" s="1096">
        <v>1963</v>
      </c>
      <c r="B294" s="1096" t="s">
        <v>1373</v>
      </c>
      <c r="C294" s="1113">
        <f>[7]LRAll!C285</f>
        <v>13.652265046897446</v>
      </c>
      <c r="D294" s="1113">
        <f>[7]LRAll!I285</f>
        <v>10.916657709140429</v>
      </c>
      <c r="E294" s="1096"/>
      <c r="F294" s="1114">
        <f t="shared" ref="F294:F357" si="9">D294/C294*100</f>
        <v>79.962245617413501</v>
      </c>
      <c r="G294" s="1096"/>
      <c r="H294" s="1096"/>
      <c r="I294" s="1096"/>
      <c r="J294" s="1096"/>
      <c r="K294" s="1096"/>
      <c r="L294" s="1096"/>
      <c r="M294" s="1096"/>
      <c r="N294" s="1096"/>
      <c r="O294" s="1096"/>
      <c r="P294" s="1096"/>
      <c r="Q294" s="1096"/>
      <c r="R294" s="1096"/>
      <c r="S294" s="1096"/>
      <c r="T294" s="1096"/>
      <c r="U294" s="1096"/>
      <c r="V294" s="1096"/>
      <c r="W294" s="1096"/>
      <c r="X294" s="1096"/>
      <c r="Y294" s="1096"/>
      <c r="Z294" s="1096"/>
      <c r="AA294" s="1096"/>
      <c r="AB294" s="1096"/>
      <c r="AC294" s="1096"/>
      <c r="AD294" s="1096"/>
      <c r="AE294" s="1096"/>
      <c r="AF294" s="1096"/>
      <c r="AG294" s="1096"/>
      <c r="AH294" s="1096"/>
      <c r="AI294" s="1096"/>
      <c r="AJ294" s="1096"/>
      <c r="AK294" s="1096"/>
      <c r="AL294" s="1096"/>
      <c r="AM294" s="1096"/>
      <c r="AN294" s="1096"/>
      <c r="AO294" s="1096"/>
      <c r="AP294" s="1096"/>
      <c r="AQ294" s="1096"/>
      <c r="AR294" s="1096"/>
      <c r="AS294" s="1096"/>
      <c r="AT294" s="1096"/>
      <c r="AU294" s="1096"/>
      <c r="AV294" s="1096"/>
      <c r="AW294" s="1096"/>
      <c r="AX294" s="1096"/>
      <c r="AY294" s="1096"/>
    </row>
    <row r="295" spans="1:51" x14ac:dyDescent="0.45">
      <c r="A295" s="1096">
        <v>1963</v>
      </c>
      <c r="B295" s="1096" t="s">
        <v>1375</v>
      </c>
      <c r="C295" s="1113">
        <f>[7]LRAll!C286</f>
        <v>13.612616648890967</v>
      </c>
      <c r="D295" s="1113">
        <f>[7]LRAll!I286</f>
        <v>10.94808762576943</v>
      </c>
      <c r="E295" s="1096"/>
      <c r="F295" s="1114">
        <f t="shared" si="9"/>
        <v>80.42603349636957</v>
      </c>
      <c r="G295" s="1096"/>
      <c r="H295" s="1096"/>
      <c r="I295" s="1096"/>
      <c r="J295" s="1096"/>
      <c r="K295" s="1096"/>
      <c r="L295" s="1096"/>
      <c r="M295" s="1096"/>
      <c r="N295" s="1096"/>
      <c r="O295" s="1096"/>
      <c r="P295" s="1096"/>
      <c r="Q295" s="1096"/>
      <c r="R295" s="1096"/>
      <c r="S295" s="1096"/>
      <c r="T295" s="1096"/>
      <c r="U295" s="1096"/>
      <c r="V295" s="1096"/>
      <c r="W295" s="1096"/>
      <c r="X295" s="1096"/>
      <c r="Y295" s="1096"/>
      <c r="Z295" s="1096"/>
      <c r="AA295" s="1096"/>
      <c r="AB295" s="1096"/>
      <c r="AC295" s="1096"/>
      <c r="AD295" s="1096"/>
      <c r="AE295" s="1096"/>
      <c r="AF295" s="1096"/>
      <c r="AG295" s="1096"/>
      <c r="AH295" s="1096"/>
      <c r="AI295" s="1096"/>
      <c r="AJ295" s="1096"/>
      <c r="AK295" s="1096"/>
      <c r="AL295" s="1096"/>
      <c r="AM295" s="1096"/>
      <c r="AN295" s="1096"/>
      <c r="AO295" s="1096"/>
      <c r="AP295" s="1096"/>
      <c r="AQ295" s="1096"/>
      <c r="AR295" s="1096"/>
      <c r="AS295" s="1096"/>
      <c r="AT295" s="1096"/>
      <c r="AU295" s="1096"/>
      <c r="AV295" s="1096"/>
      <c r="AW295" s="1096"/>
      <c r="AX295" s="1096"/>
      <c r="AY295" s="1096"/>
    </row>
    <row r="296" spans="1:51" x14ac:dyDescent="0.45">
      <c r="A296" s="1096">
        <v>1963</v>
      </c>
      <c r="B296" s="1096" t="s">
        <v>1377</v>
      </c>
      <c r="C296" s="1113">
        <f>[7]LRAll!C287</f>
        <v>13.652265046897446</v>
      </c>
      <c r="D296" s="1113">
        <f>[7]LRAll!I287</f>
        <v>10.979517542398433</v>
      </c>
      <c r="E296" s="1096"/>
      <c r="F296" s="1114">
        <f t="shared" si="9"/>
        <v>80.422680812907231</v>
      </c>
      <c r="G296" s="1096"/>
      <c r="H296" s="1096"/>
      <c r="I296" s="1096"/>
      <c r="J296" s="1096"/>
      <c r="K296" s="1096"/>
      <c r="L296" s="1096"/>
      <c r="M296" s="1096"/>
      <c r="N296" s="1096"/>
      <c r="O296" s="1096"/>
      <c r="P296" s="1096"/>
      <c r="Q296" s="1096"/>
      <c r="R296" s="1096"/>
      <c r="S296" s="1096"/>
      <c r="T296" s="1096"/>
      <c r="U296" s="1096"/>
      <c r="V296" s="1096"/>
      <c r="W296" s="1096"/>
      <c r="X296" s="1096"/>
      <c r="Y296" s="1096"/>
      <c r="Z296" s="1096"/>
      <c r="AA296" s="1096"/>
      <c r="AB296" s="1096"/>
      <c r="AC296" s="1096"/>
      <c r="AD296" s="1096"/>
      <c r="AE296" s="1096"/>
      <c r="AF296" s="1096"/>
      <c r="AG296" s="1096"/>
      <c r="AH296" s="1096"/>
      <c r="AI296" s="1096"/>
      <c r="AJ296" s="1096"/>
      <c r="AK296" s="1096"/>
      <c r="AL296" s="1096"/>
      <c r="AM296" s="1096"/>
      <c r="AN296" s="1096"/>
      <c r="AO296" s="1096"/>
      <c r="AP296" s="1096"/>
      <c r="AQ296" s="1096"/>
      <c r="AR296" s="1096"/>
      <c r="AS296" s="1096"/>
      <c r="AT296" s="1096"/>
      <c r="AU296" s="1096"/>
      <c r="AV296" s="1096"/>
      <c r="AW296" s="1096"/>
      <c r="AX296" s="1096"/>
      <c r="AY296" s="1096"/>
    </row>
    <row r="297" spans="1:51" x14ac:dyDescent="0.45">
      <c r="A297" s="1096">
        <v>1963</v>
      </c>
      <c r="B297" s="1096" t="s">
        <v>1379</v>
      </c>
      <c r="C297" s="1113">
        <f>[7]LRAll!C288</f>
        <v>13.705129577572752</v>
      </c>
      <c r="D297" s="1113">
        <f>[7]LRAll!I288</f>
        <v>10.989994181274771</v>
      </c>
      <c r="E297" s="1096"/>
      <c r="F297" s="1114">
        <f t="shared" si="9"/>
        <v>80.188911159650303</v>
      </c>
      <c r="G297" s="1096"/>
      <c r="H297" s="1096"/>
      <c r="I297" s="1096"/>
      <c r="J297" s="1096"/>
      <c r="K297" s="1096"/>
      <c r="L297" s="1096"/>
      <c r="M297" s="1096"/>
      <c r="N297" s="1096"/>
      <c r="O297" s="1096"/>
      <c r="P297" s="1096"/>
      <c r="Q297" s="1096"/>
      <c r="R297" s="1096"/>
      <c r="S297" s="1096"/>
      <c r="T297" s="1096"/>
      <c r="U297" s="1096"/>
      <c r="V297" s="1096"/>
      <c r="W297" s="1096"/>
      <c r="X297" s="1096"/>
      <c r="Y297" s="1096"/>
      <c r="Z297" s="1096"/>
      <c r="AA297" s="1096"/>
      <c r="AB297" s="1096"/>
      <c r="AC297" s="1096"/>
      <c r="AD297" s="1096"/>
      <c r="AE297" s="1096"/>
      <c r="AF297" s="1096"/>
      <c r="AG297" s="1096"/>
      <c r="AH297" s="1096"/>
      <c r="AI297" s="1096"/>
      <c r="AJ297" s="1096"/>
      <c r="AK297" s="1096"/>
      <c r="AL297" s="1096"/>
      <c r="AM297" s="1096"/>
      <c r="AN297" s="1096"/>
      <c r="AO297" s="1096"/>
      <c r="AP297" s="1096"/>
      <c r="AQ297" s="1096"/>
      <c r="AR297" s="1096"/>
      <c r="AS297" s="1096"/>
      <c r="AT297" s="1096"/>
      <c r="AU297" s="1096"/>
      <c r="AV297" s="1096"/>
      <c r="AW297" s="1096"/>
      <c r="AX297" s="1096"/>
      <c r="AY297" s="1096"/>
    </row>
    <row r="298" spans="1:51" x14ac:dyDescent="0.45">
      <c r="A298" s="1096">
        <v>1963</v>
      </c>
      <c r="B298" s="1096" t="s">
        <v>1381</v>
      </c>
      <c r="C298" s="1113">
        <f>[7]LRAll!C289</f>
        <v>13.744777975579229</v>
      </c>
      <c r="D298" s="1113">
        <f>[7]LRAll!I289</f>
        <v>11.47191956958615</v>
      </c>
      <c r="E298" s="1096"/>
      <c r="F298" s="1114">
        <f t="shared" si="9"/>
        <v>83.463840521605107</v>
      </c>
      <c r="G298" s="1096"/>
      <c r="H298" s="1096"/>
      <c r="I298" s="1096"/>
      <c r="J298" s="1096"/>
      <c r="K298" s="1096"/>
      <c r="L298" s="1096"/>
      <c r="M298" s="1096"/>
      <c r="N298" s="1096"/>
      <c r="O298" s="1096"/>
      <c r="P298" s="1096"/>
      <c r="Q298" s="1096"/>
      <c r="R298" s="1096"/>
      <c r="S298" s="1096"/>
      <c r="T298" s="1096"/>
      <c r="U298" s="1096"/>
      <c r="V298" s="1096"/>
      <c r="W298" s="1096"/>
      <c r="X298" s="1096"/>
      <c r="Y298" s="1096"/>
      <c r="Z298" s="1096"/>
      <c r="AA298" s="1096"/>
      <c r="AB298" s="1096"/>
      <c r="AC298" s="1096"/>
      <c r="AD298" s="1096"/>
      <c r="AE298" s="1096"/>
      <c r="AF298" s="1096"/>
      <c r="AG298" s="1096"/>
      <c r="AH298" s="1096"/>
      <c r="AI298" s="1096"/>
      <c r="AJ298" s="1096"/>
      <c r="AK298" s="1096"/>
      <c r="AL298" s="1096"/>
      <c r="AM298" s="1096"/>
      <c r="AN298" s="1096"/>
      <c r="AO298" s="1096"/>
      <c r="AP298" s="1096"/>
      <c r="AQ298" s="1096"/>
      <c r="AR298" s="1096"/>
      <c r="AS298" s="1096"/>
      <c r="AT298" s="1096"/>
      <c r="AU298" s="1096"/>
      <c r="AV298" s="1096"/>
      <c r="AW298" s="1096"/>
      <c r="AX298" s="1096"/>
      <c r="AY298" s="1096"/>
    </row>
    <row r="299" spans="1:51" x14ac:dyDescent="0.45">
      <c r="A299" s="1096">
        <v>1963</v>
      </c>
      <c r="B299" s="1096" t="s">
        <v>1383</v>
      </c>
      <c r="C299" s="1113">
        <f>[7]LRAll!C290</f>
        <v>13.771210240916883</v>
      </c>
      <c r="D299" s="1113">
        <f>[7]LRAll!I290</f>
        <v>11.49287284733882</v>
      </c>
      <c r="E299" s="1096"/>
      <c r="F299" s="1114">
        <f t="shared" si="9"/>
        <v>83.45579398091904</v>
      </c>
      <c r="G299" s="1096"/>
      <c r="H299" s="1096"/>
      <c r="I299" s="1096"/>
      <c r="J299" s="1096"/>
      <c r="K299" s="1096"/>
      <c r="L299" s="1096"/>
      <c r="M299" s="1096"/>
      <c r="N299" s="1096"/>
      <c r="O299" s="1096"/>
      <c r="P299" s="1096"/>
      <c r="Q299" s="1096"/>
      <c r="R299" s="1096"/>
      <c r="S299" s="1096"/>
      <c r="T299" s="1096"/>
      <c r="U299" s="1096"/>
      <c r="V299" s="1096"/>
      <c r="W299" s="1096"/>
      <c r="X299" s="1096"/>
      <c r="Y299" s="1096"/>
      <c r="Z299" s="1096"/>
      <c r="AA299" s="1096"/>
      <c r="AB299" s="1096"/>
      <c r="AC299" s="1096"/>
      <c r="AD299" s="1096"/>
      <c r="AE299" s="1096"/>
      <c r="AF299" s="1096"/>
      <c r="AG299" s="1096"/>
      <c r="AH299" s="1096"/>
      <c r="AI299" s="1096"/>
      <c r="AJ299" s="1096"/>
      <c r="AK299" s="1096"/>
      <c r="AL299" s="1096"/>
      <c r="AM299" s="1096"/>
      <c r="AN299" s="1096"/>
      <c r="AO299" s="1096"/>
      <c r="AP299" s="1096"/>
      <c r="AQ299" s="1096"/>
      <c r="AR299" s="1096"/>
      <c r="AS299" s="1096"/>
      <c r="AT299" s="1096"/>
      <c r="AU299" s="1096"/>
      <c r="AV299" s="1096"/>
      <c r="AW299" s="1096"/>
      <c r="AX299" s="1096"/>
      <c r="AY299" s="1096"/>
    </row>
    <row r="300" spans="1:51" x14ac:dyDescent="0.45">
      <c r="A300" s="1096">
        <v>1964</v>
      </c>
      <c r="B300" s="1096" t="s">
        <v>1385</v>
      </c>
      <c r="C300" s="1113">
        <f>[7]LRAll!C291</f>
        <v>13.837290904261014</v>
      </c>
      <c r="D300" s="1113">
        <f>[7]LRAll!I291</f>
        <v>11.534779402844157</v>
      </c>
      <c r="E300" s="1096"/>
      <c r="F300" s="1114">
        <f t="shared" si="9"/>
        <v>83.360099044330795</v>
      </c>
      <c r="G300" s="1096"/>
      <c r="H300" s="1096"/>
      <c r="I300" s="1096"/>
      <c r="J300" s="1096"/>
      <c r="K300" s="1096"/>
      <c r="L300" s="1096"/>
      <c r="M300" s="1096"/>
      <c r="N300" s="1096"/>
      <c r="O300" s="1096"/>
      <c r="P300" s="1096"/>
      <c r="Q300" s="1096"/>
      <c r="R300" s="1096"/>
      <c r="S300" s="1096"/>
      <c r="T300" s="1096"/>
      <c r="U300" s="1096"/>
      <c r="V300" s="1096"/>
      <c r="W300" s="1096"/>
      <c r="X300" s="1096"/>
      <c r="Y300" s="1096"/>
      <c r="Z300" s="1096"/>
      <c r="AA300" s="1096"/>
      <c r="AB300" s="1096"/>
      <c r="AC300" s="1096"/>
      <c r="AD300" s="1096"/>
      <c r="AE300" s="1096"/>
      <c r="AF300" s="1096"/>
      <c r="AG300" s="1096"/>
      <c r="AH300" s="1096"/>
      <c r="AI300" s="1096"/>
      <c r="AJ300" s="1096"/>
      <c r="AK300" s="1096"/>
      <c r="AL300" s="1096"/>
      <c r="AM300" s="1096"/>
      <c r="AN300" s="1096"/>
      <c r="AO300" s="1096"/>
      <c r="AP300" s="1096"/>
      <c r="AQ300" s="1096"/>
      <c r="AR300" s="1096"/>
      <c r="AS300" s="1096"/>
      <c r="AT300" s="1096"/>
      <c r="AU300" s="1096"/>
      <c r="AV300" s="1096"/>
      <c r="AW300" s="1096"/>
      <c r="AX300" s="1096"/>
      <c r="AY300" s="1096"/>
    </row>
    <row r="301" spans="1:51" x14ac:dyDescent="0.45">
      <c r="A301" s="1096">
        <v>1964</v>
      </c>
      <c r="B301" s="1096" t="s">
        <v>1387</v>
      </c>
      <c r="C301" s="1113">
        <f>[7]LRAll!C292</f>
        <v>13.850507036929839</v>
      </c>
      <c r="D301" s="1113">
        <f>[7]LRAll!I292</f>
        <v>11.54525604172049</v>
      </c>
      <c r="E301" s="1096"/>
      <c r="F301" s="1114">
        <f t="shared" si="9"/>
        <v>83.356197797937511</v>
      </c>
      <c r="G301" s="1096"/>
      <c r="H301" s="1096"/>
      <c r="I301" s="1096"/>
      <c r="J301" s="1096"/>
      <c r="K301" s="1096"/>
      <c r="L301" s="1096"/>
      <c r="M301" s="1096"/>
      <c r="N301" s="1096"/>
      <c r="O301" s="1096"/>
      <c r="P301" s="1096"/>
      <c r="Q301" s="1096"/>
      <c r="R301" s="1096"/>
      <c r="S301" s="1096"/>
      <c r="T301" s="1096"/>
      <c r="U301" s="1096"/>
      <c r="V301" s="1096"/>
      <c r="W301" s="1096"/>
      <c r="X301" s="1096"/>
      <c r="Y301" s="1096"/>
      <c r="Z301" s="1096"/>
      <c r="AA301" s="1096"/>
      <c r="AB301" s="1096"/>
      <c r="AC301" s="1096"/>
      <c r="AD301" s="1096"/>
      <c r="AE301" s="1096"/>
      <c r="AF301" s="1096"/>
      <c r="AG301" s="1096"/>
      <c r="AH301" s="1096"/>
      <c r="AI301" s="1096"/>
      <c r="AJ301" s="1096"/>
      <c r="AK301" s="1096"/>
      <c r="AL301" s="1096"/>
      <c r="AM301" s="1096"/>
      <c r="AN301" s="1096"/>
      <c r="AO301" s="1096"/>
      <c r="AP301" s="1096"/>
      <c r="AQ301" s="1096"/>
      <c r="AR301" s="1096"/>
      <c r="AS301" s="1096"/>
      <c r="AT301" s="1096"/>
      <c r="AU301" s="1096"/>
      <c r="AV301" s="1096"/>
      <c r="AW301" s="1096"/>
      <c r="AX301" s="1096"/>
      <c r="AY301" s="1096"/>
    </row>
    <row r="302" spans="1:51" x14ac:dyDescent="0.45">
      <c r="A302" s="1096">
        <v>1964</v>
      </c>
      <c r="B302" s="1096" t="s">
        <v>1389</v>
      </c>
      <c r="C302" s="1113">
        <f>[7]LRAll!C293</f>
        <v>13.903371567605145</v>
      </c>
      <c r="D302" s="1113">
        <f>[7]LRAll!I293</f>
        <v>11.524302763967823</v>
      </c>
      <c r="E302" s="1096"/>
      <c r="F302" s="1114">
        <f t="shared" si="9"/>
        <v>82.888547629838556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096"/>
      <c r="AE302" s="1096"/>
      <c r="AF302" s="1096"/>
      <c r="AG302" s="1096"/>
      <c r="AH302" s="1096"/>
      <c r="AI302" s="1096"/>
      <c r="AJ302" s="1096"/>
      <c r="AK302" s="1096"/>
      <c r="AL302" s="1096"/>
      <c r="AM302" s="1096"/>
      <c r="AN302" s="1096"/>
      <c r="AO302" s="1096"/>
      <c r="AP302" s="1096"/>
      <c r="AQ302" s="1096"/>
      <c r="AR302" s="1096"/>
      <c r="AS302" s="1096"/>
      <c r="AT302" s="1096"/>
      <c r="AU302" s="1096"/>
      <c r="AV302" s="1096"/>
      <c r="AW302" s="1096"/>
      <c r="AX302" s="1096"/>
      <c r="AY302" s="1096"/>
    </row>
    <row r="303" spans="1:51" x14ac:dyDescent="0.45">
      <c r="A303" s="1096">
        <v>1964</v>
      </c>
      <c r="B303" s="1096" t="s">
        <v>1391</v>
      </c>
      <c r="C303" s="1113">
        <f>[7]LRAll!C294</f>
        <v>14.022316761624579</v>
      </c>
      <c r="D303" s="1113">
        <f>[7]LRAll!I294</f>
        <v>11.534779402844157</v>
      </c>
      <c r="E303" s="1096"/>
      <c r="F303" s="1114">
        <f t="shared" si="9"/>
        <v>82.260154287855187</v>
      </c>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096"/>
      <c r="AE303" s="1096"/>
      <c r="AF303" s="1096"/>
      <c r="AG303" s="1096"/>
      <c r="AH303" s="1096"/>
      <c r="AI303" s="1096"/>
      <c r="AJ303" s="1096"/>
      <c r="AK303" s="1096"/>
      <c r="AL303" s="1096"/>
      <c r="AM303" s="1096"/>
      <c r="AN303" s="1096"/>
      <c r="AO303" s="1096"/>
      <c r="AP303" s="1096"/>
      <c r="AQ303" s="1096"/>
      <c r="AR303" s="1096"/>
      <c r="AS303" s="1096"/>
      <c r="AT303" s="1096"/>
      <c r="AU303" s="1096"/>
      <c r="AV303" s="1096"/>
      <c r="AW303" s="1096"/>
      <c r="AX303" s="1096"/>
      <c r="AY303" s="1096"/>
    </row>
    <row r="304" spans="1:51" x14ac:dyDescent="0.45">
      <c r="A304" s="1096">
        <v>1964</v>
      </c>
      <c r="B304" s="1096" t="s">
        <v>1393</v>
      </c>
      <c r="C304" s="1113">
        <f>[7]LRAll!C295</f>
        <v>14.141261955644014</v>
      </c>
      <c r="D304" s="1113">
        <f>[7]LRAll!I295</f>
        <v>11.115713847790781</v>
      </c>
      <c r="E304" s="1096"/>
      <c r="F304" s="1114">
        <f t="shared" si="9"/>
        <v>78.604822417240598</v>
      </c>
      <c r="G304" s="1096"/>
      <c r="H304" s="1096"/>
      <c r="I304" s="1096"/>
      <c r="J304" s="1096"/>
      <c r="K304" s="1096"/>
      <c r="L304" s="1096"/>
      <c r="M304" s="1096"/>
      <c r="N304" s="1096"/>
      <c r="O304" s="1096"/>
      <c r="P304" s="1096"/>
      <c r="Q304" s="1096"/>
      <c r="R304" s="1096"/>
      <c r="S304" s="1096"/>
      <c r="T304" s="1096"/>
      <c r="U304" s="1096"/>
      <c r="V304" s="1096"/>
      <c r="W304" s="1096"/>
      <c r="X304" s="1096"/>
      <c r="Y304" s="1096"/>
      <c r="Z304" s="1096"/>
      <c r="AA304" s="1096"/>
      <c r="AB304" s="1096"/>
      <c r="AC304" s="1096"/>
      <c r="AD304" s="1096"/>
      <c r="AE304" s="1096"/>
      <c r="AF304" s="1096"/>
      <c r="AG304" s="1096"/>
      <c r="AH304" s="1096"/>
      <c r="AI304" s="1096"/>
      <c r="AJ304" s="1096"/>
      <c r="AK304" s="1096"/>
      <c r="AL304" s="1096"/>
      <c r="AM304" s="1096"/>
      <c r="AN304" s="1096"/>
      <c r="AO304" s="1096"/>
      <c r="AP304" s="1096"/>
      <c r="AQ304" s="1096"/>
      <c r="AR304" s="1096"/>
      <c r="AS304" s="1096"/>
      <c r="AT304" s="1096"/>
      <c r="AU304" s="1096"/>
      <c r="AV304" s="1096"/>
      <c r="AW304" s="1096"/>
      <c r="AX304" s="1096"/>
      <c r="AY304" s="1096"/>
    </row>
    <row r="305" spans="1:51" x14ac:dyDescent="0.45">
      <c r="A305" s="1096">
        <v>1964</v>
      </c>
      <c r="B305" s="1096" t="s">
        <v>1371</v>
      </c>
      <c r="C305" s="1113">
        <f>[7]LRAll!C296</f>
        <v>14.19412648631932</v>
      </c>
      <c r="D305" s="1113">
        <f>[7]LRAll!I296</f>
        <v>11.15762040329612</v>
      </c>
      <c r="E305" s="1096"/>
      <c r="F305" s="1114">
        <f t="shared" si="9"/>
        <v>78.607305733467527</v>
      </c>
      <c r="G305" s="1096"/>
      <c r="H305" s="1096"/>
      <c r="I305" s="1096"/>
      <c r="J305" s="1096"/>
      <c r="K305" s="1096"/>
      <c r="L305" s="1096"/>
      <c r="M305" s="1096"/>
      <c r="N305" s="1096"/>
      <c r="O305" s="1096"/>
      <c r="P305" s="1096"/>
      <c r="Q305" s="1096"/>
      <c r="R305" s="1096"/>
      <c r="S305" s="1096"/>
      <c r="T305" s="1096"/>
      <c r="U305" s="1096"/>
      <c r="V305" s="1096"/>
      <c r="W305" s="1096"/>
      <c r="X305" s="1096"/>
      <c r="Y305" s="1096"/>
      <c r="Z305" s="1096"/>
      <c r="AA305" s="1096"/>
      <c r="AB305" s="1096"/>
      <c r="AC305" s="1096"/>
      <c r="AD305" s="1096"/>
      <c r="AE305" s="1096"/>
      <c r="AF305" s="1096"/>
      <c r="AG305" s="1096"/>
      <c r="AH305" s="1096"/>
      <c r="AI305" s="1096"/>
      <c r="AJ305" s="1096"/>
      <c r="AK305" s="1096"/>
      <c r="AL305" s="1096"/>
      <c r="AM305" s="1096"/>
      <c r="AN305" s="1096"/>
      <c r="AO305" s="1096"/>
      <c r="AP305" s="1096"/>
      <c r="AQ305" s="1096"/>
      <c r="AR305" s="1096"/>
      <c r="AS305" s="1096"/>
      <c r="AT305" s="1096"/>
      <c r="AU305" s="1096"/>
      <c r="AV305" s="1096"/>
      <c r="AW305" s="1096"/>
      <c r="AX305" s="1096"/>
      <c r="AY305" s="1096"/>
    </row>
    <row r="306" spans="1:51" x14ac:dyDescent="0.45">
      <c r="A306" s="1096">
        <v>1964</v>
      </c>
      <c r="B306" s="1096" t="s">
        <v>1373</v>
      </c>
      <c r="C306" s="1113">
        <f>[7]LRAll!C297</f>
        <v>14.19412648631932</v>
      </c>
      <c r="D306" s="1113">
        <f>[7]LRAll!I297</f>
        <v>11.15762040329612</v>
      </c>
      <c r="E306" s="1096"/>
      <c r="F306" s="1114">
        <f t="shared" si="9"/>
        <v>78.607305733467527</v>
      </c>
      <c r="G306" s="1096"/>
      <c r="H306" s="1096"/>
      <c r="I306" s="1096"/>
      <c r="J306" s="1096"/>
      <c r="K306" s="1096"/>
      <c r="L306" s="1096"/>
      <c r="M306" s="1096"/>
      <c r="N306" s="1096"/>
      <c r="O306" s="1096"/>
      <c r="P306" s="1096"/>
      <c r="Q306" s="1096"/>
      <c r="R306" s="1096"/>
      <c r="S306" s="1096"/>
      <c r="T306" s="1096"/>
      <c r="U306" s="1096"/>
      <c r="V306" s="1096"/>
      <c r="W306" s="1096"/>
      <c r="X306" s="1096"/>
      <c r="Y306" s="1096"/>
      <c r="Z306" s="1096"/>
      <c r="AA306" s="1096"/>
      <c r="AB306" s="1096"/>
      <c r="AC306" s="1096"/>
      <c r="AD306" s="1096"/>
      <c r="AE306" s="1096"/>
      <c r="AF306" s="1096"/>
      <c r="AG306" s="1096"/>
      <c r="AH306" s="1096"/>
      <c r="AI306" s="1096"/>
      <c r="AJ306" s="1096"/>
      <c r="AK306" s="1096"/>
      <c r="AL306" s="1096"/>
      <c r="AM306" s="1096"/>
      <c r="AN306" s="1096"/>
      <c r="AO306" s="1096"/>
      <c r="AP306" s="1096"/>
      <c r="AQ306" s="1096"/>
      <c r="AR306" s="1096"/>
      <c r="AS306" s="1096"/>
      <c r="AT306" s="1096"/>
      <c r="AU306" s="1096"/>
      <c r="AV306" s="1096"/>
      <c r="AW306" s="1096"/>
      <c r="AX306" s="1096"/>
      <c r="AY306" s="1096"/>
    </row>
    <row r="307" spans="1:51" x14ac:dyDescent="0.45">
      <c r="A307" s="1096">
        <v>1964</v>
      </c>
      <c r="B307" s="1096" t="s">
        <v>1375</v>
      </c>
      <c r="C307" s="1113">
        <f>[7]LRAll!C298</f>
        <v>14.246991016994624</v>
      </c>
      <c r="D307" s="1113">
        <f>[7]LRAll!I298</f>
        <v>11.409059736328144</v>
      </c>
      <c r="E307" s="1096"/>
      <c r="F307" s="1114">
        <f t="shared" si="9"/>
        <v>80.080486628501177</v>
      </c>
      <c r="G307" s="1096"/>
      <c r="H307" s="1096"/>
      <c r="I307" s="1096"/>
      <c r="J307" s="1096"/>
      <c r="K307" s="1096"/>
      <c r="L307" s="1096"/>
      <c r="M307" s="1096"/>
      <c r="N307" s="1096"/>
      <c r="O307" s="1096"/>
      <c r="P307" s="1096"/>
      <c r="Q307" s="1096"/>
      <c r="R307" s="1096"/>
      <c r="S307" s="1096"/>
      <c r="T307" s="1096"/>
      <c r="U307" s="1096"/>
      <c r="V307" s="1096"/>
      <c r="W307" s="1096"/>
      <c r="X307" s="1096"/>
      <c r="Y307" s="1096"/>
      <c r="Z307" s="1096"/>
      <c r="AA307" s="1096"/>
      <c r="AB307" s="1096"/>
      <c r="AC307" s="1096"/>
      <c r="AD307" s="1096"/>
      <c r="AE307" s="1096"/>
      <c r="AF307" s="1096"/>
      <c r="AG307" s="1096"/>
      <c r="AH307" s="1096"/>
      <c r="AI307" s="1096"/>
      <c r="AJ307" s="1096"/>
      <c r="AK307" s="1096"/>
      <c r="AL307" s="1096"/>
      <c r="AM307" s="1096"/>
      <c r="AN307" s="1096"/>
      <c r="AO307" s="1096"/>
      <c r="AP307" s="1096"/>
      <c r="AQ307" s="1096"/>
      <c r="AR307" s="1096"/>
      <c r="AS307" s="1096"/>
      <c r="AT307" s="1096"/>
      <c r="AU307" s="1096"/>
      <c r="AV307" s="1096"/>
      <c r="AW307" s="1096"/>
      <c r="AX307" s="1096"/>
      <c r="AY307" s="1096"/>
    </row>
    <row r="308" spans="1:51" x14ac:dyDescent="0.45">
      <c r="A308" s="1096">
        <v>1964</v>
      </c>
      <c r="B308" s="1096" t="s">
        <v>1377</v>
      </c>
      <c r="C308" s="1113">
        <f>[7]LRAll!C299</f>
        <v>14.246991016994624</v>
      </c>
      <c r="D308" s="1113">
        <f>[7]LRAll!I299</f>
        <v>11.461442930709817</v>
      </c>
      <c r="E308" s="1096"/>
      <c r="F308" s="1114">
        <f t="shared" si="9"/>
        <v>80.448165630468594</v>
      </c>
      <c r="G308" s="1096"/>
      <c r="H308" s="1096"/>
      <c r="I308" s="1096"/>
      <c r="J308" s="1096"/>
      <c r="K308" s="1096"/>
      <c r="L308" s="1096"/>
      <c r="M308" s="1096"/>
      <c r="N308" s="1096"/>
      <c r="O308" s="1096"/>
      <c r="P308" s="1096"/>
      <c r="Q308" s="1096"/>
      <c r="R308" s="1096"/>
      <c r="S308" s="1096"/>
      <c r="T308" s="1096"/>
      <c r="U308" s="1096"/>
      <c r="V308" s="1096"/>
      <c r="W308" s="1096"/>
      <c r="X308" s="1096"/>
      <c r="Y308" s="1096"/>
      <c r="Z308" s="1096"/>
      <c r="AA308" s="1096"/>
      <c r="AB308" s="1096"/>
      <c r="AC308" s="1096"/>
      <c r="AD308" s="1096"/>
      <c r="AE308" s="1096"/>
      <c r="AF308" s="1096"/>
      <c r="AG308" s="1096"/>
      <c r="AH308" s="1096"/>
      <c r="AI308" s="1096"/>
      <c r="AJ308" s="1096"/>
      <c r="AK308" s="1096"/>
      <c r="AL308" s="1096"/>
      <c r="AM308" s="1096"/>
      <c r="AN308" s="1096"/>
      <c r="AO308" s="1096"/>
      <c r="AP308" s="1096"/>
      <c r="AQ308" s="1096"/>
      <c r="AR308" s="1096"/>
      <c r="AS308" s="1096"/>
      <c r="AT308" s="1096"/>
      <c r="AU308" s="1096"/>
      <c r="AV308" s="1096"/>
      <c r="AW308" s="1096"/>
      <c r="AX308" s="1096"/>
      <c r="AY308" s="1096"/>
    </row>
    <row r="309" spans="1:51" x14ac:dyDescent="0.45">
      <c r="A309" s="1096">
        <v>1964</v>
      </c>
      <c r="B309" s="1096" t="s">
        <v>1379</v>
      </c>
      <c r="C309" s="1113">
        <f>[7]LRAll!C300</f>
        <v>14.260207149663451</v>
      </c>
      <c r="D309" s="1113">
        <f>[7]LRAll!I300</f>
        <v>11.49287284733882</v>
      </c>
      <c r="E309" s="1096"/>
      <c r="F309" s="1114">
        <f t="shared" si="9"/>
        <v>80.594010498718859</v>
      </c>
      <c r="G309" s="1096"/>
      <c r="H309" s="1096"/>
      <c r="I309" s="1096"/>
      <c r="J309" s="1096"/>
      <c r="K309" s="1096"/>
      <c r="L309" s="1096"/>
      <c r="M309" s="1096"/>
      <c r="N309" s="1096"/>
      <c r="O309" s="1096"/>
      <c r="P309" s="1096"/>
      <c r="Q309" s="1096"/>
      <c r="R309" s="1096"/>
      <c r="S309" s="1096"/>
      <c r="T309" s="1096"/>
      <c r="U309" s="1096"/>
      <c r="V309" s="1096"/>
      <c r="W309" s="1096"/>
      <c r="X309" s="1096"/>
      <c r="Y309" s="1096"/>
      <c r="Z309" s="1096"/>
      <c r="AA309" s="1096"/>
      <c r="AB309" s="1096"/>
      <c r="AC309" s="1096"/>
      <c r="AD309" s="1096"/>
      <c r="AE309" s="1096"/>
      <c r="AF309" s="1096"/>
      <c r="AG309" s="1096"/>
      <c r="AH309" s="1096"/>
      <c r="AI309" s="1096"/>
      <c r="AJ309" s="1096"/>
      <c r="AK309" s="1096"/>
      <c r="AL309" s="1096"/>
      <c r="AM309" s="1096"/>
      <c r="AN309" s="1096"/>
      <c r="AO309" s="1096"/>
      <c r="AP309" s="1096"/>
      <c r="AQ309" s="1096"/>
      <c r="AR309" s="1096"/>
      <c r="AS309" s="1096"/>
      <c r="AT309" s="1096"/>
      <c r="AU309" s="1096"/>
      <c r="AV309" s="1096"/>
      <c r="AW309" s="1096"/>
      <c r="AX309" s="1096"/>
      <c r="AY309" s="1096"/>
    </row>
    <row r="310" spans="1:51" x14ac:dyDescent="0.45">
      <c r="A310" s="1096">
        <v>1964</v>
      </c>
      <c r="B310" s="1096" t="s">
        <v>1381</v>
      </c>
      <c r="C310" s="1113">
        <f>[7]LRAll!C301</f>
        <v>14.379152343682886</v>
      </c>
      <c r="D310" s="1113">
        <f>[7]LRAll!I301</f>
        <v>11.54525604172049</v>
      </c>
      <c r="E310" s="1096"/>
      <c r="F310" s="1114">
        <f t="shared" si="9"/>
        <v>80.291631702425107</v>
      </c>
      <c r="G310" s="1096"/>
      <c r="H310" s="1096"/>
      <c r="I310" s="1096"/>
      <c r="J310" s="1096"/>
      <c r="K310" s="1096"/>
      <c r="L310" s="1096"/>
      <c r="M310" s="1096"/>
      <c r="N310" s="1096"/>
      <c r="O310" s="1096"/>
      <c r="P310" s="1096"/>
      <c r="Q310" s="1096"/>
      <c r="R310" s="1096"/>
      <c r="S310" s="1096"/>
      <c r="T310" s="1096"/>
      <c r="U310" s="1096"/>
      <c r="V310" s="1096"/>
      <c r="W310" s="1096"/>
      <c r="X310" s="1096"/>
      <c r="Y310" s="1096"/>
      <c r="Z310" s="1096"/>
      <c r="AA310" s="1096"/>
      <c r="AB310" s="1096"/>
      <c r="AC310" s="1096"/>
      <c r="AD310" s="1096"/>
      <c r="AE310" s="1096"/>
      <c r="AF310" s="1096"/>
      <c r="AG310" s="1096"/>
      <c r="AH310" s="1096"/>
      <c r="AI310" s="1096"/>
      <c r="AJ310" s="1096"/>
      <c r="AK310" s="1096"/>
      <c r="AL310" s="1096"/>
      <c r="AM310" s="1096"/>
      <c r="AN310" s="1096"/>
      <c r="AO310" s="1096"/>
      <c r="AP310" s="1096"/>
      <c r="AQ310" s="1096"/>
      <c r="AR310" s="1096"/>
      <c r="AS310" s="1096"/>
      <c r="AT310" s="1096"/>
      <c r="AU310" s="1096"/>
      <c r="AV310" s="1096"/>
      <c r="AW310" s="1096"/>
      <c r="AX310" s="1096"/>
      <c r="AY310" s="1096"/>
    </row>
    <row r="311" spans="1:51" x14ac:dyDescent="0.45">
      <c r="A311" s="1096">
        <v>1964</v>
      </c>
      <c r="B311" s="1096" t="s">
        <v>1383</v>
      </c>
      <c r="C311" s="1113">
        <f>[7]LRAll!C302</f>
        <v>14.432016874358192</v>
      </c>
      <c r="D311" s="1113">
        <f>[7]LRAll!I302</f>
        <v>11.985274874526535</v>
      </c>
      <c r="E311" s="1096"/>
      <c r="F311" s="1114">
        <f t="shared" si="9"/>
        <v>83.046430577704925</v>
      </c>
      <c r="G311" s="1096"/>
      <c r="H311" s="1096"/>
      <c r="I311" s="1096"/>
      <c r="J311" s="1096"/>
      <c r="K311" s="1096"/>
      <c r="L311" s="1096"/>
      <c r="M311" s="1096"/>
      <c r="N311" s="1096"/>
      <c r="O311" s="1096"/>
      <c r="P311" s="1096"/>
      <c r="Q311" s="1096"/>
      <c r="R311" s="1096"/>
      <c r="S311" s="1096"/>
      <c r="T311" s="1096"/>
      <c r="U311" s="1096"/>
      <c r="V311" s="1096"/>
      <c r="W311" s="1096"/>
      <c r="X311" s="1096"/>
      <c r="Y311" s="1096"/>
      <c r="Z311" s="1096"/>
      <c r="AA311" s="1096"/>
      <c r="AB311" s="1096"/>
      <c r="AC311" s="1096"/>
      <c r="AD311" s="1096"/>
      <c r="AE311" s="1096"/>
      <c r="AF311" s="1096"/>
      <c r="AG311" s="1096"/>
      <c r="AH311" s="1096"/>
      <c r="AI311" s="1096"/>
      <c r="AJ311" s="1096"/>
      <c r="AK311" s="1096"/>
      <c r="AL311" s="1096"/>
      <c r="AM311" s="1096"/>
      <c r="AN311" s="1096"/>
      <c r="AO311" s="1096"/>
      <c r="AP311" s="1096"/>
      <c r="AQ311" s="1096"/>
      <c r="AR311" s="1096"/>
      <c r="AS311" s="1096"/>
      <c r="AT311" s="1096"/>
      <c r="AU311" s="1096"/>
      <c r="AV311" s="1096"/>
      <c r="AW311" s="1096"/>
      <c r="AX311" s="1096"/>
      <c r="AY311" s="1096"/>
    </row>
    <row r="312" spans="1:51" x14ac:dyDescent="0.45">
      <c r="A312" s="1096">
        <v>1965</v>
      </c>
      <c r="B312" s="1096" t="s">
        <v>1385</v>
      </c>
      <c r="C312" s="1113">
        <f>[7]LRAll!C303</f>
        <v>14.471665272364669</v>
      </c>
      <c r="D312" s="1113">
        <f>[7]LRAll!I303</f>
        <v>12.027181430031872</v>
      </c>
      <c r="E312" s="1096"/>
      <c r="F312" s="1114">
        <f t="shared" si="9"/>
        <v>83.108482705160242</v>
      </c>
      <c r="G312" s="1096"/>
      <c r="H312" s="1096"/>
      <c r="I312" s="1096"/>
      <c r="J312" s="1096"/>
      <c r="K312" s="1096"/>
      <c r="L312" s="1096"/>
      <c r="M312" s="1096"/>
      <c r="N312" s="1096"/>
      <c r="O312" s="1096"/>
      <c r="P312" s="1096"/>
      <c r="Q312" s="1096"/>
      <c r="R312" s="1096"/>
      <c r="S312" s="1096"/>
      <c r="T312" s="1096"/>
      <c r="U312" s="1096"/>
      <c r="V312" s="1096"/>
      <c r="W312" s="1096"/>
      <c r="X312" s="1096"/>
      <c r="Y312" s="1096"/>
      <c r="Z312" s="1096"/>
      <c r="AA312" s="1096"/>
      <c r="AB312" s="1096"/>
      <c r="AC312" s="1096"/>
      <c r="AD312" s="1096"/>
      <c r="AE312" s="1096"/>
      <c r="AF312" s="1096"/>
      <c r="AG312" s="1096"/>
      <c r="AH312" s="1096"/>
      <c r="AI312" s="1096"/>
      <c r="AJ312" s="1096"/>
      <c r="AK312" s="1096"/>
      <c r="AL312" s="1096"/>
      <c r="AM312" s="1096"/>
      <c r="AN312" s="1096"/>
      <c r="AO312" s="1096"/>
      <c r="AP312" s="1096"/>
      <c r="AQ312" s="1096"/>
      <c r="AR312" s="1096"/>
      <c r="AS312" s="1096"/>
      <c r="AT312" s="1096"/>
      <c r="AU312" s="1096"/>
      <c r="AV312" s="1096"/>
      <c r="AW312" s="1096"/>
      <c r="AX312" s="1096"/>
      <c r="AY312" s="1096"/>
    </row>
    <row r="313" spans="1:51" x14ac:dyDescent="0.45">
      <c r="A313" s="1096">
        <v>1965</v>
      </c>
      <c r="B313" s="1096" t="s">
        <v>1387</v>
      </c>
      <c r="C313" s="1113">
        <f>[7]LRAll!C304</f>
        <v>14.471665272364669</v>
      </c>
      <c r="D313" s="1113">
        <f>[7]LRAll!I304</f>
        <v>12.058611346660875</v>
      </c>
      <c r="E313" s="1096"/>
      <c r="F313" s="1114">
        <f t="shared" si="9"/>
        <v>83.325665151253872</v>
      </c>
      <c r="G313" s="1096"/>
      <c r="H313" s="1096"/>
      <c r="I313" s="1096"/>
      <c r="J313" s="1096"/>
      <c r="K313" s="1096"/>
      <c r="L313" s="1096"/>
      <c r="M313" s="1096"/>
      <c r="N313" s="1096"/>
      <c r="O313" s="1096"/>
      <c r="P313" s="1096"/>
      <c r="Q313" s="1096"/>
      <c r="R313" s="1096"/>
      <c r="S313" s="1096"/>
      <c r="T313" s="1096"/>
      <c r="U313" s="1096"/>
      <c r="V313" s="1096"/>
      <c r="W313" s="1096"/>
      <c r="X313" s="1096"/>
      <c r="Y313" s="1096"/>
      <c r="Z313" s="1096"/>
      <c r="AA313" s="1096"/>
      <c r="AB313" s="1096"/>
      <c r="AC313" s="1096"/>
      <c r="AD313" s="1096"/>
      <c r="AE313" s="1096"/>
      <c r="AF313" s="1096"/>
      <c r="AG313" s="1096"/>
      <c r="AH313" s="1096"/>
      <c r="AI313" s="1096"/>
      <c r="AJ313" s="1096"/>
      <c r="AK313" s="1096"/>
      <c r="AL313" s="1096"/>
      <c r="AM313" s="1096"/>
      <c r="AN313" s="1096"/>
      <c r="AO313" s="1096"/>
      <c r="AP313" s="1096"/>
      <c r="AQ313" s="1096"/>
      <c r="AR313" s="1096"/>
      <c r="AS313" s="1096"/>
      <c r="AT313" s="1096"/>
      <c r="AU313" s="1096"/>
      <c r="AV313" s="1096"/>
      <c r="AW313" s="1096"/>
      <c r="AX313" s="1096"/>
      <c r="AY313" s="1096"/>
    </row>
    <row r="314" spans="1:51" x14ac:dyDescent="0.45">
      <c r="A314" s="1096">
        <v>1965</v>
      </c>
      <c r="B314" s="1096" t="s">
        <v>1389</v>
      </c>
      <c r="C314" s="1113">
        <f>[7]LRAll!C305</f>
        <v>14.524529803039975</v>
      </c>
      <c r="D314" s="1113">
        <f>[7]LRAll!I305</f>
        <v>12.121471179918883</v>
      </c>
      <c r="E314" s="1096"/>
      <c r="F314" s="1114">
        <f t="shared" si="9"/>
        <v>83.455170971399468</v>
      </c>
      <c r="G314" s="1096"/>
      <c r="H314" s="1096"/>
      <c r="I314" s="1096"/>
      <c r="J314" s="1096"/>
      <c r="K314" s="1096"/>
      <c r="L314" s="1096"/>
      <c r="M314" s="1096"/>
      <c r="N314" s="1096"/>
      <c r="O314" s="1096"/>
      <c r="P314" s="1096"/>
      <c r="Q314" s="1096"/>
      <c r="R314" s="1096"/>
      <c r="S314" s="1096"/>
      <c r="T314" s="1096"/>
      <c r="U314" s="1096"/>
      <c r="V314" s="1096"/>
      <c r="W314" s="1096"/>
      <c r="X314" s="1096"/>
      <c r="Y314" s="1096"/>
      <c r="Z314" s="1096"/>
      <c r="AA314" s="1096"/>
      <c r="AB314" s="1096"/>
      <c r="AC314" s="1096"/>
      <c r="AD314" s="1096"/>
      <c r="AE314" s="1096"/>
      <c r="AF314" s="1096"/>
      <c r="AG314" s="1096"/>
      <c r="AH314" s="1096"/>
      <c r="AI314" s="1096"/>
      <c r="AJ314" s="1096"/>
      <c r="AK314" s="1096"/>
      <c r="AL314" s="1096"/>
      <c r="AM314" s="1096"/>
      <c r="AN314" s="1096"/>
      <c r="AO314" s="1096"/>
      <c r="AP314" s="1096"/>
      <c r="AQ314" s="1096"/>
      <c r="AR314" s="1096"/>
      <c r="AS314" s="1096"/>
      <c r="AT314" s="1096"/>
      <c r="AU314" s="1096"/>
      <c r="AV314" s="1096"/>
      <c r="AW314" s="1096"/>
      <c r="AX314" s="1096"/>
      <c r="AY314" s="1096"/>
    </row>
    <row r="315" spans="1:51" x14ac:dyDescent="0.45">
      <c r="A315" s="1096">
        <v>1965</v>
      </c>
      <c r="B315" s="1096" t="s">
        <v>1391</v>
      </c>
      <c r="C315" s="1113">
        <f>[7]LRAll!C306</f>
        <v>14.802068589085323</v>
      </c>
      <c r="D315" s="1113">
        <f>[7]LRAll!I306</f>
        <v>11.576685958349493</v>
      </c>
      <c r="E315" s="1096"/>
      <c r="F315" s="1114">
        <f t="shared" si="9"/>
        <v>78.209919705991993</v>
      </c>
      <c r="G315" s="1096"/>
      <c r="H315" s="1096"/>
      <c r="I315" s="1096"/>
      <c r="J315" s="1096"/>
      <c r="K315" s="1096"/>
      <c r="L315" s="1096"/>
      <c r="M315" s="1096"/>
      <c r="N315" s="1096"/>
      <c r="O315" s="1096"/>
      <c r="P315" s="1096"/>
      <c r="Q315" s="1096"/>
      <c r="R315" s="1096"/>
      <c r="S315" s="1096"/>
      <c r="T315" s="1096"/>
      <c r="U315" s="1096"/>
      <c r="V315" s="1096"/>
      <c r="W315" s="1096"/>
      <c r="X315" s="1096"/>
      <c r="Y315" s="1096"/>
      <c r="Z315" s="1096"/>
      <c r="AA315" s="1096"/>
      <c r="AB315" s="1096"/>
      <c r="AC315" s="1096"/>
      <c r="AD315" s="1096"/>
      <c r="AE315" s="1096"/>
      <c r="AF315" s="1096"/>
      <c r="AG315" s="1096"/>
      <c r="AH315" s="1096"/>
      <c r="AI315" s="1096"/>
      <c r="AJ315" s="1096"/>
      <c r="AK315" s="1096"/>
      <c r="AL315" s="1096"/>
      <c r="AM315" s="1096"/>
      <c r="AN315" s="1096"/>
      <c r="AO315" s="1096"/>
      <c r="AP315" s="1096"/>
      <c r="AQ315" s="1096"/>
      <c r="AR315" s="1096"/>
      <c r="AS315" s="1096"/>
      <c r="AT315" s="1096"/>
      <c r="AU315" s="1096"/>
      <c r="AV315" s="1096"/>
      <c r="AW315" s="1096"/>
      <c r="AX315" s="1096"/>
      <c r="AY315" s="1096"/>
    </row>
    <row r="316" spans="1:51" x14ac:dyDescent="0.45">
      <c r="A316" s="1096">
        <v>1965</v>
      </c>
      <c r="B316" s="1096" t="s">
        <v>1393</v>
      </c>
      <c r="C316" s="1113">
        <f>[7]LRAll!C307</f>
        <v>14.854933119760629</v>
      </c>
      <c r="D316" s="1113">
        <f>[7]LRAll!I307</f>
        <v>11.650022430483835</v>
      </c>
      <c r="E316" s="1096"/>
      <c r="F316" s="1114">
        <f t="shared" si="9"/>
        <v>78.425276886548261</v>
      </c>
      <c r="G316" s="1096"/>
      <c r="H316" s="1096"/>
      <c r="I316" s="1096"/>
      <c r="J316" s="1096"/>
      <c r="K316" s="1096"/>
      <c r="L316" s="1096"/>
      <c r="M316" s="1096"/>
      <c r="N316" s="1096"/>
      <c r="O316" s="1096"/>
      <c r="P316" s="1096"/>
      <c r="Q316" s="1096"/>
      <c r="R316" s="1096"/>
      <c r="S316" s="1096"/>
      <c r="T316" s="1096"/>
      <c r="U316" s="1096"/>
      <c r="V316" s="1096"/>
      <c r="W316" s="1096"/>
      <c r="X316" s="1096"/>
      <c r="Y316" s="1096"/>
      <c r="Z316" s="1096"/>
      <c r="AA316" s="1096"/>
      <c r="AB316" s="1096"/>
      <c r="AC316" s="1096"/>
      <c r="AD316" s="1096"/>
      <c r="AE316" s="1096"/>
      <c r="AF316" s="1096"/>
      <c r="AG316" s="1096"/>
      <c r="AH316" s="1096"/>
      <c r="AI316" s="1096"/>
      <c r="AJ316" s="1096"/>
      <c r="AK316" s="1096"/>
      <c r="AL316" s="1096"/>
      <c r="AM316" s="1096"/>
      <c r="AN316" s="1096"/>
      <c r="AO316" s="1096"/>
      <c r="AP316" s="1096"/>
      <c r="AQ316" s="1096"/>
      <c r="AR316" s="1096"/>
      <c r="AS316" s="1096"/>
      <c r="AT316" s="1096"/>
      <c r="AU316" s="1096"/>
      <c r="AV316" s="1096"/>
      <c r="AW316" s="1096"/>
      <c r="AX316" s="1096"/>
      <c r="AY316" s="1096"/>
    </row>
    <row r="317" spans="1:51" x14ac:dyDescent="0.45">
      <c r="A317" s="1096">
        <v>1965</v>
      </c>
      <c r="B317" s="1096" t="s">
        <v>1371</v>
      </c>
      <c r="C317" s="1113">
        <f>[7]LRAll!C308</f>
        <v>14.894581517767108</v>
      </c>
      <c r="D317" s="1113">
        <f>[7]LRAll!I308</f>
        <v>11.744312180370844</v>
      </c>
      <c r="E317" s="1096"/>
      <c r="F317" s="1114">
        <f t="shared" si="9"/>
        <v>78.849561274088558</v>
      </c>
      <c r="G317" s="1096"/>
      <c r="H317" s="1096"/>
      <c r="I317" s="1096"/>
      <c r="J317" s="1096"/>
      <c r="K317" s="1096"/>
      <c r="L317" s="1096"/>
      <c r="M317" s="1096"/>
      <c r="N317" s="1096"/>
      <c r="O317" s="1096"/>
      <c r="P317" s="1096"/>
      <c r="Q317" s="1096"/>
      <c r="R317" s="1096"/>
      <c r="S317" s="1096"/>
      <c r="T317" s="1096"/>
      <c r="U317" s="1096"/>
      <c r="V317" s="1096"/>
      <c r="W317" s="1096"/>
      <c r="X317" s="1096"/>
      <c r="Y317" s="1096"/>
      <c r="Z317" s="1096"/>
      <c r="AA317" s="1096"/>
      <c r="AB317" s="1096"/>
      <c r="AC317" s="1096"/>
      <c r="AD317" s="1096"/>
      <c r="AE317" s="1096"/>
      <c r="AF317" s="1096"/>
      <c r="AG317" s="1096"/>
      <c r="AH317" s="1096"/>
      <c r="AI317" s="1096"/>
      <c r="AJ317" s="1096"/>
      <c r="AK317" s="1096"/>
      <c r="AL317" s="1096"/>
      <c r="AM317" s="1096"/>
      <c r="AN317" s="1096"/>
      <c r="AO317" s="1096"/>
      <c r="AP317" s="1096"/>
      <c r="AQ317" s="1096"/>
      <c r="AR317" s="1096"/>
      <c r="AS317" s="1096"/>
      <c r="AT317" s="1096"/>
      <c r="AU317" s="1096"/>
      <c r="AV317" s="1096"/>
      <c r="AW317" s="1096"/>
      <c r="AX317" s="1096"/>
      <c r="AY317" s="1096"/>
    </row>
    <row r="318" spans="1:51" x14ac:dyDescent="0.45">
      <c r="A318" s="1096">
        <v>1965</v>
      </c>
      <c r="B318" s="1096" t="s">
        <v>1373</v>
      </c>
      <c r="C318" s="1113">
        <f>[7]LRAll!C309</f>
        <v>14.894581517767108</v>
      </c>
      <c r="D318" s="1113">
        <f>[7]LRAll!I309</f>
        <v>11.75478881924718</v>
      </c>
      <c r="E318" s="1096"/>
      <c r="F318" s="1114">
        <f t="shared" si="9"/>
        <v>78.919899865769281</v>
      </c>
      <c r="G318" s="1096"/>
      <c r="H318" s="1096"/>
      <c r="I318" s="1096"/>
      <c r="J318" s="1096"/>
      <c r="K318" s="1096"/>
      <c r="L318" s="1096"/>
      <c r="M318" s="1096"/>
      <c r="N318" s="1096"/>
      <c r="O318" s="1096"/>
      <c r="P318" s="1096"/>
      <c r="Q318" s="1096"/>
      <c r="R318" s="1096"/>
      <c r="S318" s="1096"/>
      <c r="T318" s="1096"/>
      <c r="U318" s="1096"/>
      <c r="V318" s="1096"/>
      <c r="W318" s="1096"/>
      <c r="X318" s="1096"/>
      <c r="Y318" s="1096"/>
      <c r="Z318" s="1096"/>
      <c r="AA318" s="1096"/>
      <c r="AB318" s="1096"/>
      <c r="AC318" s="1096"/>
      <c r="AD318" s="1096"/>
      <c r="AE318" s="1096"/>
      <c r="AF318" s="1096"/>
      <c r="AG318" s="1096"/>
      <c r="AH318" s="1096"/>
      <c r="AI318" s="1096"/>
      <c r="AJ318" s="1096"/>
      <c r="AK318" s="1096"/>
      <c r="AL318" s="1096"/>
      <c r="AM318" s="1096"/>
      <c r="AN318" s="1096"/>
      <c r="AO318" s="1096"/>
      <c r="AP318" s="1096"/>
      <c r="AQ318" s="1096"/>
      <c r="AR318" s="1096"/>
      <c r="AS318" s="1096"/>
      <c r="AT318" s="1096"/>
      <c r="AU318" s="1096"/>
      <c r="AV318" s="1096"/>
      <c r="AW318" s="1096"/>
      <c r="AX318" s="1096"/>
      <c r="AY318" s="1096"/>
    </row>
    <row r="319" spans="1:51" x14ac:dyDescent="0.45">
      <c r="A319" s="1096">
        <v>1965</v>
      </c>
      <c r="B319" s="1096" t="s">
        <v>1375</v>
      </c>
      <c r="C319" s="1113">
        <f>[7]LRAll!C310</f>
        <v>14.92101378310476</v>
      </c>
      <c r="D319" s="1113">
        <f>[7]LRAll!I310</f>
        <v>11.80717201362885</v>
      </c>
      <c r="E319" s="1096"/>
      <c r="F319" s="1114">
        <f t="shared" si="9"/>
        <v>79.131164847513574</v>
      </c>
      <c r="G319" s="1096"/>
      <c r="H319" s="1096"/>
      <c r="I319" s="1096"/>
      <c r="J319" s="1096"/>
      <c r="K319" s="1096"/>
      <c r="L319" s="1096"/>
      <c r="M319" s="1096"/>
      <c r="N319" s="1096"/>
      <c r="O319" s="1096"/>
      <c r="P319" s="1096"/>
      <c r="Q319" s="1096"/>
      <c r="R319" s="1096"/>
      <c r="S319" s="1096"/>
      <c r="T319" s="1096"/>
      <c r="U319" s="1096"/>
      <c r="V319" s="1096"/>
      <c r="W319" s="1096"/>
      <c r="X319" s="1096"/>
      <c r="Y319" s="1096"/>
      <c r="Z319" s="1096"/>
      <c r="AA319" s="1096"/>
      <c r="AB319" s="1096"/>
      <c r="AC319" s="1096"/>
      <c r="AD319" s="1096"/>
      <c r="AE319" s="1096"/>
      <c r="AF319" s="1096"/>
      <c r="AG319" s="1096"/>
      <c r="AH319" s="1096"/>
      <c r="AI319" s="1096"/>
      <c r="AJ319" s="1096"/>
      <c r="AK319" s="1096"/>
      <c r="AL319" s="1096"/>
      <c r="AM319" s="1096"/>
      <c r="AN319" s="1096"/>
      <c r="AO319" s="1096"/>
      <c r="AP319" s="1096"/>
      <c r="AQ319" s="1096"/>
      <c r="AR319" s="1096"/>
      <c r="AS319" s="1096"/>
      <c r="AT319" s="1096"/>
      <c r="AU319" s="1096"/>
      <c r="AV319" s="1096"/>
      <c r="AW319" s="1096"/>
      <c r="AX319" s="1096"/>
      <c r="AY319" s="1096"/>
    </row>
    <row r="320" spans="1:51" x14ac:dyDescent="0.45">
      <c r="A320" s="1096">
        <v>1965</v>
      </c>
      <c r="B320" s="1096" t="s">
        <v>1377</v>
      </c>
      <c r="C320" s="1113">
        <f>[7]LRAll!C311</f>
        <v>14.934229915773585</v>
      </c>
      <c r="D320" s="1113">
        <f>[7]LRAll!I311</f>
        <v>12.069087985537211</v>
      </c>
      <c r="E320" s="1096"/>
      <c r="F320" s="1114">
        <f t="shared" si="9"/>
        <v>80.81493356942228</v>
      </c>
      <c r="G320" s="1096"/>
      <c r="H320" s="1096"/>
      <c r="I320" s="1096"/>
      <c r="J320" s="1096"/>
      <c r="K320" s="1096"/>
      <c r="L320" s="1096"/>
      <c r="M320" s="1096"/>
      <c r="N320" s="1096"/>
      <c r="O320" s="1096"/>
      <c r="P320" s="1096"/>
      <c r="Q320" s="1096"/>
      <c r="R320" s="1096"/>
      <c r="S320" s="1096"/>
      <c r="T320" s="1096"/>
      <c r="U320" s="1096"/>
      <c r="V320" s="1096"/>
      <c r="W320" s="1096"/>
      <c r="X320" s="1096"/>
      <c r="Y320" s="1096"/>
      <c r="Z320" s="1096"/>
      <c r="AA320" s="1096"/>
      <c r="AB320" s="1096"/>
      <c r="AC320" s="1096"/>
      <c r="AD320" s="1096"/>
      <c r="AE320" s="1096"/>
      <c r="AF320" s="1096"/>
      <c r="AG320" s="1096"/>
      <c r="AH320" s="1096"/>
      <c r="AI320" s="1096"/>
      <c r="AJ320" s="1096"/>
      <c r="AK320" s="1096"/>
      <c r="AL320" s="1096"/>
      <c r="AM320" s="1096"/>
      <c r="AN320" s="1096"/>
      <c r="AO320" s="1096"/>
      <c r="AP320" s="1096"/>
      <c r="AQ320" s="1096"/>
      <c r="AR320" s="1096"/>
      <c r="AS320" s="1096"/>
      <c r="AT320" s="1096"/>
      <c r="AU320" s="1096"/>
      <c r="AV320" s="1096"/>
      <c r="AW320" s="1096"/>
      <c r="AX320" s="1096"/>
      <c r="AY320" s="1096"/>
    </row>
    <row r="321" spans="1:51" x14ac:dyDescent="0.45">
      <c r="A321" s="1096">
        <v>1965</v>
      </c>
      <c r="B321" s="1096" t="s">
        <v>1379</v>
      </c>
      <c r="C321" s="1113">
        <f>[7]LRAll!C312</f>
        <v>14.947446048442412</v>
      </c>
      <c r="D321" s="1113">
        <f>[7]LRAll!I312</f>
        <v>12.09004126328988</v>
      </c>
      <c r="E321" s="1096"/>
      <c r="F321" s="1114">
        <f t="shared" si="9"/>
        <v>80.883658814408051</v>
      </c>
      <c r="G321" s="1096"/>
      <c r="H321" s="1096"/>
      <c r="I321" s="1096"/>
      <c r="J321" s="1096"/>
      <c r="K321" s="1096"/>
      <c r="L321" s="1096"/>
      <c r="M321" s="1096"/>
      <c r="N321" s="1096"/>
      <c r="O321" s="1096"/>
      <c r="P321" s="1096"/>
      <c r="Q321" s="1096"/>
      <c r="R321" s="1096"/>
      <c r="S321" s="1096"/>
      <c r="T321" s="1096"/>
      <c r="U321" s="1096"/>
      <c r="V321" s="1096"/>
      <c r="W321" s="1096"/>
      <c r="X321" s="1096"/>
      <c r="Y321" s="1096"/>
      <c r="Z321" s="1096"/>
      <c r="AA321" s="1096"/>
      <c r="AB321" s="1096"/>
      <c r="AC321" s="1096"/>
      <c r="AD321" s="1096"/>
      <c r="AE321" s="1096"/>
      <c r="AF321" s="1096"/>
      <c r="AG321" s="1096"/>
      <c r="AH321" s="1096"/>
      <c r="AI321" s="1096"/>
      <c r="AJ321" s="1096"/>
      <c r="AK321" s="1096"/>
      <c r="AL321" s="1096"/>
      <c r="AM321" s="1096"/>
      <c r="AN321" s="1096"/>
      <c r="AO321" s="1096"/>
      <c r="AP321" s="1096"/>
      <c r="AQ321" s="1096"/>
      <c r="AR321" s="1096"/>
      <c r="AS321" s="1096"/>
      <c r="AT321" s="1096"/>
      <c r="AU321" s="1096"/>
      <c r="AV321" s="1096"/>
      <c r="AW321" s="1096"/>
      <c r="AX321" s="1096"/>
      <c r="AY321" s="1096"/>
    </row>
    <row r="322" spans="1:51" x14ac:dyDescent="0.45">
      <c r="A322" s="1096">
        <v>1965</v>
      </c>
      <c r="B322" s="1096" t="s">
        <v>1381</v>
      </c>
      <c r="C322" s="1113">
        <f>[7]LRAll!C313</f>
        <v>15.013526711786543</v>
      </c>
      <c r="D322" s="1113">
        <f>[7]LRAll!I313</f>
        <v>12.530060096095923</v>
      </c>
      <c r="E322" s="1096"/>
      <c r="F322" s="1114">
        <f t="shared" si="9"/>
        <v>83.458472726858062</v>
      </c>
      <c r="G322" s="1096"/>
      <c r="H322" s="1096"/>
      <c r="I322" s="1096"/>
      <c r="J322" s="1096"/>
      <c r="K322" s="1096"/>
      <c r="L322" s="1096"/>
      <c r="M322" s="1096"/>
      <c r="N322" s="1096"/>
      <c r="O322" s="1096"/>
      <c r="P322" s="1096"/>
      <c r="Q322" s="1096"/>
      <c r="R322" s="1096"/>
      <c r="S322" s="1096"/>
      <c r="T322" s="1096"/>
      <c r="U322" s="1096"/>
      <c r="V322" s="1096"/>
      <c r="W322" s="1096"/>
      <c r="X322" s="1096"/>
      <c r="Y322" s="1096"/>
      <c r="Z322" s="1096"/>
      <c r="AA322" s="1096"/>
      <c r="AB322" s="1096"/>
      <c r="AC322" s="1096"/>
      <c r="AD322" s="1096"/>
      <c r="AE322" s="1096"/>
      <c r="AF322" s="1096"/>
      <c r="AG322" s="1096"/>
      <c r="AH322" s="1096"/>
      <c r="AI322" s="1096"/>
      <c r="AJ322" s="1096"/>
      <c r="AK322" s="1096"/>
      <c r="AL322" s="1096"/>
      <c r="AM322" s="1096"/>
      <c r="AN322" s="1096"/>
      <c r="AO322" s="1096"/>
      <c r="AP322" s="1096"/>
      <c r="AQ322" s="1096"/>
      <c r="AR322" s="1096"/>
      <c r="AS322" s="1096"/>
      <c r="AT322" s="1096"/>
      <c r="AU322" s="1096"/>
      <c r="AV322" s="1096"/>
      <c r="AW322" s="1096"/>
      <c r="AX322" s="1096"/>
      <c r="AY322" s="1096"/>
    </row>
    <row r="323" spans="1:51" x14ac:dyDescent="0.45">
      <c r="A323" s="1096">
        <v>1965</v>
      </c>
      <c r="B323" s="1096" t="s">
        <v>1383</v>
      </c>
      <c r="C323" s="1113">
        <f>[7]LRAll!C314</f>
        <v>15.079607375130674</v>
      </c>
      <c r="D323" s="1113">
        <f>[7]LRAll!I314</f>
        <v>12.530060096095923</v>
      </c>
      <c r="E323" s="1096"/>
      <c r="F323" s="1114">
        <f t="shared" si="9"/>
        <v>83.092747605355626</v>
      </c>
      <c r="G323" s="1096"/>
      <c r="H323" s="1096"/>
      <c r="I323" s="1096"/>
      <c r="J323" s="1096"/>
      <c r="K323" s="1096"/>
      <c r="L323" s="1096"/>
      <c r="M323" s="1096"/>
      <c r="N323" s="1096"/>
      <c r="O323" s="1096"/>
      <c r="P323" s="1096"/>
      <c r="Q323" s="1096"/>
      <c r="R323" s="1096"/>
      <c r="S323" s="1096"/>
      <c r="T323" s="1096"/>
      <c r="U323" s="1096"/>
      <c r="V323" s="1096"/>
      <c r="W323" s="1096"/>
      <c r="X323" s="1096"/>
      <c r="Y323" s="1096"/>
      <c r="Z323" s="1096"/>
      <c r="AA323" s="1096"/>
      <c r="AB323" s="1096"/>
      <c r="AC323" s="1096"/>
      <c r="AD323" s="1096"/>
      <c r="AE323" s="1096"/>
      <c r="AF323" s="1096"/>
      <c r="AG323" s="1096"/>
      <c r="AH323" s="1096"/>
      <c r="AI323" s="1096"/>
      <c r="AJ323" s="1096"/>
      <c r="AK323" s="1096"/>
      <c r="AL323" s="1096"/>
      <c r="AM323" s="1096"/>
      <c r="AN323" s="1096"/>
      <c r="AO323" s="1096"/>
      <c r="AP323" s="1096"/>
      <c r="AQ323" s="1096"/>
      <c r="AR323" s="1096"/>
      <c r="AS323" s="1096"/>
      <c r="AT323" s="1096"/>
      <c r="AU323" s="1096"/>
      <c r="AV323" s="1096"/>
      <c r="AW323" s="1096"/>
      <c r="AX323" s="1096"/>
      <c r="AY323" s="1096"/>
    </row>
    <row r="324" spans="1:51" x14ac:dyDescent="0.45">
      <c r="A324" s="1096">
        <v>1966</v>
      </c>
      <c r="B324" s="1096" t="s">
        <v>1385</v>
      </c>
      <c r="C324" s="1113">
        <f>[7]LRAll!C315</f>
        <v>15.106039640468326</v>
      </c>
      <c r="D324" s="1113">
        <f>[7]LRAll!I315</f>
        <v>12.540536734972259</v>
      </c>
      <c r="E324" s="1096"/>
      <c r="F324" s="1114">
        <f t="shared" si="9"/>
        <v>83.016707445787347</v>
      </c>
      <c r="G324" s="1096"/>
      <c r="H324" s="1096"/>
      <c r="I324" s="1096"/>
      <c r="J324" s="1096"/>
      <c r="K324" s="1096"/>
      <c r="L324" s="1096"/>
      <c r="M324" s="1096"/>
      <c r="N324" s="1096"/>
      <c r="O324" s="1096"/>
      <c r="P324" s="1096"/>
      <c r="Q324" s="1096"/>
      <c r="R324" s="1096"/>
      <c r="S324" s="1096"/>
      <c r="T324" s="1096"/>
      <c r="U324" s="1096"/>
      <c r="V324" s="1096"/>
      <c r="W324" s="1096"/>
      <c r="X324" s="1096"/>
      <c r="Y324" s="1096"/>
      <c r="Z324" s="1096"/>
      <c r="AA324" s="1096"/>
      <c r="AB324" s="1096"/>
      <c r="AC324" s="1096"/>
      <c r="AD324" s="1096"/>
      <c r="AE324" s="1096"/>
      <c r="AF324" s="1096"/>
      <c r="AG324" s="1096"/>
      <c r="AH324" s="1096"/>
      <c r="AI324" s="1096"/>
      <c r="AJ324" s="1096"/>
      <c r="AK324" s="1096"/>
      <c r="AL324" s="1096"/>
      <c r="AM324" s="1096"/>
      <c r="AN324" s="1096"/>
      <c r="AO324" s="1096"/>
      <c r="AP324" s="1096"/>
      <c r="AQ324" s="1096"/>
      <c r="AR324" s="1096"/>
      <c r="AS324" s="1096"/>
      <c r="AT324" s="1096"/>
      <c r="AU324" s="1096"/>
      <c r="AV324" s="1096"/>
      <c r="AW324" s="1096"/>
      <c r="AX324" s="1096"/>
      <c r="AY324" s="1096"/>
    </row>
    <row r="325" spans="1:51" x14ac:dyDescent="0.45">
      <c r="A325" s="1096">
        <v>1966</v>
      </c>
      <c r="B325" s="1096" t="s">
        <v>1387</v>
      </c>
      <c r="C325" s="1113">
        <f>[7]LRAll!C316</f>
        <v>15.119255773137153</v>
      </c>
      <c r="D325" s="1113">
        <f>[7]LRAll!I316</f>
        <v>12.582443290477595</v>
      </c>
      <c r="E325" s="1096"/>
      <c r="F325" s="1114">
        <f t="shared" si="9"/>
        <v>83.221313795307367</v>
      </c>
      <c r="G325" s="1096"/>
      <c r="H325" s="1096"/>
      <c r="I325" s="1096"/>
      <c r="J325" s="1096"/>
      <c r="K325" s="1096"/>
      <c r="L325" s="1096"/>
      <c r="M325" s="1096"/>
      <c r="N325" s="1096"/>
      <c r="O325" s="1096"/>
      <c r="P325" s="1096"/>
      <c r="Q325" s="1096"/>
      <c r="R325" s="1096"/>
      <c r="S325" s="1096"/>
      <c r="T325" s="1096"/>
      <c r="U325" s="1096"/>
      <c r="V325" s="1096"/>
      <c r="W325" s="1096"/>
      <c r="X325" s="1096"/>
      <c r="Y325" s="1096"/>
      <c r="Z325" s="1096"/>
      <c r="AA325" s="1096"/>
      <c r="AB325" s="1096"/>
      <c r="AC325" s="1096"/>
      <c r="AD325" s="1096"/>
      <c r="AE325" s="1096"/>
      <c r="AF325" s="1096"/>
      <c r="AG325" s="1096"/>
      <c r="AH325" s="1096"/>
      <c r="AI325" s="1096"/>
      <c r="AJ325" s="1096"/>
      <c r="AK325" s="1096"/>
      <c r="AL325" s="1096"/>
      <c r="AM325" s="1096"/>
      <c r="AN325" s="1096"/>
      <c r="AO325" s="1096"/>
      <c r="AP325" s="1096"/>
      <c r="AQ325" s="1096"/>
      <c r="AR325" s="1096"/>
      <c r="AS325" s="1096"/>
      <c r="AT325" s="1096"/>
      <c r="AU325" s="1096"/>
      <c r="AV325" s="1096"/>
      <c r="AW325" s="1096"/>
      <c r="AX325" s="1096"/>
      <c r="AY325" s="1096"/>
    </row>
    <row r="326" spans="1:51" x14ac:dyDescent="0.45">
      <c r="A326" s="1096">
        <v>1966</v>
      </c>
      <c r="B326" s="1096" t="s">
        <v>1389</v>
      </c>
      <c r="C326" s="1113">
        <f>[7]LRAll!C317</f>
        <v>15.145688038474805</v>
      </c>
      <c r="D326" s="1113">
        <f>[7]LRAll!I317</f>
        <v>12.582443290477595</v>
      </c>
      <c r="E326" s="1096"/>
      <c r="F326" s="1114">
        <f t="shared" si="9"/>
        <v>83.076075900376651</v>
      </c>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1096"/>
      <c r="AF326" s="1096"/>
      <c r="AG326" s="1096"/>
      <c r="AH326" s="1096"/>
      <c r="AI326" s="1096"/>
      <c r="AJ326" s="1096"/>
      <c r="AK326" s="1096"/>
      <c r="AL326" s="1096"/>
      <c r="AM326" s="1096"/>
      <c r="AN326" s="1096"/>
      <c r="AO326" s="1096"/>
      <c r="AP326" s="1096"/>
      <c r="AQ326" s="1096"/>
      <c r="AR326" s="1096"/>
      <c r="AS326" s="1096"/>
      <c r="AT326" s="1096"/>
      <c r="AU326" s="1096"/>
      <c r="AV326" s="1096"/>
      <c r="AW326" s="1096"/>
      <c r="AX326" s="1096"/>
      <c r="AY326" s="1096"/>
    </row>
    <row r="327" spans="1:51" x14ac:dyDescent="0.45">
      <c r="A327" s="1096">
        <v>1966</v>
      </c>
      <c r="B327" s="1096" t="s">
        <v>1391</v>
      </c>
      <c r="C327" s="1113">
        <f>[7]LRAll!C318</f>
        <v>15.33071389583837</v>
      </c>
      <c r="D327" s="1113">
        <f>[7]LRAll!I318</f>
        <v>12.603396568230263</v>
      </c>
      <c r="E327" s="1096"/>
      <c r="F327" s="1114">
        <f t="shared" si="9"/>
        <v>82.210108765068952</v>
      </c>
      <c r="G327" s="1096"/>
      <c r="H327" s="1096"/>
      <c r="I327" s="1096"/>
      <c r="J327" s="1096"/>
      <c r="K327" s="1096"/>
      <c r="L327" s="1096"/>
      <c r="M327" s="1096"/>
      <c r="N327" s="1096"/>
      <c r="O327" s="1096"/>
      <c r="P327" s="1096"/>
      <c r="Q327" s="1096"/>
      <c r="R327" s="1096"/>
      <c r="S327" s="1096"/>
      <c r="T327" s="1096"/>
      <c r="U327" s="1096"/>
      <c r="V327" s="1096"/>
      <c r="W327" s="1096"/>
      <c r="X327" s="1096"/>
      <c r="Y327" s="1096"/>
      <c r="Z327" s="1096"/>
      <c r="AA327" s="1096"/>
      <c r="AB327" s="1096"/>
      <c r="AC327" s="1096"/>
      <c r="AD327" s="1096"/>
      <c r="AE327" s="1096"/>
      <c r="AF327" s="1096"/>
      <c r="AG327" s="1096"/>
      <c r="AH327" s="1096"/>
      <c r="AI327" s="1096"/>
      <c r="AJ327" s="1096"/>
      <c r="AK327" s="1096"/>
      <c r="AL327" s="1096"/>
      <c r="AM327" s="1096"/>
      <c r="AN327" s="1096"/>
      <c r="AO327" s="1096"/>
      <c r="AP327" s="1096"/>
      <c r="AQ327" s="1096"/>
      <c r="AR327" s="1096"/>
      <c r="AS327" s="1096"/>
      <c r="AT327" s="1096"/>
      <c r="AU327" s="1096"/>
      <c r="AV327" s="1096"/>
      <c r="AW327" s="1096"/>
      <c r="AX327" s="1096"/>
      <c r="AY327" s="1096"/>
    </row>
    <row r="328" spans="1:51" x14ac:dyDescent="0.45">
      <c r="A328" s="1096">
        <v>1966</v>
      </c>
      <c r="B328" s="1096" t="s">
        <v>1393</v>
      </c>
      <c r="C328" s="1113">
        <f>[7]LRAll!C319</f>
        <v>15.43644295718898</v>
      </c>
      <c r="D328" s="1113">
        <f>[7]LRAll!I319</f>
        <v>12.509106818343255</v>
      </c>
      <c r="E328" s="1096"/>
      <c r="F328" s="1114">
        <f t="shared" si="9"/>
        <v>81.036200198683588</v>
      </c>
      <c r="G328" s="1096"/>
      <c r="H328" s="1096"/>
      <c r="I328" s="1096"/>
      <c r="J328" s="1096"/>
      <c r="K328" s="1096"/>
      <c r="L328" s="1096"/>
      <c r="M328" s="1096"/>
      <c r="N328" s="1096"/>
      <c r="O328" s="1096"/>
      <c r="P328" s="1096"/>
      <c r="Q328" s="1096"/>
      <c r="R328" s="1096"/>
      <c r="S328" s="1096"/>
      <c r="T328" s="1096"/>
      <c r="U328" s="1096"/>
      <c r="V328" s="1096"/>
      <c r="W328" s="1096"/>
      <c r="X328" s="1096"/>
      <c r="Y328" s="1096"/>
      <c r="Z328" s="1096"/>
      <c r="AA328" s="1096"/>
      <c r="AB328" s="1096"/>
      <c r="AC328" s="1096"/>
      <c r="AD328" s="1096"/>
      <c r="AE328" s="1096"/>
      <c r="AF328" s="1096"/>
      <c r="AG328" s="1096"/>
      <c r="AH328" s="1096"/>
      <c r="AI328" s="1096"/>
      <c r="AJ328" s="1096"/>
      <c r="AK328" s="1096"/>
      <c r="AL328" s="1096"/>
      <c r="AM328" s="1096"/>
      <c r="AN328" s="1096"/>
      <c r="AO328" s="1096"/>
      <c r="AP328" s="1096"/>
      <c r="AQ328" s="1096"/>
      <c r="AR328" s="1096"/>
      <c r="AS328" s="1096"/>
      <c r="AT328" s="1096"/>
      <c r="AU328" s="1096"/>
      <c r="AV328" s="1096"/>
      <c r="AW328" s="1096"/>
      <c r="AX328" s="1096"/>
      <c r="AY328" s="1096"/>
    </row>
    <row r="329" spans="1:51" x14ac:dyDescent="0.45">
      <c r="A329" s="1096">
        <v>1966</v>
      </c>
      <c r="B329" s="1096" t="s">
        <v>1371</v>
      </c>
      <c r="C329" s="1113">
        <f>[7]LRAll!C320</f>
        <v>15.476091355195459</v>
      </c>
      <c r="D329" s="1113">
        <f>[7]LRAll!I320</f>
        <v>12.519583457219589</v>
      </c>
      <c r="E329" s="1096"/>
      <c r="F329" s="1114">
        <f t="shared" si="9"/>
        <v>80.896288151056012</v>
      </c>
      <c r="G329" s="1096"/>
      <c r="H329" s="1096"/>
      <c r="I329" s="1096"/>
      <c r="J329" s="1096"/>
      <c r="K329" s="1096"/>
      <c r="L329" s="1096"/>
      <c r="M329" s="1096"/>
      <c r="N329" s="1096"/>
      <c r="O329" s="1096"/>
      <c r="P329" s="1096"/>
      <c r="Q329" s="1096"/>
      <c r="R329" s="1096"/>
      <c r="S329" s="1096"/>
      <c r="T329" s="1096"/>
      <c r="U329" s="1096"/>
      <c r="V329" s="1096"/>
      <c r="W329" s="1096"/>
      <c r="X329" s="1096"/>
      <c r="Y329" s="1096"/>
      <c r="Z329" s="1096"/>
      <c r="AA329" s="1096"/>
      <c r="AB329" s="1096"/>
      <c r="AC329" s="1096"/>
      <c r="AD329" s="1096"/>
      <c r="AE329" s="1096"/>
      <c r="AF329" s="1096"/>
      <c r="AG329" s="1096"/>
      <c r="AH329" s="1096"/>
      <c r="AI329" s="1096"/>
      <c r="AJ329" s="1096"/>
      <c r="AK329" s="1096"/>
      <c r="AL329" s="1096"/>
      <c r="AM329" s="1096"/>
      <c r="AN329" s="1096"/>
      <c r="AO329" s="1096"/>
      <c r="AP329" s="1096"/>
      <c r="AQ329" s="1096"/>
      <c r="AR329" s="1096"/>
      <c r="AS329" s="1096"/>
      <c r="AT329" s="1096"/>
      <c r="AU329" s="1096"/>
      <c r="AV329" s="1096"/>
      <c r="AW329" s="1096"/>
      <c r="AX329" s="1096"/>
      <c r="AY329" s="1096"/>
    </row>
    <row r="330" spans="1:51" x14ac:dyDescent="0.45">
      <c r="A330" s="1096">
        <v>1966</v>
      </c>
      <c r="B330" s="1096" t="s">
        <v>1373</v>
      </c>
      <c r="C330" s="1113">
        <f>[7]LRAll!C321</f>
        <v>15.410010691851328</v>
      </c>
      <c r="D330" s="1113">
        <f>[7]LRAll!I321</f>
        <v>12.540536734972259</v>
      </c>
      <c r="E330" s="1096"/>
      <c r="F330" s="1114">
        <f t="shared" si="9"/>
        <v>81.3791566128087</v>
      </c>
      <c r="G330" s="1096"/>
      <c r="H330" s="1096"/>
      <c r="I330" s="1096"/>
      <c r="J330" s="1096"/>
      <c r="K330" s="1096"/>
      <c r="L330" s="1096"/>
      <c r="M330" s="1096"/>
      <c r="N330" s="1096"/>
      <c r="O330" s="1096"/>
      <c r="P330" s="1096"/>
      <c r="Q330" s="1096"/>
      <c r="R330" s="1096"/>
      <c r="S330" s="1096"/>
      <c r="T330" s="1096"/>
      <c r="U330" s="1096"/>
      <c r="V330" s="1096"/>
      <c r="W330" s="1096"/>
      <c r="X330" s="1096"/>
      <c r="Y330" s="1096"/>
      <c r="Z330" s="1096"/>
      <c r="AA330" s="1096"/>
      <c r="AB330" s="1096"/>
      <c r="AC330" s="1096"/>
      <c r="AD330" s="1096"/>
      <c r="AE330" s="1096"/>
      <c r="AF330" s="1096"/>
      <c r="AG330" s="1096"/>
      <c r="AH330" s="1096"/>
      <c r="AI330" s="1096"/>
      <c r="AJ330" s="1096"/>
      <c r="AK330" s="1096"/>
      <c r="AL330" s="1096"/>
      <c r="AM330" s="1096"/>
      <c r="AN330" s="1096"/>
      <c r="AO330" s="1096"/>
      <c r="AP330" s="1096"/>
      <c r="AQ330" s="1096"/>
      <c r="AR330" s="1096"/>
      <c r="AS330" s="1096"/>
      <c r="AT330" s="1096"/>
      <c r="AU330" s="1096"/>
      <c r="AV330" s="1096"/>
      <c r="AW330" s="1096"/>
      <c r="AX330" s="1096"/>
      <c r="AY330" s="1096"/>
    </row>
    <row r="331" spans="1:51" x14ac:dyDescent="0.45">
      <c r="A331" s="1096">
        <v>1966</v>
      </c>
      <c r="B331" s="1096" t="s">
        <v>1375</v>
      </c>
      <c r="C331" s="1113">
        <f>[7]LRAll!C322</f>
        <v>15.502523620533111</v>
      </c>
      <c r="D331" s="1113">
        <f>[7]LRAll!I322</f>
        <v>12.6138732071066</v>
      </c>
      <c r="E331" s="1096"/>
      <c r="F331" s="1114">
        <f t="shared" si="9"/>
        <v>81.366579505800658</v>
      </c>
      <c r="G331" s="1096"/>
      <c r="H331" s="1096"/>
      <c r="I331" s="1096"/>
      <c r="J331" s="1096"/>
      <c r="K331" s="1096"/>
      <c r="L331" s="1096"/>
      <c r="M331" s="1096"/>
      <c r="N331" s="1096"/>
      <c r="O331" s="1096"/>
      <c r="P331" s="1096"/>
      <c r="Q331" s="1096"/>
      <c r="R331" s="1096"/>
      <c r="S331" s="1096"/>
      <c r="T331" s="1096"/>
      <c r="U331" s="1096"/>
      <c r="V331" s="1096"/>
      <c r="W331" s="1096"/>
      <c r="X331" s="1096"/>
      <c r="Y331" s="1096"/>
      <c r="Z331" s="1096"/>
      <c r="AA331" s="1096"/>
      <c r="AB331" s="1096"/>
      <c r="AC331" s="1096"/>
      <c r="AD331" s="1096"/>
      <c r="AE331" s="1096"/>
      <c r="AF331" s="1096"/>
      <c r="AG331" s="1096"/>
      <c r="AH331" s="1096"/>
      <c r="AI331" s="1096"/>
      <c r="AJ331" s="1096"/>
      <c r="AK331" s="1096"/>
      <c r="AL331" s="1096"/>
      <c r="AM331" s="1096"/>
      <c r="AN331" s="1096"/>
      <c r="AO331" s="1096"/>
      <c r="AP331" s="1096"/>
      <c r="AQ331" s="1096"/>
      <c r="AR331" s="1096"/>
      <c r="AS331" s="1096"/>
      <c r="AT331" s="1096"/>
      <c r="AU331" s="1096"/>
      <c r="AV331" s="1096"/>
      <c r="AW331" s="1096"/>
      <c r="AX331" s="1096"/>
      <c r="AY331" s="1096"/>
    </row>
    <row r="332" spans="1:51" x14ac:dyDescent="0.45">
      <c r="A332" s="1096">
        <v>1966</v>
      </c>
      <c r="B332" s="1096" t="s">
        <v>1377</v>
      </c>
      <c r="C332" s="1113">
        <f>[7]LRAll!C323</f>
        <v>15.476091355195459</v>
      </c>
      <c r="D332" s="1113">
        <f>[7]LRAll!I323</f>
        <v>12.645303123735602</v>
      </c>
      <c r="E332" s="1096"/>
      <c r="F332" s="1114">
        <f t="shared" si="9"/>
        <v>81.708635814497583</v>
      </c>
      <c r="G332" s="1096"/>
      <c r="H332" s="1096"/>
      <c r="I332" s="1096"/>
      <c r="J332" s="1096"/>
      <c r="K332" s="1096"/>
      <c r="L332" s="1096"/>
      <c r="M332" s="1096"/>
      <c r="N332" s="1096"/>
      <c r="O332" s="1096"/>
      <c r="P332" s="1096"/>
      <c r="Q332" s="1096"/>
      <c r="R332" s="1096"/>
      <c r="S332" s="1096"/>
      <c r="T332" s="1096"/>
      <c r="U332" s="1096"/>
      <c r="V332" s="1096"/>
      <c r="W332" s="1096"/>
      <c r="X332" s="1096"/>
      <c r="Y332" s="1096"/>
      <c r="Z332" s="1096"/>
      <c r="AA332" s="1096"/>
      <c r="AB332" s="1096"/>
      <c r="AC332" s="1096"/>
      <c r="AD332" s="1096"/>
      <c r="AE332" s="1096"/>
      <c r="AF332" s="1096"/>
      <c r="AG332" s="1096"/>
      <c r="AH332" s="1096"/>
      <c r="AI332" s="1096"/>
      <c r="AJ332" s="1096"/>
      <c r="AK332" s="1096"/>
      <c r="AL332" s="1096"/>
      <c r="AM332" s="1096"/>
      <c r="AN332" s="1096"/>
      <c r="AO332" s="1096"/>
      <c r="AP332" s="1096"/>
      <c r="AQ332" s="1096"/>
      <c r="AR332" s="1096"/>
      <c r="AS332" s="1096"/>
      <c r="AT332" s="1096"/>
      <c r="AU332" s="1096"/>
      <c r="AV332" s="1096"/>
      <c r="AW332" s="1096"/>
      <c r="AX332" s="1096"/>
      <c r="AY332" s="1096"/>
    </row>
    <row r="333" spans="1:51" x14ac:dyDescent="0.45">
      <c r="A333" s="1096">
        <v>1966</v>
      </c>
      <c r="B333" s="1096" t="s">
        <v>1379</v>
      </c>
      <c r="C333" s="1113">
        <f>[7]LRAll!C324</f>
        <v>15.515739753201938</v>
      </c>
      <c r="D333" s="1113">
        <f>[7]LRAll!I324</f>
        <v>12.655779762611933</v>
      </c>
      <c r="E333" s="1096"/>
      <c r="F333" s="1114">
        <f t="shared" si="9"/>
        <v>81.567362974106331</v>
      </c>
      <c r="G333" s="1096"/>
      <c r="H333" s="1096"/>
      <c r="I333" s="1096"/>
      <c r="J333" s="1096"/>
      <c r="K333" s="1096"/>
      <c r="L333" s="1096"/>
      <c r="M333" s="1096"/>
      <c r="N333" s="1096"/>
      <c r="O333" s="1096"/>
      <c r="P333" s="1096"/>
      <c r="Q333" s="1096"/>
      <c r="R333" s="1096"/>
      <c r="S333" s="1096"/>
      <c r="T333" s="1096"/>
      <c r="U333" s="1096"/>
      <c r="V333" s="1096"/>
      <c r="W333" s="1096"/>
      <c r="X333" s="1096"/>
      <c r="Y333" s="1096"/>
      <c r="Z333" s="1096"/>
      <c r="AA333" s="1096"/>
      <c r="AB333" s="1096"/>
      <c r="AC333" s="1096"/>
      <c r="AD333" s="1096"/>
      <c r="AE333" s="1096"/>
      <c r="AF333" s="1096"/>
      <c r="AG333" s="1096"/>
      <c r="AH333" s="1096"/>
      <c r="AI333" s="1096"/>
      <c r="AJ333" s="1096"/>
      <c r="AK333" s="1096"/>
      <c r="AL333" s="1096"/>
      <c r="AM333" s="1096"/>
      <c r="AN333" s="1096"/>
      <c r="AO333" s="1096"/>
      <c r="AP333" s="1096"/>
      <c r="AQ333" s="1096"/>
      <c r="AR333" s="1096"/>
      <c r="AS333" s="1096"/>
      <c r="AT333" s="1096"/>
      <c r="AU333" s="1096"/>
      <c r="AV333" s="1096"/>
      <c r="AW333" s="1096"/>
      <c r="AX333" s="1096"/>
      <c r="AY333" s="1096"/>
    </row>
    <row r="334" spans="1:51" x14ac:dyDescent="0.45">
      <c r="A334" s="1096">
        <v>1966</v>
      </c>
      <c r="B334" s="1096" t="s">
        <v>1381</v>
      </c>
      <c r="C334" s="1113">
        <f>[7]LRAll!C325</f>
        <v>15.608252681883721</v>
      </c>
      <c r="D334" s="1113">
        <f>[7]LRAll!I325</f>
        <v>13.074845317665313</v>
      </c>
      <c r="E334" s="1096"/>
      <c r="F334" s="1114">
        <f t="shared" si="9"/>
        <v>83.768795804037055</v>
      </c>
      <c r="G334" s="1096"/>
      <c r="H334" s="1096"/>
      <c r="I334" s="1096"/>
      <c r="J334" s="1096"/>
      <c r="K334" s="1096"/>
      <c r="L334" s="1096"/>
      <c r="M334" s="1096"/>
      <c r="N334" s="1096"/>
      <c r="O334" s="1096"/>
      <c r="P334" s="1096"/>
      <c r="Q334" s="1096"/>
      <c r="R334" s="1096"/>
      <c r="S334" s="1096"/>
      <c r="T334" s="1096"/>
      <c r="U334" s="1096"/>
      <c r="V334" s="1096"/>
      <c r="W334" s="1096"/>
      <c r="X334" s="1096"/>
      <c r="Y334" s="1096"/>
      <c r="Z334" s="1096"/>
      <c r="AA334" s="1096"/>
      <c r="AB334" s="1096"/>
      <c r="AC334" s="1096"/>
      <c r="AD334" s="1096"/>
      <c r="AE334" s="1096"/>
      <c r="AF334" s="1096"/>
      <c r="AG334" s="1096"/>
      <c r="AH334" s="1096"/>
      <c r="AI334" s="1096"/>
      <c r="AJ334" s="1096"/>
      <c r="AK334" s="1096"/>
      <c r="AL334" s="1096"/>
      <c r="AM334" s="1096"/>
      <c r="AN334" s="1096"/>
      <c r="AO334" s="1096"/>
      <c r="AP334" s="1096"/>
      <c r="AQ334" s="1096"/>
      <c r="AR334" s="1096"/>
      <c r="AS334" s="1096"/>
      <c r="AT334" s="1096"/>
      <c r="AU334" s="1096"/>
      <c r="AV334" s="1096"/>
      <c r="AW334" s="1096"/>
      <c r="AX334" s="1096"/>
      <c r="AY334" s="1096"/>
    </row>
    <row r="335" spans="1:51" x14ac:dyDescent="0.45">
      <c r="A335" s="1096">
        <v>1966</v>
      </c>
      <c r="B335" s="1096" t="s">
        <v>1383</v>
      </c>
      <c r="C335" s="1113">
        <f>[7]LRAll!C326</f>
        <v>15.634684947221373</v>
      </c>
      <c r="D335" s="1113">
        <f>[7]LRAll!I326</f>
        <v>13.085321956541645</v>
      </c>
      <c r="E335" s="1096"/>
      <c r="F335" s="1114">
        <f t="shared" si="9"/>
        <v>83.694183801683792</v>
      </c>
      <c r="G335" s="1096"/>
      <c r="H335" s="1096"/>
      <c r="I335" s="1096"/>
      <c r="J335" s="1096"/>
      <c r="K335" s="1096"/>
      <c r="L335" s="1096"/>
      <c r="M335" s="1096"/>
      <c r="N335" s="1096"/>
      <c r="O335" s="1096"/>
      <c r="P335" s="1096"/>
      <c r="Q335" s="1096"/>
      <c r="R335" s="1096"/>
      <c r="S335" s="1096"/>
      <c r="T335" s="1096"/>
      <c r="U335" s="1096"/>
      <c r="V335" s="1096"/>
      <c r="W335" s="1096"/>
      <c r="X335" s="1096"/>
      <c r="Y335" s="1096"/>
      <c r="Z335" s="1096"/>
      <c r="AA335" s="1096"/>
      <c r="AB335" s="1096"/>
      <c r="AC335" s="1096"/>
      <c r="AD335" s="1096"/>
      <c r="AE335" s="1096"/>
      <c r="AF335" s="1096"/>
      <c r="AG335" s="1096"/>
      <c r="AH335" s="1096"/>
      <c r="AI335" s="1096"/>
      <c r="AJ335" s="1096"/>
      <c r="AK335" s="1096"/>
      <c r="AL335" s="1096"/>
      <c r="AM335" s="1096"/>
      <c r="AN335" s="1096"/>
      <c r="AO335" s="1096"/>
      <c r="AP335" s="1096"/>
      <c r="AQ335" s="1096"/>
      <c r="AR335" s="1096"/>
      <c r="AS335" s="1096"/>
      <c r="AT335" s="1096"/>
      <c r="AU335" s="1096"/>
      <c r="AV335" s="1096"/>
      <c r="AW335" s="1096"/>
      <c r="AX335" s="1096"/>
      <c r="AY335" s="1096"/>
    </row>
    <row r="336" spans="1:51" x14ac:dyDescent="0.45">
      <c r="A336" s="1096">
        <v>1967</v>
      </c>
      <c r="B336" s="1096" t="s">
        <v>1385</v>
      </c>
      <c r="C336" s="1113">
        <f>[7]LRAll!C327</f>
        <v>15.661117212559027</v>
      </c>
      <c r="D336" s="1113">
        <f>[7]LRAll!I327</f>
        <v>13.085321956541645</v>
      </c>
      <c r="E336" s="1096"/>
      <c r="F336" s="1114">
        <f t="shared" si="9"/>
        <v>83.552927795267436</v>
      </c>
      <c r="G336" s="1096"/>
      <c r="H336" s="1096"/>
      <c r="I336" s="1096"/>
      <c r="J336" s="1096"/>
      <c r="K336" s="1096"/>
      <c r="L336" s="1096"/>
      <c r="M336" s="1096"/>
      <c r="N336" s="1096"/>
      <c r="O336" s="1096"/>
      <c r="P336" s="1096"/>
      <c r="Q336" s="1096"/>
      <c r="R336" s="1096"/>
      <c r="S336" s="1096"/>
      <c r="T336" s="1096"/>
      <c r="U336" s="1096"/>
      <c r="V336" s="1096"/>
      <c r="W336" s="1096"/>
      <c r="X336" s="1096"/>
      <c r="Y336" s="1096"/>
      <c r="Z336" s="1096"/>
      <c r="AA336" s="1096"/>
      <c r="AB336" s="1096"/>
      <c r="AC336" s="1096"/>
      <c r="AD336" s="1096"/>
      <c r="AE336" s="1096"/>
      <c r="AF336" s="1096"/>
      <c r="AG336" s="1096"/>
      <c r="AH336" s="1096"/>
      <c r="AI336" s="1096"/>
      <c r="AJ336" s="1096"/>
      <c r="AK336" s="1096"/>
      <c r="AL336" s="1096"/>
      <c r="AM336" s="1096"/>
      <c r="AN336" s="1096"/>
      <c r="AO336" s="1096"/>
      <c r="AP336" s="1096"/>
      <c r="AQ336" s="1096"/>
      <c r="AR336" s="1096"/>
      <c r="AS336" s="1096"/>
      <c r="AT336" s="1096"/>
      <c r="AU336" s="1096"/>
      <c r="AV336" s="1096"/>
      <c r="AW336" s="1096"/>
      <c r="AX336" s="1096"/>
      <c r="AY336" s="1096"/>
    </row>
    <row r="337" spans="1:51" x14ac:dyDescent="0.45">
      <c r="A337" s="1096">
        <v>1967</v>
      </c>
      <c r="B337" s="1096" t="s">
        <v>1387</v>
      </c>
      <c r="C337" s="1113">
        <f>[7]LRAll!C328</f>
        <v>15.674333345227852</v>
      </c>
      <c r="D337" s="1113">
        <f>[7]LRAll!I328</f>
        <v>13.085321956541645</v>
      </c>
      <c r="E337" s="1096"/>
      <c r="F337" s="1114">
        <f t="shared" si="9"/>
        <v>83.482478446367566</v>
      </c>
      <c r="G337" s="1096"/>
      <c r="H337" s="1096"/>
      <c r="I337" s="1096"/>
      <c r="J337" s="1096"/>
      <c r="K337" s="1096"/>
      <c r="L337" s="1096"/>
      <c r="M337" s="1096"/>
      <c r="N337" s="1096"/>
      <c r="O337" s="1096"/>
      <c r="P337" s="1096"/>
      <c r="Q337" s="1096"/>
      <c r="R337" s="1096"/>
      <c r="S337" s="1096"/>
      <c r="T337" s="1096"/>
      <c r="U337" s="1096"/>
      <c r="V337" s="1096"/>
      <c r="W337" s="1096"/>
      <c r="X337" s="1096"/>
      <c r="Y337" s="1096"/>
      <c r="Z337" s="1096"/>
      <c r="AA337" s="1096"/>
      <c r="AB337" s="1096"/>
      <c r="AC337" s="1096"/>
      <c r="AD337" s="1096"/>
      <c r="AE337" s="1096"/>
      <c r="AF337" s="1096"/>
      <c r="AG337" s="1096"/>
      <c r="AH337" s="1096"/>
      <c r="AI337" s="1096"/>
      <c r="AJ337" s="1096"/>
      <c r="AK337" s="1096"/>
      <c r="AL337" s="1096"/>
      <c r="AM337" s="1096"/>
      <c r="AN337" s="1096"/>
      <c r="AO337" s="1096"/>
      <c r="AP337" s="1096"/>
      <c r="AQ337" s="1096"/>
      <c r="AR337" s="1096"/>
      <c r="AS337" s="1096"/>
      <c r="AT337" s="1096"/>
      <c r="AU337" s="1096"/>
      <c r="AV337" s="1096"/>
      <c r="AW337" s="1096"/>
      <c r="AX337" s="1096"/>
      <c r="AY337" s="1096"/>
    </row>
    <row r="338" spans="1:51" x14ac:dyDescent="0.45">
      <c r="A338" s="1096">
        <v>1967</v>
      </c>
      <c r="B338" s="1096" t="s">
        <v>1389</v>
      </c>
      <c r="C338" s="1113">
        <f>[7]LRAll!C329</f>
        <v>15.674333345227852</v>
      </c>
      <c r="D338" s="1113">
        <f>[7]LRAll!I329</f>
        <v>13.085321956541645</v>
      </c>
      <c r="E338" s="1096"/>
      <c r="F338" s="1114">
        <f t="shared" si="9"/>
        <v>83.482478446367566</v>
      </c>
      <c r="G338" s="1096"/>
      <c r="H338" s="1096"/>
      <c r="I338" s="1096"/>
      <c r="J338" s="1096"/>
      <c r="K338" s="1096"/>
      <c r="L338" s="1096"/>
      <c r="M338" s="1096"/>
      <c r="N338" s="1096"/>
      <c r="O338" s="1096"/>
      <c r="P338" s="1096"/>
      <c r="Q338" s="1096"/>
      <c r="R338" s="1096"/>
      <c r="S338" s="1096"/>
      <c r="T338" s="1096"/>
      <c r="U338" s="1096"/>
      <c r="V338" s="1096"/>
      <c r="W338" s="1096"/>
      <c r="X338" s="1096"/>
      <c r="Y338" s="1096"/>
      <c r="Z338" s="1096"/>
      <c r="AA338" s="1096"/>
      <c r="AB338" s="1096"/>
      <c r="AC338" s="1096"/>
      <c r="AD338" s="1096"/>
      <c r="AE338" s="1096"/>
      <c r="AF338" s="1096"/>
      <c r="AG338" s="1096"/>
      <c r="AH338" s="1096"/>
      <c r="AI338" s="1096"/>
      <c r="AJ338" s="1096"/>
      <c r="AK338" s="1096"/>
      <c r="AL338" s="1096"/>
      <c r="AM338" s="1096"/>
      <c r="AN338" s="1096"/>
      <c r="AO338" s="1096"/>
      <c r="AP338" s="1096"/>
      <c r="AQ338" s="1096"/>
      <c r="AR338" s="1096"/>
      <c r="AS338" s="1096"/>
      <c r="AT338" s="1096"/>
      <c r="AU338" s="1096"/>
      <c r="AV338" s="1096"/>
      <c r="AW338" s="1096"/>
      <c r="AX338" s="1096"/>
      <c r="AY338" s="1096"/>
    </row>
    <row r="339" spans="1:51" x14ac:dyDescent="0.45">
      <c r="A339" s="1096">
        <v>1967</v>
      </c>
      <c r="B339" s="1096" t="s">
        <v>1391</v>
      </c>
      <c r="C339" s="1113">
        <f>[7]LRAll!C330</f>
        <v>15.793278539247289</v>
      </c>
      <c r="D339" s="1113">
        <f>[7]LRAll!I330</f>
        <v>13.074845317665313</v>
      </c>
      <c r="E339" s="1096"/>
      <c r="F339" s="1114">
        <f t="shared" si="9"/>
        <v>82.787404054031597</v>
      </c>
      <c r="G339" s="1096"/>
      <c r="H339" s="1096"/>
      <c r="I339" s="1096"/>
      <c r="J339" s="1096"/>
      <c r="K339" s="1096"/>
      <c r="L339" s="1096"/>
      <c r="M339" s="1096"/>
      <c r="N339" s="1096"/>
      <c r="O339" s="1096"/>
      <c r="P339" s="1096"/>
      <c r="Q339" s="1096"/>
      <c r="R339" s="1096"/>
      <c r="S339" s="1096"/>
      <c r="T339" s="1096"/>
      <c r="U339" s="1096"/>
      <c r="V339" s="1096"/>
      <c r="W339" s="1096"/>
      <c r="X339" s="1096"/>
      <c r="Y339" s="1096"/>
      <c r="Z339" s="1096"/>
      <c r="AA339" s="1096"/>
      <c r="AB339" s="1096"/>
      <c r="AC339" s="1096"/>
      <c r="AD339" s="1096"/>
      <c r="AE339" s="1096"/>
      <c r="AF339" s="1096"/>
      <c r="AG339" s="1096"/>
      <c r="AH339" s="1096"/>
      <c r="AI339" s="1096"/>
      <c r="AJ339" s="1096"/>
      <c r="AK339" s="1096"/>
      <c r="AL339" s="1096"/>
      <c r="AM339" s="1096"/>
      <c r="AN339" s="1096"/>
      <c r="AO339" s="1096"/>
      <c r="AP339" s="1096"/>
      <c r="AQ339" s="1096"/>
      <c r="AR339" s="1096"/>
      <c r="AS339" s="1096"/>
      <c r="AT339" s="1096"/>
      <c r="AU339" s="1096"/>
      <c r="AV339" s="1096"/>
      <c r="AW339" s="1096"/>
      <c r="AX339" s="1096"/>
      <c r="AY339" s="1096"/>
    </row>
    <row r="340" spans="1:51" x14ac:dyDescent="0.45">
      <c r="A340" s="1096">
        <v>1967</v>
      </c>
      <c r="B340" s="1096" t="s">
        <v>1393</v>
      </c>
      <c r="C340" s="1113">
        <f>[7]LRAll!C331</f>
        <v>15.780062406578462</v>
      </c>
      <c r="D340" s="1113">
        <f>[7]LRAll!I331</f>
        <v>12.582443290477595</v>
      </c>
      <c r="E340" s="1096"/>
      <c r="F340" s="1114">
        <f t="shared" si="9"/>
        <v>79.736334155637877</v>
      </c>
      <c r="G340" s="1096"/>
      <c r="H340" s="1096"/>
      <c r="I340" s="1096"/>
      <c r="J340" s="1096"/>
      <c r="K340" s="1096"/>
      <c r="L340" s="1096"/>
      <c r="M340" s="1096"/>
      <c r="N340" s="1096"/>
      <c r="O340" s="1096"/>
      <c r="P340" s="1096"/>
      <c r="Q340" s="1096"/>
      <c r="R340" s="1096"/>
      <c r="S340" s="1096"/>
      <c r="T340" s="1096"/>
      <c r="U340" s="1096"/>
      <c r="V340" s="1096"/>
      <c r="W340" s="1096"/>
      <c r="X340" s="1096"/>
      <c r="Y340" s="1096"/>
      <c r="Z340" s="1096"/>
      <c r="AA340" s="1096"/>
      <c r="AB340" s="1096"/>
      <c r="AC340" s="1096"/>
      <c r="AD340" s="1096"/>
      <c r="AE340" s="1096"/>
      <c r="AF340" s="1096"/>
      <c r="AG340" s="1096"/>
      <c r="AH340" s="1096"/>
      <c r="AI340" s="1096"/>
      <c r="AJ340" s="1096"/>
      <c r="AK340" s="1096"/>
      <c r="AL340" s="1096"/>
      <c r="AM340" s="1096"/>
      <c r="AN340" s="1096"/>
      <c r="AO340" s="1096"/>
      <c r="AP340" s="1096"/>
      <c r="AQ340" s="1096"/>
      <c r="AR340" s="1096"/>
      <c r="AS340" s="1096"/>
      <c r="AT340" s="1096"/>
      <c r="AU340" s="1096"/>
      <c r="AV340" s="1096"/>
      <c r="AW340" s="1096"/>
      <c r="AX340" s="1096"/>
      <c r="AY340" s="1096"/>
    </row>
    <row r="341" spans="1:51" x14ac:dyDescent="0.45">
      <c r="A341" s="1096">
        <v>1967</v>
      </c>
      <c r="B341" s="1096" t="s">
        <v>1371</v>
      </c>
      <c r="C341" s="1113">
        <f>[7]LRAll!C332</f>
        <v>15.846143069922592</v>
      </c>
      <c r="D341" s="1113">
        <f>[7]LRAll!I332</f>
        <v>12.592919929353931</v>
      </c>
      <c r="E341" s="1096"/>
      <c r="F341" s="1114">
        <f t="shared" si="9"/>
        <v>79.469937093124116</v>
      </c>
      <c r="G341" s="1096"/>
      <c r="H341" s="1096"/>
      <c r="I341" s="1096"/>
      <c r="J341" s="1096"/>
      <c r="K341" s="1096"/>
      <c r="L341" s="1096"/>
      <c r="M341" s="1096"/>
      <c r="N341" s="1096"/>
      <c r="O341" s="1096"/>
      <c r="P341" s="1096"/>
      <c r="Q341" s="1096"/>
      <c r="R341" s="1096"/>
      <c r="S341" s="1096"/>
      <c r="T341" s="1096"/>
      <c r="U341" s="1096"/>
      <c r="V341" s="1096"/>
      <c r="W341" s="1096"/>
      <c r="X341" s="1096"/>
      <c r="Y341" s="1096"/>
      <c r="Z341" s="1096"/>
      <c r="AA341" s="1096"/>
      <c r="AB341" s="1096"/>
      <c r="AC341" s="1096"/>
      <c r="AD341" s="1096"/>
      <c r="AE341" s="1096"/>
      <c r="AF341" s="1096"/>
      <c r="AG341" s="1096"/>
      <c r="AH341" s="1096"/>
      <c r="AI341" s="1096"/>
      <c r="AJ341" s="1096"/>
      <c r="AK341" s="1096"/>
      <c r="AL341" s="1096"/>
      <c r="AM341" s="1096"/>
      <c r="AN341" s="1096"/>
      <c r="AO341" s="1096"/>
      <c r="AP341" s="1096"/>
      <c r="AQ341" s="1096"/>
      <c r="AR341" s="1096"/>
      <c r="AS341" s="1096"/>
      <c r="AT341" s="1096"/>
      <c r="AU341" s="1096"/>
      <c r="AV341" s="1096"/>
      <c r="AW341" s="1096"/>
      <c r="AX341" s="1096"/>
      <c r="AY341" s="1096"/>
    </row>
    <row r="342" spans="1:51" x14ac:dyDescent="0.45">
      <c r="A342" s="1096">
        <v>1967</v>
      </c>
      <c r="B342" s="1096" t="s">
        <v>1373</v>
      </c>
      <c r="C342" s="1113">
        <f>[7]LRAll!C333</f>
        <v>15.75363014124081</v>
      </c>
      <c r="D342" s="1113">
        <f>[7]LRAll!I333</f>
        <v>12.603396568230263</v>
      </c>
      <c r="E342" s="1096"/>
      <c r="F342" s="1114">
        <f t="shared" si="9"/>
        <v>80.003125979429498</v>
      </c>
      <c r="G342" s="1096"/>
      <c r="H342" s="1096"/>
      <c r="I342" s="1096"/>
      <c r="J342" s="1096"/>
      <c r="K342" s="1096"/>
      <c r="L342" s="1096"/>
      <c r="M342" s="1096"/>
      <c r="N342" s="1096"/>
      <c r="O342" s="1096"/>
      <c r="P342" s="1096"/>
      <c r="Q342" s="1096"/>
      <c r="R342" s="1096"/>
      <c r="S342" s="1096"/>
      <c r="T342" s="1096"/>
      <c r="U342" s="1096"/>
      <c r="V342" s="1096"/>
      <c r="W342" s="1096"/>
      <c r="X342" s="1096"/>
      <c r="Y342" s="1096"/>
      <c r="Z342" s="1096"/>
      <c r="AA342" s="1096"/>
      <c r="AB342" s="1096"/>
      <c r="AC342" s="1096"/>
      <c r="AD342" s="1096"/>
      <c r="AE342" s="1096"/>
      <c r="AF342" s="1096"/>
      <c r="AG342" s="1096"/>
      <c r="AH342" s="1096"/>
      <c r="AI342" s="1096"/>
      <c r="AJ342" s="1096"/>
      <c r="AK342" s="1096"/>
      <c r="AL342" s="1096"/>
      <c r="AM342" s="1096"/>
      <c r="AN342" s="1096"/>
      <c r="AO342" s="1096"/>
      <c r="AP342" s="1096"/>
      <c r="AQ342" s="1096"/>
      <c r="AR342" s="1096"/>
      <c r="AS342" s="1096"/>
      <c r="AT342" s="1096"/>
      <c r="AU342" s="1096"/>
      <c r="AV342" s="1096"/>
      <c r="AW342" s="1096"/>
      <c r="AX342" s="1096"/>
      <c r="AY342" s="1096"/>
    </row>
    <row r="343" spans="1:51" x14ac:dyDescent="0.45">
      <c r="A343" s="1096">
        <v>1967</v>
      </c>
      <c r="B343" s="1096" t="s">
        <v>1375</v>
      </c>
      <c r="C343" s="1113">
        <f>[7]LRAll!C334</f>
        <v>15.713981743234331</v>
      </c>
      <c r="D343" s="1113">
        <f>[7]LRAll!I334</f>
        <v>12.634826484859268</v>
      </c>
      <c r="E343" s="1096"/>
      <c r="F343" s="1114">
        <f t="shared" si="9"/>
        <v>80.404996590372164</v>
      </c>
      <c r="G343" s="1096"/>
      <c r="H343" s="1096"/>
      <c r="I343" s="1096"/>
      <c r="J343" s="1096"/>
      <c r="K343" s="1096"/>
      <c r="L343" s="1096"/>
      <c r="M343" s="1096"/>
      <c r="N343" s="1096"/>
      <c r="O343" s="1096"/>
      <c r="P343" s="1096"/>
      <c r="Q343" s="1096"/>
      <c r="R343" s="1096"/>
      <c r="S343" s="1096"/>
      <c r="T343" s="1096"/>
      <c r="U343" s="1096"/>
      <c r="V343" s="1096"/>
      <c r="W343" s="1096"/>
      <c r="X343" s="1096"/>
      <c r="Y343" s="1096"/>
      <c r="Z343" s="1096"/>
      <c r="AA343" s="1096"/>
      <c r="AB343" s="1096"/>
      <c r="AC343" s="1096"/>
      <c r="AD343" s="1096"/>
      <c r="AE343" s="1096"/>
      <c r="AF343" s="1096"/>
      <c r="AG343" s="1096"/>
      <c r="AH343" s="1096"/>
      <c r="AI343" s="1096"/>
      <c r="AJ343" s="1096"/>
      <c r="AK343" s="1096"/>
      <c r="AL343" s="1096"/>
      <c r="AM343" s="1096"/>
      <c r="AN343" s="1096"/>
      <c r="AO343" s="1096"/>
      <c r="AP343" s="1096"/>
      <c r="AQ343" s="1096"/>
      <c r="AR343" s="1096"/>
      <c r="AS343" s="1096"/>
      <c r="AT343" s="1096"/>
      <c r="AU343" s="1096"/>
      <c r="AV343" s="1096"/>
      <c r="AW343" s="1096"/>
      <c r="AX343" s="1096"/>
      <c r="AY343" s="1096"/>
    </row>
    <row r="344" spans="1:51" x14ac:dyDescent="0.45">
      <c r="A344" s="1096">
        <v>1967</v>
      </c>
      <c r="B344" s="1096" t="s">
        <v>1377</v>
      </c>
      <c r="C344" s="1113">
        <f>[7]LRAll!C335</f>
        <v>15.700765610565504</v>
      </c>
      <c r="D344" s="1113">
        <f>[7]LRAll!I335</f>
        <v>12.666256401488271</v>
      </c>
      <c r="E344" s="1096"/>
      <c r="F344" s="1114">
        <f t="shared" si="9"/>
        <v>80.672858353893119</v>
      </c>
      <c r="G344" s="1096"/>
      <c r="H344" s="1096"/>
      <c r="I344" s="1096"/>
      <c r="J344" s="1096"/>
      <c r="K344" s="1096"/>
      <c r="L344" s="1096"/>
      <c r="M344" s="1096"/>
      <c r="N344" s="1096"/>
      <c r="O344" s="1096"/>
      <c r="P344" s="1096"/>
      <c r="Q344" s="1096"/>
      <c r="R344" s="1096"/>
      <c r="S344" s="1096"/>
      <c r="T344" s="1096"/>
      <c r="U344" s="1096"/>
      <c r="V344" s="1096"/>
      <c r="W344" s="1096"/>
      <c r="X344" s="1096"/>
      <c r="Y344" s="1096"/>
      <c r="Z344" s="1096"/>
      <c r="AA344" s="1096"/>
      <c r="AB344" s="1096"/>
      <c r="AC344" s="1096"/>
      <c r="AD344" s="1096"/>
      <c r="AE344" s="1096"/>
      <c r="AF344" s="1096"/>
      <c r="AG344" s="1096"/>
      <c r="AH344" s="1096"/>
      <c r="AI344" s="1096"/>
      <c r="AJ344" s="1096"/>
      <c r="AK344" s="1096"/>
      <c r="AL344" s="1096"/>
      <c r="AM344" s="1096"/>
      <c r="AN344" s="1096"/>
      <c r="AO344" s="1096"/>
      <c r="AP344" s="1096"/>
      <c r="AQ344" s="1096"/>
      <c r="AR344" s="1096"/>
      <c r="AS344" s="1096"/>
      <c r="AT344" s="1096"/>
      <c r="AU344" s="1096"/>
      <c r="AV344" s="1096"/>
      <c r="AW344" s="1096"/>
      <c r="AX344" s="1096"/>
      <c r="AY344" s="1096"/>
    </row>
    <row r="345" spans="1:51" x14ac:dyDescent="0.45">
      <c r="A345" s="1096">
        <v>1967</v>
      </c>
      <c r="B345" s="1096" t="s">
        <v>1379</v>
      </c>
      <c r="C345" s="1113">
        <f>[7]LRAll!C336</f>
        <v>15.81971080458494</v>
      </c>
      <c r="D345" s="1113">
        <f>[7]LRAll!I336</f>
        <v>13.326284650697335</v>
      </c>
      <c r="E345" s="1096"/>
      <c r="F345" s="1114">
        <f t="shared" si="9"/>
        <v>84.238484605136094</v>
      </c>
      <c r="G345" s="1096"/>
      <c r="H345" s="1096"/>
      <c r="I345" s="1096"/>
      <c r="J345" s="1096"/>
      <c r="K345" s="1096"/>
      <c r="L345" s="1096"/>
      <c r="M345" s="1096"/>
      <c r="N345" s="1096"/>
      <c r="O345" s="1096"/>
      <c r="P345" s="1096"/>
      <c r="Q345" s="1096"/>
      <c r="R345" s="1096"/>
      <c r="S345" s="1096"/>
      <c r="T345" s="1096"/>
      <c r="U345" s="1096"/>
      <c r="V345" s="1096"/>
      <c r="W345" s="1096"/>
      <c r="X345" s="1096"/>
      <c r="Y345" s="1096"/>
      <c r="Z345" s="1096"/>
      <c r="AA345" s="1096"/>
      <c r="AB345" s="1096"/>
      <c r="AC345" s="1096"/>
      <c r="AD345" s="1096"/>
      <c r="AE345" s="1096"/>
      <c r="AF345" s="1096"/>
      <c r="AG345" s="1096"/>
      <c r="AH345" s="1096"/>
      <c r="AI345" s="1096"/>
      <c r="AJ345" s="1096"/>
      <c r="AK345" s="1096"/>
      <c r="AL345" s="1096"/>
      <c r="AM345" s="1096"/>
      <c r="AN345" s="1096"/>
      <c r="AO345" s="1096"/>
      <c r="AP345" s="1096"/>
      <c r="AQ345" s="1096"/>
      <c r="AR345" s="1096"/>
      <c r="AS345" s="1096"/>
      <c r="AT345" s="1096"/>
      <c r="AU345" s="1096"/>
      <c r="AV345" s="1096"/>
      <c r="AW345" s="1096"/>
      <c r="AX345" s="1096"/>
      <c r="AY345" s="1096"/>
    </row>
    <row r="346" spans="1:51" x14ac:dyDescent="0.45">
      <c r="A346" s="1096">
        <v>1967</v>
      </c>
      <c r="B346" s="1096" t="s">
        <v>1381</v>
      </c>
      <c r="C346" s="1113">
        <f>[7]LRAll!C337</f>
        <v>15.912223733266723</v>
      </c>
      <c r="D346" s="1113">
        <f>[7]LRAll!I337</f>
        <v>13.6196305392347</v>
      </c>
      <c r="E346" s="1096"/>
      <c r="F346" s="1114">
        <f t="shared" si="9"/>
        <v>85.592251388226543</v>
      </c>
      <c r="G346" s="1096"/>
      <c r="H346" s="1096"/>
      <c r="I346" s="1096"/>
      <c r="J346" s="1096"/>
      <c r="K346" s="1096"/>
      <c r="L346" s="1096"/>
      <c r="M346" s="1096"/>
      <c r="N346" s="1096"/>
      <c r="O346" s="1096"/>
      <c r="P346" s="1096"/>
      <c r="Q346" s="1096"/>
      <c r="R346" s="1096"/>
      <c r="S346" s="1096"/>
      <c r="T346" s="1096"/>
      <c r="U346" s="1096"/>
      <c r="V346" s="1096"/>
      <c r="W346" s="1096"/>
      <c r="X346" s="1096"/>
      <c r="Y346" s="1096"/>
      <c r="Z346" s="1096"/>
      <c r="AA346" s="1096"/>
      <c r="AB346" s="1096"/>
      <c r="AC346" s="1096"/>
      <c r="AD346" s="1096"/>
      <c r="AE346" s="1096"/>
      <c r="AF346" s="1096"/>
      <c r="AG346" s="1096"/>
      <c r="AH346" s="1096"/>
      <c r="AI346" s="1096"/>
      <c r="AJ346" s="1096"/>
      <c r="AK346" s="1096"/>
      <c r="AL346" s="1096"/>
      <c r="AM346" s="1096"/>
      <c r="AN346" s="1096"/>
      <c r="AO346" s="1096"/>
      <c r="AP346" s="1096"/>
      <c r="AQ346" s="1096"/>
      <c r="AR346" s="1096"/>
      <c r="AS346" s="1096"/>
      <c r="AT346" s="1096"/>
      <c r="AU346" s="1096"/>
      <c r="AV346" s="1096"/>
      <c r="AW346" s="1096"/>
      <c r="AX346" s="1096"/>
      <c r="AY346" s="1096"/>
    </row>
    <row r="347" spans="1:51" x14ac:dyDescent="0.45">
      <c r="A347" s="1096">
        <v>1967</v>
      </c>
      <c r="B347" s="1096" t="s">
        <v>1383</v>
      </c>
      <c r="C347" s="1113">
        <f>[7]LRAll!C338</f>
        <v>16.017952794617333</v>
      </c>
      <c r="D347" s="1113">
        <f>[7]LRAll!I338</f>
        <v>13.871069872266727</v>
      </c>
      <c r="E347" s="1096"/>
      <c r="F347" s="1114">
        <f t="shared" si="9"/>
        <v>86.597020543898438</v>
      </c>
      <c r="G347" s="1096"/>
      <c r="H347" s="1096"/>
      <c r="I347" s="1096"/>
      <c r="J347" s="1096"/>
      <c r="K347" s="1096"/>
      <c r="L347" s="1096"/>
      <c r="M347" s="1096"/>
      <c r="N347" s="1096"/>
      <c r="O347" s="1096"/>
      <c r="P347" s="1096"/>
      <c r="Q347" s="1096"/>
      <c r="R347" s="1096"/>
      <c r="S347" s="1096"/>
      <c r="T347" s="1096"/>
      <c r="U347" s="1096"/>
      <c r="V347" s="1096"/>
      <c r="W347" s="1096"/>
      <c r="X347" s="1096"/>
      <c r="Y347" s="1096"/>
      <c r="Z347" s="1096"/>
      <c r="AA347" s="1096"/>
      <c r="AB347" s="1096"/>
      <c r="AC347" s="1096"/>
      <c r="AD347" s="1096"/>
      <c r="AE347" s="1096"/>
      <c r="AF347" s="1096"/>
      <c r="AG347" s="1096"/>
      <c r="AH347" s="1096"/>
      <c r="AI347" s="1096"/>
      <c r="AJ347" s="1096"/>
      <c r="AK347" s="1096"/>
      <c r="AL347" s="1096"/>
      <c r="AM347" s="1096"/>
      <c r="AN347" s="1096"/>
      <c r="AO347" s="1096"/>
      <c r="AP347" s="1096"/>
      <c r="AQ347" s="1096"/>
      <c r="AR347" s="1096"/>
      <c r="AS347" s="1096"/>
      <c r="AT347" s="1096"/>
      <c r="AU347" s="1096"/>
      <c r="AV347" s="1096"/>
      <c r="AW347" s="1096"/>
      <c r="AX347" s="1096"/>
      <c r="AY347" s="1096"/>
    </row>
    <row r="348" spans="1:51" x14ac:dyDescent="0.45">
      <c r="A348" s="1096">
        <v>1968</v>
      </c>
      <c r="B348" s="1096" t="s">
        <v>1385</v>
      </c>
      <c r="C348" s="1113">
        <f>[7]LRAll!C339</f>
        <v>16.070817325292637</v>
      </c>
      <c r="D348" s="1113">
        <f>[7]LRAll!I339</f>
        <v>13.892023150019392</v>
      </c>
      <c r="E348" s="1096"/>
      <c r="F348" s="1114">
        <f t="shared" si="9"/>
        <v>86.442542832938514</v>
      </c>
      <c r="G348" s="1096"/>
      <c r="H348" s="1096"/>
      <c r="I348" s="1096"/>
      <c r="J348" s="1096"/>
      <c r="K348" s="1096"/>
      <c r="L348" s="1096"/>
      <c r="M348" s="1096"/>
      <c r="N348" s="1096"/>
      <c r="O348" s="1096"/>
      <c r="P348" s="1096"/>
      <c r="Q348" s="1096"/>
      <c r="R348" s="1096"/>
      <c r="S348" s="1096"/>
      <c r="T348" s="1096"/>
      <c r="U348" s="1096"/>
      <c r="V348" s="1096"/>
      <c r="W348" s="1096"/>
      <c r="X348" s="1096"/>
      <c r="Y348" s="1096"/>
      <c r="Z348" s="1096"/>
      <c r="AA348" s="1096"/>
      <c r="AB348" s="1096"/>
      <c r="AC348" s="1096"/>
      <c r="AD348" s="1096"/>
      <c r="AE348" s="1096"/>
      <c r="AF348" s="1096"/>
      <c r="AG348" s="1096"/>
      <c r="AH348" s="1096"/>
      <c r="AI348" s="1096"/>
      <c r="AJ348" s="1096"/>
      <c r="AK348" s="1096"/>
      <c r="AL348" s="1096"/>
      <c r="AM348" s="1096"/>
      <c r="AN348" s="1096"/>
      <c r="AO348" s="1096"/>
      <c r="AP348" s="1096"/>
      <c r="AQ348" s="1096"/>
      <c r="AR348" s="1096"/>
      <c r="AS348" s="1096"/>
      <c r="AT348" s="1096"/>
      <c r="AU348" s="1096"/>
      <c r="AV348" s="1096"/>
      <c r="AW348" s="1096"/>
      <c r="AX348" s="1096"/>
      <c r="AY348" s="1096"/>
    </row>
    <row r="349" spans="1:51" x14ac:dyDescent="0.45">
      <c r="A349" s="1096">
        <v>1968</v>
      </c>
      <c r="B349" s="1096" t="s">
        <v>1387</v>
      </c>
      <c r="C349" s="1113">
        <f>[7]LRAll!C340</f>
        <v>16.150114121305595</v>
      </c>
      <c r="D349" s="1113">
        <f>[7]LRAll!I340</f>
        <v>13.902499788895726</v>
      </c>
      <c r="E349" s="1096"/>
      <c r="F349" s="1114">
        <f t="shared" si="9"/>
        <v>86.082981732960235</v>
      </c>
      <c r="G349" s="1096"/>
      <c r="H349" s="1096"/>
      <c r="I349" s="1096"/>
      <c r="J349" s="1096"/>
      <c r="K349" s="1096"/>
      <c r="L349" s="1096"/>
      <c r="M349" s="1096"/>
      <c r="N349" s="1096"/>
      <c r="O349" s="1096"/>
      <c r="P349" s="1096"/>
      <c r="Q349" s="1096"/>
      <c r="R349" s="1096"/>
      <c r="S349" s="1096"/>
      <c r="T349" s="1096"/>
      <c r="U349" s="1096"/>
      <c r="V349" s="1096"/>
      <c r="W349" s="1096"/>
      <c r="X349" s="1096"/>
      <c r="Y349" s="1096"/>
      <c r="Z349" s="1096"/>
      <c r="AA349" s="1096"/>
      <c r="AB349" s="1096"/>
      <c r="AC349" s="1096"/>
      <c r="AD349" s="1096"/>
      <c r="AE349" s="1096"/>
      <c r="AF349" s="1096"/>
      <c r="AG349" s="1096"/>
      <c r="AH349" s="1096"/>
      <c r="AI349" s="1096"/>
      <c r="AJ349" s="1096"/>
      <c r="AK349" s="1096"/>
      <c r="AL349" s="1096"/>
      <c r="AM349" s="1096"/>
      <c r="AN349" s="1096"/>
      <c r="AO349" s="1096"/>
      <c r="AP349" s="1096"/>
      <c r="AQ349" s="1096"/>
      <c r="AR349" s="1096"/>
      <c r="AS349" s="1096"/>
      <c r="AT349" s="1096"/>
      <c r="AU349" s="1096"/>
      <c r="AV349" s="1096"/>
      <c r="AW349" s="1096"/>
      <c r="AX349" s="1096"/>
      <c r="AY349" s="1096"/>
    </row>
    <row r="350" spans="1:51" x14ac:dyDescent="0.45">
      <c r="A350" s="1096">
        <v>1968</v>
      </c>
      <c r="B350" s="1096" t="s">
        <v>1389</v>
      </c>
      <c r="C350" s="1113">
        <f>[7]LRAll!C341</f>
        <v>16.202978651980899</v>
      </c>
      <c r="D350" s="1113">
        <f>[7]LRAll!I341</f>
        <v>13.902499788895726</v>
      </c>
      <c r="E350" s="1096"/>
      <c r="F350" s="1114">
        <f t="shared" si="9"/>
        <v>85.80212371751827</v>
      </c>
      <c r="G350" s="1096"/>
      <c r="H350" s="1096"/>
      <c r="I350" s="1096"/>
      <c r="J350" s="1096"/>
      <c r="K350" s="1096"/>
      <c r="L350" s="1096"/>
      <c r="M350" s="1096"/>
      <c r="N350" s="1096"/>
      <c r="O350" s="1096"/>
      <c r="P350" s="1096"/>
      <c r="Q350" s="1096"/>
      <c r="R350" s="1096"/>
      <c r="S350" s="1096"/>
      <c r="T350" s="1096"/>
      <c r="U350" s="1096"/>
      <c r="V350" s="1096"/>
      <c r="W350" s="1096"/>
      <c r="X350" s="1096"/>
      <c r="Y350" s="1096"/>
      <c r="Z350" s="1096"/>
      <c r="AA350" s="1096"/>
      <c r="AB350" s="1096"/>
      <c r="AC350" s="1096"/>
      <c r="AD350" s="1096"/>
      <c r="AE350" s="1096"/>
      <c r="AF350" s="1096"/>
      <c r="AG350" s="1096"/>
      <c r="AH350" s="1096"/>
      <c r="AI350" s="1096"/>
      <c r="AJ350" s="1096"/>
      <c r="AK350" s="1096"/>
      <c r="AL350" s="1096"/>
      <c r="AM350" s="1096"/>
      <c r="AN350" s="1096"/>
      <c r="AO350" s="1096"/>
      <c r="AP350" s="1096"/>
      <c r="AQ350" s="1096"/>
      <c r="AR350" s="1096"/>
      <c r="AS350" s="1096"/>
      <c r="AT350" s="1096"/>
      <c r="AU350" s="1096"/>
      <c r="AV350" s="1096"/>
      <c r="AW350" s="1096"/>
      <c r="AX350" s="1096"/>
      <c r="AY350" s="1096"/>
    </row>
    <row r="351" spans="1:51" x14ac:dyDescent="0.45">
      <c r="A351" s="1096">
        <v>1968</v>
      </c>
      <c r="B351" s="1096" t="s">
        <v>1391</v>
      </c>
      <c r="C351" s="1113">
        <f>[7]LRAll!C342</f>
        <v>16.493733570695078</v>
      </c>
      <c r="D351" s="1113">
        <f>[7]LRAll!I342</f>
        <v>13.965359622153734</v>
      </c>
      <c r="E351" s="1096"/>
      <c r="F351" s="1114">
        <f t="shared" si="9"/>
        <v>84.670699707229531</v>
      </c>
      <c r="G351" s="1096"/>
      <c r="H351" s="1096"/>
      <c r="I351" s="1096"/>
      <c r="J351" s="1096"/>
      <c r="K351" s="1096"/>
      <c r="L351" s="1096"/>
      <c r="M351" s="1096"/>
      <c r="N351" s="1096"/>
      <c r="O351" s="1096"/>
      <c r="P351" s="1096"/>
      <c r="Q351" s="1096"/>
      <c r="R351" s="1096"/>
      <c r="S351" s="1096"/>
      <c r="T351" s="1096"/>
      <c r="U351" s="1096"/>
      <c r="V351" s="1096"/>
      <c r="W351" s="1096"/>
      <c r="X351" s="1096"/>
      <c r="Y351" s="1096"/>
      <c r="Z351" s="1096"/>
      <c r="AA351" s="1096"/>
      <c r="AB351" s="1096"/>
      <c r="AC351" s="1096"/>
      <c r="AD351" s="1096"/>
      <c r="AE351" s="1096"/>
      <c r="AF351" s="1096"/>
      <c r="AG351" s="1096"/>
      <c r="AH351" s="1096"/>
      <c r="AI351" s="1096"/>
      <c r="AJ351" s="1096"/>
      <c r="AK351" s="1096"/>
      <c r="AL351" s="1096"/>
      <c r="AM351" s="1096"/>
      <c r="AN351" s="1096"/>
      <c r="AO351" s="1096"/>
      <c r="AP351" s="1096"/>
      <c r="AQ351" s="1096"/>
      <c r="AR351" s="1096"/>
      <c r="AS351" s="1096"/>
      <c r="AT351" s="1096"/>
      <c r="AU351" s="1096"/>
      <c r="AV351" s="1096"/>
      <c r="AW351" s="1096"/>
      <c r="AX351" s="1096"/>
      <c r="AY351" s="1096"/>
    </row>
    <row r="352" spans="1:51" x14ac:dyDescent="0.45">
      <c r="A352" s="1096">
        <v>1968</v>
      </c>
      <c r="B352" s="1096" t="s">
        <v>1393</v>
      </c>
      <c r="C352" s="1113">
        <f>[7]LRAll!C343</f>
        <v>16.506949703363901</v>
      </c>
      <c r="D352" s="1113">
        <f>[7]LRAll!I343</f>
        <v>13.703443650245376</v>
      </c>
      <c r="E352" s="1096"/>
      <c r="F352" s="1114">
        <f t="shared" si="9"/>
        <v>83.016207697372408</v>
      </c>
      <c r="G352" s="1096"/>
      <c r="H352" s="1096"/>
      <c r="I352" s="1096"/>
      <c r="J352" s="1096"/>
      <c r="K352" s="1096"/>
      <c r="L352" s="1096"/>
      <c r="M352" s="1096"/>
      <c r="N352" s="1096"/>
      <c r="O352" s="1096"/>
      <c r="P352" s="1096"/>
      <c r="Q352" s="1096"/>
      <c r="R352" s="1096"/>
      <c r="S352" s="1096"/>
      <c r="T352" s="1096"/>
      <c r="U352" s="1096"/>
      <c r="V352" s="1096"/>
      <c r="W352" s="1096"/>
      <c r="X352" s="1096"/>
      <c r="Y352" s="1096"/>
      <c r="Z352" s="1096"/>
      <c r="AA352" s="1096"/>
      <c r="AB352" s="1096"/>
      <c r="AC352" s="1096"/>
      <c r="AD352" s="1096"/>
      <c r="AE352" s="1096"/>
      <c r="AF352" s="1096"/>
      <c r="AG352" s="1096"/>
      <c r="AH352" s="1096"/>
      <c r="AI352" s="1096"/>
      <c r="AJ352" s="1096"/>
      <c r="AK352" s="1096"/>
      <c r="AL352" s="1096"/>
      <c r="AM352" s="1096"/>
      <c r="AN352" s="1096"/>
      <c r="AO352" s="1096"/>
      <c r="AP352" s="1096"/>
      <c r="AQ352" s="1096"/>
      <c r="AR352" s="1096"/>
      <c r="AS352" s="1096"/>
      <c r="AT352" s="1096"/>
      <c r="AU352" s="1096"/>
      <c r="AV352" s="1096"/>
      <c r="AW352" s="1096"/>
      <c r="AX352" s="1096"/>
      <c r="AY352" s="1096"/>
    </row>
    <row r="353" spans="1:51" x14ac:dyDescent="0.45">
      <c r="A353" s="1096">
        <v>1968</v>
      </c>
      <c r="B353" s="1096" t="s">
        <v>1371</v>
      </c>
      <c r="C353" s="1113">
        <f>[7]LRAll!C344</f>
        <v>16.573030366708036</v>
      </c>
      <c r="D353" s="1113">
        <f>[7]LRAll!I344</f>
        <v>13.818686677885053</v>
      </c>
      <c r="E353" s="1096"/>
      <c r="F353" s="1114">
        <f t="shared" si="9"/>
        <v>83.380566933878796</v>
      </c>
      <c r="G353" s="1096"/>
      <c r="H353" s="1096"/>
      <c r="I353" s="1096"/>
      <c r="J353" s="1096"/>
      <c r="K353" s="1096"/>
      <c r="L353" s="1096"/>
      <c r="M353" s="1096"/>
      <c r="N353" s="1096"/>
      <c r="O353" s="1096"/>
      <c r="P353" s="1096"/>
      <c r="Q353" s="1096"/>
      <c r="R353" s="1096"/>
      <c r="S353" s="1096"/>
      <c r="T353" s="1096"/>
      <c r="U353" s="1096"/>
      <c r="V353" s="1096"/>
      <c r="W353" s="1096"/>
      <c r="X353" s="1096"/>
      <c r="Y353" s="1096"/>
      <c r="Z353" s="1096"/>
      <c r="AA353" s="1096"/>
      <c r="AB353" s="1096"/>
      <c r="AC353" s="1096"/>
      <c r="AD353" s="1096"/>
      <c r="AE353" s="1096"/>
      <c r="AF353" s="1096"/>
      <c r="AG353" s="1096"/>
      <c r="AH353" s="1096"/>
      <c r="AI353" s="1096"/>
      <c r="AJ353" s="1096"/>
      <c r="AK353" s="1096"/>
      <c r="AL353" s="1096"/>
      <c r="AM353" s="1096"/>
      <c r="AN353" s="1096"/>
      <c r="AO353" s="1096"/>
      <c r="AP353" s="1096"/>
      <c r="AQ353" s="1096"/>
      <c r="AR353" s="1096"/>
      <c r="AS353" s="1096"/>
      <c r="AT353" s="1096"/>
      <c r="AU353" s="1096"/>
      <c r="AV353" s="1096"/>
      <c r="AW353" s="1096"/>
      <c r="AX353" s="1096"/>
      <c r="AY353" s="1096"/>
    </row>
    <row r="354" spans="1:51" x14ac:dyDescent="0.45">
      <c r="A354" s="1096">
        <v>1968</v>
      </c>
      <c r="B354" s="1096" t="s">
        <v>1373</v>
      </c>
      <c r="C354" s="1113">
        <f>[7]LRAll!C345</f>
        <v>16.586246499376859</v>
      </c>
      <c r="D354" s="1113">
        <f>[7]LRAll!I345</f>
        <v>13.829163316761386</v>
      </c>
      <c r="E354" s="1096"/>
      <c r="F354" s="1114">
        <f t="shared" si="9"/>
        <v>83.377292850922871</v>
      </c>
      <c r="G354" s="1096"/>
      <c r="H354" s="1096"/>
      <c r="I354" s="1096"/>
      <c r="J354" s="1096"/>
      <c r="K354" s="1096"/>
      <c r="L354" s="1096"/>
      <c r="M354" s="1096"/>
      <c r="N354" s="1096"/>
      <c r="O354" s="1096"/>
      <c r="P354" s="1096"/>
      <c r="Q354" s="1096"/>
      <c r="R354" s="1096"/>
      <c r="S354" s="1096"/>
      <c r="T354" s="1096"/>
      <c r="U354" s="1096"/>
      <c r="V354" s="1096"/>
      <c r="W354" s="1096"/>
      <c r="X354" s="1096"/>
      <c r="Y354" s="1096"/>
      <c r="Z354" s="1096"/>
      <c r="AA354" s="1096"/>
      <c r="AB354" s="1096"/>
      <c r="AC354" s="1096"/>
      <c r="AD354" s="1096"/>
      <c r="AE354" s="1096"/>
      <c r="AF354" s="1096"/>
      <c r="AG354" s="1096"/>
      <c r="AH354" s="1096"/>
      <c r="AI354" s="1096"/>
      <c r="AJ354" s="1096"/>
      <c r="AK354" s="1096"/>
      <c r="AL354" s="1096"/>
      <c r="AM354" s="1096"/>
      <c r="AN354" s="1096"/>
      <c r="AO354" s="1096"/>
      <c r="AP354" s="1096"/>
      <c r="AQ354" s="1096"/>
      <c r="AR354" s="1096"/>
      <c r="AS354" s="1096"/>
      <c r="AT354" s="1096"/>
      <c r="AU354" s="1096"/>
      <c r="AV354" s="1096"/>
      <c r="AW354" s="1096"/>
      <c r="AX354" s="1096"/>
      <c r="AY354" s="1096"/>
    </row>
    <row r="355" spans="1:51" x14ac:dyDescent="0.45">
      <c r="A355" s="1096">
        <v>1968</v>
      </c>
      <c r="B355" s="1096" t="s">
        <v>1375</v>
      </c>
      <c r="C355" s="1113">
        <f>[7]LRAll!C346</f>
        <v>16.612678764714513</v>
      </c>
      <c r="D355" s="1113">
        <f>[7]LRAll!I346</f>
        <v>13.892023150019392</v>
      </c>
      <c r="E355" s="1096"/>
      <c r="F355" s="1114">
        <f t="shared" si="9"/>
        <v>83.623016773948464</v>
      </c>
      <c r="G355" s="1096"/>
      <c r="H355" s="1096"/>
      <c r="I355" s="1096"/>
      <c r="J355" s="1096"/>
      <c r="K355" s="1096"/>
      <c r="L355" s="1096"/>
      <c r="M355" s="1096"/>
      <c r="N355" s="1096"/>
      <c r="O355" s="1096"/>
      <c r="P355" s="1096"/>
      <c r="Q355" s="1096"/>
      <c r="R355" s="1096"/>
      <c r="S355" s="1096"/>
      <c r="T355" s="1096"/>
      <c r="U355" s="1096"/>
      <c r="V355" s="1096"/>
      <c r="W355" s="1096"/>
      <c r="X355" s="1096"/>
      <c r="Y355" s="1096"/>
      <c r="Z355" s="1096"/>
      <c r="AA355" s="1096"/>
      <c r="AB355" s="1096"/>
      <c r="AC355" s="1096"/>
      <c r="AD355" s="1096"/>
      <c r="AE355" s="1096"/>
      <c r="AF355" s="1096"/>
      <c r="AG355" s="1096"/>
      <c r="AH355" s="1096"/>
      <c r="AI355" s="1096"/>
      <c r="AJ355" s="1096"/>
      <c r="AK355" s="1096"/>
      <c r="AL355" s="1096"/>
      <c r="AM355" s="1096"/>
      <c r="AN355" s="1096"/>
      <c r="AO355" s="1096"/>
      <c r="AP355" s="1096"/>
      <c r="AQ355" s="1096"/>
      <c r="AR355" s="1096"/>
      <c r="AS355" s="1096"/>
      <c r="AT355" s="1096"/>
      <c r="AU355" s="1096"/>
      <c r="AV355" s="1096"/>
      <c r="AW355" s="1096"/>
      <c r="AX355" s="1096"/>
      <c r="AY355" s="1096"/>
    </row>
    <row r="356" spans="1:51" x14ac:dyDescent="0.45">
      <c r="A356" s="1096">
        <v>1968</v>
      </c>
      <c r="B356" s="1096" t="s">
        <v>1377</v>
      </c>
      <c r="C356" s="1113">
        <f>[7]LRAll!C347</f>
        <v>16.62589489738334</v>
      </c>
      <c r="D356" s="1113">
        <f>[7]LRAll!I347</f>
        <v>13.954882983277399</v>
      </c>
      <c r="E356" s="1096"/>
      <c r="F356" s="1114">
        <f t="shared" si="9"/>
        <v>83.934627696183043</v>
      </c>
      <c r="G356" s="1096"/>
      <c r="H356" s="1096"/>
      <c r="I356" s="1096"/>
      <c r="J356" s="1096"/>
      <c r="K356" s="1096"/>
      <c r="L356" s="1096"/>
      <c r="M356" s="1096"/>
      <c r="N356" s="1096"/>
      <c r="O356" s="1096"/>
      <c r="P356" s="1096"/>
      <c r="Q356" s="1096"/>
      <c r="R356" s="1096"/>
      <c r="S356" s="1096"/>
      <c r="T356" s="1096"/>
      <c r="U356" s="1096"/>
      <c r="V356" s="1096"/>
      <c r="W356" s="1096"/>
      <c r="X356" s="1096"/>
      <c r="Y356" s="1096"/>
      <c r="Z356" s="1096"/>
      <c r="AA356" s="1096"/>
      <c r="AB356" s="1096"/>
      <c r="AC356" s="1096"/>
      <c r="AD356" s="1096"/>
      <c r="AE356" s="1096"/>
      <c r="AF356" s="1096"/>
      <c r="AG356" s="1096"/>
      <c r="AH356" s="1096"/>
      <c r="AI356" s="1096"/>
      <c r="AJ356" s="1096"/>
      <c r="AK356" s="1096"/>
      <c r="AL356" s="1096"/>
      <c r="AM356" s="1096"/>
      <c r="AN356" s="1096"/>
      <c r="AO356" s="1096"/>
      <c r="AP356" s="1096"/>
      <c r="AQ356" s="1096"/>
      <c r="AR356" s="1096"/>
      <c r="AS356" s="1096"/>
      <c r="AT356" s="1096"/>
      <c r="AU356" s="1096"/>
      <c r="AV356" s="1096"/>
      <c r="AW356" s="1096"/>
      <c r="AX356" s="1096"/>
      <c r="AY356" s="1096"/>
    </row>
    <row r="357" spans="1:51" x14ac:dyDescent="0.45">
      <c r="A357" s="1096">
        <v>1968</v>
      </c>
      <c r="B357" s="1096" t="s">
        <v>1379</v>
      </c>
      <c r="C357" s="1113">
        <f>[7]LRAll!C348</f>
        <v>16.705191693396294</v>
      </c>
      <c r="D357" s="1113">
        <f>[7]LRAll!I348</f>
        <v>14.415855093836111</v>
      </c>
      <c r="E357" s="1096"/>
      <c r="F357" s="1114">
        <f t="shared" si="9"/>
        <v>86.2956580111249</v>
      </c>
      <c r="G357" s="1096"/>
      <c r="H357" s="1096"/>
      <c r="I357" s="1096"/>
      <c r="J357" s="1096"/>
      <c r="K357" s="1096"/>
      <c r="L357" s="1096"/>
      <c r="M357" s="1096"/>
      <c r="N357" s="1096"/>
      <c r="O357" s="1096"/>
      <c r="P357" s="1096"/>
      <c r="Q357" s="1096"/>
      <c r="R357" s="1096"/>
      <c r="S357" s="1096"/>
      <c r="T357" s="1096"/>
      <c r="U357" s="1096"/>
      <c r="V357" s="1096"/>
      <c r="W357" s="1096"/>
      <c r="X357" s="1096"/>
      <c r="Y357" s="1096"/>
      <c r="Z357" s="1096"/>
      <c r="AA357" s="1096"/>
      <c r="AB357" s="1096"/>
      <c r="AC357" s="1096"/>
      <c r="AD357" s="1096"/>
      <c r="AE357" s="1096"/>
      <c r="AF357" s="1096"/>
      <c r="AG357" s="1096"/>
      <c r="AH357" s="1096"/>
      <c r="AI357" s="1096"/>
      <c r="AJ357" s="1096"/>
      <c r="AK357" s="1096"/>
      <c r="AL357" s="1096"/>
      <c r="AM357" s="1096"/>
      <c r="AN357" s="1096"/>
      <c r="AO357" s="1096"/>
      <c r="AP357" s="1096"/>
      <c r="AQ357" s="1096"/>
      <c r="AR357" s="1096"/>
      <c r="AS357" s="1096"/>
      <c r="AT357" s="1096"/>
      <c r="AU357" s="1096"/>
      <c r="AV357" s="1096"/>
      <c r="AW357" s="1096"/>
      <c r="AX357" s="1096"/>
      <c r="AY357" s="1096"/>
    </row>
    <row r="358" spans="1:51" x14ac:dyDescent="0.45">
      <c r="A358" s="1096">
        <v>1968</v>
      </c>
      <c r="B358" s="1096" t="s">
        <v>1381</v>
      </c>
      <c r="C358" s="1113">
        <f>[7]LRAll!C349</f>
        <v>16.744840091402775</v>
      </c>
      <c r="D358" s="1113">
        <f>[7]LRAll!I349</f>
        <v>14.45776164934145</v>
      </c>
      <c r="E358" s="1096"/>
      <c r="F358" s="1114">
        <f t="shared" ref="F358:F421" si="10">D358/C358*100</f>
        <v>86.341592815594765</v>
      </c>
      <c r="G358" s="1096"/>
      <c r="H358" s="1096"/>
      <c r="I358" s="1096"/>
      <c r="J358" s="1096"/>
      <c r="K358" s="1096"/>
      <c r="L358" s="1096"/>
      <c r="M358" s="1096"/>
      <c r="N358" s="1096"/>
      <c r="O358" s="1096"/>
      <c r="P358" s="1096"/>
      <c r="Q358" s="1096"/>
      <c r="R358" s="1096"/>
      <c r="S358" s="1096"/>
      <c r="T358" s="1096"/>
      <c r="U358" s="1096"/>
      <c r="V358" s="1096"/>
      <c r="W358" s="1096"/>
      <c r="X358" s="1096"/>
      <c r="Y358" s="1096"/>
      <c r="Z358" s="1096"/>
      <c r="AA358" s="1096"/>
      <c r="AB358" s="1096"/>
      <c r="AC358" s="1096"/>
      <c r="AD358" s="1096"/>
      <c r="AE358" s="1096"/>
      <c r="AF358" s="1096"/>
      <c r="AG358" s="1096"/>
      <c r="AH358" s="1096"/>
      <c r="AI358" s="1096"/>
      <c r="AJ358" s="1096"/>
      <c r="AK358" s="1096"/>
      <c r="AL358" s="1096"/>
      <c r="AM358" s="1096"/>
      <c r="AN358" s="1096"/>
      <c r="AO358" s="1096"/>
      <c r="AP358" s="1096"/>
      <c r="AQ358" s="1096"/>
      <c r="AR358" s="1096"/>
      <c r="AS358" s="1096"/>
      <c r="AT358" s="1096"/>
      <c r="AU358" s="1096"/>
      <c r="AV358" s="1096"/>
      <c r="AW358" s="1096"/>
      <c r="AX358" s="1096"/>
      <c r="AY358" s="1096"/>
    </row>
    <row r="359" spans="1:51" x14ac:dyDescent="0.45">
      <c r="A359" s="1096">
        <v>1968</v>
      </c>
      <c r="B359" s="1096" t="s">
        <v>1383</v>
      </c>
      <c r="C359" s="1113">
        <f>[7]LRAll!C350</f>
        <v>16.969514346772819</v>
      </c>
      <c r="D359" s="1113">
        <f>[7]LRAll!I350</f>
        <v>14.478714927094119</v>
      </c>
      <c r="E359" s="1096"/>
      <c r="F359" s="1114">
        <f t="shared" si="10"/>
        <v>85.321916887077037</v>
      </c>
      <c r="G359" s="1096"/>
      <c r="H359" s="1096"/>
      <c r="I359" s="1096"/>
      <c r="J359" s="1096"/>
      <c r="K359" s="1096"/>
      <c r="L359" s="1096"/>
      <c r="M359" s="1096"/>
      <c r="N359" s="1096"/>
      <c r="O359" s="1096"/>
      <c r="P359" s="1096"/>
      <c r="Q359" s="1096"/>
      <c r="R359" s="1096"/>
      <c r="S359" s="1096"/>
      <c r="T359" s="1096"/>
      <c r="U359" s="1096"/>
      <c r="V359" s="1096"/>
      <c r="W359" s="1096"/>
      <c r="X359" s="1096"/>
      <c r="Y359" s="1096"/>
      <c r="Z359" s="1096"/>
      <c r="AA359" s="1096"/>
      <c r="AB359" s="1096"/>
      <c r="AC359" s="1096"/>
      <c r="AD359" s="1096"/>
      <c r="AE359" s="1096"/>
      <c r="AF359" s="1096"/>
      <c r="AG359" s="1096"/>
      <c r="AH359" s="1096"/>
      <c r="AI359" s="1096"/>
      <c r="AJ359" s="1096"/>
      <c r="AK359" s="1096"/>
      <c r="AL359" s="1096"/>
      <c r="AM359" s="1096"/>
      <c r="AN359" s="1096"/>
      <c r="AO359" s="1096"/>
      <c r="AP359" s="1096"/>
      <c r="AQ359" s="1096"/>
      <c r="AR359" s="1096"/>
      <c r="AS359" s="1096"/>
      <c r="AT359" s="1096"/>
      <c r="AU359" s="1096"/>
      <c r="AV359" s="1096"/>
      <c r="AW359" s="1096"/>
      <c r="AX359" s="1096"/>
      <c r="AY359" s="1096"/>
    </row>
    <row r="360" spans="1:51" x14ac:dyDescent="0.45">
      <c r="A360" s="1096">
        <v>1969</v>
      </c>
      <c r="B360" s="1096" t="s">
        <v>1385</v>
      </c>
      <c r="C360" s="1113">
        <f>[7]LRAll!C351</f>
        <v>17.0620272754546</v>
      </c>
      <c r="D360" s="1113">
        <f>[7]LRAll!I351</f>
        <v>14.499668204846786</v>
      </c>
      <c r="E360" s="1096"/>
      <c r="F360" s="1114">
        <f t="shared" si="10"/>
        <v>84.982094863404541</v>
      </c>
      <c r="G360" s="1096"/>
      <c r="H360" s="1096"/>
      <c r="I360" s="1096"/>
      <c r="J360" s="1096"/>
      <c r="K360" s="1096"/>
      <c r="L360" s="1096"/>
      <c r="M360" s="1096"/>
      <c r="N360" s="1096"/>
      <c r="O360" s="1096"/>
      <c r="P360" s="1096"/>
      <c r="Q360" s="1096"/>
      <c r="R360" s="1096"/>
      <c r="S360" s="1096"/>
      <c r="T360" s="1096"/>
      <c r="U360" s="1096"/>
      <c r="V360" s="1096"/>
      <c r="W360" s="1096"/>
      <c r="X360" s="1096"/>
      <c r="Y360" s="1096"/>
      <c r="Z360" s="1096"/>
      <c r="AA360" s="1096"/>
      <c r="AB360" s="1096"/>
      <c r="AC360" s="1096"/>
      <c r="AD360" s="1096"/>
      <c r="AE360" s="1096"/>
      <c r="AF360" s="1096"/>
      <c r="AG360" s="1096"/>
      <c r="AH360" s="1096"/>
      <c r="AI360" s="1096"/>
      <c r="AJ360" s="1096"/>
      <c r="AK360" s="1096"/>
      <c r="AL360" s="1096"/>
      <c r="AM360" s="1096"/>
      <c r="AN360" s="1096"/>
      <c r="AO360" s="1096"/>
      <c r="AP360" s="1096"/>
      <c r="AQ360" s="1096"/>
      <c r="AR360" s="1096"/>
      <c r="AS360" s="1096"/>
      <c r="AT360" s="1096"/>
      <c r="AU360" s="1096"/>
      <c r="AV360" s="1096"/>
      <c r="AW360" s="1096"/>
      <c r="AX360" s="1096"/>
      <c r="AY360" s="1096"/>
    </row>
    <row r="361" spans="1:51" x14ac:dyDescent="0.45">
      <c r="A361" s="1096">
        <v>1969</v>
      </c>
      <c r="B361" s="1096" t="s">
        <v>1387</v>
      </c>
      <c r="C361" s="1113">
        <f>[7]LRAll!C352</f>
        <v>17.154540204136385</v>
      </c>
      <c r="D361" s="1113">
        <f>[7]LRAll!I352</f>
        <v>14.510144843723124</v>
      </c>
      <c r="E361" s="1096"/>
      <c r="F361" s="1114">
        <f t="shared" si="10"/>
        <v>84.584865994976468</v>
      </c>
      <c r="G361" s="1096"/>
      <c r="H361" s="1096"/>
      <c r="I361" s="1096"/>
      <c r="J361" s="1096"/>
      <c r="K361" s="1096"/>
      <c r="L361" s="1096"/>
      <c r="M361" s="1096"/>
      <c r="N361" s="1096"/>
      <c r="O361" s="1096"/>
      <c r="P361" s="1096"/>
      <c r="Q361" s="1096"/>
      <c r="R361" s="1096"/>
      <c r="S361" s="1096"/>
      <c r="T361" s="1096"/>
      <c r="U361" s="1096"/>
      <c r="V361" s="1096"/>
      <c r="W361" s="1096"/>
      <c r="X361" s="1096"/>
      <c r="Y361" s="1096"/>
      <c r="Z361" s="1096"/>
      <c r="AA361" s="1096"/>
      <c r="AB361" s="1096"/>
      <c r="AC361" s="1096"/>
      <c r="AD361" s="1096"/>
      <c r="AE361" s="1096"/>
      <c r="AF361" s="1096"/>
      <c r="AG361" s="1096"/>
      <c r="AH361" s="1096"/>
      <c r="AI361" s="1096"/>
      <c r="AJ361" s="1096"/>
      <c r="AK361" s="1096"/>
      <c r="AL361" s="1096"/>
      <c r="AM361" s="1096"/>
      <c r="AN361" s="1096"/>
      <c r="AO361" s="1096"/>
      <c r="AP361" s="1096"/>
      <c r="AQ361" s="1096"/>
      <c r="AR361" s="1096"/>
      <c r="AS361" s="1096"/>
      <c r="AT361" s="1096"/>
      <c r="AU361" s="1096"/>
      <c r="AV361" s="1096"/>
      <c r="AW361" s="1096"/>
      <c r="AX361" s="1096"/>
      <c r="AY361" s="1096"/>
    </row>
    <row r="362" spans="1:51" x14ac:dyDescent="0.45">
      <c r="A362" s="1096">
        <v>1969</v>
      </c>
      <c r="B362" s="1096" t="s">
        <v>1389</v>
      </c>
      <c r="C362" s="1113">
        <f>[7]LRAll!C353</f>
        <v>17.22062086748052</v>
      </c>
      <c r="D362" s="1113">
        <f>[7]LRAll!I353</f>
        <v>14.510144843723124</v>
      </c>
      <c r="E362" s="1096"/>
      <c r="F362" s="1114">
        <f t="shared" si="10"/>
        <v>84.260288612033335</v>
      </c>
      <c r="G362" s="1096"/>
      <c r="H362" s="1096"/>
      <c r="I362" s="1096"/>
      <c r="J362" s="1096"/>
      <c r="K362" s="1096"/>
      <c r="L362" s="1096"/>
      <c r="M362" s="1096"/>
      <c r="N362" s="1096"/>
      <c r="O362" s="1096"/>
      <c r="P362" s="1096"/>
      <c r="Q362" s="1096"/>
      <c r="R362" s="1096"/>
      <c r="S362" s="1096"/>
      <c r="T362" s="1096"/>
      <c r="U362" s="1096"/>
      <c r="V362" s="1096"/>
      <c r="W362" s="1096"/>
      <c r="X362" s="1096"/>
      <c r="Y362" s="1096"/>
      <c r="Z362" s="1096"/>
      <c r="AA362" s="1096"/>
      <c r="AB362" s="1096"/>
      <c r="AC362" s="1096"/>
      <c r="AD362" s="1096"/>
      <c r="AE362" s="1096"/>
      <c r="AF362" s="1096"/>
      <c r="AG362" s="1096"/>
      <c r="AH362" s="1096"/>
      <c r="AI362" s="1096"/>
      <c r="AJ362" s="1096"/>
      <c r="AK362" s="1096"/>
      <c r="AL362" s="1096"/>
      <c r="AM362" s="1096"/>
      <c r="AN362" s="1096"/>
      <c r="AO362" s="1096"/>
      <c r="AP362" s="1096"/>
      <c r="AQ362" s="1096"/>
      <c r="AR362" s="1096"/>
      <c r="AS362" s="1096"/>
      <c r="AT362" s="1096"/>
      <c r="AU362" s="1096"/>
      <c r="AV362" s="1096"/>
      <c r="AW362" s="1096"/>
      <c r="AX362" s="1096"/>
      <c r="AY362" s="1096"/>
    </row>
    <row r="363" spans="1:51" x14ac:dyDescent="0.45">
      <c r="A363" s="1096">
        <v>1969</v>
      </c>
      <c r="B363" s="1096" t="s">
        <v>1391</v>
      </c>
      <c r="C363" s="1113">
        <f>[7]LRAll!C354</f>
        <v>17.405646724844079</v>
      </c>
      <c r="D363" s="1113">
        <f>[7]LRAll!I354</f>
        <v>14.520621482599456</v>
      </c>
      <c r="E363" s="1096"/>
      <c r="F363" s="1114">
        <f t="shared" si="10"/>
        <v>83.424774224983778</v>
      </c>
      <c r="G363" s="1096"/>
      <c r="H363" s="1096"/>
      <c r="I363" s="1096"/>
      <c r="J363" s="1096"/>
      <c r="K363" s="1096"/>
      <c r="L363" s="1096"/>
      <c r="M363" s="1096"/>
      <c r="N363" s="1096"/>
      <c r="O363" s="1096"/>
      <c r="P363" s="1096"/>
      <c r="Q363" s="1096"/>
      <c r="R363" s="1096"/>
      <c r="S363" s="1096"/>
      <c r="T363" s="1096"/>
      <c r="U363" s="1096"/>
      <c r="V363" s="1096"/>
      <c r="W363" s="1096"/>
      <c r="X363" s="1096"/>
      <c r="Y363" s="1096"/>
      <c r="Z363" s="1096"/>
      <c r="AA363" s="1096"/>
      <c r="AB363" s="1096"/>
      <c r="AC363" s="1096"/>
      <c r="AD363" s="1096"/>
      <c r="AE363" s="1096"/>
      <c r="AF363" s="1096"/>
      <c r="AG363" s="1096"/>
      <c r="AH363" s="1096"/>
      <c r="AI363" s="1096"/>
      <c r="AJ363" s="1096"/>
      <c r="AK363" s="1096"/>
      <c r="AL363" s="1096"/>
      <c r="AM363" s="1096"/>
      <c r="AN363" s="1096"/>
      <c r="AO363" s="1096"/>
      <c r="AP363" s="1096"/>
      <c r="AQ363" s="1096"/>
      <c r="AR363" s="1096"/>
      <c r="AS363" s="1096"/>
      <c r="AT363" s="1096"/>
      <c r="AU363" s="1096"/>
      <c r="AV363" s="1096"/>
      <c r="AW363" s="1096"/>
      <c r="AX363" s="1096"/>
      <c r="AY363" s="1096"/>
    </row>
    <row r="364" spans="1:51" x14ac:dyDescent="0.45">
      <c r="A364" s="1096">
        <v>1969</v>
      </c>
      <c r="B364" s="1096" t="s">
        <v>1393</v>
      </c>
      <c r="C364" s="1113">
        <f>[7]LRAll!C355</f>
        <v>17.379214459506429</v>
      </c>
      <c r="D364" s="1113">
        <f>[7]LRAll!I355</f>
        <v>14.12250920529875</v>
      </c>
      <c r="E364" s="1096"/>
      <c r="F364" s="1114">
        <f t="shared" si="10"/>
        <v>81.260917967289018</v>
      </c>
      <c r="G364" s="1096"/>
      <c r="H364" s="1096"/>
      <c r="I364" s="1096"/>
      <c r="J364" s="1096"/>
      <c r="K364" s="1096"/>
      <c r="L364" s="1096"/>
      <c r="M364" s="1096"/>
      <c r="N364" s="1096"/>
      <c r="O364" s="1096"/>
      <c r="P364" s="1096"/>
      <c r="Q364" s="1096"/>
      <c r="R364" s="1096"/>
      <c r="S364" s="1096"/>
      <c r="T364" s="1096"/>
      <c r="U364" s="1096"/>
      <c r="V364" s="1096"/>
      <c r="W364" s="1096"/>
      <c r="X364" s="1096"/>
      <c r="Y364" s="1096"/>
      <c r="Z364" s="1096"/>
      <c r="AA364" s="1096"/>
      <c r="AB364" s="1096"/>
      <c r="AC364" s="1096"/>
      <c r="AD364" s="1096"/>
      <c r="AE364" s="1096"/>
      <c r="AF364" s="1096"/>
      <c r="AG364" s="1096"/>
      <c r="AH364" s="1096"/>
      <c r="AI364" s="1096"/>
      <c r="AJ364" s="1096"/>
      <c r="AK364" s="1096"/>
      <c r="AL364" s="1096"/>
      <c r="AM364" s="1096"/>
      <c r="AN364" s="1096"/>
      <c r="AO364" s="1096"/>
      <c r="AP364" s="1096"/>
      <c r="AQ364" s="1096"/>
      <c r="AR364" s="1096"/>
      <c r="AS364" s="1096"/>
      <c r="AT364" s="1096"/>
      <c r="AU364" s="1096"/>
      <c r="AV364" s="1096"/>
      <c r="AW364" s="1096"/>
      <c r="AX364" s="1096"/>
      <c r="AY364" s="1096"/>
    </row>
    <row r="365" spans="1:51" x14ac:dyDescent="0.45">
      <c r="A365" s="1096">
        <v>1969</v>
      </c>
      <c r="B365" s="1096" t="s">
        <v>1371</v>
      </c>
      <c r="C365" s="1113">
        <f>[7]LRAll!C356</f>
        <v>17.458511255519387</v>
      </c>
      <c r="D365" s="1113">
        <f>[7]LRAll!I356</f>
        <v>14.12250920529875</v>
      </c>
      <c r="E365" s="1096"/>
      <c r="F365" s="1114">
        <f t="shared" si="10"/>
        <v>80.891829770616994</v>
      </c>
      <c r="G365" s="1096"/>
      <c r="H365" s="1096"/>
      <c r="I365" s="1096"/>
      <c r="J365" s="1096"/>
      <c r="K365" s="1096"/>
      <c r="L365" s="1096"/>
      <c r="M365" s="1096"/>
      <c r="N365" s="1096"/>
      <c r="O365" s="1096"/>
      <c r="P365" s="1096"/>
      <c r="Q365" s="1096"/>
      <c r="R365" s="1096"/>
      <c r="S365" s="1096"/>
      <c r="T365" s="1096"/>
      <c r="U365" s="1096"/>
      <c r="V365" s="1096"/>
      <c r="W365" s="1096"/>
      <c r="X365" s="1096"/>
      <c r="Y365" s="1096"/>
      <c r="Z365" s="1096"/>
      <c r="AA365" s="1096"/>
      <c r="AB365" s="1096"/>
      <c r="AC365" s="1096"/>
      <c r="AD365" s="1096"/>
      <c r="AE365" s="1096"/>
      <c r="AF365" s="1096"/>
      <c r="AG365" s="1096"/>
      <c r="AH365" s="1096"/>
      <c r="AI365" s="1096"/>
      <c r="AJ365" s="1096"/>
      <c r="AK365" s="1096"/>
      <c r="AL365" s="1096"/>
      <c r="AM365" s="1096"/>
      <c r="AN365" s="1096"/>
      <c r="AO365" s="1096"/>
      <c r="AP365" s="1096"/>
      <c r="AQ365" s="1096"/>
      <c r="AR365" s="1096"/>
      <c r="AS365" s="1096"/>
      <c r="AT365" s="1096"/>
      <c r="AU365" s="1096"/>
      <c r="AV365" s="1096"/>
      <c r="AW365" s="1096"/>
      <c r="AX365" s="1096"/>
      <c r="AY365" s="1096"/>
    </row>
    <row r="366" spans="1:51" x14ac:dyDescent="0.45">
      <c r="A366" s="1096">
        <v>1969</v>
      </c>
      <c r="B366" s="1096" t="s">
        <v>1373</v>
      </c>
      <c r="C366" s="1113">
        <f>[7]LRAll!C357</f>
        <v>17.458511255519387</v>
      </c>
      <c r="D366" s="1113">
        <f>[7]LRAll!I357</f>
        <v>14.132985844175085</v>
      </c>
      <c r="E366" s="1096"/>
      <c r="F366" s="1114">
        <f t="shared" si="10"/>
        <v>80.951838546411224</v>
      </c>
      <c r="G366" s="1096"/>
      <c r="H366" s="1096"/>
      <c r="I366" s="1096"/>
      <c r="J366" s="1096"/>
      <c r="K366" s="1096"/>
      <c r="L366" s="1096"/>
      <c r="M366" s="1096"/>
      <c r="N366" s="1096"/>
      <c r="O366" s="1096"/>
      <c r="P366" s="1096"/>
      <c r="Q366" s="1096"/>
      <c r="R366" s="1096"/>
      <c r="S366" s="1096"/>
      <c r="T366" s="1096"/>
      <c r="U366" s="1096"/>
      <c r="V366" s="1096"/>
      <c r="W366" s="1096"/>
      <c r="X366" s="1096"/>
      <c r="Y366" s="1096"/>
      <c r="Z366" s="1096"/>
      <c r="AA366" s="1096"/>
      <c r="AB366" s="1096"/>
      <c r="AC366" s="1096"/>
      <c r="AD366" s="1096"/>
      <c r="AE366" s="1096"/>
      <c r="AF366" s="1096"/>
      <c r="AG366" s="1096"/>
      <c r="AH366" s="1096"/>
      <c r="AI366" s="1096"/>
      <c r="AJ366" s="1096"/>
      <c r="AK366" s="1096"/>
      <c r="AL366" s="1096"/>
      <c r="AM366" s="1096"/>
      <c r="AN366" s="1096"/>
      <c r="AO366" s="1096"/>
      <c r="AP366" s="1096"/>
      <c r="AQ366" s="1096"/>
      <c r="AR366" s="1096"/>
      <c r="AS366" s="1096"/>
      <c r="AT366" s="1096"/>
      <c r="AU366" s="1096"/>
      <c r="AV366" s="1096"/>
      <c r="AW366" s="1096"/>
      <c r="AX366" s="1096"/>
      <c r="AY366" s="1096"/>
    </row>
    <row r="367" spans="1:51" x14ac:dyDescent="0.45">
      <c r="A367" s="1096">
        <v>1969</v>
      </c>
      <c r="B367" s="1096" t="s">
        <v>1375</v>
      </c>
      <c r="C367" s="1113">
        <f>[7]LRAll!C358</f>
        <v>17.418862857512909</v>
      </c>
      <c r="D367" s="1113">
        <f>[7]LRAll!I358</f>
        <v>14.174892399680424</v>
      </c>
      <c r="E367" s="1096"/>
      <c r="F367" s="1114">
        <f t="shared" si="10"/>
        <v>81.376680645755627</v>
      </c>
      <c r="G367" s="1096"/>
      <c r="H367" s="1096"/>
      <c r="I367" s="1096"/>
      <c r="J367" s="1096"/>
      <c r="K367" s="1096"/>
      <c r="L367" s="1096"/>
      <c r="M367" s="1096"/>
      <c r="N367" s="1096"/>
      <c r="O367" s="1096"/>
      <c r="P367" s="1096"/>
      <c r="Q367" s="1096"/>
      <c r="R367" s="1096"/>
      <c r="S367" s="1096"/>
      <c r="T367" s="1096"/>
      <c r="U367" s="1096"/>
      <c r="V367" s="1096"/>
      <c r="W367" s="1096"/>
      <c r="X367" s="1096"/>
      <c r="Y367" s="1096"/>
      <c r="Z367" s="1096"/>
      <c r="AA367" s="1096"/>
      <c r="AB367" s="1096"/>
      <c r="AC367" s="1096"/>
      <c r="AD367" s="1096"/>
      <c r="AE367" s="1096"/>
      <c r="AF367" s="1096"/>
      <c r="AG367" s="1096"/>
      <c r="AH367" s="1096"/>
      <c r="AI367" s="1096"/>
      <c r="AJ367" s="1096"/>
      <c r="AK367" s="1096"/>
      <c r="AL367" s="1096"/>
      <c r="AM367" s="1096"/>
      <c r="AN367" s="1096"/>
      <c r="AO367" s="1096"/>
      <c r="AP367" s="1096"/>
      <c r="AQ367" s="1096"/>
      <c r="AR367" s="1096"/>
      <c r="AS367" s="1096"/>
      <c r="AT367" s="1096"/>
      <c r="AU367" s="1096"/>
      <c r="AV367" s="1096"/>
      <c r="AW367" s="1096"/>
      <c r="AX367" s="1096"/>
      <c r="AY367" s="1096"/>
    </row>
    <row r="368" spans="1:51" x14ac:dyDescent="0.45">
      <c r="A368" s="1096">
        <v>1969</v>
      </c>
      <c r="B368" s="1096" t="s">
        <v>1377</v>
      </c>
      <c r="C368" s="1113">
        <f>[7]LRAll!C359</f>
        <v>17.471727388188214</v>
      </c>
      <c r="D368" s="1113">
        <f>[7]LRAll!I359</f>
        <v>14.185369038556757</v>
      </c>
      <c r="E368" s="1096"/>
      <c r="F368" s="1114">
        <f t="shared" si="10"/>
        <v>81.190421092231531</v>
      </c>
      <c r="G368" s="1096"/>
      <c r="H368" s="1096"/>
      <c r="I368" s="1096"/>
      <c r="J368" s="1096"/>
      <c r="K368" s="1096"/>
      <c r="L368" s="1096"/>
      <c r="M368" s="1096"/>
      <c r="N368" s="1096"/>
      <c r="O368" s="1096"/>
      <c r="P368" s="1096"/>
      <c r="Q368" s="1096"/>
      <c r="R368" s="1096"/>
      <c r="S368" s="1096"/>
      <c r="T368" s="1096"/>
      <c r="U368" s="1096"/>
      <c r="V368" s="1096"/>
      <c r="W368" s="1096"/>
      <c r="X368" s="1096"/>
      <c r="Y368" s="1096"/>
      <c r="Z368" s="1096"/>
      <c r="AA368" s="1096"/>
      <c r="AB368" s="1096"/>
      <c r="AC368" s="1096"/>
      <c r="AD368" s="1096"/>
      <c r="AE368" s="1096"/>
      <c r="AF368" s="1096"/>
      <c r="AG368" s="1096"/>
      <c r="AH368" s="1096"/>
      <c r="AI368" s="1096"/>
      <c r="AJ368" s="1096"/>
      <c r="AK368" s="1096"/>
      <c r="AL368" s="1096"/>
      <c r="AM368" s="1096"/>
      <c r="AN368" s="1096"/>
      <c r="AO368" s="1096"/>
      <c r="AP368" s="1096"/>
      <c r="AQ368" s="1096"/>
      <c r="AR368" s="1096"/>
      <c r="AS368" s="1096"/>
      <c r="AT368" s="1096"/>
      <c r="AU368" s="1096"/>
      <c r="AV368" s="1096"/>
      <c r="AW368" s="1096"/>
      <c r="AX368" s="1096"/>
      <c r="AY368" s="1096"/>
    </row>
    <row r="369" spans="1:51" x14ac:dyDescent="0.45">
      <c r="A369" s="1096">
        <v>1969</v>
      </c>
      <c r="B369" s="1096" t="s">
        <v>1379</v>
      </c>
      <c r="C369" s="1113">
        <f>[7]LRAll!C360</f>
        <v>17.603888714876476</v>
      </c>
      <c r="D369" s="1113">
        <f>[7]LRAll!I360</f>
        <v>14.803490732260485</v>
      </c>
      <c r="E369" s="1096"/>
      <c r="F369" s="1114">
        <f t="shared" si="10"/>
        <v>84.092162658075281</v>
      </c>
      <c r="G369" s="1096"/>
      <c r="H369" s="1096"/>
      <c r="I369" s="1096"/>
      <c r="J369" s="1096"/>
      <c r="K369" s="1096"/>
      <c r="L369" s="1096"/>
      <c r="M369" s="1096"/>
      <c r="N369" s="1096"/>
      <c r="O369" s="1096"/>
      <c r="P369" s="1096"/>
      <c r="Q369" s="1096"/>
      <c r="R369" s="1096"/>
      <c r="S369" s="1096"/>
      <c r="T369" s="1096"/>
      <c r="U369" s="1096"/>
      <c r="V369" s="1096"/>
      <c r="W369" s="1096"/>
      <c r="X369" s="1096"/>
      <c r="Y369" s="1096"/>
      <c r="Z369" s="1096"/>
      <c r="AA369" s="1096"/>
      <c r="AB369" s="1096"/>
      <c r="AC369" s="1096"/>
      <c r="AD369" s="1096"/>
      <c r="AE369" s="1096"/>
      <c r="AF369" s="1096"/>
      <c r="AG369" s="1096"/>
      <c r="AH369" s="1096"/>
      <c r="AI369" s="1096"/>
      <c r="AJ369" s="1096"/>
      <c r="AK369" s="1096"/>
      <c r="AL369" s="1096"/>
      <c r="AM369" s="1096"/>
      <c r="AN369" s="1096"/>
      <c r="AO369" s="1096"/>
      <c r="AP369" s="1096"/>
      <c r="AQ369" s="1096"/>
      <c r="AR369" s="1096"/>
      <c r="AS369" s="1096"/>
      <c r="AT369" s="1096"/>
      <c r="AU369" s="1096"/>
      <c r="AV369" s="1096"/>
      <c r="AW369" s="1096"/>
      <c r="AX369" s="1096"/>
      <c r="AY369" s="1096"/>
    </row>
    <row r="370" spans="1:51" x14ac:dyDescent="0.45">
      <c r="A370" s="1096">
        <v>1969</v>
      </c>
      <c r="B370" s="1096" t="s">
        <v>1381</v>
      </c>
      <c r="C370" s="1113">
        <f>[7]LRAll!C361</f>
        <v>17.643537112882953</v>
      </c>
      <c r="D370" s="1113">
        <f>[7]LRAll!I361</f>
        <v>14.834920648889486</v>
      </c>
      <c r="E370" s="1096"/>
      <c r="F370" s="1114">
        <f t="shared" si="10"/>
        <v>84.081329916875504</v>
      </c>
      <c r="G370" s="1096"/>
      <c r="H370" s="1096"/>
      <c r="I370" s="1096"/>
      <c r="J370" s="1096"/>
      <c r="K370" s="1096"/>
      <c r="L370" s="1096"/>
      <c r="M370" s="1096"/>
      <c r="N370" s="1096"/>
      <c r="O370" s="1096"/>
      <c r="P370" s="1096"/>
      <c r="Q370" s="1096"/>
      <c r="R370" s="1096"/>
      <c r="S370" s="1096"/>
      <c r="T370" s="1096"/>
      <c r="U370" s="1096"/>
      <c r="V370" s="1096"/>
      <c r="W370" s="1096"/>
      <c r="X370" s="1096"/>
      <c r="Y370" s="1096"/>
      <c r="Z370" s="1096"/>
      <c r="AA370" s="1096"/>
      <c r="AB370" s="1096"/>
      <c r="AC370" s="1096"/>
      <c r="AD370" s="1096"/>
      <c r="AE370" s="1096"/>
      <c r="AF370" s="1096"/>
      <c r="AG370" s="1096"/>
      <c r="AH370" s="1096"/>
      <c r="AI370" s="1096"/>
      <c r="AJ370" s="1096"/>
      <c r="AK370" s="1096"/>
      <c r="AL370" s="1096"/>
      <c r="AM370" s="1096"/>
      <c r="AN370" s="1096"/>
      <c r="AO370" s="1096"/>
      <c r="AP370" s="1096"/>
      <c r="AQ370" s="1096"/>
      <c r="AR370" s="1096"/>
      <c r="AS370" s="1096"/>
      <c r="AT370" s="1096"/>
      <c r="AU370" s="1096"/>
      <c r="AV370" s="1096"/>
      <c r="AW370" s="1096"/>
      <c r="AX370" s="1096"/>
      <c r="AY370" s="1096"/>
    </row>
    <row r="371" spans="1:51" x14ac:dyDescent="0.45">
      <c r="A371" s="1096">
        <v>1969</v>
      </c>
      <c r="B371" s="1096" t="s">
        <v>1383</v>
      </c>
      <c r="C371" s="1113">
        <f>[7]LRAll!C362</f>
        <v>17.762482306902392</v>
      </c>
      <c r="D371" s="1113">
        <f>[7]LRAll!I362</f>
        <v>14.845397287765822</v>
      </c>
      <c r="E371" s="1096"/>
      <c r="F371" s="1114">
        <f t="shared" si="10"/>
        <v>83.577267136795356</v>
      </c>
      <c r="G371" s="1096"/>
      <c r="H371" s="1096"/>
      <c r="I371" s="1096"/>
      <c r="J371" s="1096"/>
      <c r="K371" s="1096"/>
      <c r="L371" s="1096"/>
      <c r="M371" s="1096"/>
      <c r="N371" s="1096"/>
      <c r="O371" s="1096"/>
      <c r="P371" s="1096"/>
      <c r="Q371" s="1096"/>
      <c r="R371" s="1096"/>
      <c r="S371" s="1096"/>
      <c r="T371" s="1096"/>
      <c r="U371" s="1096"/>
      <c r="V371" s="1096"/>
      <c r="W371" s="1096"/>
      <c r="X371" s="1096"/>
      <c r="Y371" s="1096"/>
      <c r="Z371" s="1096"/>
      <c r="AA371" s="1096"/>
      <c r="AB371" s="1096"/>
      <c r="AC371" s="1096"/>
      <c r="AD371" s="1096"/>
      <c r="AE371" s="1096"/>
      <c r="AF371" s="1096"/>
      <c r="AG371" s="1096"/>
      <c r="AH371" s="1096"/>
      <c r="AI371" s="1096"/>
      <c r="AJ371" s="1096"/>
      <c r="AK371" s="1096"/>
      <c r="AL371" s="1096"/>
      <c r="AM371" s="1096"/>
      <c r="AN371" s="1096"/>
      <c r="AO371" s="1096"/>
      <c r="AP371" s="1096"/>
      <c r="AQ371" s="1096"/>
      <c r="AR371" s="1096"/>
      <c r="AS371" s="1096"/>
      <c r="AT371" s="1096"/>
      <c r="AU371" s="1096"/>
      <c r="AV371" s="1096"/>
      <c r="AW371" s="1096"/>
      <c r="AX371" s="1096"/>
      <c r="AY371" s="1096"/>
    </row>
    <row r="372" spans="1:51" x14ac:dyDescent="0.45">
      <c r="A372" s="1096">
        <v>1970</v>
      </c>
      <c r="B372" s="1096" t="s">
        <v>1385</v>
      </c>
      <c r="C372" s="1113">
        <f>[7]LRAll!C363</f>
        <v>17.907859766259477</v>
      </c>
      <c r="D372" s="1113">
        <f>[7]LRAll!I363</f>
        <v>15.222556287313862</v>
      </c>
      <c r="E372" s="1096"/>
      <c r="F372" s="1114">
        <f t="shared" si="10"/>
        <v>85.004888836548503</v>
      </c>
      <c r="G372" s="1096"/>
      <c r="H372" s="1096"/>
      <c r="I372" s="1096"/>
      <c r="J372" s="1096"/>
      <c r="K372" s="1096"/>
      <c r="L372" s="1096"/>
      <c r="M372" s="1096"/>
      <c r="N372" s="1096"/>
      <c r="O372" s="1096"/>
      <c r="P372" s="1096"/>
      <c r="Q372" s="1096"/>
      <c r="R372" s="1096"/>
      <c r="S372" s="1096"/>
      <c r="T372" s="1096"/>
      <c r="U372" s="1096"/>
      <c r="V372" s="1096"/>
      <c r="W372" s="1096"/>
      <c r="X372" s="1096"/>
      <c r="Y372" s="1096"/>
      <c r="Z372" s="1096"/>
      <c r="AA372" s="1096"/>
      <c r="AB372" s="1096"/>
      <c r="AC372" s="1096"/>
      <c r="AD372" s="1096"/>
      <c r="AE372" s="1096"/>
      <c r="AF372" s="1096"/>
      <c r="AG372" s="1096"/>
      <c r="AH372" s="1096"/>
      <c r="AI372" s="1096"/>
      <c r="AJ372" s="1096"/>
      <c r="AK372" s="1096"/>
      <c r="AL372" s="1096"/>
      <c r="AM372" s="1096"/>
      <c r="AN372" s="1096"/>
      <c r="AO372" s="1096"/>
      <c r="AP372" s="1096"/>
      <c r="AQ372" s="1096"/>
      <c r="AR372" s="1096"/>
      <c r="AS372" s="1096"/>
      <c r="AT372" s="1096"/>
      <c r="AU372" s="1096"/>
      <c r="AV372" s="1096"/>
      <c r="AW372" s="1096"/>
      <c r="AX372" s="1096"/>
      <c r="AY372" s="1096"/>
    </row>
    <row r="373" spans="1:51" x14ac:dyDescent="0.45">
      <c r="A373" s="1096">
        <v>1970</v>
      </c>
      <c r="B373" s="1096" t="s">
        <v>1387</v>
      </c>
      <c r="C373" s="1113">
        <f>[7]LRAll!C364</f>
        <v>18.000372694941259</v>
      </c>
      <c r="D373" s="1113">
        <f>[7]LRAll!I364</f>
        <v>15.243509565066528</v>
      </c>
      <c r="E373" s="1096"/>
      <c r="F373" s="1114">
        <f t="shared" si="10"/>
        <v>84.68441083639614</v>
      </c>
      <c r="G373" s="1096"/>
      <c r="H373" s="1096"/>
      <c r="I373" s="1096"/>
      <c r="J373" s="1096"/>
      <c r="K373" s="1096"/>
      <c r="L373" s="1096"/>
      <c r="M373" s="1096"/>
      <c r="N373" s="1096"/>
      <c r="O373" s="1096"/>
      <c r="P373" s="1096"/>
      <c r="Q373" s="1096"/>
      <c r="R373" s="1096"/>
      <c r="S373" s="1096"/>
      <c r="T373" s="1096"/>
      <c r="U373" s="1096"/>
      <c r="V373" s="1096"/>
      <c r="W373" s="1096"/>
      <c r="X373" s="1096"/>
      <c r="Y373" s="1096"/>
      <c r="Z373" s="1096"/>
      <c r="AA373" s="1096"/>
      <c r="AB373" s="1096"/>
      <c r="AC373" s="1096"/>
      <c r="AD373" s="1096"/>
      <c r="AE373" s="1096"/>
      <c r="AF373" s="1096"/>
      <c r="AG373" s="1096"/>
      <c r="AH373" s="1096"/>
      <c r="AI373" s="1096"/>
      <c r="AJ373" s="1096"/>
      <c r="AK373" s="1096"/>
      <c r="AL373" s="1096"/>
      <c r="AM373" s="1096"/>
      <c r="AN373" s="1096"/>
      <c r="AO373" s="1096"/>
      <c r="AP373" s="1096"/>
      <c r="AQ373" s="1096"/>
      <c r="AR373" s="1096"/>
      <c r="AS373" s="1096"/>
      <c r="AT373" s="1096"/>
      <c r="AU373" s="1096"/>
      <c r="AV373" s="1096"/>
      <c r="AW373" s="1096"/>
      <c r="AX373" s="1096"/>
      <c r="AY373" s="1096"/>
    </row>
    <row r="374" spans="1:51" x14ac:dyDescent="0.45">
      <c r="A374" s="1096">
        <v>1970</v>
      </c>
      <c r="B374" s="1096" t="s">
        <v>1389</v>
      </c>
      <c r="C374" s="1113">
        <f>[7]LRAll!C365</f>
        <v>18.106101756291867</v>
      </c>
      <c r="D374" s="1113">
        <f>[7]LRAll!I365</f>
        <v>15.253986203942864</v>
      </c>
      <c r="E374" s="1096"/>
      <c r="F374" s="1114">
        <f t="shared" si="10"/>
        <v>84.247765804376456</v>
      </c>
      <c r="G374" s="1096"/>
      <c r="H374" s="1096"/>
      <c r="I374" s="1096"/>
      <c r="J374" s="1096"/>
      <c r="K374" s="1096"/>
      <c r="L374" s="1096"/>
      <c r="M374" s="1096"/>
      <c r="N374" s="1096"/>
      <c r="O374" s="1096"/>
      <c r="P374" s="1096"/>
      <c r="Q374" s="1096"/>
      <c r="R374" s="1096"/>
      <c r="S374" s="1096"/>
      <c r="T374" s="1096"/>
      <c r="U374" s="1096"/>
      <c r="V374" s="1096"/>
      <c r="W374" s="1096"/>
      <c r="X374" s="1096"/>
      <c r="Y374" s="1096"/>
      <c r="Z374" s="1096"/>
      <c r="AA374" s="1096"/>
      <c r="AB374" s="1096"/>
      <c r="AC374" s="1096"/>
      <c r="AD374" s="1096"/>
      <c r="AE374" s="1096"/>
      <c r="AF374" s="1096"/>
      <c r="AG374" s="1096"/>
      <c r="AH374" s="1096"/>
      <c r="AI374" s="1096"/>
      <c r="AJ374" s="1096"/>
      <c r="AK374" s="1096"/>
      <c r="AL374" s="1096"/>
      <c r="AM374" s="1096"/>
      <c r="AN374" s="1096"/>
      <c r="AO374" s="1096"/>
      <c r="AP374" s="1096"/>
      <c r="AQ374" s="1096"/>
      <c r="AR374" s="1096"/>
      <c r="AS374" s="1096"/>
      <c r="AT374" s="1096"/>
      <c r="AU374" s="1096"/>
      <c r="AV374" s="1096"/>
      <c r="AW374" s="1096"/>
      <c r="AX374" s="1096"/>
      <c r="AY374" s="1096"/>
    </row>
    <row r="375" spans="1:51" x14ac:dyDescent="0.45">
      <c r="A375" s="1096">
        <v>1970</v>
      </c>
      <c r="B375" s="1096" t="s">
        <v>1391</v>
      </c>
      <c r="C375" s="1113">
        <f>[7]LRAll!C366</f>
        <v>18.383640542337222</v>
      </c>
      <c r="D375" s="1113">
        <f>[7]LRAll!I366</f>
        <v>15.243509565066528</v>
      </c>
      <c r="E375" s="1096"/>
      <c r="F375" s="1114">
        <f t="shared" si="10"/>
        <v>82.918883939016197</v>
      </c>
      <c r="G375" s="1096"/>
      <c r="H375" s="1096"/>
      <c r="I375" s="1096"/>
      <c r="J375" s="1096"/>
      <c r="K375" s="1096"/>
      <c r="L375" s="1096"/>
      <c r="M375" s="1096"/>
      <c r="N375" s="1096"/>
      <c r="O375" s="1096"/>
      <c r="P375" s="1096"/>
      <c r="Q375" s="1096"/>
      <c r="R375" s="1096"/>
      <c r="S375" s="1096"/>
      <c r="T375" s="1096"/>
      <c r="U375" s="1096"/>
      <c r="V375" s="1096"/>
      <c r="W375" s="1096"/>
      <c r="X375" s="1096"/>
      <c r="Y375" s="1096"/>
      <c r="Z375" s="1096"/>
      <c r="AA375" s="1096"/>
      <c r="AB375" s="1096"/>
      <c r="AC375" s="1096"/>
      <c r="AD375" s="1096"/>
      <c r="AE375" s="1096"/>
      <c r="AF375" s="1096"/>
      <c r="AG375" s="1096"/>
      <c r="AH375" s="1096"/>
      <c r="AI375" s="1096"/>
      <c r="AJ375" s="1096"/>
      <c r="AK375" s="1096"/>
      <c r="AL375" s="1096"/>
      <c r="AM375" s="1096"/>
      <c r="AN375" s="1096"/>
      <c r="AO375" s="1096"/>
      <c r="AP375" s="1096"/>
      <c r="AQ375" s="1096"/>
      <c r="AR375" s="1096"/>
      <c r="AS375" s="1096"/>
      <c r="AT375" s="1096"/>
      <c r="AU375" s="1096"/>
      <c r="AV375" s="1096"/>
      <c r="AW375" s="1096"/>
      <c r="AX375" s="1096"/>
      <c r="AY375" s="1096"/>
    </row>
    <row r="376" spans="1:51" x14ac:dyDescent="0.45">
      <c r="A376" s="1096">
        <v>1970</v>
      </c>
      <c r="B376" s="1096" t="s">
        <v>1393</v>
      </c>
      <c r="C376" s="1113">
        <f>[7]LRAll!C367</f>
        <v>18.436505073012523</v>
      </c>
      <c r="D376" s="1113">
        <f>[7]LRAll!I367</f>
        <v>14.887303843271161</v>
      </c>
      <c r="E376" s="1096"/>
      <c r="F376" s="1114">
        <f t="shared" si="10"/>
        <v>80.749056202974685</v>
      </c>
      <c r="G376" s="1096"/>
      <c r="H376" s="1096"/>
      <c r="I376" s="1096"/>
      <c r="J376" s="1096"/>
      <c r="K376" s="1096"/>
      <c r="L376" s="1096"/>
      <c r="M376" s="1096"/>
      <c r="N376" s="1096"/>
      <c r="O376" s="1096"/>
      <c r="P376" s="1096"/>
      <c r="Q376" s="1096"/>
      <c r="R376" s="1096"/>
      <c r="S376" s="1096"/>
      <c r="T376" s="1096"/>
      <c r="U376" s="1096"/>
      <c r="V376" s="1096"/>
      <c r="W376" s="1096"/>
      <c r="X376" s="1096"/>
      <c r="Y376" s="1096"/>
      <c r="Z376" s="1096"/>
      <c r="AA376" s="1096"/>
      <c r="AB376" s="1096"/>
      <c r="AC376" s="1096"/>
      <c r="AD376" s="1096"/>
      <c r="AE376" s="1096"/>
      <c r="AF376" s="1096"/>
      <c r="AG376" s="1096"/>
      <c r="AH376" s="1096"/>
      <c r="AI376" s="1096"/>
      <c r="AJ376" s="1096"/>
      <c r="AK376" s="1096"/>
      <c r="AL376" s="1096"/>
      <c r="AM376" s="1096"/>
      <c r="AN376" s="1096"/>
      <c r="AO376" s="1096"/>
      <c r="AP376" s="1096"/>
      <c r="AQ376" s="1096"/>
      <c r="AR376" s="1096"/>
      <c r="AS376" s="1096"/>
      <c r="AT376" s="1096"/>
      <c r="AU376" s="1096"/>
      <c r="AV376" s="1096"/>
      <c r="AW376" s="1096"/>
      <c r="AX376" s="1096"/>
      <c r="AY376" s="1096"/>
    </row>
    <row r="377" spans="1:51" x14ac:dyDescent="0.45">
      <c r="A377" s="1096">
        <v>1970</v>
      </c>
      <c r="B377" s="1096" t="s">
        <v>1371</v>
      </c>
      <c r="C377" s="1113">
        <f>[7]LRAll!C368</f>
        <v>18.489369603687827</v>
      </c>
      <c r="D377" s="1113">
        <f>[7]LRAll!I368</f>
        <v>14.887303843271161</v>
      </c>
      <c r="E377" s="1096"/>
      <c r="F377" s="1114">
        <f t="shared" si="10"/>
        <v>80.518179702036946</v>
      </c>
      <c r="G377" s="1096"/>
      <c r="H377" s="1096"/>
      <c r="I377" s="1096"/>
      <c r="J377" s="1096"/>
      <c r="K377" s="1096"/>
      <c r="L377" s="1096"/>
      <c r="M377" s="1096"/>
      <c r="N377" s="1096"/>
      <c r="O377" s="1096"/>
      <c r="P377" s="1096"/>
      <c r="Q377" s="1096"/>
      <c r="R377" s="1096"/>
      <c r="S377" s="1096"/>
      <c r="T377" s="1096"/>
      <c r="U377" s="1096"/>
      <c r="V377" s="1096"/>
      <c r="W377" s="1096"/>
      <c r="X377" s="1096"/>
      <c r="Y377" s="1096"/>
      <c r="Z377" s="1096"/>
      <c r="AA377" s="1096"/>
      <c r="AB377" s="1096"/>
      <c r="AC377" s="1096"/>
      <c r="AD377" s="1096"/>
      <c r="AE377" s="1096"/>
      <c r="AF377" s="1096"/>
      <c r="AG377" s="1096"/>
      <c r="AH377" s="1096"/>
      <c r="AI377" s="1096"/>
      <c r="AJ377" s="1096"/>
      <c r="AK377" s="1096"/>
      <c r="AL377" s="1096"/>
      <c r="AM377" s="1096"/>
      <c r="AN377" s="1096"/>
      <c r="AO377" s="1096"/>
      <c r="AP377" s="1096"/>
      <c r="AQ377" s="1096"/>
      <c r="AR377" s="1096"/>
      <c r="AS377" s="1096"/>
      <c r="AT377" s="1096"/>
      <c r="AU377" s="1096"/>
      <c r="AV377" s="1096"/>
      <c r="AW377" s="1096"/>
      <c r="AX377" s="1096"/>
      <c r="AY377" s="1096"/>
    </row>
    <row r="378" spans="1:51" x14ac:dyDescent="0.45">
      <c r="A378" s="1096">
        <v>1970</v>
      </c>
      <c r="B378" s="1096" t="s">
        <v>1373</v>
      </c>
      <c r="C378" s="1113">
        <f>[7]LRAll!C369</f>
        <v>18.621530930376089</v>
      </c>
      <c r="D378" s="1113">
        <f>[7]LRAll!I369</f>
        <v>14.887303843271161</v>
      </c>
      <c r="E378" s="1096"/>
      <c r="F378" s="1114">
        <f t="shared" si="10"/>
        <v>79.946723494073595</v>
      </c>
      <c r="G378" s="1096"/>
      <c r="H378" s="1096"/>
      <c r="I378" s="1096"/>
      <c r="J378" s="1096"/>
      <c r="K378" s="1096"/>
      <c r="L378" s="1096"/>
      <c r="M378" s="1096"/>
      <c r="N378" s="1096"/>
      <c r="O378" s="1096"/>
      <c r="P378" s="1096"/>
      <c r="Q378" s="1096"/>
      <c r="R378" s="1096"/>
      <c r="S378" s="1096"/>
      <c r="T378" s="1096"/>
      <c r="U378" s="1096"/>
      <c r="V378" s="1096"/>
      <c r="W378" s="1096"/>
      <c r="X378" s="1096"/>
      <c r="Y378" s="1096"/>
      <c r="Z378" s="1096"/>
      <c r="AA378" s="1096"/>
      <c r="AB378" s="1096"/>
      <c r="AC378" s="1096"/>
      <c r="AD378" s="1096"/>
      <c r="AE378" s="1096"/>
      <c r="AF378" s="1096"/>
      <c r="AG378" s="1096"/>
      <c r="AH378" s="1096"/>
      <c r="AI378" s="1096"/>
      <c r="AJ378" s="1096"/>
      <c r="AK378" s="1096"/>
      <c r="AL378" s="1096"/>
      <c r="AM378" s="1096"/>
      <c r="AN378" s="1096"/>
      <c r="AO378" s="1096"/>
      <c r="AP378" s="1096"/>
      <c r="AQ378" s="1096"/>
      <c r="AR378" s="1096"/>
      <c r="AS378" s="1096"/>
      <c r="AT378" s="1096"/>
      <c r="AU378" s="1096"/>
      <c r="AV378" s="1096"/>
      <c r="AW378" s="1096"/>
      <c r="AX378" s="1096"/>
      <c r="AY378" s="1096"/>
    </row>
    <row r="379" spans="1:51" x14ac:dyDescent="0.45">
      <c r="A379" s="1096">
        <v>1970</v>
      </c>
      <c r="B379" s="1096" t="s">
        <v>1375</v>
      </c>
      <c r="C379" s="1113">
        <f>[7]LRAll!C370</f>
        <v>18.608314797707266</v>
      </c>
      <c r="D379" s="1113">
        <f>[7]LRAll!I370</f>
        <v>14.992070232034504</v>
      </c>
      <c r="E379" s="1096"/>
      <c r="F379" s="1114">
        <f t="shared" si="10"/>
        <v>80.566512309226837</v>
      </c>
      <c r="G379" s="1096"/>
      <c r="H379" s="1096"/>
      <c r="I379" s="1096"/>
      <c r="J379" s="1096"/>
      <c r="K379" s="1096"/>
      <c r="L379" s="1096"/>
      <c r="M379" s="1096"/>
      <c r="N379" s="1096"/>
      <c r="O379" s="1096"/>
      <c r="P379" s="1096"/>
      <c r="Q379" s="1096"/>
      <c r="R379" s="1096"/>
      <c r="S379" s="1096"/>
      <c r="T379" s="1096"/>
      <c r="U379" s="1096"/>
      <c r="V379" s="1096"/>
      <c r="W379" s="1096"/>
      <c r="X379" s="1096"/>
      <c r="Y379" s="1096"/>
      <c r="Z379" s="1096"/>
      <c r="AA379" s="1096"/>
      <c r="AB379" s="1096"/>
      <c r="AC379" s="1096"/>
      <c r="AD379" s="1096"/>
      <c r="AE379" s="1096"/>
      <c r="AF379" s="1096"/>
      <c r="AG379" s="1096"/>
      <c r="AH379" s="1096"/>
      <c r="AI379" s="1096"/>
      <c r="AJ379" s="1096"/>
      <c r="AK379" s="1096"/>
      <c r="AL379" s="1096"/>
      <c r="AM379" s="1096"/>
      <c r="AN379" s="1096"/>
      <c r="AO379" s="1096"/>
      <c r="AP379" s="1096"/>
      <c r="AQ379" s="1096"/>
      <c r="AR379" s="1096"/>
      <c r="AS379" s="1096"/>
      <c r="AT379" s="1096"/>
      <c r="AU379" s="1096"/>
      <c r="AV379" s="1096"/>
      <c r="AW379" s="1096"/>
      <c r="AX379" s="1096"/>
      <c r="AY379" s="1096"/>
    </row>
    <row r="380" spans="1:51" x14ac:dyDescent="0.45">
      <c r="A380" s="1096">
        <v>1970</v>
      </c>
      <c r="B380" s="1096" t="s">
        <v>1377</v>
      </c>
      <c r="C380" s="1113">
        <f>[7]LRAll!C371</f>
        <v>18.700827726389047</v>
      </c>
      <c r="D380" s="1113">
        <f>[7]LRAll!I371</f>
        <v>15.075883343045179</v>
      </c>
      <c r="E380" s="1096"/>
      <c r="F380" s="1114">
        <f t="shared" si="10"/>
        <v>80.616128674194201</v>
      </c>
      <c r="G380" s="1096"/>
      <c r="H380" s="1096"/>
      <c r="I380" s="1096"/>
      <c r="J380" s="1096"/>
      <c r="K380" s="1096"/>
      <c r="L380" s="1096"/>
      <c r="M380" s="1096"/>
      <c r="N380" s="1096"/>
      <c r="O380" s="1096"/>
      <c r="P380" s="1096"/>
      <c r="Q380" s="1096"/>
      <c r="R380" s="1096"/>
      <c r="S380" s="1096"/>
      <c r="T380" s="1096"/>
      <c r="U380" s="1096"/>
      <c r="V380" s="1096"/>
      <c r="W380" s="1096"/>
      <c r="X380" s="1096"/>
      <c r="Y380" s="1096"/>
      <c r="Z380" s="1096"/>
      <c r="AA380" s="1096"/>
      <c r="AB380" s="1096"/>
      <c r="AC380" s="1096"/>
      <c r="AD380" s="1096"/>
      <c r="AE380" s="1096"/>
      <c r="AF380" s="1096"/>
      <c r="AG380" s="1096"/>
      <c r="AH380" s="1096"/>
      <c r="AI380" s="1096"/>
      <c r="AJ380" s="1096"/>
      <c r="AK380" s="1096"/>
      <c r="AL380" s="1096"/>
      <c r="AM380" s="1096"/>
      <c r="AN380" s="1096"/>
      <c r="AO380" s="1096"/>
      <c r="AP380" s="1096"/>
      <c r="AQ380" s="1096"/>
      <c r="AR380" s="1096"/>
      <c r="AS380" s="1096"/>
      <c r="AT380" s="1096"/>
      <c r="AU380" s="1096"/>
      <c r="AV380" s="1096"/>
      <c r="AW380" s="1096"/>
      <c r="AX380" s="1096"/>
      <c r="AY380" s="1096"/>
    </row>
    <row r="381" spans="1:51" x14ac:dyDescent="0.45">
      <c r="A381" s="1096">
        <v>1970</v>
      </c>
      <c r="B381" s="1096" t="s">
        <v>1379</v>
      </c>
      <c r="C381" s="1113">
        <f>[7]LRAll!C372</f>
        <v>18.899069716421444</v>
      </c>
      <c r="D381" s="1113">
        <f>[7]LRAll!I372</f>
        <v>15.798771425512252</v>
      </c>
      <c r="E381" s="1096"/>
      <c r="F381" s="1114">
        <f t="shared" si="10"/>
        <v>83.595497887309577</v>
      </c>
      <c r="G381" s="1096"/>
      <c r="H381" s="1096"/>
      <c r="I381" s="1096"/>
      <c r="J381" s="1096"/>
      <c r="K381" s="1096"/>
      <c r="L381" s="1096"/>
      <c r="M381" s="1096"/>
      <c r="N381" s="1096"/>
      <c r="O381" s="1096"/>
      <c r="P381" s="1096"/>
      <c r="Q381" s="1096"/>
      <c r="R381" s="1096"/>
      <c r="S381" s="1096"/>
      <c r="T381" s="1096"/>
      <c r="U381" s="1096"/>
      <c r="V381" s="1096"/>
      <c r="W381" s="1096"/>
      <c r="X381" s="1096"/>
      <c r="Y381" s="1096"/>
      <c r="Z381" s="1096"/>
      <c r="AA381" s="1096"/>
      <c r="AB381" s="1096"/>
      <c r="AC381" s="1096"/>
      <c r="AD381" s="1096"/>
      <c r="AE381" s="1096"/>
      <c r="AF381" s="1096"/>
      <c r="AG381" s="1096"/>
      <c r="AH381" s="1096"/>
      <c r="AI381" s="1096"/>
      <c r="AJ381" s="1096"/>
      <c r="AK381" s="1096"/>
      <c r="AL381" s="1096"/>
      <c r="AM381" s="1096"/>
      <c r="AN381" s="1096"/>
      <c r="AO381" s="1096"/>
      <c r="AP381" s="1096"/>
      <c r="AQ381" s="1096"/>
      <c r="AR381" s="1096"/>
      <c r="AS381" s="1096"/>
      <c r="AT381" s="1096"/>
      <c r="AU381" s="1096"/>
      <c r="AV381" s="1096"/>
      <c r="AW381" s="1096"/>
      <c r="AX381" s="1096"/>
      <c r="AY381" s="1096"/>
    </row>
    <row r="382" spans="1:51" x14ac:dyDescent="0.45">
      <c r="A382" s="1096">
        <v>1970</v>
      </c>
      <c r="B382" s="1096" t="s">
        <v>1381</v>
      </c>
      <c r="C382" s="1113">
        <f>[7]LRAll!C373</f>
        <v>19.031231043109702</v>
      </c>
      <c r="D382" s="1113">
        <f>[7]LRAll!I373</f>
        <v>15.809248064388585</v>
      </c>
      <c r="E382" s="1096"/>
      <c r="F382" s="1114">
        <f t="shared" si="10"/>
        <v>83.070023313664493</v>
      </c>
      <c r="G382" s="1096"/>
      <c r="H382" s="1096"/>
      <c r="I382" s="1096"/>
      <c r="J382" s="1096"/>
      <c r="K382" s="1096"/>
      <c r="L382" s="1096"/>
      <c r="M382" s="1096"/>
      <c r="N382" s="1096"/>
      <c r="O382" s="1096"/>
      <c r="P382" s="1096"/>
      <c r="Q382" s="1096"/>
      <c r="R382" s="1096"/>
      <c r="S382" s="1096"/>
      <c r="T382" s="1096"/>
      <c r="U382" s="1096"/>
      <c r="V382" s="1096"/>
      <c r="W382" s="1096"/>
      <c r="X382" s="1096"/>
      <c r="Y382" s="1096"/>
      <c r="Z382" s="1096"/>
      <c r="AA382" s="1096"/>
      <c r="AB382" s="1096"/>
      <c r="AC382" s="1096"/>
      <c r="AD382" s="1096"/>
      <c r="AE382" s="1096"/>
      <c r="AF382" s="1096"/>
      <c r="AG382" s="1096"/>
      <c r="AH382" s="1096"/>
      <c r="AI382" s="1096"/>
      <c r="AJ382" s="1096"/>
      <c r="AK382" s="1096"/>
      <c r="AL382" s="1096"/>
      <c r="AM382" s="1096"/>
      <c r="AN382" s="1096"/>
      <c r="AO382" s="1096"/>
      <c r="AP382" s="1096"/>
      <c r="AQ382" s="1096"/>
      <c r="AR382" s="1096"/>
      <c r="AS382" s="1096"/>
      <c r="AT382" s="1096"/>
      <c r="AU382" s="1096"/>
      <c r="AV382" s="1096"/>
      <c r="AW382" s="1096"/>
      <c r="AX382" s="1096"/>
      <c r="AY382" s="1096"/>
    </row>
    <row r="383" spans="1:51" x14ac:dyDescent="0.45">
      <c r="A383" s="1096">
        <v>1970</v>
      </c>
      <c r="B383" s="1096" t="s">
        <v>1383</v>
      </c>
      <c r="C383" s="1113">
        <f>[7]LRAll!C374</f>
        <v>19.163392369797965</v>
      </c>
      <c r="D383" s="1113">
        <f>[7]LRAll!I374</f>
        <v>15.809248064388585</v>
      </c>
      <c r="E383" s="1096"/>
      <c r="F383" s="1114">
        <f t="shared" si="10"/>
        <v>82.497126601156467</v>
      </c>
      <c r="G383" s="1096"/>
      <c r="H383" s="1096"/>
      <c r="I383" s="1096"/>
      <c r="J383" s="1096"/>
      <c r="K383" s="1096"/>
      <c r="L383" s="1096"/>
      <c r="M383" s="1096"/>
      <c r="N383" s="1096"/>
      <c r="O383" s="1096"/>
      <c r="P383" s="1096"/>
      <c r="Q383" s="1096"/>
      <c r="R383" s="1096"/>
      <c r="S383" s="1096"/>
      <c r="T383" s="1096"/>
      <c r="U383" s="1096"/>
      <c r="V383" s="1096"/>
      <c r="W383" s="1096"/>
      <c r="X383" s="1096"/>
      <c r="Y383" s="1096"/>
      <c r="Z383" s="1096"/>
      <c r="AA383" s="1096"/>
      <c r="AB383" s="1096"/>
      <c r="AC383" s="1096"/>
      <c r="AD383" s="1096"/>
      <c r="AE383" s="1096"/>
      <c r="AF383" s="1096"/>
      <c r="AG383" s="1096"/>
      <c r="AH383" s="1096"/>
      <c r="AI383" s="1096"/>
      <c r="AJ383" s="1096"/>
      <c r="AK383" s="1096"/>
      <c r="AL383" s="1096"/>
      <c r="AM383" s="1096"/>
      <c r="AN383" s="1096"/>
      <c r="AO383" s="1096"/>
      <c r="AP383" s="1096"/>
      <c r="AQ383" s="1096"/>
      <c r="AR383" s="1096"/>
      <c r="AS383" s="1096"/>
      <c r="AT383" s="1096"/>
      <c r="AU383" s="1096"/>
      <c r="AV383" s="1096"/>
      <c r="AW383" s="1096"/>
      <c r="AX383" s="1096"/>
      <c r="AY383" s="1096"/>
    </row>
    <row r="384" spans="1:51" x14ac:dyDescent="0.45">
      <c r="A384" s="1096">
        <v>1971</v>
      </c>
      <c r="B384" s="1096" t="s">
        <v>1385</v>
      </c>
      <c r="C384" s="1113">
        <f>[7]LRAll!C375</f>
        <v>19.427715023174489</v>
      </c>
      <c r="D384" s="1113">
        <f>[7]LRAll!I375</f>
        <v>15.987350925286268</v>
      </c>
      <c r="E384" s="1096"/>
      <c r="F384" s="1114">
        <f t="shared" si="10"/>
        <v>82.2914630269985</v>
      </c>
      <c r="G384" s="1096"/>
      <c r="H384" s="1096"/>
      <c r="I384" s="1096"/>
      <c r="J384" s="1096"/>
      <c r="K384" s="1096"/>
      <c r="L384" s="1096"/>
      <c r="M384" s="1096"/>
      <c r="N384" s="1096"/>
      <c r="O384" s="1096"/>
      <c r="P384" s="1096"/>
      <c r="Q384" s="1096"/>
      <c r="R384" s="1096"/>
      <c r="S384" s="1096"/>
      <c r="T384" s="1096"/>
      <c r="U384" s="1096"/>
      <c r="V384" s="1096"/>
      <c r="W384" s="1096"/>
      <c r="X384" s="1096"/>
      <c r="Y384" s="1096"/>
      <c r="Z384" s="1096"/>
      <c r="AA384" s="1096"/>
      <c r="AB384" s="1096"/>
      <c r="AC384" s="1096"/>
      <c r="AD384" s="1096"/>
      <c r="AE384" s="1096"/>
      <c r="AF384" s="1096"/>
      <c r="AG384" s="1096"/>
      <c r="AH384" s="1096"/>
      <c r="AI384" s="1096"/>
      <c r="AJ384" s="1096"/>
      <c r="AK384" s="1096"/>
      <c r="AL384" s="1096"/>
      <c r="AM384" s="1096"/>
      <c r="AN384" s="1096"/>
      <c r="AO384" s="1096"/>
      <c r="AP384" s="1096"/>
      <c r="AQ384" s="1096"/>
      <c r="AR384" s="1096"/>
      <c r="AS384" s="1096"/>
      <c r="AT384" s="1096"/>
      <c r="AU384" s="1096"/>
      <c r="AV384" s="1096"/>
      <c r="AW384" s="1096"/>
      <c r="AX384" s="1096"/>
      <c r="AY384" s="1096"/>
    </row>
    <row r="385" spans="1:51" x14ac:dyDescent="0.45">
      <c r="A385" s="1096">
        <v>1971</v>
      </c>
      <c r="B385" s="1096" t="s">
        <v>1387</v>
      </c>
      <c r="C385" s="1113">
        <f>[7]LRAll!C376</f>
        <v>19.533444084525097</v>
      </c>
      <c r="D385" s="1113">
        <f>[7]LRAll!I376</f>
        <v>16.134023869554952</v>
      </c>
      <c r="E385" s="1096"/>
      <c r="F385" s="1114">
        <f t="shared" si="10"/>
        <v>82.596923510978513</v>
      </c>
      <c r="G385" s="1096"/>
      <c r="H385" s="1096"/>
      <c r="I385" s="1096"/>
      <c r="J385" s="1096"/>
      <c r="K385" s="1096"/>
      <c r="L385" s="1096"/>
      <c r="M385" s="1096"/>
      <c r="N385" s="1096"/>
      <c r="O385" s="1096"/>
      <c r="P385" s="1096"/>
      <c r="Q385" s="1096"/>
      <c r="R385" s="1096"/>
      <c r="S385" s="1096"/>
      <c r="T385" s="1096"/>
      <c r="U385" s="1096"/>
      <c r="V385" s="1096"/>
      <c r="W385" s="1096"/>
      <c r="X385" s="1096"/>
      <c r="Y385" s="1096"/>
      <c r="Z385" s="1096"/>
      <c r="AA385" s="1096"/>
      <c r="AB385" s="1096"/>
      <c r="AC385" s="1096"/>
      <c r="AD385" s="1096"/>
      <c r="AE385" s="1096"/>
      <c r="AF385" s="1096"/>
      <c r="AG385" s="1096"/>
      <c r="AH385" s="1096"/>
      <c r="AI385" s="1096"/>
      <c r="AJ385" s="1096"/>
      <c r="AK385" s="1096"/>
      <c r="AL385" s="1096"/>
      <c r="AM385" s="1096"/>
      <c r="AN385" s="1096"/>
      <c r="AO385" s="1096"/>
      <c r="AP385" s="1096"/>
      <c r="AQ385" s="1096"/>
      <c r="AR385" s="1096"/>
      <c r="AS385" s="1096"/>
      <c r="AT385" s="1096"/>
      <c r="AU385" s="1096"/>
      <c r="AV385" s="1096"/>
      <c r="AW385" s="1096"/>
      <c r="AX385" s="1096"/>
      <c r="AY385" s="1096"/>
    </row>
    <row r="386" spans="1:51" x14ac:dyDescent="0.45">
      <c r="A386" s="1096">
        <v>1971</v>
      </c>
      <c r="B386" s="1096" t="s">
        <v>1389</v>
      </c>
      <c r="C386" s="1113">
        <f>[7]LRAll!C377</f>
        <v>19.692037676551013</v>
      </c>
      <c r="D386" s="1113">
        <f>[7]LRAll!I377</f>
        <v>16.39593984146331</v>
      </c>
      <c r="E386" s="1096"/>
      <c r="F386" s="1114">
        <f t="shared" si="10"/>
        <v>83.2617736710272</v>
      </c>
      <c r="G386" s="1096"/>
      <c r="H386" s="1096"/>
      <c r="I386" s="1096"/>
      <c r="J386" s="1096"/>
      <c r="K386" s="1096"/>
      <c r="L386" s="1096"/>
      <c r="M386" s="1096"/>
      <c r="N386" s="1096"/>
      <c r="O386" s="1096"/>
      <c r="P386" s="1096"/>
      <c r="Q386" s="1096"/>
      <c r="R386" s="1096"/>
      <c r="S386" s="1096"/>
      <c r="T386" s="1096"/>
      <c r="U386" s="1096"/>
      <c r="V386" s="1096"/>
      <c r="W386" s="1096"/>
      <c r="X386" s="1096"/>
      <c r="Y386" s="1096"/>
      <c r="Z386" s="1096"/>
      <c r="AA386" s="1096"/>
      <c r="AB386" s="1096"/>
      <c r="AC386" s="1096"/>
      <c r="AD386" s="1096"/>
      <c r="AE386" s="1096"/>
      <c r="AF386" s="1096"/>
      <c r="AG386" s="1096"/>
      <c r="AH386" s="1096"/>
      <c r="AI386" s="1096"/>
      <c r="AJ386" s="1096"/>
      <c r="AK386" s="1096"/>
      <c r="AL386" s="1096"/>
      <c r="AM386" s="1096"/>
      <c r="AN386" s="1096"/>
      <c r="AO386" s="1096"/>
      <c r="AP386" s="1096"/>
      <c r="AQ386" s="1096"/>
      <c r="AR386" s="1096"/>
      <c r="AS386" s="1096"/>
      <c r="AT386" s="1096"/>
      <c r="AU386" s="1096"/>
      <c r="AV386" s="1096"/>
      <c r="AW386" s="1096"/>
      <c r="AX386" s="1096"/>
      <c r="AY386" s="1096"/>
    </row>
    <row r="387" spans="1:51" x14ac:dyDescent="0.45">
      <c r="A387" s="1096">
        <v>1971</v>
      </c>
      <c r="B387" s="1096" t="s">
        <v>1391</v>
      </c>
      <c r="C387" s="1113">
        <f>[7]LRAll!C378</f>
        <v>20.11495392195345</v>
      </c>
      <c r="D387" s="1113">
        <f>[7]LRAll!I378</f>
        <v>16.657855813371672</v>
      </c>
      <c r="E387" s="1096"/>
      <c r="F387" s="1114">
        <f t="shared" si="10"/>
        <v>82.813293423413199</v>
      </c>
      <c r="G387" s="1096"/>
      <c r="H387" s="1096"/>
      <c r="I387" s="1096"/>
      <c r="J387" s="1096"/>
      <c r="K387" s="1096"/>
      <c r="L387" s="1096"/>
      <c r="M387" s="1096"/>
      <c r="N387" s="1096"/>
      <c r="O387" s="1096"/>
      <c r="P387" s="1096"/>
      <c r="Q387" s="1096"/>
      <c r="R387" s="1096"/>
      <c r="S387" s="1096"/>
      <c r="T387" s="1096"/>
      <c r="U387" s="1096"/>
      <c r="V387" s="1096"/>
      <c r="W387" s="1096"/>
      <c r="X387" s="1096"/>
      <c r="Y387" s="1096"/>
      <c r="Z387" s="1096"/>
      <c r="AA387" s="1096"/>
      <c r="AB387" s="1096"/>
      <c r="AC387" s="1096"/>
      <c r="AD387" s="1096"/>
      <c r="AE387" s="1096"/>
      <c r="AF387" s="1096"/>
      <c r="AG387" s="1096"/>
      <c r="AH387" s="1096"/>
      <c r="AI387" s="1096"/>
      <c r="AJ387" s="1096"/>
      <c r="AK387" s="1096"/>
      <c r="AL387" s="1096"/>
      <c r="AM387" s="1096"/>
      <c r="AN387" s="1096"/>
      <c r="AO387" s="1096"/>
      <c r="AP387" s="1096"/>
      <c r="AQ387" s="1096"/>
      <c r="AR387" s="1096"/>
      <c r="AS387" s="1096"/>
      <c r="AT387" s="1096"/>
      <c r="AU387" s="1096"/>
      <c r="AV387" s="1096"/>
      <c r="AW387" s="1096"/>
      <c r="AX387" s="1096"/>
      <c r="AY387" s="1096"/>
    </row>
    <row r="388" spans="1:51" x14ac:dyDescent="0.45">
      <c r="A388" s="1096">
        <v>1971</v>
      </c>
      <c r="B388" s="1096" t="s">
        <v>1393</v>
      </c>
      <c r="C388" s="1113">
        <f>[7]LRAll!C379</f>
        <v>20.247115248641709</v>
      </c>
      <c r="D388" s="1113">
        <f>[7]LRAll!I379</f>
        <v>16.53213614685566</v>
      </c>
      <c r="E388" s="1096"/>
      <c r="F388" s="1114">
        <f t="shared" si="10"/>
        <v>81.651810363279921</v>
      </c>
      <c r="G388" s="1096"/>
      <c r="H388" s="1096"/>
      <c r="I388" s="1096"/>
      <c r="J388" s="1096"/>
      <c r="K388" s="1096"/>
      <c r="L388" s="1096"/>
      <c r="M388" s="1096"/>
      <c r="N388" s="1096"/>
      <c r="O388" s="1096"/>
      <c r="P388" s="1096"/>
      <c r="Q388" s="1096"/>
      <c r="R388" s="1096"/>
      <c r="S388" s="1096"/>
      <c r="T388" s="1096"/>
      <c r="U388" s="1096"/>
      <c r="V388" s="1096"/>
      <c r="W388" s="1096"/>
      <c r="X388" s="1096"/>
      <c r="Y388" s="1096"/>
      <c r="Z388" s="1096"/>
      <c r="AA388" s="1096"/>
      <c r="AB388" s="1096"/>
      <c r="AC388" s="1096"/>
      <c r="AD388" s="1096"/>
      <c r="AE388" s="1096"/>
      <c r="AF388" s="1096"/>
      <c r="AG388" s="1096"/>
      <c r="AH388" s="1096"/>
      <c r="AI388" s="1096"/>
      <c r="AJ388" s="1096"/>
      <c r="AK388" s="1096"/>
      <c r="AL388" s="1096"/>
      <c r="AM388" s="1096"/>
      <c r="AN388" s="1096"/>
      <c r="AO388" s="1096"/>
      <c r="AP388" s="1096"/>
      <c r="AQ388" s="1096"/>
      <c r="AR388" s="1096"/>
      <c r="AS388" s="1096"/>
      <c r="AT388" s="1096"/>
      <c r="AU388" s="1096"/>
      <c r="AV388" s="1096"/>
      <c r="AW388" s="1096"/>
      <c r="AX388" s="1096"/>
      <c r="AY388" s="1096"/>
    </row>
    <row r="389" spans="1:51" x14ac:dyDescent="0.45">
      <c r="A389" s="1096">
        <v>1971</v>
      </c>
      <c r="B389" s="1096" t="s">
        <v>1371</v>
      </c>
      <c r="C389" s="1113">
        <f>[7]LRAll!C380</f>
        <v>20.392492707998802</v>
      </c>
      <c r="D389" s="1113">
        <f>[7]LRAll!I380</f>
        <v>16.668332452248002</v>
      </c>
      <c r="E389" s="1096"/>
      <c r="F389" s="1114">
        <f t="shared" si="10"/>
        <v>81.737591823239811</v>
      </c>
      <c r="G389" s="1096"/>
      <c r="H389" s="1096"/>
      <c r="I389" s="1096"/>
      <c r="J389" s="1096"/>
      <c r="K389" s="1096"/>
      <c r="L389" s="1096"/>
      <c r="M389" s="1096"/>
      <c r="N389" s="1096"/>
      <c r="O389" s="1096"/>
      <c r="P389" s="1096"/>
      <c r="Q389" s="1096"/>
      <c r="R389" s="1096"/>
      <c r="S389" s="1096"/>
      <c r="T389" s="1096"/>
      <c r="U389" s="1096"/>
      <c r="V389" s="1096"/>
      <c r="W389" s="1096"/>
      <c r="X389" s="1096"/>
      <c r="Y389" s="1096"/>
      <c r="Z389" s="1096"/>
      <c r="AA389" s="1096"/>
      <c r="AB389" s="1096"/>
      <c r="AC389" s="1096"/>
      <c r="AD389" s="1096"/>
      <c r="AE389" s="1096"/>
      <c r="AF389" s="1096"/>
      <c r="AG389" s="1096"/>
      <c r="AH389" s="1096"/>
      <c r="AI389" s="1096"/>
      <c r="AJ389" s="1096"/>
      <c r="AK389" s="1096"/>
      <c r="AL389" s="1096"/>
      <c r="AM389" s="1096"/>
      <c r="AN389" s="1096"/>
      <c r="AO389" s="1096"/>
      <c r="AP389" s="1096"/>
      <c r="AQ389" s="1096"/>
      <c r="AR389" s="1096"/>
      <c r="AS389" s="1096"/>
      <c r="AT389" s="1096"/>
      <c r="AU389" s="1096"/>
      <c r="AV389" s="1096"/>
      <c r="AW389" s="1096"/>
      <c r="AX389" s="1096"/>
      <c r="AY389" s="1096"/>
    </row>
    <row r="390" spans="1:51" x14ac:dyDescent="0.45">
      <c r="A390" s="1096">
        <v>1971</v>
      </c>
      <c r="B390" s="1096" t="s">
        <v>1373</v>
      </c>
      <c r="C390" s="1113">
        <f>[7]LRAll!C381</f>
        <v>20.511437902018233</v>
      </c>
      <c r="D390" s="1113">
        <f>[7]LRAll!I381</f>
        <v>17.035014812919709</v>
      </c>
      <c r="E390" s="1096"/>
      <c r="F390" s="1114">
        <f t="shared" si="10"/>
        <v>83.051295059346089</v>
      </c>
      <c r="G390" s="1096"/>
      <c r="H390" s="1096"/>
      <c r="I390" s="1096"/>
      <c r="J390" s="1096"/>
      <c r="K390" s="1096"/>
      <c r="L390" s="1096"/>
      <c r="M390" s="1096"/>
      <c r="N390" s="1096"/>
      <c r="O390" s="1096"/>
      <c r="P390" s="1096"/>
      <c r="Q390" s="1096"/>
      <c r="R390" s="1096"/>
      <c r="S390" s="1096"/>
      <c r="T390" s="1096"/>
      <c r="U390" s="1096"/>
      <c r="V390" s="1096"/>
      <c r="W390" s="1096"/>
      <c r="X390" s="1096"/>
      <c r="Y390" s="1096"/>
      <c r="Z390" s="1096"/>
      <c r="AA390" s="1096"/>
      <c r="AB390" s="1096"/>
      <c r="AC390" s="1096"/>
      <c r="AD390" s="1096"/>
      <c r="AE390" s="1096"/>
      <c r="AF390" s="1096"/>
      <c r="AG390" s="1096"/>
      <c r="AH390" s="1096"/>
      <c r="AI390" s="1096"/>
      <c r="AJ390" s="1096"/>
      <c r="AK390" s="1096"/>
      <c r="AL390" s="1096"/>
      <c r="AM390" s="1096"/>
      <c r="AN390" s="1096"/>
      <c r="AO390" s="1096"/>
      <c r="AP390" s="1096"/>
      <c r="AQ390" s="1096"/>
      <c r="AR390" s="1096"/>
      <c r="AS390" s="1096"/>
      <c r="AT390" s="1096"/>
      <c r="AU390" s="1096"/>
      <c r="AV390" s="1096"/>
      <c r="AW390" s="1096"/>
      <c r="AX390" s="1096"/>
      <c r="AY390" s="1096"/>
    </row>
    <row r="391" spans="1:51" x14ac:dyDescent="0.45">
      <c r="A391" s="1096">
        <v>1971</v>
      </c>
      <c r="B391" s="1096" t="s">
        <v>1375</v>
      </c>
      <c r="C391" s="1113">
        <f>[7]LRAll!C382</f>
        <v>20.524654034687064</v>
      </c>
      <c r="D391" s="1113">
        <f>[7]LRAll!I382</f>
        <v>17.05596809067238</v>
      </c>
      <c r="E391" s="1096"/>
      <c r="F391" s="1114">
        <f t="shared" si="10"/>
        <v>83.099905420317739</v>
      </c>
      <c r="G391" s="1096"/>
      <c r="H391" s="1096"/>
      <c r="I391" s="1096"/>
      <c r="J391" s="1096"/>
      <c r="K391" s="1096"/>
      <c r="L391" s="1096"/>
      <c r="M391" s="1096"/>
      <c r="N391" s="1096"/>
      <c r="O391" s="1096"/>
      <c r="P391" s="1096"/>
      <c r="Q391" s="1096"/>
      <c r="R391" s="1096"/>
      <c r="S391" s="1096"/>
      <c r="T391" s="1096"/>
      <c r="U391" s="1096"/>
      <c r="V391" s="1096"/>
      <c r="W391" s="1096"/>
      <c r="X391" s="1096"/>
      <c r="Y391" s="1096"/>
      <c r="Z391" s="1096"/>
      <c r="AA391" s="1096"/>
      <c r="AB391" s="1096"/>
      <c r="AC391" s="1096"/>
      <c r="AD391" s="1096"/>
      <c r="AE391" s="1096"/>
      <c r="AF391" s="1096"/>
      <c r="AG391" s="1096"/>
      <c r="AH391" s="1096"/>
      <c r="AI391" s="1096"/>
      <c r="AJ391" s="1096"/>
      <c r="AK391" s="1096"/>
      <c r="AL391" s="1096"/>
      <c r="AM391" s="1096"/>
      <c r="AN391" s="1096"/>
      <c r="AO391" s="1096"/>
      <c r="AP391" s="1096"/>
      <c r="AQ391" s="1096"/>
      <c r="AR391" s="1096"/>
      <c r="AS391" s="1096"/>
      <c r="AT391" s="1096"/>
      <c r="AU391" s="1096"/>
      <c r="AV391" s="1096"/>
      <c r="AW391" s="1096"/>
      <c r="AX391" s="1096"/>
      <c r="AY391" s="1096"/>
    </row>
    <row r="392" spans="1:51" x14ac:dyDescent="0.45">
      <c r="A392" s="1096">
        <v>1971</v>
      </c>
      <c r="B392" s="1096" t="s">
        <v>1377</v>
      </c>
      <c r="C392" s="1113">
        <f>[7]LRAll!C383</f>
        <v>20.551086300024714</v>
      </c>
      <c r="D392" s="1113">
        <f>[7]LRAll!I383</f>
        <v>17.05596809067238</v>
      </c>
      <c r="E392" s="1096"/>
      <c r="F392" s="1114">
        <f t="shared" si="10"/>
        <v>82.993024513024736</v>
      </c>
      <c r="G392" s="1096"/>
      <c r="H392" s="1096"/>
      <c r="I392" s="1096"/>
      <c r="J392" s="1096"/>
      <c r="K392" s="1096"/>
      <c r="L392" s="1096"/>
      <c r="M392" s="1096"/>
      <c r="N392" s="1096"/>
      <c r="O392" s="1096"/>
      <c r="P392" s="1096"/>
      <c r="Q392" s="1096"/>
      <c r="R392" s="1096"/>
      <c r="S392" s="1096"/>
      <c r="T392" s="1096"/>
      <c r="U392" s="1096"/>
      <c r="V392" s="1096"/>
      <c r="W392" s="1096"/>
      <c r="X392" s="1096"/>
      <c r="Y392" s="1096"/>
      <c r="Z392" s="1096"/>
      <c r="AA392" s="1096"/>
      <c r="AB392" s="1096"/>
      <c r="AC392" s="1096"/>
      <c r="AD392" s="1096"/>
      <c r="AE392" s="1096"/>
      <c r="AF392" s="1096"/>
      <c r="AG392" s="1096"/>
      <c r="AH392" s="1096"/>
      <c r="AI392" s="1096"/>
      <c r="AJ392" s="1096"/>
      <c r="AK392" s="1096"/>
      <c r="AL392" s="1096"/>
      <c r="AM392" s="1096"/>
      <c r="AN392" s="1096"/>
      <c r="AO392" s="1096"/>
      <c r="AP392" s="1096"/>
      <c r="AQ392" s="1096"/>
      <c r="AR392" s="1096"/>
      <c r="AS392" s="1096"/>
      <c r="AT392" s="1096"/>
      <c r="AU392" s="1096"/>
      <c r="AV392" s="1096"/>
      <c r="AW392" s="1096"/>
      <c r="AX392" s="1096"/>
      <c r="AY392" s="1096"/>
    </row>
    <row r="393" spans="1:51" x14ac:dyDescent="0.45">
      <c r="A393" s="1096">
        <v>1971</v>
      </c>
      <c r="B393" s="1096" t="s">
        <v>1379</v>
      </c>
      <c r="C393" s="1113">
        <f>[7]LRAll!C384</f>
        <v>20.670031494044149</v>
      </c>
      <c r="D393" s="1113">
        <f>[7]LRAll!I384</f>
        <v>17.569323395612763</v>
      </c>
      <c r="E393" s="1096"/>
      <c r="F393" s="1114">
        <f t="shared" si="10"/>
        <v>84.999016090881028</v>
      </c>
      <c r="G393" s="1096"/>
      <c r="H393" s="1096"/>
      <c r="I393" s="1096"/>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c r="AF393" s="1096"/>
      <c r="AG393" s="1096"/>
      <c r="AH393" s="1096"/>
      <c r="AI393" s="1096"/>
      <c r="AJ393" s="1096"/>
      <c r="AK393" s="1096"/>
      <c r="AL393" s="1096"/>
      <c r="AM393" s="1096"/>
      <c r="AN393" s="1096"/>
      <c r="AO393" s="1096"/>
      <c r="AP393" s="1096"/>
      <c r="AQ393" s="1096"/>
      <c r="AR393" s="1096"/>
      <c r="AS393" s="1096"/>
      <c r="AT393" s="1096"/>
      <c r="AU393" s="1096"/>
      <c r="AV393" s="1096"/>
      <c r="AW393" s="1096"/>
      <c r="AX393" s="1096"/>
      <c r="AY393" s="1096"/>
    </row>
    <row r="394" spans="1:51" x14ac:dyDescent="0.45">
      <c r="A394" s="1096">
        <v>1971</v>
      </c>
      <c r="B394" s="1096" t="s">
        <v>1381</v>
      </c>
      <c r="C394" s="1113">
        <f>[7]LRAll!C385</f>
        <v>20.788976688063585</v>
      </c>
      <c r="D394" s="1113">
        <f>[7]LRAll!I385</f>
        <v>17.569323395612763</v>
      </c>
      <c r="E394" s="1096"/>
      <c r="F394" s="1114">
        <f t="shared" si="10"/>
        <v>84.5126898703992</v>
      </c>
      <c r="G394" s="1096"/>
      <c r="H394" s="1096"/>
      <c r="I394" s="1096"/>
      <c r="J394" s="1096"/>
      <c r="K394" s="1096"/>
      <c r="L394" s="1096"/>
      <c r="M394" s="1096"/>
      <c r="N394" s="1096"/>
      <c r="O394" s="1096"/>
      <c r="P394" s="1096"/>
      <c r="Q394" s="1096"/>
      <c r="R394" s="1096"/>
      <c r="S394" s="1096"/>
      <c r="T394" s="1096"/>
      <c r="U394" s="1096"/>
      <c r="V394" s="1096"/>
      <c r="W394" s="1096"/>
      <c r="X394" s="1096"/>
      <c r="Y394" s="1096"/>
      <c r="Z394" s="1096"/>
      <c r="AA394" s="1096"/>
      <c r="AB394" s="1096"/>
      <c r="AC394" s="1096"/>
      <c r="AD394" s="1096"/>
      <c r="AE394" s="1096"/>
      <c r="AF394" s="1096"/>
      <c r="AG394" s="1096"/>
      <c r="AH394" s="1096"/>
      <c r="AI394" s="1096"/>
      <c r="AJ394" s="1096"/>
      <c r="AK394" s="1096"/>
      <c r="AL394" s="1096"/>
      <c r="AM394" s="1096"/>
      <c r="AN394" s="1096"/>
      <c r="AO394" s="1096"/>
      <c r="AP394" s="1096"/>
      <c r="AQ394" s="1096"/>
      <c r="AR394" s="1096"/>
      <c r="AS394" s="1096"/>
      <c r="AT394" s="1096"/>
      <c r="AU394" s="1096"/>
      <c r="AV394" s="1096"/>
      <c r="AW394" s="1096"/>
      <c r="AX394" s="1096"/>
      <c r="AY394" s="1096"/>
    </row>
    <row r="395" spans="1:51" x14ac:dyDescent="0.45">
      <c r="A395" s="1096">
        <v>1971</v>
      </c>
      <c r="B395" s="1096" t="s">
        <v>1383</v>
      </c>
      <c r="C395" s="1113">
        <f>[7]LRAll!C386</f>
        <v>20.894705749414193</v>
      </c>
      <c r="D395" s="1113">
        <f>[7]LRAll!I386</f>
        <v>17.569323395612763</v>
      </c>
      <c r="E395" s="1096"/>
      <c r="F395" s="1114">
        <f t="shared" si="10"/>
        <v>84.085048175925323</v>
      </c>
      <c r="G395" s="1096"/>
      <c r="H395" s="1096"/>
      <c r="I395" s="1096"/>
      <c r="J395" s="1096"/>
      <c r="K395" s="1096"/>
      <c r="L395" s="1096"/>
      <c r="M395" s="1096"/>
      <c r="N395" s="1096"/>
      <c r="O395" s="1096"/>
      <c r="P395" s="1096"/>
      <c r="Q395" s="1096"/>
      <c r="R395" s="1096"/>
      <c r="S395" s="1096"/>
      <c r="T395" s="1096"/>
      <c r="U395" s="1096"/>
      <c r="V395" s="1096"/>
      <c r="W395" s="1096"/>
      <c r="X395" s="1096"/>
      <c r="Y395" s="1096"/>
      <c r="Z395" s="1096"/>
      <c r="AA395" s="1096"/>
      <c r="AB395" s="1096"/>
      <c r="AC395" s="1096"/>
      <c r="AD395" s="1096"/>
      <c r="AE395" s="1096"/>
      <c r="AF395" s="1096"/>
      <c r="AG395" s="1096"/>
      <c r="AH395" s="1096"/>
      <c r="AI395" s="1096"/>
      <c r="AJ395" s="1096"/>
      <c r="AK395" s="1096"/>
      <c r="AL395" s="1096"/>
      <c r="AM395" s="1096"/>
      <c r="AN395" s="1096"/>
      <c r="AO395" s="1096"/>
      <c r="AP395" s="1096"/>
      <c r="AQ395" s="1096"/>
      <c r="AR395" s="1096"/>
      <c r="AS395" s="1096"/>
      <c r="AT395" s="1096"/>
      <c r="AU395" s="1096"/>
      <c r="AV395" s="1096"/>
      <c r="AW395" s="1096"/>
      <c r="AX395" s="1096"/>
      <c r="AY395" s="1096"/>
    </row>
    <row r="396" spans="1:51" x14ac:dyDescent="0.45">
      <c r="A396" s="1096">
        <v>1972</v>
      </c>
      <c r="B396" s="1096" t="s">
        <v>1385</v>
      </c>
      <c r="C396" s="1113">
        <f>[7]LRAll!C387</f>
        <v>21.013650943433632</v>
      </c>
      <c r="D396" s="1113">
        <f>[7]LRAll!I387</f>
        <v>17.621706589994432</v>
      </c>
      <c r="E396" s="1096"/>
      <c r="F396" s="1114">
        <f t="shared" si="10"/>
        <v>83.858376811483495</v>
      </c>
      <c r="G396" s="1096"/>
      <c r="H396" s="1096"/>
      <c r="I396" s="1096"/>
      <c r="J396" s="1096"/>
      <c r="K396" s="1096"/>
      <c r="L396" s="1096"/>
      <c r="M396" s="1096"/>
      <c r="N396" s="1096"/>
      <c r="O396" s="1096"/>
      <c r="P396" s="1096"/>
      <c r="Q396" s="1096"/>
      <c r="R396" s="1096"/>
      <c r="S396" s="1096"/>
      <c r="T396" s="1096"/>
      <c r="U396" s="1096"/>
      <c r="V396" s="1096"/>
      <c r="W396" s="1096"/>
      <c r="X396" s="1096"/>
      <c r="Y396" s="1096"/>
      <c r="Z396" s="1096"/>
      <c r="AA396" s="1096"/>
      <c r="AB396" s="1096"/>
      <c r="AC396" s="1096"/>
      <c r="AD396" s="1096"/>
      <c r="AE396" s="1096"/>
      <c r="AF396" s="1096"/>
      <c r="AG396" s="1096"/>
      <c r="AH396" s="1096"/>
      <c r="AI396" s="1096"/>
      <c r="AJ396" s="1096"/>
      <c r="AK396" s="1096"/>
      <c r="AL396" s="1096"/>
      <c r="AM396" s="1096"/>
      <c r="AN396" s="1096"/>
      <c r="AO396" s="1096"/>
      <c r="AP396" s="1096"/>
      <c r="AQ396" s="1096"/>
      <c r="AR396" s="1096"/>
      <c r="AS396" s="1096"/>
      <c r="AT396" s="1096"/>
      <c r="AU396" s="1096"/>
      <c r="AV396" s="1096"/>
      <c r="AW396" s="1096"/>
      <c r="AX396" s="1096"/>
      <c r="AY396" s="1096"/>
    </row>
    <row r="397" spans="1:51" x14ac:dyDescent="0.45">
      <c r="A397" s="1096">
        <v>1972</v>
      </c>
      <c r="B397" s="1096" t="s">
        <v>1387</v>
      </c>
      <c r="C397" s="1113">
        <f>[7]LRAll!C388</f>
        <v>21.119380004784244</v>
      </c>
      <c r="D397" s="1113">
        <f>[7]LRAll!I388</f>
        <v>17.705519701005109</v>
      </c>
      <c r="E397" s="1096"/>
      <c r="F397" s="1114">
        <f t="shared" si="10"/>
        <v>83.835414188267919</v>
      </c>
      <c r="G397" s="1096"/>
      <c r="H397" s="1096"/>
      <c r="I397" s="1096"/>
      <c r="J397" s="1096"/>
      <c r="K397" s="1096"/>
      <c r="L397" s="1096"/>
      <c r="M397" s="1096"/>
      <c r="N397" s="1096"/>
      <c r="O397" s="1096"/>
      <c r="P397" s="1096"/>
      <c r="Q397" s="1096"/>
      <c r="R397" s="1096"/>
      <c r="S397" s="1096"/>
      <c r="T397" s="1096"/>
      <c r="U397" s="1096"/>
      <c r="V397" s="1096"/>
      <c r="W397" s="1096"/>
      <c r="X397" s="1096"/>
      <c r="Y397" s="1096"/>
      <c r="Z397" s="1096"/>
      <c r="AA397" s="1096"/>
      <c r="AB397" s="1096"/>
      <c r="AC397" s="1096"/>
      <c r="AD397" s="1096"/>
      <c r="AE397" s="1096"/>
      <c r="AF397" s="1096"/>
      <c r="AG397" s="1096"/>
      <c r="AH397" s="1096"/>
      <c r="AI397" s="1096"/>
      <c r="AJ397" s="1096"/>
      <c r="AK397" s="1096"/>
      <c r="AL397" s="1096"/>
      <c r="AM397" s="1096"/>
      <c r="AN397" s="1096"/>
      <c r="AO397" s="1096"/>
      <c r="AP397" s="1096"/>
      <c r="AQ397" s="1096"/>
      <c r="AR397" s="1096"/>
      <c r="AS397" s="1096"/>
      <c r="AT397" s="1096"/>
      <c r="AU397" s="1096"/>
      <c r="AV397" s="1096"/>
      <c r="AW397" s="1096"/>
      <c r="AX397" s="1096"/>
      <c r="AY397" s="1096"/>
    </row>
    <row r="398" spans="1:51" x14ac:dyDescent="0.45">
      <c r="A398" s="1096">
        <v>1972</v>
      </c>
      <c r="B398" s="1096" t="s">
        <v>1389</v>
      </c>
      <c r="C398" s="1113">
        <f>[7]LRAll!C389</f>
        <v>21.185460668128371</v>
      </c>
      <c r="D398" s="1113">
        <f>[7]LRAll!I389</f>
        <v>17.862669284150122</v>
      </c>
      <c r="E398" s="1096"/>
      <c r="F398" s="1114">
        <f t="shared" si="10"/>
        <v>84.315699167320489</v>
      </c>
      <c r="G398" s="1096"/>
      <c r="H398" s="1096"/>
      <c r="I398" s="1096"/>
      <c r="J398" s="1096"/>
      <c r="K398" s="1096"/>
      <c r="L398" s="1096"/>
      <c r="M398" s="1096"/>
      <c r="N398" s="1096"/>
      <c r="O398" s="1096"/>
      <c r="P398" s="1096"/>
      <c r="Q398" s="1096"/>
      <c r="R398" s="1096"/>
      <c r="S398" s="1096"/>
      <c r="T398" s="1096"/>
      <c r="U398" s="1096"/>
      <c r="V398" s="1096"/>
      <c r="W398" s="1096"/>
      <c r="X398" s="1096"/>
      <c r="Y398" s="1096"/>
      <c r="Z398" s="1096"/>
      <c r="AA398" s="1096"/>
      <c r="AB398" s="1096"/>
      <c r="AC398" s="1096"/>
      <c r="AD398" s="1096"/>
      <c r="AE398" s="1096"/>
      <c r="AF398" s="1096"/>
      <c r="AG398" s="1096"/>
      <c r="AH398" s="1096"/>
      <c r="AI398" s="1096"/>
      <c r="AJ398" s="1096"/>
      <c r="AK398" s="1096"/>
      <c r="AL398" s="1096"/>
      <c r="AM398" s="1096"/>
      <c r="AN398" s="1096"/>
      <c r="AO398" s="1096"/>
      <c r="AP398" s="1096"/>
      <c r="AQ398" s="1096"/>
      <c r="AR398" s="1096"/>
      <c r="AS398" s="1096"/>
      <c r="AT398" s="1096"/>
      <c r="AU398" s="1096"/>
      <c r="AV398" s="1096"/>
      <c r="AW398" s="1096"/>
      <c r="AX398" s="1096"/>
      <c r="AY398" s="1096"/>
    </row>
    <row r="399" spans="1:51" x14ac:dyDescent="0.45">
      <c r="A399" s="1096">
        <v>1972</v>
      </c>
      <c r="B399" s="1096" t="s">
        <v>1391</v>
      </c>
      <c r="C399" s="1113">
        <f>[7]LRAll!C390</f>
        <v>21.383702658160765</v>
      </c>
      <c r="D399" s="1113">
        <f>[7]LRAll!I390</f>
        <v>18.260781561450834</v>
      </c>
      <c r="E399" s="1096"/>
      <c r="F399" s="1114">
        <f t="shared" si="10"/>
        <v>85.395788808735077</v>
      </c>
      <c r="G399" s="1096"/>
      <c r="H399" s="1096"/>
      <c r="I399" s="1096"/>
      <c r="J399" s="1096"/>
      <c r="K399" s="1096"/>
      <c r="L399" s="1096"/>
      <c r="M399" s="1096"/>
      <c r="N399" s="1096"/>
      <c r="O399" s="1096"/>
      <c r="P399" s="1096"/>
      <c r="Q399" s="1096"/>
      <c r="R399" s="1096"/>
      <c r="S399" s="1096"/>
      <c r="T399" s="1096"/>
      <c r="U399" s="1096"/>
      <c r="V399" s="1096"/>
      <c r="W399" s="1096"/>
      <c r="X399" s="1096"/>
      <c r="Y399" s="1096"/>
      <c r="Z399" s="1096"/>
      <c r="AA399" s="1096"/>
      <c r="AB399" s="1096"/>
      <c r="AC399" s="1096"/>
      <c r="AD399" s="1096"/>
      <c r="AE399" s="1096"/>
      <c r="AF399" s="1096"/>
      <c r="AG399" s="1096"/>
      <c r="AH399" s="1096"/>
      <c r="AI399" s="1096"/>
      <c r="AJ399" s="1096"/>
      <c r="AK399" s="1096"/>
      <c r="AL399" s="1096"/>
      <c r="AM399" s="1096"/>
      <c r="AN399" s="1096"/>
      <c r="AO399" s="1096"/>
      <c r="AP399" s="1096"/>
      <c r="AQ399" s="1096"/>
      <c r="AR399" s="1096"/>
      <c r="AS399" s="1096"/>
      <c r="AT399" s="1096"/>
      <c r="AU399" s="1096"/>
      <c r="AV399" s="1096"/>
      <c r="AW399" s="1096"/>
      <c r="AX399" s="1096"/>
      <c r="AY399" s="1096"/>
    </row>
    <row r="400" spans="1:51" x14ac:dyDescent="0.45">
      <c r="A400" s="1096">
        <v>1972</v>
      </c>
      <c r="B400" s="1096" t="s">
        <v>1393</v>
      </c>
      <c r="C400" s="1113">
        <f>[7]LRAll!C391</f>
        <v>21.489431719511369</v>
      </c>
      <c r="D400" s="1113">
        <f>[7]LRAll!I391</f>
        <v>18.040772145047807</v>
      </c>
      <c r="E400" s="1096"/>
      <c r="F400" s="1114">
        <f t="shared" si="10"/>
        <v>83.951834466928474</v>
      </c>
      <c r="G400" s="1096"/>
      <c r="H400" s="1096"/>
      <c r="I400" s="1096"/>
      <c r="J400" s="1096"/>
      <c r="K400" s="1096"/>
      <c r="L400" s="1096"/>
      <c r="M400" s="1096"/>
      <c r="N400" s="1096"/>
      <c r="O400" s="1096"/>
      <c r="P400" s="1096"/>
      <c r="Q400" s="1096"/>
      <c r="R400" s="1096"/>
      <c r="S400" s="1096"/>
      <c r="T400" s="1096"/>
      <c r="U400" s="1096"/>
      <c r="V400" s="1096"/>
      <c r="W400" s="1096"/>
      <c r="X400" s="1096"/>
      <c r="Y400" s="1096"/>
      <c r="Z400" s="1096"/>
      <c r="AA400" s="1096"/>
      <c r="AB400" s="1096"/>
      <c r="AC400" s="1096"/>
      <c r="AD400" s="1096"/>
      <c r="AE400" s="1096"/>
      <c r="AF400" s="1096"/>
      <c r="AG400" s="1096"/>
      <c r="AH400" s="1096"/>
      <c r="AI400" s="1096"/>
      <c r="AJ400" s="1096"/>
      <c r="AK400" s="1096"/>
      <c r="AL400" s="1096"/>
      <c r="AM400" s="1096"/>
      <c r="AN400" s="1096"/>
      <c r="AO400" s="1096"/>
      <c r="AP400" s="1096"/>
      <c r="AQ400" s="1096"/>
      <c r="AR400" s="1096"/>
      <c r="AS400" s="1096"/>
      <c r="AT400" s="1096"/>
      <c r="AU400" s="1096"/>
      <c r="AV400" s="1096"/>
      <c r="AW400" s="1096"/>
      <c r="AX400" s="1096"/>
      <c r="AY400" s="1096"/>
    </row>
    <row r="401" spans="1:51" x14ac:dyDescent="0.45">
      <c r="A401" s="1096">
        <v>1972</v>
      </c>
      <c r="B401" s="1096" t="s">
        <v>1371</v>
      </c>
      <c r="C401" s="1113">
        <f>[7]LRAll!C392</f>
        <v>21.634809178868458</v>
      </c>
      <c r="D401" s="1113">
        <f>[7]LRAll!I392</f>
        <v>18.103631978305817</v>
      </c>
      <c r="E401" s="1096"/>
      <c r="F401" s="1114">
        <f t="shared" si="10"/>
        <v>83.678260476585692</v>
      </c>
      <c r="G401" s="1096"/>
      <c r="H401" s="1096"/>
      <c r="I401" s="1096"/>
      <c r="J401" s="1096"/>
      <c r="K401" s="1096"/>
      <c r="L401" s="1096"/>
      <c r="M401" s="1096"/>
      <c r="N401" s="1096"/>
      <c r="O401" s="1096"/>
      <c r="P401" s="1096"/>
      <c r="Q401" s="1096"/>
      <c r="R401" s="1096"/>
      <c r="S401" s="1096"/>
      <c r="T401" s="1096"/>
      <c r="U401" s="1096"/>
      <c r="V401" s="1096"/>
      <c r="W401" s="1096"/>
      <c r="X401" s="1096"/>
      <c r="Y401" s="1096"/>
      <c r="Z401" s="1096"/>
      <c r="AA401" s="1096"/>
      <c r="AB401" s="1096"/>
      <c r="AC401" s="1096"/>
      <c r="AD401" s="1096"/>
      <c r="AE401" s="1096"/>
      <c r="AF401" s="1096"/>
      <c r="AG401" s="1096"/>
      <c r="AH401" s="1096"/>
      <c r="AI401" s="1096"/>
      <c r="AJ401" s="1096"/>
      <c r="AK401" s="1096"/>
      <c r="AL401" s="1096"/>
      <c r="AM401" s="1096"/>
      <c r="AN401" s="1096"/>
      <c r="AO401" s="1096"/>
      <c r="AP401" s="1096"/>
      <c r="AQ401" s="1096"/>
      <c r="AR401" s="1096"/>
      <c r="AS401" s="1096"/>
      <c r="AT401" s="1096"/>
      <c r="AU401" s="1096"/>
      <c r="AV401" s="1096"/>
      <c r="AW401" s="1096"/>
      <c r="AX401" s="1096"/>
      <c r="AY401" s="1096"/>
    </row>
    <row r="402" spans="1:51" x14ac:dyDescent="0.45">
      <c r="A402" s="1096">
        <v>1972</v>
      </c>
      <c r="B402" s="1096" t="s">
        <v>1373</v>
      </c>
      <c r="C402" s="1113">
        <f>[7]LRAll!C393</f>
        <v>21.70088984221259</v>
      </c>
      <c r="D402" s="1113">
        <f>[7]LRAll!I393</f>
        <v>18.103631978305817</v>
      </c>
      <c r="E402" s="1096"/>
      <c r="F402" s="1114">
        <f t="shared" si="10"/>
        <v>83.423454567704482</v>
      </c>
      <c r="G402" s="1096"/>
      <c r="H402" s="1096"/>
      <c r="I402" s="1096"/>
      <c r="J402" s="1096"/>
      <c r="K402" s="1096"/>
      <c r="L402" s="1096"/>
      <c r="M402" s="1096"/>
      <c r="N402" s="1096"/>
      <c r="O402" s="1096"/>
      <c r="P402" s="1096"/>
      <c r="Q402" s="1096"/>
      <c r="R402" s="1096"/>
      <c r="S402" s="1096"/>
      <c r="T402" s="1096"/>
      <c r="U402" s="1096"/>
      <c r="V402" s="1096"/>
      <c r="W402" s="1096"/>
      <c r="X402" s="1096"/>
      <c r="Y402" s="1096"/>
      <c r="Z402" s="1096"/>
      <c r="AA402" s="1096"/>
      <c r="AB402" s="1096"/>
      <c r="AC402" s="1096"/>
      <c r="AD402" s="1096"/>
      <c r="AE402" s="1096"/>
      <c r="AF402" s="1096"/>
      <c r="AG402" s="1096"/>
      <c r="AH402" s="1096"/>
      <c r="AI402" s="1096"/>
      <c r="AJ402" s="1096"/>
      <c r="AK402" s="1096"/>
      <c r="AL402" s="1096"/>
      <c r="AM402" s="1096"/>
      <c r="AN402" s="1096"/>
      <c r="AO402" s="1096"/>
      <c r="AP402" s="1096"/>
      <c r="AQ402" s="1096"/>
      <c r="AR402" s="1096"/>
      <c r="AS402" s="1096"/>
      <c r="AT402" s="1096"/>
      <c r="AU402" s="1096"/>
      <c r="AV402" s="1096"/>
      <c r="AW402" s="1096"/>
      <c r="AX402" s="1096"/>
      <c r="AY402" s="1096"/>
    </row>
    <row r="403" spans="1:51" x14ac:dyDescent="0.45">
      <c r="A403" s="1096">
        <v>1972</v>
      </c>
      <c r="B403" s="1096" t="s">
        <v>1375</v>
      </c>
      <c r="C403" s="1113">
        <f>[7]LRAll!C394</f>
        <v>21.872699566907329</v>
      </c>
      <c r="D403" s="1113">
        <f>[7]LRAll!I394</f>
        <v>18.156015172687489</v>
      </c>
      <c r="E403" s="1096"/>
      <c r="F403" s="1114">
        <f t="shared" si="10"/>
        <v>83.007655809239651</v>
      </c>
      <c r="G403" s="1096"/>
      <c r="H403" s="1096"/>
      <c r="I403" s="1096"/>
      <c r="J403" s="1096"/>
      <c r="K403" s="1096"/>
      <c r="L403" s="1096"/>
      <c r="M403" s="1096"/>
      <c r="N403" s="1096"/>
      <c r="O403" s="1096"/>
      <c r="P403" s="1096"/>
      <c r="Q403" s="1096"/>
      <c r="R403" s="1096"/>
      <c r="S403" s="1096"/>
      <c r="T403" s="1096"/>
      <c r="U403" s="1096"/>
      <c r="V403" s="1096"/>
      <c r="W403" s="1096"/>
      <c r="X403" s="1096"/>
      <c r="Y403" s="1096"/>
      <c r="Z403" s="1096"/>
      <c r="AA403" s="1096"/>
      <c r="AB403" s="1096"/>
      <c r="AC403" s="1096"/>
      <c r="AD403" s="1096"/>
      <c r="AE403" s="1096"/>
      <c r="AF403" s="1096"/>
      <c r="AG403" s="1096"/>
      <c r="AH403" s="1096"/>
      <c r="AI403" s="1096"/>
      <c r="AJ403" s="1096"/>
      <c r="AK403" s="1096"/>
      <c r="AL403" s="1096"/>
      <c r="AM403" s="1096"/>
      <c r="AN403" s="1096"/>
      <c r="AO403" s="1096"/>
      <c r="AP403" s="1096"/>
      <c r="AQ403" s="1096"/>
      <c r="AR403" s="1096"/>
      <c r="AS403" s="1096"/>
      <c r="AT403" s="1096"/>
      <c r="AU403" s="1096"/>
      <c r="AV403" s="1096"/>
      <c r="AW403" s="1096"/>
      <c r="AX403" s="1096"/>
      <c r="AY403" s="1096"/>
    </row>
    <row r="404" spans="1:51" x14ac:dyDescent="0.45">
      <c r="A404" s="1096">
        <v>1972</v>
      </c>
      <c r="B404" s="1096" t="s">
        <v>1377</v>
      </c>
      <c r="C404" s="1113">
        <f>[7]LRAll!C395</f>
        <v>21.991644760926768</v>
      </c>
      <c r="D404" s="1113">
        <f>[7]LRAll!I395</f>
        <v>18.156015172687489</v>
      </c>
      <c r="E404" s="1096"/>
      <c r="F404" s="1114">
        <f t="shared" si="10"/>
        <v>82.558696132386785</v>
      </c>
      <c r="G404" s="1096"/>
      <c r="H404" s="1096"/>
      <c r="I404" s="1096"/>
      <c r="J404" s="1096"/>
      <c r="K404" s="1096"/>
      <c r="L404" s="1096"/>
      <c r="M404" s="1096"/>
      <c r="N404" s="1096"/>
      <c r="O404" s="1096"/>
      <c r="P404" s="1096"/>
      <c r="Q404" s="1096"/>
      <c r="R404" s="1096"/>
      <c r="S404" s="1096"/>
      <c r="T404" s="1096"/>
      <c r="U404" s="1096"/>
      <c r="V404" s="1096"/>
      <c r="W404" s="1096"/>
      <c r="X404" s="1096"/>
      <c r="Y404" s="1096"/>
      <c r="Z404" s="1096"/>
      <c r="AA404" s="1096"/>
      <c r="AB404" s="1096"/>
      <c r="AC404" s="1096"/>
      <c r="AD404" s="1096"/>
      <c r="AE404" s="1096"/>
      <c r="AF404" s="1096"/>
      <c r="AG404" s="1096"/>
      <c r="AH404" s="1096"/>
      <c r="AI404" s="1096"/>
      <c r="AJ404" s="1096"/>
      <c r="AK404" s="1096"/>
      <c r="AL404" s="1096"/>
      <c r="AM404" s="1096"/>
      <c r="AN404" s="1096"/>
      <c r="AO404" s="1096"/>
      <c r="AP404" s="1096"/>
      <c r="AQ404" s="1096"/>
      <c r="AR404" s="1096"/>
      <c r="AS404" s="1096"/>
      <c r="AT404" s="1096"/>
      <c r="AU404" s="1096"/>
      <c r="AV404" s="1096"/>
      <c r="AW404" s="1096"/>
      <c r="AX404" s="1096"/>
      <c r="AY404" s="1096"/>
    </row>
    <row r="405" spans="1:51" x14ac:dyDescent="0.45">
      <c r="A405" s="1096">
        <v>1972</v>
      </c>
      <c r="B405" s="1096" t="s">
        <v>1379</v>
      </c>
      <c r="C405" s="1113">
        <f>[7]LRAll!C396</f>
        <v>22.295615812309766</v>
      </c>
      <c r="D405" s="1113">
        <f>[7]LRAll!I396</f>
        <v>18.648417199875201</v>
      </c>
      <c r="E405" s="1096"/>
      <c r="F405" s="1114">
        <f t="shared" si="10"/>
        <v>83.641633211041935</v>
      </c>
      <c r="G405" s="1096"/>
      <c r="H405" s="1096"/>
      <c r="I405" s="1096"/>
      <c r="J405" s="1096"/>
      <c r="K405" s="1096"/>
      <c r="L405" s="1096"/>
      <c r="M405" s="1096"/>
      <c r="N405" s="1096"/>
      <c r="O405" s="1096"/>
      <c r="P405" s="1096"/>
      <c r="Q405" s="1096"/>
      <c r="R405" s="1096"/>
      <c r="S405" s="1096"/>
      <c r="T405" s="1096"/>
      <c r="U405" s="1096"/>
      <c r="V405" s="1096"/>
      <c r="W405" s="1096"/>
      <c r="X405" s="1096"/>
      <c r="Y405" s="1096"/>
      <c r="Z405" s="1096"/>
      <c r="AA405" s="1096"/>
      <c r="AB405" s="1096"/>
      <c r="AC405" s="1096"/>
      <c r="AD405" s="1096"/>
      <c r="AE405" s="1096"/>
      <c r="AF405" s="1096"/>
      <c r="AG405" s="1096"/>
      <c r="AH405" s="1096"/>
      <c r="AI405" s="1096"/>
      <c r="AJ405" s="1096"/>
      <c r="AK405" s="1096"/>
      <c r="AL405" s="1096"/>
      <c r="AM405" s="1096"/>
      <c r="AN405" s="1096"/>
      <c r="AO405" s="1096"/>
      <c r="AP405" s="1096"/>
      <c r="AQ405" s="1096"/>
      <c r="AR405" s="1096"/>
      <c r="AS405" s="1096"/>
      <c r="AT405" s="1096"/>
      <c r="AU405" s="1096"/>
      <c r="AV405" s="1096"/>
      <c r="AW405" s="1096"/>
      <c r="AX405" s="1096"/>
      <c r="AY405" s="1096"/>
    </row>
    <row r="406" spans="1:51" x14ac:dyDescent="0.45">
      <c r="A406" s="1096">
        <v>1972</v>
      </c>
      <c r="B406" s="1096" t="s">
        <v>1381</v>
      </c>
      <c r="C406" s="1113">
        <f>[7]LRAll!C397</f>
        <v>22.374912608322727</v>
      </c>
      <c r="D406" s="1113">
        <f>[7]LRAll!I397</f>
        <v>18.648417199875201</v>
      </c>
      <c r="E406" s="1096"/>
      <c r="F406" s="1114">
        <f t="shared" si="10"/>
        <v>83.34520686770685</v>
      </c>
      <c r="G406" s="1096"/>
      <c r="H406" s="1096"/>
      <c r="I406" s="1096"/>
      <c r="J406" s="1096"/>
      <c r="K406" s="1096"/>
      <c r="L406" s="1096"/>
      <c r="M406" s="1096"/>
      <c r="N406" s="1096"/>
      <c r="O406" s="1096"/>
      <c r="P406" s="1096"/>
      <c r="Q406" s="1096"/>
      <c r="R406" s="1096"/>
      <c r="S406" s="1096"/>
      <c r="T406" s="1096"/>
      <c r="U406" s="1096"/>
      <c r="V406" s="1096"/>
      <c r="W406" s="1096"/>
      <c r="X406" s="1096"/>
      <c r="Y406" s="1096"/>
      <c r="Z406" s="1096"/>
      <c r="AA406" s="1096"/>
      <c r="AB406" s="1096"/>
      <c r="AC406" s="1096"/>
      <c r="AD406" s="1096"/>
      <c r="AE406" s="1096"/>
      <c r="AF406" s="1096"/>
      <c r="AG406" s="1096"/>
      <c r="AH406" s="1096"/>
      <c r="AI406" s="1096"/>
      <c r="AJ406" s="1096"/>
      <c r="AK406" s="1096"/>
      <c r="AL406" s="1096"/>
      <c r="AM406" s="1096"/>
      <c r="AN406" s="1096"/>
      <c r="AO406" s="1096"/>
      <c r="AP406" s="1096"/>
      <c r="AQ406" s="1096"/>
      <c r="AR406" s="1096"/>
      <c r="AS406" s="1096"/>
      <c r="AT406" s="1096"/>
      <c r="AU406" s="1096"/>
      <c r="AV406" s="1096"/>
      <c r="AW406" s="1096"/>
      <c r="AX406" s="1096"/>
      <c r="AY406" s="1096"/>
    </row>
    <row r="407" spans="1:51" x14ac:dyDescent="0.45">
      <c r="A407" s="1096">
        <v>1972</v>
      </c>
      <c r="B407" s="1096" t="s">
        <v>1383</v>
      </c>
      <c r="C407" s="1113">
        <f>[7]LRAll!C398</f>
        <v>22.493857802342159</v>
      </c>
      <c r="D407" s="1113">
        <f>[7]LRAll!I398</f>
        <v>18.648417199875201</v>
      </c>
      <c r="E407" s="1096"/>
      <c r="F407" s="1114">
        <f t="shared" si="10"/>
        <v>82.904486032331221</v>
      </c>
      <c r="G407" s="1096"/>
      <c r="H407" s="1096"/>
      <c r="I407" s="1096"/>
      <c r="J407" s="1096"/>
      <c r="K407" s="1096"/>
      <c r="L407" s="1096"/>
      <c r="M407" s="1096"/>
      <c r="N407" s="1096"/>
      <c r="O407" s="1096"/>
      <c r="P407" s="1096"/>
      <c r="Q407" s="1096"/>
      <c r="R407" s="1096"/>
      <c r="S407" s="1096"/>
      <c r="T407" s="1096"/>
      <c r="U407" s="1096"/>
      <c r="V407" s="1096"/>
      <c r="W407" s="1096"/>
      <c r="X407" s="1096"/>
      <c r="Y407" s="1096"/>
      <c r="Z407" s="1096"/>
      <c r="AA407" s="1096"/>
      <c r="AB407" s="1096"/>
      <c r="AC407" s="1096"/>
      <c r="AD407" s="1096"/>
      <c r="AE407" s="1096"/>
      <c r="AF407" s="1096"/>
      <c r="AG407" s="1096"/>
      <c r="AH407" s="1096"/>
      <c r="AI407" s="1096"/>
      <c r="AJ407" s="1096"/>
      <c r="AK407" s="1096"/>
      <c r="AL407" s="1096"/>
      <c r="AM407" s="1096"/>
      <c r="AN407" s="1096"/>
      <c r="AO407" s="1096"/>
      <c r="AP407" s="1096"/>
      <c r="AQ407" s="1096"/>
      <c r="AR407" s="1096"/>
      <c r="AS407" s="1096"/>
      <c r="AT407" s="1096"/>
      <c r="AU407" s="1096"/>
      <c r="AV407" s="1096"/>
      <c r="AW407" s="1096"/>
      <c r="AX407" s="1096"/>
      <c r="AY407" s="1096"/>
    </row>
    <row r="408" spans="1:51" x14ac:dyDescent="0.45">
      <c r="A408" s="1096">
        <v>1973</v>
      </c>
      <c r="B408" s="1096" t="s">
        <v>1385</v>
      </c>
      <c r="C408" s="1113">
        <f>[7]LRAll!C399</f>
        <v>22.639235261699252</v>
      </c>
      <c r="D408" s="1113">
        <f>[7]LRAll!I399</f>
        <v>18.679847116504206</v>
      </c>
      <c r="E408" s="1096"/>
      <c r="F408" s="1114">
        <f t="shared" si="10"/>
        <v>82.510945712492841</v>
      </c>
      <c r="G408" s="1096"/>
      <c r="H408" s="1096"/>
      <c r="I408" s="1096"/>
      <c r="J408" s="1096"/>
      <c r="K408" s="1096"/>
      <c r="L408" s="1096"/>
      <c r="M408" s="1096"/>
      <c r="N408" s="1096"/>
      <c r="O408" s="1096"/>
      <c r="P408" s="1096"/>
      <c r="Q408" s="1096"/>
      <c r="R408" s="1096"/>
      <c r="S408" s="1096"/>
      <c r="T408" s="1096"/>
      <c r="U408" s="1096"/>
      <c r="V408" s="1096"/>
      <c r="W408" s="1096"/>
      <c r="X408" s="1096"/>
      <c r="Y408" s="1096"/>
      <c r="Z408" s="1096"/>
      <c r="AA408" s="1096"/>
      <c r="AB408" s="1096"/>
      <c r="AC408" s="1096"/>
      <c r="AD408" s="1096"/>
      <c r="AE408" s="1096"/>
      <c r="AF408" s="1096"/>
      <c r="AG408" s="1096"/>
      <c r="AH408" s="1096"/>
      <c r="AI408" s="1096"/>
      <c r="AJ408" s="1096"/>
      <c r="AK408" s="1096"/>
      <c r="AL408" s="1096"/>
      <c r="AM408" s="1096"/>
      <c r="AN408" s="1096"/>
      <c r="AO408" s="1096"/>
      <c r="AP408" s="1096"/>
      <c r="AQ408" s="1096"/>
      <c r="AR408" s="1096"/>
      <c r="AS408" s="1096"/>
      <c r="AT408" s="1096"/>
      <c r="AU408" s="1096"/>
      <c r="AV408" s="1096"/>
      <c r="AW408" s="1096"/>
      <c r="AX408" s="1096"/>
      <c r="AY408" s="1096"/>
    </row>
    <row r="409" spans="1:51" x14ac:dyDescent="0.45">
      <c r="A409" s="1096">
        <v>1973</v>
      </c>
      <c r="B409" s="1096" t="s">
        <v>1387</v>
      </c>
      <c r="C409" s="1113">
        <f>[7]LRAll!C400</f>
        <v>22.784612721056337</v>
      </c>
      <c r="D409" s="1113">
        <f>[7]LRAll!I400</f>
        <v>18.679847116504206</v>
      </c>
      <c r="E409" s="1096"/>
      <c r="F409" s="1114">
        <f t="shared" si="10"/>
        <v>81.984483761891084</v>
      </c>
      <c r="G409" s="1096"/>
      <c r="H409" s="1096"/>
      <c r="I409" s="1096"/>
      <c r="J409" s="1096"/>
      <c r="K409" s="1096"/>
      <c r="L409" s="1096"/>
      <c r="M409" s="1096"/>
      <c r="N409" s="1096"/>
      <c r="O409" s="1096"/>
      <c r="P409" s="1096"/>
      <c r="Q409" s="1096"/>
      <c r="R409" s="1096"/>
      <c r="S409" s="1096"/>
      <c r="T409" s="1096"/>
      <c r="U409" s="1096"/>
      <c r="V409" s="1096"/>
      <c r="W409" s="1096"/>
      <c r="X409" s="1096"/>
      <c r="Y409" s="1096"/>
      <c r="Z409" s="1096"/>
      <c r="AA409" s="1096"/>
      <c r="AB409" s="1096"/>
      <c r="AC409" s="1096"/>
      <c r="AD409" s="1096"/>
      <c r="AE409" s="1096"/>
      <c r="AF409" s="1096"/>
      <c r="AG409" s="1096"/>
      <c r="AH409" s="1096"/>
      <c r="AI409" s="1096"/>
      <c r="AJ409" s="1096"/>
      <c r="AK409" s="1096"/>
      <c r="AL409" s="1096"/>
      <c r="AM409" s="1096"/>
      <c r="AN409" s="1096"/>
      <c r="AO409" s="1096"/>
      <c r="AP409" s="1096"/>
      <c r="AQ409" s="1096"/>
      <c r="AR409" s="1096"/>
      <c r="AS409" s="1096"/>
      <c r="AT409" s="1096"/>
      <c r="AU409" s="1096"/>
      <c r="AV409" s="1096"/>
      <c r="AW409" s="1096"/>
      <c r="AX409" s="1096"/>
      <c r="AY409" s="1096"/>
    </row>
    <row r="410" spans="1:51" x14ac:dyDescent="0.45">
      <c r="A410" s="1096">
        <v>1973</v>
      </c>
      <c r="B410" s="1096" t="s">
        <v>1389</v>
      </c>
      <c r="C410" s="1113">
        <f>[7]LRAll!C401</f>
        <v>22.9167740477446</v>
      </c>
      <c r="D410" s="1113">
        <f>[7]LRAll!I401</f>
        <v>18.679847116504206</v>
      </c>
      <c r="E410" s="1096"/>
      <c r="F410" s="1114">
        <f t="shared" si="10"/>
        <v>81.511678203864051</v>
      </c>
      <c r="G410" s="1096"/>
      <c r="H410" s="1096"/>
      <c r="I410" s="1096"/>
      <c r="J410" s="1096"/>
      <c r="K410" s="1096"/>
      <c r="L410" s="1096"/>
      <c r="M410" s="1096"/>
      <c r="N410" s="1096"/>
      <c r="O410" s="1096"/>
      <c r="P410" s="1096"/>
      <c r="Q410" s="1096"/>
      <c r="R410" s="1096"/>
      <c r="S410" s="1096"/>
      <c r="T410" s="1096"/>
      <c r="U410" s="1096"/>
      <c r="V410" s="1096"/>
      <c r="W410" s="1096"/>
      <c r="X410" s="1096"/>
      <c r="Y410" s="1096"/>
      <c r="Z410" s="1096"/>
      <c r="AA410" s="1096"/>
      <c r="AB410" s="1096"/>
      <c r="AC410" s="1096"/>
      <c r="AD410" s="1096"/>
      <c r="AE410" s="1096"/>
      <c r="AF410" s="1096"/>
      <c r="AG410" s="1096"/>
      <c r="AH410" s="1096"/>
      <c r="AI410" s="1096"/>
      <c r="AJ410" s="1096"/>
      <c r="AK410" s="1096"/>
      <c r="AL410" s="1096"/>
      <c r="AM410" s="1096"/>
      <c r="AN410" s="1096"/>
      <c r="AO410" s="1096"/>
      <c r="AP410" s="1096"/>
      <c r="AQ410" s="1096"/>
      <c r="AR410" s="1096"/>
      <c r="AS410" s="1096"/>
      <c r="AT410" s="1096"/>
      <c r="AU410" s="1096"/>
      <c r="AV410" s="1096"/>
      <c r="AW410" s="1096"/>
      <c r="AX410" s="1096"/>
      <c r="AY410" s="1096"/>
    </row>
    <row r="411" spans="1:51" x14ac:dyDescent="0.45">
      <c r="A411" s="1096">
        <v>1973</v>
      </c>
      <c r="B411" s="1096" t="s">
        <v>1391</v>
      </c>
      <c r="C411" s="1113">
        <f>[7]LRAll!C402</f>
        <v>23.352906425815863</v>
      </c>
      <c r="D411" s="1113">
        <f>[7]LRAll!I402</f>
        <v>18.679847116504206</v>
      </c>
      <c r="E411" s="1096"/>
      <c r="F411" s="1114">
        <f t="shared" si="10"/>
        <v>79.989388797679823</v>
      </c>
      <c r="G411" s="1096"/>
      <c r="H411" s="1096"/>
      <c r="I411" s="1096"/>
      <c r="J411" s="1096"/>
      <c r="K411" s="1096"/>
      <c r="L411" s="1096"/>
      <c r="M411" s="1096"/>
      <c r="N411" s="1096"/>
      <c r="O411" s="1096"/>
      <c r="P411" s="1096"/>
      <c r="Q411" s="1096"/>
      <c r="R411" s="1096"/>
      <c r="S411" s="1096"/>
      <c r="T411" s="1096"/>
      <c r="U411" s="1096"/>
      <c r="V411" s="1096"/>
      <c r="W411" s="1096"/>
      <c r="X411" s="1096"/>
      <c r="Y411" s="1096"/>
      <c r="Z411" s="1096"/>
      <c r="AA411" s="1096"/>
      <c r="AB411" s="1096"/>
      <c r="AC411" s="1096"/>
      <c r="AD411" s="1096"/>
      <c r="AE411" s="1096"/>
      <c r="AF411" s="1096"/>
      <c r="AG411" s="1096"/>
      <c r="AH411" s="1096"/>
      <c r="AI411" s="1096"/>
      <c r="AJ411" s="1096"/>
      <c r="AK411" s="1096"/>
      <c r="AL411" s="1096"/>
      <c r="AM411" s="1096"/>
      <c r="AN411" s="1096"/>
      <c r="AO411" s="1096"/>
      <c r="AP411" s="1096"/>
      <c r="AQ411" s="1096"/>
      <c r="AR411" s="1096"/>
      <c r="AS411" s="1096"/>
      <c r="AT411" s="1096"/>
      <c r="AU411" s="1096"/>
      <c r="AV411" s="1096"/>
      <c r="AW411" s="1096"/>
      <c r="AX411" s="1096"/>
      <c r="AY411" s="1096"/>
    </row>
    <row r="412" spans="1:51" x14ac:dyDescent="0.45">
      <c r="A412" s="1096">
        <v>1973</v>
      </c>
      <c r="B412" s="1096" t="s">
        <v>1393</v>
      </c>
      <c r="C412" s="1113">
        <f>[7]LRAll!C403</f>
        <v>23.524716150510606</v>
      </c>
      <c r="D412" s="1113">
        <f>[7]LRAll!I403</f>
        <v>18.355071311337841</v>
      </c>
      <c r="E412" s="1096"/>
      <c r="F412" s="1114">
        <f t="shared" si="10"/>
        <v>78.024623948287015</v>
      </c>
      <c r="G412" s="1096"/>
      <c r="H412" s="1096"/>
      <c r="I412" s="1096"/>
      <c r="J412" s="1096"/>
      <c r="K412" s="1096"/>
      <c r="L412" s="1096"/>
      <c r="M412" s="1096"/>
      <c r="N412" s="1096"/>
      <c r="O412" s="1096"/>
      <c r="P412" s="1096"/>
      <c r="Q412" s="1096"/>
      <c r="R412" s="1096"/>
      <c r="S412" s="1096"/>
      <c r="T412" s="1096"/>
      <c r="U412" s="1096"/>
      <c r="V412" s="1096"/>
      <c r="W412" s="1096"/>
      <c r="X412" s="1096"/>
      <c r="Y412" s="1096"/>
      <c r="Z412" s="1096"/>
      <c r="AA412" s="1096"/>
      <c r="AB412" s="1096"/>
      <c r="AC412" s="1096"/>
      <c r="AD412" s="1096"/>
      <c r="AE412" s="1096"/>
      <c r="AF412" s="1096"/>
      <c r="AG412" s="1096"/>
      <c r="AH412" s="1096"/>
      <c r="AI412" s="1096"/>
      <c r="AJ412" s="1096"/>
      <c r="AK412" s="1096"/>
      <c r="AL412" s="1096"/>
      <c r="AM412" s="1096"/>
      <c r="AN412" s="1096"/>
      <c r="AO412" s="1096"/>
      <c r="AP412" s="1096"/>
      <c r="AQ412" s="1096"/>
      <c r="AR412" s="1096"/>
      <c r="AS412" s="1096"/>
      <c r="AT412" s="1096"/>
      <c r="AU412" s="1096"/>
      <c r="AV412" s="1096"/>
      <c r="AW412" s="1096"/>
      <c r="AX412" s="1096"/>
      <c r="AY412" s="1096"/>
    </row>
    <row r="413" spans="1:51" x14ac:dyDescent="0.45">
      <c r="A413" s="1096">
        <v>1973</v>
      </c>
      <c r="B413" s="1096" t="s">
        <v>1371</v>
      </c>
      <c r="C413" s="1113">
        <f>[7]LRAll!C404</f>
        <v>23.643661344530042</v>
      </c>
      <c r="D413" s="1113">
        <f>[7]LRAll!I404</f>
        <v>18.355071311337841</v>
      </c>
      <c r="E413" s="1096"/>
      <c r="F413" s="1114">
        <f t="shared" si="10"/>
        <v>77.632102083818268</v>
      </c>
      <c r="G413" s="1096"/>
      <c r="H413" s="1096"/>
      <c r="I413" s="1096"/>
      <c r="J413" s="1096"/>
      <c r="K413" s="1096"/>
      <c r="L413" s="1096"/>
      <c r="M413" s="1096"/>
      <c r="N413" s="1096"/>
      <c r="O413" s="1096"/>
      <c r="P413" s="1096"/>
      <c r="Q413" s="1096"/>
      <c r="R413" s="1096"/>
      <c r="S413" s="1096"/>
      <c r="T413" s="1096"/>
      <c r="U413" s="1096"/>
      <c r="V413" s="1096"/>
      <c r="W413" s="1096"/>
      <c r="X413" s="1096"/>
      <c r="Y413" s="1096"/>
      <c r="Z413" s="1096"/>
      <c r="AA413" s="1096"/>
      <c r="AB413" s="1096"/>
      <c r="AC413" s="1096"/>
      <c r="AD413" s="1096"/>
      <c r="AE413" s="1096"/>
      <c r="AF413" s="1096"/>
      <c r="AG413" s="1096"/>
      <c r="AH413" s="1096"/>
      <c r="AI413" s="1096"/>
      <c r="AJ413" s="1096"/>
      <c r="AK413" s="1096"/>
      <c r="AL413" s="1096"/>
      <c r="AM413" s="1096"/>
      <c r="AN413" s="1096"/>
      <c r="AO413" s="1096"/>
      <c r="AP413" s="1096"/>
      <c r="AQ413" s="1096"/>
      <c r="AR413" s="1096"/>
      <c r="AS413" s="1096"/>
      <c r="AT413" s="1096"/>
      <c r="AU413" s="1096"/>
      <c r="AV413" s="1096"/>
      <c r="AW413" s="1096"/>
      <c r="AX413" s="1096"/>
      <c r="AY413" s="1096"/>
    </row>
    <row r="414" spans="1:51" x14ac:dyDescent="0.45">
      <c r="A414" s="1096">
        <v>1973</v>
      </c>
      <c r="B414" s="1096" t="s">
        <v>1373</v>
      </c>
      <c r="C414" s="1113">
        <f>[7]LRAll!C405</f>
        <v>23.74939040588065</v>
      </c>
      <c r="D414" s="1113">
        <f>[7]LRAll!I405</f>
        <v>18.365547950214175</v>
      </c>
      <c r="E414" s="1096"/>
      <c r="F414" s="1114">
        <f t="shared" si="10"/>
        <v>77.330607802323343</v>
      </c>
      <c r="G414" s="1096"/>
      <c r="H414" s="1096"/>
      <c r="I414" s="1096"/>
      <c r="J414" s="1096"/>
      <c r="K414" s="1096"/>
      <c r="L414" s="1096"/>
      <c r="M414" s="1096"/>
      <c r="N414" s="1096"/>
      <c r="O414" s="1096"/>
      <c r="P414" s="1096"/>
      <c r="Q414" s="1096"/>
      <c r="R414" s="1096"/>
      <c r="S414" s="1096"/>
      <c r="T414" s="1096"/>
      <c r="U414" s="1096"/>
      <c r="V414" s="1096"/>
      <c r="W414" s="1096"/>
      <c r="X414" s="1096"/>
      <c r="Y414" s="1096"/>
      <c r="Z414" s="1096"/>
      <c r="AA414" s="1096"/>
      <c r="AB414" s="1096"/>
      <c r="AC414" s="1096"/>
      <c r="AD414" s="1096"/>
      <c r="AE414" s="1096"/>
      <c r="AF414" s="1096"/>
      <c r="AG414" s="1096"/>
      <c r="AH414" s="1096"/>
      <c r="AI414" s="1096"/>
      <c r="AJ414" s="1096"/>
      <c r="AK414" s="1096"/>
      <c r="AL414" s="1096"/>
      <c r="AM414" s="1096"/>
      <c r="AN414" s="1096"/>
      <c r="AO414" s="1096"/>
      <c r="AP414" s="1096"/>
      <c r="AQ414" s="1096"/>
      <c r="AR414" s="1096"/>
      <c r="AS414" s="1096"/>
      <c r="AT414" s="1096"/>
      <c r="AU414" s="1096"/>
      <c r="AV414" s="1096"/>
      <c r="AW414" s="1096"/>
      <c r="AX414" s="1096"/>
      <c r="AY414" s="1096"/>
    </row>
    <row r="415" spans="1:51" x14ac:dyDescent="0.45">
      <c r="A415" s="1096">
        <v>1973</v>
      </c>
      <c r="B415" s="1096" t="s">
        <v>1375</v>
      </c>
      <c r="C415" s="1113">
        <f>[7]LRAll!C406</f>
        <v>23.815471069224778</v>
      </c>
      <c r="D415" s="1113">
        <f>[7]LRAll!I406</f>
        <v>18.365547950214175</v>
      </c>
      <c r="E415" s="1096"/>
      <c r="F415" s="1114">
        <f t="shared" si="10"/>
        <v>77.116038968243657</v>
      </c>
      <c r="G415" s="1096"/>
      <c r="H415" s="1096"/>
      <c r="I415" s="1096"/>
      <c r="J415" s="1096"/>
      <c r="K415" s="1096"/>
      <c r="L415" s="1096"/>
      <c r="M415" s="1096"/>
      <c r="N415" s="1096"/>
      <c r="O415" s="1096"/>
      <c r="P415" s="1096"/>
      <c r="Q415" s="1096"/>
      <c r="R415" s="1096"/>
      <c r="S415" s="1096"/>
      <c r="T415" s="1096"/>
      <c r="U415" s="1096"/>
      <c r="V415" s="1096"/>
      <c r="W415" s="1096"/>
      <c r="X415" s="1096"/>
      <c r="Y415" s="1096"/>
      <c r="Z415" s="1096"/>
      <c r="AA415" s="1096"/>
      <c r="AB415" s="1096"/>
      <c r="AC415" s="1096"/>
      <c r="AD415" s="1096"/>
      <c r="AE415" s="1096"/>
      <c r="AF415" s="1096"/>
      <c r="AG415" s="1096"/>
      <c r="AH415" s="1096"/>
      <c r="AI415" s="1096"/>
      <c r="AJ415" s="1096"/>
      <c r="AK415" s="1096"/>
      <c r="AL415" s="1096"/>
      <c r="AM415" s="1096"/>
      <c r="AN415" s="1096"/>
      <c r="AO415" s="1096"/>
      <c r="AP415" s="1096"/>
      <c r="AQ415" s="1096"/>
      <c r="AR415" s="1096"/>
      <c r="AS415" s="1096"/>
      <c r="AT415" s="1096"/>
      <c r="AU415" s="1096"/>
      <c r="AV415" s="1096"/>
      <c r="AW415" s="1096"/>
      <c r="AX415" s="1096"/>
      <c r="AY415" s="1096"/>
    </row>
    <row r="416" spans="1:51" x14ac:dyDescent="0.45">
      <c r="A416" s="1096">
        <v>1973</v>
      </c>
      <c r="B416" s="1096" t="s">
        <v>1377</v>
      </c>
      <c r="C416" s="1113">
        <f>[7]LRAll!C407</f>
        <v>24.026929191926001</v>
      </c>
      <c r="D416" s="1113">
        <f>[7]LRAll!I407</f>
        <v>18.365547950214175</v>
      </c>
      <c r="E416" s="1096"/>
      <c r="F416" s="1114">
        <f t="shared" si="10"/>
        <v>76.437349956421912</v>
      </c>
      <c r="G416" s="1096"/>
      <c r="H416" s="1096"/>
      <c r="I416" s="1096"/>
      <c r="J416" s="1096"/>
      <c r="K416" s="1096"/>
      <c r="L416" s="1096"/>
      <c r="M416" s="1096"/>
      <c r="N416" s="1096"/>
      <c r="O416" s="1096"/>
      <c r="P416" s="1096"/>
      <c r="Q416" s="1096"/>
      <c r="R416" s="1096"/>
      <c r="S416" s="1096"/>
      <c r="T416" s="1096"/>
      <c r="U416" s="1096"/>
      <c r="V416" s="1096"/>
      <c r="W416" s="1096"/>
      <c r="X416" s="1096"/>
      <c r="Y416" s="1096"/>
      <c r="Z416" s="1096"/>
      <c r="AA416" s="1096"/>
      <c r="AB416" s="1096"/>
      <c r="AC416" s="1096"/>
      <c r="AD416" s="1096"/>
      <c r="AE416" s="1096"/>
      <c r="AF416" s="1096"/>
      <c r="AG416" s="1096"/>
      <c r="AH416" s="1096"/>
      <c r="AI416" s="1096"/>
      <c r="AJ416" s="1096"/>
      <c r="AK416" s="1096"/>
      <c r="AL416" s="1096"/>
      <c r="AM416" s="1096"/>
      <c r="AN416" s="1096"/>
      <c r="AO416" s="1096"/>
      <c r="AP416" s="1096"/>
      <c r="AQ416" s="1096"/>
      <c r="AR416" s="1096"/>
      <c r="AS416" s="1096"/>
      <c r="AT416" s="1096"/>
      <c r="AU416" s="1096"/>
      <c r="AV416" s="1096"/>
      <c r="AW416" s="1096"/>
      <c r="AX416" s="1096"/>
      <c r="AY416" s="1096"/>
    </row>
    <row r="417" spans="1:51" x14ac:dyDescent="0.45">
      <c r="A417" s="1096">
        <v>1973</v>
      </c>
      <c r="B417" s="1096" t="s">
        <v>1379</v>
      </c>
      <c r="C417" s="1113">
        <f>[7]LRAll!C408</f>
        <v>24.502709968003742</v>
      </c>
      <c r="D417" s="1113">
        <f>[7]LRAll!I408</f>
        <v>18.99414628279424</v>
      </c>
      <c r="E417" s="1096"/>
      <c r="F417" s="1114">
        <f t="shared" si="10"/>
        <v>77.518553284911235</v>
      </c>
      <c r="G417" s="1096"/>
      <c r="H417" s="1096"/>
      <c r="I417" s="1096"/>
      <c r="J417" s="1096"/>
      <c r="K417" s="1096"/>
      <c r="L417" s="1096"/>
      <c r="M417" s="1096"/>
      <c r="N417" s="1096"/>
      <c r="O417" s="1096"/>
      <c r="P417" s="1096"/>
      <c r="Q417" s="1096"/>
      <c r="R417" s="1096"/>
      <c r="S417" s="1096"/>
      <c r="T417" s="1096"/>
      <c r="U417" s="1096"/>
      <c r="V417" s="1096"/>
      <c r="W417" s="1096"/>
      <c r="X417" s="1096"/>
      <c r="Y417" s="1096"/>
      <c r="Z417" s="1096"/>
      <c r="AA417" s="1096"/>
      <c r="AB417" s="1096"/>
      <c r="AC417" s="1096"/>
      <c r="AD417" s="1096"/>
      <c r="AE417" s="1096"/>
      <c r="AF417" s="1096"/>
      <c r="AG417" s="1096"/>
      <c r="AH417" s="1096"/>
      <c r="AI417" s="1096"/>
      <c r="AJ417" s="1096"/>
      <c r="AK417" s="1096"/>
      <c r="AL417" s="1096"/>
      <c r="AM417" s="1096"/>
      <c r="AN417" s="1096"/>
      <c r="AO417" s="1096"/>
      <c r="AP417" s="1096"/>
      <c r="AQ417" s="1096"/>
      <c r="AR417" s="1096"/>
      <c r="AS417" s="1096"/>
      <c r="AT417" s="1096"/>
      <c r="AU417" s="1096"/>
      <c r="AV417" s="1096"/>
      <c r="AW417" s="1096"/>
      <c r="AX417" s="1096"/>
      <c r="AY417" s="1096"/>
    </row>
    <row r="418" spans="1:51" x14ac:dyDescent="0.45">
      <c r="A418" s="1096">
        <v>1973</v>
      </c>
      <c r="B418" s="1096" t="s">
        <v>1381</v>
      </c>
      <c r="C418" s="1113">
        <f>[7]LRAll!C409</f>
        <v>24.687735825367312</v>
      </c>
      <c r="D418" s="1113">
        <f>[7]LRAll!I409</f>
        <v>19.172249143691921</v>
      </c>
      <c r="E418" s="1096"/>
      <c r="F418" s="1114">
        <f t="shared" si="10"/>
        <v>77.65900153545843</v>
      </c>
      <c r="G418" s="1096"/>
      <c r="H418" s="1096"/>
      <c r="I418" s="1096"/>
      <c r="J418" s="1096"/>
      <c r="K418" s="1096"/>
      <c r="L418" s="1096"/>
      <c r="M418" s="1096"/>
      <c r="N418" s="1096"/>
      <c r="O418" s="1096"/>
      <c r="P418" s="1096"/>
      <c r="Q418" s="1096"/>
      <c r="R418" s="1096"/>
      <c r="S418" s="1096"/>
      <c r="T418" s="1096"/>
      <c r="U418" s="1096"/>
      <c r="V418" s="1096"/>
      <c r="W418" s="1096"/>
      <c r="X418" s="1096"/>
      <c r="Y418" s="1096"/>
      <c r="Z418" s="1096"/>
      <c r="AA418" s="1096"/>
      <c r="AB418" s="1096"/>
      <c r="AC418" s="1096"/>
      <c r="AD418" s="1096"/>
      <c r="AE418" s="1096"/>
      <c r="AF418" s="1096"/>
      <c r="AG418" s="1096"/>
      <c r="AH418" s="1096"/>
      <c r="AI418" s="1096"/>
      <c r="AJ418" s="1096"/>
      <c r="AK418" s="1096"/>
      <c r="AL418" s="1096"/>
      <c r="AM418" s="1096"/>
      <c r="AN418" s="1096"/>
      <c r="AO418" s="1096"/>
      <c r="AP418" s="1096"/>
      <c r="AQ418" s="1096"/>
      <c r="AR418" s="1096"/>
      <c r="AS418" s="1096"/>
      <c r="AT418" s="1096"/>
      <c r="AU418" s="1096"/>
      <c r="AV418" s="1096"/>
      <c r="AW418" s="1096"/>
      <c r="AX418" s="1096"/>
      <c r="AY418" s="1096"/>
    </row>
    <row r="419" spans="1:51" x14ac:dyDescent="0.45">
      <c r="A419" s="1096">
        <v>1973</v>
      </c>
      <c r="B419" s="1096" t="s">
        <v>1383</v>
      </c>
      <c r="C419" s="1113">
        <f>[7]LRAll!C410</f>
        <v>24.872761682730872</v>
      </c>
      <c r="D419" s="1113">
        <f>[7]LRAll!I410</f>
        <v>19.465595032229285</v>
      </c>
      <c r="E419" s="1096"/>
      <c r="F419" s="1114">
        <f t="shared" si="10"/>
        <v>78.260690471473566</v>
      </c>
      <c r="G419" s="1096"/>
      <c r="H419" s="1096"/>
      <c r="I419" s="1096"/>
      <c r="J419" s="1096"/>
      <c r="K419" s="1096"/>
      <c r="L419" s="1096"/>
      <c r="M419" s="1096"/>
      <c r="N419" s="1096"/>
      <c r="O419" s="1096"/>
      <c r="P419" s="1096"/>
      <c r="Q419" s="1096"/>
      <c r="R419" s="1096"/>
      <c r="S419" s="1096"/>
      <c r="T419" s="1096"/>
      <c r="U419" s="1096"/>
      <c r="V419" s="1096"/>
      <c r="W419" s="1096"/>
      <c r="X419" s="1096"/>
      <c r="Y419" s="1096"/>
      <c r="Z419" s="1096"/>
      <c r="AA419" s="1096"/>
      <c r="AB419" s="1096"/>
      <c r="AC419" s="1096"/>
      <c r="AD419" s="1096"/>
      <c r="AE419" s="1096"/>
      <c r="AF419" s="1096"/>
      <c r="AG419" s="1096"/>
      <c r="AH419" s="1096"/>
      <c r="AI419" s="1096"/>
      <c r="AJ419" s="1096"/>
      <c r="AK419" s="1096"/>
      <c r="AL419" s="1096"/>
      <c r="AM419" s="1096"/>
      <c r="AN419" s="1096"/>
      <c r="AO419" s="1096"/>
      <c r="AP419" s="1096"/>
      <c r="AQ419" s="1096"/>
      <c r="AR419" s="1096"/>
      <c r="AS419" s="1096"/>
      <c r="AT419" s="1096"/>
      <c r="AU419" s="1096"/>
      <c r="AV419" s="1096"/>
      <c r="AW419" s="1096"/>
      <c r="AX419" s="1096"/>
      <c r="AY419" s="1096"/>
    </row>
    <row r="420" spans="1:51" x14ac:dyDescent="0.45">
      <c r="A420" s="1096">
        <v>1974</v>
      </c>
      <c r="B420" s="1096" t="s">
        <v>1385</v>
      </c>
      <c r="C420" s="1113">
        <f>[7]LRAll!C411</f>
        <v>25.34854245880862</v>
      </c>
      <c r="D420" s="1113">
        <f>[7]LRAll!I411</f>
        <v>19.758940920766648</v>
      </c>
      <c r="E420" s="1096"/>
      <c r="F420" s="1114">
        <f t="shared" si="10"/>
        <v>77.949021932424429</v>
      </c>
      <c r="G420" s="1096"/>
      <c r="H420" s="1096"/>
      <c r="I420" s="1096"/>
      <c r="J420" s="1096"/>
      <c r="K420" s="1096"/>
      <c r="L420" s="1096"/>
      <c r="M420" s="1096"/>
      <c r="N420" s="1096"/>
      <c r="O420" s="1096"/>
      <c r="P420" s="1096"/>
      <c r="Q420" s="1096"/>
      <c r="R420" s="1096"/>
      <c r="S420" s="1096"/>
      <c r="T420" s="1096"/>
      <c r="U420" s="1096"/>
      <c r="V420" s="1096"/>
      <c r="W420" s="1096"/>
      <c r="X420" s="1096"/>
      <c r="Y420" s="1096"/>
      <c r="Z420" s="1096"/>
      <c r="AA420" s="1096"/>
      <c r="AB420" s="1096"/>
      <c r="AC420" s="1096"/>
      <c r="AD420" s="1096"/>
      <c r="AE420" s="1096"/>
      <c r="AF420" s="1096"/>
      <c r="AG420" s="1096"/>
      <c r="AH420" s="1096"/>
      <c r="AI420" s="1096"/>
      <c r="AJ420" s="1096"/>
      <c r="AK420" s="1096"/>
      <c r="AL420" s="1096"/>
      <c r="AM420" s="1096"/>
      <c r="AN420" s="1096"/>
      <c r="AO420" s="1096"/>
      <c r="AP420" s="1096"/>
      <c r="AQ420" s="1096"/>
      <c r="AR420" s="1096"/>
      <c r="AS420" s="1096"/>
      <c r="AT420" s="1096"/>
      <c r="AU420" s="1096"/>
      <c r="AV420" s="1096"/>
      <c r="AW420" s="1096"/>
      <c r="AX420" s="1096"/>
      <c r="AY420" s="1096"/>
    </row>
    <row r="421" spans="1:51" x14ac:dyDescent="0.45">
      <c r="A421" s="1096">
        <v>1974</v>
      </c>
      <c r="B421" s="1096" t="s">
        <v>1387</v>
      </c>
      <c r="C421" s="1113">
        <f>[7]LRAll!C412</f>
        <v>25.779467680608366</v>
      </c>
      <c r="D421" s="1113">
        <f>[7]LRAll!I412</f>
        <v>20.272673384706579</v>
      </c>
      <c r="E421" s="1096"/>
      <c r="F421" s="1114">
        <f t="shared" si="10"/>
        <v>78.638836285808694</v>
      </c>
      <c r="G421" s="1096"/>
      <c r="H421" s="1096"/>
      <c r="I421" s="1096"/>
      <c r="J421" s="1096"/>
      <c r="K421" s="1096"/>
      <c r="L421" s="1096"/>
      <c r="M421" s="1096"/>
      <c r="N421" s="1096"/>
      <c r="O421" s="1096"/>
      <c r="P421" s="1096"/>
      <c r="Q421" s="1096"/>
      <c r="R421" s="1096"/>
      <c r="S421" s="1096"/>
      <c r="T421" s="1096"/>
      <c r="U421" s="1096"/>
      <c r="V421" s="1096"/>
      <c r="W421" s="1096"/>
      <c r="X421" s="1096"/>
      <c r="Y421" s="1096"/>
      <c r="Z421" s="1096"/>
      <c r="AA421" s="1096"/>
      <c r="AB421" s="1096"/>
      <c r="AC421" s="1096"/>
      <c r="AD421" s="1096"/>
      <c r="AE421" s="1096"/>
      <c r="AF421" s="1096"/>
      <c r="AG421" s="1096"/>
      <c r="AH421" s="1096"/>
      <c r="AI421" s="1096"/>
      <c r="AJ421" s="1096"/>
      <c r="AK421" s="1096"/>
      <c r="AL421" s="1096"/>
      <c r="AM421" s="1096"/>
      <c r="AN421" s="1096"/>
      <c r="AO421" s="1096"/>
      <c r="AP421" s="1096"/>
      <c r="AQ421" s="1096"/>
      <c r="AR421" s="1096"/>
      <c r="AS421" s="1096"/>
      <c r="AT421" s="1096"/>
      <c r="AU421" s="1096"/>
      <c r="AV421" s="1096"/>
      <c r="AW421" s="1096"/>
      <c r="AX421" s="1096"/>
      <c r="AY421" s="1096"/>
    </row>
    <row r="422" spans="1:51" x14ac:dyDescent="0.45">
      <c r="A422" s="1096">
        <v>1974</v>
      </c>
      <c r="B422" s="1096" t="s">
        <v>1389</v>
      </c>
      <c r="C422" s="1113">
        <f>[7]LRAll!C413</f>
        <v>26.007604562737644</v>
      </c>
      <c r="D422" s="1113">
        <f>[7]LRAll!I413</f>
        <v>20.391227030231182</v>
      </c>
      <c r="E422" s="1096"/>
      <c r="F422" s="1114">
        <f t="shared" ref="F422:F485" si="11">D422/C422*100</f>
        <v>78.404864165947373</v>
      </c>
      <c r="G422" s="1096"/>
      <c r="H422" s="1096"/>
      <c r="I422" s="1096"/>
      <c r="J422" s="1096"/>
      <c r="K422" s="1096"/>
      <c r="L422" s="1096"/>
      <c r="M422" s="1096"/>
      <c r="N422" s="1096"/>
      <c r="O422" s="1096"/>
      <c r="P422" s="1096"/>
      <c r="Q422" s="1096"/>
      <c r="R422" s="1096"/>
      <c r="S422" s="1096"/>
      <c r="T422" s="1096"/>
      <c r="U422" s="1096"/>
      <c r="V422" s="1096"/>
      <c r="W422" s="1096"/>
      <c r="X422" s="1096"/>
      <c r="Y422" s="1096"/>
      <c r="Z422" s="1096"/>
      <c r="AA422" s="1096"/>
      <c r="AB422" s="1096"/>
      <c r="AC422" s="1096"/>
      <c r="AD422" s="1096"/>
      <c r="AE422" s="1096"/>
      <c r="AF422" s="1096"/>
      <c r="AG422" s="1096"/>
      <c r="AH422" s="1096"/>
      <c r="AI422" s="1096"/>
      <c r="AJ422" s="1096"/>
      <c r="AK422" s="1096"/>
      <c r="AL422" s="1096"/>
      <c r="AM422" s="1096"/>
      <c r="AN422" s="1096"/>
      <c r="AO422" s="1096"/>
      <c r="AP422" s="1096"/>
      <c r="AQ422" s="1096"/>
      <c r="AR422" s="1096"/>
      <c r="AS422" s="1096"/>
      <c r="AT422" s="1096"/>
      <c r="AU422" s="1096"/>
      <c r="AV422" s="1096"/>
      <c r="AW422" s="1096"/>
      <c r="AX422" s="1096"/>
      <c r="AY422" s="1096"/>
    </row>
    <row r="423" spans="1:51" x14ac:dyDescent="0.45">
      <c r="A423" s="1096">
        <v>1974</v>
      </c>
      <c r="B423" s="1096" t="s">
        <v>1391</v>
      </c>
      <c r="C423" s="1113">
        <f>[7]LRAll!C414</f>
        <v>26.894803548795945</v>
      </c>
      <c r="D423" s="1113">
        <f>[7]LRAll!I414</f>
        <v>20.391227030231182</v>
      </c>
      <c r="E423" s="1096"/>
      <c r="F423" s="1114">
        <f t="shared" si="11"/>
        <v>75.818464311274283</v>
      </c>
      <c r="G423" s="1096"/>
      <c r="H423" s="1096"/>
      <c r="I423" s="1096"/>
      <c r="J423" s="1096"/>
      <c r="K423" s="1096"/>
      <c r="L423" s="1096"/>
      <c r="M423" s="1096"/>
      <c r="N423" s="1096"/>
      <c r="O423" s="1096"/>
      <c r="P423" s="1096"/>
      <c r="Q423" s="1096"/>
      <c r="R423" s="1096"/>
      <c r="S423" s="1096"/>
      <c r="T423" s="1096"/>
      <c r="U423" s="1096"/>
      <c r="V423" s="1096"/>
      <c r="W423" s="1096"/>
      <c r="X423" s="1096"/>
      <c r="Y423" s="1096"/>
      <c r="Z423" s="1096"/>
      <c r="AA423" s="1096"/>
      <c r="AB423" s="1096"/>
      <c r="AC423" s="1096"/>
      <c r="AD423" s="1096"/>
      <c r="AE423" s="1096"/>
      <c r="AF423" s="1096"/>
      <c r="AG423" s="1096"/>
      <c r="AH423" s="1096"/>
      <c r="AI423" s="1096"/>
      <c r="AJ423" s="1096"/>
      <c r="AK423" s="1096"/>
      <c r="AL423" s="1096"/>
      <c r="AM423" s="1096"/>
      <c r="AN423" s="1096"/>
      <c r="AO423" s="1096"/>
      <c r="AP423" s="1096"/>
      <c r="AQ423" s="1096"/>
      <c r="AR423" s="1096"/>
      <c r="AS423" s="1096"/>
      <c r="AT423" s="1096"/>
      <c r="AU423" s="1096"/>
      <c r="AV423" s="1096"/>
      <c r="AW423" s="1096"/>
      <c r="AX423" s="1096"/>
      <c r="AY423" s="1096"/>
    </row>
    <row r="424" spans="1:51" x14ac:dyDescent="0.45">
      <c r="A424" s="1096">
        <v>1974</v>
      </c>
      <c r="B424" s="1096" t="s">
        <v>1393</v>
      </c>
      <c r="C424" s="1113">
        <f>[7]LRAll!C415</f>
        <v>27.275031685678073</v>
      </c>
      <c r="D424" s="1113">
        <f>[7]LRAll!I415</f>
        <v>20.983995257854179</v>
      </c>
      <c r="E424" s="1096"/>
      <c r="F424" s="1114">
        <f t="shared" si="11"/>
        <v>76.934815327355707</v>
      </c>
      <c r="G424" s="1096"/>
      <c r="H424" s="1096"/>
      <c r="I424" s="1096"/>
      <c r="J424" s="1096"/>
      <c r="K424" s="1096"/>
      <c r="L424" s="1096"/>
      <c r="M424" s="1096"/>
      <c r="N424" s="1096"/>
      <c r="O424" s="1096"/>
      <c r="P424" s="1096"/>
      <c r="Q424" s="1096"/>
      <c r="R424" s="1096"/>
      <c r="S424" s="1096"/>
      <c r="T424" s="1096"/>
      <c r="U424" s="1096"/>
      <c r="V424" s="1096"/>
      <c r="W424" s="1096"/>
      <c r="X424" s="1096"/>
      <c r="Y424" s="1096"/>
      <c r="Z424" s="1096"/>
      <c r="AA424" s="1096"/>
      <c r="AB424" s="1096"/>
      <c r="AC424" s="1096"/>
      <c r="AD424" s="1096"/>
      <c r="AE424" s="1096"/>
      <c r="AF424" s="1096"/>
      <c r="AG424" s="1096"/>
      <c r="AH424" s="1096"/>
      <c r="AI424" s="1096"/>
      <c r="AJ424" s="1096"/>
      <c r="AK424" s="1096"/>
      <c r="AL424" s="1096"/>
      <c r="AM424" s="1096"/>
      <c r="AN424" s="1096"/>
      <c r="AO424" s="1096"/>
      <c r="AP424" s="1096"/>
      <c r="AQ424" s="1096"/>
      <c r="AR424" s="1096"/>
      <c r="AS424" s="1096"/>
      <c r="AT424" s="1096"/>
      <c r="AU424" s="1096"/>
      <c r="AV424" s="1096"/>
      <c r="AW424" s="1096"/>
      <c r="AX424" s="1096"/>
      <c r="AY424" s="1096"/>
    </row>
    <row r="425" spans="1:51" x14ac:dyDescent="0.45">
      <c r="A425" s="1096">
        <v>1974</v>
      </c>
      <c r="B425" s="1096" t="s">
        <v>1371</v>
      </c>
      <c r="C425" s="1113">
        <f>[7]LRAll!C416</f>
        <v>27.553865652724969</v>
      </c>
      <c r="D425" s="1113">
        <f>[7]LRAll!I416</f>
        <v>21.655799249160243</v>
      </c>
      <c r="E425" s="1096"/>
      <c r="F425" s="1114">
        <f t="shared" si="11"/>
        <v>78.594414018341453</v>
      </c>
      <c r="G425" s="1096"/>
      <c r="H425" s="1096"/>
      <c r="I425" s="1096"/>
      <c r="J425" s="1096"/>
      <c r="K425" s="1096"/>
      <c r="L425" s="1096"/>
      <c r="M425" s="1096"/>
      <c r="N425" s="1096"/>
      <c r="O425" s="1096"/>
      <c r="P425" s="1096"/>
      <c r="Q425" s="1096"/>
      <c r="R425" s="1096"/>
      <c r="S425" s="1096"/>
      <c r="T425" s="1096"/>
      <c r="U425" s="1096"/>
      <c r="V425" s="1096"/>
      <c r="W425" s="1096"/>
      <c r="X425" s="1096"/>
      <c r="Y425" s="1096"/>
      <c r="Z425" s="1096"/>
      <c r="AA425" s="1096"/>
      <c r="AB425" s="1096"/>
      <c r="AC425" s="1096"/>
      <c r="AD425" s="1096"/>
      <c r="AE425" s="1096"/>
      <c r="AF425" s="1096"/>
      <c r="AG425" s="1096"/>
      <c r="AH425" s="1096"/>
      <c r="AI425" s="1096"/>
      <c r="AJ425" s="1096"/>
      <c r="AK425" s="1096"/>
      <c r="AL425" s="1096"/>
      <c r="AM425" s="1096"/>
      <c r="AN425" s="1096"/>
      <c r="AO425" s="1096"/>
      <c r="AP425" s="1096"/>
      <c r="AQ425" s="1096"/>
      <c r="AR425" s="1096"/>
      <c r="AS425" s="1096"/>
      <c r="AT425" s="1096"/>
      <c r="AU425" s="1096"/>
      <c r="AV425" s="1096"/>
      <c r="AW425" s="1096"/>
      <c r="AX425" s="1096"/>
      <c r="AY425" s="1096"/>
    </row>
    <row r="426" spans="1:51" x14ac:dyDescent="0.45">
      <c r="A426" s="1096">
        <v>1974</v>
      </c>
      <c r="B426" s="1096" t="s">
        <v>1373</v>
      </c>
      <c r="C426" s="1113">
        <f>[7]LRAll!C417</f>
        <v>27.807351077313058</v>
      </c>
      <c r="D426" s="1113">
        <f>[7]LRAll!I417</f>
        <v>22.446156885990909</v>
      </c>
      <c r="E426" s="1096"/>
      <c r="F426" s="1114">
        <f t="shared" si="11"/>
        <v>80.720226905409405</v>
      </c>
      <c r="G426" s="1096"/>
      <c r="H426" s="1096"/>
      <c r="I426" s="1096"/>
      <c r="J426" s="1096"/>
      <c r="K426" s="1096"/>
      <c r="L426" s="1096"/>
      <c r="M426" s="1096"/>
      <c r="N426" s="1096"/>
      <c r="O426" s="1096"/>
      <c r="P426" s="1096"/>
      <c r="Q426" s="1096"/>
      <c r="R426" s="1096"/>
      <c r="S426" s="1096"/>
      <c r="T426" s="1096"/>
      <c r="U426" s="1096"/>
      <c r="V426" s="1096"/>
      <c r="W426" s="1096"/>
      <c r="X426" s="1096"/>
      <c r="Y426" s="1096"/>
      <c r="Z426" s="1096"/>
      <c r="AA426" s="1096"/>
      <c r="AB426" s="1096"/>
      <c r="AC426" s="1096"/>
      <c r="AD426" s="1096"/>
      <c r="AE426" s="1096"/>
      <c r="AF426" s="1096"/>
      <c r="AG426" s="1096"/>
      <c r="AH426" s="1096"/>
      <c r="AI426" s="1096"/>
      <c r="AJ426" s="1096"/>
      <c r="AK426" s="1096"/>
      <c r="AL426" s="1096"/>
      <c r="AM426" s="1096"/>
      <c r="AN426" s="1096"/>
      <c r="AO426" s="1096"/>
      <c r="AP426" s="1096"/>
      <c r="AQ426" s="1096"/>
      <c r="AR426" s="1096"/>
      <c r="AS426" s="1096"/>
      <c r="AT426" s="1096"/>
      <c r="AU426" s="1096"/>
      <c r="AV426" s="1096"/>
      <c r="AW426" s="1096"/>
      <c r="AX426" s="1096"/>
      <c r="AY426" s="1096"/>
    </row>
    <row r="427" spans="1:51" x14ac:dyDescent="0.45">
      <c r="A427" s="1096">
        <v>1974</v>
      </c>
      <c r="B427" s="1096" t="s">
        <v>1375</v>
      </c>
      <c r="C427" s="1113">
        <f>[7]LRAll!C418</f>
        <v>27.832699619771862</v>
      </c>
      <c r="D427" s="1113">
        <f>[7]LRAll!I418</f>
        <v>22.861094645327011</v>
      </c>
      <c r="E427" s="1096"/>
      <c r="F427" s="1114">
        <f t="shared" si="11"/>
        <v>82.137539504385302</v>
      </c>
      <c r="G427" s="1096"/>
      <c r="H427" s="1096"/>
      <c r="I427" s="1096"/>
      <c r="J427" s="1096"/>
      <c r="K427" s="1096"/>
      <c r="L427" s="1096"/>
      <c r="M427" s="1096"/>
      <c r="N427" s="1096"/>
      <c r="O427" s="1096"/>
      <c r="P427" s="1096"/>
      <c r="Q427" s="1096"/>
      <c r="R427" s="1096"/>
      <c r="S427" s="1096"/>
      <c r="T427" s="1096"/>
      <c r="U427" s="1096"/>
      <c r="V427" s="1096"/>
      <c r="W427" s="1096"/>
      <c r="X427" s="1096"/>
      <c r="Y427" s="1096"/>
      <c r="Z427" s="1096"/>
      <c r="AA427" s="1096"/>
      <c r="AB427" s="1096"/>
      <c r="AC427" s="1096"/>
      <c r="AD427" s="1096"/>
      <c r="AE427" s="1096"/>
      <c r="AF427" s="1096"/>
      <c r="AG427" s="1096"/>
      <c r="AH427" s="1096"/>
      <c r="AI427" s="1096"/>
      <c r="AJ427" s="1096"/>
      <c r="AK427" s="1096"/>
      <c r="AL427" s="1096"/>
      <c r="AM427" s="1096"/>
      <c r="AN427" s="1096"/>
      <c r="AO427" s="1096"/>
      <c r="AP427" s="1096"/>
      <c r="AQ427" s="1096"/>
      <c r="AR427" s="1096"/>
      <c r="AS427" s="1096"/>
      <c r="AT427" s="1096"/>
      <c r="AU427" s="1096"/>
      <c r="AV427" s="1096"/>
      <c r="AW427" s="1096"/>
      <c r="AX427" s="1096"/>
      <c r="AY427" s="1096"/>
    </row>
    <row r="428" spans="1:51" x14ac:dyDescent="0.45">
      <c r="A428" s="1096">
        <v>1974</v>
      </c>
      <c r="B428" s="1096" t="s">
        <v>1377</v>
      </c>
      <c r="C428" s="1113">
        <f>[7]LRAll!C419</f>
        <v>28.136882129277566</v>
      </c>
      <c r="D428" s="1113">
        <f>[7]LRAll!I419</f>
        <v>22.880853586247778</v>
      </c>
      <c r="E428" s="1096"/>
      <c r="F428" s="1114">
        <f t="shared" si="11"/>
        <v>81.319790448421159</v>
      </c>
      <c r="G428" s="1096"/>
      <c r="H428" s="1096"/>
      <c r="I428" s="1096"/>
      <c r="J428" s="1096"/>
      <c r="K428" s="1096"/>
      <c r="L428" s="1096"/>
      <c r="M428" s="1096"/>
      <c r="N428" s="1096"/>
      <c r="O428" s="1096"/>
      <c r="P428" s="1096"/>
      <c r="Q428" s="1096"/>
      <c r="R428" s="1096"/>
      <c r="S428" s="1096"/>
      <c r="T428" s="1096"/>
      <c r="U428" s="1096"/>
      <c r="V428" s="1096"/>
      <c r="W428" s="1096"/>
      <c r="X428" s="1096"/>
      <c r="Y428" s="1096"/>
      <c r="Z428" s="1096"/>
      <c r="AA428" s="1096"/>
      <c r="AB428" s="1096"/>
      <c r="AC428" s="1096"/>
      <c r="AD428" s="1096"/>
      <c r="AE428" s="1096"/>
      <c r="AF428" s="1096"/>
      <c r="AG428" s="1096"/>
      <c r="AH428" s="1096"/>
      <c r="AI428" s="1096"/>
      <c r="AJ428" s="1096"/>
      <c r="AK428" s="1096"/>
      <c r="AL428" s="1096"/>
      <c r="AM428" s="1096"/>
      <c r="AN428" s="1096"/>
      <c r="AO428" s="1096"/>
      <c r="AP428" s="1096"/>
      <c r="AQ428" s="1096"/>
      <c r="AR428" s="1096"/>
      <c r="AS428" s="1096"/>
      <c r="AT428" s="1096"/>
      <c r="AU428" s="1096"/>
      <c r="AV428" s="1096"/>
      <c r="AW428" s="1096"/>
      <c r="AX428" s="1096"/>
      <c r="AY428" s="1096"/>
    </row>
    <row r="429" spans="1:51" x14ac:dyDescent="0.45">
      <c r="A429" s="1096">
        <v>1974</v>
      </c>
      <c r="B429" s="1096" t="s">
        <v>1379</v>
      </c>
      <c r="C429" s="1113">
        <f>[7]LRAll!C420</f>
        <v>28.694550063371359</v>
      </c>
      <c r="D429" s="1113">
        <f>[7]LRAll!I420</f>
        <v>22.920371468089311</v>
      </c>
      <c r="E429" s="1096"/>
      <c r="F429" s="1114">
        <f t="shared" si="11"/>
        <v>79.877089612731737</v>
      </c>
      <c r="G429" s="1096"/>
      <c r="H429" s="1096"/>
      <c r="I429" s="1096"/>
      <c r="J429" s="1096"/>
      <c r="K429" s="1096"/>
      <c r="L429" s="1096"/>
      <c r="M429" s="1096"/>
      <c r="N429" s="1096"/>
      <c r="O429" s="1096"/>
      <c r="P429" s="1096"/>
      <c r="Q429" s="1096"/>
      <c r="R429" s="1096"/>
      <c r="S429" s="1096"/>
      <c r="T429" s="1096"/>
      <c r="U429" s="1096"/>
      <c r="V429" s="1096"/>
      <c r="W429" s="1096"/>
      <c r="X429" s="1096"/>
      <c r="Y429" s="1096"/>
      <c r="Z429" s="1096"/>
      <c r="AA429" s="1096"/>
      <c r="AB429" s="1096"/>
      <c r="AC429" s="1096"/>
      <c r="AD429" s="1096"/>
      <c r="AE429" s="1096"/>
      <c r="AF429" s="1096"/>
      <c r="AG429" s="1096"/>
      <c r="AH429" s="1096"/>
      <c r="AI429" s="1096"/>
      <c r="AJ429" s="1096"/>
      <c r="AK429" s="1096"/>
      <c r="AL429" s="1096"/>
      <c r="AM429" s="1096"/>
      <c r="AN429" s="1096"/>
      <c r="AO429" s="1096"/>
      <c r="AP429" s="1096"/>
      <c r="AQ429" s="1096"/>
      <c r="AR429" s="1096"/>
      <c r="AS429" s="1096"/>
      <c r="AT429" s="1096"/>
      <c r="AU429" s="1096"/>
      <c r="AV429" s="1096"/>
      <c r="AW429" s="1096"/>
      <c r="AX429" s="1096"/>
      <c r="AY429" s="1096"/>
    </row>
    <row r="430" spans="1:51" x14ac:dyDescent="0.45">
      <c r="A430" s="1096">
        <v>1974</v>
      </c>
      <c r="B430" s="1096" t="s">
        <v>1381</v>
      </c>
      <c r="C430" s="1113">
        <f>[7]LRAll!C421</f>
        <v>29.201520912547529</v>
      </c>
      <c r="D430" s="1113">
        <f>[7]LRAll!I421</f>
        <v>23.789764868603044</v>
      </c>
      <c r="E430" s="1096"/>
      <c r="F430" s="1114">
        <f t="shared" si="11"/>
        <v>81.467554172429686</v>
      </c>
      <c r="G430" s="1096"/>
      <c r="H430" s="1096"/>
      <c r="I430" s="1096"/>
      <c r="J430" s="1096"/>
      <c r="K430" s="1096"/>
      <c r="L430" s="1096"/>
      <c r="M430" s="1096"/>
      <c r="N430" s="1096"/>
      <c r="O430" s="1096"/>
      <c r="P430" s="1096"/>
      <c r="Q430" s="1096"/>
      <c r="R430" s="1096"/>
      <c r="S430" s="1096"/>
      <c r="T430" s="1096"/>
      <c r="U430" s="1096"/>
      <c r="V430" s="1096"/>
      <c r="W430" s="1096"/>
      <c r="X430" s="1096"/>
      <c r="Y430" s="1096"/>
      <c r="Z430" s="1096"/>
      <c r="AA430" s="1096"/>
      <c r="AB430" s="1096"/>
      <c r="AC430" s="1096"/>
      <c r="AD430" s="1096"/>
      <c r="AE430" s="1096"/>
      <c r="AF430" s="1096"/>
      <c r="AG430" s="1096"/>
      <c r="AH430" s="1096"/>
      <c r="AI430" s="1096"/>
      <c r="AJ430" s="1096"/>
      <c r="AK430" s="1096"/>
      <c r="AL430" s="1096"/>
      <c r="AM430" s="1096"/>
      <c r="AN430" s="1096"/>
      <c r="AO430" s="1096"/>
      <c r="AP430" s="1096"/>
      <c r="AQ430" s="1096"/>
      <c r="AR430" s="1096"/>
      <c r="AS430" s="1096"/>
      <c r="AT430" s="1096"/>
      <c r="AU430" s="1096"/>
      <c r="AV430" s="1096"/>
      <c r="AW430" s="1096"/>
      <c r="AX430" s="1096"/>
      <c r="AY430" s="1096"/>
    </row>
    <row r="431" spans="1:51" x14ac:dyDescent="0.45">
      <c r="A431" s="1096">
        <v>1974</v>
      </c>
      <c r="B431" s="1096" t="s">
        <v>1383</v>
      </c>
      <c r="C431" s="1113">
        <f>[7]LRAll!C422</f>
        <v>29.632446134347276</v>
      </c>
      <c r="D431" s="1113">
        <f>[7]LRAll!I422</f>
        <v>24.184943687018379</v>
      </c>
      <c r="E431" s="1096"/>
      <c r="F431" s="1114">
        <f t="shared" si="11"/>
        <v>81.616426728218556</v>
      </c>
      <c r="G431" s="1096"/>
      <c r="H431" s="1096"/>
      <c r="I431" s="1096"/>
      <c r="J431" s="1096"/>
      <c r="K431" s="1096"/>
      <c r="L431" s="1096"/>
      <c r="M431" s="1096"/>
      <c r="N431" s="1096"/>
      <c r="O431" s="1096"/>
      <c r="P431" s="1096"/>
      <c r="Q431" s="1096"/>
      <c r="R431" s="1096"/>
      <c r="S431" s="1096"/>
      <c r="T431" s="1096"/>
      <c r="U431" s="1096"/>
      <c r="V431" s="1096"/>
      <c r="W431" s="1096"/>
      <c r="X431" s="1096"/>
      <c r="Y431" s="1096"/>
      <c r="Z431" s="1096"/>
      <c r="AA431" s="1096"/>
      <c r="AB431" s="1096"/>
      <c r="AC431" s="1096"/>
      <c r="AD431" s="1096"/>
      <c r="AE431" s="1096"/>
      <c r="AF431" s="1096"/>
      <c r="AG431" s="1096"/>
      <c r="AH431" s="1096"/>
      <c r="AI431" s="1096"/>
      <c r="AJ431" s="1096"/>
      <c r="AK431" s="1096"/>
      <c r="AL431" s="1096"/>
      <c r="AM431" s="1096"/>
      <c r="AN431" s="1096"/>
      <c r="AO431" s="1096"/>
      <c r="AP431" s="1096"/>
      <c r="AQ431" s="1096"/>
      <c r="AR431" s="1096"/>
      <c r="AS431" s="1096"/>
      <c r="AT431" s="1096"/>
      <c r="AU431" s="1096"/>
      <c r="AV431" s="1096"/>
      <c r="AW431" s="1096"/>
      <c r="AX431" s="1096"/>
      <c r="AY431" s="1096"/>
    </row>
    <row r="432" spans="1:51" x14ac:dyDescent="0.45">
      <c r="A432" s="1096">
        <v>1975</v>
      </c>
      <c r="B432" s="1096" t="s">
        <v>1385</v>
      </c>
      <c r="C432" s="1113">
        <f>[7]LRAll!C423</f>
        <v>30.392902408111535</v>
      </c>
      <c r="D432" s="1113">
        <f>[7]LRAll!I423</f>
        <v>24.678917210037543</v>
      </c>
      <c r="E432" s="1096"/>
      <c r="F432" s="1114">
        <f t="shared" si="11"/>
        <v>81.19960666688749</v>
      </c>
      <c r="G432" s="1096"/>
      <c r="H432" s="1096"/>
      <c r="I432" s="1096"/>
      <c r="J432" s="1096"/>
      <c r="K432" s="1096"/>
      <c r="L432" s="1096"/>
      <c r="M432" s="1096"/>
      <c r="N432" s="1096"/>
      <c r="O432" s="1096"/>
      <c r="P432" s="1096"/>
      <c r="Q432" s="1096"/>
      <c r="R432" s="1096"/>
      <c r="S432" s="1096"/>
      <c r="T432" s="1096"/>
      <c r="U432" s="1096"/>
      <c r="V432" s="1096"/>
      <c r="W432" s="1096"/>
      <c r="X432" s="1096"/>
      <c r="Y432" s="1096"/>
      <c r="Z432" s="1096"/>
      <c r="AA432" s="1096"/>
      <c r="AB432" s="1096"/>
      <c r="AC432" s="1096"/>
      <c r="AD432" s="1096"/>
      <c r="AE432" s="1096"/>
      <c r="AF432" s="1096"/>
      <c r="AG432" s="1096"/>
      <c r="AH432" s="1096"/>
      <c r="AI432" s="1096"/>
      <c r="AJ432" s="1096"/>
      <c r="AK432" s="1096"/>
      <c r="AL432" s="1096"/>
      <c r="AM432" s="1096"/>
      <c r="AN432" s="1096"/>
      <c r="AO432" s="1096"/>
      <c r="AP432" s="1096"/>
      <c r="AQ432" s="1096"/>
      <c r="AR432" s="1096"/>
      <c r="AS432" s="1096"/>
      <c r="AT432" s="1096"/>
      <c r="AU432" s="1096"/>
      <c r="AV432" s="1096"/>
      <c r="AW432" s="1096"/>
      <c r="AX432" s="1096"/>
      <c r="AY432" s="1096"/>
    </row>
    <row r="433" spans="1:51" x14ac:dyDescent="0.45">
      <c r="A433" s="1096">
        <v>1975</v>
      </c>
      <c r="B433" s="1096" t="s">
        <v>1387</v>
      </c>
      <c r="C433" s="1113">
        <f>[7]LRAll!C424</f>
        <v>30.899873257287709</v>
      </c>
      <c r="D433" s="1113">
        <f>[7]LRAll!I424</f>
        <v>25.251926496739774</v>
      </c>
      <c r="E433" s="1096"/>
      <c r="F433" s="1114">
        <f t="shared" si="11"/>
        <v>81.721780171975723</v>
      </c>
      <c r="G433" s="1096"/>
      <c r="H433" s="1096"/>
      <c r="I433" s="1096"/>
      <c r="J433" s="1096"/>
      <c r="K433" s="1096"/>
      <c r="L433" s="1096"/>
      <c r="M433" s="1096"/>
      <c r="N433" s="1096"/>
      <c r="O433" s="1096"/>
      <c r="P433" s="1096"/>
      <c r="Q433" s="1096"/>
      <c r="R433" s="1096"/>
      <c r="S433" s="1096"/>
      <c r="T433" s="1096"/>
      <c r="U433" s="1096"/>
      <c r="V433" s="1096"/>
      <c r="W433" s="1096"/>
      <c r="X433" s="1096"/>
      <c r="Y433" s="1096"/>
      <c r="Z433" s="1096"/>
      <c r="AA433" s="1096"/>
      <c r="AB433" s="1096"/>
      <c r="AC433" s="1096"/>
      <c r="AD433" s="1096"/>
      <c r="AE433" s="1096"/>
      <c r="AF433" s="1096"/>
      <c r="AG433" s="1096"/>
      <c r="AH433" s="1096"/>
      <c r="AI433" s="1096"/>
      <c r="AJ433" s="1096"/>
      <c r="AK433" s="1096"/>
      <c r="AL433" s="1096"/>
      <c r="AM433" s="1096"/>
      <c r="AN433" s="1096"/>
      <c r="AO433" s="1096"/>
      <c r="AP433" s="1096"/>
      <c r="AQ433" s="1096"/>
      <c r="AR433" s="1096"/>
      <c r="AS433" s="1096"/>
      <c r="AT433" s="1096"/>
      <c r="AU433" s="1096"/>
      <c r="AV433" s="1096"/>
      <c r="AW433" s="1096"/>
      <c r="AX433" s="1096"/>
      <c r="AY433" s="1096"/>
    </row>
    <row r="434" spans="1:51" x14ac:dyDescent="0.45">
      <c r="A434" s="1096">
        <v>1975</v>
      </c>
      <c r="B434" s="1096" t="s">
        <v>1389</v>
      </c>
      <c r="C434" s="1113">
        <f>[7]LRAll!C425</f>
        <v>31.508238276299114</v>
      </c>
      <c r="D434" s="1113">
        <f>[7]LRAll!I425</f>
        <v>25.686623196996642</v>
      </c>
      <c r="E434" s="1096"/>
      <c r="F434" s="1114">
        <f t="shared" si="11"/>
        <v>81.523514490870269</v>
      </c>
      <c r="G434" s="1096"/>
      <c r="H434" s="1096"/>
      <c r="I434" s="1096"/>
      <c r="J434" s="1096"/>
      <c r="K434" s="1096"/>
      <c r="L434" s="1096"/>
      <c r="M434" s="1096"/>
      <c r="N434" s="1096"/>
      <c r="O434" s="1096"/>
      <c r="P434" s="1096"/>
      <c r="Q434" s="1096"/>
      <c r="R434" s="1096"/>
      <c r="S434" s="1096"/>
      <c r="T434" s="1096"/>
      <c r="U434" s="1096"/>
      <c r="V434" s="1096"/>
      <c r="W434" s="1096"/>
      <c r="X434" s="1096"/>
      <c r="Y434" s="1096"/>
      <c r="Z434" s="1096"/>
      <c r="AA434" s="1096"/>
      <c r="AB434" s="1096"/>
      <c r="AC434" s="1096"/>
      <c r="AD434" s="1096"/>
      <c r="AE434" s="1096"/>
      <c r="AF434" s="1096"/>
      <c r="AG434" s="1096"/>
      <c r="AH434" s="1096"/>
      <c r="AI434" s="1096"/>
      <c r="AJ434" s="1096"/>
      <c r="AK434" s="1096"/>
      <c r="AL434" s="1096"/>
      <c r="AM434" s="1096"/>
      <c r="AN434" s="1096"/>
      <c r="AO434" s="1096"/>
      <c r="AP434" s="1096"/>
      <c r="AQ434" s="1096"/>
      <c r="AR434" s="1096"/>
      <c r="AS434" s="1096"/>
      <c r="AT434" s="1096"/>
      <c r="AU434" s="1096"/>
      <c r="AV434" s="1096"/>
      <c r="AW434" s="1096"/>
      <c r="AX434" s="1096"/>
      <c r="AY434" s="1096"/>
    </row>
    <row r="435" spans="1:51" x14ac:dyDescent="0.45">
      <c r="A435" s="1096">
        <v>1975</v>
      </c>
      <c r="B435" s="1096" t="s">
        <v>1391</v>
      </c>
      <c r="C435" s="1113">
        <f>[7]LRAll!C426</f>
        <v>32.724968314321927</v>
      </c>
      <c r="D435" s="1113">
        <f>[7]LRAll!I426</f>
        <v>27.010472238688003</v>
      </c>
      <c r="E435" s="1096"/>
      <c r="F435" s="1114">
        <f t="shared" si="11"/>
        <v>82.537810210398277</v>
      </c>
      <c r="G435" s="1096"/>
      <c r="H435" s="1096"/>
      <c r="I435" s="1096"/>
      <c r="J435" s="1096"/>
      <c r="K435" s="1096"/>
      <c r="L435" s="1096"/>
      <c r="M435" s="1096"/>
      <c r="N435" s="1096"/>
      <c r="O435" s="1096"/>
      <c r="P435" s="1096"/>
      <c r="Q435" s="1096"/>
      <c r="R435" s="1096"/>
      <c r="S435" s="1096"/>
      <c r="T435" s="1096"/>
      <c r="U435" s="1096"/>
      <c r="V435" s="1096"/>
      <c r="W435" s="1096"/>
      <c r="X435" s="1096"/>
      <c r="Y435" s="1096"/>
      <c r="Z435" s="1096"/>
      <c r="AA435" s="1096"/>
      <c r="AB435" s="1096"/>
      <c r="AC435" s="1096"/>
      <c r="AD435" s="1096"/>
      <c r="AE435" s="1096"/>
      <c r="AF435" s="1096"/>
      <c r="AG435" s="1096"/>
      <c r="AH435" s="1096"/>
      <c r="AI435" s="1096"/>
      <c r="AJ435" s="1096"/>
      <c r="AK435" s="1096"/>
      <c r="AL435" s="1096"/>
      <c r="AM435" s="1096"/>
      <c r="AN435" s="1096"/>
      <c r="AO435" s="1096"/>
      <c r="AP435" s="1096"/>
      <c r="AQ435" s="1096"/>
      <c r="AR435" s="1096"/>
      <c r="AS435" s="1096"/>
      <c r="AT435" s="1096"/>
      <c r="AU435" s="1096"/>
      <c r="AV435" s="1096"/>
      <c r="AW435" s="1096"/>
      <c r="AX435" s="1096"/>
      <c r="AY435" s="1096"/>
    </row>
    <row r="436" spans="1:51" x14ac:dyDescent="0.45">
      <c r="A436" s="1096">
        <v>1975</v>
      </c>
      <c r="B436" s="1096" t="s">
        <v>1393</v>
      </c>
      <c r="C436" s="1113">
        <f>[7]LRAll!C427</f>
        <v>34.093789607097591</v>
      </c>
      <c r="D436" s="1113">
        <f>[7]LRAll!I427</f>
        <v>28.452874925903973</v>
      </c>
      <c r="E436" s="1096"/>
      <c r="F436" s="1114">
        <f t="shared" si="11"/>
        <v>83.454714931368898</v>
      </c>
      <c r="G436" s="1096"/>
      <c r="H436" s="1096"/>
      <c r="I436" s="1096"/>
      <c r="J436" s="1096"/>
      <c r="K436" s="1096"/>
      <c r="L436" s="1096"/>
      <c r="M436" s="1096"/>
      <c r="N436" s="1096"/>
      <c r="O436" s="1096"/>
      <c r="P436" s="1096"/>
      <c r="Q436" s="1096"/>
      <c r="R436" s="1096"/>
      <c r="S436" s="1096"/>
      <c r="T436" s="1096"/>
      <c r="U436" s="1096"/>
      <c r="V436" s="1096"/>
      <c r="W436" s="1096"/>
      <c r="X436" s="1096"/>
      <c r="Y436" s="1096"/>
      <c r="Z436" s="1096"/>
      <c r="AA436" s="1096"/>
      <c r="AB436" s="1096"/>
      <c r="AC436" s="1096"/>
      <c r="AD436" s="1096"/>
      <c r="AE436" s="1096"/>
      <c r="AF436" s="1096"/>
      <c r="AG436" s="1096"/>
      <c r="AH436" s="1096"/>
      <c r="AI436" s="1096"/>
      <c r="AJ436" s="1096"/>
      <c r="AK436" s="1096"/>
      <c r="AL436" s="1096"/>
      <c r="AM436" s="1096"/>
      <c r="AN436" s="1096"/>
      <c r="AO436" s="1096"/>
      <c r="AP436" s="1096"/>
      <c r="AQ436" s="1096"/>
      <c r="AR436" s="1096"/>
      <c r="AS436" s="1096"/>
      <c r="AT436" s="1096"/>
      <c r="AU436" s="1096"/>
      <c r="AV436" s="1096"/>
      <c r="AW436" s="1096"/>
      <c r="AX436" s="1096"/>
      <c r="AY436" s="1096"/>
    </row>
    <row r="437" spans="1:51" x14ac:dyDescent="0.45">
      <c r="A437" s="1096">
        <v>1975</v>
      </c>
      <c r="B437" s="1096" t="s">
        <v>1371</v>
      </c>
      <c r="C437" s="1113">
        <f>[7]LRAll!C428</f>
        <v>34.752851711026615</v>
      </c>
      <c r="D437" s="1113">
        <f>[7]LRAll!I428</f>
        <v>29.915036554040704</v>
      </c>
      <c r="E437" s="1096"/>
      <c r="F437" s="1114">
        <f t="shared" si="11"/>
        <v>86.079372141276863</v>
      </c>
      <c r="G437" s="1096"/>
      <c r="H437" s="1096"/>
      <c r="I437" s="1096"/>
      <c r="J437" s="1096"/>
      <c r="K437" s="1096"/>
      <c r="L437" s="1096"/>
      <c r="M437" s="1096"/>
      <c r="N437" s="1096"/>
      <c r="O437" s="1096"/>
      <c r="P437" s="1096"/>
      <c r="Q437" s="1096"/>
      <c r="R437" s="1096"/>
      <c r="S437" s="1096"/>
      <c r="T437" s="1096"/>
      <c r="U437" s="1096"/>
      <c r="V437" s="1096"/>
      <c r="W437" s="1096"/>
      <c r="X437" s="1096"/>
      <c r="Y437" s="1096"/>
      <c r="Z437" s="1096"/>
      <c r="AA437" s="1096"/>
      <c r="AB437" s="1096"/>
      <c r="AC437" s="1096"/>
      <c r="AD437" s="1096"/>
      <c r="AE437" s="1096"/>
      <c r="AF437" s="1096"/>
      <c r="AG437" s="1096"/>
      <c r="AH437" s="1096"/>
      <c r="AI437" s="1096"/>
      <c r="AJ437" s="1096"/>
      <c r="AK437" s="1096"/>
      <c r="AL437" s="1096"/>
      <c r="AM437" s="1096"/>
      <c r="AN437" s="1096"/>
      <c r="AO437" s="1096"/>
      <c r="AP437" s="1096"/>
      <c r="AQ437" s="1096"/>
      <c r="AR437" s="1096"/>
      <c r="AS437" s="1096"/>
      <c r="AT437" s="1096"/>
      <c r="AU437" s="1096"/>
      <c r="AV437" s="1096"/>
      <c r="AW437" s="1096"/>
      <c r="AX437" s="1096"/>
      <c r="AY437" s="1096"/>
    </row>
    <row r="438" spans="1:51" x14ac:dyDescent="0.45">
      <c r="A438" s="1096">
        <v>1975</v>
      </c>
      <c r="B438" s="1096" t="s">
        <v>1373</v>
      </c>
      <c r="C438" s="1113">
        <f>[7]LRAll!C429</f>
        <v>35.107731305449938</v>
      </c>
      <c r="D438" s="1113">
        <f>[7]LRAll!I429</f>
        <v>30.606599486267537</v>
      </c>
      <c r="E438" s="1096"/>
      <c r="F438" s="1114">
        <f t="shared" si="11"/>
        <v>87.179086623339657</v>
      </c>
      <c r="G438" s="1096"/>
      <c r="H438" s="1096"/>
      <c r="I438" s="1096"/>
      <c r="J438" s="1096"/>
      <c r="K438" s="1096"/>
      <c r="L438" s="1096"/>
      <c r="M438" s="1096"/>
      <c r="N438" s="1096"/>
      <c r="O438" s="1096"/>
      <c r="P438" s="1096"/>
      <c r="Q438" s="1096"/>
      <c r="R438" s="1096"/>
      <c r="S438" s="1096"/>
      <c r="T438" s="1096"/>
      <c r="U438" s="1096"/>
      <c r="V438" s="1096"/>
      <c r="W438" s="1096"/>
      <c r="X438" s="1096"/>
      <c r="Y438" s="1096"/>
      <c r="Z438" s="1096"/>
      <c r="AA438" s="1096"/>
      <c r="AB438" s="1096"/>
      <c r="AC438" s="1096"/>
      <c r="AD438" s="1096"/>
      <c r="AE438" s="1096"/>
      <c r="AF438" s="1096"/>
      <c r="AG438" s="1096"/>
      <c r="AH438" s="1096"/>
      <c r="AI438" s="1096"/>
      <c r="AJ438" s="1096"/>
      <c r="AK438" s="1096"/>
      <c r="AL438" s="1096"/>
      <c r="AM438" s="1096"/>
      <c r="AN438" s="1096"/>
      <c r="AO438" s="1096"/>
      <c r="AP438" s="1096"/>
      <c r="AQ438" s="1096"/>
      <c r="AR438" s="1096"/>
      <c r="AS438" s="1096"/>
      <c r="AT438" s="1096"/>
      <c r="AU438" s="1096"/>
      <c r="AV438" s="1096"/>
      <c r="AW438" s="1096"/>
      <c r="AX438" s="1096"/>
      <c r="AY438" s="1096"/>
    </row>
    <row r="439" spans="1:51" x14ac:dyDescent="0.45">
      <c r="A439" s="1096">
        <v>1975</v>
      </c>
      <c r="B439" s="1096" t="s">
        <v>1375</v>
      </c>
      <c r="C439" s="1113">
        <f>[7]LRAll!C430</f>
        <v>35.310519645120408</v>
      </c>
      <c r="D439" s="1113">
        <f>[7]LRAll!I430</f>
        <v>30.626358427188304</v>
      </c>
      <c r="E439" s="1096"/>
      <c r="F439" s="1114">
        <f t="shared" si="11"/>
        <v>86.734374727392577</v>
      </c>
      <c r="G439" s="1096"/>
      <c r="H439" s="1096"/>
      <c r="I439" s="1096"/>
      <c r="J439" s="1096"/>
      <c r="K439" s="1096"/>
      <c r="L439" s="1096"/>
      <c r="M439" s="1096"/>
      <c r="N439" s="1096"/>
      <c r="O439" s="1096"/>
      <c r="P439" s="1096"/>
      <c r="Q439" s="1096"/>
      <c r="R439" s="1096"/>
      <c r="S439" s="1096"/>
      <c r="T439" s="1096"/>
      <c r="U439" s="1096"/>
      <c r="V439" s="1096"/>
      <c r="W439" s="1096"/>
      <c r="X439" s="1096"/>
      <c r="Y439" s="1096"/>
      <c r="Z439" s="1096"/>
      <c r="AA439" s="1096"/>
      <c r="AB439" s="1096"/>
      <c r="AC439" s="1096"/>
      <c r="AD439" s="1096"/>
      <c r="AE439" s="1096"/>
      <c r="AF439" s="1096"/>
      <c r="AG439" s="1096"/>
      <c r="AH439" s="1096"/>
      <c r="AI439" s="1096"/>
      <c r="AJ439" s="1096"/>
      <c r="AK439" s="1096"/>
      <c r="AL439" s="1096"/>
      <c r="AM439" s="1096"/>
      <c r="AN439" s="1096"/>
      <c r="AO439" s="1096"/>
      <c r="AP439" s="1096"/>
      <c r="AQ439" s="1096"/>
      <c r="AR439" s="1096"/>
      <c r="AS439" s="1096"/>
      <c r="AT439" s="1096"/>
      <c r="AU439" s="1096"/>
      <c r="AV439" s="1096"/>
      <c r="AW439" s="1096"/>
      <c r="AX439" s="1096"/>
      <c r="AY439" s="1096"/>
    </row>
    <row r="440" spans="1:51" x14ac:dyDescent="0.45">
      <c r="A440" s="1096">
        <v>1975</v>
      </c>
      <c r="B440" s="1096" t="s">
        <v>1377</v>
      </c>
      <c r="C440" s="1113">
        <f>[7]LRAll!C431</f>
        <v>35.614702154626109</v>
      </c>
      <c r="D440" s="1113">
        <f>[7]LRAll!I431</f>
        <v>30.744912072712903</v>
      </c>
      <c r="E440" s="1096"/>
      <c r="F440" s="1114">
        <f t="shared" si="11"/>
        <v>86.326461300250827</v>
      </c>
      <c r="G440" s="1096"/>
      <c r="H440" s="1096"/>
      <c r="I440" s="1096"/>
      <c r="J440" s="1096"/>
      <c r="K440" s="1096"/>
      <c r="L440" s="1096"/>
      <c r="M440" s="1096"/>
      <c r="N440" s="1096"/>
      <c r="O440" s="1096"/>
      <c r="P440" s="1096"/>
      <c r="Q440" s="1096"/>
      <c r="R440" s="1096"/>
      <c r="S440" s="1096"/>
      <c r="T440" s="1096"/>
      <c r="U440" s="1096"/>
      <c r="V440" s="1096"/>
      <c r="W440" s="1096"/>
      <c r="X440" s="1096"/>
      <c r="Y440" s="1096"/>
      <c r="Z440" s="1096"/>
      <c r="AA440" s="1096"/>
      <c r="AB440" s="1096"/>
      <c r="AC440" s="1096"/>
      <c r="AD440" s="1096"/>
      <c r="AE440" s="1096"/>
      <c r="AF440" s="1096"/>
      <c r="AG440" s="1096"/>
      <c r="AH440" s="1096"/>
      <c r="AI440" s="1096"/>
      <c r="AJ440" s="1096"/>
      <c r="AK440" s="1096"/>
      <c r="AL440" s="1096"/>
      <c r="AM440" s="1096"/>
      <c r="AN440" s="1096"/>
      <c r="AO440" s="1096"/>
      <c r="AP440" s="1096"/>
      <c r="AQ440" s="1096"/>
      <c r="AR440" s="1096"/>
      <c r="AS440" s="1096"/>
      <c r="AT440" s="1096"/>
      <c r="AU440" s="1096"/>
      <c r="AV440" s="1096"/>
      <c r="AW440" s="1096"/>
      <c r="AX440" s="1096"/>
      <c r="AY440" s="1096"/>
    </row>
    <row r="441" spans="1:51" x14ac:dyDescent="0.45">
      <c r="A441" s="1096">
        <v>1975</v>
      </c>
      <c r="B441" s="1096" t="s">
        <v>1379</v>
      </c>
      <c r="C441" s="1113">
        <f>[7]LRAll!C432</f>
        <v>36.121673003802286</v>
      </c>
      <c r="D441" s="1113">
        <f>[7]LRAll!I432</f>
        <v>31.535269709543567</v>
      </c>
      <c r="E441" s="1096"/>
      <c r="F441" s="1114">
        <f t="shared" si="11"/>
        <v>87.302904564315327</v>
      </c>
      <c r="G441" s="1096"/>
      <c r="H441" s="1096"/>
      <c r="I441" s="1096"/>
      <c r="J441" s="1096"/>
      <c r="K441" s="1096"/>
      <c r="L441" s="1096"/>
      <c r="M441" s="1096"/>
      <c r="N441" s="1096"/>
      <c r="O441" s="1096"/>
      <c r="P441" s="1096"/>
      <c r="Q441" s="1096"/>
      <c r="R441" s="1096"/>
      <c r="S441" s="1096"/>
      <c r="T441" s="1096"/>
      <c r="U441" s="1096"/>
      <c r="V441" s="1096"/>
      <c r="W441" s="1096"/>
      <c r="X441" s="1096"/>
      <c r="Y441" s="1096"/>
      <c r="Z441" s="1096"/>
      <c r="AA441" s="1096"/>
      <c r="AB441" s="1096"/>
      <c r="AC441" s="1096"/>
      <c r="AD441" s="1096"/>
      <c r="AE441" s="1096"/>
      <c r="AF441" s="1096"/>
      <c r="AG441" s="1096"/>
      <c r="AH441" s="1096"/>
      <c r="AI441" s="1096"/>
      <c r="AJ441" s="1096"/>
      <c r="AK441" s="1096"/>
      <c r="AL441" s="1096"/>
      <c r="AM441" s="1096"/>
      <c r="AN441" s="1096"/>
      <c r="AO441" s="1096"/>
      <c r="AP441" s="1096"/>
      <c r="AQ441" s="1096"/>
      <c r="AR441" s="1096"/>
      <c r="AS441" s="1096"/>
      <c r="AT441" s="1096"/>
      <c r="AU441" s="1096"/>
      <c r="AV441" s="1096"/>
      <c r="AW441" s="1096"/>
      <c r="AX441" s="1096"/>
      <c r="AY441" s="1096"/>
    </row>
    <row r="442" spans="1:51" x14ac:dyDescent="0.45">
      <c r="A442" s="1096">
        <v>1975</v>
      </c>
      <c r="B442" s="1096" t="s">
        <v>1381</v>
      </c>
      <c r="C442" s="1113">
        <f>[7]LRAll!C433</f>
        <v>36.552598225602026</v>
      </c>
      <c r="D442" s="1113">
        <f>[7]LRAll!I433</f>
        <v>31.989725350721201</v>
      </c>
      <c r="E442" s="1096"/>
      <c r="F442" s="1114">
        <f t="shared" si="11"/>
        <v>87.516967065599957</v>
      </c>
      <c r="G442" s="1096"/>
      <c r="H442" s="1096"/>
      <c r="I442" s="1096"/>
      <c r="J442" s="1096"/>
      <c r="K442" s="1096"/>
      <c r="L442" s="1096"/>
      <c r="M442" s="1096"/>
      <c r="N442" s="1096"/>
      <c r="O442" s="1096"/>
      <c r="P442" s="1096"/>
      <c r="Q442" s="1096"/>
      <c r="R442" s="1096"/>
      <c r="S442" s="1096"/>
      <c r="T442" s="1096"/>
      <c r="U442" s="1096"/>
      <c r="V442" s="1096"/>
      <c r="W442" s="1096"/>
      <c r="X442" s="1096"/>
      <c r="Y442" s="1096"/>
      <c r="Z442" s="1096"/>
      <c r="AA442" s="1096"/>
      <c r="AB442" s="1096"/>
      <c r="AC442" s="1096"/>
      <c r="AD442" s="1096"/>
      <c r="AE442" s="1096"/>
      <c r="AF442" s="1096"/>
      <c r="AG442" s="1096"/>
      <c r="AH442" s="1096"/>
      <c r="AI442" s="1096"/>
      <c r="AJ442" s="1096"/>
      <c r="AK442" s="1096"/>
      <c r="AL442" s="1096"/>
      <c r="AM442" s="1096"/>
      <c r="AN442" s="1096"/>
      <c r="AO442" s="1096"/>
      <c r="AP442" s="1096"/>
      <c r="AQ442" s="1096"/>
      <c r="AR442" s="1096"/>
      <c r="AS442" s="1096"/>
      <c r="AT442" s="1096"/>
      <c r="AU442" s="1096"/>
      <c r="AV442" s="1096"/>
      <c r="AW442" s="1096"/>
      <c r="AX442" s="1096"/>
      <c r="AY442" s="1096"/>
    </row>
    <row r="443" spans="1:51" x14ac:dyDescent="0.45">
      <c r="A443" s="1096">
        <v>1975</v>
      </c>
      <c r="B443" s="1096" t="s">
        <v>1383</v>
      </c>
      <c r="C443" s="1113">
        <f>[7]LRAll!C434</f>
        <v>37.008871989860587</v>
      </c>
      <c r="D443" s="1113">
        <f>[7]LRAll!I434</f>
        <v>32.957913455838771</v>
      </c>
      <c r="E443" s="1096"/>
      <c r="F443" s="1114">
        <f t="shared" si="11"/>
        <v>89.054088070742424</v>
      </c>
      <c r="G443" s="1096"/>
      <c r="H443" s="1096"/>
      <c r="I443" s="1096"/>
      <c r="J443" s="1096"/>
      <c r="K443" s="1096"/>
      <c r="L443" s="1096"/>
      <c r="M443" s="1096"/>
      <c r="N443" s="1096"/>
      <c r="O443" s="1096"/>
      <c r="P443" s="1096"/>
      <c r="Q443" s="1096"/>
      <c r="R443" s="1096"/>
      <c r="S443" s="1096"/>
      <c r="T443" s="1096"/>
      <c r="U443" s="1096"/>
      <c r="V443" s="1096"/>
      <c r="W443" s="1096"/>
      <c r="X443" s="1096"/>
      <c r="Y443" s="1096"/>
      <c r="Z443" s="1096"/>
      <c r="AA443" s="1096"/>
      <c r="AB443" s="1096"/>
      <c r="AC443" s="1096"/>
      <c r="AD443" s="1096"/>
      <c r="AE443" s="1096"/>
      <c r="AF443" s="1096"/>
      <c r="AG443" s="1096"/>
      <c r="AH443" s="1096"/>
      <c r="AI443" s="1096"/>
      <c r="AJ443" s="1096"/>
      <c r="AK443" s="1096"/>
      <c r="AL443" s="1096"/>
      <c r="AM443" s="1096"/>
      <c r="AN443" s="1096"/>
      <c r="AO443" s="1096"/>
      <c r="AP443" s="1096"/>
      <c r="AQ443" s="1096"/>
      <c r="AR443" s="1096"/>
      <c r="AS443" s="1096"/>
      <c r="AT443" s="1096"/>
      <c r="AU443" s="1096"/>
      <c r="AV443" s="1096"/>
      <c r="AW443" s="1096"/>
      <c r="AX443" s="1096"/>
      <c r="AY443" s="1096"/>
    </row>
    <row r="444" spans="1:51" x14ac:dyDescent="0.45">
      <c r="A444" s="1096">
        <v>1976</v>
      </c>
      <c r="B444" s="1096" t="s">
        <v>1385</v>
      </c>
      <c r="C444" s="1113">
        <f>[7]LRAll!C435</f>
        <v>37.49049429657795</v>
      </c>
      <c r="D444" s="1113">
        <f>[7]LRAll!I435</f>
        <v>33.333333333333329</v>
      </c>
      <c r="E444" s="1096"/>
      <c r="F444" s="1114">
        <f t="shared" si="11"/>
        <v>88.911426639621354</v>
      </c>
      <c r="G444" s="1096"/>
      <c r="H444" s="1096"/>
      <c r="I444" s="1096"/>
      <c r="J444" s="1096"/>
      <c r="K444" s="1096"/>
      <c r="L444" s="1096"/>
      <c r="M444" s="1096"/>
      <c r="N444" s="1096"/>
      <c r="O444" s="1096"/>
      <c r="P444" s="1096"/>
      <c r="Q444" s="1096"/>
      <c r="R444" s="1096"/>
      <c r="S444" s="1096"/>
      <c r="T444" s="1096"/>
      <c r="U444" s="1096"/>
      <c r="V444" s="1096"/>
      <c r="W444" s="1096"/>
      <c r="X444" s="1096"/>
      <c r="Y444" s="1096"/>
      <c r="Z444" s="1096"/>
      <c r="AA444" s="1096"/>
      <c r="AB444" s="1096"/>
      <c r="AC444" s="1096"/>
      <c r="AD444" s="1096"/>
      <c r="AE444" s="1096"/>
      <c r="AF444" s="1096"/>
      <c r="AG444" s="1096"/>
      <c r="AH444" s="1096"/>
      <c r="AI444" s="1096"/>
      <c r="AJ444" s="1096"/>
      <c r="AK444" s="1096"/>
      <c r="AL444" s="1096"/>
      <c r="AM444" s="1096"/>
      <c r="AN444" s="1096"/>
      <c r="AO444" s="1096"/>
      <c r="AP444" s="1096"/>
      <c r="AQ444" s="1096"/>
      <c r="AR444" s="1096"/>
      <c r="AS444" s="1096"/>
      <c r="AT444" s="1096"/>
      <c r="AU444" s="1096"/>
      <c r="AV444" s="1096"/>
      <c r="AW444" s="1096"/>
      <c r="AX444" s="1096"/>
      <c r="AY444" s="1096"/>
    </row>
    <row r="445" spans="1:51" x14ac:dyDescent="0.45">
      <c r="A445" s="1096">
        <v>1976</v>
      </c>
      <c r="B445" s="1096" t="s">
        <v>1387</v>
      </c>
      <c r="C445" s="1113">
        <f>[7]LRAll!C436</f>
        <v>37.972116603295312</v>
      </c>
      <c r="D445" s="1113">
        <f>[7]LRAll!I436</f>
        <v>33.471645919778702</v>
      </c>
      <c r="E445" s="1096"/>
      <c r="F445" s="1114">
        <f t="shared" si="11"/>
        <v>88.14795938152669</v>
      </c>
      <c r="G445" s="1096"/>
      <c r="H445" s="1096"/>
      <c r="I445" s="1096"/>
      <c r="J445" s="1096"/>
      <c r="K445" s="1096"/>
      <c r="L445" s="1096"/>
      <c r="M445" s="1096"/>
      <c r="N445" s="1096"/>
      <c r="O445" s="1096"/>
      <c r="P445" s="1096"/>
      <c r="Q445" s="1096"/>
      <c r="R445" s="1096"/>
      <c r="S445" s="1096"/>
      <c r="T445" s="1096"/>
      <c r="U445" s="1096"/>
      <c r="V445" s="1096"/>
      <c r="W445" s="1096"/>
      <c r="X445" s="1096"/>
      <c r="Y445" s="1096"/>
      <c r="Z445" s="1096"/>
      <c r="AA445" s="1096"/>
      <c r="AB445" s="1096"/>
      <c r="AC445" s="1096"/>
      <c r="AD445" s="1096"/>
      <c r="AE445" s="1096"/>
      <c r="AF445" s="1096"/>
      <c r="AG445" s="1096"/>
      <c r="AH445" s="1096"/>
      <c r="AI445" s="1096"/>
      <c r="AJ445" s="1096"/>
      <c r="AK445" s="1096"/>
      <c r="AL445" s="1096"/>
      <c r="AM445" s="1096"/>
      <c r="AN445" s="1096"/>
      <c r="AO445" s="1096"/>
      <c r="AP445" s="1096"/>
      <c r="AQ445" s="1096"/>
      <c r="AR445" s="1096"/>
      <c r="AS445" s="1096"/>
      <c r="AT445" s="1096"/>
      <c r="AU445" s="1096"/>
      <c r="AV445" s="1096"/>
      <c r="AW445" s="1096"/>
      <c r="AX445" s="1096"/>
      <c r="AY445" s="1096"/>
    </row>
    <row r="446" spans="1:51" x14ac:dyDescent="0.45">
      <c r="A446" s="1096">
        <v>1976</v>
      </c>
      <c r="B446" s="1096" t="s">
        <v>1389</v>
      </c>
      <c r="C446" s="1113">
        <f>[7]LRAll!C437</f>
        <v>38.174904942965782</v>
      </c>
      <c r="D446" s="1113">
        <f>[7]LRAll!I437</f>
        <v>33.530922742541001</v>
      </c>
      <c r="E446" s="1096"/>
      <c r="F446" s="1114">
        <f t="shared" si="11"/>
        <v>87.834986865421143</v>
      </c>
      <c r="G446" s="1096"/>
      <c r="H446" s="1096"/>
      <c r="I446" s="1096"/>
      <c r="J446" s="1096"/>
      <c r="K446" s="1096"/>
      <c r="L446" s="1096"/>
      <c r="M446" s="1096"/>
      <c r="N446" s="1096"/>
      <c r="O446" s="1096"/>
      <c r="P446" s="1096"/>
      <c r="Q446" s="1096"/>
      <c r="R446" s="1096"/>
      <c r="S446" s="1096"/>
      <c r="T446" s="1096"/>
      <c r="U446" s="1096"/>
      <c r="V446" s="1096"/>
      <c r="W446" s="1096"/>
      <c r="X446" s="1096"/>
      <c r="Y446" s="1096"/>
      <c r="Z446" s="1096"/>
      <c r="AA446" s="1096"/>
      <c r="AB446" s="1096"/>
      <c r="AC446" s="1096"/>
      <c r="AD446" s="1096"/>
      <c r="AE446" s="1096"/>
      <c r="AF446" s="1096"/>
      <c r="AG446" s="1096"/>
      <c r="AH446" s="1096"/>
      <c r="AI446" s="1096"/>
      <c r="AJ446" s="1096"/>
      <c r="AK446" s="1096"/>
      <c r="AL446" s="1096"/>
      <c r="AM446" s="1096"/>
      <c r="AN446" s="1096"/>
      <c r="AO446" s="1096"/>
      <c r="AP446" s="1096"/>
      <c r="AQ446" s="1096"/>
      <c r="AR446" s="1096"/>
      <c r="AS446" s="1096"/>
      <c r="AT446" s="1096"/>
      <c r="AU446" s="1096"/>
      <c r="AV446" s="1096"/>
      <c r="AW446" s="1096"/>
      <c r="AX446" s="1096"/>
      <c r="AY446" s="1096"/>
    </row>
    <row r="447" spans="1:51" x14ac:dyDescent="0.45">
      <c r="A447" s="1096">
        <v>1976</v>
      </c>
      <c r="B447" s="1096" t="s">
        <v>1391</v>
      </c>
      <c r="C447" s="1113">
        <f>[7]LRAll!C438</f>
        <v>38.910012674271229</v>
      </c>
      <c r="D447" s="1113">
        <f>[7]LRAll!I438</f>
        <v>34.499110847658564</v>
      </c>
      <c r="E447" s="1096"/>
      <c r="F447" s="1114">
        <f t="shared" si="11"/>
        <v>88.663838628021523</v>
      </c>
      <c r="G447" s="1096"/>
      <c r="H447" s="1096"/>
      <c r="I447" s="1096"/>
      <c r="J447" s="1096"/>
      <c r="K447" s="1096"/>
      <c r="L447" s="1096"/>
      <c r="M447" s="1096"/>
      <c r="N447" s="1096"/>
      <c r="O447" s="1096"/>
      <c r="P447" s="1096"/>
      <c r="Q447" s="1096"/>
      <c r="R447" s="1096"/>
      <c r="S447" s="1096"/>
      <c r="T447" s="1096"/>
      <c r="U447" s="1096"/>
      <c r="V447" s="1096"/>
      <c r="W447" s="1096"/>
      <c r="X447" s="1096"/>
      <c r="Y447" s="1096"/>
      <c r="Z447" s="1096"/>
      <c r="AA447" s="1096"/>
      <c r="AB447" s="1096"/>
      <c r="AC447" s="1096"/>
      <c r="AD447" s="1096"/>
      <c r="AE447" s="1096"/>
      <c r="AF447" s="1096"/>
      <c r="AG447" s="1096"/>
      <c r="AH447" s="1096"/>
      <c r="AI447" s="1096"/>
      <c r="AJ447" s="1096"/>
      <c r="AK447" s="1096"/>
      <c r="AL447" s="1096"/>
      <c r="AM447" s="1096"/>
      <c r="AN447" s="1096"/>
      <c r="AO447" s="1096"/>
      <c r="AP447" s="1096"/>
      <c r="AQ447" s="1096"/>
      <c r="AR447" s="1096"/>
      <c r="AS447" s="1096"/>
      <c r="AT447" s="1096"/>
      <c r="AU447" s="1096"/>
      <c r="AV447" s="1096"/>
      <c r="AW447" s="1096"/>
      <c r="AX447" s="1096"/>
      <c r="AY447" s="1096"/>
    </row>
    <row r="448" spans="1:51" x14ac:dyDescent="0.45">
      <c r="A448" s="1096">
        <v>1976</v>
      </c>
      <c r="B448" s="1096" t="s">
        <v>1393</v>
      </c>
      <c r="C448" s="1113">
        <f>[7]LRAll!C439</f>
        <v>39.340937896070976</v>
      </c>
      <c r="D448" s="1113">
        <f>[7]LRAll!I439</f>
        <v>35.566093657379966</v>
      </c>
      <c r="E448" s="1096"/>
      <c r="F448" s="1114">
        <f t="shared" si="11"/>
        <v>90.404793478327292</v>
      </c>
      <c r="G448" s="1096"/>
      <c r="H448" s="1096"/>
      <c r="I448" s="1096"/>
      <c r="J448" s="1096"/>
      <c r="K448" s="1096"/>
      <c r="L448" s="1096"/>
      <c r="M448" s="1096"/>
      <c r="N448" s="1096"/>
      <c r="O448" s="1096"/>
      <c r="P448" s="1096"/>
      <c r="Q448" s="1096"/>
      <c r="R448" s="1096"/>
      <c r="S448" s="1096"/>
      <c r="T448" s="1096"/>
      <c r="U448" s="1096"/>
      <c r="V448" s="1096"/>
      <c r="W448" s="1096"/>
      <c r="X448" s="1096"/>
      <c r="Y448" s="1096"/>
      <c r="Z448" s="1096"/>
      <c r="AA448" s="1096"/>
      <c r="AB448" s="1096"/>
      <c r="AC448" s="1096"/>
      <c r="AD448" s="1096"/>
      <c r="AE448" s="1096"/>
      <c r="AF448" s="1096"/>
      <c r="AG448" s="1096"/>
      <c r="AH448" s="1096"/>
      <c r="AI448" s="1096"/>
      <c r="AJ448" s="1096"/>
      <c r="AK448" s="1096"/>
      <c r="AL448" s="1096"/>
      <c r="AM448" s="1096"/>
      <c r="AN448" s="1096"/>
      <c r="AO448" s="1096"/>
      <c r="AP448" s="1096"/>
      <c r="AQ448" s="1096"/>
      <c r="AR448" s="1096"/>
      <c r="AS448" s="1096"/>
      <c r="AT448" s="1096"/>
      <c r="AU448" s="1096"/>
      <c r="AV448" s="1096"/>
      <c r="AW448" s="1096"/>
      <c r="AX448" s="1096"/>
      <c r="AY448" s="1096"/>
    </row>
    <row r="449" spans="1:51" x14ac:dyDescent="0.45">
      <c r="A449" s="1096">
        <v>1976</v>
      </c>
      <c r="B449" s="1096" t="s">
        <v>1371</v>
      </c>
      <c r="C449" s="1113">
        <f>[7]LRAll!C440</f>
        <v>39.543726235741445</v>
      </c>
      <c r="D449" s="1113">
        <f>[7]LRAll!I440</f>
        <v>36.316933412369103</v>
      </c>
      <c r="E449" s="1096"/>
      <c r="F449" s="1114">
        <f t="shared" si="11"/>
        <v>91.839937379356485</v>
      </c>
      <c r="G449" s="1096"/>
      <c r="H449" s="1096"/>
      <c r="I449" s="1096"/>
      <c r="J449" s="1096"/>
      <c r="K449" s="1096"/>
      <c r="L449" s="1096"/>
      <c r="M449" s="1096"/>
      <c r="N449" s="1096"/>
      <c r="O449" s="1096"/>
      <c r="P449" s="1096"/>
      <c r="Q449" s="1096"/>
      <c r="R449" s="1096"/>
      <c r="S449" s="1096"/>
      <c r="T449" s="1096"/>
      <c r="U449" s="1096"/>
      <c r="V449" s="1096"/>
      <c r="W449" s="1096"/>
      <c r="X449" s="1096"/>
      <c r="Y449" s="1096"/>
      <c r="Z449" s="1096"/>
      <c r="AA449" s="1096"/>
      <c r="AB449" s="1096"/>
      <c r="AC449" s="1096"/>
      <c r="AD449" s="1096"/>
      <c r="AE449" s="1096"/>
      <c r="AF449" s="1096"/>
      <c r="AG449" s="1096"/>
      <c r="AH449" s="1096"/>
      <c r="AI449" s="1096"/>
      <c r="AJ449" s="1096"/>
      <c r="AK449" s="1096"/>
      <c r="AL449" s="1096"/>
      <c r="AM449" s="1096"/>
      <c r="AN449" s="1096"/>
      <c r="AO449" s="1096"/>
      <c r="AP449" s="1096"/>
      <c r="AQ449" s="1096"/>
      <c r="AR449" s="1096"/>
      <c r="AS449" s="1096"/>
      <c r="AT449" s="1096"/>
      <c r="AU449" s="1096"/>
      <c r="AV449" s="1096"/>
      <c r="AW449" s="1096"/>
      <c r="AX449" s="1096"/>
      <c r="AY449" s="1096"/>
    </row>
    <row r="450" spans="1:51" x14ac:dyDescent="0.45">
      <c r="A450" s="1096">
        <v>1976</v>
      </c>
      <c r="B450" s="1096" t="s">
        <v>1373</v>
      </c>
      <c r="C450" s="1113">
        <f>[7]LRAll!C441</f>
        <v>39.619771863117876</v>
      </c>
      <c r="D450" s="1113">
        <f>[7]LRAll!I441</f>
        <v>36.672594348942894</v>
      </c>
      <c r="E450" s="1096"/>
      <c r="F450" s="1114">
        <f t="shared" si="11"/>
        <v>92.561346581304988</v>
      </c>
      <c r="G450" s="1096"/>
      <c r="H450" s="1096"/>
      <c r="I450" s="1096"/>
      <c r="J450" s="1096"/>
      <c r="K450" s="1096"/>
      <c r="L450" s="1096"/>
      <c r="M450" s="1096"/>
      <c r="N450" s="1096"/>
      <c r="O450" s="1096"/>
      <c r="P450" s="1096"/>
      <c r="Q450" s="1096"/>
      <c r="R450" s="1096"/>
      <c r="S450" s="1096"/>
      <c r="T450" s="1096"/>
      <c r="U450" s="1096"/>
      <c r="V450" s="1096"/>
      <c r="W450" s="1096"/>
      <c r="X450" s="1096"/>
      <c r="Y450" s="1096"/>
      <c r="Z450" s="1096"/>
      <c r="AA450" s="1096"/>
      <c r="AB450" s="1096"/>
      <c r="AC450" s="1096"/>
      <c r="AD450" s="1096"/>
      <c r="AE450" s="1096"/>
      <c r="AF450" s="1096"/>
      <c r="AG450" s="1096"/>
      <c r="AH450" s="1096"/>
      <c r="AI450" s="1096"/>
      <c r="AJ450" s="1096"/>
      <c r="AK450" s="1096"/>
      <c r="AL450" s="1096"/>
      <c r="AM450" s="1096"/>
      <c r="AN450" s="1096"/>
      <c r="AO450" s="1096"/>
      <c r="AP450" s="1096"/>
      <c r="AQ450" s="1096"/>
      <c r="AR450" s="1096"/>
      <c r="AS450" s="1096"/>
      <c r="AT450" s="1096"/>
      <c r="AU450" s="1096"/>
      <c r="AV450" s="1096"/>
      <c r="AW450" s="1096"/>
      <c r="AX450" s="1096"/>
      <c r="AY450" s="1096"/>
    </row>
    <row r="451" spans="1:51" x14ac:dyDescent="0.45">
      <c r="A451" s="1096">
        <v>1976</v>
      </c>
      <c r="B451" s="1096" t="s">
        <v>1375</v>
      </c>
      <c r="C451" s="1113">
        <f>[7]LRAll!C442</f>
        <v>40.177439797211662</v>
      </c>
      <c r="D451" s="1113">
        <f>[7]LRAll!I442</f>
        <v>36.949219521833633</v>
      </c>
      <c r="E451" s="1096"/>
      <c r="F451" s="1114">
        <f t="shared" si="11"/>
        <v>91.965092122166354</v>
      </c>
      <c r="G451" s="1096"/>
      <c r="H451" s="1096"/>
      <c r="I451" s="1096"/>
      <c r="J451" s="1096"/>
      <c r="K451" s="1096"/>
      <c r="L451" s="1096"/>
      <c r="M451" s="1096"/>
      <c r="N451" s="1096"/>
      <c r="O451" s="1096"/>
      <c r="P451" s="1096"/>
      <c r="Q451" s="1096"/>
      <c r="R451" s="1096"/>
      <c r="S451" s="1096"/>
      <c r="T451" s="1096"/>
      <c r="U451" s="1096"/>
      <c r="V451" s="1096"/>
      <c r="W451" s="1096"/>
      <c r="X451" s="1096"/>
      <c r="Y451" s="1096"/>
      <c r="Z451" s="1096"/>
      <c r="AA451" s="1096"/>
      <c r="AB451" s="1096"/>
      <c r="AC451" s="1096"/>
      <c r="AD451" s="1096"/>
      <c r="AE451" s="1096"/>
      <c r="AF451" s="1096"/>
      <c r="AG451" s="1096"/>
      <c r="AH451" s="1096"/>
      <c r="AI451" s="1096"/>
      <c r="AJ451" s="1096"/>
      <c r="AK451" s="1096"/>
      <c r="AL451" s="1096"/>
      <c r="AM451" s="1096"/>
      <c r="AN451" s="1096"/>
      <c r="AO451" s="1096"/>
      <c r="AP451" s="1096"/>
      <c r="AQ451" s="1096"/>
      <c r="AR451" s="1096"/>
      <c r="AS451" s="1096"/>
      <c r="AT451" s="1096"/>
      <c r="AU451" s="1096"/>
      <c r="AV451" s="1096"/>
      <c r="AW451" s="1096"/>
      <c r="AX451" s="1096"/>
      <c r="AY451" s="1096"/>
    </row>
    <row r="452" spans="1:51" x14ac:dyDescent="0.45">
      <c r="A452" s="1096">
        <v>1976</v>
      </c>
      <c r="B452" s="1096" t="s">
        <v>1377</v>
      </c>
      <c r="C452" s="1113">
        <f>[7]LRAll!C443</f>
        <v>40.70975918884664</v>
      </c>
      <c r="D452" s="1113">
        <f>[7]LRAll!I443</f>
        <v>37.008496344595933</v>
      </c>
      <c r="E452" s="1096"/>
      <c r="F452" s="1114">
        <f t="shared" si="11"/>
        <v>90.908168169010565</v>
      </c>
      <c r="G452" s="1096"/>
      <c r="H452" s="1096"/>
      <c r="I452" s="1096"/>
      <c r="J452" s="1096"/>
      <c r="K452" s="1096"/>
      <c r="L452" s="1096"/>
      <c r="M452" s="1096"/>
      <c r="N452" s="1096"/>
      <c r="O452" s="1096"/>
      <c r="P452" s="1096"/>
      <c r="Q452" s="1096"/>
      <c r="R452" s="1096"/>
      <c r="S452" s="1096"/>
      <c r="T452" s="1096"/>
      <c r="U452" s="1096"/>
      <c r="V452" s="1096"/>
      <c r="W452" s="1096"/>
      <c r="X452" s="1096"/>
      <c r="Y452" s="1096"/>
      <c r="Z452" s="1096"/>
      <c r="AA452" s="1096"/>
      <c r="AB452" s="1096"/>
      <c r="AC452" s="1096"/>
      <c r="AD452" s="1096"/>
      <c r="AE452" s="1096"/>
      <c r="AF452" s="1096"/>
      <c r="AG452" s="1096"/>
      <c r="AH452" s="1096"/>
      <c r="AI452" s="1096"/>
      <c r="AJ452" s="1096"/>
      <c r="AK452" s="1096"/>
      <c r="AL452" s="1096"/>
      <c r="AM452" s="1096"/>
      <c r="AN452" s="1096"/>
      <c r="AO452" s="1096"/>
      <c r="AP452" s="1096"/>
      <c r="AQ452" s="1096"/>
      <c r="AR452" s="1096"/>
      <c r="AS452" s="1096"/>
      <c r="AT452" s="1096"/>
      <c r="AU452" s="1096"/>
      <c r="AV452" s="1096"/>
      <c r="AW452" s="1096"/>
      <c r="AX452" s="1096"/>
      <c r="AY452" s="1096"/>
    </row>
    <row r="453" spans="1:51" x14ac:dyDescent="0.45">
      <c r="A453" s="1096">
        <v>1976</v>
      </c>
      <c r="B453" s="1096" t="s">
        <v>1379</v>
      </c>
      <c r="C453" s="1113">
        <f>[7]LRAll!C444</f>
        <v>41.444866920152094</v>
      </c>
      <c r="D453" s="1113">
        <f>[7]LRAll!I444</f>
        <v>37.798853981426596</v>
      </c>
      <c r="E453" s="1096"/>
      <c r="F453" s="1114">
        <f t="shared" si="11"/>
        <v>91.202739423075172</v>
      </c>
      <c r="G453" s="1096"/>
      <c r="H453" s="1096"/>
      <c r="I453" s="1096"/>
      <c r="J453" s="1096"/>
      <c r="K453" s="1096"/>
      <c r="L453" s="1096"/>
      <c r="M453" s="1096"/>
      <c r="N453" s="1096"/>
      <c r="O453" s="1096"/>
      <c r="P453" s="1096"/>
      <c r="Q453" s="1096"/>
      <c r="R453" s="1096"/>
      <c r="S453" s="1096"/>
      <c r="T453" s="1096"/>
      <c r="U453" s="1096"/>
      <c r="V453" s="1096"/>
      <c r="W453" s="1096"/>
      <c r="X453" s="1096"/>
      <c r="Y453" s="1096"/>
      <c r="Z453" s="1096"/>
      <c r="AA453" s="1096"/>
      <c r="AB453" s="1096"/>
      <c r="AC453" s="1096"/>
      <c r="AD453" s="1096"/>
      <c r="AE453" s="1096"/>
      <c r="AF453" s="1096"/>
      <c r="AG453" s="1096"/>
      <c r="AH453" s="1096"/>
      <c r="AI453" s="1096"/>
      <c r="AJ453" s="1096"/>
      <c r="AK453" s="1096"/>
      <c r="AL453" s="1096"/>
      <c r="AM453" s="1096"/>
      <c r="AN453" s="1096"/>
      <c r="AO453" s="1096"/>
      <c r="AP453" s="1096"/>
      <c r="AQ453" s="1096"/>
      <c r="AR453" s="1096"/>
      <c r="AS453" s="1096"/>
      <c r="AT453" s="1096"/>
      <c r="AU453" s="1096"/>
      <c r="AV453" s="1096"/>
      <c r="AW453" s="1096"/>
      <c r="AX453" s="1096"/>
      <c r="AY453" s="1096"/>
    </row>
    <row r="454" spans="1:51" x14ac:dyDescent="0.45">
      <c r="A454" s="1096">
        <v>1976</v>
      </c>
      <c r="B454" s="1096" t="s">
        <v>1381</v>
      </c>
      <c r="C454" s="1113">
        <f>[7]LRAll!C445</f>
        <v>42.027883396704695</v>
      </c>
      <c r="D454" s="1113">
        <f>[7]LRAll!I445</f>
        <v>38.510175854574193</v>
      </c>
      <c r="E454" s="1096"/>
      <c r="F454" s="1114">
        <f t="shared" si="11"/>
        <v>91.630062573157517</v>
      </c>
      <c r="G454" s="1096"/>
      <c r="H454" s="1096"/>
      <c r="I454" s="1096"/>
      <c r="J454" s="1096"/>
      <c r="K454" s="1096"/>
      <c r="L454" s="1096"/>
      <c r="M454" s="1096"/>
      <c r="N454" s="1096"/>
      <c r="O454" s="1096"/>
      <c r="P454" s="1096"/>
      <c r="Q454" s="1096"/>
      <c r="R454" s="1096"/>
      <c r="S454" s="1096"/>
      <c r="T454" s="1096"/>
      <c r="U454" s="1096"/>
      <c r="V454" s="1096"/>
      <c r="W454" s="1096"/>
      <c r="X454" s="1096"/>
      <c r="Y454" s="1096"/>
      <c r="Z454" s="1096"/>
      <c r="AA454" s="1096"/>
      <c r="AB454" s="1096"/>
      <c r="AC454" s="1096"/>
      <c r="AD454" s="1096"/>
      <c r="AE454" s="1096"/>
      <c r="AF454" s="1096"/>
      <c r="AG454" s="1096"/>
      <c r="AH454" s="1096"/>
      <c r="AI454" s="1096"/>
      <c r="AJ454" s="1096"/>
      <c r="AK454" s="1096"/>
      <c r="AL454" s="1096"/>
      <c r="AM454" s="1096"/>
      <c r="AN454" s="1096"/>
      <c r="AO454" s="1096"/>
      <c r="AP454" s="1096"/>
      <c r="AQ454" s="1096"/>
      <c r="AR454" s="1096"/>
      <c r="AS454" s="1096"/>
      <c r="AT454" s="1096"/>
      <c r="AU454" s="1096"/>
      <c r="AV454" s="1096"/>
      <c r="AW454" s="1096"/>
      <c r="AX454" s="1096"/>
      <c r="AY454" s="1096"/>
    </row>
    <row r="455" spans="1:51" x14ac:dyDescent="0.45">
      <c r="A455" s="1096">
        <v>1976</v>
      </c>
      <c r="B455" s="1096" t="s">
        <v>1383</v>
      </c>
      <c r="C455" s="1113">
        <f>[7]LRAll!C446</f>
        <v>42.585551330798481</v>
      </c>
      <c r="D455" s="1113">
        <f>[7]LRAll!I446</f>
        <v>38.865836791147991</v>
      </c>
      <c r="E455" s="1096"/>
      <c r="F455" s="1114">
        <f t="shared" si="11"/>
        <v>91.265313179213578</v>
      </c>
      <c r="G455" s="1096"/>
      <c r="H455" s="1096"/>
      <c r="I455" s="1096"/>
      <c r="J455" s="1096"/>
      <c r="K455" s="1096"/>
      <c r="L455" s="1096"/>
      <c r="M455" s="1096"/>
      <c r="N455" s="1096"/>
      <c r="O455" s="1096"/>
      <c r="P455" s="1096"/>
      <c r="Q455" s="1096"/>
      <c r="R455" s="1096"/>
      <c r="S455" s="1096"/>
      <c r="T455" s="1096"/>
      <c r="U455" s="1096"/>
      <c r="V455" s="1096"/>
      <c r="W455" s="1096"/>
      <c r="X455" s="1096"/>
      <c r="Y455" s="1096"/>
      <c r="Z455" s="1096"/>
      <c r="AA455" s="1096"/>
      <c r="AB455" s="1096"/>
      <c r="AC455" s="1096"/>
      <c r="AD455" s="1096"/>
      <c r="AE455" s="1096"/>
      <c r="AF455" s="1096"/>
      <c r="AG455" s="1096"/>
      <c r="AH455" s="1096"/>
      <c r="AI455" s="1096"/>
      <c r="AJ455" s="1096"/>
      <c r="AK455" s="1096"/>
      <c r="AL455" s="1096"/>
      <c r="AM455" s="1096"/>
      <c r="AN455" s="1096"/>
      <c r="AO455" s="1096"/>
      <c r="AP455" s="1096"/>
      <c r="AQ455" s="1096"/>
      <c r="AR455" s="1096"/>
      <c r="AS455" s="1096"/>
      <c r="AT455" s="1096"/>
      <c r="AU455" s="1096"/>
      <c r="AV455" s="1096"/>
      <c r="AW455" s="1096"/>
      <c r="AX455" s="1096"/>
      <c r="AY455" s="1096"/>
    </row>
    <row r="456" spans="1:51" x14ac:dyDescent="0.45">
      <c r="A456" s="1096">
        <v>1977</v>
      </c>
      <c r="B456" s="1096" t="s">
        <v>1385</v>
      </c>
      <c r="C456" s="1113">
        <f>[7]LRAll!C447</f>
        <v>43.700887198986059</v>
      </c>
      <c r="D456" s="1113">
        <f>[7]LRAll!I447</f>
        <v>39.280774550484097</v>
      </c>
      <c r="E456" s="1096"/>
      <c r="F456" s="1114">
        <f t="shared" si="11"/>
        <v>89.885531091449977</v>
      </c>
      <c r="G456" s="1096"/>
      <c r="H456" s="1096"/>
      <c r="I456" s="1096"/>
      <c r="J456" s="1096"/>
      <c r="K456" s="1096"/>
      <c r="L456" s="1096"/>
      <c r="M456" s="1096"/>
      <c r="N456" s="1096"/>
      <c r="O456" s="1096"/>
      <c r="P456" s="1096"/>
      <c r="Q456" s="1096"/>
      <c r="R456" s="1096"/>
      <c r="S456" s="1096"/>
      <c r="T456" s="1096"/>
      <c r="U456" s="1096"/>
      <c r="V456" s="1096"/>
      <c r="W456" s="1096"/>
      <c r="X456" s="1096"/>
      <c r="Y456" s="1096"/>
      <c r="Z456" s="1096"/>
      <c r="AA456" s="1096"/>
      <c r="AB456" s="1096"/>
      <c r="AC456" s="1096"/>
      <c r="AD456" s="1096"/>
      <c r="AE456" s="1096"/>
      <c r="AF456" s="1096"/>
      <c r="AG456" s="1096"/>
      <c r="AH456" s="1096"/>
      <c r="AI456" s="1096"/>
      <c r="AJ456" s="1096"/>
      <c r="AK456" s="1096"/>
      <c r="AL456" s="1096"/>
      <c r="AM456" s="1096"/>
      <c r="AN456" s="1096"/>
      <c r="AO456" s="1096"/>
      <c r="AP456" s="1096"/>
      <c r="AQ456" s="1096"/>
      <c r="AR456" s="1096"/>
      <c r="AS456" s="1096"/>
      <c r="AT456" s="1096"/>
      <c r="AU456" s="1096"/>
      <c r="AV456" s="1096"/>
      <c r="AW456" s="1096"/>
      <c r="AX456" s="1096"/>
      <c r="AY456" s="1096"/>
    </row>
    <row r="457" spans="1:51" x14ac:dyDescent="0.45">
      <c r="A457" s="1096">
        <v>1977</v>
      </c>
      <c r="B457" s="1096" t="s">
        <v>1387</v>
      </c>
      <c r="C457" s="1113">
        <f>[7]LRAll!C448</f>
        <v>44.131812420785806</v>
      </c>
      <c r="D457" s="1113">
        <f>[7]LRAll!I448</f>
        <v>39.122703023117964</v>
      </c>
      <c r="E457" s="1096"/>
      <c r="F457" s="1114">
        <f t="shared" si="11"/>
        <v>88.649663082251777</v>
      </c>
      <c r="G457" s="1096"/>
      <c r="H457" s="1096"/>
      <c r="I457" s="1096"/>
      <c r="J457" s="1096"/>
      <c r="K457" s="1096"/>
      <c r="L457" s="1096"/>
      <c r="M457" s="1096"/>
      <c r="N457" s="1096"/>
      <c r="O457" s="1096"/>
      <c r="P457" s="1096"/>
      <c r="Q457" s="1096"/>
      <c r="R457" s="1096"/>
      <c r="S457" s="1096"/>
      <c r="T457" s="1096"/>
      <c r="U457" s="1096"/>
      <c r="V457" s="1096"/>
      <c r="W457" s="1096"/>
      <c r="X457" s="1096"/>
      <c r="Y457" s="1096"/>
      <c r="Z457" s="1096"/>
      <c r="AA457" s="1096"/>
      <c r="AB457" s="1096"/>
      <c r="AC457" s="1096"/>
      <c r="AD457" s="1096"/>
      <c r="AE457" s="1096"/>
      <c r="AF457" s="1096"/>
      <c r="AG457" s="1096"/>
      <c r="AH457" s="1096"/>
      <c r="AI457" s="1096"/>
      <c r="AJ457" s="1096"/>
      <c r="AK457" s="1096"/>
      <c r="AL457" s="1096"/>
      <c r="AM457" s="1096"/>
      <c r="AN457" s="1096"/>
      <c r="AO457" s="1096"/>
      <c r="AP457" s="1096"/>
      <c r="AQ457" s="1096"/>
      <c r="AR457" s="1096"/>
      <c r="AS457" s="1096"/>
      <c r="AT457" s="1096"/>
      <c r="AU457" s="1096"/>
      <c r="AV457" s="1096"/>
      <c r="AW457" s="1096"/>
      <c r="AX457" s="1096"/>
      <c r="AY457" s="1096"/>
    </row>
    <row r="458" spans="1:51" x14ac:dyDescent="0.45">
      <c r="A458" s="1096">
        <v>1977</v>
      </c>
      <c r="B458" s="1096" t="s">
        <v>1389</v>
      </c>
      <c r="C458" s="1113">
        <f>[7]LRAll!C449</f>
        <v>44.562737642585553</v>
      </c>
      <c r="D458" s="1113">
        <f>[7]LRAll!I449</f>
        <v>39.261015609563323</v>
      </c>
      <c r="E458" s="1096"/>
      <c r="F458" s="1114">
        <f t="shared" si="11"/>
        <v>88.102791000982535</v>
      </c>
      <c r="G458" s="1096"/>
      <c r="H458" s="1096"/>
      <c r="I458" s="1096"/>
      <c r="J458" s="1096"/>
      <c r="K458" s="1096"/>
      <c r="L458" s="1096"/>
      <c r="M458" s="1096"/>
      <c r="N458" s="1096"/>
      <c r="O458" s="1096"/>
      <c r="P458" s="1096"/>
      <c r="Q458" s="1096"/>
      <c r="R458" s="1096"/>
      <c r="S458" s="1096"/>
      <c r="T458" s="1096"/>
      <c r="U458" s="1096"/>
      <c r="V458" s="1096"/>
      <c r="W458" s="1096"/>
      <c r="X458" s="1096"/>
      <c r="Y458" s="1096"/>
      <c r="Z458" s="1096"/>
      <c r="AA458" s="1096"/>
      <c r="AB458" s="1096"/>
      <c r="AC458" s="1096"/>
      <c r="AD458" s="1096"/>
      <c r="AE458" s="1096"/>
      <c r="AF458" s="1096"/>
      <c r="AG458" s="1096"/>
      <c r="AH458" s="1096"/>
      <c r="AI458" s="1096"/>
      <c r="AJ458" s="1096"/>
      <c r="AK458" s="1096"/>
      <c r="AL458" s="1096"/>
      <c r="AM458" s="1096"/>
      <c r="AN458" s="1096"/>
      <c r="AO458" s="1096"/>
      <c r="AP458" s="1096"/>
      <c r="AQ458" s="1096"/>
      <c r="AR458" s="1096"/>
      <c r="AS458" s="1096"/>
      <c r="AT458" s="1096"/>
      <c r="AU458" s="1096"/>
      <c r="AV458" s="1096"/>
      <c r="AW458" s="1096"/>
      <c r="AX458" s="1096"/>
      <c r="AY458" s="1096"/>
    </row>
    <row r="459" spans="1:51" x14ac:dyDescent="0.45">
      <c r="A459" s="1096">
        <v>1977</v>
      </c>
      <c r="B459" s="1096" t="s">
        <v>1391</v>
      </c>
      <c r="C459" s="1113">
        <f>[7]LRAll!C450</f>
        <v>45.703422053231947</v>
      </c>
      <c r="D459" s="1113">
        <f>[7]LRAll!I450</f>
        <v>40.090891128235526</v>
      </c>
      <c r="E459" s="1096"/>
      <c r="F459" s="1114">
        <f t="shared" si="11"/>
        <v>87.719670272262405</v>
      </c>
      <c r="G459" s="1096"/>
      <c r="H459" s="1096"/>
      <c r="I459" s="1096"/>
      <c r="J459" s="1096"/>
      <c r="K459" s="1096"/>
      <c r="L459" s="1096"/>
      <c r="M459" s="1096"/>
      <c r="N459" s="1096"/>
      <c r="O459" s="1096"/>
      <c r="P459" s="1096"/>
      <c r="Q459" s="1096"/>
      <c r="R459" s="1096"/>
      <c r="S459" s="1096"/>
      <c r="T459" s="1096"/>
      <c r="U459" s="1096"/>
      <c r="V459" s="1096"/>
      <c r="W459" s="1096"/>
      <c r="X459" s="1096"/>
      <c r="Y459" s="1096"/>
      <c r="Z459" s="1096"/>
      <c r="AA459" s="1096"/>
      <c r="AB459" s="1096"/>
      <c r="AC459" s="1096"/>
      <c r="AD459" s="1096"/>
      <c r="AE459" s="1096"/>
      <c r="AF459" s="1096"/>
      <c r="AG459" s="1096"/>
      <c r="AH459" s="1096"/>
      <c r="AI459" s="1096"/>
      <c r="AJ459" s="1096"/>
      <c r="AK459" s="1096"/>
      <c r="AL459" s="1096"/>
      <c r="AM459" s="1096"/>
      <c r="AN459" s="1096"/>
      <c r="AO459" s="1096"/>
      <c r="AP459" s="1096"/>
      <c r="AQ459" s="1096"/>
      <c r="AR459" s="1096"/>
      <c r="AS459" s="1096"/>
      <c r="AT459" s="1096"/>
      <c r="AU459" s="1096"/>
      <c r="AV459" s="1096"/>
      <c r="AW459" s="1096"/>
      <c r="AX459" s="1096"/>
      <c r="AY459" s="1096"/>
    </row>
    <row r="460" spans="1:51" x14ac:dyDescent="0.45">
      <c r="A460" s="1096">
        <v>1977</v>
      </c>
      <c r="B460" s="1096" t="s">
        <v>1393</v>
      </c>
      <c r="C460" s="1113">
        <f>[7]LRAll!C451</f>
        <v>46.058301647655256</v>
      </c>
      <c r="D460" s="1113">
        <f>[7]LRAll!I451</f>
        <v>41.572811697293027</v>
      </c>
      <c r="E460" s="1096"/>
      <c r="F460" s="1114">
        <f t="shared" si="11"/>
        <v>90.26127801090864</v>
      </c>
      <c r="G460" s="1096"/>
      <c r="H460" s="1096"/>
      <c r="I460" s="1096"/>
      <c r="J460" s="1096"/>
      <c r="K460" s="1096"/>
      <c r="L460" s="1096"/>
      <c r="M460" s="1096"/>
      <c r="N460" s="1096"/>
      <c r="O460" s="1096"/>
      <c r="P460" s="1096"/>
      <c r="Q460" s="1096"/>
      <c r="R460" s="1096"/>
      <c r="S460" s="1096"/>
      <c r="T460" s="1096"/>
      <c r="U460" s="1096"/>
      <c r="V460" s="1096"/>
      <c r="W460" s="1096"/>
      <c r="X460" s="1096"/>
      <c r="Y460" s="1096"/>
      <c r="Z460" s="1096"/>
      <c r="AA460" s="1096"/>
      <c r="AB460" s="1096"/>
      <c r="AC460" s="1096"/>
      <c r="AD460" s="1096"/>
      <c r="AE460" s="1096"/>
      <c r="AF460" s="1096"/>
      <c r="AG460" s="1096"/>
      <c r="AH460" s="1096"/>
      <c r="AI460" s="1096"/>
      <c r="AJ460" s="1096"/>
      <c r="AK460" s="1096"/>
      <c r="AL460" s="1096"/>
      <c r="AM460" s="1096"/>
      <c r="AN460" s="1096"/>
      <c r="AO460" s="1096"/>
      <c r="AP460" s="1096"/>
      <c r="AQ460" s="1096"/>
      <c r="AR460" s="1096"/>
      <c r="AS460" s="1096"/>
      <c r="AT460" s="1096"/>
      <c r="AU460" s="1096"/>
      <c r="AV460" s="1096"/>
      <c r="AW460" s="1096"/>
      <c r="AX460" s="1096"/>
      <c r="AY460" s="1096"/>
    </row>
    <row r="461" spans="1:51" x14ac:dyDescent="0.45">
      <c r="A461" s="1096">
        <v>1977</v>
      </c>
      <c r="B461" s="1096" t="s">
        <v>1371</v>
      </c>
      <c r="C461" s="1113">
        <f>[7]LRAll!C452</f>
        <v>46.539923954372625</v>
      </c>
      <c r="D461" s="1113">
        <f>[7]LRAll!I452</f>
        <v>42.382928275044456</v>
      </c>
      <c r="E461" s="1096"/>
      <c r="F461" s="1114">
        <f t="shared" si="11"/>
        <v>91.06789327072461</v>
      </c>
      <c r="G461" s="1096"/>
      <c r="H461" s="1096"/>
      <c r="I461" s="1096"/>
      <c r="J461" s="1096"/>
      <c r="K461" s="1096"/>
      <c r="L461" s="1096"/>
      <c r="M461" s="1096"/>
      <c r="N461" s="1096"/>
      <c r="O461" s="1096"/>
      <c r="P461" s="1096"/>
      <c r="Q461" s="1096"/>
      <c r="R461" s="1096"/>
      <c r="S461" s="1096"/>
      <c r="T461" s="1096"/>
      <c r="U461" s="1096"/>
      <c r="V461" s="1096"/>
      <c r="W461" s="1096"/>
      <c r="X461" s="1096"/>
      <c r="Y461" s="1096"/>
      <c r="Z461" s="1096"/>
      <c r="AA461" s="1096"/>
      <c r="AB461" s="1096"/>
      <c r="AC461" s="1096"/>
      <c r="AD461" s="1096"/>
      <c r="AE461" s="1096"/>
      <c r="AF461" s="1096"/>
      <c r="AG461" s="1096"/>
      <c r="AH461" s="1096"/>
      <c r="AI461" s="1096"/>
      <c r="AJ461" s="1096"/>
      <c r="AK461" s="1096"/>
      <c r="AL461" s="1096"/>
      <c r="AM461" s="1096"/>
      <c r="AN461" s="1096"/>
      <c r="AO461" s="1096"/>
      <c r="AP461" s="1096"/>
      <c r="AQ461" s="1096"/>
      <c r="AR461" s="1096"/>
      <c r="AS461" s="1096"/>
      <c r="AT461" s="1096"/>
      <c r="AU461" s="1096"/>
      <c r="AV461" s="1096"/>
      <c r="AW461" s="1096"/>
      <c r="AX461" s="1096"/>
      <c r="AY461" s="1096"/>
    </row>
    <row r="462" spans="1:51" x14ac:dyDescent="0.45">
      <c r="A462" s="1096">
        <v>1977</v>
      </c>
      <c r="B462" s="1096" t="s">
        <v>1373</v>
      </c>
      <c r="C462" s="1113">
        <f>[7]LRAll!C453</f>
        <v>46.590621039290248</v>
      </c>
      <c r="D462" s="1113">
        <f>[7]LRAll!I453</f>
        <v>42.797866034380554</v>
      </c>
      <c r="E462" s="1096"/>
      <c r="F462" s="1114">
        <f t="shared" si="11"/>
        <v>91.859402342563257</v>
      </c>
      <c r="G462" s="1096"/>
      <c r="H462" s="1096"/>
      <c r="I462" s="1096"/>
      <c r="J462" s="1096"/>
      <c r="K462" s="1096"/>
      <c r="L462" s="1096"/>
      <c r="M462" s="1096"/>
      <c r="N462" s="1096"/>
      <c r="O462" s="1096"/>
      <c r="P462" s="1096"/>
      <c r="Q462" s="1096"/>
      <c r="R462" s="1096"/>
      <c r="S462" s="1096"/>
      <c r="T462" s="1096"/>
      <c r="U462" s="1096"/>
      <c r="V462" s="1096"/>
      <c r="W462" s="1096"/>
      <c r="X462" s="1096"/>
      <c r="Y462" s="1096"/>
      <c r="Z462" s="1096"/>
      <c r="AA462" s="1096"/>
      <c r="AB462" s="1096"/>
      <c r="AC462" s="1096"/>
      <c r="AD462" s="1096"/>
      <c r="AE462" s="1096"/>
      <c r="AF462" s="1096"/>
      <c r="AG462" s="1096"/>
      <c r="AH462" s="1096"/>
      <c r="AI462" s="1096"/>
      <c r="AJ462" s="1096"/>
      <c r="AK462" s="1096"/>
      <c r="AL462" s="1096"/>
      <c r="AM462" s="1096"/>
      <c r="AN462" s="1096"/>
      <c r="AO462" s="1096"/>
      <c r="AP462" s="1096"/>
      <c r="AQ462" s="1096"/>
      <c r="AR462" s="1096"/>
      <c r="AS462" s="1096"/>
      <c r="AT462" s="1096"/>
      <c r="AU462" s="1096"/>
      <c r="AV462" s="1096"/>
      <c r="AW462" s="1096"/>
      <c r="AX462" s="1096"/>
      <c r="AY462" s="1096"/>
    </row>
    <row r="463" spans="1:51" x14ac:dyDescent="0.45">
      <c r="A463" s="1096">
        <v>1977</v>
      </c>
      <c r="B463" s="1096" t="s">
        <v>1375</v>
      </c>
      <c r="C463" s="1113">
        <f>[7]LRAll!C454</f>
        <v>46.818757921419518</v>
      </c>
      <c r="D463" s="1113">
        <f>[7]LRAll!I454</f>
        <v>42.936178620825928</v>
      </c>
      <c r="E463" s="1096"/>
      <c r="F463" s="1114">
        <f t="shared" si="11"/>
        <v>91.707214217194519</v>
      </c>
      <c r="G463" s="1096"/>
      <c r="H463" s="1096"/>
      <c r="I463" s="1096"/>
      <c r="J463" s="1096"/>
      <c r="K463" s="1096"/>
      <c r="L463" s="1096"/>
      <c r="M463" s="1096"/>
      <c r="N463" s="1096"/>
      <c r="O463" s="1096"/>
      <c r="P463" s="1096"/>
      <c r="Q463" s="1096"/>
      <c r="R463" s="1096"/>
      <c r="S463" s="1096"/>
      <c r="T463" s="1096"/>
      <c r="U463" s="1096"/>
      <c r="V463" s="1096"/>
      <c r="W463" s="1096"/>
      <c r="X463" s="1096"/>
      <c r="Y463" s="1096"/>
      <c r="Z463" s="1096"/>
      <c r="AA463" s="1096"/>
      <c r="AB463" s="1096"/>
      <c r="AC463" s="1096"/>
      <c r="AD463" s="1096"/>
      <c r="AE463" s="1096"/>
      <c r="AF463" s="1096"/>
      <c r="AG463" s="1096"/>
      <c r="AH463" s="1096"/>
      <c r="AI463" s="1096"/>
      <c r="AJ463" s="1096"/>
      <c r="AK463" s="1096"/>
      <c r="AL463" s="1096"/>
      <c r="AM463" s="1096"/>
      <c r="AN463" s="1096"/>
      <c r="AO463" s="1096"/>
      <c r="AP463" s="1096"/>
      <c r="AQ463" s="1096"/>
      <c r="AR463" s="1096"/>
      <c r="AS463" s="1096"/>
      <c r="AT463" s="1096"/>
      <c r="AU463" s="1096"/>
      <c r="AV463" s="1096"/>
      <c r="AW463" s="1096"/>
      <c r="AX463" s="1096"/>
      <c r="AY463" s="1096"/>
    </row>
    <row r="464" spans="1:51" x14ac:dyDescent="0.45">
      <c r="A464" s="1096">
        <v>1977</v>
      </c>
      <c r="B464" s="1096" t="s">
        <v>1377</v>
      </c>
      <c r="C464" s="1113">
        <f>[7]LRAll!C455</f>
        <v>47.072243346007603</v>
      </c>
      <c r="D464" s="1113">
        <f>[7]LRAll!I455</f>
        <v>42.975696502667461</v>
      </c>
      <c r="E464" s="1096"/>
      <c r="F464" s="1114">
        <f t="shared" si="11"/>
        <v>91.297319710836362</v>
      </c>
      <c r="G464" s="1096"/>
      <c r="H464" s="1096"/>
      <c r="I464" s="1096"/>
      <c r="J464" s="1096"/>
      <c r="K464" s="1096"/>
      <c r="L464" s="1096"/>
      <c r="M464" s="1096"/>
      <c r="N464" s="1096"/>
      <c r="O464" s="1096"/>
      <c r="P464" s="1096"/>
      <c r="Q464" s="1096"/>
      <c r="R464" s="1096"/>
      <c r="S464" s="1096"/>
      <c r="T464" s="1096"/>
      <c r="U464" s="1096"/>
      <c r="V464" s="1096"/>
      <c r="W464" s="1096"/>
      <c r="X464" s="1096"/>
      <c r="Y464" s="1096"/>
      <c r="Z464" s="1096"/>
      <c r="AA464" s="1096"/>
      <c r="AB464" s="1096"/>
      <c r="AC464" s="1096"/>
      <c r="AD464" s="1096"/>
      <c r="AE464" s="1096"/>
      <c r="AF464" s="1096"/>
      <c r="AG464" s="1096"/>
      <c r="AH464" s="1096"/>
      <c r="AI464" s="1096"/>
      <c r="AJ464" s="1096"/>
      <c r="AK464" s="1096"/>
      <c r="AL464" s="1096"/>
      <c r="AM464" s="1096"/>
      <c r="AN464" s="1096"/>
      <c r="AO464" s="1096"/>
      <c r="AP464" s="1096"/>
      <c r="AQ464" s="1096"/>
      <c r="AR464" s="1096"/>
      <c r="AS464" s="1096"/>
      <c r="AT464" s="1096"/>
      <c r="AU464" s="1096"/>
      <c r="AV464" s="1096"/>
      <c r="AW464" s="1096"/>
      <c r="AX464" s="1096"/>
      <c r="AY464" s="1096"/>
    </row>
    <row r="465" spans="1:51" x14ac:dyDescent="0.45">
      <c r="A465" s="1096">
        <v>1977</v>
      </c>
      <c r="B465" s="1096" t="s">
        <v>1379</v>
      </c>
      <c r="C465" s="1113">
        <f>[7]LRAll!C456</f>
        <v>47.275031685678073</v>
      </c>
      <c r="D465" s="1113">
        <f>[7]LRAll!I456</f>
        <v>43.627741553052758</v>
      </c>
      <c r="E465" s="1096"/>
      <c r="F465" s="1114">
        <f t="shared" si="11"/>
        <v>92.284954652435985</v>
      </c>
      <c r="G465" s="1096"/>
      <c r="H465" s="1096"/>
      <c r="I465" s="1096"/>
      <c r="J465" s="1096"/>
      <c r="K465" s="1096"/>
      <c r="L465" s="1096"/>
      <c r="M465" s="1096"/>
      <c r="N465" s="1096"/>
      <c r="O465" s="1096"/>
      <c r="P465" s="1096"/>
      <c r="Q465" s="1096"/>
      <c r="R465" s="1096"/>
      <c r="S465" s="1096"/>
      <c r="T465" s="1096"/>
      <c r="U465" s="1096"/>
      <c r="V465" s="1096"/>
      <c r="W465" s="1096"/>
      <c r="X465" s="1096"/>
      <c r="Y465" s="1096"/>
      <c r="Z465" s="1096"/>
      <c r="AA465" s="1096"/>
      <c r="AB465" s="1096"/>
      <c r="AC465" s="1096"/>
      <c r="AD465" s="1096"/>
      <c r="AE465" s="1096"/>
      <c r="AF465" s="1096"/>
      <c r="AG465" s="1096"/>
      <c r="AH465" s="1096"/>
      <c r="AI465" s="1096"/>
      <c r="AJ465" s="1096"/>
      <c r="AK465" s="1096"/>
      <c r="AL465" s="1096"/>
      <c r="AM465" s="1096"/>
      <c r="AN465" s="1096"/>
      <c r="AO465" s="1096"/>
      <c r="AP465" s="1096"/>
      <c r="AQ465" s="1096"/>
      <c r="AR465" s="1096"/>
      <c r="AS465" s="1096"/>
      <c r="AT465" s="1096"/>
      <c r="AU465" s="1096"/>
      <c r="AV465" s="1096"/>
      <c r="AW465" s="1096"/>
      <c r="AX465" s="1096"/>
      <c r="AY465" s="1096"/>
    </row>
    <row r="466" spans="1:51" x14ac:dyDescent="0.45">
      <c r="A466" s="1096">
        <v>1977</v>
      </c>
      <c r="B466" s="1096" t="s">
        <v>1381</v>
      </c>
      <c r="C466" s="1113">
        <f>[7]LRAll!C457</f>
        <v>47.503168567807357</v>
      </c>
      <c r="D466" s="1113">
        <f>[7]LRAll!I457</f>
        <v>43.528946848448925</v>
      </c>
      <c r="E466" s="1096"/>
      <c r="F466" s="1114">
        <f t="shared" si="11"/>
        <v>91.63377551607843</v>
      </c>
      <c r="G466" s="1096"/>
      <c r="H466" s="1096"/>
      <c r="I466" s="1096"/>
      <c r="J466" s="1096"/>
      <c r="K466" s="1096"/>
      <c r="L466" s="1096"/>
      <c r="M466" s="1096"/>
      <c r="N466" s="1096"/>
      <c r="O466" s="1096"/>
      <c r="P466" s="1096"/>
      <c r="Q466" s="1096"/>
      <c r="R466" s="1096"/>
      <c r="S466" s="1096"/>
      <c r="T466" s="1096"/>
      <c r="U466" s="1096"/>
      <c r="V466" s="1096"/>
      <c r="W466" s="1096"/>
      <c r="X466" s="1096"/>
      <c r="Y466" s="1096"/>
      <c r="Z466" s="1096"/>
      <c r="AA466" s="1096"/>
      <c r="AB466" s="1096"/>
      <c r="AC466" s="1096"/>
      <c r="AD466" s="1096"/>
      <c r="AE466" s="1096"/>
      <c r="AF466" s="1096"/>
      <c r="AG466" s="1096"/>
      <c r="AH466" s="1096"/>
      <c r="AI466" s="1096"/>
      <c r="AJ466" s="1096"/>
      <c r="AK466" s="1096"/>
      <c r="AL466" s="1096"/>
      <c r="AM466" s="1096"/>
      <c r="AN466" s="1096"/>
      <c r="AO466" s="1096"/>
      <c r="AP466" s="1096"/>
      <c r="AQ466" s="1096"/>
      <c r="AR466" s="1096"/>
      <c r="AS466" s="1096"/>
      <c r="AT466" s="1096"/>
      <c r="AU466" s="1096"/>
      <c r="AV466" s="1096"/>
      <c r="AW466" s="1096"/>
      <c r="AX466" s="1096"/>
      <c r="AY466" s="1096"/>
    </row>
    <row r="467" spans="1:51" x14ac:dyDescent="0.45">
      <c r="A467" s="1096">
        <v>1977</v>
      </c>
      <c r="B467" s="1096" t="s">
        <v>1383</v>
      </c>
      <c r="C467" s="1113">
        <f>[7]LRAll!C458</f>
        <v>47.756653992395442</v>
      </c>
      <c r="D467" s="1113">
        <f>[7]LRAll!I458</f>
        <v>43.469670025686625</v>
      </c>
      <c r="E467" s="1096"/>
      <c r="F467" s="1114">
        <f t="shared" si="11"/>
        <v>91.023274018754634</v>
      </c>
      <c r="G467" s="1096"/>
      <c r="H467" s="1096"/>
      <c r="I467" s="1096"/>
      <c r="J467" s="1096"/>
      <c r="K467" s="1096"/>
      <c r="L467" s="1096"/>
      <c r="M467" s="1096"/>
      <c r="N467" s="1096"/>
      <c r="O467" s="1096"/>
      <c r="P467" s="1096"/>
      <c r="Q467" s="1096"/>
      <c r="R467" s="1096"/>
      <c r="S467" s="1096"/>
      <c r="T467" s="1096"/>
      <c r="U467" s="1096"/>
      <c r="V467" s="1096"/>
      <c r="W467" s="1096"/>
      <c r="X467" s="1096"/>
      <c r="Y467" s="1096"/>
      <c r="Z467" s="1096"/>
      <c r="AA467" s="1096"/>
      <c r="AB467" s="1096"/>
      <c r="AC467" s="1096"/>
      <c r="AD467" s="1096"/>
      <c r="AE467" s="1096"/>
      <c r="AF467" s="1096"/>
      <c r="AG467" s="1096"/>
      <c r="AH467" s="1096"/>
      <c r="AI467" s="1096"/>
      <c r="AJ467" s="1096"/>
      <c r="AK467" s="1096"/>
      <c r="AL467" s="1096"/>
      <c r="AM467" s="1096"/>
      <c r="AN467" s="1096"/>
      <c r="AO467" s="1096"/>
      <c r="AP467" s="1096"/>
      <c r="AQ467" s="1096"/>
      <c r="AR467" s="1096"/>
      <c r="AS467" s="1096"/>
      <c r="AT467" s="1096"/>
      <c r="AU467" s="1096"/>
      <c r="AV467" s="1096"/>
      <c r="AW467" s="1096"/>
      <c r="AX467" s="1096"/>
      <c r="AY467" s="1096"/>
    </row>
    <row r="468" spans="1:51" x14ac:dyDescent="0.45">
      <c r="A468" s="1096">
        <v>1978</v>
      </c>
      <c r="B468" s="1096" t="s">
        <v>1385</v>
      </c>
      <c r="C468" s="1113">
        <f>[7]LRAll!C459</f>
        <v>48.035487959442335</v>
      </c>
      <c r="D468" s="1113">
        <f>[7]LRAll!I459</f>
        <v>43.449911084765859</v>
      </c>
      <c r="E468" s="1096"/>
      <c r="F468" s="1114">
        <f t="shared" si="11"/>
        <v>90.453772680422844</v>
      </c>
      <c r="G468" s="1096"/>
      <c r="H468" s="1096"/>
      <c r="I468" s="1096"/>
      <c r="J468" s="1096"/>
      <c r="K468" s="1096"/>
      <c r="L468" s="1096"/>
      <c r="M468" s="1096"/>
      <c r="N468" s="1096"/>
      <c r="O468" s="1096"/>
      <c r="P468" s="1096"/>
      <c r="Q468" s="1096"/>
      <c r="R468" s="1096"/>
      <c r="S468" s="1096"/>
      <c r="T468" s="1096"/>
      <c r="U468" s="1096"/>
      <c r="V468" s="1096"/>
      <c r="W468" s="1096"/>
      <c r="X468" s="1096"/>
      <c r="Y468" s="1096"/>
      <c r="Z468" s="1096"/>
      <c r="AA468" s="1096"/>
      <c r="AB468" s="1096"/>
      <c r="AC468" s="1096"/>
      <c r="AD468" s="1096"/>
      <c r="AE468" s="1096"/>
      <c r="AF468" s="1096"/>
      <c r="AG468" s="1096"/>
      <c r="AH468" s="1096"/>
      <c r="AI468" s="1096"/>
      <c r="AJ468" s="1096"/>
      <c r="AK468" s="1096"/>
      <c r="AL468" s="1096"/>
      <c r="AM468" s="1096"/>
      <c r="AN468" s="1096"/>
      <c r="AO468" s="1096"/>
      <c r="AP468" s="1096"/>
      <c r="AQ468" s="1096"/>
      <c r="AR468" s="1096"/>
      <c r="AS468" s="1096"/>
      <c r="AT468" s="1096"/>
      <c r="AU468" s="1096"/>
      <c r="AV468" s="1096"/>
      <c r="AW468" s="1096"/>
      <c r="AX468" s="1096"/>
      <c r="AY468" s="1096"/>
    </row>
    <row r="469" spans="1:51" x14ac:dyDescent="0.45">
      <c r="A469" s="1096">
        <v>1978</v>
      </c>
      <c r="B469" s="1096" t="s">
        <v>1387</v>
      </c>
      <c r="C469" s="1113">
        <f>[7]LRAll!C460</f>
        <v>48.314321926489228</v>
      </c>
      <c r="D469" s="1113">
        <f>[7]LRAll!I460</f>
        <v>43.687018375815057</v>
      </c>
      <c r="E469" s="1096"/>
      <c r="F469" s="1114">
        <f t="shared" si="11"/>
        <v>90.422501307759916</v>
      </c>
      <c r="G469" s="1096"/>
      <c r="H469" s="1096"/>
      <c r="I469" s="1096"/>
      <c r="J469" s="1096"/>
      <c r="K469" s="1096"/>
      <c r="L469" s="1096"/>
      <c r="M469" s="1096"/>
      <c r="N469" s="1096"/>
      <c r="O469" s="1096"/>
      <c r="P469" s="1096"/>
      <c r="Q469" s="1096"/>
      <c r="R469" s="1096"/>
      <c r="S469" s="1096"/>
      <c r="T469" s="1096"/>
      <c r="U469" s="1096"/>
      <c r="V469" s="1096"/>
      <c r="W469" s="1096"/>
      <c r="X469" s="1096"/>
      <c r="Y469" s="1096"/>
      <c r="Z469" s="1096"/>
      <c r="AA469" s="1096"/>
      <c r="AB469" s="1096"/>
      <c r="AC469" s="1096"/>
      <c r="AD469" s="1096"/>
      <c r="AE469" s="1096"/>
      <c r="AF469" s="1096"/>
      <c r="AG469" s="1096"/>
      <c r="AH469" s="1096"/>
      <c r="AI469" s="1096"/>
      <c r="AJ469" s="1096"/>
      <c r="AK469" s="1096"/>
      <c r="AL469" s="1096"/>
      <c r="AM469" s="1096"/>
      <c r="AN469" s="1096"/>
      <c r="AO469" s="1096"/>
      <c r="AP469" s="1096"/>
      <c r="AQ469" s="1096"/>
      <c r="AR469" s="1096"/>
      <c r="AS469" s="1096"/>
      <c r="AT469" s="1096"/>
      <c r="AU469" s="1096"/>
      <c r="AV469" s="1096"/>
      <c r="AW469" s="1096"/>
      <c r="AX469" s="1096"/>
      <c r="AY469" s="1096"/>
    </row>
    <row r="470" spans="1:51" x14ac:dyDescent="0.45">
      <c r="A470" s="1096">
        <v>1978</v>
      </c>
      <c r="B470" s="1096" t="s">
        <v>1389</v>
      </c>
      <c r="C470" s="1113">
        <f>[7]LRAll!C461</f>
        <v>48.618504435994936</v>
      </c>
      <c r="D470" s="1113">
        <f>[7]LRAll!I461</f>
        <v>43.864848844101957</v>
      </c>
      <c r="E470" s="1096"/>
      <c r="F470" s="1114">
        <f t="shared" si="11"/>
        <v>90.222538420220118</v>
      </c>
      <c r="G470" s="1096"/>
      <c r="H470" s="1096"/>
      <c r="I470" s="1096"/>
      <c r="J470" s="1096"/>
      <c r="K470" s="1096"/>
      <c r="L470" s="1096"/>
      <c r="M470" s="1096"/>
      <c r="N470" s="1096"/>
      <c r="O470" s="1096"/>
      <c r="P470" s="1096"/>
      <c r="Q470" s="1096"/>
      <c r="R470" s="1096"/>
      <c r="S470" s="1096"/>
      <c r="T470" s="1096"/>
      <c r="U470" s="1096"/>
      <c r="V470" s="1096"/>
      <c r="W470" s="1096"/>
      <c r="X470" s="1096"/>
      <c r="Y470" s="1096"/>
      <c r="Z470" s="1096"/>
      <c r="AA470" s="1096"/>
      <c r="AB470" s="1096"/>
      <c r="AC470" s="1096"/>
      <c r="AD470" s="1096"/>
      <c r="AE470" s="1096"/>
      <c r="AF470" s="1096"/>
      <c r="AG470" s="1096"/>
      <c r="AH470" s="1096"/>
      <c r="AI470" s="1096"/>
      <c r="AJ470" s="1096"/>
      <c r="AK470" s="1096"/>
      <c r="AL470" s="1096"/>
      <c r="AM470" s="1096"/>
      <c r="AN470" s="1096"/>
      <c r="AO470" s="1096"/>
      <c r="AP470" s="1096"/>
      <c r="AQ470" s="1096"/>
      <c r="AR470" s="1096"/>
      <c r="AS470" s="1096"/>
      <c r="AT470" s="1096"/>
      <c r="AU470" s="1096"/>
      <c r="AV470" s="1096"/>
      <c r="AW470" s="1096"/>
      <c r="AX470" s="1096"/>
      <c r="AY470" s="1096"/>
    </row>
    <row r="471" spans="1:51" x14ac:dyDescent="0.45">
      <c r="A471" s="1096">
        <v>1978</v>
      </c>
      <c r="B471" s="1096" t="s">
        <v>1391</v>
      </c>
      <c r="C471" s="1113">
        <f>[7]LRAll!C462</f>
        <v>49.328263624841576</v>
      </c>
      <c r="D471" s="1113">
        <f>[7]LRAll!I462</f>
        <v>44.180991898834222</v>
      </c>
      <c r="E471" s="1096"/>
      <c r="F471" s="1114">
        <f t="shared" si="11"/>
        <v>89.565268777441403</v>
      </c>
      <c r="G471" s="1096"/>
      <c r="H471" s="1096"/>
      <c r="I471" s="1096"/>
      <c r="J471" s="1096"/>
      <c r="K471" s="1096"/>
      <c r="L471" s="1096"/>
      <c r="M471" s="1096"/>
      <c r="N471" s="1096"/>
      <c r="O471" s="1096"/>
      <c r="P471" s="1096"/>
      <c r="Q471" s="1096"/>
      <c r="R471" s="1096"/>
      <c r="S471" s="1096"/>
      <c r="T471" s="1096"/>
      <c r="U471" s="1096"/>
      <c r="V471" s="1096"/>
      <c r="W471" s="1096"/>
      <c r="X471" s="1096"/>
      <c r="Y471" s="1096"/>
      <c r="Z471" s="1096"/>
      <c r="AA471" s="1096"/>
      <c r="AB471" s="1096"/>
      <c r="AC471" s="1096"/>
      <c r="AD471" s="1096"/>
      <c r="AE471" s="1096"/>
      <c r="AF471" s="1096"/>
      <c r="AG471" s="1096"/>
      <c r="AH471" s="1096"/>
      <c r="AI471" s="1096"/>
      <c r="AJ471" s="1096"/>
      <c r="AK471" s="1096"/>
      <c r="AL471" s="1096"/>
      <c r="AM471" s="1096"/>
      <c r="AN471" s="1096"/>
      <c r="AO471" s="1096"/>
      <c r="AP471" s="1096"/>
      <c r="AQ471" s="1096"/>
      <c r="AR471" s="1096"/>
      <c r="AS471" s="1096"/>
      <c r="AT471" s="1096"/>
      <c r="AU471" s="1096"/>
      <c r="AV471" s="1096"/>
      <c r="AW471" s="1096"/>
      <c r="AX471" s="1096"/>
      <c r="AY471" s="1096"/>
    </row>
    <row r="472" spans="1:51" x14ac:dyDescent="0.45">
      <c r="A472" s="1096">
        <v>1978</v>
      </c>
      <c r="B472" s="1096" t="s">
        <v>1393</v>
      </c>
      <c r="C472" s="1113">
        <f>[7]LRAll!C463</f>
        <v>49.607097591888468</v>
      </c>
      <c r="D472" s="1113">
        <f>[7]LRAll!I463</f>
        <v>44.734242244615693</v>
      </c>
      <c r="E472" s="1096"/>
      <c r="F472" s="1114">
        <f t="shared" si="11"/>
        <v>90.17710048799637</v>
      </c>
      <c r="G472" s="1096"/>
      <c r="H472" s="1096"/>
      <c r="I472" s="1096"/>
      <c r="J472" s="1096"/>
      <c r="K472" s="1096"/>
      <c r="L472" s="1096"/>
      <c r="M472" s="1096"/>
      <c r="N472" s="1096"/>
      <c r="O472" s="1096"/>
      <c r="P472" s="1096"/>
      <c r="Q472" s="1096"/>
      <c r="R472" s="1096"/>
      <c r="S472" s="1096"/>
      <c r="T472" s="1096"/>
      <c r="U472" s="1096"/>
      <c r="V472" s="1096"/>
      <c r="W472" s="1096"/>
      <c r="X472" s="1096"/>
      <c r="Y472" s="1096"/>
      <c r="Z472" s="1096"/>
      <c r="AA472" s="1096"/>
      <c r="AB472" s="1096"/>
      <c r="AC472" s="1096"/>
      <c r="AD472" s="1096"/>
      <c r="AE472" s="1096"/>
      <c r="AF472" s="1096"/>
      <c r="AG472" s="1096"/>
      <c r="AH472" s="1096"/>
      <c r="AI472" s="1096"/>
      <c r="AJ472" s="1096"/>
      <c r="AK472" s="1096"/>
      <c r="AL472" s="1096"/>
      <c r="AM472" s="1096"/>
      <c r="AN472" s="1096"/>
      <c r="AO472" s="1096"/>
      <c r="AP472" s="1096"/>
      <c r="AQ472" s="1096"/>
      <c r="AR472" s="1096"/>
      <c r="AS472" s="1096"/>
      <c r="AT472" s="1096"/>
      <c r="AU472" s="1096"/>
      <c r="AV472" s="1096"/>
      <c r="AW472" s="1096"/>
      <c r="AX472" s="1096"/>
      <c r="AY472" s="1096"/>
    </row>
    <row r="473" spans="1:51" x14ac:dyDescent="0.45">
      <c r="A473" s="1096">
        <v>1978</v>
      </c>
      <c r="B473" s="1096" t="s">
        <v>1371</v>
      </c>
      <c r="C473" s="1113">
        <f>[7]LRAll!C464</f>
        <v>49.987325728770593</v>
      </c>
      <c r="D473" s="1113">
        <f>[7]LRAll!I464</f>
        <v>45.228215767634858</v>
      </c>
      <c r="E473" s="1096"/>
      <c r="F473" s="1114">
        <f t="shared" si="11"/>
        <v>90.479366735963254</v>
      </c>
      <c r="G473" s="1096"/>
      <c r="H473" s="1096"/>
      <c r="I473" s="1096"/>
      <c r="J473" s="1096"/>
      <c r="K473" s="1096"/>
      <c r="L473" s="1096"/>
      <c r="M473" s="1096"/>
      <c r="N473" s="1096"/>
      <c r="O473" s="1096"/>
      <c r="P473" s="1096"/>
      <c r="Q473" s="1096"/>
      <c r="R473" s="1096"/>
      <c r="S473" s="1096"/>
      <c r="T473" s="1096"/>
      <c r="U473" s="1096"/>
      <c r="V473" s="1096"/>
      <c r="W473" s="1096"/>
      <c r="X473" s="1096"/>
      <c r="Y473" s="1096"/>
      <c r="Z473" s="1096"/>
      <c r="AA473" s="1096"/>
      <c r="AB473" s="1096"/>
      <c r="AC473" s="1096"/>
      <c r="AD473" s="1096"/>
      <c r="AE473" s="1096"/>
      <c r="AF473" s="1096"/>
      <c r="AG473" s="1096"/>
      <c r="AH473" s="1096"/>
      <c r="AI473" s="1096"/>
      <c r="AJ473" s="1096"/>
      <c r="AK473" s="1096"/>
      <c r="AL473" s="1096"/>
      <c r="AM473" s="1096"/>
      <c r="AN473" s="1096"/>
      <c r="AO473" s="1096"/>
      <c r="AP473" s="1096"/>
      <c r="AQ473" s="1096"/>
      <c r="AR473" s="1096"/>
      <c r="AS473" s="1096"/>
      <c r="AT473" s="1096"/>
      <c r="AU473" s="1096"/>
      <c r="AV473" s="1096"/>
      <c r="AW473" s="1096"/>
      <c r="AX473" s="1096"/>
      <c r="AY473" s="1096"/>
    </row>
    <row r="474" spans="1:51" x14ac:dyDescent="0.45">
      <c r="A474" s="1096">
        <v>1978</v>
      </c>
      <c r="B474" s="1096" t="s">
        <v>1373</v>
      </c>
      <c r="C474" s="1113">
        <f>[7]LRAll!C465</f>
        <v>50.215462610899877</v>
      </c>
      <c r="D474" s="1113">
        <f>[7]LRAll!I465</f>
        <v>45.564117763287889</v>
      </c>
      <c r="E474" s="1096"/>
      <c r="F474" s="1114">
        <f t="shared" si="11"/>
        <v>90.737225934462757</v>
      </c>
      <c r="G474" s="1096"/>
      <c r="H474" s="1096"/>
      <c r="I474" s="1096"/>
      <c r="J474" s="1096"/>
      <c r="K474" s="1096"/>
      <c r="L474" s="1096"/>
      <c r="M474" s="1096"/>
      <c r="N474" s="1096"/>
      <c r="O474" s="1096"/>
      <c r="P474" s="1096"/>
      <c r="Q474" s="1096"/>
      <c r="R474" s="1096"/>
      <c r="S474" s="1096"/>
      <c r="T474" s="1096"/>
      <c r="U474" s="1096"/>
      <c r="V474" s="1096"/>
      <c r="W474" s="1096"/>
      <c r="X474" s="1096"/>
      <c r="Y474" s="1096"/>
      <c r="Z474" s="1096"/>
      <c r="AA474" s="1096"/>
      <c r="AB474" s="1096"/>
      <c r="AC474" s="1096"/>
      <c r="AD474" s="1096"/>
      <c r="AE474" s="1096"/>
      <c r="AF474" s="1096"/>
      <c r="AG474" s="1096"/>
      <c r="AH474" s="1096"/>
      <c r="AI474" s="1096"/>
      <c r="AJ474" s="1096"/>
      <c r="AK474" s="1096"/>
      <c r="AL474" s="1096"/>
      <c r="AM474" s="1096"/>
      <c r="AN474" s="1096"/>
      <c r="AO474" s="1096"/>
      <c r="AP474" s="1096"/>
      <c r="AQ474" s="1096"/>
      <c r="AR474" s="1096"/>
      <c r="AS474" s="1096"/>
      <c r="AT474" s="1096"/>
      <c r="AU474" s="1096"/>
      <c r="AV474" s="1096"/>
      <c r="AW474" s="1096"/>
      <c r="AX474" s="1096"/>
      <c r="AY474" s="1096"/>
    </row>
    <row r="475" spans="1:51" x14ac:dyDescent="0.45">
      <c r="A475" s="1096">
        <v>1978</v>
      </c>
      <c r="B475" s="1096" t="s">
        <v>1375</v>
      </c>
      <c r="C475" s="1113">
        <f>[7]LRAll!C466</f>
        <v>50.544993662864385</v>
      </c>
      <c r="D475" s="1113">
        <f>[7]LRAll!I466</f>
        <v>45.564117763287889</v>
      </c>
      <c r="E475" s="1096"/>
      <c r="F475" s="1114">
        <f t="shared" si="11"/>
        <v>90.145659265883012</v>
      </c>
      <c r="G475" s="1096"/>
      <c r="H475" s="1096"/>
      <c r="I475" s="1096"/>
      <c r="J475" s="1096"/>
      <c r="K475" s="1096"/>
      <c r="L475" s="1096"/>
      <c r="M475" s="1096"/>
      <c r="N475" s="1096"/>
      <c r="O475" s="1096"/>
      <c r="P475" s="1096"/>
      <c r="Q475" s="1096"/>
      <c r="R475" s="1096"/>
      <c r="S475" s="1096"/>
      <c r="T475" s="1096"/>
      <c r="U475" s="1096"/>
      <c r="V475" s="1096"/>
      <c r="W475" s="1096"/>
      <c r="X475" s="1096"/>
      <c r="Y475" s="1096"/>
      <c r="Z475" s="1096"/>
      <c r="AA475" s="1096"/>
      <c r="AB475" s="1096"/>
      <c r="AC475" s="1096"/>
      <c r="AD475" s="1096"/>
      <c r="AE475" s="1096"/>
      <c r="AF475" s="1096"/>
      <c r="AG475" s="1096"/>
      <c r="AH475" s="1096"/>
      <c r="AI475" s="1096"/>
      <c r="AJ475" s="1096"/>
      <c r="AK475" s="1096"/>
      <c r="AL475" s="1096"/>
      <c r="AM475" s="1096"/>
      <c r="AN475" s="1096"/>
      <c r="AO475" s="1096"/>
      <c r="AP475" s="1096"/>
      <c r="AQ475" s="1096"/>
      <c r="AR475" s="1096"/>
      <c r="AS475" s="1096"/>
      <c r="AT475" s="1096"/>
      <c r="AU475" s="1096"/>
      <c r="AV475" s="1096"/>
      <c r="AW475" s="1096"/>
      <c r="AX475" s="1096"/>
      <c r="AY475" s="1096"/>
    </row>
    <row r="476" spans="1:51" x14ac:dyDescent="0.45">
      <c r="A476" s="1096">
        <v>1978</v>
      </c>
      <c r="B476" s="1096" t="s">
        <v>1377</v>
      </c>
      <c r="C476" s="1113">
        <f>[7]LRAll!C467</f>
        <v>50.747782002534855</v>
      </c>
      <c r="D476" s="1113">
        <f>[7]LRAll!I467</f>
        <v>45.564117763287889</v>
      </c>
      <c r="E476" s="1096"/>
      <c r="F476" s="1114">
        <f t="shared" si="11"/>
        <v>89.785436851234124</v>
      </c>
      <c r="G476" s="1096"/>
      <c r="H476" s="1096"/>
      <c r="I476" s="1096"/>
      <c r="J476" s="1096"/>
      <c r="K476" s="1096"/>
      <c r="L476" s="1096"/>
      <c r="M476" s="1096"/>
      <c r="N476" s="1096"/>
      <c r="O476" s="1096"/>
      <c r="P476" s="1096"/>
      <c r="Q476" s="1096"/>
      <c r="R476" s="1096"/>
      <c r="S476" s="1096"/>
      <c r="T476" s="1096"/>
      <c r="U476" s="1096"/>
      <c r="V476" s="1096"/>
      <c r="W476" s="1096"/>
      <c r="X476" s="1096"/>
      <c r="Y476" s="1096"/>
      <c r="Z476" s="1096"/>
      <c r="AA476" s="1096"/>
      <c r="AB476" s="1096"/>
      <c r="AC476" s="1096"/>
      <c r="AD476" s="1096"/>
      <c r="AE476" s="1096"/>
      <c r="AF476" s="1096"/>
      <c r="AG476" s="1096"/>
      <c r="AH476" s="1096"/>
      <c r="AI476" s="1096"/>
      <c r="AJ476" s="1096"/>
      <c r="AK476" s="1096"/>
      <c r="AL476" s="1096"/>
      <c r="AM476" s="1096"/>
      <c r="AN476" s="1096"/>
      <c r="AO476" s="1096"/>
      <c r="AP476" s="1096"/>
      <c r="AQ476" s="1096"/>
      <c r="AR476" s="1096"/>
      <c r="AS476" s="1096"/>
      <c r="AT476" s="1096"/>
      <c r="AU476" s="1096"/>
      <c r="AV476" s="1096"/>
      <c r="AW476" s="1096"/>
      <c r="AX476" s="1096"/>
      <c r="AY476" s="1096"/>
    </row>
    <row r="477" spans="1:51" x14ac:dyDescent="0.45">
      <c r="A477" s="1096">
        <v>1978</v>
      </c>
      <c r="B477" s="1096" t="s">
        <v>1379</v>
      </c>
      <c r="C477" s="1113">
        <f>[7]LRAll!C468</f>
        <v>50.975918884664132</v>
      </c>
      <c r="D477" s="1113">
        <f>[7]LRAll!I468</f>
        <v>45.50484094052559</v>
      </c>
      <c r="E477" s="1096"/>
      <c r="F477" s="1114">
        <f t="shared" si="11"/>
        <v>89.267328448718771</v>
      </c>
      <c r="G477" s="1096"/>
      <c r="H477" s="1096"/>
      <c r="I477" s="1096"/>
      <c r="J477" s="1096"/>
      <c r="K477" s="1096"/>
      <c r="L477" s="1096"/>
      <c r="M477" s="1096"/>
      <c r="N477" s="1096"/>
      <c r="O477" s="1096"/>
      <c r="P477" s="1096"/>
      <c r="Q477" s="1096"/>
      <c r="R477" s="1096"/>
      <c r="S477" s="1096"/>
      <c r="T477" s="1096"/>
      <c r="U477" s="1096"/>
      <c r="V477" s="1096"/>
      <c r="W477" s="1096"/>
      <c r="X477" s="1096"/>
      <c r="Y477" s="1096"/>
      <c r="Z477" s="1096"/>
      <c r="AA477" s="1096"/>
      <c r="AB477" s="1096"/>
      <c r="AC477" s="1096"/>
      <c r="AD477" s="1096"/>
      <c r="AE477" s="1096"/>
      <c r="AF477" s="1096"/>
      <c r="AG477" s="1096"/>
      <c r="AH477" s="1096"/>
      <c r="AI477" s="1096"/>
      <c r="AJ477" s="1096"/>
      <c r="AK477" s="1096"/>
      <c r="AL477" s="1096"/>
      <c r="AM477" s="1096"/>
      <c r="AN477" s="1096"/>
      <c r="AO477" s="1096"/>
      <c r="AP477" s="1096"/>
      <c r="AQ477" s="1096"/>
      <c r="AR477" s="1096"/>
      <c r="AS477" s="1096"/>
      <c r="AT477" s="1096"/>
      <c r="AU477" s="1096"/>
      <c r="AV477" s="1096"/>
      <c r="AW477" s="1096"/>
      <c r="AX477" s="1096"/>
      <c r="AY477" s="1096"/>
    </row>
    <row r="478" spans="1:51" x14ac:dyDescent="0.45">
      <c r="A478" s="1096">
        <v>1978</v>
      </c>
      <c r="B478" s="1096" t="s">
        <v>1381</v>
      </c>
      <c r="C478" s="1113">
        <f>[7]LRAll!C469</f>
        <v>51.330798479087456</v>
      </c>
      <c r="D478" s="1113">
        <f>[7]LRAll!I469</f>
        <v>46.176644931831653</v>
      </c>
      <c r="E478" s="1096"/>
      <c r="F478" s="1114">
        <f t="shared" si="11"/>
        <v>89.958945311642395</v>
      </c>
      <c r="G478" s="1096"/>
      <c r="H478" s="1096"/>
      <c r="I478" s="1096"/>
      <c r="J478" s="1096"/>
      <c r="K478" s="1096"/>
      <c r="L478" s="1096"/>
      <c r="M478" s="1096"/>
      <c r="N478" s="1096"/>
      <c r="O478" s="1096"/>
      <c r="P478" s="1096"/>
      <c r="Q478" s="1096"/>
      <c r="R478" s="1096"/>
      <c r="S478" s="1096"/>
      <c r="T478" s="1096"/>
      <c r="U478" s="1096"/>
      <c r="V478" s="1096"/>
      <c r="W478" s="1096"/>
      <c r="X478" s="1096"/>
      <c r="Y478" s="1096"/>
      <c r="Z478" s="1096"/>
      <c r="AA478" s="1096"/>
      <c r="AB478" s="1096"/>
      <c r="AC478" s="1096"/>
      <c r="AD478" s="1096"/>
      <c r="AE478" s="1096"/>
      <c r="AF478" s="1096"/>
      <c r="AG478" s="1096"/>
      <c r="AH478" s="1096"/>
      <c r="AI478" s="1096"/>
      <c r="AJ478" s="1096"/>
      <c r="AK478" s="1096"/>
      <c r="AL478" s="1096"/>
      <c r="AM478" s="1096"/>
      <c r="AN478" s="1096"/>
      <c r="AO478" s="1096"/>
      <c r="AP478" s="1096"/>
      <c r="AQ478" s="1096"/>
      <c r="AR478" s="1096"/>
      <c r="AS478" s="1096"/>
      <c r="AT478" s="1096"/>
      <c r="AU478" s="1096"/>
      <c r="AV478" s="1096"/>
      <c r="AW478" s="1096"/>
      <c r="AX478" s="1096"/>
      <c r="AY478" s="1096"/>
    </row>
    <row r="479" spans="1:51" x14ac:dyDescent="0.45">
      <c r="A479" s="1096">
        <v>1978</v>
      </c>
      <c r="B479" s="1096" t="s">
        <v>1383</v>
      </c>
      <c r="C479" s="1113">
        <f>[7]LRAll!C470</f>
        <v>51.761723700887195</v>
      </c>
      <c r="D479" s="1113">
        <f>[7]LRAll!I470</f>
        <v>45.998814463544754</v>
      </c>
      <c r="E479" s="1096"/>
      <c r="F479" s="1114">
        <f t="shared" si="11"/>
        <v>88.866465748620996</v>
      </c>
      <c r="G479" s="1096"/>
      <c r="H479" s="1096"/>
      <c r="I479" s="1096"/>
      <c r="J479" s="1096"/>
      <c r="K479" s="1096"/>
      <c r="L479" s="1096"/>
      <c r="M479" s="1096"/>
      <c r="N479" s="1096"/>
      <c r="O479" s="1096"/>
      <c r="P479" s="1096"/>
      <c r="Q479" s="1096"/>
      <c r="R479" s="1096"/>
      <c r="S479" s="1096"/>
      <c r="T479" s="1096"/>
      <c r="U479" s="1096"/>
      <c r="V479" s="1096"/>
      <c r="W479" s="1096"/>
      <c r="X479" s="1096"/>
      <c r="Y479" s="1096"/>
      <c r="Z479" s="1096"/>
      <c r="AA479" s="1096"/>
      <c r="AB479" s="1096"/>
      <c r="AC479" s="1096"/>
      <c r="AD479" s="1096"/>
      <c r="AE479" s="1096"/>
      <c r="AF479" s="1096"/>
      <c r="AG479" s="1096"/>
      <c r="AH479" s="1096"/>
      <c r="AI479" s="1096"/>
      <c r="AJ479" s="1096"/>
      <c r="AK479" s="1096"/>
      <c r="AL479" s="1096"/>
      <c r="AM479" s="1096"/>
      <c r="AN479" s="1096"/>
      <c r="AO479" s="1096"/>
      <c r="AP479" s="1096"/>
      <c r="AQ479" s="1096"/>
      <c r="AR479" s="1096"/>
      <c r="AS479" s="1096"/>
      <c r="AT479" s="1096"/>
      <c r="AU479" s="1096"/>
      <c r="AV479" s="1096"/>
      <c r="AW479" s="1096"/>
      <c r="AX479" s="1096"/>
      <c r="AY479" s="1096"/>
    </row>
    <row r="480" spans="1:51" x14ac:dyDescent="0.45">
      <c r="A480" s="1096">
        <v>1979</v>
      </c>
      <c r="B480" s="1096" t="s">
        <v>1385</v>
      </c>
      <c r="C480" s="1113">
        <f>[7]LRAll!C471</f>
        <v>52.522179974651458</v>
      </c>
      <c r="D480" s="1113">
        <f>[7]LRAll!I471</f>
        <v>46.058091286307054</v>
      </c>
      <c r="E480" s="1096"/>
      <c r="F480" s="1114">
        <f t="shared" si="11"/>
        <v>87.692649673977471</v>
      </c>
      <c r="G480" s="1096"/>
      <c r="H480" s="1096"/>
      <c r="I480" s="1096"/>
      <c r="J480" s="1096"/>
      <c r="K480" s="1096"/>
      <c r="L480" s="1096"/>
      <c r="M480" s="1096"/>
      <c r="N480" s="1096"/>
      <c r="O480" s="1096"/>
      <c r="P480" s="1096"/>
      <c r="Q480" s="1096"/>
      <c r="R480" s="1096"/>
      <c r="S480" s="1096"/>
      <c r="T480" s="1096"/>
      <c r="U480" s="1096"/>
      <c r="V480" s="1096"/>
      <c r="W480" s="1096"/>
      <c r="X480" s="1096"/>
      <c r="Y480" s="1096"/>
      <c r="Z480" s="1096"/>
      <c r="AA480" s="1096"/>
      <c r="AB480" s="1096"/>
      <c r="AC480" s="1096"/>
      <c r="AD480" s="1096"/>
      <c r="AE480" s="1096"/>
      <c r="AF480" s="1096"/>
      <c r="AG480" s="1096"/>
      <c r="AH480" s="1096"/>
      <c r="AI480" s="1096"/>
      <c r="AJ480" s="1096"/>
      <c r="AK480" s="1096"/>
      <c r="AL480" s="1096"/>
      <c r="AM480" s="1096"/>
      <c r="AN480" s="1096"/>
      <c r="AO480" s="1096"/>
      <c r="AP480" s="1096"/>
      <c r="AQ480" s="1096"/>
      <c r="AR480" s="1096"/>
      <c r="AS480" s="1096"/>
      <c r="AT480" s="1096"/>
      <c r="AU480" s="1096"/>
      <c r="AV480" s="1096"/>
      <c r="AW480" s="1096"/>
      <c r="AX480" s="1096"/>
      <c r="AY480" s="1096"/>
    </row>
    <row r="481" spans="1:51" x14ac:dyDescent="0.45">
      <c r="A481" s="1096">
        <v>1979</v>
      </c>
      <c r="B481" s="1096" t="s">
        <v>1387</v>
      </c>
      <c r="C481" s="1113">
        <f>[7]LRAll!C472</f>
        <v>52.953105196451205</v>
      </c>
      <c r="D481" s="1113">
        <f>[7]LRAll!I472</f>
        <v>46.314957518277019</v>
      </c>
      <c r="E481" s="1096"/>
      <c r="F481" s="1114">
        <f t="shared" si="11"/>
        <v>87.46410120134172</v>
      </c>
      <c r="G481" s="1096"/>
      <c r="H481" s="1096"/>
      <c r="I481" s="1096"/>
      <c r="J481" s="1096"/>
      <c r="K481" s="1096"/>
      <c r="L481" s="1096"/>
      <c r="M481" s="1096"/>
      <c r="N481" s="1096"/>
      <c r="O481" s="1096"/>
      <c r="P481" s="1096"/>
      <c r="Q481" s="1096"/>
      <c r="R481" s="1096"/>
      <c r="S481" s="1096"/>
      <c r="T481" s="1096"/>
      <c r="U481" s="1096"/>
      <c r="V481" s="1096"/>
      <c r="W481" s="1096"/>
      <c r="X481" s="1096"/>
      <c r="Y481" s="1096"/>
      <c r="Z481" s="1096"/>
      <c r="AA481" s="1096"/>
      <c r="AB481" s="1096"/>
      <c r="AC481" s="1096"/>
      <c r="AD481" s="1096"/>
      <c r="AE481" s="1096"/>
      <c r="AF481" s="1096"/>
      <c r="AG481" s="1096"/>
      <c r="AH481" s="1096"/>
      <c r="AI481" s="1096"/>
      <c r="AJ481" s="1096"/>
      <c r="AK481" s="1096"/>
      <c r="AL481" s="1096"/>
      <c r="AM481" s="1096"/>
      <c r="AN481" s="1096"/>
      <c r="AO481" s="1096"/>
      <c r="AP481" s="1096"/>
      <c r="AQ481" s="1096"/>
      <c r="AR481" s="1096"/>
      <c r="AS481" s="1096"/>
      <c r="AT481" s="1096"/>
      <c r="AU481" s="1096"/>
      <c r="AV481" s="1096"/>
      <c r="AW481" s="1096"/>
      <c r="AX481" s="1096"/>
      <c r="AY481" s="1096"/>
    </row>
    <row r="482" spans="1:51" x14ac:dyDescent="0.45">
      <c r="A482" s="1096">
        <v>1979</v>
      </c>
      <c r="B482" s="1096" t="s">
        <v>1389</v>
      </c>
      <c r="C482" s="1113">
        <f>[7]LRAll!C473</f>
        <v>53.384030418250951</v>
      </c>
      <c r="D482" s="1113">
        <f>[7]LRAll!I473</f>
        <v>46.690377395771591</v>
      </c>
      <c r="E482" s="1096"/>
      <c r="F482" s="1114">
        <f t="shared" si="11"/>
        <v>87.461319480683258</v>
      </c>
      <c r="G482" s="1096"/>
      <c r="H482" s="1096"/>
      <c r="I482" s="1096"/>
      <c r="J482" s="1096"/>
      <c r="K482" s="1096"/>
      <c r="L482" s="1096"/>
      <c r="M482" s="1096"/>
      <c r="N482" s="1096"/>
      <c r="O482" s="1096"/>
      <c r="P482" s="1096"/>
      <c r="Q482" s="1096"/>
      <c r="R482" s="1096"/>
      <c r="S482" s="1096"/>
      <c r="T482" s="1096"/>
      <c r="U482" s="1096"/>
      <c r="V482" s="1096"/>
      <c r="W482" s="1096"/>
      <c r="X482" s="1096"/>
      <c r="Y482" s="1096"/>
      <c r="Z482" s="1096"/>
      <c r="AA482" s="1096"/>
      <c r="AB482" s="1096"/>
      <c r="AC482" s="1096"/>
      <c r="AD482" s="1096"/>
      <c r="AE482" s="1096"/>
      <c r="AF482" s="1096"/>
      <c r="AG482" s="1096"/>
      <c r="AH482" s="1096"/>
      <c r="AI482" s="1096"/>
      <c r="AJ482" s="1096"/>
      <c r="AK482" s="1096"/>
      <c r="AL482" s="1096"/>
      <c r="AM482" s="1096"/>
      <c r="AN482" s="1096"/>
      <c r="AO482" s="1096"/>
      <c r="AP482" s="1096"/>
      <c r="AQ482" s="1096"/>
      <c r="AR482" s="1096"/>
      <c r="AS482" s="1096"/>
      <c r="AT482" s="1096"/>
      <c r="AU482" s="1096"/>
      <c r="AV482" s="1096"/>
      <c r="AW482" s="1096"/>
      <c r="AX482" s="1096"/>
      <c r="AY482" s="1096"/>
    </row>
    <row r="483" spans="1:51" x14ac:dyDescent="0.45">
      <c r="A483" s="1096">
        <v>1979</v>
      </c>
      <c r="B483" s="1096" t="s">
        <v>1391</v>
      </c>
      <c r="C483" s="1113">
        <f>[7]LRAll!C474</f>
        <v>54.29657794676806</v>
      </c>
      <c r="D483" s="1113">
        <f>[7]LRAll!I474</f>
        <v>46.868207864058483</v>
      </c>
      <c r="E483" s="1096"/>
      <c r="F483" s="1114">
        <f t="shared" si="11"/>
        <v>86.318898237026474</v>
      </c>
      <c r="G483" s="1096"/>
      <c r="H483" s="1096"/>
      <c r="I483" s="1096"/>
      <c r="J483" s="1096"/>
      <c r="K483" s="1096"/>
      <c r="L483" s="1096"/>
      <c r="M483" s="1096"/>
      <c r="N483" s="1096"/>
      <c r="O483" s="1096"/>
      <c r="P483" s="1096"/>
      <c r="Q483" s="1096"/>
      <c r="R483" s="1096"/>
      <c r="S483" s="1096"/>
      <c r="T483" s="1096"/>
      <c r="U483" s="1096"/>
      <c r="V483" s="1096"/>
      <c r="W483" s="1096"/>
      <c r="X483" s="1096"/>
      <c r="Y483" s="1096"/>
      <c r="Z483" s="1096"/>
      <c r="AA483" s="1096"/>
      <c r="AB483" s="1096"/>
      <c r="AC483" s="1096"/>
      <c r="AD483" s="1096"/>
      <c r="AE483" s="1096"/>
      <c r="AF483" s="1096"/>
      <c r="AG483" s="1096"/>
      <c r="AH483" s="1096"/>
      <c r="AI483" s="1096"/>
      <c r="AJ483" s="1096"/>
      <c r="AK483" s="1096"/>
      <c r="AL483" s="1096"/>
      <c r="AM483" s="1096"/>
      <c r="AN483" s="1096"/>
      <c r="AO483" s="1096"/>
      <c r="AP483" s="1096"/>
      <c r="AQ483" s="1096"/>
      <c r="AR483" s="1096"/>
      <c r="AS483" s="1096"/>
      <c r="AT483" s="1096"/>
      <c r="AU483" s="1096"/>
      <c r="AV483" s="1096"/>
      <c r="AW483" s="1096"/>
      <c r="AX483" s="1096"/>
      <c r="AY483" s="1096"/>
    </row>
    <row r="484" spans="1:51" x14ac:dyDescent="0.45">
      <c r="A484" s="1096">
        <v>1979</v>
      </c>
      <c r="B484" s="1096" t="s">
        <v>1393</v>
      </c>
      <c r="C484" s="1113">
        <f>[7]LRAll!C475</f>
        <v>54.727503168567814</v>
      </c>
      <c r="D484" s="1113">
        <f>[7]LRAll!I475</f>
        <v>47.026279391424623</v>
      </c>
      <c r="E484" s="1096"/>
      <c r="F484" s="1114">
        <f t="shared" si="11"/>
        <v>85.928055673538722</v>
      </c>
      <c r="G484" s="1096"/>
      <c r="H484" s="1096"/>
      <c r="I484" s="1096"/>
      <c r="J484" s="1096"/>
      <c r="K484" s="1096"/>
      <c r="L484" s="1096"/>
      <c r="M484" s="1096"/>
      <c r="N484" s="1096"/>
      <c r="O484" s="1096"/>
      <c r="P484" s="1096"/>
      <c r="Q484" s="1096"/>
      <c r="R484" s="1096"/>
      <c r="S484" s="1096"/>
      <c r="T484" s="1096"/>
      <c r="U484" s="1096"/>
      <c r="V484" s="1096"/>
      <c r="W484" s="1096"/>
      <c r="X484" s="1096"/>
      <c r="Y484" s="1096"/>
      <c r="Z484" s="1096"/>
      <c r="AA484" s="1096"/>
      <c r="AB484" s="1096"/>
      <c r="AC484" s="1096"/>
      <c r="AD484" s="1096"/>
      <c r="AE484" s="1096"/>
      <c r="AF484" s="1096"/>
      <c r="AG484" s="1096"/>
      <c r="AH484" s="1096"/>
      <c r="AI484" s="1096"/>
      <c r="AJ484" s="1096"/>
      <c r="AK484" s="1096"/>
      <c r="AL484" s="1096"/>
      <c r="AM484" s="1096"/>
      <c r="AN484" s="1096"/>
      <c r="AO484" s="1096"/>
      <c r="AP484" s="1096"/>
      <c r="AQ484" s="1096"/>
      <c r="AR484" s="1096"/>
      <c r="AS484" s="1096"/>
      <c r="AT484" s="1096"/>
      <c r="AU484" s="1096"/>
      <c r="AV484" s="1096"/>
      <c r="AW484" s="1096"/>
      <c r="AX484" s="1096"/>
      <c r="AY484" s="1096"/>
    </row>
    <row r="485" spans="1:51" x14ac:dyDescent="0.45">
      <c r="A485" s="1096">
        <v>1979</v>
      </c>
      <c r="B485" s="1096" t="s">
        <v>1371</v>
      </c>
      <c r="C485" s="1113">
        <f>[7]LRAll!C476</f>
        <v>55.665399239543724</v>
      </c>
      <c r="D485" s="1113">
        <f>[7]LRAll!I476</f>
        <v>47.67832444180992</v>
      </c>
      <c r="E485" s="1096"/>
      <c r="F485" s="1114">
        <f t="shared" si="11"/>
        <v>85.651634755437229</v>
      </c>
      <c r="G485" s="1096"/>
      <c r="H485" s="1096"/>
      <c r="I485" s="1096"/>
      <c r="J485" s="1096"/>
      <c r="K485" s="1096"/>
      <c r="L485" s="1096"/>
      <c r="M485" s="1096"/>
      <c r="N485" s="1096"/>
      <c r="O485" s="1096"/>
      <c r="P485" s="1096"/>
      <c r="Q485" s="1096"/>
      <c r="R485" s="1096"/>
      <c r="S485" s="1096"/>
      <c r="T485" s="1096"/>
      <c r="U485" s="1096"/>
      <c r="V485" s="1096"/>
      <c r="W485" s="1096"/>
      <c r="X485" s="1096"/>
      <c r="Y485" s="1096"/>
      <c r="Z485" s="1096"/>
      <c r="AA485" s="1096"/>
      <c r="AB485" s="1096"/>
      <c r="AC485" s="1096"/>
      <c r="AD485" s="1096"/>
      <c r="AE485" s="1096"/>
      <c r="AF485" s="1096"/>
      <c r="AG485" s="1096"/>
      <c r="AH485" s="1096"/>
      <c r="AI485" s="1096"/>
      <c r="AJ485" s="1096"/>
      <c r="AK485" s="1096"/>
      <c r="AL485" s="1096"/>
      <c r="AM485" s="1096"/>
      <c r="AN485" s="1096"/>
      <c r="AO485" s="1096"/>
      <c r="AP485" s="1096"/>
      <c r="AQ485" s="1096"/>
      <c r="AR485" s="1096"/>
      <c r="AS485" s="1096"/>
      <c r="AT485" s="1096"/>
      <c r="AU485" s="1096"/>
      <c r="AV485" s="1096"/>
      <c r="AW485" s="1096"/>
      <c r="AX485" s="1096"/>
      <c r="AY485" s="1096"/>
    </row>
    <row r="486" spans="1:51" x14ac:dyDescent="0.45">
      <c r="A486" s="1096">
        <v>1979</v>
      </c>
      <c r="B486" s="1096" t="s">
        <v>1373</v>
      </c>
      <c r="C486" s="1113">
        <f>[7]LRAll!C477</f>
        <v>58.073510773130543</v>
      </c>
      <c r="D486" s="1113">
        <f>[7]LRAll!I477</f>
        <v>49.713495356648885</v>
      </c>
      <c r="E486" s="1096"/>
      <c r="F486" s="1114">
        <f t="shared" ref="F486:F549" si="12">D486/C486*100</f>
        <v>85.604425657782571</v>
      </c>
      <c r="G486" s="1096"/>
      <c r="H486" s="1096"/>
      <c r="I486" s="1096"/>
      <c r="J486" s="1096"/>
      <c r="K486" s="1096"/>
      <c r="L486" s="1096"/>
      <c r="M486" s="1096"/>
      <c r="N486" s="1096"/>
      <c r="O486" s="1096"/>
      <c r="P486" s="1096"/>
      <c r="Q486" s="1096"/>
      <c r="R486" s="1096"/>
      <c r="S486" s="1096"/>
      <c r="T486" s="1096"/>
      <c r="U486" s="1096"/>
      <c r="V486" s="1096"/>
      <c r="W486" s="1096"/>
      <c r="X486" s="1096"/>
      <c r="Y486" s="1096"/>
      <c r="Z486" s="1096"/>
      <c r="AA486" s="1096"/>
      <c r="AB486" s="1096"/>
      <c r="AC486" s="1096"/>
      <c r="AD486" s="1096"/>
      <c r="AE486" s="1096"/>
      <c r="AF486" s="1096"/>
      <c r="AG486" s="1096"/>
      <c r="AH486" s="1096"/>
      <c r="AI486" s="1096"/>
      <c r="AJ486" s="1096"/>
      <c r="AK486" s="1096"/>
      <c r="AL486" s="1096"/>
      <c r="AM486" s="1096"/>
      <c r="AN486" s="1096"/>
      <c r="AO486" s="1096"/>
      <c r="AP486" s="1096"/>
      <c r="AQ486" s="1096"/>
      <c r="AR486" s="1096"/>
      <c r="AS486" s="1096"/>
      <c r="AT486" s="1096"/>
      <c r="AU486" s="1096"/>
      <c r="AV486" s="1096"/>
      <c r="AW486" s="1096"/>
      <c r="AX486" s="1096"/>
      <c r="AY486" s="1096"/>
    </row>
    <row r="487" spans="1:51" x14ac:dyDescent="0.45">
      <c r="A487" s="1096">
        <v>1979</v>
      </c>
      <c r="B487" s="1096" t="s">
        <v>1375</v>
      </c>
      <c r="C487" s="1113">
        <f>[7]LRAll!C478</f>
        <v>58.529784537389105</v>
      </c>
      <c r="D487" s="1113">
        <f>[7]LRAll!I478</f>
        <v>50.819996048211813</v>
      </c>
      <c r="E487" s="1096"/>
      <c r="F487" s="1114">
        <f t="shared" si="12"/>
        <v>86.827580948547251</v>
      </c>
      <c r="G487" s="1096"/>
      <c r="H487" s="1096"/>
      <c r="I487" s="1096"/>
      <c r="J487" s="1096"/>
      <c r="K487" s="1096"/>
      <c r="L487" s="1096"/>
      <c r="M487" s="1096"/>
      <c r="N487" s="1096"/>
      <c r="O487" s="1096"/>
      <c r="P487" s="1096"/>
      <c r="Q487" s="1096"/>
      <c r="R487" s="1096"/>
      <c r="S487" s="1096"/>
      <c r="T487" s="1096"/>
      <c r="U487" s="1096"/>
      <c r="V487" s="1096"/>
      <c r="W487" s="1096"/>
      <c r="X487" s="1096"/>
      <c r="Y487" s="1096"/>
      <c r="Z487" s="1096"/>
      <c r="AA487" s="1096"/>
      <c r="AB487" s="1096"/>
      <c r="AC487" s="1096"/>
      <c r="AD487" s="1096"/>
      <c r="AE487" s="1096"/>
      <c r="AF487" s="1096"/>
      <c r="AG487" s="1096"/>
      <c r="AH487" s="1096"/>
      <c r="AI487" s="1096"/>
      <c r="AJ487" s="1096"/>
      <c r="AK487" s="1096"/>
      <c r="AL487" s="1096"/>
      <c r="AM487" s="1096"/>
      <c r="AN487" s="1096"/>
      <c r="AO487" s="1096"/>
      <c r="AP487" s="1096"/>
      <c r="AQ487" s="1096"/>
      <c r="AR487" s="1096"/>
      <c r="AS487" s="1096"/>
      <c r="AT487" s="1096"/>
      <c r="AU487" s="1096"/>
      <c r="AV487" s="1096"/>
      <c r="AW487" s="1096"/>
      <c r="AX487" s="1096"/>
      <c r="AY487" s="1096"/>
    </row>
    <row r="488" spans="1:51" x14ac:dyDescent="0.45">
      <c r="A488" s="1096">
        <v>1979</v>
      </c>
      <c r="B488" s="1096" t="s">
        <v>1377</v>
      </c>
      <c r="C488" s="1113">
        <f>[7]LRAll!C479</f>
        <v>59.112801013941699</v>
      </c>
      <c r="D488" s="1113">
        <f>[7]LRAll!I479</f>
        <v>51.788184153329389</v>
      </c>
      <c r="E488" s="1096"/>
      <c r="F488" s="1114">
        <f t="shared" si="12"/>
        <v>87.609085113586801</v>
      </c>
      <c r="G488" s="1096"/>
      <c r="H488" s="1096"/>
      <c r="I488" s="1096"/>
      <c r="J488" s="1096"/>
      <c r="K488" s="1096"/>
      <c r="L488" s="1096"/>
      <c r="M488" s="1096"/>
      <c r="N488" s="1096"/>
      <c r="O488" s="1096"/>
      <c r="P488" s="1096"/>
      <c r="Q488" s="1096"/>
      <c r="R488" s="1096"/>
      <c r="S488" s="1096"/>
      <c r="T488" s="1096"/>
      <c r="U488" s="1096"/>
      <c r="V488" s="1096"/>
      <c r="W488" s="1096"/>
      <c r="X488" s="1096"/>
      <c r="Y488" s="1096"/>
      <c r="Z488" s="1096"/>
      <c r="AA488" s="1096"/>
      <c r="AB488" s="1096"/>
      <c r="AC488" s="1096"/>
      <c r="AD488" s="1096"/>
      <c r="AE488" s="1096"/>
      <c r="AF488" s="1096"/>
      <c r="AG488" s="1096"/>
      <c r="AH488" s="1096"/>
      <c r="AI488" s="1096"/>
      <c r="AJ488" s="1096"/>
      <c r="AK488" s="1096"/>
      <c r="AL488" s="1096"/>
      <c r="AM488" s="1096"/>
      <c r="AN488" s="1096"/>
      <c r="AO488" s="1096"/>
      <c r="AP488" s="1096"/>
      <c r="AQ488" s="1096"/>
      <c r="AR488" s="1096"/>
      <c r="AS488" s="1096"/>
      <c r="AT488" s="1096"/>
      <c r="AU488" s="1096"/>
      <c r="AV488" s="1096"/>
      <c r="AW488" s="1096"/>
      <c r="AX488" s="1096"/>
      <c r="AY488" s="1096"/>
    </row>
    <row r="489" spans="1:51" x14ac:dyDescent="0.45">
      <c r="A489" s="1096">
        <v>1979</v>
      </c>
      <c r="B489" s="1096" t="s">
        <v>1379</v>
      </c>
      <c r="C489" s="1113">
        <f>[7]LRAll!C480</f>
        <v>59.721166032953107</v>
      </c>
      <c r="D489" s="1113">
        <f>[7]LRAll!I480</f>
        <v>52.459988144635446</v>
      </c>
      <c r="E489" s="1096"/>
      <c r="F489" s="1114">
        <f t="shared" si="12"/>
        <v>87.841533629281329</v>
      </c>
      <c r="G489" s="1096"/>
      <c r="H489" s="1096"/>
      <c r="I489" s="1096"/>
      <c r="J489" s="1096"/>
      <c r="K489" s="1096"/>
      <c r="L489" s="1096"/>
      <c r="M489" s="1096"/>
      <c r="N489" s="1096"/>
      <c r="O489" s="1096"/>
      <c r="P489" s="1096"/>
      <c r="Q489" s="1096"/>
      <c r="R489" s="1096"/>
      <c r="S489" s="1096"/>
      <c r="T489" s="1096"/>
      <c r="U489" s="1096"/>
      <c r="V489" s="1096"/>
      <c r="W489" s="1096"/>
      <c r="X489" s="1096"/>
      <c r="Y489" s="1096"/>
      <c r="Z489" s="1096"/>
      <c r="AA489" s="1096"/>
      <c r="AB489" s="1096"/>
      <c r="AC489" s="1096"/>
      <c r="AD489" s="1096"/>
      <c r="AE489" s="1096"/>
      <c r="AF489" s="1096"/>
      <c r="AG489" s="1096"/>
      <c r="AH489" s="1096"/>
      <c r="AI489" s="1096"/>
      <c r="AJ489" s="1096"/>
      <c r="AK489" s="1096"/>
      <c r="AL489" s="1096"/>
      <c r="AM489" s="1096"/>
      <c r="AN489" s="1096"/>
      <c r="AO489" s="1096"/>
      <c r="AP489" s="1096"/>
      <c r="AQ489" s="1096"/>
      <c r="AR489" s="1096"/>
      <c r="AS489" s="1096"/>
      <c r="AT489" s="1096"/>
      <c r="AU489" s="1096"/>
      <c r="AV489" s="1096"/>
      <c r="AW489" s="1096"/>
      <c r="AX489" s="1096"/>
      <c r="AY489" s="1096"/>
    </row>
    <row r="490" spans="1:51" x14ac:dyDescent="0.45">
      <c r="A490" s="1096">
        <v>1979</v>
      </c>
      <c r="B490" s="1096" t="s">
        <v>1381</v>
      </c>
      <c r="C490" s="1113">
        <f>[7]LRAll!C481</f>
        <v>60.253485424588085</v>
      </c>
      <c r="D490" s="1113">
        <f>[7]LRAll!I481</f>
        <v>54.040703418296779</v>
      </c>
      <c r="E490" s="1096"/>
      <c r="F490" s="1114">
        <f t="shared" si="12"/>
        <v>89.688925109457642</v>
      </c>
      <c r="G490" s="1096"/>
      <c r="H490" s="1096"/>
      <c r="I490" s="1096"/>
      <c r="J490" s="1096"/>
      <c r="K490" s="1096"/>
      <c r="L490" s="1096"/>
      <c r="M490" s="1096"/>
      <c r="N490" s="1096"/>
      <c r="O490" s="1096"/>
      <c r="P490" s="1096"/>
      <c r="Q490" s="1096"/>
      <c r="R490" s="1096"/>
      <c r="S490" s="1096"/>
      <c r="T490" s="1096"/>
      <c r="U490" s="1096"/>
      <c r="V490" s="1096"/>
      <c r="W490" s="1096"/>
      <c r="X490" s="1096"/>
      <c r="Y490" s="1096"/>
      <c r="Z490" s="1096"/>
      <c r="AA490" s="1096"/>
      <c r="AB490" s="1096"/>
      <c r="AC490" s="1096"/>
      <c r="AD490" s="1096"/>
      <c r="AE490" s="1096"/>
      <c r="AF490" s="1096"/>
      <c r="AG490" s="1096"/>
      <c r="AH490" s="1096"/>
      <c r="AI490" s="1096"/>
      <c r="AJ490" s="1096"/>
      <c r="AK490" s="1096"/>
      <c r="AL490" s="1096"/>
      <c r="AM490" s="1096"/>
      <c r="AN490" s="1096"/>
      <c r="AO490" s="1096"/>
      <c r="AP490" s="1096"/>
      <c r="AQ490" s="1096"/>
      <c r="AR490" s="1096"/>
      <c r="AS490" s="1096"/>
      <c r="AT490" s="1096"/>
      <c r="AU490" s="1096"/>
      <c r="AV490" s="1096"/>
      <c r="AW490" s="1096"/>
      <c r="AX490" s="1096"/>
      <c r="AY490" s="1096"/>
    </row>
    <row r="491" spans="1:51" x14ac:dyDescent="0.45">
      <c r="A491" s="1096">
        <v>1979</v>
      </c>
      <c r="B491" s="1096" t="s">
        <v>1383</v>
      </c>
      <c r="C491" s="1113">
        <f>[7]LRAll!C482</f>
        <v>60.684410646387839</v>
      </c>
      <c r="D491" s="1113">
        <f>[7]LRAll!I482</f>
        <v>54.495159059474418</v>
      </c>
      <c r="E491" s="1096"/>
      <c r="F491" s="1114">
        <f t="shared" si="12"/>
        <v>89.800920004021108</v>
      </c>
      <c r="G491" s="1096"/>
      <c r="H491" s="1096"/>
      <c r="I491" s="1096"/>
      <c r="J491" s="1096"/>
      <c r="K491" s="1096"/>
      <c r="L491" s="1096"/>
      <c r="M491" s="1096"/>
      <c r="N491" s="1096"/>
      <c r="O491" s="1096"/>
      <c r="P491" s="1096"/>
      <c r="Q491" s="1096"/>
      <c r="R491" s="1096"/>
      <c r="S491" s="1096"/>
      <c r="T491" s="1096"/>
      <c r="U491" s="1096"/>
      <c r="V491" s="1096"/>
      <c r="W491" s="1096"/>
      <c r="X491" s="1096"/>
      <c r="Y491" s="1096"/>
      <c r="Z491" s="1096"/>
      <c r="AA491" s="1096"/>
      <c r="AB491" s="1096"/>
      <c r="AC491" s="1096"/>
      <c r="AD491" s="1096"/>
      <c r="AE491" s="1096"/>
      <c r="AF491" s="1096"/>
      <c r="AG491" s="1096"/>
      <c r="AH491" s="1096"/>
      <c r="AI491" s="1096"/>
      <c r="AJ491" s="1096"/>
      <c r="AK491" s="1096"/>
      <c r="AL491" s="1096"/>
      <c r="AM491" s="1096"/>
      <c r="AN491" s="1096"/>
      <c r="AO491" s="1096"/>
      <c r="AP491" s="1096"/>
      <c r="AQ491" s="1096"/>
      <c r="AR491" s="1096"/>
      <c r="AS491" s="1096"/>
      <c r="AT491" s="1096"/>
      <c r="AU491" s="1096"/>
      <c r="AV491" s="1096"/>
      <c r="AW491" s="1096"/>
      <c r="AX491" s="1096"/>
      <c r="AY491" s="1096"/>
    </row>
    <row r="492" spans="1:51" x14ac:dyDescent="0.45">
      <c r="A492" s="1096">
        <v>1980</v>
      </c>
      <c r="B492" s="1096" t="s">
        <v>1385</v>
      </c>
      <c r="C492" s="1113">
        <f>[7]LRAll!C483</f>
        <v>62.179974651457549</v>
      </c>
      <c r="D492" s="1113">
        <f>[7]LRAll!I483</f>
        <v>54.752025291444383</v>
      </c>
      <c r="E492" s="1096"/>
      <c r="F492" s="1114">
        <f t="shared" si="12"/>
        <v>88.054113238788446</v>
      </c>
      <c r="G492" s="1096"/>
      <c r="H492" s="1096"/>
      <c r="I492" s="1096"/>
      <c r="J492" s="1096"/>
      <c r="K492" s="1096"/>
      <c r="L492" s="1096"/>
      <c r="M492" s="1096"/>
      <c r="N492" s="1096"/>
      <c r="O492" s="1096"/>
      <c r="P492" s="1096"/>
      <c r="Q492" s="1096"/>
      <c r="R492" s="1096"/>
      <c r="S492" s="1096"/>
      <c r="T492" s="1096"/>
      <c r="U492" s="1096"/>
      <c r="V492" s="1096"/>
      <c r="W492" s="1096"/>
      <c r="X492" s="1096"/>
      <c r="Y492" s="1096"/>
      <c r="Z492" s="1096"/>
      <c r="AA492" s="1096"/>
      <c r="AB492" s="1096"/>
      <c r="AC492" s="1096"/>
      <c r="AD492" s="1096"/>
      <c r="AE492" s="1096"/>
      <c r="AF492" s="1096"/>
      <c r="AG492" s="1096"/>
      <c r="AH492" s="1096"/>
      <c r="AI492" s="1096"/>
      <c r="AJ492" s="1096"/>
      <c r="AK492" s="1096"/>
      <c r="AL492" s="1096"/>
      <c r="AM492" s="1096"/>
      <c r="AN492" s="1096"/>
      <c r="AO492" s="1096"/>
      <c r="AP492" s="1096"/>
      <c r="AQ492" s="1096"/>
      <c r="AR492" s="1096"/>
      <c r="AS492" s="1096"/>
      <c r="AT492" s="1096"/>
      <c r="AU492" s="1096"/>
      <c r="AV492" s="1096"/>
      <c r="AW492" s="1096"/>
      <c r="AX492" s="1096"/>
      <c r="AY492" s="1096"/>
    </row>
    <row r="493" spans="1:51" x14ac:dyDescent="0.45">
      <c r="A493" s="1096">
        <v>1980</v>
      </c>
      <c r="B493" s="1096" t="s">
        <v>1387</v>
      </c>
      <c r="C493" s="1113">
        <f>[7]LRAll!C484</f>
        <v>63.06717363751585</v>
      </c>
      <c r="D493" s="1113">
        <f>[7]LRAll!I484</f>
        <v>54.969373641572808</v>
      </c>
      <c r="E493" s="1096"/>
      <c r="F493" s="1114">
        <f t="shared" si="12"/>
        <v>87.160039797429548</v>
      </c>
      <c r="G493" s="1096"/>
      <c r="H493" s="1096"/>
      <c r="I493" s="1096"/>
      <c r="J493" s="1096"/>
      <c r="K493" s="1096"/>
      <c r="L493" s="1096"/>
      <c r="M493" s="1096"/>
      <c r="N493" s="1096"/>
      <c r="O493" s="1096"/>
      <c r="P493" s="1096"/>
      <c r="Q493" s="1096"/>
      <c r="R493" s="1096"/>
      <c r="S493" s="1096"/>
      <c r="T493" s="1096"/>
      <c r="U493" s="1096"/>
      <c r="V493" s="1096"/>
      <c r="W493" s="1096"/>
      <c r="X493" s="1096"/>
      <c r="Y493" s="1096"/>
      <c r="Z493" s="1096"/>
      <c r="AA493" s="1096"/>
      <c r="AB493" s="1096"/>
      <c r="AC493" s="1096"/>
      <c r="AD493" s="1096"/>
      <c r="AE493" s="1096"/>
      <c r="AF493" s="1096"/>
      <c r="AG493" s="1096"/>
      <c r="AH493" s="1096"/>
      <c r="AI493" s="1096"/>
      <c r="AJ493" s="1096"/>
      <c r="AK493" s="1096"/>
      <c r="AL493" s="1096"/>
      <c r="AM493" s="1096"/>
      <c r="AN493" s="1096"/>
      <c r="AO493" s="1096"/>
      <c r="AP493" s="1096"/>
      <c r="AQ493" s="1096"/>
      <c r="AR493" s="1096"/>
      <c r="AS493" s="1096"/>
      <c r="AT493" s="1096"/>
      <c r="AU493" s="1096"/>
      <c r="AV493" s="1096"/>
      <c r="AW493" s="1096"/>
      <c r="AX493" s="1096"/>
      <c r="AY493" s="1096"/>
    </row>
    <row r="494" spans="1:51" x14ac:dyDescent="0.45">
      <c r="A494" s="1096">
        <v>1980</v>
      </c>
      <c r="B494" s="1096" t="s">
        <v>1389</v>
      </c>
      <c r="C494" s="1113">
        <f>[7]LRAll!C485</f>
        <v>63.929024081115337</v>
      </c>
      <c r="D494" s="1113">
        <f>[7]LRAll!I485</f>
        <v>55.779490219324245</v>
      </c>
      <c r="E494" s="1096"/>
      <c r="F494" s="1114">
        <f t="shared" si="12"/>
        <v>87.252216064724081</v>
      </c>
      <c r="G494" s="1096"/>
      <c r="H494" s="1096"/>
      <c r="I494" s="1096"/>
      <c r="J494" s="1096"/>
      <c r="K494" s="1096"/>
      <c r="L494" s="1096"/>
      <c r="M494" s="1096"/>
      <c r="N494" s="1096"/>
      <c r="O494" s="1096"/>
      <c r="P494" s="1096"/>
      <c r="Q494" s="1096"/>
      <c r="R494" s="1096"/>
      <c r="S494" s="1096"/>
      <c r="T494" s="1096"/>
      <c r="U494" s="1096"/>
      <c r="V494" s="1096"/>
      <c r="W494" s="1096"/>
      <c r="X494" s="1096"/>
      <c r="Y494" s="1096"/>
      <c r="Z494" s="1096"/>
      <c r="AA494" s="1096"/>
      <c r="AB494" s="1096"/>
      <c r="AC494" s="1096"/>
      <c r="AD494" s="1096"/>
      <c r="AE494" s="1096"/>
      <c r="AF494" s="1096"/>
      <c r="AG494" s="1096"/>
      <c r="AH494" s="1096"/>
      <c r="AI494" s="1096"/>
      <c r="AJ494" s="1096"/>
      <c r="AK494" s="1096"/>
      <c r="AL494" s="1096"/>
      <c r="AM494" s="1096"/>
      <c r="AN494" s="1096"/>
      <c r="AO494" s="1096"/>
      <c r="AP494" s="1096"/>
      <c r="AQ494" s="1096"/>
      <c r="AR494" s="1096"/>
      <c r="AS494" s="1096"/>
      <c r="AT494" s="1096"/>
      <c r="AU494" s="1096"/>
      <c r="AV494" s="1096"/>
      <c r="AW494" s="1096"/>
      <c r="AX494" s="1096"/>
      <c r="AY494" s="1096"/>
    </row>
    <row r="495" spans="1:51" x14ac:dyDescent="0.45">
      <c r="A495" s="1096">
        <v>1980</v>
      </c>
      <c r="B495" s="1096" t="s">
        <v>1391</v>
      </c>
      <c r="C495" s="1113">
        <f>[7]LRAll!C486</f>
        <v>66.108998732572886</v>
      </c>
      <c r="D495" s="1113">
        <f>[7]LRAll!I486</f>
        <v>57.123098201936379</v>
      </c>
      <c r="E495" s="1096"/>
      <c r="F495" s="1114">
        <f t="shared" si="12"/>
        <v>86.407447241809436</v>
      </c>
      <c r="G495" s="1096"/>
      <c r="H495" s="1096"/>
      <c r="I495" s="1096"/>
      <c r="J495" s="1096"/>
      <c r="K495" s="1096"/>
      <c r="L495" s="1096"/>
      <c r="M495" s="1096"/>
      <c r="N495" s="1096"/>
      <c r="O495" s="1096"/>
      <c r="P495" s="1096"/>
      <c r="Q495" s="1096"/>
      <c r="R495" s="1096"/>
      <c r="S495" s="1096"/>
      <c r="T495" s="1096"/>
      <c r="U495" s="1096"/>
      <c r="V495" s="1096"/>
      <c r="W495" s="1096"/>
      <c r="X495" s="1096"/>
      <c r="Y495" s="1096"/>
      <c r="Z495" s="1096"/>
      <c r="AA495" s="1096"/>
      <c r="AB495" s="1096"/>
      <c r="AC495" s="1096"/>
      <c r="AD495" s="1096"/>
      <c r="AE495" s="1096"/>
      <c r="AF495" s="1096"/>
      <c r="AG495" s="1096"/>
      <c r="AH495" s="1096"/>
      <c r="AI495" s="1096"/>
      <c r="AJ495" s="1096"/>
      <c r="AK495" s="1096"/>
      <c r="AL495" s="1096"/>
      <c r="AM495" s="1096"/>
      <c r="AN495" s="1096"/>
      <c r="AO495" s="1096"/>
      <c r="AP495" s="1096"/>
      <c r="AQ495" s="1096"/>
      <c r="AR495" s="1096"/>
      <c r="AS495" s="1096"/>
      <c r="AT495" s="1096"/>
      <c r="AU495" s="1096"/>
      <c r="AV495" s="1096"/>
      <c r="AW495" s="1096"/>
      <c r="AX495" s="1096"/>
      <c r="AY495" s="1096"/>
    </row>
    <row r="496" spans="1:51" x14ac:dyDescent="0.45">
      <c r="A496" s="1096">
        <v>1980</v>
      </c>
      <c r="B496" s="1096" t="s">
        <v>1393</v>
      </c>
      <c r="C496" s="1113">
        <f>[7]LRAll!C487</f>
        <v>66.717363751584287</v>
      </c>
      <c r="D496" s="1113">
        <f>[7]LRAll!I487</f>
        <v>59.375617466903776</v>
      </c>
      <c r="E496" s="1096"/>
      <c r="F496" s="1114">
        <f t="shared" si="12"/>
        <v>88.99574882482348</v>
      </c>
      <c r="G496" s="1096"/>
      <c r="H496" s="1096"/>
      <c r="I496" s="1096"/>
      <c r="J496" s="1096"/>
      <c r="K496" s="1096"/>
      <c r="L496" s="1096"/>
      <c r="M496" s="1096"/>
      <c r="N496" s="1096"/>
      <c r="O496" s="1096"/>
      <c r="P496" s="1096"/>
      <c r="Q496" s="1096"/>
      <c r="R496" s="1096"/>
      <c r="S496" s="1096"/>
      <c r="T496" s="1096"/>
      <c r="U496" s="1096"/>
      <c r="V496" s="1096"/>
      <c r="W496" s="1096"/>
      <c r="X496" s="1096"/>
      <c r="Y496" s="1096"/>
      <c r="Z496" s="1096"/>
      <c r="AA496" s="1096"/>
      <c r="AB496" s="1096"/>
      <c r="AC496" s="1096"/>
      <c r="AD496" s="1096"/>
      <c r="AE496" s="1096"/>
      <c r="AF496" s="1096"/>
      <c r="AG496" s="1096"/>
      <c r="AH496" s="1096"/>
      <c r="AI496" s="1096"/>
      <c r="AJ496" s="1096"/>
      <c r="AK496" s="1096"/>
      <c r="AL496" s="1096"/>
      <c r="AM496" s="1096"/>
      <c r="AN496" s="1096"/>
      <c r="AO496" s="1096"/>
      <c r="AP496" s="1096"/>
      <c r="AQ496" s="1096"/>
      <c r="AR496" s="1096"/>
      <c r="AS496" s="1096"/>
      <c r="AT496" s="1096"/>
      <c r="AU496" s="1096"/>
      <c r="AV496" s="1096"/>
      <c r="AW496" s="1096"/>
      <c r="AX496" s="1096"/>
      <c r="AY496" s="1096"/>
    </row>
    <row r="497" spans="1:51" x14ac:dyDescent="0.45">
      <c r="A497" s="1096">
        <v>1980</v>
      </c>
      <c r="B497" s="1096" t="s">
        <v>1371</v>
      </c>
      <c r="C497" s="1113">
        <f>[7]LRAll!C488</f>
        <v>67.351077313054503</v>
      </c>
      <c r="D497" s="1113">
        <f>[7]LRAll!I488</f>
        <v>62.299940723177244</v>
      </c>
      <c r="E497" s="1096"/>
      <c r="F497" s="1114">
        <f t="shared" si="12"/>
        <v>92.500288352628615</v>
      </c>
      <c r="G497" s="1096"/>
      <c r="H497" s="1096"/>
      <c r="I497" s="1096"/>
      <c r="J497" s="1096"/>
      <c r="K497" s="1096"/>
      <c r="L497" s="1096"/>
      <c r="M497" s="1096"/>
      <c r="N497" s="1096"/>
      <c r="O497" s="1096"/>
      <c r="P497" s="1096"/>
      <c r="Q497" s="1096"/>
      <c r="R497" s="1096"/>
      <c r="S497" s="1096"/>
      <c r="T497" s="1096"/>
      <c r="U497" s="1096"/>
      <c r="V497" s="1096"/>
      <c r="W497" s="1096"/>
      <c r="X497" s="1096"/>
      <c r="Y497" s="1096"/>
      <c r="Z497" s="1096"/>
      <c r="AA497" s="1096"/>
      <c r="AB497" s="1096"/>
      <c r="AC497" s="1096"/>
      <c r="AD497" s="1096"/>
      <c r="AE497" s="1096"/>
      <c r="AF497" s="1096"/>
      <c r="AG497" s="1096"/>
      <c r="AH497" s="1096"/>
      <c r="AI497" s="1096"/>
      <c r="AJ497" s="1096"/>
      <c r="AK497" s="1096"/>
      <c r="AL497" s="1096"/>
      <c r="AM497" s="1096"/>
      <c r="AN497" s="1096"/>
      <c r="AO497" s="1096"/>
      <c r="AP497" s="1096"/>
      <c r="AQ497" s="1096"/>
      <c r="AR497" s="1096"/>
      <c r="AS497" s="1096"/>
      <c r="AT497" s="1096"/>
      <c r="AU497" s="1096"/>
      <c r="AV497" s="1096"/>
      <c r="AW497" s="1096"/>
      <c r="AX497" s="1096"/>
      <c r="AY497" s="1096"/>
    </row>
    <row r="498" spans="1:51" x14ac:dyDescent="0.45">
      <c r="A498" s="1096">
        <v>1980</v>
      </c>
      <c r="B498" s="1096" t="s">
        <v>1373</v>
      </c>
      <c r="C498" s="1113">
        <f>[7]LRAll!C489</f>
        <v>67.908745247148289</v>
      </c>
      <c r="D498" s="1113">
        <f>[7]LRAll!I489</f>
        <v>63.781861292234737</v>
      </c>
      <c r="E498" s="1096"/>
      <c r="F498" s="1114">
        <f t="shared" si="12"/>
        <v>93.922897647579703</v>
      </c>
      <c r="G498" s="1096"/>
      <c r="H498" s="1096"/>
      <c r="I498" s="1096"/>
      <c r="J498" s="1096"/>
      <c r="K498" s="1096"/>
      <c r="L498" s="1096"/>
      <c r="M498" s="1096"/>
      <c r="N498" s="1096"/>
      <c r="O498" s="1096"/>
      <c r="P498" s="1096"/>
      <c r="Q498" s="1096"/>
      <c r="R498" s="1096"/>
      <c r="S498" s="1096"/>
      <c r="T498" s="1096"/>
      <c r="U498" s="1096"/>
      <c r="V498" s="1096"/>
      <c r="W498" s="1096"/>
      <c r="X498" s="1096"/>
      <c r="Y498" s="1096"/>
      <c r="Z498" s="1096"/>
      <c r="AA498" s="1096"/>
      <c r="AB498" s="1096"/>
      <c r="AC498" s="1096"/>
      <c r="AD498" s="1096"/>
      <c r="AE498" s="1096"/>
      <c r="AF498" s="1096"/>
      <c r="AG498" s="1096"/>
      <c r="AH498" s="1096"/>
      <c r="AI498" s="1096"/>
      <c r="AJ498" s="1096"/>
      <c r="AK498" s="1096"/>
      <c r="AL498" s="1096"/>
      <c r="AM498" s="1096"/>
      <c r="AN498" s="1096"/>
      <c r="AO498" s="1096"/>
      <c r="AP498" s="1096"/>
      <c r="AQ498" s="1096"/>
      <c r="AR498" s="1096"/>
      <c r="AS498" s="1096"/>
      <c r="AT498" s="1096"/>
      <c r="AU498" s="1096"/>
      <c r="AV498" s="1096"/>
      <c r="AW498" s="1096"/>
      <c r="AX498" s="1096"/>
      <c r="AY498" s="1096"/>
    </row>
    <row r="499" spans="1:51" x14ac:dyDescent="0.45">
      <c r="A499" s="1096">
        <v>1980</v>
      </c>
      <c r="B499" s="1096" t="s">
        <v>1375</v>
      </c>
      <c r="C499" s="1113">
        <f>[7]LRAll!C490</f>
        <v>68.06083650190115</v>
      </c>
      <c r="D499" s="1113">
        <f>[7]LRAll!I490</f>
        <v>64.038727524204702</v>
      </c>
      <c r="E499" s="1096"/>
      <c r="F499" s="1114">
        <f t="shared" si="12"/>
        <v>94.090420887518633</v>
      </c>
      <c r="G499" s="1096"/>
      <c r="H499" s="1096"/>
      <c r="I499" s="1096"/>
      <c r="J499" s="1096"/>
      <c r="K499" s="1096"/>
      <c r="L499" s="1096"/>
      <c r="M499" s="1096"/>
      <c r="N499" s="1096"/>
      <c r="O499" s="1096"/>
      <c r="P499" s="1096"/>
      <c r="Q499" s="1096"/>
      <c r="R499" s="1096"/>
      <c r="S499" s="1096"/>
      <c r="T499" s="1096"/>
      <c r="U499" s="1096"/>
      <c r="V499" s="1096"/>
      <c r="W499" s="1096"/>
      <c r="X499" s="1096"/>
      <c r="Y499" s="1096"/>
      <c r="Z499" s="1096"/>
      <c r="AA499" s="1096"/>
      <c r="AB499" s="1096"/>
      <c r="AC499" s="1096"/>
      <c r="AD499" s="1096"/>
      <c r="AE499" s="1096"/>
      <c r="AF499" s="1096"/>
      <c r="AG499" s="1096"/>
      <c r="AH499" s="1096"/>
      <c r="AI499" s="1096"/>
      <c r="AJ499" s="1096"/>
      <c r="AK499" s="1096"/>
      <c r="AL499" s="1096"/>
      <c r="AM499" s="1096"/>
      <c r="AN499" s="1096"/>
      <c r="AO499" s="1096"/>
      <c r="AP499" s="1096"/>
      <c r="AQ499" s="1096"/>
      <c r="AR499" s="1096"/>
      <c r="AS499" s="1096"/>
      <c r="AT499" s="1096"/>
      <c r="AU499" s="1096"/>
      <c r="AV499" s="1096"/>
      <c r="AW499" s="1096"/>
      <c r="AX499" s="1096"/>
      <c r="AY499" s="1096"/>
    </row>
    <row r="500" spans="1:51" x14ac:dyDescent="0.45">
      <c r="A500" s="1096">
        <v>1980</v>
      </c>
      <c r="B500" s="1096" t="s">
        <v>1377</v>
      </c>
      <c r="C500" s="1113">
        <f>[7]LRAll!C491</f>
        <v>68.49176172370089</v>
      </c>
      <c r="D500" s="1113">
        <f>[7]LRAll!I491</f>
        <v>65.362576565896077</v>
      </c>
      <c r="E500" s="1096"/>
      <c r="F500" s="1114">
        <f t="shared" si="12"/>
        <v>95.431297021635828</v>
      </c>
      <c r="G500" s="1096"/>
      <c r="H500" s="1096"/>
      <c r="I500" s="1096"/>
      <c r="J500" s="1096"/>
      <c r="K500" s="1096"/>
      <c r="L500" s="1096"/>
      <c r="M500" s="1096"/>
      <c r="N500" s="1096"/>
      <c r="O500" s="1096"/>
      <c r="P500" s="1096"/>
      <c r="Q500" s="1096"/>
      <c r="R500" s="1096"/>
      <c r="S500" s="1096"/>
      <c r="T500" s="1096"/>
      <c r="U500" s="1096"/>
      <c r="V500" s="1096"/>
      <c r="W500" s="1096"/>
      <c r="X500" s="1096"/>
      <c r="Y500" s="1096"/>
      <c r="Z500" s="1096"/>
      <c r="AA500" s="1096"/>
      <c r="AB500" s="1096"/>
      <c r="AC500" s="1096"/>
      <c r="AD500" s="1096"/>
      <c r="AE500" s="1096"/>
      <c r="AF500" s="1096"/>
      <c r="AG500" s="1096"/>
      <c r="AH500" s="1096"/>
      <c r="AI500" s="1096"/>
      <c r="AJ500" s="1096"/>
      <c r="AK500" s="1096"/>
      <c r="AL500" s="1096"/>
      <c r="AM500" s="1096"/>
      <c r="AN500" s="1096"/>
      <c r="AO500" s="1096"/>
      <c r="AP500" s="1096"/>
      <c r="AQ500" s="1096"/>
      <c r="AR500" s="1096"/>
      <c r="AS500" s="1096"/>
      <c r="AT500" s="1096"/>
      <c r="AU500" s="1096"/>
      <c r="AV500" s="1096"/>
      <c r="AW500" s="1096"/>
      <c r="AX500" s="1096"/>
      <c r="AY500" s="1096"/>
    </row>
    <row r="501" spans="1:51" x14ac:dyDescent="0.45">
      <c r="A501" s="1096">
        <v>1980</v>
      </c>
      <c r="B501" s="1096" t="s">
        <v>1379</v>
      </c>
      <c r="C501" s="1113">
        <f>[7]LRAll!C492</f>
        <v>68.922686945500629</v>
      </c>
      <c r="D501" s="1113">
        <f>[7]LRAll!I492</f>
        <v>66.666666666666657</v>
      </c>
      <c r="E501" s="1096"/>
      <c r="F501" s="1114">
        <f t="shared" si="12"/>
        <v>96.726737771239428</v>
      </c>
      <c r="G501" s="1096"/>
      <c r="H501" s="1096"/>
      <c r="I501" s="1096"/>
      <c r="J501" s="1096"/>
      <c r="K501" s="1096"/>
      <c r="L501" s="1096"/>
      <c r="M501" s="1096"/>
      <c r="N501" s="1096"/>
      <c r="O501" s="1096"/>
      <c r="P501" s="1096"/>
      <c r="Q501" s="1096"/>
      <c r="R501" s="1096"/>
      <c r="S501" s="1096"/>
      <c r="T501" s="1096"/>
      <c r="U501" s="1096"/>
      <c r="V501" s="1096"/>
      <c r="W501" s="1096"/>
      <c r="X501" s="1096"/>
      <c r="Y501" s="1096"/>
      <c r="Z501" s="1096"/>
      <c r="AA501" s="1096"/>
      <c r="AB501" s="1096"/>
      <c r="AC501" s="1096"/>
      <c r="AD501" s="1096"/>
      <c r="AE501" s="1096"/>
      <c r="AF501" s="1096"/>
      <c r="AG501" s="1096"/>
      <c r="AH501" s="1096"/>
      <c r="AI501" s="1096"/>
      <c r="AJ501" s="1096"/>
      <c r="AK501" s="1096"/>
      <c r="AL501" s="1096"/>
      <c r="AM501" s="1096"/>
      <c r="AN501" s="1096"/>
      <c r="AO501" s="1096"/>
      <c r="AP501" s="1096"/>
      <c r="AQ501" s="1096"/>
      <c r="AR501" s="1096"/>
      <c r="AS501" s="1096"/>
      <c r="AT501" s="1096"/>
      <c r="AU501" s="1096"/>
      <c r="AV501" s="1096"/>
      <c r="AW501" s="1096"/>
      <c r="AX501" s="1096"/>
      <c r="AY501" s="1096"/>
    </row>
    <row r="502" spans="1:51" x14ac:dyDescent="0.45">
      <c r="A502" s="1096">
        <v>1980</v>
      </c>
      <c r="B502" s="1096" t="s">
        <v>1381</v>
      </c>
      <c r="C502" s="1113">
        <f>[7]LRAll!C493</f>
        <v>69.480354879594429</v>
      </c>
      <c r="D502" s="1113">
        <f>[7]LRAll!I493</f>
        <v>68.919185931634061</v>
      </c>
      <c r="E502" s="1096"/>
      <c r="F502" s="1114">
        <f t="shared" si="12"/>
        <v>99.192334367127458</v>
      </c>
      <c r="G502" s="1096"/>
      <c r="H502" s="1096"/>
      <c r="I502" s="1096"/>
      <c r="J502" s="1096"/>
      <c r="K502" s="1096"/>
      <c r="L502" s="1096"/>
      <c r="M502" s="1096"/>
      <c r="N502" s="1096"/>
      <c r="O502" s="1096"/>
      <c r="P502" s="1096"/>
      <c r="Q502" s="1096"/>
      <c r="R502" s="1096"/>
      <c r="S502" s="1096"/>
      <c r="T502" s="1096"/>
      <c r="U502" s="1096"/>
      <c r="V502" s="1096"/>
      <c r="W502" s="1096"/>
      <c r="X502" s="1096"/>
      <c r="Y502" s="1096"/>
      <c r="Z502" s="1096"/>
      <c r="AA502" s="1096"/>
      <c r="AB502" s="1096"/>
      <c r="AC502" s="1096"/>
      <c r="AD502" s="1096"/>
      <c r="AE502" s="1096"/>
      <c r="AF502" s="1096"/>
      <c r="AG502" s="1096"/>
      <c r="AH502" s="1096"/>
      <c r="AI502" s="1096"/>
      <c r="AJ502" s="1096"/>
      <c r="AK502" s="1096"/>
      <c r="AL502" s="1096"/>
      <c r="AM502" s="1096"/>
      <c r="AN502" s="1096"/>
      <c r="AO502" s="1096"/>
      <c r="AP502" s="1096"/>
      <c r="AQ502" s="1096"/>
      <c r="AR502" s="1096"/>
      <c r="AS502" s="1096"/>
      <c r="AT502" s="1096"/>
      <c r="AU502" s="1096"/>
      <c r="AV502" s="1096"/>
      <c r="AW502" s="1096"/>
      <c r="AX502" s="1096"/>
      <c r="AY502" s="1096"/>
    </row>
    <row r="503" spans="1:51" x14ac:dyDescent="0.45">
      <c r="A503" s="1096">
        <v>1980</v>
      </c>
      <c r="B503" s="1096" t="s">
        <v>1383</v>
      </c>
      <c r="C503" s="1113">
        <f>[7]LRAll!C494</f>
        <v>69.860583016476568</v>
      </c>
      <c r="D503" s="1113">
        <f>[7]LRAll!I494</f>
        <v>69.432918395573992</v>
      </c>
      <c r="E503" s="1096"/>
      <c r="F503" s="1114">
        <f t="shared" si="12"/>
        <v>99.387831302808181</v>
      </c>
      <c r="G503" s="1096"/>
      <c r="H503" s="1096"/>
      <c r="I503" s="1096"/>
      <c r="J503" s="1096"/>
      <c r="K503" s="1096"/>
      <c r="L503" s="1096"/>
      <c r="M503" s="1096"/>
      <c r="N503" s="1096"/>
      <c r="O503" s="1096"/>
      <c r="P503" s="1096"/>
      <c r="Q503" s="1096"/>
      <c r="R503" s="1096"/>
      <c r="S503" s="1096"/>
      <c r="T503" s="1096"/>
      <c r="U503" s="1096"/>
      <c r="V503" s="1096"/>
      <c r="W503" s="1096"/>
      <c r="X503" s="1096"/>
      <c r="Y503" s="1096"/>
      <c r="Z503" s="1096"/>
      <c r="AA503" s="1096"/>
      <c r="AB503" s="1096"/>
      <c r="AC503" s="1096"/>
      <c r="AD503" s="1096"/>
      <c r="AE503" s="1096"/>
      <c r="AF503" s="1096"/>
      <c r="AG503" s="1096"/>
      <c r="AH503" s="1096"/>
      <c r="AI503" s="1096"/>
      <c r="AJ503" s="1096"/>
      <c r="AK503" s="1096"/>
      <c r="AL503" s="1096"/>
      <c r="AM503" s="1096"/>
      <c r="AN503" s="1096"/>
      <c r="AO503" s="1096"/>
      <c r="AP503" s="1096"/>
      <c r="AQ503" s="1096"/>
      <c r="AR503" s="1096"/>
      <c r="AS503" s="1096"/>
      <c r="AT503" s="1096"/>
      <c r="AU503" s="1096"/>
      <c r="AV503" s="1096"/>
      <c r="AW503" s="1096"/>
      <c r="AX503" s="1096"/>
      <c r="AY503" s="1096"/>
    </row>
    <row r="504" spans="1:51" x14ac:dyDescent="0.45">
      <c r="A504" s="1096">
        <v>1981</v>
      </c>
      <c r="B504" s="1096" t="s">
        <v>1385</v>
      </c>
      <c r="C504" s="1113">
        <f>[7]LRAll!C495</f>
        <v>70.291508238276307</v>
      </c>
      <c r="D504" s="1113">
        <f>[7]LRAll!I495</f>
        <v>70.282552855166955</v>
      </c>
      <c r="E504" s="1096"/>
      <c r="F504" s="1114">
        <f t="shared" si="12"/>
        <v>99.987259651508694</v>
      </c>
      <c r="G504" s="1096"/>
      <c r="H504" s="1096"/>
      <c r="I504" s="1096"/>
      <c r="J504" s="1096"/>
      <c r="K504" s="1096"/>
      <c r="L504" s="1096"/>
      <c r="M504" s="1096"/>
      <c r="N504" s="1096"/>
      <c r="O504" s="1096"/>
      <c r="P504" s="1096"/>
      <c r="Q504" s="1096"/>
      <c r="R504" s="1096"/>
      <c r="S504" s="1096"/>
      <c r="T504" s="1096"/>
      <c r="U504" s="1096"/>
      <c r="V504" s="1096"/>
      <c r="W504" s="1096"/>
      <c r="X504" s="1096"/>
      <c r="Y504" s="1096"/>
      <c r="Z504" s="1096"/>
      <c r="AA504" s="1096"/>
      <c r="AB504" s="1096"/>
      <c r="AC504" s="1096"/>
      <c r="AD504" s="1096"/>
      <c r="AE504" s="1096"/>
      <c r="AF504" s="1096"/>
      <c r="AG504" s="1096"/>
      <c r="AH504" s="1096"/>
      <c r="AI504" s="1096"/>
      <c r="AJ504" s="1096"/>
      <c r="AK504" s="1096"/>
      <c r="AL504" s="1096"/>
      <c r="AM504" s="1096"/>
      <c r="AN504" s="1096"/>
      <c r="AO504" s="1096"/>
      <c r="AP504" s="1096"/>
      <c r="AQ504" s="1096"/>
      <c r="AR504" s="1096"/>
      <c r="AS504" s="1096"/>
      <c r="AT504" s="1096"/>
      <c r="AU504" s="1096"/>
      <c r="AV504" s="1096"/>
      <c r="AW504" s="1096"/>
      <c r="AX504" s="1096"/>
      <c r="AY504" s="1096"/>
    </row>
    <row r="505" spans="1:51" x14ac:dyDescent="0.45">
      <c r="A505" s="1096">
        <v>1981</v>
      </c>
      <c r="B505" s="1096" t="s">
        <v>1387</v>
      </c>
      <c r="C505" s="1113">
        <f>[7]LRAll!C496</f>
        <v>70.925221799746524</v>
      </c>
      <c r="D505" s="1113">
        <f>[7]LRAll!I496</f>
        <v>70.618454850819987</v>
      </c>
      <c r="E505" s="1096"/>
      <c r="F505" s="1114">
        <f t="shared" si="12"/>
        <v>99.567478336842314</v>
      </c>
      <c r="G505" s="1096"/>
      <c r="H505" s="1096"/>
      <c r="I505" s="1096"/>
      <c r="J505" s="1096"/>
      <c r="K505" s="1096"/>
      <c r="L505" s="1096"/>
      <c r="M505" s="1096"/>
      <c r="N505" s="1096"/>
      <c r="O505" s="1096"/>
      <c r="P505" s="1096"/>
      <c r="Q505" s="1096"/>
      <c r="R505" s="1096"/>
      <c r="S505" s="1096"/>
      <c r="T505" s="1096"/>
      <c r="U505" s="1096"/>
      <c r="V505" s="1096"/>
      <c r="W505" s="1096"/>
      <c r="X505" s="1096"/>
      <c r="Y505" s="1096"/>
      <c r="Z505" s="1096"/>
      <c r="AA505" s="1096"/>
      <c r="AB505" s="1096"/>
      <c r="AC505" s="1096"/>
      <c r="AD505" s="1096"/>
      <c r="AE505" s="1096"/>
      <c r="AF505" s="1096"/>
      <c r="AG505" s="1096"/>
      <c r="AH505" s="1096"/>
      <c r="AI505" s="1096"/>
      <c r="AJ505" s="1096"/>
      <c r="AK505" s="1096"/>
      <c r="AL505" s="1096"/>
      <c r="AM505" s="1096"/>
      <c r="AN505" s="1096"/>
      <c r="AO505" s="1096"/>
      <c r="AP505" s="1096"/>
      <c r="AQ505" s="1096"/>
      <c r="AR505" s="1096"/>
      <c r="AS505" s="1096"/>
      <c r="AT505" s="1096"/>
      <c r="AU505" s="1096"/>
      <c r="AV505" s="1096"/>
      <c r="AW505" s="1096"/>
      <c r="AX505" s="1096"/>
      <c r="AY505" s="1096"/>
    </row>
    <row r="506" spans="1:51" x14ac:dyDescent="0.45">
      <c r="A506" s="1096">
        <v>1981</v>
      </c>
      <c r="B506" s="1096" t="s">
        <v>1389</v>
      </c>
      <c r="C506" s="1113">
        <f>[7]LRAll!C497</f>
        <v>71.98986058301648</v>
      </c>
      <c r="D506" s="1113">
        <f>[7]LRAll!I497</f>
        <v>70.638213791740768</v>
      </c>
      <c r="E506" s="1096"/>
      <c r="F506" s="1114">
        <f t="shared" si="12"/>
        <v>98.122448383245526</v>
      </c>
      <c r="G506" s="1096"/>
      <c r="H506" s="1096"/>
      <c r="I506" s="1096"/>
      <c r="J506" s="1096"/>
      <c r="K506" s="1096"/>
      <c r="L506" s="1096"/>
      <c r="M506" s="1096"/>
      <c r="N506" s="1096"/>
      <c r="O506" s="1096"/>
      <c r="P506" s="1096"/>
      <c r="Q506" s="1096"/>
      <c r="R506" s="1096"/>
      <c r="S506" s="1096"/>
      <c r="T506" s="1096"/>
      <c r="U506" s="1096"/>
      <c r="V506" s="1096"/>
      <c r="W506" s="1096"/>
      <c r="X506" s="1096"/>
      <c r="Y506" s="1096"/>
      <c r="Z506" s="1096"/>
      <c r="AA506" s="1096"/>
      <c r="AB506" s="1096"/>
      <c r="AC506" s="1096"/>
      <c r="AD506" s="1096"/>
      <c r="AE506" s="1096"/>
      <c r="AF506" s="1096"/>
      <c r="AG506" s="1096"/>
      <c r="AH506" s="1096"/>
      <c r="AI506" s="1096"/>
      <c r="AJ506" s="1096"/>
      <c r="AK506" s="1096"/>
      <c r="AL506" s="1096"/>
      <c r="AM506" s="1096"/>
      <c r="AN506" s="1096"/>
      <c r="AO506" s="1096"/>
      <c r="AP506" s="1096"/>
      <c r="AQ506" s="1096"/>
      <c r="AR506" s="1096"/>
      <c r="AS506" s="1096"/>
      <c r="AT506" s="1096"/>
      <c r="AU506" s="1096"/>
      <c r="AV506" s="1096"/>
      <c r="AW506" s="1096"/>
      <c r="AX506" s="1096"/>
      <c r="AY506" s="1096"/>
    </row>
    <row r="507" spans="1:51" x14ac:dyDescent="0.45">
      <c r="A507" s="1096">
        <v>1981</v>
      </c>
      <c r="B507" s="1096" t="s">
        <v>1391</v>
      </c>
      <c r="C507" s="1113">
        <f>[7]LRAll!C498</f>
        <v>74.06844106463879</v>
      </c>
      <c r="D507" s="1113">
        <f>[7]LRAll!I498</f>
        <v>71.724955542382929</v>
      </c>
      <c r="E507" s="1096"/>
      <c r="F507" s="1114">
        <f t="shared" si="12"/>
        <v>96.836053940691528</v>
      </c>
      <c r="G507" s="1096"/>
      <c r="H507" s="1096"/>
      <c r="I507" s="1096"/>
      <c r="J507" s="1096"/>
      <c r="K507" s="1096"/>
      <c r="L507" s="1096"/>
      <c r="M507" s="1096"/>
      <c r="N507" s="1096"/>
      <c r="O507" s="1096"/>
      <c r="P507" s="1096"/>
      <c r="Q507" s="1096"/>
      <c r="R507" s="1096"/>
      <c r="S507" s="1096"/>
      <c r="T507" s="1096"/>
      <c r="U507" s="1096"/>
      <c r="V507" s="1096"/>
      <c r="W507" s="1096"/>
      <c r="X507" s="1096"/>
      <c r="Y507" s="1096"/>
      <c r="Z507" s="1096"/>
      <c r="AA507" s="1096"/>
      <c r="AB507" s="1096"/>
      <c r="AC507" s="1096"/>
      <c r="AD507" s="1096"/>
      <c r="AE507" s="1096"/>
      <c r="AF507" s="1096"/>
      <c r="AG507" s="1096"/>
      <c r="AH507" s="1096"/>
      <c r="AI507" s="1096"/>
      <c r="AJ507" s="1096"/>
      <c r="AK507" s="1096"/>
      <c r="AL507" s="1096"/>
      <c r="AM507" s="1096"/>
      <c r="AN507" s="1096"/>
      <c r="AO507" s="1096"/>
      <c r="AP507" s="1096"/>
      <c r="AQ507" s="1096"/>
      <c r="AR507" s="1096"/>
      <c r="AS507" s="1096"/>
      <c r="AT507" s="1096"/>
      <c r="AU507" s="1096"/>
      <c r="AV507" s="1096"/>
      <c r="AW507" s="1096"/>
      <c r="AX507" s="1096"/>
      <c r="AY507" s="1096"/>
    </row>
    <row r="508" spans="1:51" x14ac:dyDescent="0.45">
      <c r="A508" s="1096">
        <v>1981</v>
      </c>
      <c r="B508" s="1096" t="s">
        <v>1393</v>
      </c>
      <c r="C508" s="1113">
        <f>[7]LRAll!C499</f>
        <v>74.55006337135616</v>
      </c>
      <c r="D508" s="1113">
        <f>[7]LRAll!I499</f>
        <v>73.760126457221901</v>
      </c>
      <c r="E508" s="1096"/>
      <c r="F508" s="1114">
        <f t="shared" si="12"/>
        <v>98.940394040714168</v>
      </c>
      <c r="G508" s="1096"/>
      <c r="H508" s="1096"/>
      <c r="I508" s="1096"/>
      <c r="J508" s="1096"/>
      <c r="K508" s="1096"/>
      <c r="L508" s="1096"/>
      <c r="M508" s="1096"/>
      <c r="N508" s="1096"/>
      <c r="O508" s="1096"/>
      <c r="P508" s="1096"/>
      <c r="Q508" s="1096"/>
      <c r="R508" s="1096"/>
      <c r="S508" s="1096"/>
      <c r="T508" s="1096"/>
      <c r="U508" s="1096"/>
      <c r="V508" s="1096"/>
      <c r="W508" s="1096"/>
      <c r="X508" s="1096"/>
      <c r="Y508" s="1096"/>
      <c r="Z508" s="1096"/>
      <c r="AA508" s="1096"/>
      <c r="AB508" s="1096"/>
      <c r="AC508" s="1096"/>
      <c r="AD508" s="1096"/>
      <c r="AE508" s="1096"/>
      <c r="AF508" s="1096"/>
      <c r="AG508" s="1096"/>
      <c r="AH508" s="1096"/>
      <c r="AI508" s="1096"/>
      <c r="AJ508" s="1096"/>
      <c r="AK508" s="1096"/>
      <c r="AL508" s="1096"/>
      <c r="AM508" s="1096"/>
      <c r="AN508" s="1096"/>
      <c r="AO508" s="1096"/>
      <c r="AP508" s="1096"/>
      <c r="AQ508" s="1096"/>
      <c r="AR508" s="1096"/>
      <c r="AS508" s="1096"/>
      <c r="AT508" s="1096"/>
      <c r="AU508" s="1096"/>
      <c r="AV508" s="1096"/>
      <c r="AW508" s="1096"/>
      <c r="AX508" s="1096"/>
      <c r="AY508" s="1096"/>
    </row>
    <row r="509" spans="1:51" x14ac:dyDescent="0.45">
      <c r="A509" s="1096">
        <v>1981</v>
      </c>
      <c r="B509" s="1096" t="s">
        <v>1371</v>
      </c>
      <c r="C509" s="1113">
        <f>[7]LRAll!C500</f>
        <v>74.980988593155899</v>
      </c>
      <c r="D509" s="1113">
        <f>[7]LRAll!I500</f>
        <v>75.913851017585458</v>
      </c>
      <c r="E509" s="1096"/>
      <c r="F509" s="1114">
        <f t="shared" si="12"/>
        <v>101.24413193521792</v>
      </c>
      <c r="G509" s="1096"/>
      <c r="H509" s="1096"/>
      <c r="I509" s="1096"/>
      <c r="J509" s="1096"/>
      <c r="K509" s="1096"/>
      <c r="L509" s="1096"/>
      <c r="M509" s="1096"/>
      <c r="N509" s="1096"/>
      <c r="O509" s="1096"/>
      <c r="P509" s="1096"/>
      <c r="Q509" s="1096"/>
      <c r="R509" s="1096"/>
      <c r="S509" s="1096"/>
      <c r="T509" s="1096"/>
      <c r="U509" s="1096"/>
      <c r="V509" s="1096"/>
      <c r="W509" s="1096"/>
      <c r="X509" s="1096"/>
      <c r="Y509" s="1096"/>
      <c r="Z509" s="1096"/>
      <c r="AA509" s="1096"/>
      <c r="AB509" s="1096"/>
      <c r="AC509" s="1096"/>
      <c r="AD509" s="1096"/>
      <c r="AE509" s="1096"/>
      <c r="AF509" s="1096"/>
      <c r="AG509" s="1096"/>
      <c r="AH509" s="1096"/>
      <c r="AI509" s="1096"/>
      <c r="AJ509" s="1096"/>
      <c r="AK509" s="1096"/>
      <c r="AL509" s="1096"/>
      <c r="AM509" s="1096"/>
      <c r="AN509" s="1096"/>
      <c r="AO509" s="1096"/>
      <c r="AP509" s="1096"/>
      <c r="AQ509" s="1096"/>
      <c r="AR509" s="1096"/>
      <c r="AS509" s="1096"/>
      <c r="AT509" s="1096"/>
      <c r="AU509" s="1096"/>
      <c r="AV509" s="1096"/>
      <c r="AW509" s="1096"/>
      <c r="AX509" s="1096"/>
      <c r="AY509" s="1096"/>
    </row>
    <row r="510" spans="1:51" x14ac:dyDescent="0.45">
      <c r="A510" s="1096">
        <v>1981</v>
      </c>
      <c r="B510" s="1096" t="s">
        <v>1373</v>
      </c>
      <c r="C510" s="1113">
        <f>[7]LRAll!C501</f>
        <v>75.310519645120408</v>
      </c>
      <c r="D510" s="1113">
        <f>[7]LRAll!I501</f>
        <v>76.901798063623787</v>
      </c>
      <c r="E510" s="1096"/>
      <c r="F510" s="1114">
        <f t="shared" si="12"/>
        <v>102.1129563651955</v>
      </c>
      <c r="G510" s="1096"/>
      <c r="H510" s="1096"/>
      <c r="I510" s="1096"/>
      <c r="J510" s="1096"/>
      <c r="K510" s="1096"/>
      <c r="L510" s="1096"/>
      <c r="M510" s="1096"/>
      <c r="N510" s="1096"/>
      <c r="O510" s="1096"/>
      <c r="P510" s="1096"/>
      <c r="Q510" s="1096"/>
      <c r="R510" s="1096"/>
      <c r="S510" s="1096"/>
      <c r="T510" s="1096"/>
      <c r="U510" s="1096"/>
      <c r="V510" s="1096"/>
      <c r="W510" s="1096"/>
      <c r="X510" s="1096"/>
      <c r="Y510" s="1096"/>
      <c r="Z510" s="1096"/>
      <c r="AA510" s="1096"/>
      <c r="AB510" s="1096"/>
      <c r="AC510" s="1096"/>
      <c r="AD510" s="1096"/>
      <c r="AE510" s="1096"/>
      <c r="AF510" s="1096"/>
      <c r="AG510" s="1096"/>
      <c r="AH510" s="1096"/>
      <c r="AI510" s="1096"/>
      <c r="AJ510" s="1096"/>
      <c r="AK510" s="1096"/>
      <c r="AL510" s="1096"/>
      <c r="AM510" s="1096"/>
      <c r="AN510" s="1096"/>
      <c r="AO510" s="1096"/>
      <c r="AP510" s="1096"/>
      <c r="AQ510" s="1096"/>
      <c r="AR510" s="1096"/>
      <c r="AS510" s="1096"/>
      <c r="AT510" s="1096"/>
      <c r="AU510" s="1096"/>
      <c r="AV510" s="1096"/>
      <c r="AW510" s="1096"/>
      <c r="AX510" s="1096"/>
      <c r="AY510" s="1096"/>
    </row>
    <row r="511" spans="1:51" x14ac:dyDescent="0.45">
      <c r="A511" s="1096">
        <v>1981</v>
      </c>
      <c r="B511" s="1096" t="s">
        <v>1375</v>
      </c>
      <c r="C511" s="1113">
        <f>[7]LRAll!C502</f>
        <v>75.868187579214208</v>
      </c>
      <c r="D511" s="1113">
        <f>[7]LRAll!I502</f>
        <v>77.652637818612916</v>
      </c>
      <c r="E511" s="1096"/>
      <c r="F511" s="1114">
        <f t="shared" si="12"/>
        <v>102.35204015851249</v>
      </c>
      <c r="G511" s="1096"/>
      <c r="H511" s="1096"/>
      <c r="I511" s="1096"/>
      <c r="J511" s="1096"/>
      <c r="K511" s="1096"/>
      <c r="L511" s="1096"/>
      <c r="M511" s="1096"/>
      <c r="N511" s="1096"/>
      <c r="O511" s="1096"/>
      <c r="P511" s="1096"/>
      <c r="Q511" s="1096"/>
      <c r="R511" s="1096"/>
      <c r="S511" s="1096"/>
      <c r="T511" s="1096"/>
      <c r="U511" s="1096"/>
      <c r="V511" s="1096"/>
      <c r="W511" s="1096"/>
      <c r="X511" s="1096"/>
      <c r="Y511" s="1096"/>
      <c r="Z511" s="1096"/>
      <c r="AA511" s="1096"/>
      <c r="AB511" s="1096"/>
      <c r="AC511" s="1096"/>
      <c r="AD511" s="1096"/>
      <c r="AE511" s="1096"/>
      <c r="AF511" s="1096"/>
      <c r="AG511" s="1096"/>
      <c r="AH511" s="1096"/>
      <c r="AI511" s="1096"/>
      <c r="AJ511" s="1096"/>
      <c r="AK511" s="1096"/>
      <c r="AL511" s="1096"/>
      <c r="AM511" s="1096"/>
      <c r="AN511" s="1096"/>
      <c r="AO511" s="1096"/>
      <c r="AP511" s="1096"/>
      <c r="AQ511" s="1096"/>
      <c r="AR511" s="1096"/>
      <c r="AS511" s="1096"/>
      <c r="AT511" s="1096"/>
      <c r="AU511" s="1096"/>
      <c r="AV511" s="1096"/>
      <c r="AW511" s="1096"/>
      <c r="AX511" s="1096"/>
      <c r="AY511" s="1096"/>
    </row>
    <row r="512" spans="1:51" x14ac:dyDescent="0.45">
      <c r="A512" s="1096">
        <v>1981</v>
      </c>
      <c r="B512" s="1096" t="s">
        <v>1377</v>
      </c>
      <c r="C512" s="1113">
        <f>[7]LRAll!C503</f>
        <v>76.299112801013948</v>
      </c>
      <c r="D512" s="1113">
        <f>[7]LRAll!I503</f>
        <v>77.69215570045445</v>
      </c>
      <c r="E512" s="1096"/>
      <c r="F512" s="1114">
        <f t="shared" si="12"/>
        <v>101.82576552767202</v>
      </c>
      <c r="G512" s="1096"/>
      <c r="H512" s="1096"/>
      <c r="I512" s="1096"/>
      <c r="J512" s="1096"/>
      <c r="K512" s="1096"/>
      <c r="L512" s="1096"/>
      <c r="M512" s="1096"/>
      <c r="N512" s="1096"/>
      <c r="O512" s="1096"/>
      <c r="P512" s="1096"/>
      <c r="Q512" s="1096"/>
      <c r="R512" s="1096"/>
      <c r="S512" s="1096"/>
      <c r="T512" s="1096"/>
      <c r="U512" s="1096"/>
      <c r="V512" s="1096"/>
      <c r="W512" s="1096"/>
      <c r="X512" s="1096"/>
      <c r="Y512" s="1096"/>
      <c r="Z512" s="1096"/>
      <c r="AA512" s="1096"/>
      <c r="AB512" s="1096"/>
      <c r="AC512" s="1096"/>
      <c r="AD512" s="1096"/>
      <c r="AE512" s="1096"/>
      <c r="AF512" s="1096"/>
      <c r="AG512" s="1096"/>
      <c r="AH512" s="1096"/>
      <c r="AI512" s="1096"/>
      <c r="AJ512" s="1096"/>
      <c r="AK512" s="1096"/>
      <c r="AL512" s="1096"/>
      <c r="AM512" s="1096"/>
      <c r="AN512" s="1096"/>
      <c r="AO512" s="1096"/>
      <c r="AP512" s="1096"/>
      <c r="AQ512" s="1096"/>
      <c r="AR512" s="1096"/>
      <c r="AS512" s="1096"/>
      <c r="AT512" s="1096"/>
      <c r="AU512" s="1096"/>
      <c r="AV512" s="1096"/>
      <c r="AW512" s="1096"/>
      <c r="AX512" s="1096"/>
      <c r="AY512" s="1096"/>
    </row>
    <row r="513" spans="1:51" x14ac:dyDescent="0.45">
      <c r="A513" s="1096">
        <v>1981</v>
      </c>
      <c r="B513" s="1096" t="s">
        <v>1379</v>
      </c>
      <c r="C513" s="1113">
        <f>[7]LRAll!C504</f>
        <v>76.98352344740178</v>
      </c>
      <c r="D513" s="1113">
        <f>[7]LRAll!I504</f>
        <v>78.32444180991898</v>
      </c>
      <c r="E513" s="1096"/>
      <c r="F513" s="1114">
        <f t="shared" si="12"/>
        <v>101.74182513669092</v>
      </c>
      <c r="G513" s="1096"/>
      <c r="H513" s="1096"/>
      <c r="I513" s="1096"/>
      <c r="J513" s="1096"/>
      <c r="K513" s="1096"/>
      <c r="L513" s="1096"/>
      <c r="M513" s="1096"/>
      <c r="N513" s="1096"/>
      <c r="O513" s="1096"/>
      <c r="P513" s="1096"/>
      <c r="Q513" s="1096"/>
      <c r="R513" s="1096"/>
      <c r="S513" s="1096"/>
      <c r="T513" s="1096"/>
      <c r="U513" s="1096"/>
      <c r="V513" s="1096"/>
      <c r="W513" s="1096"/>
      <c r="X513" s="1096"/>
      <c r="Y513" s="1096"/>
      <c r="Z513" s="1096"/>
      <c r="AA513" s="1096"/>
      <c r="AB513" s="1096"/>
      <c r="AC513" s="1096"/>
      <c r="AD513" s="1096"/>
      <c r="AE513" s="1096"/>
      <c r="AF513" s="1096"/>
      <c r="AG513" s="1096"/>
      <c r="AH513" s="1096"/>
      <c r="AI513" s="1096"/>
      <c r="AJ513" s="1096"/>
      <c r="AK513" s="1096"/>
      <c r="AL513" s="1096"/>
      <c r="AM513" s="1096"/>
      <c r="AN513" s="1096"/>
      <c r="AO513" s="1096"/>
      <c r="AP513" s="1096"/>
      <c r="AQ513" s="1096"/>
      <c r="AR513" s="1096"/>
      <c r="AS513" s="1096"/>
      <c r="AT513" s="1096"/>
      <c r="AU513" s="1096"/>
      <c r="AV513" s="1096"/>
      <c r="AW513" s="1096"/>
      <c r="AX513" s="1096"/>
      <c r="AY513" s="1096"/>
    </row>
    <row r="514" spans="1:51" x14ac:dyDescent="0.45">
      <c r="A514" s="1096">
        <v>1981</v>
      </c>
      <c r="B514" s="1096" t="s">
        <v>1381</v>
      </c>
      <c r="C514" s="1113">
        <f>[7]LRAll!C505</f>
        <v>77.794676806083643</v>
      </c>
      <c r="D514" s="1113">
        <f>[7]LRAll!I505</f>
        <v>78.739379569255092</v>
      </c>
      <c r="E514" s="1096"/>
      <c r="F514" s="1114">
        <f t="shared" si="12"/>
        <v>101.21435399175998</v>
      </c>
      <c r="G514" s="1096"/>
      <c r="H514" s="1096"/>
      <c r="I514" s="1096"/>
      <c r="J514" s="1096"/>
      <c r="K514" s="1096"/>
      <c r="L514" s="1096"/>
      <c r="M514" s="1096"/>
      <c r="N514" s="1096"/>
      <c r="O514" s="1096"/>
      <c r="P514" s="1096"/>
      <c r="Q514" s="1096"/>
      <c r="R514" s="1096"/>
      <c r="S514" s="1096"/>
      <c r="T514" s="1096"/>
      <c r="U514" s="1096"/>
      <c r="V514" s="1096"/>
      <c r="W514" s="1096"/>
      <c r="X514" s="1096"/>
      <c r="Y514" s="1096"/>
      <c r="Z514" s="1096"/>
      <c r="AA514" s="1096"/>
      <c r="AB514" s="1096"/>
      <c r="AC514" s="1096"/>
      <c r="AD514" s="1096"/>
      <c r="AE514" s="1096"/>
      <c r="AF514" s="1096"/>
      <c r="AG514" s="1096"/>
      <c r="AH514" s="1096"/>
      <c r="AI514" s="1096"/>
      <c r="AJ514" s="1096"/>
      <c r="AK514" s="1096"/>
      <c r="AL514" s="1096"/>
      <c r="AM514" s="1096"/>
      <c r="AN514" s="1096"/>
      <c r="AO514" s="1096"/>
      <c r="AP514" s="1096"/>
      <c r="AQ514" s="1096"/>
      <c r="AR514" s="1096"/>
      <c r="AS514" s="1096"/>
      <c r="AT514" s="1096"/>
      <c r="AU514" s="1096"/>
      <c r="AV514" s="1096"/>
      <c r="AW514" s="1096"/>
      <c r="AX514" s="1096"/>
      <c r="AY514" s="1096"/>
    </row>
    <row r="515" spans="1:51" x14ac:dyDescent="0.45">
      <c r="A515" s="1096">
        <v>1981</v>
      </c>
      <c r="B515" s="1096" t="s">
        <v>1383</v>
      </c>
      <c r="C515" s="1113">
        <f>[7]LRAll!C506</f>
        <v>78.276299112801027</v>
      </c>
      <c r="D515" s="1113">
        <f>[7]LRAll!I506</f>
        <v>78.759138510175859</v>
      </c>
      <c r="E515" s="1096"/>
      <c r="F515" s="1114">
        <f t="shared" si="12"/>
        <v>100.61683983893903</v>
      </c>
      <c r="G515" s="1096"/>
      <c r="H515" s="1096"/>
      <c r="I515" s="1096"/>
      <c r="J515" s="1096"/>
      <c r="K515" s="1096"/>
      <c r="L515" s="1096"/>
      <c r="M515" s="1096"/>
      <c r="N515" s="1096"/>
      <c r="O515" s="1096"/>
      <c r="P515" s="1096"/>
      <c r="Q515" s="1096"/>
      <c r="R515" s="1096"/>
      <c r="S515" s="1096"/>
      <c r="T515" s="1096"/>
      <c r="U515" s="1096"/>
      <c r="V515" s="1096"/>
      <c r="W515" s="1096"/>
      <c r="X515" s="1096"/>
      <c r="Y515" s="1096"/>
      <c r="Z515" s="1096"/>
      <c r="AA515" s="1096"/>
      <c r="AB515" s="1096"/>
      <c r="AC515" s="1096"/>
      <c r="AD515" s="1096"/>
      <c r="AE515" s="1096"/>
      <c r="AF515" s="1096"/>
      <c r="AG515" s="1096"/>
      <c r="AH515" s="1096"/>
      <c r="AI515" s="1096"/>
      <c r="AJ515" s="1096"/>
      <c r="AK515" s="1096"/>
      <c r="AL515" s="1096"/>
      <c r="AM515" s="1096"/>
      <c r="AN515" s="1096"/>
      <c r="AO515" s="1096"/>
      <c r="AP515" s="1096"/>
      <c r="AQ515" s="1096"/>
      <c r="AR515" s="1096"/>
      <c r="AS515" s="1096"/>
      <c r="AT515" s="1096"/>
      <c r="AU515" s="1096"/>
      <c r="AV515" s="1096"/>
      <c r="AW515" s="1096"/>
      <c r="AX515" s="1096"/>
      <c r="AY515" s="1096"/>
    </row>
    <row r="516" spans="1:51" x14ac:dyDescent="0.45">
      <c r="A516" s="1096">
        <v>1982</v>
      </c>
      <c r="B516" s="1096" t="s">
        <v>1385</v>
      </c>
      <c r="C516" s="1113">
        <f>[7]LRAll!C507</f>
        <v>78.732572877059582</v>
      </c>
      <c r="D516" s="1113">
        <f>[7]LRAll!I507</f>
        <v>79.411183560561156</v>
      </c>
      <c r="E516" s="1096"/>
      <c r="F516" s="1114">
        <f t="shared" si="12"/>
        <v>100.86191859189108</v>
      </c>
      <c r="G516" s="1096"/>
      <c r="H516" s="1096"/>
      <c r="I516" s="1096"/>
      <c r="J516" s="1096"/>
      <c r="K516" s="1096"/>
      <c r="L516" s="1096"/>
      <c r="M516" s="1096"/>
      <c r="N516" s="1096"/>
      <c r="O516" s="1096"/>
      <c r="P516" s="1096"/>
      <c r="Q516" s="1096"/>
      <c r="R516" s="1096"/>
      <c r="S516" s="1096"/>
      <c r="T516" s="1096"/>
      <c r="U516" s="1096"/>
      <c r="V516" s="1096"/>
      <c r="W516" s="1096"/>
      <c r="X516" s="1096"/>
      <c r="Y516" s="1096"/>
      <c r="Z516" s="1096"/>
      <c r="AA516" s="1096"/>
      <c r="AB516" s="1096"/>
      <c r="AC516" s="1096"/>
      <c r="AD516" s="1096"/>
      <c r="AE516" s="1096"/>
      <c r="AF516" s="1096"/>
      <c r="AG516" s="1096"/>
      <c r="AH516" s="1096"/>
      <c r="AI516" s="1096"/>
      <c r="AJ516" s="1096"/>
      <c r="AK516" s="1096"/>
      <c r="AL516" s="1096"/>
      <c r="AM516" s="1096"/>
      <c r="AN516" s="1096"/>
      <c r="AO516" s="1096"/>
      <c r="AP516" s="1096"/>
      <c r="AQ516" s="1096"/>
      <c r="AR516" s="1096"/>
      <c r="AS516" s="1096"/>
      <c r="AT516" s="1096"/>
      <c r="AU516" s="1096"/>
      <c r="AV516" s="1096"/>
      <c r="AW516" s="1096"/>
      <c r="AX516" s="1096"/>
      <c r="AY516" s="1096"/>
    </row>
    <row r="517" spans="1:51" x14ac:dyDescent="0.45">
      <c r="A517" s="1096">
        <v>1982</v>
      </c>
      <c r="B517" s="1096" t="s">
        <v>1387</v>
      </c>
      <c r="C517" s="1113">
        <f>[7]LRAll!C508</f>
        <v>78.757921419518382</v>
      </c>
      <c r="D517" s="1113">
        <f>[7]LRAll!I508</f>
        <v>80.320094842916419</v>
      </c>
      <c r="E517" s="1096"/>
      <c r="F517" s="1114">
        <f t="shared" si="12"/>
        <v>101.9835127632138</v>
      </c>
      <c r="G517" s="1096"/>
      <c r="H517" s="1096"/>
      <c r="I517" s="1096"/>
      <c r="J517" s="1096"/>
      <c r="K517" s="1096"/>
      <c r="L517" s="1096"/>
      <c r="M517" s="1096"/>
      <c r="N517" s="1096"/>
      <c r="O517" s="1096"/>
      <c r="P517" s="1096"/>
      <c r="Q517" s="1096"/>
      <c r="R517" s="1096"/>
      <c r="S517" s="1096"/>
      <c r="T517" s="1096"/>
      <c r="U517" s="1096"/>
      <c r="V517" s="1096"/>
      <c r="W517" s="1096"/>
      <c r="X517" s="1096"/>
      <c r="Y517" s="1096"/>
      <c r="Z517" s="1096"/>
      <c r="AA517" s="1096"/>
      <c r="AB517" s="1096"/>
      <c r="AC517" s="1096"/>
      <c r="AD517" s="1096"/>
      <c r="AE517" s="1096"/>
      <c r="AF517" s="1096"/>
      <c r="AG517" s="1096"/>
      <c r="AH517" s="1096"/>
      <c r="AI517" s="1096"/>
      <c r="AJ517" s="1096"/>
      <c r="AK517" s="1096"/>
      <c r="AL517" s="1096"/>
      <c r="AM517" s="1096"/>
      <c r="AN517" s="1096"/>
      <c r="AO517" s="1096"/>
      <c r="AP517" s="1096"/>
      <c r="AQ517" s="1096"/>
      <c r="AR517" s="1096"/>
      <c r="AS517" s="1096"/>
      <c r="AT517" s="1096"/>
      <c r="AU517" s="1096"/>
      <c r="AV517" s="1096"/>
      <c r="AW517" s="1096"/>
      <c r="AX517" s="1096"/>
      <c r="AY517" s="1096"/>
    </row>
    <row r="518" spans="1:51" x14ac:dyDescent="0.45">
      <c r="A518" s="1096">
        <v>1982</v>
      </c>
      <c r="B518" s="1096" t="s">
        <v>1389</v>
      </c>
      <c r="C518" s="1113">
        <f>[7]LRAll!C509</f>
        <v>79.442332065906214</v>
      </c>
      <c r="D518" s="1113">
        <f>[7]LRAll!I509</f>
        <v>81.051175656984782</v>
      </c>
      <c r="E518" s="1096"/>
      <c r="F518" s="1114">
        <f t="shared" si="12"/>
        <v>102.02517165501115</v>
      </c>
      <c r="G518" s="1096"/>
      <c r="H518" s="1096"/>
      <c r="I518" s="1096"/>
      <c r="J518" s="1096"/>
      <c r="K518" s="1096"/>
      <c r="L518" s="1096"/>
      <c r="M518" s="1096"/>
      <c r="N518" s="1096"/>
      <c r="O518" s="1096"/>
      <c r="P518" s="1096"/>
      <c r="Q518" s="1096"/>
      <c r="R518" s="1096"/>
      <c r="S518" s="1096"/>
      <c r="T518" s="1096"/>
      <c r="U518" s="1096"/>
      <c r="V518" s="1096"/>
      <c r="W518" s="1096"/>
      <c r="X518" s="1096"/>
      <c r="Y518" s="1096"/>
      <c r="Z518" s="1096"/>
      <c r="AA518" s="1096"/>
      <c r="AB518" s="1096"/>
      <c r="AC518" s="1096"/>
      <c r="AD518" s="1096"/>
      <c r="AE518" s="1096"/>
      <c r="AF518" s="1096"/>
      <c r="AG518" s="1096"/>
      <c r="AH518" s="1096"/>
      <c r="AI518" s="1096"/>
      <c r="AJ518" s="1096"/>
      <c r="AK518" s="1096"/>
      <c r="AL518" s="1096"/>
      <c r="AM518" s="1096"/>
      <c r="AN518" s="1096"/>
      <c r="AO518" s="1096"/>
      <c r="AP518" s="1096"/>
      <c r="AQ518" s="1096"/>
      <c r="AR518" s="1096"/>
      <c r="AS518" s="1096"/>
      <c r="AT518" s="1096"/>
      <c r="AU518" s="1096"/>
      <c r="AV518" s="1096"/>
      <c r="AW518" s="1096"/>
      <c r="AX518" s="1096"/>
      <c r="AY518" s="1096"/>
    </row>
    <row r="519" spans="1:51" x14ac:dyDescent="0.45">
      <c r="A519" s="1096">
        <v>1982</v>
      </c>
      <c r="B519" s="1096" t="s">
        <v>1391</v>
      </c>
      <c r="C519" s="1113">
        <f>[7]LRAll!C510</f>
        <v>81.039290240811155</v>
      </c>
      <c r="D519" s="1113">
        <f>[7]LRAll!I510</f>
        <v>82.236712112230776</v>
      </c>
      <c r="E519" s="1096"/>
      <c r="F519" s="1114">
        <f t="shared" si="12"/>
        <v>101.47758188387563</v>
      </c>
      <c r="G519" s="1096"/>
      <c r="H519" s="1096"/>
      <c r="I519" s="1096"/>
      <c r="J519" s="1096"/>
      <c r="K519" s="1096"/>
      <c r="L519" s="1096"/>
      <c r="M519" s="1096"/>
      <c r="N519" s="1096"/>
      <c r="O519" s="1096"/>
      <c r="P519" s="1096"/>
      <c r="Q519" s="1096"/>
      <c r="R519" s="1096"/>
      <c r="S519" s="1096"/>
      <c r="T519" s="1096"/>
      <c r="U519" s="1096"/>
      <c r="V519" s="1096"/>
      <c r="W519" s="1096"/>
      <c r="X519" s="1096"/>
      <c r="Y519" s="1096"/>
      <c r="Z519" s="1096"/>
      <c r="AA519" s="1096"/>
      <c r="AB519" s="1096"/>
      <c r="AC519" s="1096"/>
      <c r="AD519" s="1096"/>
      <c r="AE519" s="1096"/>
      <c r="AF519" s="1096"/>
      <c r="AG519" s="1096"/>
      <c r="AH519" s="1096"/>
      <c r="AI519" s="1096"/>
      <c r="AJ519" s="1096"/>
      <c r="AK519" s="1096"/>
      <c r="AL519" s="1096"/>
      <c r="AM519" s="1096"/>
      <c r="AN519" s="1096"/>
      <c r="AO519" s="1096"/>
      <c r="AP519" s="1096"/>
      <c r="AQ519" s="1096"/>
      <c r="AR519" s="1096"/>
      <c r="AS519" s="1096"/>
      <c r="AT519" s="1096"/>
      <c r="AU519" s="1096"/>
      <c r="AV519" s="1096"/>
      <c r="AW519" s="1096"/>
      <c r="AX519" s="1096"/>
      <c r="AY519" s="1096"/>
    </row>
    <row r="520" spans="1:51" x14ac:dyDescent="0.45">
      <c r="A520" s="1096">
        <v>1982</v>
      </c>
      <c r="B520" s="1096" t="s">
        <v>1393</v>
      </c>
      <c r="C520" s="1113">
        <f>[7]LRAll!C511</f>
        <v>81.622306717363756</v>
      </c>
      <c r="D520" s="1113">
        <f>[7]LRAll!I511</f>
        <v>84.192847263386682</v>
      </c>
      <c r="E520" s="1096"/>
      <c r="F520" s="1114">
        <f t="shared" si="12"/>
        <v>103.14931132113678</v>
      </c>
      <c r="G520" s="1096"/>
      <c r="H520" s="1096"/>
      <c r="I520" s="1096"/>
      <c r="J520" s="1096"/>
      <c r="K520" s="1096"/>
      <c r="L520" s="1096"/>
      <c r="M520" s="1096"/>
      <c r="N520" s="1096"/>
      <c r="O520" s="1096"/>
      <c r="P520" s="1096"/>
      <c r="Q520" s="1096"/>
      <c r="R520" s="1096"/>
      <c r="S520" s="1096"/>
      <c r="T520" s="1096"/>
      <c r="U520" s="1096"/>
      <c r="V520" s="1096"/>
      <c r="W520" s="1096"/>
      <c r="X520" s="1096"/>
      <c r="Y520" s="1096"/>
      <c r="Z520" s="1096"/>
      <c r="AA520" s="1096"/>
      <c r="AB520" s="1096"/>
      <c r="AC520" s="1096"/>
      <c r="AD520" s="1096"/>
      <c r="AE520" s="1096"/>
      <c r="AF520" s="1096"/>
      <c r="AG520" s="1096"/>
      <c r="AH520" s="1096"/>
      <c r="AI520" s="1096"/>
      <c r="AJ520" s="1096"/>
      <c r="AK520" s="1096"/>
      <c r="AL520" s="1096"/>
      <c r="AM520" s="1096"/>
      <c r="AN520" s="1096"/>
      <c r="AO520" s="1096"/>
      <c r="AP520" s="1096"/>
      <c r="AQ520" s="1096"/>
      <c r="AR520" s="1096"/>
      <c r="AS520" s="1096"/>
      <c r="AT520" s="1096"/>
      <c r="AU520" s="1096"/>
      <c r="AV520" s="1096"/>
      <c r="AW520" s="1096"/>
      <c r="AX520" s="1096"/>
      <c r="AY520" s="1096"/>
    </row>
    <row r="521" spans="1:51" x14ac:dyDescent="0.45">
      <c r="A521" s="1096">
        <v>1982</v>
      </c>
      <c r="B521" s="1096" t="s">
        <v>1371</v>
      </c>
      <c r="C521" s="1113">
        <f>[7]LRAll!C512</f>
        <v>81.850443599493033</v>
      </c>
      <c r="D521" s="1113">
        <f>[7]LRAll!I512</f>
        <v>86.148982414542587</v>
      </c>
      <c r="E521" s="1096"/>
      <c r="F521" s="1114">
        <f t="shared" si="12"/>
        <v>105.25169886199149</v>
      </c>
      <c r="G521" s="1096"/>
      <c r="H521" s="1096"/>
      <c r="I521" s="1096"/>
      <c r="J521" s="1096"/>
      <c r="K521" s="1096"/>
      <c r="L521" s="1096"/>
      <c r="M521" s="1096"/>
      <c r="N521" s="1096"/>
      <c r="O521" s="1096"/>
      <c r="P521" s="1096"/>
      <c r="Q521" s="1096"/>
      <c r="R521" s="1096"/>
      <c r="S521" s="1096"/>
      <c r="T521" s="1096"/>
      <c r="U521" s="1096"/>
      <c r="V521" s="1096"/>
      <c r="W521" s="1096"/>
      <c r="X521" s="1096"/>
      <c r="Y521" s="1096"/>
      <c r="Z521" s="1096"/>
      <c r="AA521" s="1096"/>
      <c r="AB521" s="1096"/>
      <c r="AC521" s="1096"/>
      <c r="AD521" s="1096"/>
      <c r="AE521" s="1096"/>
      <c r="AF521" s="1096"/>
      <c r="AG521" s="1096"/>
      <c r="AH521" s="1096"/>
      <c r="AI521" s="1096"/>
      <c r="AJ521" s="1096"/>
      <c r="AK521" s="1096"/>
      <c r="AL521" s="1096"/>
      <c r="AM521" s="1096"/>
      <c r="AN521" s="1096"/>
      <c r="AO521" s="1096"/>
      <c r="AP521" s="1096"/>
      <c r="AQ521" s="1096"/>
      <c r="AR521" s="1096"/>
      <c r="AS521" s="1096"/>
      <c r="AT521" s="1096"/>
      <c r="AU521" s="1096"/>
      <c r="AV521" s="1096"/>
      <c r="AW521" s="1096"/>
      <c r="AX521" s="1096"/>
      <c r="AY521" s="1096"/>
    </row>
    <row r="522" spans="1:51" x14ac:dyDescent="0.45">
      <c r="A522" s="1096">
        <v>1982</v>
      </c>
      <c r="B522" s="1096" t="s">
        <v>1373</v>
      </c>
      <c r="C522" s="1113">
        <f>[7]LRAll!C513</f>
        <v>81.875792141951848</v>
      </c>
      <c r="D522" s="1113">
        <f>[7]LRAll!I513</f>
        <v>87.176447342422449</v>
      </c>
      <c r="E522" s="1096"/>
      <c r="F522" s="1114">
        <f t="shared" si="12"/>
        <v>106.47402005134876</v>
      </c>
      <c r="G522" s="1096"/>
      <c r="H522" s="1096"/>
      <c r="I522" s="1096"/>
      <c r="J522" s="1096"/>
      <c r="K522" s="1096"/>
      <c r="L522" s="1096"/>
      <c r="M522" s="1096"/>
      <c r="N522" s="1096"/>
      <c r="O522" s="1096"/>
      <c r="P522" s="1096"/>
      <c r="Q522" s="1096"/>
      <c r="R522" s="1096"/>
      <c r="S522" s="1096"/>
      <c r="T522" s="1096"/>
      <c r="U522" s="1096"/>
      <c r="V522" s="1096"/>
      <c r="W522" s="1096"/>
      <c r="X522" s="1096"/>
      <c r="Y522" s="1096"/>
      <c r="Z522" s="1096"/>
      <c r="AA522" s="1096"/>
      <c r="AB522" s="1096"/>
      <c r="AC522" s="1096"/>
      <c r="AD522" s="1096"/>
      <c r="AE522" s="1096"/>
      <c r="AF522" s="1096"/>
      <c r="AG522" s="1096"/>
      <c r="AH522" s="1096"/>
      <c r="AI522" s="1096"/>
      <c r="AJ522" s="1096"/>
      <c r="AK522" s="1096"/>
      <c r="AL522" s="1096"/>
      <c r="AM522" s="1096"/>
      <c r="AN522" s="1096"/>
      <c r="AO522" s="1096"/>
      <c r="AP522" s="1096"/>
      <c r="AQ522" s="1096"/>
      <c r="AR522" s="1096"/>
      <c r="AS522" s="1096"/>
      <c r="AT522" s="1096"/>
      <c r="AU522" s="1096"/>
      <c r="AV522" s="1096"/>
      <c r="AW522" s="1096"/>
      <c r="AX522" s="1096"/>
      <c r="AY522" s="1096"/>
    </row>
    <row r="523" spans="1:51" x14ac:dyDescent="0.45">
      <c r="A523" s="1096">
        <v>1982</v>
      </c>
      <c r="B523" s="1096" t="s">
        <v>1375</v>
      </c>
      <c r="C523" s="1113">
        <f>[7]LRAll!C514</f>
        <v>81.901140684410649</v>
      </c>
      <c r="D523" s="1113">
        <f>[7]LRAll!I514</f>
        <v>88.006322861094645</v>
      </c>
      <c r="E523" s="1096"/>
      <c r="F523" s="1114">
        <f t="shared" si="12"/>
        <v>107.45433106995308</v>
      </c>
      <c r="G523" s="1096"/>
      <c r="H523" s="1096"/>
      <c r="I523" s="1096"/>
      <c r="J523" s="1096"/>
      <c r="K523" s="1096"/>
      <c r="L523" s="1096"/>
      <c r="M523" s="1096"/>
      <c r="N523" s="1096"/>
      <c r="O523" s="1096"/>
      <c r="P523" s="1096"/>
      <c r="Q523" s="1096"/>
      <c r="R523" s="1096"/>
      <c r="S523" s="1096"/>
      <c r="T523" s="1096"/>
      <c r="U523" s="1096"/>
      <c r="V523" s="1096"/>
      <c r="W523" s="1096"/>
      <c r="X523" s="1096"/>
      <c r="Y523" s="1096"/>
      <c r="Z523" s="1096"/>
      <c r="AA523" s="1096"/>
      <c r="AB523" s="1096"/>
      <c r="AC523" s="1096"/>
      <c r="AD523" s="1096"/>
      <c r="AE523" s="1096"/>
      <c r="AF523" s="1096"/>
      <c r="AG523" s="1096"/>
      <c r="AH523" s="1096"/>
      <c r="AI523" s="1096"/>
      <c r="AJ523" s="1096"/>
      <c r="AK523" s="1096"/>
      <c r="AL523" s="1096"/>
      <c r="AM523" s="1096"/>
      <c r="AN523" s="1096"/>
      <c r="AO523" s="1096"/>
      <c r="AP523" s="1096"/>
      <c r="AQ523" s="1096"/>
      <c r="AR523" s="1096"/>
      <c r="AS523" s="1096"/>
      <c r="AT523" s="1096"/>
      <c r="AU523" s="1096"/>
      <c r="AV523" s="1096"/>
      <c r="AW523" s="1096"/>
      <c r="AX523" s="1096"/>
      <c r="AY523" s="1096"/>
    </row>
    <row r="524" spans="1:51" x14ac:dyDescent="0.45">
      <c r="A524" s="1096">
        <v>1982</v>
      </c>
      <c r="B524" s="1096" t="s">
        <v>1377</v>
      </c>
      <c r="C524" s="1113">
        <f>[7]LRAll!C515</f>
        <v>81.850443599493033</v>
      </c>
      <c r="D524" s="1113">
        <f>[7]LRAll!I515</f>
        <v>88.026081802015412</v>
      </c>
      <c r="E524" s="1096"/>
      <c r="F524" s="1114">
        <f t="shared" si="12"/>
        <v>107.54502716288347</v>
      </c>
      <c r="G524" s="1096"/>
      <c r="H524" s="1096"/>
      <c r="I524" s="1096"/>
      <c r="J524" s="1096"/>
      <c r="K524" s="1096"/>
      <c r="L524" s="1096"/>
      <c r="M524" s="1096"/>
      <c r="N524" s="1096"/>
      <c r="O524" s="1096"/>
      <c r="P524" s="1096"/>
      <c r="Q524" s="1096"/>
      <c r="R524" s="1096"/>
      <c r="S524" s="1096"/>
      <c r="T524" s="1096"/>
      <c r="U524" s="1096"/>
      <c r="V524" s="1096"/>
      <c r="W524" s="1096"/>
      <c r="X524" s="1096"/>
      <c r="Y524" s="1096"/>
      <c r="Z524" s="1096"/>
      <c r="AA524" s="1096"/>
      <c r="AB524" s="1096"/>
      <c r="AC524" s="1096"/>
      <c r="AD524" s="1096"/>
      <c r="AE524" s="1096"/>
      <c r="AF524" s="1096"/>
      <c r="AG524" s="1096"/>
      <c r="AH524" s="1096"/>
      <c r="AI524" s="1096"/>
      <c r="AJ524" s="1096"/>
      <c r="AK524" s="1096"/>
      <c r="AL524" s="1096"/>
      <c r="AM524" s="1096"/>
      <c r="AN524" s="1096"/>
      <c r="AO524" s="1096"/>
      <c r="AP524" s="1096"/>
      <c r="AQ524" s="1096"/>
      <c r="AR524" s="1096"/>
      <c r="AS524" s="1096"/>
      <c r="AT524" s="1096"/>
      <c r="AU524" s="1096"/>
      <c r="AV524" s="1096"/>
      <c r="AW524" s="1096"/>
      <c r="AX524" s="1096"/>
      <c r="AY524" s="1096"/>
    </row>
    <row r="525" spans="1:51" x14ac:dyDescent="0.45">
      <c r="A525" s="1096">
        <v>1982</v>
      </c>
      <c r="B525" s="1096" t="s">
        <v>1379</v>
      </c>
      <c r="C525" s="1113">
        <f>[7]LRAll!C516</f>
        <v>82.256020278833972</v>
      </c>
      <c r="D525" s="1113">
        <f>[7]LRAll!I516</f>
        <v>88.717644734242242</v>
      </c>
      <c r="E525" s="1096"/>
      <c r="F525" s="1114">
        <f t="shared" si="12"/>
        <v>107.85550338261498</v>
      </c>
      <c r="G525" s="1096"/>
      <c r="H525" s="1096"/>
      <c r="I525" s="1096"/>
      <c r="J525" s="1096"/>
      <c r="K525" s="1096"/>
      <c r="L525" s="1096"/>
      <c r="M525" s="1096"/>
      <c r="N525" s="1096"/>
      <c r="O525" s="1096"/>
      <c r="P525" s="1096"/>
      <c r="Q525" s="1096"/>
      <c r="R525" s="1096"/>
      <c r="S525" s="1096"/>
      <c r="T525" s="1096"/>
      <c r="U525" s="1096"/>
      <c r="V525" s="1096"/>
      <c r="W525" s="1096"/>
      <c r="X525" s="1096"/>
      <c r="Y525" s="1096"/>
      <c r="Z525" s="1096"/>
      <c r="AA525" s="1096"/>
      <c r="AB525" s="1096"/>
      <c r="AC525" s="1096"/>
      <c r="AD525" s="1096"/>
      <c r="AE525" s="1096"/>
      <c r="AF525" s="1096"/>
      <c r="AG525" s="1096"/>
      <c r="AH525" s="1096"/>
      <c r="AI525" s="1096"/>
      <c r="AJ525" s="1096"/>
      <c r="AK525" s="1096"/>
      <c r="AL525" s="1096"/>
      <c r="AM525" s="1096"/>
      <c r="AN525" s="1096"/>
      <c r="AO525" s="1096"/>
      <c r="AP525" s="1096"/>
      <c r="AQ525" s="1096"/>
      <c r="AR525" s="1096"/>
      <c r="AS525" s="1096"/>
      <c r="AT525" s="1096"/>
      <c r="AU525" s="1096"/>
      <c r="AV525" s="1096"/>
      <c r="AW525" s="1096"/>
      <c r="AX525" s="1096"/>
      <c r="AY525" s="1096"/>
    </row>
    <row r="526" spans="1:51" x14ac:dyDescent="0.45">
      <c r="A526" s="1096">
        <v>1982</v>
      </c>
      <c r="B526" s="1096" t="s">
        <v>1381</v>
      </c>
      <c r="C526" s="1113">
        <f>[7]LRAll!C517</f>
        <v>82.661596958174911</v>
      </c>
      <c r="D526" s="1113">
        <f>[7]LRAll!I517</f>
        <v>90.515708358032015</v>
      </c>
      <c r="E526" s="1096"/>
      <c r="F526" s="1114">
        <f t="shared" si="12"/>
        <v>109.50152391059069</v>
      </c>
      <c r="G526" s="1096"/>
      <c r="H526" s="1096"/>
      <c r="I526" s="1096"/>
      <c r="J526" s="1096"/>
      <c r="K526" s="1096"/>
      <c r="L526" s="1096"/>
      <c r="M526" s="1096"/>
      <c r="N526" s="1096"/>
      <c r="O526" s="1096"/>
      <c r="P526" s="1096"/>
      <c r="Q526" s="1096"/>
      <c r="R526" s="1096"/>
      <c r="S526" s="1096"/>
      <c r="T526" s="1096"/>
      <c r="U526" s="1096"/>
      <c r="V526" s="1096"/>
      <c r="W526" s="1096"/>
      <c r="X526" s="1096"/>
      <c r="Y526" s="1096"/>
      <c r="Z526" s="1096"/>
      <c r="AA526" s="1096"/>
      <c r="AB526" s="1096"/>
      <c r="AC526" s="1096"/>
      <c r="AD526" s="1096"/>
      <c r="AE526" s="1096"/>
      <c r="AF526" s="1096"/>
      <c r="AG526" s="1096"/>
      <c r="AH526" s="1096"/>
      <c r="AI526" s="1096"/>
      <c r="AJ526" s="1096"/>
      <c r="AK526" s="1096"/>
      <c r="AL526" s="1096"/>
      <c r="AM526" s="1096"/>
      <c r="AN526" s="1096"/>
      <c r="AO526" s="1096"/>
      <c r="AP526" s="1096"/>
      <c r="AQ526" s="1096"/>
      <c r="AR526" s="1096"/>
      <c r="AS526" s="1096"/>
      <c r="AT526" s="1096"/>
      <c r="AU526" s="1096"/>
      <c r="AV526" s="1096"/>
      <c r="AW526" s="1096"/>
      <c r="AX526" s="1096"/>
      <c r="AY526" s="1096"/>
    </row>
    <row r="527" spans="1:51" x14ac:dyDescent="0.45">
      <c r="A527" s="1096">
        <v>1982</v>
      </c>
      <c r="B527" s="1096" t="s">
        <v>1383</v>
      </c>
      <c r="C527" s="1113">
        <f>[7]LRAll!C518</f>
        <v>82.50950570342205</v>
      </c>
      <c r="D527" s="1113">
        <f>[7]LRAll!I518</f>
        <v>91.46413752222881</v>
      </c>
      <c r="E527" s="1096"/>
      <c r="F527" s="1114">
        <f t="shared" si="12"/>
        <v>110.85284870205612</v>
      </c>
      <c r="G527" s="1096"/>
      <c r="H527" s="1096"/>
      <c r="I527" s="1096"/>
      <c r="J527" s="1096"/>
      <c r="K527" s="1096"/>
      <c r="L527" s="1096"/>
      <c r="M527" s="1096"/>
      <c r="N527" s="1096"/>
      <c r="O527" s="1096"/>
      <c r="P527" s="1096"/>
      <c r="Q527" s="1096"/>
      <c r="R527" s="1096"/>
      <c r="S527" s="1096"/>
      <c r="T527" s="1096"/>
      <c r="U527" s="1096"/>
      <c r="V527" s="1096"/>
      <c r="W527" s="1096"/>
      <c r="X527" s="1096"/>
      <c r="Y527" s="1096"/>
      <c r="Z527" s="1096"/>
      <c r="AA527" s="1096"/>
      <c r="AB527" s="1096"/>
      <c r="AC527" s="1096"/>
      <c r="AD527" s="1096"/>
      <c r="AE527" s="1096"/>
      <c r="AF527" s="1096"/>
      <c r="AG527" s="1096"/>
      <c r="AH527" s="1096"/>
      <c r="AI527" s="1096"/>
      <c r="AJ527" s="1096"/>
      <c r="AK527" s="1096"/>
      <c r="AL527" s="1096"/>
      <c r="AM527" s="1096"/>
      <c r="AN527" s="1096"/>
      <c r="AO527" s="1096"/>
      <c r="AP527" s="1096"/>
      <c r="AQ527" s="1096"/>
      <c r="AR527" s="1096"/>
      <c r="AS527" s="1096"/>
      <c r="AT527" s="1096"/>
      <c r="AU527" s="1096"/>
      <c r="AV527" s="1096"/>
      <c r="AW527" s="1096"/>
      <c r="AX527" s="1096"/>
      <c r="AY527" s="1096"/>
    </row>
    <row r="528" spans="1:51" x14ac:dyDescent="0.45">
      <c r="A528" s="1096">
        <v>1983</v>
      </c>
      <c r="B528" s="1096" t="s">
        <v>1385</v>
      </c>
      <c r="C528" s="1113">
        <f>[7]LRAll!C519</f>
        <v>82.610899873257281</v>
      </c>
      <c r="D528" s="1113">
        <f>[7]LRAll!I519</f>
        <v>92.27425409998024</v>
      </c>
      <c r="E528" s="1096"/>
      <c r="F528" s="1114">
        <f t="shared" si="12"/>
        <v>111.69743247143973</v>
      </c>
      <c r="G528" s="1096"/>
      <c r="H528" s="1096"/>
      <c r="I528" s="1096"/>
      <c r="J528" s="1096"/>
      <c r="K528" s="1096"/>
      <c r="L528" s="1096"/>
      <c r="M528" s="1096"/>
      <c r="N528" s="1096"/>
      <c r="O528" s="1096"/>
      <c r="P528" s="1096"/>
      <c r="Q528" s="1096"/>
      <c r="R528" s="1096"/>
      <c r="S528" s="1096"/>
      <c r="T528" s="1096"/>
      <c r="U528" s="1096"/>
      <c r="V528" s="1096"/>
      <c r="W528" s="1096"/>
      <c r="X528" s="1096"/>
      <c r="Y528" s="1096"/>
      <c r="Z528" s="1096"/>
      <c r="AA528" s="1096"/>
      <c r="AB528" s="1096"/>
      <c r="AC528" s="1096"/>
      <c r="AD528" s="1096"/>
      <c r="AE528" s="1096"/>
      <c r="AF528" s="1096"/>
      <c r="AG528" s="1096"/>
      <c r="AH528" s="1096"/>
      <c r="AI528" s="1096"/>
      <c r="AJ528" s="1096"/>
      <c r="AK528" s="1096"/>
      <c r="AL528" s="1096"/>
      <c r="AM528" s="1096"/>
      <c r="AN528" s="1096"/>
      <c r="AO528" s="1096"/>
      <c r="AP528" s="1096"/>
      <c r="AQ528" s="1096"/>
      <c r="AR528" s="1096"/>
      <c r="AS528" s="1096"/>
      <c r="AT528" s="1096"/>
      <c r="AU528" s="1096"/>
      <c r="AV528" s="1096"/>
      <c r="AW528" s="1096"/>
      <c r="AX528" s="1096"/>
      <c r="AY528" s="1096"/>
    </row>
    <row r="529" spans="1:51" x14ac:dyDescent="0.45">
      <c r="A529" s="1096">
        <v>1983</v>
      </c>
      <c r="B529" s="1096" t="s">
        <v>1387</v>
      </c>
      <c r="C529" s="1113">
        <f>[7]LRAll!C520</f>
        <v>82.965779467680619</v>
      </c>
      <c r="D529" s="1113">
        <f>[7]LRAll!I520</f>
        <v>91.839557399723375</v>
      </c>
      <c r="E529" s="1096"/>
      <c r="F529" s="1114">
        <f t="shared" si="12"/>
        <v>110.695708506541</v>
      </c>
      <c r="G529" s="1096"/>
      <c r="H529" s="1096"/>
      <c r="I529" s="1096"/>
      <c r="J529" s="1096"/>
      <c r="K529" s="1096"/>
      <c r="L529" s="1096"/>
      <c r="M529" s="1096"/>
      <c r="N529" s="1096"/>
      <c r="O529" s="1096"/>
      <c r="P529" s="1096"/>
      <c r="Q529" s="1096"/>
      <c r="R529" s="1096"/>
      <c r="S529" s="1096"/>
      <c r="T529" s="1096"/>
      <c r="U529" s="1096"/>
      <c r="V529" s="1096"/>
      <c r="W529" s="1096"/>
      <c r="X529" s="1096"/>
      <c r="Y529" s="1096"/>
      <c r="Z529" s="1096"/>
      <c r="AA529" s="1096"/>
      <c r="AB529" s="1096"/>
      <c r="AC529" s="1096"/>
      <c r="AD529" s="1096"/>
      <c r="AE529" s="1096"/>
      <c r="AF529" s="1096"/>
      <c r="AG529" s="1096"/>
      <c r="AH529" s="1096"/>
      <c r="AI529" s="1096"/>
      <c r="AJ529" s="1096"/>
      <c r="AK529" s="1096"/>
      <c r="AL529" s="1096"/>
      <c r="AM529" s="1096"/>
      <c r="AN529" s="1096"/>
      <c r="AO529" s="1096"/>
      <c r="AP529" s="1096"/>
      <c r="AQ529" s="1096"/>
      <c r="AR529" s="1096"/>
      <c r="AS529" s="1096"/>
      <c r="AT529" s="1096"/>
      <c r="AU529" s="1096"/>
      <c r="AV529" s="1096"/>
      <c r="AW529" s="1096"/>
      <c r="AX529" s="1096"/>
      <c r="AY529" s="1096"/>
    </row>
    <row r="530" spans="1:51" x14ac:dyDescent="0.45">
      <c r="A530" s="1096">
        <v>1983</v>
      </c>
      <c r="B530" s="1096" t="s">
        <v>1389</v>
      </c>
      <c r="C530" s="1113">
        <f>[7]LRAll!C521</f>
        <v>83.117870722433452</v>
      </c>
      <c r="D530" s="1113">
        <f>[7]LRAll!I521</f>
        <v>91.997628927089508</v>
      </c>
      <c r="E530" s="1096"/>
      <c r="F530" s="1114">
        <f t="shared" si="12"/>
        <v>110.68333214924311</v>
      </c>
      <c r="G530" s="1096"/>
      <c r="H530" s="1096"/>
      <c r="I530" s="1096"/>
      <c r="J530" s="1096"/>
      <c r="K530" s="1096"/>
      <c r="L530" s="1096"/>
      <c r="M530" s="1096"/>
      <c r="N530" s="1096"/>
      <c r="O530" s="1096"/>
      <c r="P530" s="1096"/>
      <c r="Q530" s="1096"/>
      <c r="R530" s="1096"/>
      <c r="S530" s="1096"/>
      <c r="T530" s="1096"/>
      <c r="U530" s="1096"/>
      <c r="V530" s="1096"/>
      <c r="W530" s="1096"/>
      <c r="X530" s="1096"/>
      <c r="Y530" s="1096"/>
      <c r="Z530" s="1096"/>
      <c r="AA530" s="1096"/>
      <c r="AB530" s="1096"/>
      <c r="AC530" s="1096"/>
      <c r="AD530" s="1096"/>
      <c r="AE530" s="1096"/>
      <c r="AF530" s="1096"/>
      <c r="AG530" s="1096"/>
      <c r="AH530" s="1096"/>
      <c r="AI530" s="1096"/>
      <c r="AJ530" s="1096"/>
      <c r="AK530" s="1096"/>
      <c r="AL530" s="1096"/>
      <c r="AM530" s="1096"/>
      <c r="AN530" s="1096"/>
      <c r="AO530" s="1096"/>
      <c r="AP530" s="1096"/>
      <c r="AQ530" s="1096"/>
      <c r="AR530" s="1096"/>
      <c r="AS530" s="1096"/>
      <c r="AT530" s="1096"/>
      <c r="AU530" s="1096"/>
      <c r="AV530" s="1096"/>
      <c r="AW530" s="1096"/>
      <c r="AX530" s="1096"/>
      <c r="AY530" s="1096"/>
    </row>
    <row r="531" spans="1:51" x14ac:dyDescent="0.45">
      <c r="A531" s="1096">
        <v>1983</v>
      </c>
      <c r="B531" s="1096" t="s">
        <v>1391</v>
      </c>
      <c r="C531" s="1113">
        <f>[7]LRAll!C522</f>
        <v>84.283903675538653</v>
      </c>
      <c r="D531" s="1113">
        <f>[7]LRAll!I522</f>
        <v>91.977869986168741</v>
      </c>
      <c r="E531" s="1096"/>
      <c r="F531" s="1114">
        <f t="shared" si="12"/>
        <v>109.1286307053942</v>
      </c>
      <c r="G531" s="1096"/>
      <c r="H531" s="1096"/>
      <c r="I531" s="1096"/>
      <c r="J531" s="1096"/>
      <c r="K531" s="1096"/>
      <c r="L531" s="1096"/>
      <c r="M531" s="1096"/>
      <c r="N531" s="1096"/>
      <c r="O531" s="1096"/>
      <c r="P531" s="1096"/>
      <c r="Q531" s="1096"/>
      <c r="R531" s="1096"/>
      <c r="S531" s="1096"/>
      <c r="T531" s="1096"/>
      <c r="U531" s="1096"/>
      <c r="V531" s="1096"/>
      <c r="W531" s="1096"/>
      <c r="X531" s="1096"/>
      <c r="Y531" s="1096"/>
      <c r="Z531" s="1096"/>
      <c r="AA531" s="1096"/>
      <c r="AB531" s="1096"/>
      <c r="AC531" s="1096"/>
      <c r="AD531" s="1096"/>
      <c r="AE531" s="1096"/>
      <c r="AF531" s="1096"/>
      <c r="AG531" s="1096"/>
      <c r="AH531" s="1096"/>
      <c r="AI531" s="1096"/>
      <c r="AJ531" s="1096"/>
      <c r="AK531" s="1096"/>
      <c r="AL531" s="1096"/>
      <c r="AM531" s="1096"/>
      <c r="AN531" s="1096"/>
      <c r="AO531" s="1096"/>
      <c r="AP531" s="1096"/>
      <c r="AQ531" s="1096"/>
      <c r="AR531" s="1096"/>
      <c r="AS531" s="1096"/>
      <c r="AT531" s="1096"/>
      <c r="AU531" s="1096"/>
      <c r="AV531" s="1096"/>
      <c r="AW531" s="1096"/>
      <c r="AX531" s="1096"/>
      <c r="AY531" s="1096"/>
    </row>
    <row r="532" spans="1:51" x14ac:dyDescent="0.45">
      <c r="A532" s="1096">
        <v>1983</v>
      </c>
      <c r="B532" s="1096" t="s">
        <v>1393</v>
      </c>
      <c r="C532" s="1113">
        <f>[7]LRAll!C523</f>
        <v>84.638783269961976</v>
      </c>
      <c r="D532" s="1113">
        <f>[7]LRAll!I523</f>
        <v>91.404860699466511</v>
      </c>
      <c r="E532" s="1096"/>
      <c r="F532" s="1114">
        <f t="shared" si="12"/>
        <v>107.99406273117562</v>
      </c>
      <c r="G532" s="1096"/>
      <c r="H532" s="1096"/>
      <c r="I532" s="1096"/>
      <c r="J532" s="1096"/>
      <c r="K532" s="1096"/>
      <c r="L532" s="1096"/>
      <c r="M532" s="1096"/>
      <c r="N532" s="1096"/>
      <c r="O532" s="1096"/>
      <c r="P532" s="1096"/>
      <c r="Q532" s="1096"/>
      <c r="R532" s="1096"/>
      <c r="S532" s="1096"/>
      <c r="T532" s="1096"/>
      <c r="U532" s="1096"/>
      <c r="V532" s="1096"/>
      <c r="W532" s="1096"/>
      <c r="X532" s="1096"/>
      <c r="Y532" s="1096"/>
      <c r="Z532" s="1096"/>
      <c r="AA532" s="1096"/>
      <c r="AB532" s="1096"/>
      <c r="AC532" s="1096"/>
      <c r="AD532" s="1096"/>
      <c r="AE532" s="1096"/>
      <c r="AF532" s="1096"/>
      <c r="AG532" s="1096"/>
      <c r="AH532" s="1096"/>
      <c r="AI532" s="1096"/>
      <c r="AJ532" s="1096"/>
      <c r="AK532" s="1096"/>
      <c r="AL532" s="1096"/>
      <c r="AM532" s="1096"/>
      <c r="AN532" s="1096"/>
      <c r="AO532" s="1096"/>
      <c r="AP532" s="1096"/>
      <c r="AQ532" s="1096"/>
      <c r="AR532" s="1096"/>
      <c r="AS532" s="1096"/>
      <c r="AT532" s="1096"/>
      <c r="AU532" s="1096"/>
      <c r="AV532" s="1096"/>
      <c r="AW532" s="1096"/>
      <c r="AX532" s="1096"/>
      <c r="AY532" s="1096"/>
    </row>
    <row r="533" spans="1:51" x14ac:dyDescent="0.45">
      <c r="A533" s="1096">
        <v>1983</v>
      </c>
      <c r="B533" s="1096" t="s">
        <v>1371</v>
      </c>
      <c r="C533" s="1113">
        <f>[7]LRAll!C524</f>
        <v>84.841571609632453</v>
      </c>
      <c r="D533" s="1113">
        <f>[7]LRAll!I524</f>
        <v>91.246789172100378</v>
      </c>
      <c r="E533" s="1096"/>
      <c r="F533" s="1114">
        <f t="shared" si="12"/>
        <v>107.54962153687958</v>
      </c>
      <c r="G533" s="1096"/>
      <c r="H533" s="1096"/>
      <c r="I533" s="1096"/>
      <c r="J533" s="1096"/>
      <c r="K533" s="1096"/>
      <c r="L533" s="1096"/>
      <c r="M533" s="1096"/>
      <c r="N533" s="1096"/>
      <c r="O533" s="1096"/>
      <c r="P533" s="1096"/>
      <c r="Q533" s="1096"/>
      <c r="R533" s="1096"/>
      <c r="S533" s="1096"/>
      <c r="T533" s="1096"/>
      <c r="U533" s="1096"/>
      <c r="V533" s="1096"/>
      <c r="W533" s="1096"/>
      <c r="X533" s="1096"/>
      <c r="Y533" s="1096"/>
      <c r="Z533" s="1096"/>
      <c r="AA533" s="1096"/>
      <c r="AB533" s="1096"/>
      <c r="AC533" s="1096"/>
      <c r="AD533" s="1096"/>
      <c r="AE533" s="1096"/>
      <c r="AF533" s="1096"/>
      <c r="AG533" s="1096"/>
      <c r="AH533" s="1096"/>
      <c r="AI533" s="1096"/>
      <c r="AJ533" s="1096"/>
      <c r="AK533" s="1096"/>
      <c r="AL533" s="1096"/>
      <c r="AM533" s="1096"/>
      <c r="AN533" s="1096"/>
      <c r="AO533" s="1096"/>
      <c r="AP533" s="1096"/>
      <c r="AQ533" s="1096"/>
      <c r="AR533" s="1096"/>
      <c r="AS533" s="1096"/>
      <c r="AT533" s="1096"/>
      <c r="AU533" s="1096"/>
      <c r="AV533" s="1096"/>
      <c r="AW533" s="1096"/>
      <c r="AX533" s="1096"/>
      <c r="AY533" s="1096"/>
    </row>
    <row r="534" spans="1:51" x14ac:dyDescent="0.45">
      <c r="A534" s="1096">
        <v>1983</v>
      </c>
      <c r="B534" s="1096" t="s">
        <v>1373</v>
      </c>
      <c r="C534" s="1113">
        <f>[7]LRAll!C525</f>
        <v>85.297845373891008</v>
      </c>
      <c r="D534" s="1113">
        <f>[7]LRAll!I525</f>
        <v>91.266548113021145</v>
      </c>
      <c r="E534" s="1096"/>
      <c r="F534" s="1114">
        <f t="shared" si="12"/>
        <v>106.99748359758348</v>
      </c>
      <c r="G534" s="1096"/>
      <c r="H534" s="1096"/>
      <c r="I534" s="1096"/>
      <c r="J534" s="1096"/>
      <c r="K534" s="1096"/>
      <c r="L534" s="1096"/>
      <c r="M534" s="1096"/>
      <c r="N534" s="1096"/>
      <c r="O534" s="1096"/>
      <c r="P534" s="1096"/>
      <c r="Q534" s="1096"/>
      <c r="R534" s="1096"/>
      <c r="S534" s="1096"/>
      <c r="T534" s="1096"/>
      <c r="U534" s="1096"/>
      <c r="V534" s="1096"/>
      <c r="W534" s="1096"/>
      <c r="X534" s="1096"/>
      <c r="Y534" s="1096"/>
      <c r="Z534" s="1096"/>
      <c r="AA534" s="1096"/>
      <c r="AB534" s="1096"/>
      <c r="AC534" s="1096"/>
      <c r="AD534" s="1096"/>
      <c r="AE534" s="1096"/>
      <c r="AF534" s="1096"/>
      <c r="AG534" s="1096"/>
      <c r="AH534" s="1096"/>
      <c r="AI534" s="1096"/>
      <c r="AJ534" s="1096"/>
      <c r="AK534" s="1096"/>
      <c r="AL534" s="1096"/>
      <c r="AM534" s="1096"/>
      <c r="AN534" s="1096"/>
      <c r="AO534" s="1096"/>
      <c r="AP534" s="1096"/>
      <c r="AQ534" s="1096"/>
      <c r="AR534" s="1096"/>
      <c r="AS534" s="1096"/>
      <c r="AT534" s="1096"/>
      <c r="AU534" s="1096"/>
      <c r="AV534" s="1096"/>
      <c r="AW534" s="1096"/>
      <c r="AX534" s="1096"/>
      <c r="AY534" s="1096"/>
    </row>
    <row r="535" spans="1:51" x14ac:dyDescent="0.45">
      <c r="A535" s="1096">
        <v>1983</v>
      </c>
      <c r="B535" s="1096" t="s">
        <v>1375</v>
      </c>
      <c r="C535" s="1113">
        <f>[7]LRAll!C526</f>
        <v>85.678073510773132</v>
      </c>
      <c r="D535" s="1113">
        <f>[7]LRAll!I526</f>
        <v>91.918593163406442</v>
      </c>
      <c r="E535" s="1096"/>
      <c r="F535" s="1114">
        <f t="shared" si="12"/>
        <v>107.2836834407214</v>
      </c>
      <c r="G535" s="1096"/>
      <c r="H535" s="1096"/>
      <c r="I535" s="1096"/>
      <c r="J535" s="1096"/>
      <c r="K535" s="1096"/>
      <c r="L535" s="1096"/>
      <c r="M535" s="1096"/>
      <c r="N535" s="1096"/>
      <c r="O535" s="1096"/>
      <c r="P535" s="1096"/>
      <c r="Q535" s="1096"/>
      <c r="R535" s="1096"/>
      <c r="S535" s="1096"/>
      <c r="T535" s="1096"/>
      <c r="U535" s="1096"/>
      <c r="V535" s="1096"/>
      <c r="W535" s="1096"/>
      <c r="X535" s="1096"/>
      <c r="Y535" s="1096"/>
      <c r="Z535" s="1096"/>
      <c r="AA535" s="1096"/>
      <c r="AB535" s="1096"/>
      <c r="AC535" s="1096"/>
      <c r="AD535" s="1096"/>
      <c r="AE535" s="1096"/>
      <c r="AF535" s="1096"/>
      <c r="AG535" s="1096"/>
      <c r="AH535" s="1096"/>
      <c r="AI535" s="1096"/>
      <c r="AJ535" s="1096"/>
      <c r="AK535" s="1096"/>
      <c r="AL535" s="1096"/>
      <c r="AM535" s="1096"/>
      <c r="AN535" s="1096"/>
      <c r="AO535" s="1096"/>
      <c r="AP535" s="1096"/>
      <c r="AQ535" s="1096"/>
      <c r="AR535" s="1096"/>
      <c r="AS535" s="1096"/>
      <c r="AT535" s="1096"/>
      <c r="AU535" s="1096"/>
      <c r="AV535" s="1096"/>
      <c r="AW535" s="1096"/>
      <c r="AX535" s="1096"/>
      <c r="AY535" s="1096"/>
    </row>
    <row r="536" spans="1:51" x14ac:dyDescent="0.45">
      <c r="A536" s="1096">
        <v>1983</v>
      </c>
      <c r="B536" s="1096" t="s">
        <v>1377</v>
      </c>
      <c r="C536" s="1113">
        <f>[7]LRAll!C527</f>
        <v>86.05830164765527</v>
      </c>
      <c r="D536" s="1113">
        <f>[7]LRAll!I527</f>
        <v>92.076664690772574</v>
      </c>
      <c r="E536" s="1096"/>
      <c r="F536" s="1114">
        <f t="shared" si="12"/>
        <v>106.99335558323939</v>
      </c>
      <c r="G536" s="1096"/>
      <c r="H536" s="1096"/>
      <c r="I536" s="1096"/>
      <c r="J536" s="1096"/>
      <c r="K536" s="1096"/>
      <c r="L536" s="1096"/>
      <c r="M536" s="1096"/>
      <c r="N536" s="1096"/>
      <c r="O536" s="1096"/>
      <c r="P536" s="1096"/>
      <c r="Q536" s="1096"/>
      <c r="R536" s="1096"/>
      <c r="S536" s="1096"/>
      <c r="T536" s="1096"/>
      <c r="U536" s="1096"/>
      <c r="V536" s="1096"/>
      <c r="W536" s="1096"/>
      <c r="X536" s="1096"/>
      <c r="Y536" s="1096"/>
      <c r="Z536" s="1096"/>
      <c r="AA536" s="1096"/>
      <c r="AB536" s="1096"/>
      <c r="AC536" s="1096"/>
      <c r="AD536" s="1096"/>
      <c r="AE536" s="1096"/>
      <c r="AF536" s="1096"/>
      <c r="AG536" s="1096"/>
      <c r="AH536" s="1096"/>
      <c r="AI536" s="1096"/>
      <c r="AJ536" s="1096"/>
      <c r="AK536" s="1096"/>
      <c r="AL536" s="1096"/>
      <c r="AM536" s="1096"/>
      <c r="AN536" s="1096"/>
      <c r="AO536" s="1096"/>
      <c r="AP536" s="1096"/>
      <c r="AQ536" s="1096"/>
      <c r="AR536" s="1096"/>
      <c r="AS536" s="1096"/>
      <c r="AT536" s="1096"/>
      <c r="AU536" s="1096"/>
      <c r="AV536" s="1096"/>
      <c r="AW536" s="1096"/>
      <c r="AX536" s="1096"/>
      <c r="AY536" s="1096"/>
    </row>
    <row r="537" spans="1:51" x14ac:dyDescent="0.45">
      <c r="A537" s="1096">
        <v>1983</v>
      </c>
      <c r="B537" s="1096" t="s">
        <v>1379</v>
      </c>
      <c r="C537" s="1113">
        <f>[7]LRAll!C528</f>
        <v>86.362484157160964</v>
      </c>
      <c r="D537" s="1113">
        <f>[7]LRAll!I528</f>
        <v>92.21497727721794</v>
      </c>
      <c r="E537" s="1096"/>
      <c r="F537" s="1114">
        <f t="shared" si="12"/>
        <v>106.77666139084965</v>
      </c>
      <c r="G537" s="1096"/>
      <c r="H537" s="1096"/>
      <c r="I537" s="1096"/>
      <c r="J537" s="1096"/>
      <c r="K537" s="1096"/>
      <c r="L537" s="1096"/>
      <c r="M537" s="1096"/>
      <c r="N537" s="1096"/>
      <c r="O537" s="1096"/>
      <c r="P537" s="1096"/>
      <c r="Q537" s="1096"/>
      <c r="R537" s="1096"/>
      <c r="S537" s="1096"/>
      <c r="T537" s="1096"/>
      <c r="U537" s="1096"/>
      <c r="V537" s="1096"/>
      <c r="W537" s="1096"/>
      <c r="X537" s="1096"/>
      <c r="Y537" s="1096"/>
      <c r="Z537" s="1096"/>
      <c r="AA537" s="1096"/>
      <c r="AB537" s="1096"/>
      <c r="AC537" s="1096"/>
      <c r="AD537" s="1096"/>
      <c r="AE537" s="1096"/>
      <c r="AF537" s="1096"/>
      <c r="AG537" s="1096"/>
      <c r="AH537" s="1096"/>
      <c r="AI537" s="1096"/>
      <c r="AJ537" s="1096"/>
      <c r="AK537" s="1096"/>
      <c r="AL537" s="1096"/>
      <c r="AM537" s="1096"/>
      <c r="AN537" s="1096"/>
      <c r="AO537" s="1096"/>
      <c r="AP537" s="1096"/>
      <c r="AQ537" s="1096"/>
      <c r="AR537" s="1096"/>
      <c r="AS537" s="1096"/>
      <c r="AT537" s="1096"/>
      <c r="AU537" s="1096"/>
      <c r="AV537" s="1096"/>
      <c r="AW537" s="1096"/>
      <c r="AX537" s="1096"/>
      <c r="AY537" s="1096"/>
    </row>
    <row r="538" spans="1:51" x14ac:dyDescent="0.45">
      <c r="A538" s="1096">
        <v>1983</v>
      </c>
      <c r="B538" s="1096" t="s">
        <v>1381</v>
      </c>
      <c r="C538" s="1113">
        <f>[7]LRAll!C529</f>
        <v>86.666666666666671</v>
      </c>
      <c r="D538" s="1113">
        <f>[7]LRAll!I529</f>
        <v>92.629915036554038</v>
      </c>
      <c r="E538" s="1096"/>
      <c r="F538" s="1114">
        <f t="shared" si="12"/>
        <v>106.8806711960239</v>
      </c>
      <c r="G538" s="1096"/>
      <c r="H538" s="1096"/>
      <c r="I538" s="1096"/>
      <c r="J538" s="1096"/>
      <c r="K538" s="1096"/>
      <c r="L538" s="1096"/>
      <c r="M538" s="1096"/>
      <c r="N538" s="1096"/>
      <c r="O538" s="1096"/>
      <c r="P538" s="1096"/>
      <c r="Q538" s="1096"/>
      <c r="R538" s="1096"/>
      <c r="S538" s="1096"/>
      <c r="T538" s="1096"/>
      <c r="U538" s="1096"/>
      <c r="V538" s="1096"/>
      <c r="W538" s="1096"/>
      <c r="X538" s="1096"/>
      <c r="Y538" s="1096"/>
      <c r="Z538" s="1096"/>
      <c r="AA538" s="1096"/>
      <c r="AB538" s="1096"/>
      <c r="AC538" s="1096"/>
      <c r="AD538" s="1096"/>
      <c r="AE538" s="1096"/>
      <c r="AF538" s="1096"/>
      <c r="AG538" s="1096"/>
      <c r="AH538" s="1096"/>
      <c r="AI538" s="1096"/>
      <c r="AJ538" s="1096"/>
      <c r="AK538" s="1096"/>
      <c r="AL538" s="1096"/>
      <c r="AM538" s="1096"/>
      <c r="AN538" s="1096"/>
      <c r="AO538" s="1096"/>
      <c r="AP538" s="1096"/>
      <c r="AQ538" s="1096"/>
      <c r="AR538" s="1096"/>
      <c r="AS538" s="1096"/>
      <c r="AT538" s="1096"/>
      <c r="AU538" s="1096"/>
      <c r="AV538" s="1096"/>
      <c r="AW538" s="1096"/>
      <c r="AX538" s="1096"/>
      <c r="AY538" s="1096"/>
    </row>
    <row r="539" spans="1:51" x14ac:dyDescent="0.45">
      <c r="A539" s="1096">
        <v>1983</v>
      </c>
      <c r="B539" s="1096" t="s">
        <v>1383</v>
      </c>
      <c r="C539" s="1113">
        <f>[7]LRAll!C530</f>
        <v>86.894803548795949</v>
      </c>
      <c r="D539" s="1113">
        <f>[7]LRAll!I530</f>
        <v>92.669432918395572</v>
      </c>
      <c r="E539" s="1096"/>
      <c r="F539" s="1114">
        <f t="shared" si="12"/>
        <v>106.64554050848032</v>
      </c>
      <c r="G539" s="1096"/>
      <c r="H539" s="1096"/>
      <c r="I539" s="1096"/>
      <c r="J539" s="1096"/>
      <c r="K539" s="1096"/>
      <c r="L539" s="1096"/>
      <c r="M539" s="1096"/>
      <c r="N539" s="1096"/>
      <c r="O539" s="1096"/>
      <c r="P539" s="1096"/>
      <c r="Q539" s="1096"/>
      <c r="R539" s="1096"/>
      <c r="S539" s="1096"/>
      <c r="T539" s="1096"/>
      <c r="U539" s="1096"/>
      <c r="V539" s="1096"/>
      <c r="W539" s="1096"/>
      <c r="X539" s="1096"/>
      <c r="Y539" s="1096"/>
      <c r="Z539" s="1096"/>
      <c r="AA539" s="1096"/>
      <c r="AB539" s="1096"/>
      <c r="AC539" s="1096"/>
      <c r="AD539" s="1096"/>
      <c r="AE539" s="1096"/>
      <c r="AF539" s="1096"/>
      <c r="AG539" s="1096"/>
      <c r="AH539" s="1096"/>
      <c r="AI539" s="1096"/>
      <c r="AJ539" s="1096"/>
      <c r="AK539" s="1096"/>
      <c r="AL539" s="1096"/>
      <c r="AM539" s="1096"/>
      <c r="AN539" s="1096"/>
      <c r="AO539" s="1096"/>
      <c r="AP539" s="1096"/>
      <c r="AQ539" s="1096"/>
      <c r="AR539" s="1096"/>
      <c r="AS539" s="1096"/>
      <c r="AT539" s="1096"/>
      <c r="AU539" s="1096"/>
      <c r="AV539" s="1096"/>
      <c r="AW539" s="1096"/>
      <c r="AX539" s="1096"/>
      <c r="AY539" s="1096"/>
    </row>
    <row r="540" spans="1:51" x14ac:dyDescent="0.45">
      <c r="A540" s="1096">
        <v>1984</v>
      </c>
      <c r="B540" s="1096" t="s">
        <v>1385</v>
      </c>
      <c r="C540" s="1113">
        <f>[7]LRAll!C531</f>
        <v>86.844106463878333</v>
      </c>
      <c r="D540" s="1113">
        <f>[7]LRAll!I531</f>
        <v>92.728709741157871</v>
      </c>
      <c r="E540" s="1096"/>
      <c r="F540" s="1114">
        <f t="shared" si="12"/>
        <v>106.77605368618441</v>
      </c>
      <c r="G540" s="1096"/>
      <c r="H540" s="1096"/>
      <c r="I540" s="1096"/>
      <c r="J540" s="1096"/>
      <c r="K540" s="1096"/>
      <c r="L540" s="1096"/>
      <c r="M540" s="1096"/>
      <c r="N540" s="1096"/>
      <c r="O540" s="1096"/>
      <c r="P540" s="1096"/>
      <c r="Q540" s="1096"/>
      <c r="R540" s="1096"/>
      <c r="S540" s="1096"/>
      <c r="T540" s="1096"/>
      <c r="U540" s="1096"/>
      <c r="V540" s="1096"/>
      <c r="W540" s="1096"/>
      <c r="X540" s="1096"/>
      <c r="Y540" s="1096"/>
      <c r="Z540" s="1096"/>
      <c r="AA540" s="1096"/>
      <c r="AB540" s="1096"/>
      <c r="AC540" s="1096"/>
      <c r="AD540" s="1096"/>
      <c r="AE540" s="1096"/>
      <c r="AF540" s="1096"/>
      <c r="AG540" s="1096"/>
      <c r="AH540" s="1096"/>
      <c r="AI540" s="1096"/>
      <c r="AJ540" s="1096"/>
      <c r="AK540" s="1096"/>
      <c r="AL540" s="1096"/>
      <c r="AM540" s="1096"/>
      <c r="AN540" s="1096"/>
      <c r="AO540" s="1096"/>
      <c r="AP540" s="1096"/>
      <c r="AQ540" s="1096"/>
      <c r="AR540" s="1096"/>
      <c r="AS540" s="1096"/>
      <c r="AT540" s="1096"/>
      <c r="AU540" s="1096"/>
      <c r="AV540" s="1096"/>
      <c r="AW540" s="1096"/>
      <c r="AX540" s="1096"/>
      <c r="AY540" s="1096"/>
    </row>
    <row r="541" spans="1:51" x14ac:dyDescent="0.45">
      <c r="A541" s="1096">
        <v>1984</v>
      </c>
      <c r="B541" s="1096" t="s">
        <v>1387</v>
      </c>
      <c r="C541" s="1113">
        <f>[7]LRAll!C532</f>
        <v>87.198986058301656</v>
      </c>
      <c r="D541" s="1113">
        <f>[7]LRAll!I532</f>
        <v>93.28196008693935</v>
      </c>
      <c r="E541" s="1096"/>
      <c r="F541" s="1114">
        <f t="shared" si="12"/>
        <v>106.97596876249294</v>
      </c>
      <c r="G541" s="1096"/>
      <c r="H541" s="1096"/>
      <c r="I541" s="1096"/>
      <c r="J541" s="1096"/>
      <c r="K541" s="1096"/>
      <c r="L541" s="1096"/>
      <c r="M541" s="1096"/>
      <c r="N541" s="1096"/>
      <c r="O541" s="1096"/>
      <c r="P541" s="1096"/>
      <c r="Q541" s="1096"/>
      <c r="R541" s="1096"/>
      <c r="S541" s="1096"/>
      <c r="T541" s="1096"/>
      <c r="U541" s="1096"/>
      <c r="V541" s="1096"/>
      <c r="W541" s="1096"/>
      <c r="X541" s="1096"/>
      <c r="Y541" s="1096"/>
      <c r="Z541" s="1096"/>
      <c r="AA541" s="1096"/>
      <c r="AB541" s="1096"/>
      <c r="AC541" s="1096"/>
      <c r="AD541" s="1096"/>
      <c r="AE541" s="1096"/>
      <c r="AF541" s="1096"/>
      <c r="AG541" s="1096"/>
      <c r="AH541" s="1096"/>
      <c r="AI541" s="1096"/>
      <c r="AJ541" s="1096"/>
      <c r="AK541" s="1096"/>
      <c r="AL541" s="1096"/>
      <c r="AM541" s="1096"/>
      <c r="AN541" s="1096"/>
      <c r="AO541" s="1096"/>
      <c r="AP541" s="1096"/>
      <c r="AQ541" s="1096"/>
      <c r="AR541" s="1096"/>
      <c r="AS541" s="1096"/>
      <c r="AT541" s="1096"/>
      <c r="AU541" s="1096"/>
      <c r="AV541" s="1096"/>
      <c r="AW541" s="1096"/>
      <c r="AX541" s="1096"/>
      <c r="AY541" s="1096"/>
    </row>
    <row r="542" spans="1:51" x14ac:dyDescent="0.45">
      <c r="A542" s="1096">
        <v>1984</v>
      </c>
      <c r="B542" s="1096" t="s">
        <v>1389</v>
      </c>
      <c r="C542" s="1113">
        <f>[7]LRAll!C533</f>
        <v>87.477820025348549</v>
      </c>
      <c r="D542" s="1113">
        <f>[7]LRAll!I533</f>
        <v>93.6573799644339</v>
      </c>
      <c r="E542" s="1096"/>
      <c r="F542" s="1114">
        <f t="shared" si="12"/>
        <v>107.06414487386024</v>
      </c>
      <c r="G542" s="1096"/>
      <c r="H542" s="1096"/>
      <c r="I542" s="1096"/>
      <c r="J542" s="1096"/>
      <c r="K542" s="1096"/>
      <c r="L542" s="1096"/>
      <c r="M542" s="1096"/>
      <c r="N542" s="1096"/>
      <c r="O542" s="1096"/>
      <c r="P542" s="1096"/>
      <c r="Q542" s="1096"/>
      <c r="R542" s="1096"/>
      <c r="S542" s="1096"/>
      <c r="T542" s="1096"/>
      <c r="U542" s="1096"/>
      <c r="V542" s="1096"/>
      <c r="W542" s="1096"/>
      <c r="X542" s="1096"/>
      <c r="Y542" s="1096"/>
      <c r="Z542" s="1096"/>
      <c r="AA542" s="1096"/>
      <c r="AB542" s="1096"/>
      <c r="AC542" s="1096"/>
      <c r="AD542" s="1096"/>
      <c r="AE542" s="1096"/>
      <c r="AF542" s="1096"/>
      <c r="AG542" s="1096"/>
      <c r="AH542" s="1096"/>
      <c r="AI542" s="1096"/>
      <c r="AJ542" s="1096"/>
      <c r="AK542" s="1096"/>
      <c r="AL542" s="1096"/>
      <c r="AM542" s="1096"/>
      <c r="AN542" s="1096"/>
      <c r="AO542" s="1096"/>
      <c r="AP542" s="1096"/>
      <c r="AQ542" s="1096"/>
      <c r="AR542" s="1096"/>
      <c r="AS542" s="1096"/>
      <c r="AT542" s="1096"/>
      <c r="AU542" s="1096"/>
      <c r="AV542" s="1096"/>
      <c r="AW542" s="1096"/>
      <c r="AX542" s="1096"/>
      <c r="AY542" s="1096"/>
    </row>
    <row r="543" spans="1:51" x14ac:dyDescent="0.45">
      <c r="A543" s="1096">
        <v>1984</v>
      </c>
      <c r="B543" s="1096" t="s">
        <v>1391</v>
      </c>
      <c r="C543" s="1113">
        <f>[7]LRAll!C534</f>
        <v>88.643852978453737</v>
      </c>
      <c r="D543" s="1113">
        <f>[7]LRAll!I534</f>
        <v>93.993281960086932</v>
      </c>
      <c r="E543" s="1096"/>
      <c r="F543" s="1114">
        <f t="shared" si="12"/>
        <v>106.03474330355817</v>
      </c>
      <c r="G543" s="1096"/>
      <c r="H543" s="1096"/>
      <c r="I543" s="1096"/>
      <c r="J543" s="1096"/>
      <c r="K543" s="1096"/>
      <c r="L543" s="1096"/>
      <c r="M543" s="1096"/>
      <c r="N543" s="1096"/>
      <c r="O543" s="1096"/>
      <c r="P543" s="1096"/>
      <c r="Q543" s="1096"/>
      <c r="R543" s="1096"/>
      <c r="S543" s="1096"/>
      <c r="T543" s="1096"/>
      <c r="U543" s="1096"/>
      <c r="V543" s="1096"/>
      <c r="W543" s="1096"/>
      <c r="X543" s="1096"/>
      <c r="Y543" s="1096"/>
      <c r="Z543" s="1096"/>
      <c r="AA543" s="1096"/>
      <c r="AB543" s="1096"/>
      <c r="AC543" s="1096"/>
      <c r="AD543" s="1096"/>
      <c r="AE543" s="1096"/>
      <c r="AF543" s="1096"/>
      <c r="AG543" s="1096"/>
      <c r="AH543" s="1096"/>
      <c r="AI543" s="1096"/>
      <c r="AJ543" s="1096"/>
      <c r="AK543" s="1096"/>
      <c r="AL543" s="1096"/>
      <c r="AM543" s="1096"/>
      <c r="AN543" s="1096"/>
      <c r="AO543" s="1096"/>
      <c r="AP543" s="1096"/>
      <c r="AQ543" s="1096"/>
      <c r="AR543" s="1096"/>
      <c r="AS543" s="1096"/>
      <c r="AT543" s="1096"/>
      <c r="AU543" s="1096"/>
      <c r="AV543" s="1096"/>
      <c r="AW543" s="1096"/>
      <c r="AX543" s="1096"/>
      <c r="AY543" s="1096"/>
    </row>
    <row r="544" spans="1:51" x14ac:dyDescent="0.45">
      <c r="A544" s="1096">
        <v>1984</v>
      </c>
      <c r="B544" s="1096" t="s">
        <v>1393</v>
      </c>
      <c r="C544" s="1113">
        <f>[7]LRAll!C535</f>
        <v>88.973384030418259</v>
      </c>
      <c r="D544" s="1113">
        <f>[7]LRAll!I535</f>
        <v>94.368701837581511</v>
      </c>
      <c r="E544" s="1096"/>
      <c r="F544" s="1114">
        <f t="shared" si="12"/>
        <v>106.06396830463221</v>
      </c>
      <c r="G544" s="1096"/>
      <c r="H544" s="1096"/>
      <c r="I544" s="1096"/>
      <c r="J544" s="1096"/>
      <c r="K544" s="1096"/>
      <c r="L544" s="1096"/>
      <c r="M544" s="1096"/>
      <c r="N544" s="1096"/>
      <c r="O544" s="1096"/>
      <c r="P544" s="1096"/>
      <c r="Q544" s="1096"/>
      <c r="R544" s="1096"/>
      <c r="S544" s="1096"/>
      <c r="T544" s="1096"/>
      <c r="U544" s="1096"/>
      <c r="V544" s="1096"/>
      <c r="W544" s="1096"/>
      <c r="X544" s="1096"/>
      <c r="Y544" s="1096"/>
      <c r="Z544" s="1096"/>
      <c r="AA544" s="1096"/>
      <c r="AB544" s="1096"/>
      <c r="AC544" s="1096"/>
      <c r="AD544" s="1096"/>
      <c r="AE544" s="1096"/>
      <c r="AF544" s="1096"/>
      <c r="AG544" s="1096"/>
      <c r="AH544" s="1096"/>
      <c r="AI544" s="1096"/>
      <c r="AJ544" s="1096"/>
      <c r="AK544" s="1096"/>
      <c r="AL544" s="1096"/>
      <c r="AM544" s="1096"/>
      <c r="AN544" s="1096"/>
      <c r="AO544" s="1096"/>
      <c r="AP544" s="1096"/>
      <c r="AQ544" s="1096"/>
      <c r="AR544" s="1096"/>
      <c r="AS544" s="1096"/>
      <c r="AT544" s="1096"/>
      <c r="AU544" s="1096"/>
      <c r="AV544" s="1096"/>
      <c r="AW544" s="1096"/>
      <c r="AX544" s="1096"/>
      <c r="AY544" s="1096"/>
    </row>
    <row r="545" spans="1:51" x14ac:dyDescent="0.45">
      <c r="A545" s="1096">
        <v>1984</v>
      </c>
      <c r="B545" s="1096" t="s">
        <v>1371</v>
      </c>
      <c r="C545" s="1113">
        <f>[7]LRAll!C536</f>
        <v>89.201520912547522</v>
      </c>
      <c r="D545" s="1113">
        <f>[7]LRAll!I536</f>
        <v>94.704603833234543</v>
      </c>
      <c r="E545" s="1096"/>
      <c r="F545" s="1114">
        <f t="shared" si="12"/>
        <v>106.16927028192961</v>
      </c>
      <c r="G545" s="1096"/>
      <c r="H545" s="1096"/>
      <c r="I545" s="1096"/>
      <c r="J545" s="1096"/>
      <c r="K545" s="1096"/>
      <c r="L545" s="1096"/>
      <c r="M545" s="1096"/>
      <c r="N545" s="1096"/>
      <c r="O545" s="1096"/>
      <c r="P545" s="1096"/>
      <c r="Q545" s="1096"/>
      <c r="R545" s="1096"/>
      <c r="S545" s="1096"/>
      <c r="T545" s="1096"/>
      <c r="U545" s="1096"/>
      <c r="V545" s="1096"/>
      <c r="W545" s="1096"/>
      <c r="X545" s="1096"/>
      <c r="Y545" s="1096"/>
      <c r="Z545" s="1096"/>
      <c r="AA545" s="1096"/>
      <c r="AB545" s="1096"/>
      <c r="AC545" s="1096"/>
      <c r="AD545" s="1096"/>
      <c r="AE545" s="1096"/>
      <c r="AF545" s="1096"/>
      <c r="AG545" s="1096"/>
      <c r="AH545" s="1096"/>
      <c r="AI545" s="1096"/>
      <c r="AJ545" s="1096"/>
      <c r="AK545" s="1096"/>
      <c r="AL545" s="1096"/>
      <c r="AM545" s="1096"/>
      <c r="AN545" s="1096"/>
      <c r="AO545" s="1096"/>
      <c r="AP545" s="1096"/>
      <c r="AQ545" s="1096"/>
      <c r="AR545" s="1096"/>
      <c r="AS545" s="1096"/>
      <c r="AT545" s="1096"/>
      <c r="AU545" s="1096"/>
      <c r="AV545" s="1096"/>
      <c r="AW545" s="1096"/>
      <c r="AX545" s="1096"/>
      <c r="AY545" s="1096"/>
    </row>
    <row r="546" spans="1:51" x14ac:dyDescent="0.45">
      <c r="A546" s="1096">
        <v>1984</v>
      </c>
      <c r="B546" s="1096" t="s">
        <v>1373</v>
      </c>
      <c r="C546" s="1113">
        <f>[7]LRAll!C537</f>
        <v>89.100126742712291</v>
      </c>
      <c r="D546" s="1113">
        <f>[7]LRAll!I537</f>
        <v>94.823157478759128</v>
      </c>
      <c r="E546" s="1096"/>
      <c r="F546" s="1114">
        <f t="shared" si="12"/>
        <v>106.42314544913364</v>
      </c>
      <c r="G546" s="1096"/>
      <c r="H546" s="1096"/>
      <c r="I546" s="1096"/>
      <c r="J546" s="1096"/>
      <c r="K546" s="1096"/>
      <c r="L546" s="1096"/>
      <c r="M546" s="1096"/>
      <c r="N546" s="1096"/>
      <c r="O546" s="1096"/>
      <c r="P546" s="1096"/>
      <c r="Q546" s="1096"/>
      <c r="R546" s="1096"/>
      <c r="S546" s="1096"/>
      <c r="T546" s="1096"/>
      <c r="U546" s="1096"/>
      <c r="V546" s="1096"/>
      <c r="W546" s="1096"/>
      <c r="X546" s="1096"/>
      <c r="Y546" s="1096"/>
      <c r="Z546" s="1096"/>
      <c r="AA546" s="1096"/>
      <c r="AB546" s="1096"/>
      <c r="AC546" s="1096"/>
      <c r="AD546" s="1096"/>
      <c r="AE546" s="1096"/>
      <c r="AF546" s="1096"/>
      <c r="AG546" s="1096"/>
      <c r="AH546" s="1096"/>
      <c r="AI546" s="1096"/>
      <c r="AJ546" s="1096"/>
      <c r="AK546" s="1096"/>
      <c r="AL546" s="1096"/>
      <c r="AM546" s="1096"/>
      <c r="AN546" s="1096"/>
      <c r="AO546" s="1096"/>
      <c r="AP546" s="1096"/>
      <c r="AQ546" s="1096"/>
      <c r="AR546" s="1096"/>
      <c r="AS546" s="1096"/>
      <c r="AT546" s="1096"/>
      <c r="AU546" s="1096"/>
      <c r="AV546" s="1096"/>
      <c r="AW546" s="1096"/>
      <c r="AX546" s="1096"/>
      <c r="AY546" s="1096"/>
    </row>
    <row r="547" spans="1:51" x14ac:dyDescent="0.45">
      <c r="A547" s="1096">
        <v>1984</v>
      </c>
      <c r="B547" s="1096" t="s">
        <v>1375</v>
      </c>
      <c r="C547" s="1113">
        <f>[7]LRAll!C538</f>
        <v>89.936628643852984</v>
      </c>
      <c r="D547" s="1113">
        <f>[7]LRAll!I538</f>
        <v>94.902193242442209</v>
      </c>
      <c r="E547" s="1096"/>
      <c r="F547" s="1114">
        <f t="shared" si="12"/>
        <v>105.52118160694322</v>
      </c>
      <c r="G547" s="1096"/>
      <c r="H547" s="1096"/>
      <c r="I547" s="1096"/>
      <c r="J547" s="1096"/>
      <c r="K547" s="1096"/>
      <c r="L547" s="1096"/>
      <c r="M547" s="1096"/>
      <c r="N547" s="1096"/>
      <c r="O547" s="1096"/>
      <c r="P547" s="1096"/>
      <c r="Q547" s="1096"/>
      <c r="R547" s="1096"/>
      <c r="S547" s="1096"/>
      <c r="T547" s="1096"/>
      <c r="U547" s="1096"/>
      <c r="V547" s="1096"/>
      <c r="W547" s="1096"/>
      <c r="X547" s="1096"/>
      <c r="Y547" s="1096"/>
      <c r="Z547" s="1096"/>
      <c r="AA547" s="1096"/>
      <c r="AB547" s="1096"/>
      <c r="AC547" s="1096"/>
      <c r="AD547" s="1096"/>
      <c r="AE547" s="1096"/>
      <c r="AF547" s="1096"/>
      <c r="AG547" s="1096"/>
      <c r="AH547" s="1096"/>
      <c r="AI547" s="1096"/>
      <c r="AJ547" s="1096"/>
      <c r="AK547" s="1096"/>
      <c r="AL547" s="1096"/>
      <c r="AM547" s="1096"/>
      <c r="AN547" s="1096"/>
      <c r="AO547" s="1096"/>
      <c r="AP547" s="1096"/>
      <c r="AQ547" s="1096"/>
      <c r="AR547" s="1096"/>
      <c r="AS547" s="1096"/>
      <c r="AT547" s="1096"/>
      <c r="AU547" s="1096"/>
      <c r="AV547" s="1096"/>
      <c r="AW547" s="1096"/>
      <c r="AX547" s="1096"/>
      <c r="AY547" s="1096"/>
    </row>
    <row r="548" spans="1:51" x14ac:dyDescent="0.45">
      <c r="A548" s="1096">
        <v>1984</v>
      </c>
      <c r="B548" s="1096" t="s">
        <v>1377</v>
      </c>
      <c r="C548" s="1113">
        <f>[7]LRAll!C539</f>
        <v>90.114068441064646</v>
      </c>
      <c r="D548" s="1113">
        <f>[7]LRAll!I539</f>
        <v>94.961470065204509</v>
      </c>
      <c r="E548" s="1096"/>
      <c r="F548" s="1114">
        <f t="shared" si="12"/>
        <v>105.37918408079656</v>
      </c>
      <c r="G548" s="1096"/>
      <c r="H548" s="1096"/>
      <c r="I548" s="1096"/>
      <c r="J548" s="1096"/>
      <c r="K548" s="1096"/>
      <c r="L548" s="1096"/>
      <c r="M548" s="1096"/>
      <c r="N548" s="1096"/>
      <c r="O548" s="1096"/>
      <c r="P548" s="1096"/>
      <c r="Q548" s="1096"/>
      <c r="R548" s="1096"/>
      <c r="S548" s="1096"/>
      <c r="T548" s="1096"/>
      <c r="U548" s="1096"/>
      <c r="V548" s="1096"/>
      <c r="W548" s="1096"/>
      <c r="X548" s="1096"/>
      <c r="Y548" s="1096"/>
      <c r="Z548" s="1096"/>
      <c r="AA548" s="1096"/>
      <c r="AB548" s="1096"/>
      <c r="AC548" s="1096"/>
      <c r="AD548" s="1096"/>
      <c r="AE548" s="1096"/>
      <c r="AF548" s="1096"/>
      <c r="AG548" s="1096"/>
      <c r="AH548" s="1096"/>
      <c r="AI548" s="1096"/>
      <c r="AJ548" s="1096"/>
      <c r="AK548" s="1096"/>
      <c r="AL548" s="1096"/>
      <c r="AM548" s="1096"/>
      <c r="AN548" s="1096"/>
      <c r="AO548" s="1096"/>
      <c r="AP548" s="1096"/>
      <c r="AQ548" s="1096"/>
      <c r="AR548" s="1096"/>
      <c r="AS548" s="1096"/>
      <c r="AT548" s="1096"/>
      <c r="AU548" s="1096"/>
      <c r="AV548" s="1096"/>
      <c r="AW548" s="1096"/>
      <c r="AX548" s="1096"/>
      <c r="AY548" s="1096"/>
    </row>
    <row r="549" spans="1:51" x14ac:dyDescent="0.45">
      <c r="A549" s="1096">
        <v>1984</v>
      </c>
      <c r="B549" s="1096" t="s">
        <v>1379</v>
      </c>
      <c r="C549" s="1113">
        <f>[7]LRAll!C540</f>
        <v>90.671736375158432</v>
      </c>
      <c r="D549" s="1113">
        <f>[7]LRAll!I540</f>
        <v>95.435684647302907</v>
      </c>
      <c r="E549" s="1096"/>
      <c r="F549" s="1114">
        <f t="shared" si="12"/>
        <v>105.25406092636567</v>
      </c>
      <c r="G549" s="1096"/>
      <c r="H549" s="1096"/>
      <c r="I549" s="1096"/>
      <c r="J549" s="1096"/>
      <c r="K549" s="1096"/>
      <c r="L549" s="1096"/>
      <c r="M549" s="1096"/>
      <c r="N549" s="1096"/>
      <c r="O549" s="1096"/>
      <c r="P549" s="1096"/>
      <c r="Q549" s="1096"/>
      <c r="R549" s="1096"/>
      <c r="S549" s="1096"/>
      <c r="T549" s="1096"/>
      <c r="U549" s="1096"/>
      <c r="V549" s="1096"/>
      <c r="W549" s="1096"/>
      <c r="X549" s="1096"/>
      <c r="Y549" s="1096"/>
      <c r="Z549" s="1096"/>
      <c r="AA549" s="1096"/>
      <c r="AB549" s="1096"/>
      <c r="AC549" s="1096"/>
      <c r="AD549" s="1096"/>
      <c r="AE549" s="1096"/>
      <c r="AF549" s="1096"/>
      <c r="AG549" s="1096"/>
      <c r="AH549" s="1096"/>
      <c r="AI549" s="1096"/>
      <c r="AJ549" s="1096"/>
      <c r="AK549" s="1096"/>
      <c r="AL549" s="1096"/>
      <c r="AM549" s="1096"/>
      <c r="AN549" s="1096"/>
      <c r="AO549" s="1096"/>
      <c r="AP549" s="1096"/>
      <c r="AQ549" s="1096"/>
      <c r="AR549" s="1096"/>
      <c r="AS549" s="1096"/>
      <c r="AT549" s="1096"/>
      <c r="AU549" s="1096"/>
      <c r="AV549" s="1096"/>
      <c r="AW549" s="1096"/>
      <c r="AX549" s="1096"/>
      <c r="AY549" s="1096"/>
    </row>
    <row r="550" spans="1:51" x14ac:dyDescent="0.45">
      <c r="A550" s="1096">
        <v>1984</v>
      </c>
      <c r="B550" s="1096" t="s">
        <v>1381</v>
      </c>
      <c r="C550" s="1113">
        <f>[7]LRAll!C541</f>
        <v>90.950570342205324</v>
      </c>
      <c r="D550" s="1113">
        <f>[7]LRAll!I541</f>
        <v>96.028452874925904</v>
      </c>
      <c r="E550" s="1096"/>
      <c r="F550" s="1114">
        <f t="shared" ref="F550:F613" si="13">D550/C550*100</f>
        <v>105.58312335328392</v>
      </c>
      <c r="G550" s="1096"/>
      <c r="H550" s="1096"/>
      <c r="I550" s="1096"/>
      <c r="J550" s="1096"/>
      <c r="K550" s="1096"/>
      <c r="L550" s="1096"/>
      <c r="M550" s="1096"/>
      <c r="N550" s="1096"/>
      <c r="O550" s="1096"/>
      <c r="P550" s="1096"/>
      <c r="Q550" s="1096"/>
      <c r="R550" s="1096"/>
      <c r="S550" s="1096"/>
      <c r="T550" s="1096"/>
      <c r="U550" s="1096"/>
      <c r="V550" s="1096"/>
      <c r="W550" s="1096"/>
      <c r="X550" s="1096"/>
      <c r="Y550" s="1096"/>
      <c r="Z550" s="1096"/>
      <c r="AA550" s="1096"/>
      <c r="AB550" s="1096"/>
      <c r="AC550" s="1096"/>
      <c r="AD550" s="1096"/>
      <c r="AE550" s="1096"/>
      <c r="AF550" s="1096"/>
      <c r="AG550" s="1096"/>
      <c r="AH550" s="1096"/>
      <c r="AI550" s="1096"/>
      <c r="AJ550" s="1096"/>
      <c r="AK550" s="1096"/>
      <c r="AL550" s="1096"/>
      <c r="AM550" s="1096"/>
      <c r="AN550" s="1096"/>
      <c r="AO550" s="1096"/>
      <c r="AP550" s="1096"/>
      <c r="AQ550" s="1096"/>
      <c r="AR550" s="1096"/>
      <c r="AS550" s="1096"/>
      <c r="AT550" s="1096"/>
      <c r="AU550" s="1096"/>
      <c r="AV550" s="1096"/>
      <c r="AW550" s="1096"/>
      <c r="AX550" s="1096"/>
      <c r="AY550" s="1096"/>
    </row>
    <row r="551" spans="1:51" x14ac:dyDescent="0.45">
      <c r="A551" s="1096">
        <v>1984</v>
      </c>
      <c r="B551" s="1096" t="s">
        <v>1383</v>
      </c>
      <c r="C551" s="1113">
        <f>[7]LRAll!C542</f>
        <v>90.874524714828894</v>
      </c>
      <c r="D551" s="1113">
        <f>[7]LRAll!I542</f>
        <v>96.285319106895869</v>
      </c>
      <c r="E551" s="1096"/>
      <c r="F551" s="1114">
        <f t="shared" si="13"/>
        <v>105.95413776198166</v>
      </c>
      <c r="G551" s="1096"/>
      <c r="H551" s="1096"/>
      <c r="I551" s="1096"/>
      <c r="J551" s="1096"/>
      <c r="K551" s="1096"/>
      <c r="L551" s="1096"/>
      <c r="M551" s="1096"/>
      <c r="N551" s="1096"/>
      <c r="O551" s="1096"/>
      <c r="P551" s="1096"/>
      <c r="Q551" s="1096"/>
      <c r="R551" s="1096"/>
      <c r="S551" s="1096"/>
      <c r="T551" s="1096"/>
      <c r="U551" s="1096"/>
      <c r="V551" s="1096"/>
      <c r="W551" s="1096"/>
      <c r="X551" s="1096"/>
      <c r="Y551" s="1096"/>
      <c r="Z551" s="1096"/>
      <c r="AA551" s="1096"/>
      <c r="AB551" s="1096"/>
      <c r="AC551" s="1096"/>
      <c r="AD551" s="1096"/>
      <c r="AE551" s="1096"/>
      <c r="AF551" s="1096"/>
      <c r="AG551" s="1096"/>
      <c r="AH551" s="1096"/>
      <c r="AI551" s="1096"/>
      <c r="AJ551" s="1096"/>
      <c r="AK551" s="1096"/>
      <c r="AL551" s="1096"/>
      <c r="AM551" s="1096"/>
      <c r="AN551" s="1096"/>
      <c r="AO551" s="1096"/>
      <c r="AP551" s="1096"/>
      <c r="AQ551" s="1096"/>
      <c r="AR551" s="1096"/>
      <c r="AS551" s="1096"/>
      <c r="AT551" s="1096"/>
      <c r="AU551" s="1096"/>
      <c r="AV551" s="1096"/>
      <c r="AW551" s="1096"/>
      <c r="AX551" s="1096"/>
      <c r="AY551" s="1096"/>
    </row>
    <row r="552" spans="1:51" x14ac:dyDescent="0.45">
      <c r="A552" s="1096">
        <v>1985</v>
      </c>
      <c r="B552" s="1096" t="s">
        <v>1385</v>
      </c>
      <c r="C552" s="1113">
        <f>[7]LRAll!C543</f>
        <v>91.204055766793417</v>
      </c>
      <c r="D552" s="1113">
        <f>[7]LRAll!I543</f>
        <v>96.324836988737403</v>
      </c>
      <c r="E552" s="1096"/>
      <c r="F552" s="1114">
        <f t="shared" si="13"/>
        <v>105.61464200126989</v>
      </c>
      <c r="G552" s="1096"/>
      <c r="H552" s="1096"/>
      <c r="I552" s="1096"/>
      <c r="J552" s="1096"/>
      <c r="K552" s="1096"/>
      <c r="L552" s="1096"/>
      <c r="M552" s="1096"/>
      <c r="N552" s="1096"/>
      <c r="O552" s="1096"/>
      <c r="P552" s="1096"/>
      <c r="Q552" s="1096"/>
      <c r="R552" s="1096"/>
      <c r="S552" s="1096"/>
      <c r="T552" s="1096"/>
      <c r="U552" s="1096"/>
      <c r="V552" s="1096"/>
      <c r="W552" s="1096"/>
      <c r="X552" s="1096"/>
      <c r="Y552" s="1096"/>
      <c r="Z552" s="1096"/>
      <c r="AA552" s="1096"/>
      <c r="AB552" s="1096"/>
      <c r="AC552" s="1096"/>
      <c r="AD552" s="1096"/>
      <c r="AE552" s="1096"/>
      <c r="AF552" s="1096"/>
      <c r="AG552" s="1096"/>
      <c r="AH552" s="1096"/>
      <c r="AI552" s="1096"/>
      <c r="AJ552" s="1096"/>
      <c r="AK552" s="1096"/>
      <c r="AL552" s="1096"/>
      <c r="AM552" s="1096"/>
      <c r="AN552" s="1096"/>
      <c r="AO552" s="1096"/>
      <c r="AP552" s="1096"/>
      <c r="AQ552" s="1096"/>
      <c r="AR552" s="1096"/>
      <c r="AS552" s="1096"/>
      <c r="AT552" s="1096"/>
      <c r="AU552" s="1096"/>
      <c r="AV552" s="1096"/>
      <c r="AW552" s="1096"/>
      <c r="AX552" s="1096"/>
      <c r="AY552" s="1096"/>
    </row>
    <row r="553" spans="1:51" x14ac:dyDescent="0.45">
      <c r="A553" s="1096">
        <v>1985</v>
      </c>
      <c r="B553" s="1096" t="s">
        <v>1387</v>
      </c>
      <c r="C553" s="1113">
        <f>[7]LRAll!C544</f>
        <v>91.939163498098864</v>
      </c>
      <c r="D553" s="1113">
        <f>[7]LRAll!I544</f>
        <v>96.561944279786601</v>
      </c>
      <c r="E553" s="1096"/>
      <c r="F553" s="1114">
        <f t="shared" si="13"/>
        <v>105.02808662358922</v>
      </c>
      <c r="G553" s="1096"/>
      <c r="H553" s="1096"/>
      <c r="I553" s="1096"/>
      <c r="J553" s="1096"/>
      <c r="K553" s="1096"/>
      <c r="L553" s="1096"/>
      <c r="M553" s="1096"/>
      <c r="N553" s="1096"/>
      <c r="O553" s="1096"/>
      <c r="P553" s="1096"/>
      <c r="Q553" s="1096"/>
      <c r="R553" s="1096"/>
      <c r="S553" s="1096"/>
      <c r="T553" s="1096"/>
      <c r="U553" s="1096"/>
      <c r="V553" s="1096"/>
      <c r="W553" s="1096"/>
      <c r="X553" s="1096"/>
      <c r="Y553" s="1096"/>
      <c r="Z553" s="1096"/>
      <c r="AA553" s="1096"/>
      <c r="AB553" s="1096"/>
      <c r="AC553" s="1096"/>
      <c r="AD553" s="1096"/>
      <c r="AE553" s="1096"/>
      <c r="AF553" s="1096"/>
      <c r="AG553" s="1096"/>
      <c r="AH553" s="1096"/>
      <c r="AI553" s="1096"/>
      <c r="AJ553" s="1096"/>
      <c r="AK553" s="1096"/>
      <c r="AL553" s="1096"/>
      <c r="AM553" s="1096"/>
      <c r="AN553" s="1096"/>
      <c r="AO553" s="1096"/>
      <c r="AP553" s="1096"/>
      <c r="AQ553" s="1096"/>
      <c r="AR553" s="1096"/>
      <c r="AS553" s="1096"/>
      <c r="AT553" s="1096"/>
      <c r="AU553" s="1096"/>
      <c r="AV553" s="1096"/>
      <c r="AW553" s="1096"/>
      <c r="AX553" s="1096"/>
      <c r="AY553" s="1096"/>
    </row>
    <row r="554" spans="1:51" x14ac:dyDescent="0.45">
      <c r="A554" s="1096">
        <v>1985</v>
      </c>
      <c r="B554" s="1096" t="s">
        <v>1389</v>
      </c>
      <c r="C554" s="1113">
        <f>[7]LRAll!C545</f>
        <v>92.801013941698358</v>
      </c>
      <c r="D554" s="1113">
        <f>[7]LRAll!I545</f>
        <v>97.154712507409599</v>
      </c>
      <c r="E554" s="1096"/>
      <c r="F554" s="1114">
        <f t="shared" si="13"/>
        <v>104.69143426433511</v>
      </c>
      <c r="G554" s="1096"/>
      <c r="H554" s="1096"/>
      <c r="I554" s="1096"/>
      <c r="J554" s="1096"/>
      <c r="K554" s="1096"/>
      <c r="L554" s="1096"/>
      <c r="M554" s="1096"/>
      <c r="N554" s="1096"/>
      <c r="O554" s="1096"/>
      <c r="P554" s="1096"/>
      <c r="Q554" s="1096"/>
      <c r="R554" s="1096"/>
      <c r="S554" s="1096"/>
      <c r="T554" s="1096"/>
      <c r="U554" s="1096"/>
      <c r="V554" s="1096"/>
      <c r="W554" s="1096"/>
      <c r="X554" s="1096"/>
      <c r="Y554" s="1096"/>
      <c r="Z554" s="1096"/>
      <c r="AA554" s="1096"/>
      <c r="AB554" s="1096"/>
      <c r="AC554" s="1096"/>
      <c r="AD554" s="1096"/>
      <c r="AE554" s="1096"/>
      <c r="AF554" s="1096"/>
      <c r="AG554" s="1096"/>
      <c r="AH554" s="1096"/>
      <c r="AI554" s="1096"/>
      <c r="AJ554" s="1096"/>
      <c r="AK554" s="1096"/>
      <c r="AL554" s="1096"/>
      <c r="AM554" s="1096"/>
      <c r="AN554" s="1096"/>
      <c r="AO554" s="1096"/>
      <c r="AP554" s="1096"/>
      <c r="AQ554" s="1096"/>
      <c r="AR554" s="1096"/>
      <c r="AS554" s="1096"/>
      <c r="AT554" s="1096"/>
      <c r="AU554" s="1096"/>
      <c r="AV554" s="1096"/>
      <c r="AW554" s="1096"/>
      <c r="AX554" s="1096"/>
      <c r="AY554" s="1096"/>
    </row>
    <row r="555" spans="1:51" x14ac:dyDescent="0.45">
      <c r="A555" s="1096">
        <v>1985</v>
      </c>
      <c r="B555" s="1096" t="s">
        <v>1391</v>
      </c>
      <c r="C555" s="1113">
        <f>[7]LRAll!C546</f>
        <v>94.778200253485423</v>
      </c>
      <c r="D555" s="1113">
        <f>[7]LRAll!I546</f>
        <v>98.280972139893294</v>
      </c>
      <c r="E555" s="1096"/>
      <c r="F555" s="1114">
        <f t="shared" si="13"/>
        <v>103.69575691144131</v>
      </c>
      <c r="G555" s="1096"/>
      <c r="H555" s="1096"/>
      <c r="I555" s="1096"/>
      <c r="J555" s="1096"/>
      <c r="K555" s="1096"/>
      <c r="L555" s="1096"/>
      <c r="M555" s="1096"/>
      <c r="N555" s="1096"/>
      <c r="O555" s="1096"/>
      <c r="P555" s="1096"/>
      <c r="Q555" s="1096"/>
      <c r="R555" s="1096"/>
      <c r="S555" s="1096"/>
      <c r="T555" s="1096"/>
      <c r="U555" s="1096"/>
      <c r="V555" s="1096"/>
      <c r="W555" s="1096"/>
      <c r="X555" s="1096"/>
      <c r="Y555" s="1096"/>
      <c r="Z555" s="1096"/>
      <c r="AA555" s="1096"/>
      <c r="AB555" s="1096"/>
      <c r="AC555" s="1096"/>
      <c r="AD555" s="1096"/>
      <c r="AE555" s="1096"/>
      <c r="AF555" s="1096"/>
      <c r="AG555" s="1096"/>
      <c r="AH555" s="1096"/>
      <c r="AI555" s="1096"/>
      <c r="AJ555" s="1096"/>
      <c r="AK555" s="1096"/>
      <c r="AL555" s="1096"/>
      <c r="AM555" s="1096"/>
      <c r="AN555" s="1096"/>
      <c r="AO555" s="1096"/>
      <c r="AP555" s="1096"/>
      <c r="AQ555" s="1096"/>
      <c r="AR555" s="1096"/>
      <c r="AS555" s="1096"/>
      <c r="AT555" s="1096"/>
      <c r="AU555" s="1096"/>
      <c r="AV555" s="1096"/>
      <c r="AW555" s="1096"/>
      <c r="AX555" s="1096"/>
      <c r="AY555" s="1096"/>
    </row>
    <row r="556" spans="1:51" x14ac:dyDescent="0.45">
      <c r="A556" s="1096">
        <v>1985</v>
      </c>
      <c r="B556" s="1096" t="s">
        <v>1393</v>
      </c>
      <c r="C556" s="1113">
        <f>[7]LRAll!C547</f>
        <v>95.209125475285177</v>
      </c>
      <c r="D556" s="1113">
        <f>[7]LRAll!I547</f>
        <v>98.49832049002174</v>
      </c>
      <c r="E556" s="1096"/>
      <c r="F556" s="1114">
        <f t="shared" si="13"/>
        <v>103.45470562650046</v>
      </c>
      <c r="G556" s="1096"/>
      <c r="H556" s="1096"/>
      <c r="I556" s="1096"/>
      <c r="J556" s="1096"/>
      <c r="K556" s="1096"/>
      <c r="L556" s="1096"/>
      <c r="M556" s="1096"/>
      <c r="N556" s="1096"/>
      <c r="O556" s="1096"/>
      <c r="P556" s="1096"/>
      <c r="Q556" s="1096"/>
      <c r="R556" s="1096"/>
      <c r="S556" s="1096"/>
      <c r="T556" s="1096"/>
      <c r="U556" s="1096"/>
      <c r="V556" s="1096"/>
      <c r="W556" s="1096"/>
      <c r="X556" s="1096"/>
      <c r="Y556" s="1096"/>
      <c r="Z556" s="1096"/>
      <c r="AA556" s="1096"/>
      <c r="AB556" s="1096"/>
      <c r="AC556" s="1096"/>
      <c r="AD556" s="1096"/>
      <c r="AE556" s="1096"/>
      <c r="AF556" s="1096"/>
      <c r="AG556" s="1096"/>
      <c r="AH556" s="1096"/>
      <c r="AI556" s="1096"/>
      <c r="AJ556" s="1096"/>
      <c r="AK556" s="1096"/>
      <c r="AL556" s="1096"/>
      <c r="AM556" s="1096"/>
      <c r="AN556" s="1096"/>
      <c r="AO556" s="1096"/>
      <c r="AP556" s="1096"/>
      <c r="AQ556" s="1096"/>
      <c r="AR556" s="1096"/>
      <c r="AS556" s="1096"/>
      <c r="AT556" s="1096"/>
      <c r="AU556" s="1096"/>
      <c r="AV556" s="1096"/>
      <c r="AW556" s="1096"/>
      <c r="AX556" s="1096"/>
      <c r="AY556" s="1096"/>
    </row>
    <row r="557" spans="1:51" x14ac:dyDescent="0.45">
      <c r="A557" s="1096">
        <v>1985</v>
      </c>
      <c r="B557" s="1096" t="s">
        <v>1371</v>
      </c>
      <c r="C557" s="1113">
        <f>[7]LRAll!C548</f>
        <v>95.411913814955639</v>
      </c>
      <c r="D557" s="1113">
        <f>[7]LRAll!I548</f>
        <v>98.873740367516291</v>
      </c>
      <c r="E557" s="1096"/>
      <c r="F557" s="1114">
        <f t="shared" si="13"/>
        <v>103.62829589528475</v>
      </c>
      <c r="G557" s="1096"/>
      <c r="H557" s="1096"/>
      <c r="I557" s="1096"/>
      <c r="J557" s="1096"/>
      <c r="K557" s="1096"/>
      <c r="L557" s="1096"/>
      <c r="M557" s="1096"/>
      <c r="N557" s="1096"/>
      <c r="O557" s="1096"/>
      <c r="P557" s="1096"/>
      <c r="Q557" s="1096"/>
      <c r="R557" s="1096"/>
      <c r="S557" s="1096"/>
      <c r="T557" s="1096"/>
      <c r="U557" s="1096"/>
      <c r="V557" s="1096"/>
      <c r="W557" s="1096"/>
      <c r="X557" s="1096"/>
      <c r="Y557" s="1096"/>
      <c r="Z557" s="1096"/>
      <c r="AA557" s="1096"/>
      <c r="AB557" s="1096"/>
      <c r="AC557" s="1096"/>
      <c r="AD557" s="1096"/>
      <c r="AE557" s="1096"/>
      <c r="AF557" s="1096"/>
      <c r="AG557" s="1096"/>
      <c r="AH557" s="1096"/>
      <c r="AI557" s="1096"/>
      <c r="AJ557" s="1096"/>
      <c r="AK557" s="1096"/>
      <c r="AL557" s="1096"/>
      <c r="AM557" s="1096"/>
      <c r="AN557" s="1096"/>
      <c r="AO557" s="1096"/>
      <c r="AP557" s="1096"/>
      <c r="AQ557" s="1096"/>
      <c r="AR557" s="1096"/>
      <c r="AS557" s="1096"/>
      <c r="AT557" s="1096"/>
      <c r="AU557" s="1096"/>
      <c r="AV557" s="1096"/>
      <c r="AW557" s="1096"/>
      <c r="AX557" s="1096"/>
      <c r="AY557" s="1096"/>
    </row>
    <row r="558" spans="1:51" x14ac:dyDescent="0.45">
      <c r="A558" s="1096">
        <v>1985</v>
      </c>
      <c r="B558" s="1096" t="s">
        <v>1373</v>
      </c>
      <c r="C558" s="1113">
        <f>[7]LRAll!C549</f>
        <v>95.234474017743977</v>
      </c>
      <c r="D558" s="1113">
        <f>[7]LRAll!I549</f>
        <v>99.091088717644737</v>
      </c>
      <c r="E558" s="1096"/>
      <c r="F558" s="1114">
        <f t="shared" si="13"/>
        <v>104.04959941205976</v>
      </c>
      <c r="G558" s="1096"/>
      <c r="H558" s="1096"/>
      <c r="I558" s="1096"/>
      <c r="J558" s="1096"/>
      <c r="K558" s="1096"/>
      <c r="L558" s="1096"/>
      <c r="M558" s="1096"/>
      <c r="N558" s="1096"/>
      <c r="O558" s="1096"/>
      <c r="P558" s="1096"/>
      <c r="Q558" s="1096"/>
      <c r="R558" s="1096"/>
      <c r="S558" s="1096"/>
      <c r="T558" s="1096"/>
      <c r="U558" s="1096"/>
      <c r="V558" s="1096"/>
      <c r="W558" s="1096"/>
      <c r="X558" s="1096"/>
      <c r="Y558" s="1096"/>
      <c r="Z558" s="1096"/>
      <c r="AA558" s="1096"/>
      <c r="AB558" s="1096"/>
      <c r="AC558" s="1096"/>
      <c r="AD558" s="1096"/>
      <c r="AE558" s="1096"/>
      <c r="AF558" s="1096"/>
      <c r="AG558" s="1096"/>
      <c r="AH558" s="1096"/>
      <c r="AI558" s="1096"/>
      <c r="AJ558" s="1096"/>
      <c r="AK558" s="1096"/>
      <c r="AL558" s="1096"/>
      <c r="AM558" s="1096"/>
      <c r="AN558" s="1096"/>
      <c r="AO558" s="1096"/>
      <c r="AP558" s="1096"/>
      <c r="AQ558" s="1096"/>
      <c r="AR558" s="1096"/>
      <c r="AS558" s="1096"/>
      <c r="AT558" s="1096"/>
      <c r="AU558" s="1096"/>
      <c r="AV558" s="1096"/>
      <c r="AW558" s="1096"/>
      <c r="AX558" s="1096"/>
      <c r="AY558" s="1096"/>
    </row>
    <row r="559" spans="1:51" x14ac:dyDescent="0.45">
      <c r="A559" s="1096">
        <v>1985</v>
      </c>
      <c r="B559" s="1096" t="s">
        <v>1375</v>
      </c>
      <c r="C559" s="1113">
        <f>[7]LRAll!C550</f>
        <v>95.48795944233207</v>
      </c>
      <c r="D559" s="1113">
        <f>[7]LRAll!I550</f>
        <v>99.30843706777317</v>
      </c>
      <c r="E559" s="1096"/>
      <c r="F559" s="1114">
        <f t="shared" si="13"/>
        <v>104.00100457455936</v>
      </c>
      <c r="G559" s="1096"/>
      <c r="H559" s="1096"/>
      <c r="I559" s="1096"/>
      <c r="J559" s="1096"/>
      <c r="K559" s="1096"/>
      <c r="L559" s="1096"/>
      <c r="M559" s="1096"/>
      <c r="N559" s="1096"/>
      <c r="O559" s="1096"/>
      <c r="P559" s="1096"/>
      <c r="Q559" s="1096"/>
      <c r="R559" s="1096"/>
      <c r="S559" s="1096"/>
      <c r="T559" s="1096"/>
      <c r="U559" s="1096"/>
      <c r="V559" s="1096"/>
      <c r="W559" s="1096"/>
      <c r="X559" s="1096"/>
      <c r="Y559" s="1096"/>
      <c r="Z559" s="1096"/>
      <c r="AA559" s="1096"/>
      <c r="AB559" s="1096"/>
      <c r="AC559" s="1096"/>
      <c r="AD559" s="1096"/>
      <c r="AE559" s="1096"/>
      <c r="AF559" s="1096"/>
      <c r="AG559" s="1096"/>
      <c r="AH559" s="1096"/>
      <c r="AI559" s="1096"/>
      <c r="AJ559" s="1096"/>
      <c r="AK559" s="1096"/>
      <c r="AL559" s="1096"/>
      <c r="AM559" s="1096"/>
      <c r="AN559" s="1096"/>
      <c r="AO559" s="1096"/>
      <c r="AP559" s="1096"/>
      <c r="AQ559" s="1096"/>
      <c r="AR559" s="1096"/>
      <c r="AS559" s="1096"/>
      <c r="AT559" s="1096"/>
      <c r="AU559" s="1096"/>
      <c r="AV559" s="1096"/>
      <c r="AW559" s="1096"/>
      <c r="AX559" s="1096"/>
      <c r="AY559" s="1096"/>
    </row>
    <row r="560" spans="1:51" x14ac:dyDescent="0.45">
      <c r="A560" s="1096">
        <v>1985</v>
      </c>
      <c r="B560" s="1096" t="s">
        <v>1377</v>
      </c>
      <c r="C560" s="1113">
        <f>[7]LRAll!C551</f>
        <v>95.437262357414454</v>
      </c>
      <c r="D560" s="1113">
        <f>[7]LRAll!I551</f>
        <v>99.723374827109268</v>
      </c>
      <c r="E560" s="1096"/>
      <c r="F560" s="1114">
        <f t="shared" si="13"/>
        <v>104.49102621326587</v>
      </c>
      <c r="G560" s="1096"/>
      <c r="H560" s="1096"/>
      <c r="I560" s="1096"/>
      <c r="J560" s="1096"/>
      <c r="K560" s="1096"/>
      <c r="L560" s="1096"/>
      <c r="M560" s="1096"/>
      <c r="N560" s="1096"/>
      <c r="O560" s="1096"/>
      <c r="P560" s="1096"/>
      <c r="Q560" s="1096"/>
      <c r="R560" s="1096"/>
      <c r="S560" s="1096"/>
      <c r="T560" s="1096"/>
      <c r="U560" s="1096"/>
      <c r="V560" s="1096"/>
      <c r="W560" s="1096"/>
      <c r="X560" s="1096"/>
      <c r="Y560" s="1096"/>
      <c r="Z560" s="1096"/>
      <c r="AA560" s="1096"/>
      <c r="AB560" s="1096"/>
      <c r="AC560" s="1096"/>
      <c r="AD560" s="1096"/>
      <c r="AE560" s="1096"/>
      <c r="AF560" s="1096"/>
      <c r="AG560" s="1096"/>
      <c r="AH560" s="1096"/>
      <c r="AI560" s="1096"/>
      <c r="AJ560" s="1096"/>
      <c r="AK560" s="1096"/>
      <c r="AL560" s="1096"/>
      <c r="AM560" s="1096"/>
      <c r="AN560" s="1096"/>
      <c r="AO560" s="1096"/>
      <c r="AP560" s="1096"/>
      <c r="AQ560" s="1096"/>
      <c r="AR560" s="1096"/>
      <c r="AS560" s="1096"/>
      <c r="AT560" s="1096"/>
      <c r="AU560" s="1096"/>
      <c r="AV560" s="1096"/>
      <c r="AW560" s="1096"/>
      <c r="AX560" s="1096"/>
      <c r="AY560" s="1096"/>
    </row>
    <row r="561" spans="1:51" x14ac:dyDescent="0.45">
      <c r="A561" s="1096">
        <v>1985</v>
      </c>
      <c r="B561" s="1096" t="s">
        <v>1379</v>
      </c>
      <c r="C561" s="1113">
        <f>[7]LRAll!C552</f>
        <v>95.589353612167315</v>
      </c>
      <c r="D561" s="1113">
        <f>[7]LRAll!I552</f>
        <v>99.723374827109268</v>
      </c>
      <c r="E561" s="1096"/>
      <c r="F561" s="1114">
        <f t="shared" si="13"/>
        <v>104.32477159717475</v>
      </c>
      <c r="G561" s="1096"/>
      <c r="H561" s="1096"/>
      <c r="I561" s="1096"/>
      <c r="J561" s="1096"/>
      <c r="K561" s="1096"/>
      <c r="L561" s="1096"/>
      <c r="M561" s="1096"/>
      <c r="N561" s="1096"/>
      <c r="O561" s="1096"/>
      <c r="P561" s="1096"/>
      <c r="Q561" s="1096"/>
      <c r="R561" s="1096"/>
      <c r="S561" s="1096"/>
      <c r="T561" s="1096"/>
      <c r="U561" s="1096"/>
      <c r="V561" s="1096"/>
      <c r="W561" s="1096"/>
      <c r="X561" s="1096"/>
      <c r="Y561" s="1096"/>
      <c r="Z561" s="1096"/>
      <c r="AA561" s="1096"/>
      <c r="AB561" s="1096"/>
      <c r="AC561" s="1096"/>
      <c r="AD561" s="1096"/>
      <c r="AE561" s="1096"/>
      <c r="AF561" s="1096"/>
      <c r="AG561" s="1096"/>
      <c r="AH561" s="1096"/>
      <c r="AI561" s="1096"/>
      <c r="AJ561" s="1096"/>
      <c r="AK561" s="1096"/>
      <c r="AL561" s="1096"/>
      <c r="AM561" s="1096"/>
      <c r="AN561" s="1096"/>
      <c r="AO561" s="1096"/>
      <c r="AP561" s="1096"/>
      <c r="AQ561" s="1096"/>
      <c r="AR561" s="1096"/>
      <c r="AS561" s="1096"/>
      <c r="AT561" s="1096"/>
      <c r="AU561" s="1096"/>
      <c r="AV561" s="1096"/>
      <c r="AW561" s="1096"/>
      <c r="AX561" s="1096"/>
      <c r="AY561" s="1096"/>
    </row>
    <row r="562" spans="1:51" x14ac:dyDescent="0.45">
      <c r="A562" s="1096">
        <v>1985</v>
      </c>
      <c r="B562" s="1096" t="s">
        <v>1381</v>
      </c>
      <c r="C562" s="1113">
        <f>[7]LRAll!C553</f>
        <v>95.918884664131809</v>
      </c>
      <c r="D562" s="1113">
        <f>[7]LRAll!I553</f>
        <v>100.13831258644537</v>
      </c>
      <c r="E562" s="1096"/>
      <c r="F562" s="1114">
        <f t="shared" si="13"/>
        <v>104.39895432175661</v>
      </c>
      <c r="G562" s="1096"/>
      <c r="H562" s="1096"/>
      <c r="I562" s="1096"/>
      <c r="J562" s="1096"/>
      <c r="K562" s="1096"/>
      <c r="L562" s="1096"/>
      <c r="M562" s="1096"/>
      <c r="N562" s="1096"/>
      <c r="O562" s="1096"/>
      <c r="P562" s="1096"/>
      <c r="Q562" s="1096"/>
      <c r="R562" s="1096"/>
      <c r="S562" s="1096"/>
      <c r="T562" s="1096"/>
      <c r="U562" s="1096"/>
      <c r="V562" s="1096"/>
      <c r="W562" s="1096"/>
      <c r="X562" s="1096"/>
      <c r="Y562" s="1096"/>
      <c r="Z562" s="1096"/>
      <c r="AA562" s="1096"/>
      <c r="AB562" s="1096"/>
      <c r="AC562" s="1096"/>
      <c r="AD562" s="1096"/>
      <c r="AE562" s="1096"/>
      <c r="AF562" s="1096"/>
      <c r="AG562" s="1096"/>
      <c r="AH562" s="1096"/>
      <c r="AI562" s="1096"/>
      <c r="AJ562" s="1096"/>
      <c r="AK562" s="1096"/>
      <c r="AL562" s="1096"/>
      <c r="AM562" s="1096"/>
      <c r="AN562" s="1096"/>
      <c r="AO562" s="1096"/>
      <c r="AP562" s="1096"/>
      <c r="AQ562" s="1096"/>
      <c r="AR562" s="1096"/>
      <c r="AS562" s="1096"/>
      <c r="AT562" s="1096"/>
      <c r="AU562" s="1096"/>
      <c r="AV562" s="1096"/>
      <c r="AW562" s="1096"/>
      <c r="AX562" s="1096"/>
      <c r="AY562" s="1096"/>
    </row>
    <row r="563" spans="1:51" x14ac:dyDescent="0.45">
      <c r="A563" s="1096">
        <v>1985</v>
      </c>
      <c r="B563" s="1096" t="s">
        <v>1383</v>
      </c>
      <c r="C563" s="1113">
        <f>[7]LRAll!C554</f>
        <v>96.045627376425855</v>
      </c>
      <c r="D563" s="1113">
        <f>[7]LRAll!I554</f>
        <v>100.25686623196997</v>
      </c>
      <c r="E563" s="1096"/>
      <c r="F563" s="1114">
        <f t="shared" si="13"/>
        <v>104.38462319480641</v>
      </c>
      <c r="G563" s="1096"/>
      <c r="H563" s="1096"/>
      <c r="I563" s="1096"/>
      <c r="J563" s="1096"/>
      <c r="K563" s="1096"/>
      <c r="L563" s="1096"/>
      <c r="M563" s="1096"/>
      <c r="N563" s="1096"/>
      <c r="O563" s="1096"/>
      <c r="P563" s="1096"/>
      <c r="Q563" s="1096"/>
      <c r="R563" s="1096"/>
      <c r="S563" s="1096"/>
      <c r="T563" s="1096"/>
      <c r="U563" s="1096"/>
      <c r="V563" s="1096"/>
      <c r="W563" s="1096"/>
      <c r="X563" s="1096"/>
      <c r="Y563" s="1096"/>
      <c r="Z563" s="1096"/>
      <c r="AA563" s="1096"/>
      <c r="AB563" s="1096"/>
      <c r="AC563" s="1096"/>
      <c r="AD563" s="1096"/>
      <c r="AE563" s="1096"/>
      <c r="AF563" s="1096"/>
      <c r="AG563" s="1096"/>
      <c r="AH563" s="1096"/>
      <c r="AI563" s="1096"/>
      <c r="AJ563" s="1096"/>
      <c r="AK563" s="1096"/>
      <c r="AL563" s="1096"/>
      <c r="AM563" s="1096"/>
      <c r="AN563" s="1096"/>
      <c r="AO563" s="1096"/>
      <c r="AP563" s="1096"/>
      <c r="AQ563" s="1096"/>
      <c r="AR563" s="1096"/>
      <c r="AS563" s="1096"/>
      <c r="AT563" s="1096"/>
      <c r="AU563" s="1096"/>
      <c r="AV563" s="1096"/>
      <c r="AW563" s="1096"/>
      <c r="AX563" s="1096"/>
      <c r="AY563" s="1096"/>
    </row>
    <row r="564" spans="1:51" x14ac:dyDescent="0.45">
      <c r="A564" s="1096">
        <v>1986</v>
      </c>
      <c r="B564" s="1096" t="s">
        <v>1385</v>
      </c>
      <c r="C564" s="1113">
        <f>[7]LRAll!C555</f>
        <v>96.248415716096332</v>
      </c>
      <c r="D564" s="1113">
        <f>[7]LRAll!I555</f>
        <v>100.1778304682869</v>
      </c>
      <c r="E564" s="1096"/>
      <c r="F564" s="1114">
        <f t="shared" si="13"/>
        <v>104.08257603302391</v>
      </c>
      <c r="G564" s="1096"/>
      <c r="H564" s="1096"/>
      <c r="I564" s="1096"/>
      <c r="J564" s="1096"/>
      <c r="K564" s="1096"/>
      <c r="L564" s="1096"/>
      <c r="M564" s="1096"/>
      <c r="N564" s="1096"/>
      <c r="O564" s="1096"/>
      <c r="P564" s="1096"/>
      <c r="Q564" s="1096"/>
      <c r="R564" s="1096"/>
      <c r="S564" s="1096"/>
      <c r="T564" s="1096"/>
      <c r="U564" s="1096"/>
      <c r="V564" s="1096"/>
      <c r="W564" s="1096"/>
      <c r="X564" s="1096"/>
      <c r="Y564" s="1096"/>
      <c r="Z564" s="1096"/>
      <c r="AA564" s="1096"/>
      <c r="AB564" s="1096"/>
      <c r="AC564" s="1096"/>
      <c r="AD564" s="1096"/>
      <c r="AE564" s="1096"/>
      <c r="AF564" s="1096"/>
      <c r="AG564" s="1096"/>
      <c r="AH564" s="1096"/>
      <c r="AI564" s="1096"/>
      <c r="AJ564" s="1096"/>
      <c r="AK564" s="1096"/>
      <c r="AL564" s="1096"/>
      <c r="AM564" s="1096"/>
      <c r="AN564" s="1096"/>
      <c r="AO564" s="1096"/>
      <c r="AP564" s="1096"/>
      <c r="AQ564" s="1096"/>
      <c r="AR564" s="1096"/>
      <c r="AS564" s="1096"/>
      <c r="AT564" s="1096"/>
      <c r="AU564" s="1096"/>
      <c r="AV564" s="1096"/>
      <c r="AW564" s="1096"/>
      <c r="AX564" s="1096"/>
      <c r="AY564" s="1096"/>
    </row>
    <row r="565" spans="1:51" x14ac:dyDescent="0.45">
      <c r="A565" s="1096">
        <v>1986</v>
      </c>
      <c r="B565" s="1096" t="s">
        <v>1387</v>
      </c>
      <c r="C565" s="1113">
        <f>[7]LRAll!C556</f>
        <v>96.603295310519655</v>
      </c>
      <c r="D565" s="1113">
        <f>[7]LRAll!I556</f>
        <v>100.1778304682869</v>
      </c>
      <c r="E565" s="1096"/>
      <c r="F565" s="1114">
        <f t="shared" si="13"/>
        <v>103.70022072878294</v>
      </c>
      <c r="G565" s="1096"/>
      <c r="H565" s="1096"/>
      <c r="I565" s="1096"/>
      <c r="J565" s="1096"/>
      <c r="K565" s="1096"/>
      <c r="L565" s="1096"/>
      <c r="M565" s="1096"/>
      <c r="N565" s="1096"/>
      <c r="O565" s="1096"/>
      <c r="P565" s="1096"/>
      <c r="Q565" s="1096"/>
      <c r="R565" s="1096"/>
      <c r="S565" s="1096"/>
      <c r="T565" s="1096"/>
      <c r="U565" s="1096"/>
      <c r="V565" s="1096"/>
      <c r="W565" s="1096"/>
      <c r="X565" s="1096"/>
      <c r="Y565" s="1096"/>
      <c r="Z565" s="1096"/>
      <c r="AA565" s="1096"/>
      <c r="AB565" s="1096"/>
      <c r="AC565" s="1096"/>
      <c r="AD565" s="1096"/>
      <c r="AE565" s="1096"/>
      <c r="AF565" s="1096"/>
      <c r="AG565" s="1096"/>
      <c r="AH565" s="1096"/>
      <c r="AI565" s="1096"/>
      <c r="AJ565" s="1096"/>
      <c r="AK565" s="1096"/>
      <c r="AL565" s="1096"/>
      <c r="AM565" s="1096"/>
      <c r="AN565" s="1096"/>
      <c r="AO565" s="1096"/>
      <c r="AP565" s="1096"/>
      <c r="AQ565" s="1096"/>
      <c r="AR565" s="1096"/>
      <c r="AS565" s="1096"/>
      <c r="AT565" s="1096"/>
      <c r="AU565" s="1096"/>
      <c r="AV565" s="1096"/>
      <c r="AW565" s="1096"/>
      <c r="AX565" s="1096"/>
      <c r="AY565" s="1096"/>
    </row>
    <row r="566" spans="1:51" x14ac:dyDescent="0.45">
      <c r="A566" s="1096">
        <v>1986</v>
      </c>
      <c r="B566" s="1096" t="s">
        <v>1389</v>
      </c>
      <c r="C566" s="1113">
        <f>[7]LRAll!C557</f>
        <v>96.730038022813702</v>
      </c>
      <c r="D566" s="1113">
        <f>[7]LRAll!I557</f>
        <v>100.1778304682869</v>
      </c>
      <c r="E566" s="1096"/>
      <c r="F566" s="1114">
        <f t="shared" si="13"/>
        <v>103.56434517751356</v>
      </c>
      <c r="G566" s="1096"/>
      <c r="H566" s="1096"/>
      <c r="I566" s="1096"/>
      <c r="J566" s="1096"/>
      <c r="K566" s="1096"/>
      <c r="L566" s="1096"/>
      <c r="M566" s="1096"/>
      <c r="N566" s="1096"/>
      <c r="O566" s="1096"/>
      <c r="P566" s="1096"/>
      <c r="Q566" s="1096"/>
      <c r="R566" s="1096"/>
      <c r="S566" s="1096"/>
      <c r="T566" s="1096"/>
      <c r="U566" s="1096"/>
      <c r="V566" s="1096"/>
      <c r="W566" s="1096"/>
      <c r="X566" s="1096"/>
      <c r="Y566" s="1096"/>
      <c r="Z566" s="1096"/>
      <c r="AA566" s="1096"/>
      <c r="AB566" s="1096"/>
      <c r="AC566" s="1096"/>
      <c r="AD566" s="1096"/>
      <c r="AE566" s="1096"/>
      <c r="AF566" s="1096"/>
      <c r="AG566" s="1096"/>
      <c r="AH566" s="1096"/>
      <c r="AI566" s="1096"/>
      <c r="AJ566" s="1096"/>
      <c r="AK566" s="1096"/>
      <c r="AL566" s="1096"/>
      <c r="AM566" s="1096"/>
      <c r="AN566" s="1096"/>
      <c r="AO566" s="1096"/>
      <c r="AP566" s="1096"/>
      <c r="AQ566" s="1096"/>
      <c r="AR566" s="1096"/>
      <c r="AS566" s="1096"/>
      <c r="AT566" s="1096"/>
      <c r="AU566" s="1096"/>
      <c r="AV566" s="1096"/>
      <c r="AW566" s="1096"/>
      <c r="AX566" s="1096"/>
      <c r="AY566" s="1096"/>
    </row>
    <row r="567" spans="1:51" x14ac:dyDescent="0.45">
      <c r="A567" s="1096">
        <v>1986</v>
      </c>
      <c r="B567" s="1096" t="s">
        <v>1391</v>
      </c>
      <c r="C567" s="1113">
        <f>[7]LRAll!C558</f>
        <v>97.667934093789611</v>
      </c>
      <c r="D567" s="1113">
        <f>[7]LRAll!I558</f>
        <v>100.13831258644537</v>
      </c>
      <c r="E567" s="1096"/>
      <c r="F567" s="1114">
        <f t="shared" si="13"/>
        <v>102.52936495030546</v>
      </c>
      <c r="G567" s="1096"/>
      <c r="H567" s="1096"/>
      <c r="I567" s="1096"/>
      <c r="J567" s="1096"/>
      <c r="K567" s="1096"/>
      <c r="L567" s="1096"/>
      <c r="M567" s="1096"/>
      <c r="N567" s="1096"/>
      <c r="O567" s="1096"/>
      <c r="P567" s="1096"/>
      <c r="Q567" s="1096"/>
      <c r="R567" s="1096"/>
      <c r="S567" s="1096"/>
      <c r="T567" s="1096"/>
      <c r="U567" s="1096"/>
      <c r="V567" s="1096"/>
      <c r="W567" s="1096"/>
      <c r="X567" s="1096"/>
      <c r="Y567" s="1096"/>
      <c r="Z567" s="1096"/>
      <c r="AA567" s="1096"/>
      <c r="AB567" s="1096"/>
      <c r="AC567" s="1096"/>
      <c r="AD567" s="1096"/>
      <c r="AE567" s="1096"/>
      <c r="AF567" s="1096"/>
      <c r="AG567" s="1096"/>
      <c r="AH567" s="1096"/>
      <c r="AI567" s="1096"/>
      <c r="AJ567" s="1096"/>
      <c r="AK567" s="1096"/>
      <c r="AL567" s="1096"/>
      <c r="AM567" s="1096"/>
      <c r="AN567" s="1096"/>
      <c r="AO567" s="1096"/>
      <c r="AP567" s="1096"/>
      <c r="AQ567" s="1096"/>
      <c r="AR567" s="1096"/>
      <c r="AS567" s="1096"/>
      <c r="AT567" s="1096"/>
      <c r="AU567" s="1096"/>
      <c r="AV567" s="1096"/>
      <c r="AW567" s="1096"/>
      <c r="AX567" s="1096"/>
      <c r="AY567" s="1096"/>
    </row>
    <row r="568" spans="1:51" x14ac:dyDescent="0.45">
      <c r="A568" s="1096">
        <v>1986</v>
      </c>
      <c r="B568" s="1096" t="s">
        <v>1393</v>
      </c>
      <c r="C568" s="1113">
        <f>[7]LRAll!C559</f>
        <v>97.845373891001273</v>
      </c>
      <c r="D568" s="1113">
        <f>[7]LRAll!I559</f>
        <v>99.624580122505435</v>
      </c>
      <c r="E568" s="1096"/>
      <c r="F568" s="1114">
        <f t="shared" si="13"/>
        <v>101.81838564333781</v>
      </c>
      <c r="G568" s="1096"/>
      <c r="H568" s="1096"/>
      <c r="I568" s="1096"/>
      <c r="J568" s="1096"/>
      <c r="K568" s="1096"/>
      <c r="L568" s="1096"/>
      <c r="M568" s="1096"/>
      <c r="N568" s="1096"/>
      <c r="O568" s="1096"/>
      <c r="P568" s="1096"/>
      <c r="Q568" s="1096"/>
      <c r="R568" s="1096"/>
      <c r="S568" s="1096"/>
      <c r="T568" s="1096"/>
      <c r="U568" s="1096"/>
      <c r="V568" s="1096"/>
      <c r="W568" s="1096"/>
      <c r="X568" s="1096"/>
      <c r="Y568" s="1096"/>
      <c r="Z568" s="1096"/>
      <c r="AA568" s="1096"/>
      <c r="AB568" s="1096"/>
      <c r="AC568" s="1096"/>
      <c r="AD568" s="1096"/>
      <c r="AE568" s="1096"/>
      <c r="AF568" s="1096"/>
      <c r="AG568" s="1096"/>
      <c r="AH568" s="1096"/>
      <c r="AI568" s="1096"/>
      <c r="AJ568" s="1096"/>
      <c r="AK568" s="1096"/>
      <c r="AL568" s="1096"/>
      <c r="AM568" s="1096"/>
      <c r="AN568" s="1096"/>
      <c r="AO568" s="1096"/>
      <c r="AP568" s="1096"/>
      <c r="AQ568" s="1096"/>
      <c r="AR568" s="1096"/>
      <c r="AS568" s="1096"/>
      <c r="AT568" s="1096"/>
      <c r="AU568" s="1096"/>
      <c r="AV568" s="1096"/>
      <c r="AW568" s="1096"/>
      <c r="AX568" s="1096"/>
      <c r="AY568" s="1096"/>
    </row>
    <row r="569" spans="1:51" x14ac:dyDescent="0.45">
      <c r="A569" s="1096">
        <v>1986</v>
      </c>
      <c r="B569" s="1096" t="s">
        <v>1371</v>
      </c>
      <c r="C569" s="1113">
        <f>[7]LRAll!C560</f>
        <v>97.794676806083658</v>
      </c>
      <c r="D569" s="1113">
        <f>[7]LRAll!I560</f>
        <v>99.743133768030035</v>
      </c>
      <c r="E569" s="1096"/>
      <c r="F569" s="1114">
        <f t="shared" si="13"/>
        <v>101.99239572702913</v>
      </c>
      <c r="G569" s="1096"/>
      <c r="H569" s="1096"/>
      <c r="I569" s="1096"/>
      <c r="J569" s="1096"/>
      <c r="K569" s="1096"/>
      <c r="L569" s="1096"/>
      <c r="M569" s="1096"/>
      <c r="N569" s="1096"/>
      <c r="O569" s="1096"/>
      <c r="P569" s="1096"/>
      <c r="Q569" s="1096"/>
      <c r="R569" s="1096"/>
      <c r="S569" s="1096"/>
      <c r="T569" s="1096"/>
      <c r="U569" s="1096"/>
      <c r="V569" s="1096"/>
      <c r="W569" s="1096"/>
      <c r="X569" s="1096"/>
      <c r="Y569" s="1096"/>
      <c r="Z569" s="1096"/>
      <c r="AA569" s="1096"/>
      <c r="AB569" s="1096"/>
      <c r="AC569" s="1096"/>
      <c r="AD569" s="1096"/>
      <c r="AE569" s="1096"/>
      <c r="AF569" s="1096"/>
      <c r="AG569" s="1096"/>
      <c r="AH569" s="1096"/>
      <c r="AI569" s="1096"/>
      <c r="AJ569" s="1096"/>
      <c r="AK569" s="1096"/>
      <c r="AL569" s="1096"/>
      <c r="AM569" s="1096"/>
      <c r="AN569" s="1096"/>
      <c r="AO569" s="1096"/>
      <c r="AP569" s="1096"/>
      <c r="AQ569" s="1096"/>
      <c r="AR569" s="1096"/>
      <c r="AS569" s="1096"/>
      <c r="AT569" s="1096"/>
      <c r="AU569" s="1096"/>
      <c r="AV569" s="1096"/>
      <c r="AW569" s="1096"/>
      <c r="AX569" s="1096"/>
      <c r="AY569" s="1096"/>
    </row>
    <row r="570" spans="1:51" x14ac:dyDescent="0.45">
      <c r="A570" s="1096">
        <v>1986</v>
      </c>
      <c r="B570" s="1096" t="s">
        <v>1373</v>
      </c>
      <c r="C570" s="1113">
        <f>[7]LRAll!C561</f>
        <v>97.51584283903675</v>
      </c>
      <c r="D570" s="1113">
        <f>[7]LRAll!I561</f>
        <v>99.782651649871568</v>
      </c>
      <c r="E570" s="1096"/>
      <c r="F570" s="1114">
        <f t="shared" si="13"/>
        <v>102.32455439530629</v>
      </c>
      <c r="G570" s="1096"/>
      <c r="H570" s="1096"/>
      <c r="I570" s="1096"/>
      <c r="J570" s="1096"/>
      <c r="K570" s="1096"/>
      <c r="L570" s="1096"/>
      <c r="M570" s="1096"/>
      <c r="N570" s="1096"/>
      <c r="O570" s="1096"/>
      <c r="P570" s="1096"/>
      <c r="Q570" s="1096"/>
      <c r="R570" s="1096"/>
      <c r="S570" s="1096"/>
      <c r="T570" s="1096"/>
      <c r="U570" s="1096"/>
      <c r="V570" s="1096"/>
      <c r="W570" s="1096"/>
      <c r="X570" s="1096"/>
      <c r="Y570" s="1096"/>
      <c r="Z570" s="1096"/>
      <c r="AA570" s="1096"/>
      <c r="AB570" s="1096"/>
      <c r="AC570" s="1096"/>
      <c r="AD570" s="1096"/>
      <c r="AE570" s="1096"/>
      <c r="AF570" s="1096"/>
      <c r="AG570" s="1096"/>
      <c r="AH570" s="1096"/>
      <c r="AI570" s="1096"/>
      <c r="AJ570" s="1096"/>
      <c r="AK570" s="1096"/>
      <c r="AL570" s="1096"/>
      <c r="AM570" s="1096"/>
      <c r="AN570" s="1096"/>
      <c r="AO570" s="1096"/>
      <c r="AP570" s="1096"/>
      <c r="AQ570" s="1096"/>
      <c r="AR570" s="1096"/>
      <c r="AS570" s="1096"/>
      <c r="AT570" s="1096"/>
      <c r="AU570" s="1096"/>
      <c r="AV570" s="1096"/>
      <c r="AW570" s="1096"/>
      <c r="AX570" s="1096"/>
      <c r="AY570" s="1096"/>
    </row>
    <row r="571" spans="1:51" x14ac:dyDescent="0.45">
      <c r="A571" s="1096">
        <v>1986</v>
      </c>
      <c r="B571" s="1096" t="s">
        <v>1375</v>
      </c>
      <c r="C571" s="1113">
        <f>[7]LRAll!C562</f>
        <v>97.820025348542458</v>
      </c>
      <c r="D571" s="1113">
        <f>[7]LRAll!I562</f>
        <v>99.9407231772377</v>
      </c>
      <c r="E571" s="1096"/>
      <c r="F571" s="1114">
        <f t="shared" si="13"/>
        <v>102.16795878056561</v>
      </c>
      <c r="G571" s="1096"/>
      <c r="H571" s="1096"/>
      <c r="I571" s="1096"/>
      <c r="J571" s="1096"/>
      <c r="K571" s="1096"/>
      <c r="L571" s="1096"/>
      <c r="M571" s="1096"/>
      <c r="N571" s="1096"/>
      <c r="O571" s="1096"/>
      <c r="P571" s="1096"/>
      <c r="Q571" s="1096"/>
      <c r="R571" s="1096"/>
      <c r="S571" s="1096"/>
      <c r="T571" s="1096"/>
      <c r="U571" s="1096"/>
      <c r="V571" s="1096"/>
      <c r="W571" s="1096"/>
      <c r="X571" s="1096"/>
      <c r="Y571" s="1096"/>
      <c r="Z571" s="1096"/>
      <c r="AA571" s="1096"/>
      <c r="AB571" s="1096"/>
      <c r="AC571" s="1096"/>
      <c r="AD571" s="1096"/>
      <c r="AE571" s="1096"/>
      <c r="AF571" s="1096"/>
      <c r="AG571" s="1096"/>
      <c r="AH571" s="1096"/>
      <c r="AI571" s="1096"/>
      <c r="AJ571" s="1096"/>
      <c r="AK571" s="1096"/>
      <c r="AL571" s="1096"/>
      <c r="AM571" s="1096"/>
      <c r="AN571" s="1096"/>
      <c r="AO571" s="1096"/>
      <c r="AP571" s="1096"/>
      <c r="AQ571" s="1096"/>
      <c r="AR571" s="1096"/>
      <c r="AS571" s="1096"/>
      <c r="AT571" s="1096"/>
      <c r="AU571" s="1096"/>
      <c r="AV571" s="1096"/>
      <c r="AW571" s="1096"/>
      <c r="AX571" s="1096"/>
      <c r="AY571" s="1096"/>
    </row>
    <row r="572" spans="1:51" x14ac:dyDescent="0.45">
      <c r="A572" s="1096">
        <v>1986</v>
      </c>
      <c r="B572" s="1096" t="s">
        <v>1377</v>
      </c>
      <c r="C572" s="1113">
        <f>[7]LRAll!C563</f>
        <v>98.301647655259828</v>
      </c>
      <c r="D572" s="1113">
        <f>[7]LRAll!I563</f>
        <v>100.1185536455246</v>
      </c>
      <c r="E572" s="1096"/>
      <c r="F572" s="1114">
        <f t="shared" si="13"/>
        <v>101.84829657854424</v>
      </c>
      <c r="G572" s="1096"/>
      <c r="H572" s="1096"/>
      <c r="I572" s="1096"/>
      <c r="J572" s="1096"/>
      <c r="K572" s="1096"/>
      <c r="L572" s="1096"/>
      <c r="M572" s="1096"/>
      <c r="N572" s="1096"/>
      <c r="O572" s="1096"/>
      <c r="P572" s="1096"/>
      <c r="Q572" s="1096"/>
      <c r="R572" s="1096"/>
      <c r="S572" s="1096"/>
      <c r="T572" s="1096"/>
      <c r="U572" s="1096"/>
      <c r="V572" s="1096"/>
      <c r="W572" s="1096"/>
      <c r="X572" s="1096"/>
      <c r="Y572" s="1096"/>
      <c r="Z572" s="1096"/>
      <c r="AA572" s="1096"/>
      <c r="AB572" s="1096"/>
      <c r="AC572" s="1096"/>
      <c r="AD572" s="1096"/>
      <c r="AE572" s="1096"/>
      <c r="AF572" s="1096"/>
      <c r="AG572" s="1096"/>
      <c r="AH572" s="1096"/>
      <c r="AI572" s="1096"/>
      <c r="AJ572" s="1096"/>
      <c r="AK572" s="1096"/>
      <c r="AL572" s="1096"/>
      <c r="AM572" s="1096"/>
      <c r="AN572" s="1096"/>
      <c r="AO572" s="1096"/>
      <c r="AP572" s="1096"/>
      <c r="AQ572" s="1096"/>
      <c r="AR572" s="1096"/>
      <c r="AS572" s="1096"/>
      <c r="AT572" s="1096"/>
      <c r="AU572" s="1096"/>
      <c r="AV572" s="1096"/>
      <c r="AW572" s="1096"/>
      <c r="AX572" s="1096"/>
      <c r="AY572" s="1096"/>
    </row>
    <row r="573" spans="1:51" x14ac:dyDescent="0.45">
      <c r="A573" s="1096">
        <v>1986</v>
      </c>
      <c r="B573" s="1096" t="s">
        <v>1379</v>
      </c>
      <c r="C573" s="1113">
        <f>[7]LRAll!C564</f>
        <v>98.453738910012675</v>
      </c>
      <c r="D573" s="1113">
        <f>[7]LRAll!I564</f>
        <v>100.0592768227623</v>
      </c>
      <c r="E573" s="1096"/>
      <c r="F573" s="1114">
        <f t="shared" si="13"/>
        <v>101.630753621472</v>
      </c>
      <c r="G573" s="1096"/>
      <c r="H573" s="1096"/>
      <c r="I573" s="1096"/>
      <c r="J573" s="1096"/>
      <c r="K573" s="1096"/>
      <c r="L573" s="1096"/>
      <c r="M573" s="1096"/>
      <c r="N573" s="1096"/>
      <c r="O573" s="1096"/>
      <c r="P573" s="1096"/>
      <c r="Q573" s="1096"/>
      <c r="R573" s="1096"/>
      <c r="S573" s="1096"/>
      <c r="T573" s="1096"/>
      <c r="U573" s="1096"/>
      <c r="V573" s="1096"/>
      <c r="W573" s="1096"/>
      <c r="X573" s="1096"/>
      <c r="Y573" s="1096"/>
      <c r="Z573" s="1096"/>
      <c r="AA573" s="1096"/>
      <c r="AB573" s="1096"/>
      <c r="AC573" s="1096"/>
      <c r="AD573" s="1096"/>
      <c r="AE573" s="1096"/>
      <c r="AF573" s="1096"/>
      <c r="AG573" s="1096"/>
      <c r="AH573" s="1096"/>
      <c r="AI573" s="1096"/>
      <c r="AJ573" s="1096"/>
      <c r="AK573" s="1096"/>
      <c r="AL573" s="1096"/>
      <c r="AM573" s="1096"/>
      <c r="AN573" s="1096"/>
      <c r="AO573" s="1096"/>
      <c r="AP573" s="1096"/>
      <c r="AQ573" s="1096"/>
      <c r="AR573" s="1096"/>
      <c r="AS573" s="1096"/>
      <c r="AT573" s="1096"/>
      <c r="AU573" s="1096"/>
      <c r="AV573" s="1096"/>
      <c r="AW573" s="1096"/>
      <c r="AX573" s="1096"/>
      <c r="AY573" s="1096"/>
    </row>
    <row r="574" spans="1:51" x14ac:dyDescent="0.45">
      <c r="A574" s="1096">
        <v>1986</v>
      </c>
      <c r="B574" s="1096" t="s">
        <v>1381</v>
      </c>
      <c r="C574" s="1113">
        <f>[7]LRAll!C565</f>
        <v>99.290240811153353</v>
      </c>
      <c r="D574" s="1113">
        <f>[7]LRAll!I565</f>
        <v>100</v>
      </c>
      <c r="E574" s="1096"/>
      <c r="F574" s="1114">
        <f t="shared" si="13"/>
        <v>100.71483278018893</v>
      </c>
      <c r="G574" s="1096"/>
      <c r="H574" s="1096"/>
      <c r="I574" s="1096"/>
      <c r="J574" s="1096"/>
      <c r="K574" s="1096"/>
      <c r="L574" s="1096"/>
      <c r="M574" s="1096"/>
      <c r="N574" s="1096"/>
      <c r="O574" s="1096"/>
      <c r="P574" s="1096"/>
      <c r="Q574" s="1096"/>
      <c r="R574" s="1096"/>
      <c r="S574" s="1096"/>
      <c r="T574" s="1096"/>
      <c r="U574" s="1096"/>
      <c r="V574" s="1096"/>
      <c r="W574" s="1096"/>
      <c r="X574" s="1096"/>
      <c r="Y574" s="1096"/>
      <c r="Z574" s="1096"/>
      <c r="AA574" s="1096"/>
      <c r="AB574" s="1096"/>
      <c r="AC574" s="1096"/>
      <c r="AD574" s="1096"/>
      <c r="AE574" s="1096"/>
      <c r="AF574" s="1096"/>
      <c r="AG574" s="1096"/>
      <c r="AH574" s="1096"/>
      <c r="AI574" s="1096"/>
      <c r="AJ574" s="1096"/>
      <c r="AK574" s="1096"/>
      <c r="AL574" s="1096"/>
      <c r="AM574" s="1096"/>
      <c r="AN574" s="1096"/>
      <c r="AO574" s="1096"/>
      <c r="AP574" s="1096"/>
      <c r="AQ574" s="1096"/>
      <c r="AR574" s="1096"/>
      <c r="AS574" s="1096"/>
      <c r="AT574" s="1096"/>
      <c r="AU574" s="1096"/>
      <c r="AV574" s="1096"/>
      <c r="AW574" s="1096"/>
      <c r="AX574" s="1096"/>
      <c r="AY574" s="1096"/>
    </row>
    <row r="575" spans="1:51" x14ac:dyDescent="0.45">
      <c r="A575" s="1096">
        <v>1986</v>
      </c>
      <c r="B575" s="1096" t="s">
        <v>1383</v>
      </c>
      <c r="C575" s="1113">
        <f>[7]LRAll!C566</f>
        <v>99.619771863117876</v>
      </c>
      <c r="D575" s="1113">
        <f>[7]LRAll!I566</f>
        <v>99.841928472633867</v>
      </c>
      <c r="E575" s="1096"/>
      <c r="F575" s="1114">
        <f t="shared" si="13"/>
        <v>100.22300453550652</v>
      </c>
      <c r="G575" s="1096"/>
      <c r="H575" s="1096"/>
      <c r="I575" s="1096"/>
      <c r="J575" s="1096"/>
      <c r="K575" s="1096"/>
      <c r="L575" s="1096"/>
      <c r="M575" s="1096"/>
      <c r="N575" s="1096"/>
      <c r="O575" s="1096"/>
      <c r="P575" s="1096"/>
      <c r="Q575" s="1096"/>
      <c r="R575" s="1096"/>
      <c r="S575" s="1096"/>
      <c r="T575" s="1096"/>
      <c r="U575" s="1096"/>
      <c r="V575" s="1096"/>
      <c r="W575" s="1096"/>
      <c r="X575" s="1096"/>
      <c r="Y575" s="1096"/>
      <c r="Z575" s="1096"/>
      <c r="AA575" s="1096"/>
      <c r="AB575" s="1096"/>
      <c r="AC575" s="1096"/>
      <c r="AD575" s="1096"/>
      <c r="AE575" s="1096"/>
      <c r="AF575" s="1096"/>
      <c r="AG575" s="1096"/>
      <c r="AH575" s="1096"/>
      <c r="AI575" s="1096"/>
      <c r="AJ575" s="1096"/>
      <c r="AK575" s="1096"/>
      <c r="AL575" s="1096"/>
      <c r="AM575" s="1096"/>
      <c r="AN575" s="1096"/>
      <c r="AO575" s="1096"/>
      <c r="AP575" s="1096"/>
      <c r="AQ575" s="1096"/>
      <c r="AR575" s="1096"/>
      <c r="AS575" s="1096"/>
      <c r="AT575" s="1096"/>
      <c r="AU575" s="1096"/>
      <c r="AV575" s="1096"/>
      <c r="AW575" s="1096"/>
      <c r="AX575" s="1096"/>
      <c r="AY575" s="1096"/>
    </row>
    <row r="576" spans="1:51" x14ac:dyDescent="0.45">
      <c r="A576" s="1096">
        <v>1987</v>
      </c>
      <c r="B576" s="1096" t="s">
        <v>1385</v>
      </c>
      <c r="C576" s="1113">
        <f>[7]LRAll!C567</f>
        <v>100</v>
      </c>
      <c r="D576" s="1113">
        <f>[7]LRAll!I567</f>
        <v>100</v>
      </c>
      <c r="E576" s="1096"/>
      <c r="F576" s="1114">
        <f t="shared" si="13"/>
        <v>100</v>
      </c>
      <c r="G576" s="1112">
        <f>R576/$Z576*100</f>
        <v>100</v>
      </c>
      <c r="H576" s="1112">
        <f>T576/$Z576*100</f>
        <v>100</v>
      </c>
      <c r="I576" s="1112">
        <f>V576/$Z576*100</f>
        <v>100</v>
      </c>
      <c r="J576" s="1112">
        <f>X576/$Z576*100</f>
        <v>100</v>
      </c>
      <c r="K576" s="1096"/>
      <c r="L576" s="1096"/>
      <c r="M576" s="1096"/>
      <c r="N576" s="1096"/>
      <c r="O576" s="1096"/>
      <c r="P576" s="1114">
        <v>100</v>
      </c>
      <c r="Q576" s="1096" t="s">
        <v>1431</v>
      </c>
      <c r="R576" s="1114">
        <v>100</v>
      </c>
      <c r="S576" s="1096" t="s">
        <v>1431</v>
      </c>
      <c r="T576" s="1114">
        <v>100</v>
      </c>
      <c r="U576" s="1096" t="s">
        <v>1431</v>
      </c>
      <c r="V576" s="1114">
        <v>100</v>
      </c>
      <c r="W576" s="1096" t="s">
        <v>1431</v>
      </c>
      <c r="X576" s="1114">
        <v>100</v>
      </c>
      <c r="Y576" s="1096" t="s">
        <v>1431</v>
      </c>
      <c r="Z576" s="1114">
        <v>100</v>
      </c>
      <c r="AA576" s="1096"/>
      <c r="AB576" s="1096"/>
      <c r="AC576" s="1096"/>
      <c r="AD576" s="1096"/>
      <c r="AE576" s="1096"/>
      <c r="AF576" s="1096"/>
      <c r="AG576" s="1096"/>
      <c r="AH576" s="1096"/>
      <c r="AI576" s="1096"/>
      <c r="AJ576" s="1096"/>
      <c r="AK576" s="1096"/>
      <c r="AL576" s="1096"/>
      <c r="AM576" s="1096"/>
      <c r="AN576" s="1096"/>
      <c r="AO576" s="1096"/>
      <c r="AP576" s="1096"/>
      <c r="AQ576" s="1096"/>
      <c r="AR576" s="1096"/>
      <c r="AS576" s="1096"/>
      <c r="AT576" s="1096"/>
      <c r="AU576" s="1096"/>
      <c r="AV576" s="1096"/>
      <c r="AW576" s="1096"/>
      <c r="AX576" s="1096"/>
      <c r="AY576" s="1096"/>
    </row>
    <row r="577" spans="1:51" x14ac:dyDescent="0.45">
      <c r="A577" s="1096">
        <v>1987</v>
      </c>
      <c r="B577" s="1096" t="s">
        <v>1387</v>
      </c>
      <c r="C577" s="1113">
        <f>[7]LRAll!C568</f>
        <v>100.4</v>
      </c>
      <c r="D577" s="1113">
        <f>[7]LRAll!I568</f>
        <v>100</v>
      </c>
      <c r="E577" s="1096"/>
      <c r="F577" s="1114">
        <f t="shared" si="13"/>
        <v>99.601593625497998</v>
      </c>
      <c r="G577" s="1112">
        <f t="shared" ref="G577:G640" si="14">R577/$Z577*100</f>
        <v>99.701195219123491</v>
      </c>
      <c r="H577" s="1112">
        <f t="shared" ref="H577:H640" si="15">T577/$Z577*100</f>
        <v>99.20318725099601</v>
      </c>
      <c r="I577" s="1112">
        <f t="shared" ref="I577:I640" si="16">V577/$Z577*100</f>
        <v>99.601593625497998</v>
      </c>
      <c r="J577" s="1112">
        <f t="shared" ref="J577:J640" si="17">X577/$Z577*100</f>
        <v>99.601593625497998</v>
      </c>
      <c r="K577" s="1096"/>
      <c r="L577" s="1096"/>
      <c r="M577" s="1096"/>
      <c r="N577" s="1096"/>
      <c r="O577" s="1096"/>
      <c r="P577" s="1114">
        <v>100</v>
      </c>
      <c r="Q577" s="1096" t="s">
        <v>1432</v>
      </c>
      <c r="R577" s="1114">
        <v>100.1</v>
      </c>
      <c r="S577" s="1096" t="s">
        <v>1432</v>
      </c>
      <c r="T577" s="1114">
        <v>99.6</v>
      </c>
      <c r="U577" s="1096" t="s">
        <v>1432</v>
      </c>
      <c r="V577" s="1114">
        <v>100</v>
      </c>
      <c r="W577" s="1096" t="s">
        <v>1432</v>
      </c>
      <c r="X577" s="1114">
        <v>100</v>
      </c>
      <c r="Y577" s="1096" t="s">
        <v>1432</v>
      </c>
      <c r="Z577" s="1114">
        <v>100.4</v>
      </c>
      <c r="AA577" s="1096"/>
      <c r="AB577" s="1096"/>
      <c r="AC577" s="1096"/>
      <c r="AD577" s="1096"/>
      <c r="AE577" s="1096"/>
      <c r="AF577" s="1096"/>
      <c r="AG577" s="1096"/>
      <c r="AH577" s="1096"/>
      <c r="AI577" s="1096"/>
      <c r="AJ577" s="1096"/>
      <c r="AK577" s="1096"/>
      <c r="AL577" s="1096"/>
      <c r="AM577" s="1096"/>
      <c r="AN577" s="1096"/>
      <c r="AO577" s="1096"/>
      <c r="AP577" s="1096"/>
      <c r="AQ577" s="1096"/>
      <c r="AR577" s="1096"/>
      <c r="AS577" s="1096"/>
      <c r="AT577" s="1096"/>
      <c r="AU577" s="1096"/>
      <c r="AV577" s="1096"/>
      <c r="AW577" s="1096"/>
      <c r="AX577" s="1096"/>
      <c r="AY577" s="1096"/>
    </row>
    <row r="578" spans="1:51" x14ac:dyDescent="0.45">
      <c r="A578" s="1096">
        <v>1987</v>
      </c>
      <c r="B578" s="1096" t="s">
        <v>1389</v>
      </c>
      <c r="C578" s="1113">
        <f>[7]LRAll!C569</f>
        <v>100.6</v>
      </c>
      <c r="D578" s="1113">
        <f>[7]LRAll!I569</f>
        <v>99.8</v>
      </c>
      <c r="E578" s="1096"/>
      <c r="F578" s="1114">
        <f t="shared" si="13"/>
        <v>99.204771371769382</v>
      </c>
      <c r="G578" s="1112">
        <f t="shared" si="14"/>
        <v>99.602385685884698</v>
      </c>
      <c r="H578" s="1112">
        <f t="shared" si="15"/>
        <v>95.427435387673967</v>
      </c>
      <c r="I578" s="1112">
        <f t="shared" si="16"/>
        <v>99.40357852882704</v>
      </c>
      <c r="J578" s="1112">
        <f t="shared" si="17"/>
        <v>99.40357852882704</v>
      </c>
      <c r="K578" s="1096"/>
      <c r="L578" s="1096"/>
      <c r="M578" s="1096"/>
      <c r="N578" s="1096"/>
      <c r="O578" s="1096"/>
      <c r="P578" s="1114">
        <v>99.8</v>
      </c>
      <c r="Q578" s="1096" t="s">
        <v>1433</v>
      </c>
      <c r="R578" s="1114">
        <v>100.2</v>
      </c>
      <c r="S578" s="1096" t="s">
        <v>1433</v>
      </c>
      <c r="T578" s="1114">
        <v>96</v>
      </c>
      <c r="U578" s="1096" t="s">
        <v>1433</v>
      </c>
      <c r="V578" s="1114">
        <v>100</v>
      </c>
      <c r="W578" s="1096" t="s">
        <v>1433</v>
      </c>
      <c r="X578" s="1114">
        <v>100</v>
      </c>
      <c r="Y578" s="1096" t="s">
        <v>1433</v>
      </c>
      <c r="Z578" s="1114">
        <v>100.6</v>
      </c>
      <c r="AA578" s="1096"/>
      <c r="AB578" s="1096"/>
      <c r="AC578" s="1096"/>
      <c r="AD578" s="1096"/>
      <c r="AE578" s="1096"/>
      <c r="AF578" s="1096"/>
      <c r="AG578" s="1096"/>
      <c r="AH578" s="1096"/>
      <c r="AI578" s="1096"/>
      <c r="AJ578" s="1096"/>
      <c r="AK578" s="1096"/>
      <c r="AL578" s="1096"/>
      <c r="AM578" s="1096"/>
      <c r="AN578" s="1096"/>
      <c r="AO578" s="1096"/>
      <c r="AP578" s="1096"/>
      <c r="AQ578" s="1096"/>
      <c r="AR578" s="1096"/>
      <c r="AS578" s="1096"/>
      <c r="AT578" s="1096"/>
      <c r="AU578" s="1096"/>
      <c r="AV578" s="1096"/>
      <c r="AW578" s="1096"/>
      <c r="AX578" s="1096"/>
      <c r="AY578" s="1096"/>
    </row>
    <row r="579" spans="1:51" x14ac:dyDescent="0.45">
      <c r="A579" s="1096">
        <v>1987</v>
      </c>
      <c r="B579" s="1096" t="s">
        <v>1391</v>
      </c>
      <c r="C579" s="1113">
        <f>[7]LRAll!C570</f>
        <v>101.8</v>
      </c>
      <c r="D579" s="1113">
        <f>[7]LRAll!I570</f>
        <v>99.9</v>
      </c>
      <c r="E579" s="1096"/>
      <c r="F579" s="1114">
        <f t="shared" si="13"/>
        <v>98.133595284872314</v>
      </c>
      <c r="G579" s="1112">
        <f t="shared" si="14"/>
        <v>98.526522593320237</v>
      </c>
      <c r="H579" s="1112">
        <f t="shared" si="15"/>
        <v>94.695481335952863</v>
      </c>
      <c r="I579" s="1112">
        <f t="shared" si="16"/>
        <v>98.231827111984288</v>
      </c>
      <c r="J579" s="1112">
        <f t="shared" si="17"/>
        <v>98.231827111984288</v>
      </c>
      <c r="K579" s="1096"/>
      <c r="L579" s="1096"/>
      <c r="M579" s="1096"/>
      <c r="N579" s="1096"/>
      <c r="O579" s="1096"/>
      <c r="P579" s="1114">
        <v>99.9</v>
      </c>
      <c r="Q579" s="1096" t="s">
        <v>1434</v>
      </c>
      <c r="R579" s="1114">
        <v>100.3</v>
      </c>
      <c r="S579" s="1096" t="s">
        <v>1434</v>
      </c>
      <c r="T579" s="1114">
        <v>96.4</v>
      </c>
      <c r="U579" s="1096" t="s">
        <v>1434</v>
      </c>
      <c r="V579" s="1114">
        <v>100</v>
      </c>
      <c r="W579" s="1096" t="s">
        <v>1434</v>
      </c>
      <c r="X579" s="1114">
        <v>100</v>
      </c>
      <c r="Y579" s="1096" t="s">
        <v>1434</v>
      </c>
      <c r="Z579" s="1114">
        <v>101.8</v>
      </c>
      <c r="AA579" s="1096"/>
      <c r="AB579" s="1096"/>
      <c r="AC579" s="1096"/>
      <c r="AD579" s="1096"/>
      <c r="AE579" s="1096"/>
      <c r="AF579" s="1096"/>
      <c r="AG579" s="1096"/>
      <c r="AH579" s="1096"/>
      <c r="AI579" s="1096"/>
      <c r="AJ579" s="1096"/>
      <c r="AK579" s="1096"/>
      <c r="AL579" s="1096"/>
      <c r="AM579" s="1096"/>
      <c r="AN579" s="1096"/>
      <c r="AO579" s="1096"/>
      <c r="AP579" s="1096"/>
      <c r="AQ579" s="1096"/>
      <c r="AR579" s="1096"/>
      <c r="AS579" s="1096"/>
      <c r="AT579" s="1096"/>
      <c r="AU579" s="1096"/>
      <c r="AV579" s="1096"/>
      <c r="AW579" s="1096"/>
      <c r="AX579" s="1096"/>
      <c r="AY579" s="1096"/>
    </row>
    <row r="580" spans="1:51" x14ac:dyDescent="0.45">
      <c r="A580" s="1096">
        <v>1987</v>
      </c>
      <c r="B580" s="1096" t="s">
        <v>1393</v>
      </c>
      <c r="C580" s="1113">
        <f>[7]LRAll!C571</f>
        <v>101.9</v>
      </c>
      <c r="D580" s="1113">
        <f>[7]LRAll!I571</f>
        <v>99.4</v>
      </c>
      <c r="E580" s="1096"/>
      <c r="F580" s="1114">
        <f t="shared" si="13"/>
        <v>97.546614327772332</v>
      </c>
      <c r="G580" s="1112">
        <f t="shared" si="14"/>
        <v>94.798822374877318</v>
      </c>
      <c r="H580" s="1112">
        <f t="shared" si="15"/>
        <v>93.130520117762515</v>
      </c>
      <c r="I580" s="1112">
        <f t="shared" si="16"/>
        <v>98.135426889106952</v>
      </c>
      <c r="J580" s="1112">
        <f t="shared" si="17"/>
        <v>98.135426889106952</v>
      </c>
      <c r="K580" s="1096"/>
      <c r="L580" s="1096"/>
      <c r="M580" s="1096"/>
      <c r="N580" s="1096"/>
      <c r="O580" s="1096"/>
      <c r="P580" s="1114">
        <v>99.4</v>
      </c>
      <c r="Q580" s="1096" t="s">
        <v>1435</v>
      </c>
      <c r="R580" s="1114">
        <v>96.6</v>
      </c>
      <c r="S580" s="1096" t="s">
        <v>1435</v>
      </c>
      <c r="T580" s="1114">
        <v>94.9</v>
      </c>
      <c r="U580" s="1096" t="s">
        <v>1435</v>
      </c>
      <c r="V580" s="1114">
        <v>100</v>
      </c>
      <c r="W580" s="1096" t="s">
        <v>1435</v>
      </c>
      <c r="X580" s="1114">
        <v>100</v>
      </c>
      <c r="Y580" s="1096" t="s">
        <v>1435</v>
      </c>
      <c r="Z580" s="1114">
        <v>101.9</v>
      </c>
      <c r="AA580" s="1096"/>
      <c r="AB580" s="1096"/>
      <c r="AC580" s="1096"/>
      <c r="AD580" s="1096"/>
      <c r="AE580" s="1096"/>
      <c r="AF580" s="1096"/>
      <c r="AG580" s="1096"/>
      <c r="AH580" s="1096"/>
      <c r="AI580" s="1096"/>
      <c r="AJ580" s="1096"/>
      <c r="AK580" s="1096"/>
      <c r="AL580" s="1096"/>
      <c r="AM580" s="1096"/>
      <c r="AN580" s="1096"/>
      <c r="AO580" s="1096"/>
      <c r="AP580" s="1096"/>
      <c r="AQ580" s="1096"/>
      <c r="AR580" s="1096"/>
      <c r="AS580" s="1096"/>
      <c r="AT580" s="1096"/>
      <c r="AU580" s="1096"/>
      <c r="AV580" s="1096"/>
      <c r="AW580" s="1096"/>
      <c r="AX580" s="1096"/>
      <c r="AY580" s="1096"/>
    </row>
    <row r="581" spans="1:51" x14ac:dyDescent="0.45">
      <c r="A581" s="1096">
        <v>1987</v>
      </c>
      <c r="B581" s="1096" t="s">
        <v>1371</v>
      </c>
      <c r="C581" s="1113">
        <f>[7]LRAll!C572</f>
        <v>101.9</v>
      </c>
      <c r="D581" s="1113">
        <f>[7]LRAll!I572</f>
        <v>99.4</v>
      </c>
      <c r="E581" s="1096"/>
      <c r="F581" s="1114">
        <f t="shared" si="13"/>
        <v>97.546614327772332</v>
      </c>
      <c r="G581" s="1112">
        <f t="shared" si="14"/>
        <v>93.71933267909715</v>
      </c>
      <c r="H581" s="1112">
        <f t="shared" si="15"/>
        <v>95.09322865554465</v>
      </c>
      <c r="I581" s="1112">
        <f t="shared" si="16"/>
        <v>98.135426889106952</v>
      </c>
      <c r="J581" s="1112">
        <f t="shared" si="17"/>
        <v>98.135426889106952</v>
      </c>
      <c r="K581" s="1096"/>
      <c r="L581" s="1096"/>
      <c r="M581" s="1096"/>
      <c r="N581" s="1096"/>
      <c r="O581" s="1096"/>
      <c r="P581" s="1114">
        <v>99.4</v>
      </c>
      <c r="Q581" s="1096" t="s">
        <v>1436</v>
      </c>
      <c r="R581" s="1114">
        <v>95.5</v>
      </c>
      <c r="S581" s="1096" t="s">
        <v>1436</v>
      </c>
      <c r="T581" s="1114">
        <v>96.9</v>
      </c>
      <c r="U581" s="1096" t="s">
        <v>1436</v>
      </c>
      <c r="V581" s="1114">
        <v>100</v>
      </c>
      <c r="W581" s="1096" t="s">
        <v>1436</v>
      </c>
      <c r="X581" s="1114">
        <v>100</v>
      </c>
      <c r="Y581" s="1096" t="s">
        <v>1436</v>
      </c>
      <c r="Z581" s="1114">
        <v>101.9</v>
      </c>
      <c r="AA581" s="1096"/>
      <c r="AB581" s="1096"/>
      <c r="AC581" s="1096"/>
      <c r="AD581" s="1096"/>
      <c r="AE581" s="1096"/>
      <c r="AF581" s="1096"/>
      <c r="AG581" s="1096"/>
      <c r="AH581" s="1096"/>
      <c r="AI581" s="1096"/>
      <c r="AJ581" s="1096"/>
      <c r="AK581" s="1096"/>
      <c r="AL581" s="1096"/>
      <c r="AM581" s="1096"/>
      <c r="AN581" s="1096"/>
      <c r="AO581" s="1096"/>
      <c r="AP581" s="1096"/>
      <c r="AQ581" s="1096"/>
      <c r="AR581" s="1096"/>
      <c r="AS581" s="1096"/>
      <c r="AT581" s="1096"/>
      <c r="AU581" s="1096"/>
      <c r="AV581" s="1096"/>
      <c r="AW581" s="1096"/>
      <c r="AX581" s="1096"/>
      <c r="AY581" s="1096"/>
    </row>
    <row r="582" spans="1:51" x14ac:dyDescent="0.45">
      <c r="A582" s="1096">
        <v>1987</v>
      </c>
      <c r="B582" s="1096" t="s">
        <v>1373</v>
      </c>
      <c r="C582" s="1113">
        <f>[7]LRAll!C573</f>
        <v>101.8</v>
      </c>
      <c r="D582" s="1113">
        <f>[7]LRAll!I573</f>
        <v>99.1</v>
      </c>
      <c r="E582" s="1096"/>
      <c r="F582" s="1114">
        <f t="shared" si="13"/>
        <v>97.347740667976424</v>
      </c>
      <c r="G582" s="1112">
        <f t="shared" si="14"/>
        <v>93.614931237721024</v>
      </c>
      <c r="H582" s="1112">
        <f t="shared" si="15"/>
        <v>94.204322200392937</v>
      </c>
      <c r="I582" s="1112">
        <f t="shared" si="16"/>
        <v>97.544204322200386</v>
      </c>
      <c r="J582" s="1112">
        <f t="shared" si="17"/>
        <v>98.231827111984288</v>
      </c>
      <c r="K582" s="1096"/>
      <c r="L582" s="1096"/>
      <c r="M582" s="1096"/>
      <c r="N582" s="1096"/>
      <c r="O582" s="1096"/>
      <c r="P582" s="1114">
        <v>99.1</v>
      </c>
      <c r="Q582" s="1096" t="s">
        <v>1437</v>
      </c>
      <c r="R582" s="1114">
        <v>95.3</v>
      </c>
      <c r="S582" s="1096" t="s">
        <v>1437</v>
      </c>
      <c r="T582" s="1114">
        <v>95.9</v>
      </c>
      <c r="U582" s="1096" t="s">
        <v>1437</v>
      </c>
      <c r="V582" s="1114">
        <v>99.3</v>
      </c>
      <c r="W582" s="1096" t="s">
        <v>1437</v>
      </c>
      <c r="X582" s="1114">
        <v>100</v>
      </c>
      <c r="Y582" s="1096" t="s">
        <v>1437</v>
      </c>
      <c r="Z582" s="1114">
        <v>101.8</v>
      </c>
      <c r="AA582" s="1096"/>
      <c r="AB582" s="1096"/>
      <c r="AC582" s="1096"/>
      <c r="AD582" s="1096"/>
      <c r="AE582" s="1096"/>
      <c r="AF582" s="1096"/>
      <c r="AG582" s="1096"/>
      <c r="AH582" s="1096"/>
      <c r="AI582" s="1096"/>
      <c r="AJ582" s="1096"/>
      <c r="AK582" s="1096"/>
      <c r="AL582" s="1096"/>
      <c r="AM582" s="1096"/>
      <c r="AN582" s="1096"/>
      <c r="AO582" s="1096"/>
      <c r="AP582" s="1096"/>
      <c r="AQ582" s="1096"/>
      <c r="AR582" s="1096"/>
      <c r="AS582" s="1096"/>
      <c r="AT582" s="1096"/>
      <c r="AU582" s="1096"/>
      <c r="AV582" s="1096"/>
      <c r="AW582" s="1096"/>
      <c r="AX582" s="1096"/>
      <c r="AY582" s="1096"/>
    </row>
    <row r="583" spans="1:51" x14ac:dyDescent="0.45">
      <c r="A583" s="1096">
        <v>1987</v>
      </c>
      <c r="B583" s="1096" t="s">
        <v>1375</v>
      </c>
      <c r="C583" s="1113">
        <f>[7]LRAll!C574</f>
        <v>102.1</v>
      </c>
      <c r="D583" s="1113">
        <f>[7]LRAll!I574</f>
        <v>99</v>
      </c>
      <c r="E583" s="1096"/>
      <c r="F583" s="1114">
        <f t="shared" si="13"/>
        <v>96.963761018609205</v>
      </c>
      <c r="G583" s="1112">
        <f t="shared" si="14"/>
        <v>96.278158667972576</v>
      </c>
      <c r="H583" s="1112">
        <f t="shared" si="15"/>
        <v>96.963761018609205</v>
      </c>
      <c r="I583" s="1112">
        <f t="shared" si="16"/>
        <v>95.886385896180229</v>
      </c>
      <c r="J583" s="1112">
        <f t="shared" si="17"/>
        <v>97.943192948090115</v>
      </c>
      <c r="K583" s="1096"/>
      <c r="L583" s="1096"/>
      <c r="M583" s="1096"/>
      <c r="N583" s="1096"/>
      <c r="O583" s="1096"/>
      <c r="P583" s="1114">
        <v>99</v>
      </c>
      <c r="Q583" s="1096" t="s">
        <v>1438</v>
      </c>
      <c r="R583" s="1114">
        <v>98.3</v>
      </c>
      <c r="S583" s="1096" t="s">
        <v>1438</v>
      </c>
      <c r="T583" s="1114">
        <v>99</v>
      </c>
      <c r="U583" s="1096" t="s">
        <v>1438</v>
      </c>
      <c r="V583" s="1114">
        <v>97.9</v>
      </c>
      <c r="W583" s="1096" t="s">
        <v>1438</v>
      </c>
      <c r="X583" s="1114">
        <v>100</v>
      </c>
      <c r="Y583" s="1096" t="s">
        <v>1438</v>
      </c>
      <c r="Z583" s="1114">
        <v>102.1</v>
      </c>
      <c r="AA583" s="1096"/>
      <c r="AB583" s="1096"/>
      <c r="AC583" s="1096"/>
      <c r="AD583" s="1096"/>
      <c r="AE583" s="1096"/>
      <c r="AF583" s="1096"/>
      <c r="AG583" s="1096"/>
      <c r="AH583" s="1096"/>
      <c r="AI583" s="1096"/>
      <c r="AJ583" s="1096"/>
      <c r="AK583" s="1096"/>
      <c r="AL583" s="1096"/>
      <c r="AM583" s="1096"/>
      <c r="AN583" s="1096"/>
      <c r="AO583" s="1096"/>
      <c r="AP583" s="1096"/>
      <c r="AQ583" s="1096"/>
      <c r="AR583" s="1096"/>
      <c r="AS583" s="1096"/>
      <c r="AT583" s="1096"/>
      <c r="AU583" s="1096"/>
      <c r="AV583" s="1096"/>
      <c r="AW583" s="1096"/>
      <c r="AX583" s="1096"/>
      <c r="AY583" s="1096"/>
    </row>
    <row r="584" spans="1:51" x14ac:dyDescent="0.45">
      <c r="A584" s="1096">
        <v>1987</v>
      </c>
      <c r="B584" s="1096" t="s">
        <v>1377</v>
      </c>
      <c r="C584" s="1113">
        <f>[7]LRAll!C575</f>
        <v>102.4</v>
      </c>
      <c r="D584" s="1113">
        <f>[7]LRAll!I575</f>
        <v>98.5</v>
      </c>
      <c r="E584" s="1096"/>
      <c r="F584" s="1114">
        <f t="shared" si="13"/>
        <v>96.19140625</v>
      </c>
      <c r="G584" s="1112">
        <f t="shared" si="14"/>
        <v>96.875</v>
      </c>
      <c r="H584" s="1112">
        <f t="shared" si="15"/>
        <v>95.703125</v>
      </c>
      <c r="I584" s="1112">
        <f t="shared" si="16"/>
        <v>94.23828125</v>
      </c>
      <c r="J584" s="1112">
        <f t="shared" si="17"/>
        <v>97.65625</v>
      </c>
      <c r="K584" s="1096"/>
      <c r="L584" s="1096"/>
      <c r="M584" s="1096"/>
      <c r="N584" s="1096"/>
      <c r="O584" s="1096"/>
      <c r="P584" s="1114">
        <v>98.5</v>
      </c>
      <c r="Q584" s="1096" t="s">
        <v>1439</v>
      </c>
      <c r="R584" s="1114">
        <v>99.2</v>
      </c>
      <c r="S584" s="1096" t="s">
        <v>1439</v>
      </c>
      <c r="T584" s="1114">
        <v>98</v>
      </c>
      <c r="U584" s="1096" t="s">
        <v>1439</v>
      </c>
      <c r="V584" s="1114">
        <v>96.5</v>
      </c>
      <c r="W584" s="1096" t="s">
        <v>1439</v>
      </c>
      <c r="X584" s="1114">
        <v>100</v>
      </c>
      <c r="Y584" s="1096" t="s">
        <v>1439</v>
      </c>
      <c r="Z584" s="1114">
        <v>102.4</v>
      </c>
      <c r="AA584" s="1096"/>
      <c r="AB584" s="1096"/>
      <c r="AC584" s="1096"/>
      <c r="AD584" s="1096"/>
      <c r="AE584" s="1096"/>
      <c r="AF584" s="1096"/>
      <c r="AG584" s="1096"/>
      <c r="AH584" s="1096"/>
      <c r="AI584" s="1096"/>
      <c r="AJ584" s="1096"/>
      <c r="AK584" s="1096"/>
      <c r="AL584" s="1096"/>
      <c r="AM584" s="1096"/>
      <c r="AN584" s="1096"/>
      <c r="AO584" s="1096"/>
      <c r="AP584" s="1096"/>
      <c r="AQ584" s="1096"/>
      <c r="AR584" s="1096"/>
      <c r="AS584" s="1096"/>
      <c r="AT584" s="1096"/>
      <c r="AU584" s="1096"/>
      <c r="AV584" s="1096"/>
      <c r="AW584" s="1096"/>
      <c r="AX584" s="1096"/>
      <c r="AY584" s="1096"/>
    </row>
    <row r="585" spans="1:51" x14ac:dyDescent="0.45">
      <c r="A585" s="1096">
        <v>1987</v>
      </c>
      <c r="B585" s="1096" t="s">
        <v>1379</v>
      </c>
      <c r="C585" s="1113">
        <f>[7]LRAll!C576</f>
        <v>102.9</v>
      </c>
      <c r="D585" s="1113">
        <f>[7]LRAll!I576</f>
        <v>98</v>
      </c>
      <c r="E585" s="1096"/>
      <c r="F585" s="1114">
        <f t="shared" si="13"/>
        <v>95.238095238095227</v>
      </c>
      <c r="G585" s="1112">
        <f t="shared" si="14"/>
        <v>96.987366375121468</v>
      </c>
      <c r="H585" s="1112">
        <f t="shared" si="15"/>
        <v>93.877551020408163</v>
      </c>
      <c r="I585" s="1112">
        <f t="shared" si="16"/>
        <v>92.808551992225446</v>
      </c>
      <c r="J585" s="1112">
        <f t="shared" si="17"/>
        <v>97.181729834791057</v>
      </c>
      <c r="K585" s="1096"/>
      <c r="L585" s="1096"/>
      <c r="M585" s="1096"/>
      <c r="N585" s="1096"/>
      <c r="O585" s="1096"/>
      <c r="P585" s="1114">
        <v>98</v>
      </c>
      <c r="Q585" s="1096" t="s">
        <v>1440</v>
      </c>
      <c r="R585" s="1114">
        <v>99.8</v>
      </c>
      <c r="S585" s="1096" t="s">
        <v>1440</v>
      </c>
      <c r="T585" s="1114">
        <v>96.6</v>
      </c>
      <c r="U585" s="1096" t="s">
        <v>1440</v>
      </c>
      <c r="V585" s="1114">
        <v>95.5</v>
      </c>
      <c r="W585" s="1096" t="s">
        <v>1440</v>
      </c>
      <c r="X585" s="1114">
        <v>100</v>
      </c>
      <c r="Y585" s="1096" t="s">
        <v>1440</v>
      </c>
      <c r="Z585" s="1114">
        <v>102.9</v>
      </c>
      <c r="AA585" s="1096"/>
      <c r="AB585" s="1096"/>
      <c r="AC585" s="1096"/>
      <c r="AD585" s="1096"/>
      <c r="AE585" s="1096"/>
      <c r="AF585" s="1096"/>
      <c r="AG585" s="1096"/>
      <c r="AH585" s="1096"/>
      <c r="AI585" s="1096"/>
      <c r="AJ585" s="1096"/>
      <c r="AK585" s="1096"/>
      <c r="AL585" s="1096"/>
      <c r="AM585" s="1096"/>
      <c r="AN585" s="1096"/>
      <c r="AO585" s="1096"/>
      <c r="AP585" s="1096"/>
      <c r="AQ585" s="1096"/>
      <c r="AR585" s="1096"/>
      <c r="AS585" s="1096"/>
      <c r="AT585" s="1096"/>
      <c r="AU585" s="1096"/>
      <c r="AV585" s="1096"/>
      <c r="AW585" s="1096"/>
      <c r="AX585" s="1096"/>
      <c r="AY585" s="1096"/>
    </row>
    <row r="586" spans="1:51" x14ac:dyDescent="0.45">
      <c r="A586" s="1096">
        <v>1987</v>
      </c>
      <c r="B586" s="1096" t="s">
        <v>1381</v>
      </c>
      <c r="C586" s="1113">
        <f>[7]LRAll!C577</f>
        <v>103.4</v>
      </c>
      <c r="D586" s="1113">
        <f>[7]LRAll!I577</f>
        <v>98.3</v>
      </c>
      <c r="E586" s="1096"/>
      <c r="F586" s="1114">
        <f t="shared" si="13"/>
        <v>95.067698259187623</v>
      </c>
      <c r="G586" s="1112">
        <f t="shared" si="14"/>
        <v>96.905222437137326</v>
      </c>
      <c r="H586" s="1112">
        <f t="shared" si="15"/>
        <v>97.872340425531917</v>
      </c>
      <c r="I586" s="1112">
        <f t="shared" si="16"/>
        <v>92.359767891682779</v>
      </c>
      <c r="J586" s="1112">
        <f t="shared" si="17"/>
        <v>96.71179883945841</v>
      </c>
      <c r="K586" s="1096"/>
      <c r="L586" s="1096"/>
      <c r="M586" s="1096"/>
      <c r="N586" s="1096"/>
      <c r="O586" s="1096"/>
      <c r="P586" s="1114">
        <v>98.3</v>
      </c>
      <c r="Q586" s="1096" t="s">
        <v>1441</v>
      </c>
      <c r="R586" s="1114">
        <v>100.2</v>
      </c>
      <c r="S586" s="1096" t="s">
        <v>1441</v>
      </c>
      <c r="T586" s="1114">
        <v>101.2</v>
      </c>
      <c r="U586" s="1096" t="s">
        <v>1441</v>
      </c>
      <c r="V586" s="1114">
        <v>95.5</v>
      </c>
      <c r="W586" s="1096" t="s">
        <v>1441</v>
      </c>
      <c r="X586" s="1114">
        <v>100</v>
      </c>
      <c r="Y586" s="1096" t="s">
        <v>1441</v>
      </c>
      <c r="Z586" s="1114">
        <v>103.4</v>
      </c>
      <c r="AA586" s="1096"/>
      <c r="AB586" s="1096"/>
      <c r="AC586" s="1096"/>
      <c r="AD586" s="1096"/>
      <c r="AE586" s="1096"/>
      <c r="AF586" s="1096"/>
      <c r="AG586" s="1096"/>
      <c r="AH586" s="1096"/>
      <c r="AI586" s="1096"/>
      <c r="AJ586" s="1096"/>
      <c r="AK586" s="1096"/>
      <c r="AL586" s="1096"/>
      <c r="AM586" s="1096"/>
      <c r="AN586" s="1096"/>
      <c r="AO586" s="1096"/>
      <c r="AP586" s="1096"/>
      <c r="AQ586" s="1096"/>
      <c r="AR586" s="1096"/>
      <c r="AS586" s="1096"/>
      <c r="AT586" s="1096"/>
      <c r="AU586" s="1096"/>
      <c r="AV586" s="1096"/>
      <c r="AW586" s="1096"/>
      <c r="AX586" s="1096"/>
      <c r="AY586" s="1096"/>
    </row>
    <row r="587" spans="1:51" x14ac:dyDescent="0.45">
      <c r="A587" s="1096">
        <v>1987</v>
      </c>
      <c r="B587" s="1096" t="s">
        <v>1383</v>
      </c>
      <c r="C587" s="1113">
        <f>[7]LRAll!C578</f>
        <v>103.3</v>
      </c>
      <c r="D587" s="1113">
        <f>[7]LRAll!I578</f>
        <v>98.2</v>
      </c>
      <c r="E587" s="1096"/>
      <c r="F587" s="1114">
        <f t="shared" si="13"/>
        <v>95.06292352371733</v>
      </c>
      <c r="G587" s="1112">
        <f t="shared" si="14"/>
        <v>97.095837366892539</v>
      </c>
      <c r="H587" s="1112">
        <f t="shared" si="15"/>
        <v>95.06292352371733</v>
      </c>
      <c r="I587" s="1112">
        <f t="shared" si="16"/>
        <v>92.44917715392063</v>
      </c>
      <c r="J587" s="1112">
        <f t="shared" si="17"/>
        <v>96.805421103581807</v>
      </c>
      <c r="K587" s="1096"/>
      <c r="L587" s="1096"/>
      <c r="M587" s="1096"/>
      <c r="N587" s="1096"/>
      <c r="O587" s="1096"/>
      <c r="P587" s="1114">
        <v>98.2</v>
      </c>
      <c r="Q587" s="1096" t="s">
        <v>1442</v>
      </c>
      <c r="R587" s="1114">
        <v>100.3</v>
      </c>
      <c r="S587" s="1096" t="s">
        <v>1442</v>
      </c>
      <c r="T587" s="1114">
        <v>98.2</v>
      </c>
      <c r="U587" s="1096" t="s">
        <v>1442</v>
      </c>
      <c r="V587" s="1114">
        <v>95.5</v>
      </c>
      <c r="W587" s="1096" t="s">
        <v>1442</v>
      </c>
      <c r="X587" s="1114">
        <v>100</v>
      </c>
      <c r="Y587" s="1096" t="s">
        <v>1442</v>
      </c>
      <c r="Z587" s="1114">
        <v>103.3</v>
      </c>
      <c r="AA587" s="1096"/>
      <c r="AB587" s="1096"/>
      <c r="AC587" s="1096"/>
      <c r="AD587" s="1096"/>
      <c r="AE587" s="1096"/>
      <c r="AF587" s="1096"/>
      <c r="AG587" s="1096"/>
      <c r="AH587" s="1096"/>
      <c r="AI587" s="1096"/>
      <c r="AJ587" s="1096"/>
      <c r="AK587" s="1096"/>
      <c r="AL587" s="1096"/>
      <c r="AM587" s="1096"/>
      <c r="AN587" s="1096"/>
      <c r="AO587" s="1096"/>
      <c r="AP587" s="1096"/>
      <c r="AQ587" s="1096"/>
      <c r="AR587" s="1096"/>
      <c r="AS587" s="1096"/>
      <c r="AT587" s="1096"/>
      <c r="AU587" s="1096"/>
      <c r="AV587" s="1096"/>
      <c r="AW587" s="1096"/>
      <c r="AX587" s="1096"/>
      <c r="AY587" s="1096"/>
    </row>
    <row r="588" spans="1:51" x14ac:dyDescent="0.45">
      <c r="A588" s="1096">
        <v>1988</v>
      </c>
      <c r="B588" s="1096" t="s">
        <v>1385</v>
      </c>
      <c r="C588" s="1113">
        <f>[7]LRAll!C579</f>
        <v>103.3</v>
      </c>
      <c r="D588" s="1113">
        <f>[7]LRAll!I579</f>
        <v>98.3</v>
      </c>
      <c r="E588" s="1096"/>
      <c r="F588" s="1114">
        <f t="shared" si="13"/>
        <v>95.159728944820912</v>
      </c>
      <c r="G588" s="1112">
        <f t="shared" si="14"/>
        <v>98.547918683446284</v>
      </c>
      <c r="H588" s="1112">
        <f t="shared" si="15"/>
        <v>94.191674733785092</v>
      </c>
      <c r="I588" s="1112">
        <f t="shared" si="16"/>
        <v>92.44917715392063</v>
      </c>
      <c r="J588" s="1112">
        <f t="shared" si="17"/>
        <v>96.805421103581807</v>
      </c>
      <c r="K588" s="1096"/>
      <c r="L588" s="1096"/>
      <c r="M588" s="1096"/>
      <c r="N588" s="1096"/>
      <c r="O588" s="1096"/>
      <c r="P588" s="1114">
        <v>98.3</v>
      </c>
      <c r="Q588" s="1096" t="s">
        <v>1443</v>
      </c>
      <c r="R588" s="1114">
        <v>101.8</v>
      </c>
      <c r="S588" s="1096" t="s">
        <v>1443</v>
      </c>
      <c r="T588" s="1114">
        <v>97.3</v>
      </c>
      <c r="U588" s="1096" t="s">
        <v>1443</v>
      </c>
      <c r="V588" s="1114">
        <v>95.5</v>
      </c>
      <c r="W588" s="1096" t="s">
        <v>1443</v>
      </c>
      <c r="X588" s="1114">
        <v>100</v>
      </c>
      <c r="Y588" s="1096" t="s">
        <v>1443</v>
      </c>
      <c r="Z588" s="1114">
        <v>103.3</v>
      </c>
      <c r="AA588" s="1096"/>
      <c r="AB588" s="1096"/>
      <c r="AC588" s="1096"/>
      <c r="AD588" s="1096"/>
      <c r="AE588" s="1096"/>
      <c r="AF588" s="1096"/>
      <c r="AG588" s="1096"/>
      <c r="AH588" s="1096"/>
      <c r="AI588" s="1096"/>
      <c r="AJ588" s="1096"/>
      <c r="AK588" s="1096"/>
      <c r="AL588" s="1096"/>
      <c r="AM588" s="1096"/>
      <c r="AN588" s="1096"/>
      <c r="AO588" s="1096"/>
      <c r="AP588" s="1096"/>
      <c r="AQ588" s="1096"/>
      <c r="AR588" s="1096"/>
      <c r="AS588" s="1096"/>
      <c r="AT588" s="1096"/>
      <c r="AU588" s="1096"/>
      <c r="AV588" s="1096"/>
      <c r="AW588" s="1096"/>
      <c r="AX588" s="1096"/>
      <c r="AY588" s="1096"/>
    </row>
    <row r="589" spans="1:51" x14ac:dyDescent="0.45">
      <c r="A589" s="1096">
        <v>1988</v>
      </c>
      <c r="B589" s="1096" t="s">
        <v>1387</v>
      </c>
      <c r="C589" s="1113">
        <f>[7]LRAll!C580</f>
        <v>103.7</v>
      </c>
      <c r="D589" s="1113">
        <f>[7]LRAll!I580</f>
        <v>98</v>
      </c>
      <c r="E589" s="1096"/>
      <c r="F589" s="1114">
        <f t="shared" si="13"/>
        <v>94.503375120540014</v>
      </c>
      <c r="G589" s="1112">
        <f t="shared" si="14"/>
        <v>98.360655737704917</v>
      </c>
      <c r="H589" s="1112">
        <f t="shared" si="15"/>
        <v>89.585342333654765</v>
      </c>
      <c r="I589" s="1112">
        <f t="shared" si="16"/>
        <v>92.092574734811961</v>
      </c>
      <c r="J589" s="1112">
        <f t="shared" si="17"/>
        <v>96.432015429122458</v>
      </c>
      <c r="K589" s="1096"/>
      <c r="L589" s="1096"/>
      <c r="M589" s="1096"/>
      <c r="N589" s="1096"/>
      <c r="O589" s="1096"/>
      <c r="P589" s="1114">
        <v>98</v>
      </c>
      <c r="Q589" s="1096" t="s">
        <v>1444</v>
      </c>
      <c r="R589" s="1114">
        <v>102</v>
      </c>
      <c r="S589" s="1096" t="s">
        <v>1444</v>
      </c>
      <c r="T589" s="1114">
        <v>92.9</v>
      </c>
      <c r="U589" s="1096" t="s">
        <v>1444</v>
      </c>
      <c r="V589" s="1114">
        <v>95.5</v>
      </c>
      <c r="W589" s="1096" t="s">
        <v>1444</v>
      </c>
      <c r="X589" s="1114">
        <v>100</v>
      </c>
      <c r="Y589" s="1096" t="s">
        <v>1444</v>
      </c>
      <c r="Z589" s="1114">
        <v>103.7</v>
      </c>
      <c r="AA589" s="1096"/>
      <c r="AB589" s="1096"/>
      <c r="AC589" s="1096"/>
      <c r="AD589" s="1096"/>
      <c r="AE589" s="1096"/>
      <c r="AF589" s="1096"/>
      <c r="AG589" s="1096"/>
      <c r="AH589" s="1096"/>
      <c r="AI589" s="1096"/>
      <c r="AJ589" s="1096"/>
      <c r="AK589" s="1096"/>
      <c r="AL589" s="1096"/>
      <c r="AM589" s="1096"/>
      <c r="AN589" s="1096"/>
      <c r="AO589" s="1096"/>
      <c r="AP589" s="1096"/>
      <c r="AQ589" s="1096"/>
      <c r="AR589" s="1096"/>
      <c r="AS589" s="1096"/>
      <c r="AT589" s="1096"/>
      <c r="AU589" s="1096"/>
      <c r="AV589" s="1096"/>
      <c r="AW589" s="1096"/>
      <c r="AX589" s="1096"/>
      <c r="AY589" s="1096"/>
    </row>
    <row r="590" spans="1:51" x14ac:dyDescent="0.45">
      <c r="A590" s="1096">
        <v>1988</v>
      </c>
      <c r="B590" s="1096" t="s">
        <v>1389</v>
      </c>
      <c r="C590" s="1113">
        <f>[7]LRAll!C581</f>
        <v>104.1</v>
      </c>
      <c r="D590" s="1113">
        <f>[7]LRAll!I581</f>
        <v>97.8</v>
      </c>
      <c r="E590" s="1096"/>
      <c r="F590" s="1114">
        <f t="shared" si="13"/>
        <v>93.948126801152739</v>
      </c>
      <c r="G590" s="1112">
        <f t="shared" si="14"/>
        <v>97.886647454370816</v>
      </c>
      <c r="H590" s="1112">
        <f t="shared" si="15"/>
        <v>85.878962536023067</v>
      </c>
      <c r="I590" s="1112">
        <f t="shared" si="16"/>
        <v>91.738712776176754</v>
      </c>
      <c r="J590" s="1112">
        <f t="shared" si="17"/>
        <v>96.061479346781937</v>
      </c>
      <c r="K590" s="1096"/>
      <c r="L590" s="1096"/>
      <c r="M590" s="1096"/>
      <c r="N590" s="1096"/>
      <c r="O590" s="1096"/>
      <c r="P590" s="1114">
        <v>97.8</v>
      </c>
      <c r="Q590" s="1096" t="s">
        <v>1445</v>
      </c>
      <c r="R590" s="1114">
        <v>101.9</v>
      </c>
      <c r="S590" s="1096" t="s">
        <v>1445</v>
      </c>
      <c r="T590" s="1114">
        <v>89.4</v>
      </c>
      <c r="U590" s="1096" t="s">
        <v>1445</v>
      </c>
      <c r="V590" s="1114">
        <v>95.5</v>
      </c>
      <c r="W590" s="1096" t="s">
        <v>1445</v>
      </c>
      <c r="X590" s="1114">
        <v>100</v>
      </c>
      <c r="Y590" s="1096" t="s">
        <v>1445</v>
      </c>
      <c r="Z590" s="1114">
        <v>104.1</v>
      </c>
      <c r="AA590" s="1096"/>
      <c r="AB590" s="1096"/>
      <c r="AC590" s="1096"/>
      <c r="AD590" s="1096"/>
      <c r="AE590" s="1096"/>
      <c r="AF590" s="1096"/>
      <c r="AG590" s="1096"/>
      <c r="AH590" s="1096"/>
      <c r="AI590" s="1096"/>
      <c r="AJ590" s="1096"/>
      <c r="AK590" s="1096"/>
      <c r="AL590" s="1096"/>
      <c r="AM590" s="1096"/>
      <c r="AN590" s="1096"/>
      <c r="AO590" s="1096"/>
      <c r="AP590" s="1096"/>
      <c r="AQ590" s="1096"/>
      <c r="AR590" s="1096"/>
      <c r="AS590" s="1096"/>
      <c r="AT590" s="1096"/>
      <c r="AU590" s="1096"/>
      <c r="AV590" s="1096"/>
      <c r="AW590" s="1096"/>
      <c r="AX590" s="1096"/>
      <c r="AY590" s="1096"/>
    </row>
    <row r="591" spans="1:51" x14ac:dyDescent="0.45">
      <c r="A591" s="1096">
        <v>1988</v>
      </c>
      <c r="B591" s="1096" t="s">
        <v>1391</v>
      </c>
      <c r="C591" s="1113">
        <f>[7]LRAll!C582</f>
        <v>105.8</v>
      </c>
      <c r="D591" s="1113">
        <f>[7]LRAll!I582</f>
        <v>99.1</v>
      </c>
      <c r="E591" s="1096"/>
      <c r="F591" s="1114">
        <f t="shared" si="13"/>
        <v>93.667296786389414</v>
      </c>
      <c r="G591" s="1112">
        <f t="shared" si="14"/>
        <v>96.313799621928169</v>
      </c>
      <c r="H591" s="1112">
        <f t="shared" si="15"/>
        <v>84.593572778827976</v>
      </c>
      <c r="I591" s="1112">
        <f t="shared" si="16"/>
        <v>91.304347826086953</v>
      </c>
      <c r="J591" s="1112">
        <f t="shared" si="17"/>
        <v>96.124763705103973</v>
      </c>
      <c r="K591" s="1096"/>
      <c r="L591" s="1096"/>
      <c r="M591" s="1096"/>
      <c r="N591" s="1096"/>
      <c r="O591" s="1096"/>
      <c r="P591" s="1114">
        <v>99.1</v>
      </c>
      <c r="Q591" s="1096" t="s">
        <v>1446</v>
      </c>
      <c r="R591" s="1114">
        <v>101.9</v>
      </c>
      <c r="S591" s="1096" t="s">
        <v>1446</v>
      </c>
      <c r="T591" s="1114">
        <v>89.5</v>
      </c>
      <c r="U591" s="1096" t="s">
        <v>1446</v>
      </c>
      <c r="V591" s="1114">
        <v>96.6</v>
      </c>
      <c r="W591" s="1096" t="s">
        <v>1446</v>
      </c>
      <c r="X591" s="1114">
        <v>101.7</v>
      </c>
      <c r="Y591" s="1096" t="s">
        <v>1446</v>
      </c>
      <c r="Z591" s="1114">
        <v>105.8</v>
      </c>
      <c r="AA591" s="1096"/>
      <c r="AB591" s="1096"/>
      <c r="AC591" s="1096"/>
      <c r="AD591" s="1096"/>
      <c r="AE591" s="1096"/>
      <c r="AF591" s="1096"/>
      <c r="AG591" s="1096"/>
      <c r="AH591" s="1096"/>
      <c r="AI591" s="1096"/>
      <c r="AJ591" s="1096"/>
      <c r="AK591" s="1096"/>
      <c r="AL591" s="1096"/>
      <c r="AM591" s="1096"/>
      <c r="AN591" s="1096"/>
      <c r="AO591" s="1096"/>
      <c r="AP591" s="1096"/>
      <c r="AQ591" s="1096"/>
      <c r="AR591" s="1096"/>
      <c r="AS591" s="1096"/>
      <c r="AT591" s="1096"/>
      <c r="AU591" s="1096"/>
      <c r="AV591" s="1096"/>
      <c r="AW591" s="1096"/>
      <c r="AX591" s="1096"/>
      <c r="AY591" s="1096"/>
    </row>
    <row r="592" spans="1:51" x14ac:dyDescent="0.45">
      <c r="A592" s="1096">
        <v>1988</v>
      </c>
      <c r="B592" s="1096" t="s">
        <v>1393</v>
      </c>
      <c r="C592" s="1113">
        <f>[7]LRAll!C583</f>
        <v>106.2</v>
      </c>
      <c r="D592" s="1113">
        <f>[7]LRAll!I583</f>
        <v>100.7</v>
      </c>
      <c r="E592" s="1096"/>
      <c r="F592" s="1114">
        <f t="shared" si="13"/>
        <v>94.821092278719405</v>
      </c>
      <c r="G592" s="1112">
        <f t="shared" si="14"/>
        <v>91.525423728813564</v>
      </c>
      <c r="H592" s="1112">
        <f t="shared" si="15"/>
        <v>84.839924670433149</v>
      </c>
      <c r="I592" s="1112">
        <f t="shared" si="16"/>
        <v>92.655367231638422</v>
      </c>
      <c r="J592" s="1112">
        <f t="shared" si="17"/>
        <v>98.305084745762713</v>
      </c>
      <c r="K592" s="1096"/>
      <c r="L592" s="1096"/>
      <c r="M592" s="1096"/>
      <c r="N592" s="1096"/>
      <c r="O592" s="1096"/>
      <c r="P592" s="1114">
        <v>100.7</v>
      </c>
      <c r="Q592" s="1096" t="s">
        <v>1447</v>
      </c>
      <c r="R592" s="1114">
        <v>97.2</v>
      </c>
      <c r="S592" s="1096" t="s">
        <v>1447</v>
      </c>
      <c r="T592" s="1114">
        <v>90.1</v>
      </c>
      <c r="U592" s="1096" t="s">
        <v>1447</v>
      </c>
      <c r="V592" s="1114">
        <v>98.4</v>
      </c>
      <c r="W592" s="1096" t="s">
        <v>1447</v>
      </c>
      <c r="X592" s="1114">
        <v>104.4</v>
      </c>
      <c r="Y592" s="1096" t="s">
        <v>1447</v>
      </c>
      <c r="Z592" s="1114">
        <v>106.2</v>
      </c>
      <c r="AA592" s="1096"/>
      <c r="AB592" s="1096"/>
      <c r="AC592" s="1096"/>
      <c r="AD592" s="1096"/>
      <c r="AE592" s="1096"/>
      <c r="AF592" s="1096"/>
      <c r="AG592" s="1096"/>
      <c r="AH592" s="1096"/>
      <c r="AI592" s="1096"/>
      <c r="AJ592" s="1096"/>
      <c r="AK592" s="1096"/>
      <c r="AL592" s="1096"/>
      <c r="AM592" s="1096"/>
      <c r="AN592" s="1096"/>
      <c r="AO592" s="1096"/>
      <c r="AP592" s="1096"/>
      <c r="AQ592" s="1096"/>
      <c r="AR592" s="1096"/>
      <c r="AS592" s="1096"/>
      <c r="AT592" s="1096"/>
      <c r="AU592" s="1096"/>
      <c r="AV592" s="1096"/>
      <c r="AW592" s="1096"/>
      <c r="AX592" s="1096"/>
      <c r="AY592" s="1096"/>
    </row>
    <row r="593" spans="1:51" x14ac:dyDescent="0.45">
      <c r="A593" s="1096">
        <v>1988</v>
      </c>
      <c r="B593" s="1096" t="s">
        <v>1371</v>
      </c>
      <c r="C593" s="1113">
        <f>[7]LRAll!C584</f>
        <v>106.6</v>
      </c>
      <c r="D593" s="1113">
        <f>[7]LRAll!I584</f>
        <v>102.4</v>
      </c>
      <c r="E593" s="1096"/>
      <c r="F593" s="1114">
        <f t="shared" si="13"/>
        <v>96.060037523452166</v>
      </c>
      <c r="G593" s="1112">
        <f t="shared" si="14"/>
        <v>90.619136960600372</v>
      </c>
      <c r="H593" s="1112">
        <f t="shared" si="15"/>
        <v>83.208255159474675</v>
      </c>
      <c r="I593" s="1112">
        <f t="shared" si="16"/>
        <v>93.902439024390233</v>
      </c>
      <c r="J593" s="1112">
        <f t="shared" si="17"/>
        <v>100.46904315196998</v>
      </c>
      <c r="K593" s="1096"/>
      <c r="L593" s="1096"/>
      <c r="M593" s="1096"/>
      <c r="N593" s="1096"/>
      <c r="O593" s="1096"/>
      <c r="P593" s="1114">
        <v>102.4</v>
      </c>
      <c r="Q593" s="1096" t="s">
        <v>1448</v>
      </c>
      <c r="R593" s="1114">
        <v>96.6</v>
      </c>
      <c r="S593" s="1096" t="s">
        <v>1448</v>
      </c>
      <c r="T593" s="1114">
        <v>88.7</v>
      </c>
      <c r="U593" s="1096" t="s">
        <v>1448</v>
      </c>
      <c r="V593" s="1114">
        <v>100.1</v>
      </c>
      <c r="W593" s="1096" t="s">
        <v>1448</v>
      </c>
      <c r="X593" s="1114">
        <v>107.1</v>
      </c>
      <c r="Y593" s="1096" t="s">
        <v>1448</v>
      </c>
      <c r="Z593" s="1114">
        <v>106.6</v>
      </c>
      <c r="AA593" s="1096"/>
      <c r="AB593" s="1096"/>
      <c r="AC593" s="1096"/>
      <c r="AD593" s="1096"/>
      <c r="AE593" s="1096"/>
      <c r="AF593" s="1096"/>
      <c r="AG593" s="1096"/>
      <c r="AH593" s="1096"/>
      <c r="AI593" s="1096"/>
      <c r="AJ593" s="1096"/>
      <c r="AK593" s="1096"/>
      <c r="AL593" s="1096"/>
      <c r="AM593" s="1096"/>
      <c r="AN593" s="1096"/>
      <c r="AO593" s="1096"/>
      <c r="AP593" s="1096"/>
      <c r="AQ593" s="1096"/>
      <c r="AR593" s="1096"/>
      <c r="AS593" s="1096"/>
      <c r="AT593" s="1096"/>
      <c r="AU593" s="1096"/>
      <c r="AV593" s="1096"/>
      <c r="AW593" s="1096"/>
      <c r="AX593" s="1096"/>
      <c r="AY593" s="1096"/>
    </row>
    <row r="594" spans="1:51" x14ac:dyDescent="0.45">
      <c r="A594" s="1096">
        <v>1988</v>
      </c>
      <c r="B594" s="1096" t="s">
        <v>1373</v>
      </c>
      <c r="C594" s="1113">
        <f>[7]LRAll!C585</f>
        <v>106.7</v>
      </c>
      <c r="D594" s="1113">
        <f>[7]LRAll!I585</f>
        <v>103.6</v>
      </c>
      <c r="E594" s="1096"/>
      <c r="F594" s="1114">
        <f t="shared" si="13"/>
        <v>97.094657919400191</v>
      </c>
      <c r="G594" s="1112">
        <f t="shared" si="14"/>
        <v>90.1593252108716</v>
      </c>
      <c r="H594" s="1112">
        <f t="shared" si="15"/>
        <v>84.254920337394566</v>
      </c>
      <c r="I594" s="1112">
        <f t="shared" si="16"/>
        <v>94.845360824742258</v>
      </c>
      <c r="J594" s="1112">
        <f t="shared" si="17"/>
        <v>101.78069353327083</v>
      </c>
      <c r="K594" s="1096"/>
      <c r="L594" s="1096"/>
      <c r="M594" s="1096"/>
      <c r="N594" s="1096"/>
      <c r="O594" s="1096"/>
      <c r="P594" s="1114">
        <v>103.6</v>
      </c>
      <c r="Q594" s="1096" t="s">
        <v>1449</v>
      </c>
      <c r="R594" s="1114">
        <v>96.2</v>
      </c>
      <c r="S594" s="1096" t="s">
        <v>1449</v>
      </c>
      <c r="T594" s="1114">
        <v>89.9</v>
      </c>
      <c r="U594" s="1096" t="s">
        <v>1449</v>
      </c>
      <c r="V594" s="1114">
        <v>101.2</v>
      </c>
      <c r="W594" s="1096" t="s">
        <v>1449</v>
      </c>
      <c r="X594" s="1114">
        <v>108.6</v>
      </c>
      <c r="Y594" s="1096" t="s">
        <v>1449</v>
      </c>
      <c r="Z594" s="1114">
        <v>106.7</v>
      </c>
      <c r="AA594" s="1096"/>
      <c r="AB594" s="1096"/>
      <c r="AC594" s="1096"/>
      <c r="AD594" s="1096"/>
      <c r="AE594" s="1096"/>
      <c r="AF594" s="1096"/>
      <c r="AG594" s="1096"/>
      <c r="AH594" s="1096"/>
      <c r="AI594" s="1096"/>
      <c r="AJ594" s="1096"/>
      <c r="AK594" s="1096"/>
      <c r="AL594" s="1096"/>
      <c r="AM594" s="1096"/>
      <c r="AN594" s="1096"/>
      <c r="AO594" s="1096"/>
      <c r="AP594" s="1096"/>
      <c r="AQ594" s="1096"/>
      <c r="AR594" s="1096"/>
      <c r="AS594" s="1096"/>
      <c r="AT594" s="1096"/>
      <c r="AU594" s="1096"/>
      <c r="AV594" s="1096"/>
      <c r="AW594" s="1096"/>
      <c r="AX594" s="1096"/>
      <c r="AY594" s="1096"/>
    </row>
    <row r="595" spans="1:51" x14ac:dyDescent="0.45">
      <c r="A595" s="1096">
        <v>1988</v>
      </c>
      <c r="B595" s="1096" t="s">
        <v>1375</v>
      </c>
      <c r="C595" s="1113">
        <f>[7]LRAll!C586</f>
        <v>107.9</v>
      </c>
      <c r="D595" s="1113">
        <f>[7]LRAll!I586</f>
        <v>103.4</v>
      </c>
      <c r="E595" s="1096"/>
      <c r="F595" s="1114">
        <f t="shared" si="13"/>
        <v>95.829471733086194</v>
      </c>
      <c r="G595" s="1112">
        <f t="shared" si="14"/>
        <v>88.785912882298419</v>
      </c>
      <c r="H595" s="1112">
        <f t="shared" si="15"/>
        <v>80.166821130676553</v>
      </c>
      <c r="I595" s="1112">
        <f t="shared" si="16"/>
        <v>93.790546802595003</v>
      </c>
      <c r="J595" s="1112">
        <f t="shared" si="17"/>
        <v>100.6487488415199</v>
      </c>
      <c r="K595" s="1096"/>
      <c r="L595" s="1096"/>
      <c r="M595" s="1096"/>
      <c r="N595" s="1096"/>
      <c r="O595" s="1096"/>
      <c r="P595" s="1114">
        <v>103.4</v>
      </c>
      <c r="Q595" s="1096" t="s">
        <v>1450</v>
      </c>
      <c r="R595" s="1114">
        <v>95.8</v>
      </c>
      <c r="S595" s="1096" t="s">
        <v>1450</v>
      </c>
      <c r="T595" s="1114">
        <v>86.5</v>
      </c>
      <c r="U595" s="1096" t="s">
        <v>1450</v>
      </c>
      <c r="V595" s="1114">
        <v>101.2</v>
      </c>
      <c r="W595" s="1096" t="s">
        <v>1450</v>
      </c>
      <c r="X595" s="1114">
        <v>108.6</v>
      </c>
      <c r="Y595" s="1096" t="s">
        <v>1450</v>
      </c>
      <c r="Z595" s="1114">
        <v>107.9</v>
      </c>
      <c r="AA595" s="1096"/>
      <c r="AB595" s="1096"/>
      <c r="AC595" s="1096"/>
      <c r="AD595" s="1096"/>
      <c r="AE595" s="1096"/>
      <c r="AF595" s="1096"/>
      <c r="AG595" s="1096"/>
      <c r="AH595" s="1096"/>
      <c r="AI595" s="1096"/>
      <c r="AJ595" s="1096"/>
      <c r="AK595" s="1096"/>
      <c r="AL595" s="1096"/>
      <c r="AM595" s="1096"/>
      <c r="AN595" s="1096"/>
      <c r="AO595" s="1096"/>
      <c r="AP595" s="1096"/>
      <c r="AQ595" s="1096"/>
      <c r="AR595" s="1096"/>
      <c r="AS595" s="1096"/>
      <c r="AT595" s="1096"/>
      <c r="AU595" s="1096"/>
      <c r="AV595" s="1096"/>
      <c r="AW595" s="1096"/>
      <c r="AX595" s="1096"/>
      <c r="AY595" s="1096"/>
    </row>
    <row r="596" spans="1:51" x14ac:dyDescent="0.45">
      <c r="A596" s="1096">
        <v>1988</v>
      </c>
      <c r="B596" s="1096" t="s">
        <v>1377</v>
      </c>
      <c r="C596" s="1113">
        <f>[7]LRAll!C587</f>
        <v>108.4</v>
      </c>
      <c r="D596" s="1113">
        <f>[7]LRAll!I587</f>
        <v>103.6</v>
      </c>
      <c r="E596" s="1096"/>
      <c r="F596" s="1114">
        <f t="shared" si="13"/>
        <v>95.571955719557195</v>
      </c>
      <c r="G596" s="1112">
        <f t="shared" si="14"/>
        <v>92.52767527675276</v>
      </c>
      <c r="H596" s="1112">
        <f t="shared" si="15"/>
        <v>77.121771217712165</v>
      </c>
      <c r="I596" s="1112">
        <f t="shared" si="16"/>
        <v>93.357933579335793</v>
      </c>
      <c r="J596" s="1112">
        <f t="shared" si="17"/>
        <v>100.18450184501843</v>
      </c>
      <c r="K596" s="1096"/>
      <c r="L596" s="1096"/>
      <c r="M596" s="1096"/>
      <c r="N596" s="1096"/>
      <c r="O596" s="1096"/>
      <c r="P596" s="1114">
        <v>103.6</v>
      </c>
      <c r="Q596" s="1096" t="s">
        <v>1451</v>
      </c>
      <c r="R596" s="1114">
        <v>100.3</v>
      </c>
      <c r="S596" s="1096" t="s">
        <v>1451</v>
      </c>
      <c r="T596" s="1114">
        <v>83.6</v>
      </c>
      <c r="U596" s="1096" t="s">
        <v>1451</v>
      </c>
      <c r="V596" s="1114">
        <v>101.2</v>
      </c>
      <c r="W596" s="1096" t="s">
        <v>1451</v>
      </c>
      <c r="X596" s="1114">
        <v>108.6</v>
      </c>
      <c r="Y596" s="1096" t="s">
        <v>1451</v>
      </c>
      <c r="Z596" s="1114">
        <v>108.4</v>
      </c>
      <c r="AA596" s="1096"/>
      <c r="AB596" s="1096"/>
      <c r="AC596" s="1096"/>
      <c r="AD596" s="1096"/>
      <c r="AE596" s="1096"/>
      <c r="AF596" s="1096"/>
      <c r="AG596" s="1096"/>
      <c r="AH596" s="1096"/>
      <c r="AI596" s="1096"/>
      <c r="AJ596" s="1096"/>
      <c r="AK596" s="1096"/>
      <c r="AL596" s="1096"/>
      <c r="AM596" s="1096"/>
      <c r="AN596" s="1096"/>
      <c r="AO596" s="1096"/>
      <c r="AP596" s="1096"/>
      <c r="AQ596" s="1096"/>
      <c r="AR596" s="1096"/>
      <c r="AS596" s="1096"/>
      <c r="AT596" s="1096"/>
      <c r="AU596" s="1096"/>
      <c r="AV596" s="1096"/>
      <c r="AW596" s="1096"/>
      <c r="AX596" s="1096"/>
      <c r="AY596" s="1096"/>
    </row>
    <row r="597" spans="1:51" x14ac:dyDescent="0.45">
      <c r="A597" s="1096">
        <v>1988</v>
      </c>
      <c r="B597" s="1096" t="s">
        <v>1379</v>
      </c>
      <c r="C597" s="1113">
        <f>[7]LRAll!C588</f>
        <v>109.5</v>
      </c>
      <c r="D597" s="1113">
        <f>[7]LRAll!I588</f>
        <v>103.7</v>
      </c>
      <c r="E597" s="1096"/>
      <c r="F597" s="1114">
        <f t="shared" si="13"/>
        <v>94.703196347031977</v>
      </c>
      <c r="G597" s="1112">
        <f t="shared" si="14"/>
        <v>92.328767123287676</v>
      </c>
      <c r="H597" s="1112">
        <f t="shared" si="15"/>
        <v>77.168949771689498</v>
      </c>
      <c r="I597" s="1112">
        <f t="shared" si="16"/>
        <v>92.420091324200911</v>
      </c>
      <c r="J597" s="1112">
        <f t="shared" si="17"/>
        <v>99.178082191780817</v>
      </c>
      <c r="K597" s="1096"/>
      <c r="L597" s="1096"/>
      <c r="M597" s="1096"/>
      <c r="N597" s="1096"/>
      <c r="O597" s="1096"/>
      <c r="P597" s="1114">
        <v>103.7</v>
      </c>
      <c r="Q597" s="1096" t="s">
        <v>1452</v>
      </c>
      <c r="R597" s="1114">
        <v>101.1</v>
      </c>
      <c r="S597" s="1096" t="s">
        <v>1452</v>
      </c>
      <c r="T597" s="1114">
        <v>84.5</v>
      </c>
      <c r="U597" s="1096" t="s">
        <v>1452</v>
      </c>
      <c r="V597" s="1114">
        <v>101.2</v>
      </c>
      <c r="W597" s="1096" t="s">
        <v>1452</v>
      </c>
      <c r="X597" s="1114">
        <v>108.6</v>
      </c>
      <c r="Y597" s="1096" t="s">
        <v>1452</v>
      </c>
      <c r="Z597" s="1114">
        <v>109.5</v>
      </c>
      <c r="AA597" s="1096"/>
      <c r="AB597" s="1096"/>
      <c r="AC597" s="1096"/>
      <c r="AD597" s="1096"/>
      <c r="AE597" s="1096"/>
      <c r="AF597" s="1096"/>
      <c r="AG597" s="1096"/>
      <c r="AH597" s="1096"/>
      <c r="AI597" s="1096"/>
      <c r="AJ597" s="1096"/>
      <c r="AK597" s="1096"/>
      <c r="AL597" s="1096"/>
      <c r="AM597" s="1096"/>
      <c r="AN597" s="1096"/>
      <c r="AO597" s="1096"/>
      <c r="AP597" s="1096"/>
      <c r="AQ597" s="1096"/>
      <c r="AR597" s="1096"/>
      <c r="AS597" s="1096"/>
      <c r="AT597" s="1096"/>
      <c r="AU597" s="1096"/>
      <c r="AV597" s="1096"/>
      <c r="AW597" s="1096"/>
      <c r="AX597" s="1096"/>
      <c r="AY597" s="1096"/>
    </row>
    <row r="598" spans="1:51" x14ac:dyDescent="0.45">
      <c r="A598" s="1096">
        <v>1988</v>
      </c>
      <c r="B598" s="1096" t="s">
        <v>1381</v>
      </c>
      <c r="C598" s="1113">
        <f>[7]LRAll!C589</f>
        <v>110</v>
      </c>
      <c r="D598" s="1113">
        <f>[7]LRAll!I589</f>
        <v>103.9</v>
      </c>
      <c r="E598" s="1096"/>
      <c r="F598" s="1114">
        <f t="shared" si="13"/>
        <v>94.454545454545453</v>
      </c>
      <c r="G598" s="1112">
        <f t="shared" si="14"/>
        <v>92.72727272727272</v>
      </c>
      <c r="H598" s="1112">
        <f t="shared" si="15"/>
        <v>77.818181818181813</v>
      </c>
      <c r="I598" s="1112">
        <f t="shared" si="16"/>
        <v>92</v>
      </c>
      <c r="J598" s="1112">
        <f t="shared" si="17"/>
        <v>98.72727272727272</v>
      </c>
      <c r="K598" s="1096"/>
      <c r="L598" s="1096"/>
      <c r="M598" s="1096"/>
      <c r="N598" s="1096"/>
      <c r="O598" s="1096"/>
      <c r="P598" s="1114">
        <v>103.9</v>
      </c>
      <c r="Q598" s="1096" t="s">
        <v>1453</v>
      </c>
      <c r="R598" s="1114">
        <v>102</v>
      </c>
      <c r="S598" s="1096" t="s">
        <v>1453</v>
      </c>
      <c r="T598" s="1114">
        <v>85.6</v>
      </c>
      <c r="U598" s="1096" t="s">
        <v>1453</v>
      </c>
      <c r="V598" s="1114">
        <v>101.2</v>
      </c>
      <c r="W598" s="1096" t="s">
        <v>1453</v>
      </c>
      <c r="X598" s="1114">
        <v>108.6</v>
      </c>
      <c r="Y598" s="1096" t="s">
        <v>1453</v>
      </c>
      <c r="Z598" s="1114">
        <v>110</v>
      </c>
      <c r="AA598" s="1096"/>
      <c r="AB598" s="1096"/>
      <c r="AC598" s="1096"/>
      <c r="AD598" s="1096"/>
      <c r="AE598" s="1096"/>
      <c r="AF598" s="1096"/>
      <c r="AG598" s="1096"/>
      <c r="AH598" s="1096"/>
      <c r="AI598" s="1096"/>
      <c r="AJ598" s="1096"/>
      <c r="AK598" s="1096"/>
      <c r="AL598" s="1096"/>
      <c r="AM598" s="1096"/>
      <c r="AN598" s="1096"/>
      <c r="AO598" s="1096"/>
      <c r="AP598" s="1096"/>
      <c r="AQ598" s="1096"/>
      <c r="AR598" s="1096"/>
      <c r="AS598" s="1096"/>
      <c r="AT598" s="1096"/>
      <c r="AU598" s="1096"/>
      <c r="AV598" s="1096"/>
      <c r="AW598" s="1096"/>
      <c r="AX598" s="1096"/>
      <c r="AY598" s="1096"/>
    </row>
    <row r="599" spans="1:51" x14ac:dyDescent="0.45">
      <c r="A599" s="1096">
        <v>1988</v>
      </c>
      <c r="B599" s="1096" t="s">
        <v>1383</v>
      </c>
      <c r="C599" s="1113">
        <f>[7]LRAll!C590</f>
        <v>110.3</v>
      </c>
      <c r="D599" s="1113">
        <f>[7]LRAll!I590</f>
        <v>104.1</v>
      </c>
      <c r="E599" s="1096"/>
      <c r="F599" s="1114">
        <f t="shared" si="13"/>
        <v>94.378966455122395</v>
      </c>
      <c r="G599" s="1112">
        <f t="shared" si="14"/>
        <v>92.747053490480496</v>
      </c>
      <c r="H599" s="1112">
        <f t="shared" si="15"/>
        <v>80.870353581142339</v>
      </c>
      <c r="I599" s="1112">
        <f t="shared" si="16"/>
        <v>91.749773345421588</v>
      </c>
      <c r="J599" s="1112">
        <f t="shared" si="17"/>
        <v>98.458748866727106</v>
      </c>
      <c r="K599" s="1096"/>
      <c r="L599" s="1096"/>
      <c r="M599" s="1096"/>
      <c r="N599" s="1096"/>
      <c r="O599" s="1096"/>
      <c r="P599" s="1114">
        <v>104.1</v>
      </c>
      <c r="Q599" s="1096" t="s">
        <v>1454</v>
      </c>
      <c r="R599" s="1114">
        <v>102.3</v>
      </c>
      <c r="S599" s="1096" t="s">
        <v>1454</v>
      </c>
      <c r="T599" s="1114">
        <v>89.2</v>
      </c>
      <c r="U599" s="1096" t="s">
        <v>1454</v>
      </c>
      <c r="V599" s="1114">
        <v>101.2</v>
      </c>
      <c r="W599" s="1096" t="s">
        <v>1454</v>
      </c>
      <c r="X599" s="1114">
        <v>108.6</v>
      </c>
      <c r="Y599" s="1096" t="s">
        <v>1454</v>
      </c>
      <c r="Z599" s="1114">
        <v>110.3</v>
      </c>
      <c r="AA599" s="1096"/>
      <c r="AB599" s="1096"/>
      <c r="AC599" s="1096"/>
      <c r="AD599" s="1096"/>
      <c r="AE599" s="1096"/>
      <c r="AF599" s="1096"/>
      <c r="AG599" s="1096"/>
      <c r="AH599" s="1096"/>
      <c r="AI599" s="1096"/>
      <c r="AJ599" s="1096"/>
      <c r="AK599" s="1096"/>
      <c r="AL599" s="1096"/>
      <c r="AM599" s="1096"/>
      <c r="AN599" s="1096"/>
      <c r="AO599" s="1096"/>
      <c r="AP599" s="1096"/>
      <c r="AQ599" s="1096"/>
      <c r="AR599" s="1096"/>
      <c r="AS599" s="1096"/>
      <c r="AT599" s="1096"/>
      <c r="AU599" s="1096"/>
      <c r="AV599" s="1096"/>
      <c r="AW599" s="1096"/>
      <c r="AX599" s="1096"/>
      <c r="AY599" s="1096"/>
    </row>
    <row r="600" spans="1:51" x14ac:dyDescent="0.45">
      <c r="A600" s="1096">
        <v>1989</v>
      </c>
      <c r="B600" s="1096" t="s">
        <v>1385</v>
      </c>
      <c r="C600" s="1113">
        <f>[7]LRAll!C591</f>
        <v>111</v>
      </c>
      <c r="D600" s="1113">
        <f>[7]LRAll!I591</f>
        <v>104.2</v>
      </c>
      <c r="E600" s="1096"/>
      <c r="F600" s="1114">
        <f t="shared" si="13"/>
        <v>93.873873873873876</v>
      </c>
      <c r="G600" s="1112">
        <f t="shared" si="14"/>
        <v>92.882882882882882</v>
      </c>
      <c r="H600" s="1112">
        <f t="shared" si="15"/>
        <v>80.450450450450447</v>
      </c>
      <c r="I600" s="1112">
        <f t="shared" si="16"/>
        <v>91.171171171171167</v>
      </c>
      <c r="J600" s="1112">
        <f t="shared" si="17"/>
        <v>97.837837837837839</v>
      </c>
      <c r="K600" s="1096"/>
      <c r="L600" s="1096"/>
      <c r="M600" s="1096"/>
      <c r="N600" s="1096"/>
      <c r="O600" s="1096"/>
      <c r="P600" s="1114">
        <v>104.2</v>
      </c>
      <c r="Q600" s="1096" t="s">
        <v>1455</v>
      </c>
      <c r="R600" s="1114">
        <v>103.1</v>
      </c>
      <c r="S600" s="1096" t="s">
        <v>1455</v>
      </c>
      <c r="T600" s="1114">
        <v>89.3</v>
      </c>
      <c r="U600" s="1096" t="s">
        <v>1455</v>
      </c>
      <c r="V600" s="1114">
        <v>101.2</v>
      </c>
      <c r="W600" s="1096" t="s">
        <v>1455</v>
      </c>
      <c r="X600" s="1114">
        <v>108.6</v>
      </c>
      <c r="Y600" s="1096" t="s">
        <v>1455</v>
      </c>
      <c r="Z600" s="1114">
        <v>111</v>
      </c>
      <c r="AA600" s="1096"/>
      <c r="AB600" s="1096"/>
      <c r="AC600" s="1096"/>
      <c r="AD600" s="1096"/>
      <c r="AE600" s="1096"/>
      <c r="AF600" s="1096"/>
      <c r="AG600" s="1096"/>
      <c r="AH600" s="1096"/>
      <c r="AI600" s="1096"/>
      <c r="AJ600" s="1096"/>
      <c r="AK600" s="1096"/>
      <c r="AL600" s="1096"/>
      <c r="AM600" s="1096"/>
      <c r="AN600" s="1096"/>
      <c r="AO600" s="1096"/>
      <c r="AP600" s="1096"/>
      <c r="AQ600" s="1096"/>
      <c r="AR600" s="1096"/>
      <c r="AS600" s="1096"/>
      <c r="AT600" s="1096"/>
      <c r="AU600" s="1096"/>
      <c r="AV600" s="1096"/>
      <c r="AW600" s="1096"/>
      <c r="AX600" s="1096"/>
      <c r="AY600" s="1096"/>
    </row>
    <row r="601" spans="1:51" x14ac:dyDescent="0.45">
      <c r="A601" s="1096">
        <v>1989</v>
      </c>
      <c r="B601" s="1096" t="s">
        <v>1387</v>
      </c>
      <c r="C601" s="1113">
        <f>[7]LRAll!C592</f>
        <v>111.8</v>
      </c>
      <c r="D601" s="1113">
        <f>[7]LRAll!I592</f>
        <v>104.2</v>
      </c>
      <c r="E601" s="1096"/>
      <c r="F601" s="1114">
        <f t="shared" si="13"/>
        <v>93.202146690518788</v>
      </c>
      <c r="G601" s="1112">
        <f t="shared" si="14"/>
        <v>92.218246869409654</v>
      </c>
      <c r="H601" s="1112">
        <f t="shared" si="15"/>
        <v>79.338103756708406</v>
      </c>
      <c r="I601" s="1112">
        <f t="shared" si="16"/>
        <v>90.518783542039358</v>
      </c>
      <c r="J601" s="1112">
        <f t="shared" si="17"/>
        <v>97.137745974955266</v>
      </c>
      <c r="K601" s="1096"/>
      <c r="L601" s="1096"/>
      <c r="M601" s="1096"/>
      <c r="N601" s="1096"/>
      <c r="O601" s="1096"/>
      <c r="P601" s="1114">
        <v>104.2</v>
      </c>
      <c r="Q601" s="1096" t="s">
        <v>1456</v>
      </c>
      <c r="R601" s="1114">
        <v>103.1</v>
      </c>
      <c r="S601" s="1096" t="s">
        <v>1456</v>
      </c>
      <c r="T601" s="1114">
        <v>88.7</v>
      </c>
      <c r="U601" s="1096" t="s">
        <v>1456</v>
      </c>
      <c r="V601" s="1114">
        <v>101.2</v>
      </c>
      <c r="W601" s="1096" t="s">
        <v>1456</v>
      </c>
      <c r="X601" s="1114">
        <v>108.6</v>
      </c>
      <c r="Y601" s="1096" t="s">
        <v>1456</v>
      </c>
      <c r="Z601" s="1114">
        <v>111.8</v>
      </c>
      <c r="AA601" s="1096"/>
      <c r="AB601" s="1096"/>
      <c r="AC601" s="1096"/>
      <c r="AD601" s="1096"/>
      <c r="AE601" s="1096"/>
      <c r="AF601" s="1096"/>
      <c r="AG601" s="1096"/>
      <c r="AH601" s="1096"/>
      <c r="AI601" s="1096"/>
      <c r="AJ601" s="1096"/>
      <c r="AK601" s="1096"/>
      <c r="AL601" s="1096"/>
      <c r="AM601" s="1096"/>
      <c r="AN601" s="1096"/>
      <c r="AO601" s="1096"/>
      <c r="AP601" s="1096"/>
      <c r="AQ601" s="1096"/>
      <c r="AR601" s="1096"/>
      <c r="AS601" s="1096"/>
      <c r="AT601" s="1096"/>
      <c r="AU601" s="1096"/>
      <c r="AV601" s="1096"/>
      <c r="AW601" s="1096"/>
      <c r="AX601" s="1096"/>
      <c r="AY601" s="1096"/>
    </row>
    <row r="602" spans="1:51" x14ac:dyDescent="0.45">
      <c r="A602" s="1096">
        <v>1989</v>
      </c>
      <c r="B602" s="1096" t="s">
        <v>1389</v>
      </c>
      <c r="C602" s="1113">
        <f>[7]LRAll!C593</f>
        <v>112.3</v>
      </c>
      <c r="D602" s="1113">
        <f>[7]LRAll!I593</f>
        <v>104.3</v>
      </c>
      <c r="E602" s="1096"/>
      <c r="F602" s="1114">
        <f t="shared" si="13"/>
        <v>92.876224398931427</v>
      </c>
      <c r="G602" s="1112">
        <f t="shared" si="14"/>
        <v>92.074799643811218</v>
      </c>
      <c r="H602" s="1112">
        <f t="shared" si="15"/>
        <v>81.47818343722173</v>
      </c>
      <c r="I602" s="1112">
        <f t="shared" si="16"/>
        <v>90.115761353517371</v>
      </c>
      <c r="J602" s="1112">
        <f t="shared" si="17"/>
        <v>96.705253784505786</v>
      </c>
      <c r="K602" s="1096"/>
      <c r="L602" s="1096"/>
      <c r="M602" s="1096"/>
      <c r="N602" s="1096"/>
      <c r="O602" s="1096"/>
      <c r="P602" s="1114">
        <v>104.3</v>
      </c>
      <c r="Q602" s="1096" t="s">
        <v>1457</v>
      </c>
      <c r="R602" s="1114">
        <v>103.4</v>
      </c>
      <c r="S602" s="1096" t="s">
        <v>1457</v>
      </c>
      <c r="T602" s="1114">
        <v>91.5</v>
      </c>
      <c r="U602" s="1096" t="s">
        <v>1457</v>
      </c>
      <c r="V602" s="1114">
        <v>101.2</v>
      </c>
      <c r="W602" s="1096" t="s">
        <v>1457</v>
      </c>
      <c r="X602" s="1114">
        <v>108.6</v>
      </c>
      <c r="Y602" s="1096" t="s">
        <v>1457</v>
      </c>
      <c r="Z602" s="1114">
        <v>112.3</v>
      </c>
      <c r="AA602" s="1096"/>
      <c r="AB602" s="1096"/>
      <c r="AC602" s="1096"/>
      <c r="AD602" s="1096"/>
      <c r="AE602" s="1096"/>
      <c r="AF602" s="1096"/>
      <c r="AG602" s="1096"/>
      <c r="AH602" s="1096"/>
      <c r="AI602" s="1096"/>
      <c r="AJ602" s="1096"/>
      <c r="AK602" s="1096"/>
      <c r="AL602" s="1096"/>
      <c r="AM602" s="1096"/>
      <c r="AN602" s="1096"/>
      <c r="AO602" s="1096"/>
      <c r="AP602" s="1096"/>
      <c r="AQ602" s="1096"/>
      <c r="AR602" s="1096"/>
      <c r="AS602" s="1096"/>
      <c r="AT602" s="1096"/>
      <c r="AU602" s="1096"/>
      <c r="AV602" s="1096"/>
      <c r="AW602" s="1096"/>
      <c r="AX602" s="1096"/>
      <c r="AY602" s="1096"/>
    </row>
    <row r="603" spans="1:51" x14ac:dyDescent="0.45">
      <c r="A603" s="1096">
        <v>1989</v>
      </c>
      <c r="B603" s="1096" t="s">
        <v>1391</v>
      </c>
      <c r="C603" s="1113">
        <f>[7]LRAll!C594</f>
        <v>114.3</v>
      </c>
      <c r="D603" s="1113">
        <f>[7]LRAll!I594</f>
        <v>105.4</v>
      </c>
      <c r="E603" s="1096"/>
      <c r="F603" s="1114">
        <f t="shared" si="13"/>
        <v>92.213473315835529</v>
      </c>
      <c r="G603" s="1112">
        <f t="shared" si="14"/>
        <v>89.676290463692041</v>
      </c>
      <c r="H603" s="1112">
        <f t="shared" si="15"/>
        <v>84.251968503937007</v>
      </c>
      <c r="I603" s="1112">
        <f t="shared" si="16"/>
        <v>89.063867016622922</v>
      </c>
      <c r="J603" s="1112">
        <f t="shared" si="17"/>
        <v>96.237970253718288</v>
      </c>
      <c r="K603" s="1096"/>
      <c r="L603" s="1096"/>
      <c r="M603" s="1096"/>
      <c r="N603" s="1096"/>
      <c r="O603" s="1096"/>
      <c r="P603" s="1114">
        <v>105.4</v>
      </c>
      <c r="Q603" s="1096" t="s">
        <v>1458</v>
      </c>
      <c r="R603" s="1114">
        <v>102.5</v>
      </c>
      <c r="S603" s="1096" t="s">
        <v>1458</v>
      </c>
      <c r="T603" s="1114">
        <v>96.3</v>
      </c>
      <c r="U603" s="1096" t="s">
        <v>1458</v>
      </c>
      <c r="V603" s="1114">
        <v>101.8</v>
      </c>
      <c r="W603" s="1096" t="s">
        <v>1458</v>
      </c>
      <c r="X603" s="1114">
        <v>110</v>
      </c>
      <c r="Y603" s="1096" t="s">
        <v>1458</v>
      </c>
      <c r="Z603" s="1114">
        <v>114.3</v>
      </c>
      <c r="AA603" s="1096"/>
      <c r="AB603" s="1096"/>
      <c r="AC603" s="1096"/>
      <c r="AD603" s="1096"/>
      <c r="AE603" s="1096"/>
      <c r="AF603" s="1096"/>
      <c r="AG603" s="1096"/>
      <c r="AH603" s="1096"/>
      <c r="AI603" s="1096"/>
      <c r="AJ603" s="1096"/>
      <c r="AK603" s="1096"/>
      <c r="AL603" s="1096"/>
      <c r="AM603" s="1096"/>
      <c r="AN603" s="1096"/>
      <c r="AO603" s="1096"/>
      <c r="AP603" s="1096"/>
      <c r="AQ603" s="1096"/>
      <c r="AR603" s="1096"/>
      <c r="AS603" s="1096"/>
      <c r="AT603" s="1096"/>
      <c r="AU603" s="1096"/>
      <c r="AV603" s="1096"/>
      <c r="AW603" s="1096"/>
      <c r="AX603" s="1096"/>
      <c r="AY603" s="1096"/>
    </row>
    <row r="604" spans="1:51" x14ac:dyDescent="0.45">
      <c r="A604" s="1096">
        <v>1989</v>
      </c>
      <c r="B604" s="1096" t="s">
        <v>1393</v>
      </c>
      <c r="C604" s="1113">
        <f>[7]LRAll!C595</f>
        <v>115</v>
      </c>
      <c r="D604" s="1113">
        <f>[7]LRAll!I595</f>
        <v>106.4</v>
      </c>
      <c r="E604" s="1096"/>
      <c r="F604" s="1114">
        <f t="shared" si="13"/>
        <v>92.521739130434781</v>
      </c>
      <c r="G604" s="1112">
        <f t="shared" si="14"/>
        <v>85.130434782608702</v>
      </c>
      <c r="H604" s="1112">
        <f t="shared" si="15"/>
        <v>81.478260869565219</v>
      </c>
      <c r="I604" s="1112">
        <f t="shared" si="16"/>
        <v>89.478260869565219</v>
      </c>
      <c r="J604" s="1112">
        <f t="shared" si="17"/>
        <v>97.65217391304347</v>
      </c>
      <c r="K604" s="1096"/>
      <c r="L604" s="1096"/>
      <c r="M604" s="1096"/>
      <c r="N604" s="1096"/>
      <c r="O604" s="1096"/>
      <c r="P604" s="1114">
        <v>106.4</v>
      </c>
      <c r="Q604" s="1096" t="s">
        <v>1459</v>
      </c>
      <c r="R604" s="1114">
        <v>97.9</v>
      </c>
      <c r="S604" s="1096" t="s">
        <v>1459</v>
      </c>
      <c r="T604" s="1114">
        <v>93.7</v>
      </c>
      <c r="U604" s="1096" t="s">
        <v>1459</v>
      </c>
      <c r="V604" s="1114">
        <v>102.9</v>
      </c>
      <c r="W604" s="1096" t="s">
        <v>1459</v>
      </c>
      <c r="X604" s="1114">
        <v>112.3</v>
      </c>
      <c r="Y604" s="1096" t="s">
        <v>1459</v>
      </c>
      <c r="Z604" s="1114">
        <v>115</v>
      </c>
      <c r="AA604" s="1096"/>
      <c r="AB604" s="1096"/>
      <c r="AC604" s="1096"/>
      <c r="AD604" s="1096"/>
      <c r="AE604" s="1096"/>
      <c r="AF604" s="1096"/>
      <c r="AG604" s="1096"/>
      <c r="AH604" s="1096"/>
      <c r="AI604" s="1096"/>
      <c r="AJ604" s="1096"/>
      <c r="AK604" s="1096"/>
      <c r="AL604" s="1096"/>
      <c r="AM604" s="1096"/>
      <c r="AN604" s="1096"/>
      <c r="AO604" s="1096"/>
      <c r="AP604" s="1096"/>
      <c r="AQ604" s="1096"/>
      <c r="AR604" s="1096"/>
      <c r="AS604" s="1096"/>
      <c r="AT604" s="1096"/>
      <c r="AU604" s="1096"/>
      <c r="AV604" s="1096"/>
      <c r="AW604" s="1096"/>
      <c r="AX604" s="1096"/>
      <c r="AY604" s="1096"/>
    </row>
    <row r="605" spans="1:51" x14ac:dyDescent="0.45">
      <c r="A605" s="1096">
        <v>1989</v>
      </c>
      <c r="B605" s="1096" t="s">
        <v>1371</v>
      </c>
      <c r="C605" s="1113">
        <f>[7]LRAll!C596</f>
        <v>115.4</v>
      </c>
      <c r="D605" s="1113">
        <f>[7]LRAll!I596</f>
        <v>107.6</v>
      </c>
      <c r="E605" s="1096"/>
      <c r="F605" s="1114">
        <f t="shared" si="13"/>
        <v>93.240901213171568</v>
      </c>
      <c r="G605" s="1112">
        <f t="shared" si="14"/>
        <v>83.882149046793756</v>
      </c>
      <c r="H605" s="1112">
        <f t="shared" si="15"/>
        <v>78.07625649913345</v>
      </c>
      <c r="I605" s="1112">
        <f t="shared" si="16"/>
        <v>90.034662045060657</v>
      </c>
      <c r="J605" s="1112">
        <f t="shared" si="17"/>
        <v>99.13344887348353</v>
      </c>
      <c r="K605" s="1096"/>
      <c r="L605" s="1096"/>
      <c r="M605" s="1096"/>
      <c r="N605" s="1096"/>
      <c r="O605" s="1096"/>
      <c r="P605" s="1114">
        <v>107.6</v>
      </c>
      <c r="Q605" s="1096" t="s">
        <v>1460</v>
      </c>
      <c r="R605" s="1114">
        <v>96.8</v>
      </c>
      <c r="S605" s="1096" t="s">
        <v>1460</v>
      </c>
      <c r="T605" s="1114">
        <v>90.1</v>
      </c>
      <c r="U605" s="1096" t="s">
        <v>1460</v>
      </c>
      <c r="V605" s="1114">
        <v>103.9</v>
      </c>
      <c r="W605" s="1096" t="s">
        <v>1460</v>
      </c>
      <c r="X605" s="1114">
        <v>114.4</v>
      </c>
      <c r="Y605" s="1096" t="s">
        <v>1460</v>
      </c>
      <c r="Z605" s="1114">
        <v>115.4</v>
      </c>
      <c r="AA605" s="1096"/>
      <c r="AB605" s="1096"/>
      <c r="AC605" s="1096"/>
      <c r="AD605" s="1096"/>
      <c r="AE605" s="1096"/>
      <c r="AF605" s="1096"/>
      <c r="AG605" s="1096"/>
      <c r="AH605" s="1096"/>
      <c r="AI605" s="1096"/>
      <c r="AJ605" s="1096"/>
      <c r="AK605" s="1096"/>
      <c r="AL605" s="1096"/>
      <c r="AM605" s="1096"/>
      <c r="AN605" s="1096"/>
      <c r="AO605" s="1096"/>
      <c r="AP605" s="1096"/>
      <c r="AQ605" s="1096"/>
      <c r="AR605" s="1096"/>
      <c r="AS605" s="1096"/>
      <c r="AT605" s="1096"/>
      <c r="AU605" s="1096"/>
      <c r="AV605" s="1096"/>
      <c r="AW605" s="1096"/>
      <c r="AX605" s="1096"/>
      <c r="AY605" s="1096"/>
    </row>
    <row r="606" spans="1:51" x14ac:dyDescent="0.45">
      <c r="A606" s="1096">
        <v>1989</v>
      </c>
      <c r="B606" s="1096" t="s">
        <v>1373</v>
      </c>
      <c r="C606" s="1113">
        <f>[7]LRAll!C597</f>
        <v>115.5</v>
      </c>
      <c r="D606" s="1113">
        <f>[7]LRAll!I597</f>
        <v>108.4</v>
      </c>
      <c r="E606" s="1096"/>
      <c r="F606" s="1114">
        <f t="shared" si="13"/>
        <v>93.852813852813853</v>
      </c>
      <c r="G606" s="1112">
        <f t="shared" si="14"/>
        <v>83.46320346320347</v>
      </c>
      <c r="H606" s="1112">
        <f t="shared" si="15"/>
        <v>78.701298701298711</v>
      </c>
      <c r="I606" s="1112">
        <f t="shared" si="16"/>
        <v>90.562770562770552</v>
      </c>
      <c r="J606" s="1112">
        <f t="shared" si="17"/>
        <v>100.17316017316018</v>
      </c>
      <c r="K606" s="1096"/>
      <c r="L606" s="1096"/>
      <c r="M606" s="1096"/>
      <c r="N606" s="1096"/>
      <c r="O606" s="1096"/>
      <c r="P606" s="1114">
        <v>108.4</v>
      </c>
      <c r="Q606" s="1096" t="s">
        <v>1461</v>
      </c>
      <c r="R606" s="1114">
        <v>96.4</v>
      </c>
      <c r="S606" s="1096" t="s">
        <v>1461</v>
      </c>
      <c r="T606" s="1114">
        <v>90.9</v>
      </c>
      <c r="U606" s="1096" t="s">
        <v>1461</v>
      </c>
      <c r="V606" s="1114">
        <v>104.6</v>
      </c>
      <c r="W606" s="1096" t="s">
        <v>1461</v>
      </c>
      <c r="X606" s="1114">
        <v>115.7</v>
      </c>
      <c r="Y606" s="1096" t="s">
        <v>1461</v>
      </c>
      <c r="Z606" s="1114">
        <v>115.5</v>
      </c>
      <c r="AA606" s="1096"/>
      <c r="AB606" s="1096"/>
      <c r="AC606" s="1096"/>
      <c r="AD606" s="1096"/>
      <c r="AE606" s="1096"/>
      <c r="AF606" s="1096"/>
      <c r="AG606" s="1096"/>
      <c r="AH606" s="1096"/>
      <c r="AI606" s="1096"/>
      <c r="AJ606" s="1096"/>
      <c r="AK606" s="1096"/>
      <c r="AL606" s="1096"/>
      <c r="AM606" s="1096"/>
      <c r="AN606" s="1096"/>
      <c r="AO606" s="1096"/>
      <c r="AP606" s="1096"/>
      <c r="AQ606" s="1096"/>
      <c r="AR606" s="1096"/>
      <c r="AS606" s="1096"/>
      <c r="AT606" s="1096"/>
      <c r="AU606" s="1096"/>
      <c r="AV606" s="1096"/>
      <c r="AW606" s="1096"/>
      <c r="AX606" s="1096"/>
      <c r="AY606" s="1096"/>
    </row>
    <row r="607" spans="1:51" x14ac:dyDescent="0.45">
      <c r="A607" s="1096">
        <v>1989</v>
      </c>
      <c r="B607" s="1096" t="s">
        <v>1375</v>
      </c>
      <c r="C607" s="1113">
        <f>[7]LRAll!C598</f>
        <v>115.8</v>
      </c>
      <c r="D607" s="1113">
        <f>[7]LRAll!I598</f>
        <v>108.7</v>
      </c>
      <c r="E607" s="1096"/>
      <c r="F607" s="1114">
        <f t="shared" si="13"/>
        <v>93.868739205526779</v>
      </c>
      <c r="G607" s="1112">
        <f t="shared" si="14"/>
        <v>87.219343696027636</v>
      </c>
      <c r="H607" s="1112">
        <f t="shared" si="15"/>
        <v>77.720207253886002</v>
      </c>
      <c r="I607" s="1112">
        <f t="shared" si="16"/>
        <v>90.328151986183073</v>
      </c>
      <c r="J607" s="1112">
        <f t="shared" si="17"/>
        <v>99.91364421416236</v>
      </c>
      <c r="K607" s="1096"/>
      <c r="L607" s="1096"/>
      <c r="M607" s="1096"/>
      <c r="N607" s="1096"/>
      <c r="O607" s="1096"/>
      <c r="P607" s="1114">
        <v>108.7</v>
      </c>
      <c r="Q607" s="1096" t="s">
        <v>1462</v>
      </c>
      <c r="R607" s="1114">
        <v>101</v>
      </c>
      <c r="S607" s="1096" t="s">
        <v>1462</v>
      </c>
      <c r="T607" s="1114">
        <v>90</v>
      </c>
      <c r="U607" s="1096" t="s">
        <v>1462</v>
      </c>
      <c r="V607" s="1114">
        <v>104.6</v>
      </c>
      <c r="W607" s="1096" t="s">
        <v>1462</v>
      </c>
      <c r="X607" s="1114">
        <v>115.7</v>
      </c>
      <c r="Y607" s="1096" t="s">
        <v>1462</v>
      </c>
      <c r="Z607" s="1114">
        <v>115.8</v>
      </c>
      <c r="AA607" s="1096"/>
      <c r="AB607" s="1096"/>
      <c r="AC607" s="1096"/>
      <c r="AD607" s="1096"/>
      <c r="AE607" s="1096"/>
      <c r="AF607" s="1096"/>
      <c r="AG607" s="1096"/>
      <c r="AH607" s="1096"/>
      <c r="AI607" s="1096"/>
      <c r="AJ607" s="1096"/>
      <c r="AK607" s="1096"/>
      <c r="AL607" s="1096"/>
      <c r="AM607" s="1096"/>
      <c r="AN607" s="1096"/>
      <c r="AO607" s="1096"/>
      <c r="AP607" s="1096"/>
      <c r="AQ607" s="1096"/>
      <c r="AR607" s="1096"/>
      <c r="AS607" s="1096"/>
      <c r="AT607" s="1096"/>
      <c r="AU607" s="1096"/>
      <c r="AV607" s="1096"/>
      <c r="AW607" s="1096"/>
      <c r="AX607" s="1096"/>
      <c r="AY607" s="1096"/>
    </row>
    <row r="608" spans="1:51" x14ac:dyDescent="0.45">
      <c r="A608" s="1096">
        <v>1989</v>
      </c>
      <c r="B608" s="1096" t="s">
        <v>1377</v>
      </c>
      <c r="C608" s="1113">
        <f>[7]LRAll!C599</f>
        <v>116.6</v>
      </c>
      <c r="D608" s="1113">
        <f>[7]LRAll!I599</f>
        <v>109</v>
      </c>
      <c r="E608" s="1096"/>
      <c r="F608" s="1114">
        <f t="shared" si="13"/>
        <v>93.481989708404811</v>
      </c>
      <c r="G608" s="1112">
        <f t="shared" si="14"/>
        <v>87.135506003430535</v>
      </c>
      <c r="H608" s="1112">
        <f t="shared" si="15"/>
        <v>81.560891938250421</v>
      </c>
      <c r="I608" s="1112">
        <f t="shared" si="16"/>
        <v>89.708404802744425</v>
      </c>
      <c r="J608" s="1112">
        <f t="shared" si="17"/>
        <v>99.228130360205839</v>
      </c>
      <c r="K608" s="1096"/>
      <c r="L608" s="1096"/>
      <c r="M608" s="1096"/>
      <c r="N608" s="1096"/>
      <c r="O608" s="1096"/>
      <c r="P608" s="1114">
        <v>109</v>
      </c>
      <c r="Q608" s="1096" t="s">
        <v>1463</v>
      </c>
      <c r="R608" s="1114">
        <v>101.6</v>
      </c>
      <c r="S608" s="1096" t="s">
        <v>1463</v>
      </c>
      <c r="T608" s="1114">
        <v>95.1</v>
      </c>
      <c r="U608" s="1096" t="s">
        <v>1463</v>
      </c>
      <c r="V608" s="1114">
        <v>104.6</v>
      </c>
      <c r="W608" s="1096" t="s">
        <v>1463</v>
      </c>
      <c r="X608" s="1114">
        <v>115.7</v>
      </c>
      <c r="Y608" s="1096" t="s">
        <v>1463</v>
      </c>
      <c r="Z608" s="1114">
        <v>116.6</v>
      </c>
      <c r="AA608" s="1096"/>
      <c r="AB608" s="1096"/>
      <c r="AC608" s="1096"/>
      <c r="AD608" s="1096"/>
      <c r="AE608" s="1096"/>
      <c r="AF608" s="1096"/>
      <c r="AG608" s="1096"/>
      <c r="AH608" s="1096"/>
      <c r="AI608" s="1096"/>
      <c r="AJ608" s="1096"/>
      <c r="AK608" s="1096"/>
      <c r="AL608" s="1096"/>
      <c r="AM608" s="1096"/>
      <c r="AN608" s="1096"/>
      <c r="AO608" s="1096"/>
      <c r="AP608" s="1096"/>
      <c r="AQ608" s="1096"/>
      <c r="AR608" s="1096"/>
      <c r="AS608" s="1096"/>
      <c r="AT608" s="1096"/>
      <c r="AU608" s="1096"/>
      <c r="AV608" s="1096"/>
      <c r="AW608" s="1096"/>
      <c r="AX608" s="1096"/>
      <c r="AY608" s="1096"/>
    </row>
    <row r="609" spans="1:51" x14ac:dyDescent="0.45">
      <c r="A609" s="1096">
        <v>1989</v>
      </c>
      <c r="B609" s="1096" t="s">
        <v>1379</v>
      </c>
      <c r="C609" s="1113">
        <f>[7]LRAll!C600</f>
        <v>117.5</v>
      </c>
      <c r="D609" s="1113">
        <f>[7]LRAll!I600</f>
        <v>109.4</v>
      </c>
      <c r="E609" s="1096"/>
      <c r="F609" s="1114">
        <f t="shared" si="13"/>
        <v>93.106382978723417</v>
      </c>
      <c r="G609" s="1112">
        <f t="shared" si="14"/>
        <v>87.148936170212778</v>
      </c>
      <c r="H609" s="1112">
        <f t="shared" si="15"/>
        <v>86.723404255319153</v>
      </c>
      <c r="I609" s="1112">
        <f t="shared" si="16"/>
        <v>89.021276595744681</v>
      </c>
      <c r="J609" s="1112">
        <f t="shared" si="17"/>
        <v>98.468085106382986</v>
      </c>
      <c r="K609" s="1096"/>
      <c r="L609" s="1096"/>
      <c r="M609" s="1096"/>
      <c r="N609" s="1096"/>
      <c r="O609" s="1096"/>
      <c r="P609" s="1114">
        <v>109.4</v>
      </c>
      <c r="Q609" s="1096" t="s">
        <v>1464</v>
      </c>
      <c r="R609" s="1114">
        <v>102.4</v>
      </c>
      <c r="S609" s="1096" t="s">
        <v>1464</v>
      </c>
      <c r="T609" s="1114">
        <v>101.9</v>
      </c>
      <c r="U609" s="1096" t="s">
        <v>1464</v>
      </c>
      <c r="V609" s="1114">
        <v>104.6</v>
      </c>
      <c r="W609" s="1096" t="s">
        <v>1464</v>
      </c>
      <c r="X609" s="1114">
        <v>115.7</v>
      </c>
      <c r="Y609" s="1096" t="s">
        <v>1464</v>
      </c>
      <c r="Z609" s="1114">
        <v>117.5</v>
      </c>
      <c r="AA609" s="1096"/>
      <c r="AB609" s="1096"/>
      <c r="AC609" s="1096"/>
      <c r="AD609" s="1096"/>
      <c r="AE609" s="1096"/>
      <c r="AF609" s="1096"/>
      <c r="AG609" s="1096"/>
      <c r="AH609" s="1096"/>
      <c r="AI609" s="1096"/>
      <c r="AJ609" s="1096"/>
      <c r="AK609" s="1096"/>
      <c r="AL609" s="1096"/>
      <c r="AM609" s="1096"/>
      <c r="AN609" s="1096"/>
      <c r="AO609" s="1096"/>
      <c r="AP609" s="1096"/>
      <c r="AQ609" s="1096"/>
      <c r="AR609" s="1096"/>
      <c r="AS609" s="1096"/>
      <c r="AT609" s="1096"/>
      <c r="AU609" s="1096"/>
      <c r="AV609" s="1096"/>
      <c r="AW609" s="1096"/>
      <c r="AX609" s="1096"/>
      <c r="AY609" s="1096"/>
    </row>
    <row r="610" spans="1:51" x14ac:dyDescent="0.45">
      <c r="A610" s="1096">
        <v>1989</v>
      </c>
      <c r="B610" s="1096" t="s">
        <v>1381</v>
      </c>
      <c r="C610" s="1113">
        <f>[7]LRAll!C601</f>
        <v>118.5</v>
      </c>
      <c r="D610" s="1113">
        <f>[7]LRAll!I601</f>
        <v>109.7</v>
      </c>
      <c r="E610" s="1096"/>
      <c r="F610" s="1114">
        <f t="shared" si="13"/>
        <v>92.573839662447256</v>
      </c>
      <c r="G610" s="1112">
        <f t="shared" si="14"/>
        <v>87.932489451476798</v>
      </c>
      <c r="H610" s="1112">
        <f t="shared" si="15"/>
        <v>91.139240506329116</v>
      </c>
      <c r="I610" s="1112">
        <f t="shared" si="16"/>
        <v>88.270042194092824</v>
      </c>
      <c r="J610" s="1112">
        <f t="shared" si="17"/>
        <v>97.637130801687761</v>
      </c>
      <c r="K610" s="1096"/>
      <c r="L610" s="1096"/>
      <c r="M610" s="1096"/>
      <c r="N610" s="1096"/>
      <c r="O610" s="1096"/>
      <c r="P610" s="1114">
        <v>109.7</v>
      </c>
      <c r="Q610" s="1096" t="s">
        <v>1465</v>
      </c>
      <c r="R610" s="1114">
        <v>104.2</v>
      </c>
      <c r="S610" s="1096" t="s">
        <v>1465</v>
      </c>
      <c r="T610" s="1114">
        <v>108</v>
      </c>
      <c r="U610" s="1096" t="s">
        <v>1465</v>
      </c>
      <c r="V610" s="1114">
        <v>104.6</v>
      </c>
      <c r="W610" s="1096" t="s">
        <v>1465</v>
      </c>
      <c r="X610" s="1114">
        <v>115.7</v>
      </c>
      <c r="Y610" s="1096" t="s">
        <v>1465</v>
      </c>
      <c r="Z610" s="1114">
        <v>118.5</v>
      </c>
      <c r="AA610" s="1096"/>
      <c r="AB610" s="1096"/>
      <c r="AC610" s="1096"/>
      <c r="AD610" s="1096"/>
      <c r="AE610" s="1096"/>
      <c r="AF610" s="1096"/>
      <c r="AG610" s="1096"/>
      <c r="AH610" s="1096"/>
      <c r="AI610" s="1096"/>
      <c r="AJ610" s="1096"/>
      <c r="AK610" s="1096"/>
      <c r="AL610" s="1096"/>
      <c r="AM610" s="1096"/>
      <c r="AN610" s="1096"/>
      <c r="AO610" s="1096"/>
      <c r="AP610" s="1096"/>
      <c r="AQ610" s="1096"/>
      <c r="AR610" s="1096"/>
      <c r="AS610" s="1096"/>
      <c r="AT610" s="1096"/>
      <c r="AU610" s="1096"/>
      <c r="AV610" s="1096"/>
      <c r="AW610" s="1096"/>
      <c r="AX610" s="1096"/>
      <c r="AY610" s="1096"/>
    </row>
    <row r="611" spans="1:51" x14ac:dyDescent="0.45">
      <c r="A611" s="1096">
        <v>1989</v>
      </c>
      <c r="B611" s="1096" t="s">
        <v>1383</v>
      </c>
      <c r="C611" s="1113">
        <f>[7]LRAll!C602</f>
        <v>118.8</v>
      </c>
      <c r="D611" s="1113">
        <f>[7]LRAll!I602</f>
        <v>110</v>
      </c>
      <c r="E611" s="1096"/>
      <c r="F611" s="1114">
        <f t="shared" si="13"/>
        <v>92.592592592592595</v>
      </c>
      <c r="G611" s="1112">
        <f t="shared" si="14"/>
        <v>88.215488215488207</v>
      </c>
      <c r="H611" s="1112">
        <f t="shared" si="15"/>
        <v>95.454545454545453</v>
      </c>
      <c r="I611" s="1112">
        <f t="shared" si="16"/>
        <v>88.047138047138034</v>
      </c>
      <c r="J611" s="1112">
        <f t="shared" si="17"/>
        <v>97.390572390572387</v>
      </c>
      <c r="K611" s="1096"/>
      <c r="L611" s="1096"/>
      <c r="M611" s="1096"/>
      <c r="N611" s="1096"/>
      <c r="O611" s="1096"/>
      <c r="P611" s="1114">
        <v>110</v>
      </c>
      <c r="Q611" s="1096" t="s">
        <v>1466</v>
      </c>
      <c r="R611" s="1114">
        <v>104.8</v>
      </c>
      <c r="S611" s="1096" t="s">
        <v>1466</v>
      </c>
      <c r="T611" s="1114">
        <v>113.4</v>
      </c>
      <c r="U611" s="1096" t="s">
        <v>1466</v>
      </c>
      <c r="V611" s="1114">
        <v>104.6</v>
      </c>
      <c r="W611" s="1096" t="s">
        <v>1466</v>
      </c>
      <c r="X611" s="1114">
        <v>115.7</v>
      </c>
      <c r="Y611" s="1096" t="s">
        <v>1466</v>
      </c>
      <c r="Z611" s="1114">
        <v>118.8</v>
      </c>
      <c r="AA611" s="1096"/>
      <c r="AB611" s="1096"/>
      <c r="AC611" s="1096"/>
      <c r="AD611" s="1096"/>
      <c r="AE611" s="1096"/>
      <c r="AF611" s="1096"/>
      <c r="AG611" s="1096"/>
      <c r="AH611" s="1096"/>
      <c r="AI611" s="1096"/>
      <c r="AJ611" s="1096"/>
      <c r="AK611" s="1096"/>
      <c r="AL611" s="1096"/>
      <c r="AM611" s="1096"/>
      <c r="AN611" s="1096"/>
      <c r="AO611" s="1096"/>
      <c r="AP611" s="1096"/>
      <c r="AQ611" s="1096"/>
      <c r="AR611" s="1096"/>
      <c r="AS611" s="1096"/>
      <c r="AT611" s="1096"/>
      <c r="AU611" s="1096"/>
      <c r="AV611" s="1096"/>
      <c r="AW611" s="1096"/>
      <c r="AX611" s="1096"/>
      <c r="AY611" s="1096"/>
    </row>
    <row r="612" spans="1:51" x14ac:dyDescent="0.45">
      <c r="A612" s="1096">
        <v>1990</v>
      </c>
      <c r="B612" s="1096" t="s">
        <v>1385</v>
      </c>
      <c r="C612" s="1113">
        <f>[7]LRAll!C603</f>
        <v>119.5</v>
      </c>
      <c r="D612" s="1113">
        <f>[7]LRAll!I603</f>
        <v>110.6</v>
      </c>
      <c r="E612" s="1096"/>
      <c r="F612" s="1114">
        <f t="shared" si="13"/>
        <v>92.55230125523012</v>
      </c>
      <c r="G612" s="1112">
        <f t="shared" si="14"/>
        <v>88.20083682008368</v>
      </c>
      <c r="H612" s="1112">
        <f t="shared" si="15"/>
        <v>104.18410041841004</v>
      </c>
      <c r="I612" s="1112">
        <f t="shared" si="16"/>
        <v>87.531380753138066</v>
      </c>
      <c r="J612" s="1112">
        <f t="shared" si="17"/>
        <v>96.820083682008374</v>
      </c>
      <c r="K612" s="1096"/>
      <c r="L612" s="1096"/>
      <c r="M612" s="1096"/>
      <c r="N612" s="1096"/>
      <c r="O612" s="1096"/>
      <c r="P612" s="1114">
        <v>110.6</v>
      </c>
      <c r="Q612" s="1096" t="s">
        <v>1467</v>
      </c>
      <c r="R612" s="1114">
        <v>105.4</v>
      </c>
      <c r="S612" s="1096" t="s">
        <v>1467</v>
      </c>
      <c r="T612" s="1114">
        <v>124.5</v>
      </c>
      <c r="U612" s="1096" t="s">
        <v>1467</v>
      </c>
      <c r="V612" s="1114">
        <v>104.6</v>
      </c>
      <c r="W612" s="1096" t="s">
        <v>1467</v>
      </c>
      <c r="X612" s="1114">
        <v>115.7</v>
      </c>
      <c r="Y612" s="1096" t="s">
        <v>1467</v>
      </c>
      <c r="Z612" s="1114">
        <v>119.5</v>
      </c>
      <c r="AA612" s="1096"/>
      <c r="AB612" s="1096"/>
      <c r="AC612" s="1096"/>
      <c r="AD612" s="1096"/>
      <c r="AE612" s="1096"/>
      <c r="AF612" s="1096"/>
      <c r="AG612" s="1096"/>
      <c r="AH612" s="1096"/>
      <c r="AI612" s="1096"/>
      <c r="AJ612" s="1096"/>
      <c r="AK612" s="1096"/>
      <c r="AL612" s="1096"/>
      <c r="AM612" s="1096"/>
      <c r="AN612" s="1096"/>
      <c r="AO612" s="1096"/>
      <c r="AP612" s="1096"/>
      <c r="AQ612" s="1096"/>
      <c r="AR612" s="1096"/>
      <c r="AS612" s="1096"/>
      <c r="AT612" s="1096"/>
      <c r="AU612" s="1096"/>
      <c r="AV612" s="1096"/>
      <c r="AW612" s="1096"/>
      <c r="AX612" s="1096"/>
      <c r="AY612" s="1096"/>
    </row>
    <row r="613" spans="1:51" x14ac:dyDescent="0.45">
      <c r="A613" s="1096">
        <v>1990</v>
      </c>
      <c r="B613" s="1096" t="s">
        <v>1387</v>
      </c>
      <c r="C613" s="1113">
        <f>[7]LRAll!C604</f>
        <v>120.2</v>
      </c>
      <c r="D613" s="1113">
        <f>[7]LRAll!I604</f>
        <v>109.9</v>
      </c>
      <c r="E613" s="1096"/>
      <c r="F613" s="1114">
        <f t="shared" si="13"/>
        <v>91.430948419301174</v>
      </c>
      <c r="G613" s="1112">
        <f t="shared" si="14"/>
        <v>87.770382695507493</v>
      </c>
      <c r="H613" s="1112">
        <f t="shared" si="15"/>
        <v>92.928452579034939</v>
      </c>
      <c r="I613" s="1112">
        <f t="shared" si="16"/>
        <v>87.021630615640589</v>
      </c>
      <c r="J613" s="1112">
        <f t="shared" si="17"/>
        <v>96.256239600665566</v>
      </c>
      <c r="K613" s="1096"/>
      <c r="L613" s="1096"/>
      <c r="M613" s="1096"/>
      <c r="N613" s="1096"/>
      <c r="O613" s="1096"/>
      <c r="P613" s="1114">
        <v>109.9</v>
      </c>
      <c r="Q613" s="1096" t="s">
        <v>1468</v>
      </c>
      <c r="R613" s="1114">
        <v>105.5</v>
      </c>
      <c r="S613" s="1096" t="s">
        <v>1468</v>
      </c>
      <c r="T613" s="1114">
        <v>111.7</v>
      </c>
      <c r="U613" s="1096" t="s">
        <v>1468</v>
      </c>
      <c r="V613" s="1114">
        <v>104.6</v>
      </c>
      <c r="W613" s="1096" t="s">
        <v>1468</v>
      </c>
      <c r="X613" s="1114">
        <v>115.7</v>
      </c>
      <c r="Y613" s="1096" t="s">
        <v>1468</v>
      </c>
      <c r="Z613" s="1114">
        <v>120.2</v>
      </c>
      <c r="AA613" s="1096"/>
      <c r="AB613" s="1096"/>
      <c r="AC613" s="1096"/>
      <c r="AD613" s="1096"/>
      <c r="AE613" s="1096"/>
      <c r="AF613" s="1096"/>
      <c r="AG613" s="1096"/>
      <c r="AH613" s="1096"/>
      <c r="AI613" s="1096"/>
      <c r="AJ613" s="1096"/>
      <c r="AK613" s="1096"/>
      <c r="AL613" s="1096"/>
      <c r="AM613" s="1096"/>
      <c r="AN613" s="1096"/>
      <c r="AO613" s="1096"/>
      <c r="AP613" s="1096"/>
      <c r="AQ613" s="1096"/>
      <c r="AR613" s="1096"/>
      <c r="AS613" s="1096"/>
      <c r="AT613" s="1096"/>
      <c r="AU613" s="1096"/>
      <c r="AV613" s="1096"/>
      <c r="AW613" s="1096"/>
      <c r="AX613" s="1096"/>
      <c r="AY613" s="1096"/>
    </row>
    <row r="614" spans="1:51" x14ac:dyDescent="0.45">
      <c r="A614" s="1096">
        <v>1990</v>
      </c>
      <c r="B614" s="1096" t="s">
        <v>1389</v>
      </c>
      <c r="C614" s="1113">
        <f>[7]LRAll!C605</f>
        <v>121.4</v>
      </c>
      <c r="D614" s="1113">
        <f>[7]LRAll!I605</f>
        <v>110.1</v>
      </c>
      <c r="E614" s="1096"/>
      <c r="F614" s="1114">
        <f t="shared" ref="F614:F677" si="18">D614/C614*100</f>
        <v>90.691927512355846</v>
      </c>
      <c r="G614" s="1112">
        <f t="shared" si="14"/>
        <v>86.902800658978578</v>
      </c>
      <c r="H614" s="1112">
        <f t="shared" si="15"/>
        <v>86.243822075782532</v>
      </c>
      <c r="I614" s="1112">
        <f t="shared" si="16"/>
        <v>87.397034596375605</v>
      </c>
      <c r="J614" s="1112">
        <f t="shared" si="17"/>
        <v>95.304777594728179</v>
      </c>
      <c r="K614" s="1096"/>
      <c r="L614" s="1096"/>
      <c r="M614" s="1096"/>
      <c r="N614" s="1096"/>
      <c r="O614" s="1096"/>
      <c r="P614" s="1114">
        <v>110.1</v>
      </c>
      <c r="Q614" s="1096" t="s">
        <v>1469</v>
      </c>
      <c r="R614" s="1114">
        <v>105.5</v>
      </c>
      <c r="S614" s="1096" t="s">
        <v>1469</v>
      </c>
      <c r="T614" s="1114">
        <v>104.7</v>
      </c>
      <c r="U614" s="1096" t="s">
        <v>1469</v>
      </c>
      <c r="V614" s="1114">
        <v>106.1</v>
      </c>
      <c r="W614" s="1096" t="s">
        <v>1469</v>
      </c>
      <c r="X614" s="1114">
        <v>115.7</v>
      </c>
      <c r="Y614" s="1096" t="s">
        <v>1469</v>
      </c>
      <c r="Z614" s="1114">
        <v>121.4</v>
      </c>
      <c r="AA614" s="1096"/>
      <c r="AB614" s="1096"/>
      <c r="AC614" s="1096"/>
      <c r="AD614" s="1096"/>
      <c r="AE614" s="1096"/>
      <c r="AF614" s="1096"/>
      <c r="AG614" s="1096"/>
      <c r="AH614" s="1096"/>
      <c r="AI614" s="1096"/>
      <c r="AJ614" s="1096"/>
      <c r="AK614" s="1096"/>
      <c r="AL614" s="1096"/>
      <c r="AM614" s="1096"/>
      <c r="AN614" s="1096"/>
      <c r="AO614" s="1096"/>
      <c r="AP614" s="1096"/>
      <c r="AQ614" s="1096"/>
      <c r="AR614" s="1096"/>
      <c r="AS614" s="1096"/>
      <c r="AT614" s="1096"/>
      <c r="AU614" s="1096"/>
      <c r="AV614" s="1096"/>
      <c r="AW614" s="1096"/>
      <c r="AX614" s="1096"/>
      <c r="AY614" s="1096"/>
    </row>
    <row r="615" spans="1:51" x14ac:dyDescent="0.45">
      <c r="A615" s="1096">
        <v>1990</v>
      </c>
      <c r="B615" s="1096" t="s">
        <v>1391</v>
      </c>
      <c r="C615" s="1113">
        <f>[7]LRAll!C606</f>
        <v>125.1</v>
      </c>
      <c r="D615" s="1113">
        <f>[7]LRAll!I606</f>
        <v>111.7</v>
      </c>
      <c r="E615" s="1096"/>
      <c r="F615" s="1114">
        <f t="shared" si="18"/>
        <v>89.28856914468426</v>
      </c>
      <c r="G615" s="1112">
        <f t="shared" si="14"/>
        <v>84.33253397282175</v>
      </c>
      <c r="H615" s="1112">
        <f t="shared" si="15"/>
        <v>84.412470023980816</v>
      </c>
      <c r="I615" s="1112">
        <f t="shared" si="16"/>
        <v>86.730615507593939</v>
      </c>
      <c r="J615" s="1112">
        <f t="shared" si="17"/>
        <v>93.44524380495605</v>
      </c>
      <c r="K615" s="1096"/>
      <c r="L615" s="1096"/>
      <c r="M615" s="1096"/>
      <c r="N615" s="1096"/>
      <c r="O615" s="1096"/>
      <c r="P615" s="1114">
        <v>111.7</v>
      </c>
      <c r="Q615" s="1096" t="s">
        <v>1470</v>
      </c>
      <c r="R615" s="1114">
        <v>105.5</v>
      </c>
      <c r="S615" s="1096" t="s">
        <v>1470</v>
      </c>
      <c r="T615" s="1114">
        <v>105.6</v>
      </c>
      <c r="U615" s="1096" t="s">
        <v>1470</v>
      </c>
      <c r="V615" s="1114">
        <v>108.5</v>
      </c>
      <c r="W615" s="1096" t="s">
        <v>1470</v>
      </c>
      <c r="X615" s="1114">
        <v>116.9</v>
      </c>
      <c r="Y615" s="1096" t="s">
        <v>1470</v>
      </c>
      <c r="Z615" s="1114">
        <v>125.1</v>
      </c>
      <c r="AA615" s="1096"/>
      <c r="AB615" s="1096"/>
      <c r="AC615" s="1096"/>
      <c r="AD615" s="1096"/>
      <c r="AE615" s="1096"/>
      <c r="AF615" s="1096"/>
      <c r="AG615" s="1096"/>
      <c r="AH615" s="1096"/>
      <c r="AI615" s="1096"/>
      <c r="AJ615" s="1096"/>
      <c r="AK615" s="1096"/>
      <c r="AL615" s="1096"/>
      <c r="AM615" s="1096"/>
      <c r="AN615" s="1096"/>
      <c r="AO615" s="1096"/>
      <c r="AP615" s="1096"/>
      <c r="AQ615" s="1096"/>
      <c r="AR615" s="1096"/>
      <c r="AS615" s="1096"/>
      <c r="AT615" s="1096"/>
      <c r="AU615" s="1096"/>
      <c r="AV615" s="1096"/>
      <c r="AW615" s="1096"/>
      <c r="AX615" s="1096"/>
      <c r="AY615" s="1096"/>
    </row>
    <row r="616" spans="1:51" x14ac:dyDescent="0.45">
      <c r="A616" s="1096">
        <v>1990</v>
      </c>
      <c r="B616" s="1096" t="s">
        <v>1393</v>
      </c>
      <c r="C616" s="1113">
        <f>[7]LRAll!C607</f>
        <v>126.2</v>
      </c>
      <c r="D616" s="1113">
        <f>[7]LRAll!I607</f>
        <v>114.3</v>
      </c>
      <c r="E616" s="1096"/>
      <c r="F616" s="1114">
        <f t="shared" si="18"/>
        <v>90.570522979397765</v>
      </c>
      <c r="G616" s="1112">
        <f t="shared" si="14"/>
        <v>79.397781299524567</v>
      </c>
      <c r="H616" s="1112">
        <f t="shared" si="15"/>
        <v>82.646592709984148</v>
      </c>
      <c r="I616" s="1112">
        <f t="shared" si="16"/>
        <v>88.351822503961969</v>
      </c>
      <c r="J616" s="1112">
        <f t="shared" si="17"/>
        <v>95.958795562599036</v>
      </c>
      <c r="K616" s="1096"/>
      <c r="L616" s="1096"/>
      <c r="M616" s="1096"/>
      <c r="N616" s="1096"/>
      <c r="O616" s="1096"/>
      <c r="P616" s="1114">
        <v>114.3</v>
      </c>
      <c r="Q616" s="1096" t="s">
        <v>1471</v>
      </c>
      <c r="R616" s="1114">
        <v>100.2</v>
      </c>
      <c r="S616" s="1096" t="s">
        <v>1471</v>
      </c>
      <c r="T616" s="1114">
        <v>104.3</v>
      </c>
      <c r="U616" s="1096" t="s">
        <v>1471</v>
      </c>
      <c r="V616" s="1114">
        <v>111.5</v>
      </c>
      <c r="W616" s="1096" t="s">
        <v>1471</v>
      </c>
      <c r="X616" s="1114">
        <v>121.1</v>
      </c>
      <c r="Y616" s="1096" t="s">
        <v>1471</v>
      </c>
      <c r="Z616" s="1114">
        <v>126.2</v>
      </c>
      <c r="AA616" s="1096"/>
      <c r="AB616" s="1096"/>
      <c r="AC616" s="1096"/>
      <c r="AD616" s="1096"/>
      <c r="AE616" s="1096"/>
      <c r="AF616" s="1096"/>
      <c r="AG616" s="1096"/>
      <c r="AH616" s="1096"/>
      <c r="AI616" s="1096"/>
      <c r="AJ616" s="1096"/>
      <c r="AK616" s="1096"/>
      <c r="AL616" s="1096"/>
      <c r="AM616" s="1096"/>
      <c r="AN616" s="1096"/>
      <c r="AO616" s="1096"/>
      <c r="AP616" s="1096"/>
      <c r="AQ616" s="1096"/>
      <c r="AR616" s="1096"/>
      <c r="AS616" s="1096"/>
      <c r="AT616" s="1096"/>
      <c r="AU616" s="1096"/>
      <c r="AV616" s="1096"/>
      <c r="AW616" s="1096"/>
      <c r="AX616" s="1096"/>
      <c r="AY616" s="1096"/>
    </row>
    <row r="617" spans="1:51" x14ac:dyDescent="0.45">
      <c r="A617" s="1096">
        <v>1990</v>
      </c>
      <c r="B617" s="1096" t="s">
        <v>1371</v>
      </c>
      <c r="C617" s="1113">
        <f>[7]LRAll!C608</f>
        <v>126.7</v>
      </c>
      <c r="D617" s="1113">
        <f>[7]LRAll!I608</f>
        <v>116</v>
      </c>
      <c r="E617" s="1096"/>
      <c r="F617" s="1114">
        <f t="shared" si="18"/>
        <v>91.554853985793201</v>
      </c>
      <c r="G617" s="1112">
        <f t="shared" si="14"/>
        <v>78.847671665351228</v>
      </c>
      <c r="H617" s="1112">
        <f t="shared" si="15"/>
        <v>79.479084451460153</v>
      </c>
      <c r="I617" s="1112">
        <f t="shared" si="16"/>
        <v>88.713496448303076</v>
      </c>
      <c r="J617" s="1112">
        <f t="shared" si="17"/>
        <v>98.10576164167324</v>
      </c>
      <c r="K617" s="1096"/>
      <c r="L617" s="1096"/>
      <c r="M617" s="1096"/>
      <c r="N617" s="1096"/>
      <c r="O617" s="1096"/>
      <c r="P617" s="1114">
        <v>116</v>
      </c>
      <c r="Q617" s="1096" t="s">
        <v>1472</v>
      </c>
      <c r="R617" s="1114">
        <v>99.9</v>
      </c>
      <c r="S617" s="1096" t="s">
        <v>1472</v>
      </c>
      <c r="T617" s="1114">
        <v>100.7</v>
      </c>
      <c r="U617" s="1096" t="s">
        <v>1472</v>
      </c>
      <c r="V617" s="1114">
        <v>112.4</v>
      </c>
      <c r="W617" s="1096" t="s">
        <v>1472</v>
      </c>
      <c r="X617" s="1114">
        <v>124.3</v>
      </c>
      <c r="Y617" s="1096" t="s">
        <v>1472</v>
      </c>
      <c r="Z617" s="1114">
        <v>126.7</v>
      </c>
      <c r="AA617" s="1096"/>
      <c r="AB617" s="1096"/>
      <c r="AC617" s="1096"/>
      <c r="AD617" s="1096"/>
      <c r="AE617" s="1096"/>
      <c r="AF617" s="1096"/>
      <c r="AG617" s="1096"/>
      <c r="AH617" s="1096"/>
      <c r="AI617" s="1096"/>
      <c r="AJ617" s="1096"/>
      <c r="AK617" s="1096"/>
      <c r="AL617" s="1096"/>
      <c r="AM617" s="1096"/>
      <c r="AN617" s="1096"/>
      <c r="AO617" s="1096"/>
      <c r="AP617" s="1096"/>
      <c r="AQ617" s="1096"/>
      <c r="AR617" s="1096"/>
      <c r="AS617" s="1096"/>
      <c r="AT617" s="1096"/>
      <c r="AU617" s="1096"/>
      <c r="AV617" s="1096"/>
      <c r="AW617" s="1096"/>
      <c r="AX617" s="1096"/>
      <c r="AY617" s="1096"/>
    </row>
    <row r="618" spans="1:51" x14ac:dyDescent="0.45">
      <c r="A618" s="1096">
        <v>1990</v>
      </c>
      <c r="B618" s="1096" t="s">
        <v>1373</v>
      </c>
      <c r="C618" s="1113">
        <f>[7]LRAll!C609</f>
        <v>126.8</v>
      </c>
      <c r="D618" s="1113">
        <f>[7]LRAll!I609</f>
        <v>116.7</v>
      </c>
      <c r="E618" s="1096"/>
      <c r="F618" s="1114">
        <f t="shared" si="18"/>
        <v>92.034700315457414</v>
      </c>
      <c r="G618" s="1112">
        <f t="shared" si="14"/>
        <v>78.548895899053633</v>
      </c>
      <c r="H618" s="1112">
        <f t="shared" si="15"/>
        <v>77.287066246056781</v>
      </c>
      <c r="I618" s="1112">
        <f t="shared" si="16"/>
        <v>88.643533123028391</v>
      </c>
      <c r="J618" s="1112">
        <f t="shared" si="17"/>
        <v>99.526813880126184</v>
      </c>
      <c r="K618" s="1096"/>
      <c r="L618" s="1096"/>
      <c r="M618" s="1096"/>
      <c r="N618" s="1096"/>
      <c r="O618" s="1096"/>
      <c r="P618" s="1114">
        <v>116.7</v>
      </c>
      <c r="Q618" s="1096" t="s">
        <v>1473</v>
      </c>
      <c r="R618" s="1114">
        <v>99.6</v>
      </c>
      <c r="S618" s="1096" t="s">
        <v>1473</v>
      </c>
      <c r="T618" s="1114">
        <v>98</v>
      </c>
      <c r="U618" s="1096" t="s">
        <v>1473</v>
      </c>
      <c r="V618" s="1114">
        <v>112.4</v>
      </c>
      <c r="W618" s="1096" t="s">
        <v>1473</v>
      </c>
      <c r="X618" s="1114">
        <v>126.2</v>
      </c>
      <c r="Y618" s="1096" t="s">
        <v>1473</v>
      </c>
      <c r="Z618" s="1114">
        <v>126.8</v>
      </c>
      <c r="AA618" s="1096"/>
      <c r="AB618" s="1096"/>
      <c r="AC618" s="1096"/>
      <c r="AD618" s="1096"/>
      <c r="AE618" s="1096"/>
      <c r="AF618" s="1096"/>
      <c r="AG618" s="1096"/>
      <c r="AH618" s="1096"/>
      <c r="AI618" s="1096"/>
      <c r="AJ618" s="1096"/>
      <c r="AK618" s="1096"/>
      <c r="AL618" s="1096"/>
      <c r="AM618" s="1096"/>
      <c r="AN618" s="1096"/>
      <c r="AO618" s="1096"/>
      <c r="AP618" s="1096"/>
      <c r="AQ618" s="1096"/>
      <c r="AR618" s="1096"/>
      <c r="AS618" s="1096"/>
      <c r="AT618" s="1096"/>
      <c r="AU618" s="1096"/>
      <c r="AV618" s="1096"/>
      <c r="AW618" s="1096"/>
      <c r="AX618" s="1096"/>
      <c r="AY618" s="1096"/>
    </row>
    <row r="619" spans="1:51" x14ac:dyDescent="0.45">
      <c r="A619" s="1096">
        <v>1990</v>
      </c>
      <c r="B619" s="1096" t="s">
        <v>1375</v>
      </c>
      <c r="C619" s="1113">
        <f>[7]LRAll!C610</f>
        <v>128.1</v>
      </c>
      <c r="D619" s="1113">
        <f>[7]LRAll!I610</f>
        <v>118.6</v>
      </c>
      <c r="E619" s="1096"/>
      <c r="F619" s="1114">
        <f t="shared" si="18"/>
        <v>92.583918813427019</v>
      </c>
      <c r="G619" s="1112">
        <f t="shared" si="14"/>
        <v>80.952380952380949</v>
      </c>
      <c r="H619" s="1112">
        <f t="shared" si="15"/>
        <v>100.46838407494145</v>
      </c>
      <c r="I619" s="1112">
        <f t="shared" si="16"/>
        <v>87.743950039032015</v>
      </c>
      <c r="J619" s="1112">
        <f t="shared" si="17"/>
        <v>98.516783762685407</v>
      </c>
      <c r="K619" s="1096"/>
      <c r="L619" s="1096"/>
      <c r="M619" s="1096"/>
      <c r="N619" s="1096"/>
      <c r="O619" s="1096"/>
      <c r="P619" s="1114">
        <v>118.6</v>
      </c>
      <c r="Q619" s="1096" t="s">
        <v>1474</v>
      </c>
      <c r="R619" s="1114">
        <v>103.7</v>
      </c>
      <c r="S619" s="1096" t="s">
        <v>1474</v>
      </c>
      <c r="T619" s="1114">
        <v>128.69999999999999</v>
      </c>
      <c r="U619" s="1096" t="s">
        <v>1474</v>
      </c>
      <c r="V619" s="1114">
        <v>112.4</v>
      </c>
      <c r="W619" s="1096" t="s">
        <v>1474</v>
      </c>
      <c r="X619" s="1114">
        <v>126.2</v>
      </c>
      <c r="Y619" s="1096" t="s">
        <v>1474</v>
      </c>
      <c r="Z619" s="1114">
        <v>128.1</v>
      </c>
      <c r="AA619" s="1096"/>
      <c r="AB619" s="1096"/>
      <c r="AC619" s="1096"/>
      <c r="AD619" s="1096"/>
      <c r="AE619" s="1096"/>
      <c r="AF619" s="1096"/>
      <c r="AG619" s="1096"/>
      <c r="AH619" s="1096"/>
      <c r="AI619" s="1096"/>
      <c r="AJ619" s="1096"/>
      <c r="AK619" s="1096"/>
      <c r="AL619" s="1096"/>
      <c r="AM619" s="1096"/>
      <c r="AN619" s="1096"/>
      <c r="AO619" s="1096"/>
      <c r="AP619" s="1096"/>
      <c r="AQ619" s="1096"/>
      <c r="AR619" s="1096"/>
      <c r="AS619" s="1096"/>
      <c r="AT619" s="1096"/>
      <c r="AU619" s="1096"/>
      <c r="AV619" s="1096"/>
      <c r="AW619" s="1096"/>
      <c r="AX619" s="1096"/>
      <c r="AY619" s="1096"/>
    </row>
    <row r="620" spans="1:51" x14ac:dyDescent="0.45">
      <c r="A620" s="1096">
        <v>1990</v>
      </c>
      <c r="B620" s="1096" t="s">
        <v>1377</v>
      </c>
      <c r="C620" s="1113">
        <f>[7]LRAll!C611</f>
        <v>129.30000000000001</v>
      </c>
      <c r="D620" s="1113">
        <f>[7]LRAll!I611</f>
        <v>119.5</v>
      </c>
      <c r="E620" s="1096"/>
      <c r="F620" s="1114">
        <f t="shared" si="18"/>
        <v>92.420726991492643</v>
      </c>
      <c r="G620" s="1112">
        <f t="shared" si="14"/>
        <v>82.134570765661252</v>
      </c>
      <c r="H620" s="1112">
        <f t="shared" si="15"/>
        <v>108.50734725444701</v>
      </c>
      <c r="I620" s="1112">
        <f t="shared" si="16"/>
        <v>86.929621036349573</v>
      </c>
      <c r="J620" s="1112">
        <f t="shared" si="17"/>
        <v>97.602474864655832</v>
      </c>
      <c r="K620" s="1096"/>
      <c r="L620" s="1096"/>
      <c r="M620" s="1096"/>
      <c r="N620" s="1096"/>
      <c r="O620" s="1096"/>
      <c r="P620" s="1114">
        <v>119.5</v>
      </c>
      <c r="Q620" s="1096" t="s">
        <v>1475</v>
      </c>
      <c r="R620" s="1114">
        <v>106.2</v>
      </c>
      <c r="S620" s="1096" t="s">
        <v>1475</v>
      </c>
      <c r="T620" s="1114">
        <v>140.30000000000001</v>
      </c>
      <c r="U620" s="1096" t="s">
        <v>1475</v>
      </c>
      <c r="V620" s="1114">
        <v>112.4</v>
      </c>
      <c r="W620" s="1096" t="s">
        <v>1475</v>
      </c>
      <c r="X620" s="1114">
        <v>126.2</v>
      </c>
      <c r="Y620" s="1096" t="s">
        <v>1475</v>
      </c>
      <c r="Z620" s="1114">
        <v>129.30000000000001</v>
      </c>
      <c r="AA620" s="1096"/>
      <c r="AB620" s="1096"/>
      <c r="AC620" s="1096"/>
      <c r="AD620" s="1096"/>
      <c r="AE620" s="1096"/>
      <c r="AF620" s="1096"/>
      <c r="AG620" s="1096"/>
      <c r="AH620" s="1096"/>
      <c r="AI620" s="1096"/>
      <c r="AJ620" s="1096"/>
      <c r="AK620" s="1096"/>
      <c r="AL620" s="1096"/>
      <c r="AM620" s="1096"/>
      <c r="AN620" s="1096"/>
      <c r="AO620" s="1096"/>
      <c r="AP620" s="1096"/>
      <c r="AQ620" s="1096"/>
      <c r="AR620" s="1096"/>
      <c r="AS620" s="1096"/>
      <c r="AT620" s="1096"/>
      <c r="AU620" s="1096"/>
      <c r="AV620" s="1096"/>
      <c r="AW620" s="1096"/>
      <c r="AX620" s="1096"/>
      <c r="AY620" s="1096"/>
    </row>
    <row r="621" spans="1:51" x14ac:dyDescent="0.45">
      <c r="A621" s="1096">
        <v>1990</v>
      </c>
      <c r="B621" s="1096" t="s">
        <v>1379</v>
      </c>
      <c r="C621" s="1113">
        <f>[7]LRAll!C612</f>
        <v>130.30000000000001</v>
      </c>
      <c r="D621" s="1113">
        <f>[7]LRAll!I612</f>
        <v>121.9</v>
      </c>
      <c r="E621" s="1096"/>
      <c r="F621" s="1114">
        <f t="shared" si="18"/>
        <v>93.553338449731385</v>
      </c>
      <c r="G621" s="1112">
        <f t="shared" si="14"/>
        <v>82.425172678434379</v>
      </c>
      <c r="H621" s="1112">
        <f t="shared" si="15"/>
        <v>141.21258633921718</v>
      </c>
      <c r="I621" s="1112">
        <f t="shared" si="16"/>
        <v>86.262471220260935</v>
      </c>
      <c r="J621" s="1112">
        <f t="shared" si="17"/>
        <v>96.853415195702226</v>
      </c>
      <c r="K621" s="1096"/>
      <c r="L621" s="1096"/>
      <c r="M621" s="1096"/>
      <c r="N621" s="1096"/>
      <c r="O621" s="1096"/>
      <c r="P621" s="1114">
        <v>121.9</v>
      </c>
      <c r="Q621" s="1096" t="s">
        <v>1476</v>
      </c>
      <c r="R621" s="1114">
        <v>107.4</v>
      </c>
      <c r="S621" s="1096" t="s">
        <v>1476</v>
      </c>
      <c r="T621" s="1114">
        <v>184</v>
      </c>
      <c r="U621" s="1096" t="s">
        <v>1476</v>
      </c>
      <c r="V621" s="1114">
        <v>112.4</v>
      </c>
      <c r="W621" s="1096" t="s">
        <v>1476</v>
      </c>
      <c r="X621" s="1114">
        <v>126.2</v>
      </c>
      <c r="Y621" s="1096" t="s">
        <v>1476</v>
      </c>
      <c r="Z621" s="1114">
        <v>130.30000000000001</v>
      </c>
      <c r="AA621" s="1096"/>
      <c r="AB621" s="1096"/>
      <c r="AC621" s="1096"/>
      <c r="AD621" s="1096"/>
      <c r="AE621" s="1096"/>
      <c r="AF621" s="1096"/>
      <c r="AG621" s="1096"/>
      <c r="AH621" s="1096"/>
      <c r="AI621" s="1096"/>
      <c r="AJ621" s="1096"/>
      <c r="AK621" s="1096"/>
      <c r="AL621" s="1096"/>
      <c r="AM621" s="1096"/>
      <c r="AN621" s="1096"/>
      <c r="AO621" s="1096"/>
      <c r="AP621" s="1096"/>
      <c r="AQ621" s="1096"/>
      <c r="AR621" s="1096"/>
      <c r="AS621" s="1096"/>
      <c r="AT621" s="1096"/>
      <c r="AU621" s="1096"/>
      <c r="AV621" s="1096"/>
      <c r="AW621" s="1096"/>
      <c r="AX621" s="1096"/>
      <c r="AY621" s="1096"/>
    </row>
    <row r="622" spans="1:51" x14ac:dyDescent="0.45">
      <c r="A622" s="1096">
        <v>1990</v>
      </c>
      <c r="B622" s="1096" t="s">
        <v>1381</v>
      </c>
      <c r="C622" s="1113">
        <f>[7]LRAll!C613</f>
        <v>130</v>
      </c>
      <c r="D622" s="1113">
        <f>[7]LRAll!I613</f>
        <v>120.8</v>
      </c>
      <c r="E622" s="1096"/>
      <c r="F622" s="1114">
        <f t="shared" si="18"/>
        <v>92.92307692307692</v>
      </c>
      <c r="G622" s="1112">
        <f t="shared" si="14"/>
        <v>85.307692307692307</v>
      </c>
      <c r="H622" s="1112">
        <f t="shared" si="15"/>
        <v>118.92307692307691</v>
      </c>
      <c r="I622" s="1112">
        <f t="shared" si="16"/>
        <v>86.846153846153854</v>
      </c>
      <c r="J622" s="1112">
        <f t="shared" si="17"/>
        <v>97.07692307692308</v>
      </c>
      <c r="K622" s="1096"/>
      <c r="L622" s="1096"/>
      <c r="M622" s="1096"/>
      <c r="N622" s="1096"/>
      <c r="O622" s="1096"/>
      <c r="P622" s="1114">
        <v>120.8</v>
      </c>
      <c r="Q622" s="1096" t="s">
        <v>1477</v>
      </c>
      <c r="R622" s="1114">
        <v>110.9</v>
      </c>
      <c r="S622" s="1096" t="s">
        <v>1477</v>
      </c>
      <c r="T622" s="1114">
        <v>154.6</v>
      </c>
      <c r="U622" s="1096" t="s">
        <v>1477</v>
      </c>
      <c r="V622" s="1114">
        <v>112.9</v>
      </c>
      <c r="W622" s="1096" t="s">
        <v>1477</v>
      </c>
      <c r="X622" s="1114">
        <v>126.2</v>
      </c>
      <c r="Y622" s="1096" t="s">
        <v>1477</v>
      </c>
      <c r="Z622" s="1114">
        <v>130</v>
      </c>
      <c r="AA622" s="1096"/>
      <c r="AB622" s="1096"/>
      <c r="AC622" s="1096"/>
      <c r="AD622" s="1096"/>
      <c r="AE622" s="1096"/>
      <c r="AF622" s="1096"/>
      <c r="AG622" s="1096"/>
      <c r="AH622" s="1096"/>
      <c r="AI622" s="1096"/>
      <c r="AJ622" s="1096"/>
      <c r="AK622" s="1096"/>
      <c r="AL622" s="1096"/>
      <c r="AM622" s="1096"/>
      <c r="AN622" s="1096"/>
      <c r="AO622" s="1096"/>
      <c r="AP622" s="1096"/>
      <c r="AQ622" s="1096"/>
      <c r="AR622" s="1096"/>
      <c r="AS622" s="1096"/>
      <c r="AT622" s="1096"/>
      <c r="AU622" s="1096"/>
      <c r="AV622" s="1096"/>
      <c r="AW622" s="1096"/>
      <c r="AX622" s="1096"/>
      <c r="AY622" s="1096"/>
    </row>
    <row r="623" spans="1:51" x14ac:dyDescent="0.45">
      <c r="A623" s="1096">
        <v>1990</v>
      </c>
      <c r="B623" s="1096" t="s">
        <v>1383</v>
      </c>
      <c r="C623" s="1113">
        <f>[7]LRAll!C614</f>
        <v>129.9</v>
      </c>
      <c r="D623" s="1113">
        <f>[7]LRAll!I614</f>
        <v>120.5</v>
      </c>
      <c r="E623" s="1096"/>
      <c r="F623" s="1114">
        <f t="shared" si="18"/>
        <v>92.76366435719784</v>
      </c>
      <c r="G623" s="1112">
        <f t="shared" si="14"/>
        <v>85.912240184757493</v>
      </c>
      <c r="H623" s="1112">
        <f t="shared" si="15"/>
        <v>108.16012317167052</v>
      </c>
      <c r="I623" s="1112">
        <f t="shared" si="16"/>
        <v>87.759815242494227</v>
      </c>
      <c r="J623" s="1112">
        <f t="shared" si="17"/>
        <v>97.151655119322555</v>
      </c>
      <c r="K623" s="1096"/>
      <c r="L623" s="1096"/>
      <c r="M623" s="1096"/>
      <c r="N623" s="1096"/>
      <c r="O623" s="1096"/>
      <c r="P623" s="1114">
        <v>120.5</v>
      </c>
      <c r="Q623" s="1096" t="s">
        <v>1478</v>
      </c>
      <c r="R623" s="1114">
        <v>111.6</v>
      </c>
      <c r="S623" s="1096" t="s">
        <v>1478</v>
      </c>
      <c r="T623" s="1114">
        <v>140.5</v>
      </c>
      <c r="U623" s="1096" t="s">
        <v>1478</v>
      </c>
      <c r="V623" s="1114">
        <v>114</v>
      </c>
      <c r="W623" s="1096" t="s">
        <v>1478</v>
      </c>
      <c r="X623" s="1114">
        <v>126.2</v>
      </c>
      <c r="Y623" s="1096" t="s">
        <v>1478</v>
      </c>
      <c r="Z623" s="1114">
        <v>129.9</v>
      </c>
      <c r="AA623" s="1096"/>
      <c r="AB623" s="1096"/>
      <c r="AC623" s="1096"/>
      <c r="AD623" s="1096"/>
      <c r="AE623" s="1096"/>
      <c r="AF623" s="1096"/>
      <c r="AG623" s="1096"/>
      <c r="AH623" s="1096"/>
      <c r="AI623" s="1096"/>
      <c r="AJ623" s="1096"/>
      <c r="AK623" s="1096"/>
      <c r="AL623" s="1096"/>
      <c r="AM623" s="1096"/>
      <c r="AN623" s="1096"/>
      <c r="AO623" s="1096"/>
      <c r="AP623" s="1096"/>
      <c r="AQ623" s="1096"/>
      <c r="AR623" s="1096"/>
      <c r="AS623" s="1096"/>
      <c r="AT623" s="1096"/>
      <c r="AU623" s="1096"/>
      <c r="AV623" s="1096"/>
      <c r="AW623" s="1096"/>
      <c r="AX623" s="1096"/>
      <c r="AY623" s="1096"/>
    </row>
    <row r="624" spans="1:51" x14ac:dyDescent="0.45">
      <c r="A624" s="1096">
        <v>1991</v>
      </c>
      <c r="B624" s="1096" t="s">
        <v>1385</v>
      </c>
      <c r="C624" s="1113">
        <f>[7]LRAll!C615</f>
        <v>130.19999999999999</v>
      </c>
      <c r="D624" s="1113">
        <f>[7]LRAll!I615</f>
        <v>121.6</v>
      </c>
      <c r="E624" s="1096"/>
      <c r="F624" s="1114">
        <f t="shared" si="18"/>
        <v>93.394777265745006</v>
      </c>
      <c r="G624" s="1112">
        <f t="shared" si="14"/>
        <v>86.405529953917053</v>
      </c>
      <c r="H624" s="1112">
        <f t="shared" si="15"/>
        <v>114.28571428571431</v>
      </c>
      <c r="I624" s="1112">
        <f t="shared" si="16"/>
        <v>88.556067588325661</v>
      </c>
      <c r="J624" s="1112">
        <f t="shared" si="17"/>
        <v>96.927803379416289</v>
      </c>
      <c r="K624" s="1096"/>
      <c r="L624" s="1096"/>
      <c r="M624" s="1096"/>
      <c r="N624" s="1096"/>
      <c r="O624" s="1096"/>
      <c r="P624" s="1114">
        <v>121.6</v>
      </c>
      <c r="Q624" s="1096" t="s">
        <v>1479</v>
      </c>
      <c r="R624" s="1114">
        <v>112.5</v>
      </c>
      <c r="S624" s="1096" t="s">
        <v>1479</v>
      </c>
      <c r="T624" s="1114">
        <v>148.80000000000001</v>
      </c>
      <c r="U624" s="1096" t="s">
        <v>1479</v>
      </c>
      <c r="V624" s="1114">
        <v>115.3</v>
      </c>
      <c r="W624" s="1096" t="s">
        <v>1479</v>
      </c>
      <c r="X624" s="1114">
        <v>126.2</v>
      </c>
      <c r="Y624" s="1096" t="s">
        <v>1479</v>
      </c>
      <c r="Z624" s="1114">
        <v>130.19999999999999</v>
      </c>
      <c r="AA624" s="1096"/>
      <c r="AB624" s="1096"/>
      <c r="AC624" s="1096"/>
      <c r="AD624" s="1096"/>
      <c r="AE624" s="1096"/>
      <c r="AF624" s="1096"/>
      <c r="AG624" s="1096"/>
      <c r="AH624" s="1096"/>
      <c r="AI624" s="1096"/>
      <c r="AJ624" s="1096"/>
      <c r="AK624" s="1096"/>
      <c r="AL624" s="1096"/>
      <c r="AM624" s="1096"/>
      <c r="AN624" s="1096"/>
      <c r="AO624" s="1096"/>
      <c r="AP624" s="1096"/>
      <c r="AQ624" s="1096"/>
      <c r="AR624" s="1096"/>
      <c r="AS624" s="1096"/>
      <c r="AT624" s="1096"/>
      <c r="AU624" s="1096"/>
      <c r="AV624" s="1096"/>
      <c r="AW624" s="1096"/>
      <c r="AX624" s="1096"/>
      <c r="AY624" s="1096"/>
    </row>
    <row r="625" spans="1:51" x14ac:dyDescent="0.45">
      <c r="A625" s="1096">
        <v>1991</v>
      </c>
      <c r="B625" s="1096" t="s">
        <v>1387</v>
      </c>
      <c r="C625" s="1113">
        <f>[7]LRAll!C616</f>
        <v>130.9</v>
      </c>
      <c r="D625" s="1113">
        <f>[7]LRAll!I616</f>
        <v>121.6</v>
      </c>
      <c r="E625" s="1096"/>
      <c r="F625" s="1114">
        <f t="shared" si="18"/>
        <v>92.895339954163475</v>
      </c>
      <c r="G625" s="1112">
        <f t="shared" si="14"/>
        <v>86.01986249045072</v>
      </c>
      <c r="H625" s="1112">
        <f t="shared" si="15"/>
        <v>110.92436974789915</v>
      </c>
      <c r="I625" s="1112">
        <f t="shared" si="16"/>
        <v>88.464476699770813</v>
      </c>
      <c r="J625" s="1112">
        <f t="shared" si="17"/>
        <v>96.409472880061102</v>
      </c>
      <c r="K625" s="1096"/>
      <c r="L625" s="1096"/>
      <c r="M625" s="1096"/>
      <c r="N625" s="1096"/>
      <c r="O625" s="1096"/>
      <c r="P625" s="1114">
        <v>121.6</v>
      </c>
      <c r="Q625" s="1096" t="s">
        <v>1480</v>
      </c>
      <c r="R625" s="1114">
        <v>112.6</v>
      </c>
      <c r="S625" s="1096" t="s">
        <v>1480</v>
      </c>
      <c r="T625" s="1114">
        <v>145.19999999999999</v>
      </c>
      <c r="U625" s="1096" t="s">
        <v>1480</v>
      </c>
      <c r="V625" s="1114">
        <v>115.8</v>
      </c>
      <c r="W625" s="1096" t="s">
        <v>1480</v>
      </c>
      <c r="X625" s="1114">
        <v>126.2</v>
      </c>
      <c r="Y625" s="1096" t="s">
        <v>1480</v>
      </c>
      <c r="Z625" s="1114">
        <v>130.9</v>
      </c>
      <c r="AA625" s="1096"/>
      <c r="AB625" s="1096"/>
      <c r="AC625" s="1096"/>
      <c r="AD625" s="1096"/>
      <c r="AE625" s="1096"/>
      <c r="AF625" s="1096"/>
      <c r="AG625" s="1096"/>
      <c r="AH625" s="1096"/>
      <c r="AI625" s="1096"/>
      <c r="AJ625" s="1096"/>
      <c r="AK625" s="1096"/>
      <c r="AL625" s="1096"/>
      <c r="AM625" s="1096"/>
      <c r="AN625" s="1096"/>
      <c r="AO625" s="1096"/>
      <c r="AP625" s="1096"/>
      <c r="AQ625" s="1096"/>
      <c r="AR625" s="1096"/>
      <c r="AS625" s="1096"/>
      <c r="AT625" s="1096"/>
      <c r="AU625" s="1096"/>
      <c r="AV625" s="1096"/>
      <c r="AW625" s="1096"/>
      <c r="AX625" s="1096"/>
      <c r="AY625" s="1096"/>
    </row>
    <row r="626" spans="1:51" x14ac:dyDescent="0.45">
      <c r="A626" s="1096">
        <v>1991</v>
      </c>
      <c r="B626" s="1096" t="s">
        <v>1389</v>
      </c>
      <c r="C626" s="1113">
        <f>[7]LRAll!C617</f>
        <v>131.4</v>
      </c>
      <c r="D626" s="1113">
        <f>[7]LRAll!I617</f>
        <v>120.2</v>
      </c>
      <c r="E626" s="1096"/>
      <c r="F626" s="1114">
        <f t="shared" si="18"/>
        <v>91.476407914764081</v>
      </c>
      <c r="G626" s="1112">
        <f t="shared" si="14"/>
        <v>85.768645357686452</v>
      </c>
      <c r="H626" s="1112">
        <f t="shared" si="15"/>
        <v>90.563165905631664</v>
      </c>
      <c r="I626" s="1112">
        <f t="shared" si="16"/>
        <v>88.127853881278526</v>
      </c>
      <c r="J626" s="1112">
        <f t="shared" si="17"/>
        <v>96.042617960426185</v>
      </c>
      <c r="K626" s="1096"/>
      <c r="L626" s="1096"/>
      <c r="M626" s="1096"/>
      <c r="N626" s="1096"/>
      <c r="O626" s="1096"/>
      <c r="P626" s="1114">
        <v>120.2</v>
      </c>
      <c r="Q626" s="1096" t="s">
        <v>1481</v>
      </c>
      <c r="R626" s="1114">
        <v>112.7</v>
      </c>
      <c r="S626" s="1096" t="s">
        <v>1481</v>
      </c>
      <c r="T626" s="1114">
        <v>119</v>
      </c>
      <c r="U626" s="1096" t="s">
        <v>1481</v>
      </c>
      <c r="V626" s="1114">
        <v>115.8</v>
      </c>
      <c r="W626" s="1096" t="s">
        <v>1481</v>
      </c>
      <c r="X626" s="1114">
        <v>126.2</v>
      </c>
      <c r="Y626" s="1096" t="s">
        <v>1481</v>
      </c>
      <c r="Z626" s="1114">
        <v>131.4</v>
      </c>
      <c r="AA626" s="1096"/>
      <c r="AB626" s="1096"/>
      <c r="AC626" s="1096"/>
      <c r="AD626" s="1096"/>
      <c r="AE626" s="1096"/>
      <c r="AF626" s="1096"/>
      <c r="AG626" s="1096"/>
      <c r="AH626" s="1096"/>
      <c r="AI626" s="1096"/>
      <c r="AJ626" s="1096"/>
      <c r="AK626" s="1096"/>
      <c r="AL626" s="1096"/>
      <c r="AM626" s="1096"/>
      <c r="AN626" s="1096"/>
      <c r="AO626" s="1096"/>
      <c r="AP626" s="1096"/>
      <c r="AQ626" s="1096"/>
      <c r="AR626" s="1096"/>
      <c r="AS626" s="1096"/>
      <c r="AT626" s="1096"/>
      <c r="AU626" s="1096"/>
      <c r="AV626" s="1096"/>
      <c r="AW626" s="1096"/>
      <c r="AX626" s="1096"/>
      <c r="AY626" s="1096"/>
    </row>
    <row r="627" spans="1:51" x14ac:dyDescent="0.45">
      <c r="A627" s="1096">
        <v>1991</v>
      </c>
      <c r="B627" s="1096" t="s">
        <v>1391</v>
      </c>
      <c r="C627" s="1113">
        <f>[7]LRAll!C618</f>
        <v>133.1</v>
      </c>
      <c r="D627" s="1113">
        <f>[7]LRAll!I618</f>
        <v>121.3</v>
      </c>
      <c r="E627" s="1096"/>
      <c r="F627" s="1114">
        <f t="shared" si="18"/>
        <v>91.134485349361384</v>
      </c>
      <c r="G627" s="1112">
        <f t="shared" si="14"/>
        <v>84.823441021788142</v>
      </c>
      <c r="H627" s="1112">
        <f t="shared" si="15"/>
        <v>84.973703981968441</v>
      </c>
      <c r="I627" s="1112">
        <f t="shared" si="16"/>
        <v>87.528174305033815</v>
      </c>
      <c r="J627" s="1112">
        <f t="shared" si="17"/>
        <v>96.619083395942894</v>
      </c>
      <c r="K627" s="1096"/>
      <c r="L627" s="1096"/>
      <c r="M627" s="1096"/>
      <c r="N627" s="1096"/>
      <c r="O627" s="1096"/>
      <c r="P627" s="1114">
        <v>121.3</v>
      </c>
      <c r="Q627" s="1096" t="s">
        <v>1482</v>
      </c>
      <c r="R627" s="1114">
        <v>112.9</v>
      </c>
      <c r="S627" s="1096" t="s">
        <v>1482</v>
      </c>
      <c r="T627" s="1114">
        <v>113.1</v>
      </c>
      <c r="U627" s="1096" t="s">
        <v>1482</v>
      </c>
      <c r="V627" s="1114">
        <v>116.5</v>
      </c>
      <c r="W627" s="1096" t="s">
        <v>1482</v>
      </c>
      <c r="X627" s="1114">
        <v>128.6</v>
      </c>
      <c r="Y627" s="1096" t="s">
        <v>1482</v>
      </c>
      <c r="Z627" s="1114">
        <v>133.1</v>
      </c>
      <c r="AA627" s="1096"/>
      <c r="AB627" s="1096"/>
      <c r="AC627" s="1096"/>
      <c r="AD627" s="1096"/>
      <c r="AE627" s="1096"/>
      <c r="AF627" s="1096"/>
      <c r="AG627" s="1096"/>
      <c r="AH627" s="1096"/>
      <c r="AI627" s="1096"/>
      <c r="AJ627" s="1096"/>
      <c r="AK627" s="1096"/>
      <c r="AL627" s="1096"/>
      <c r="AM627" s="1096"/>
      <c r="AN627" s="1096"/>
      <c r="AO627" s="1096"/>
      <c r="AP627" s="1096"/>
      <c r="AQ627" s="1096"/>
      <c r="AR627" s="1096"/>
      <c r="AS627" s="1096"/>
      <c r="AT627" s="1096"/>
      <c r="AU627" s="1096"/>
      <c r="AV627" s="1096"/>
      <c r="AW627" s="1096"/>
      <c r="AX627" s="1096"/>
      <c r="AY627" s="1096"/>
    </row>
    <row r="628" spans="1:51" x14ac:dyDescent="0.45">
      <c r="A628" s="1096">
        <v>1991</v>
      </c>
      <c r="B628" s="1096" t="s">
        <v>1393</v>
      </c>
      <c r="C628" s="1113">
        <f>[7]LRAll!C619</f>
        <v>133.5</v>
      </c>
      <c r="D628" s="1113">
        <f>[7]LRAll!I619</f>
        <v>123.5</v>
      </c>
      <c r="E628" s="1096"/>
      <c r="F628" s="1114">
        <f t="shared" si="18"/>
        <v>92.509363295880149</v>
      </c>
      <c r="G628" s="1112">
        <f t="shared" si="14"/>
        <v>80.449438202247194</v>
      </c>
      <c r="H628" s="1112">
        <f t="shared" si="15"/>
        <v>86.591760299625463</v>
      </c>
      <c r="I628" s="1112">
        <f t="shared" si="16"/>
        <v>88.089887640449433</v>
      </c>
      <c r="J628" s="1112">
        <f t="shared" si="17"/>
        <v>99.400749063670403</v>
      </c>
      <c r="K628" s="1096"/>
      <c r="L628" s="1096"/>
      <c r="M628" s="1096"/>
      <c r="N628" s="1096"/>
      <c r="O628" s="1096"/>
      <c r="P628" s="1114">
        <v>123.5</v>
      </c>
      <c r="Q628" s="1096" t="s">
        <v>1483</v>
      </c>
      <c r="R628" s="1114">
        <v>107.4</v>
      </c>
      <c r="S628" s="1096" t="s">
        <v>1483</v>
      </c>
      <c r="T628" s="1114">
        <v>115.6</v>
      </c>
      <c r="U628" s="1096" t="s">
        <v>1483</v>
      </c>
      <c r="V628" s="1114">
        <v>117.6</v>
      </c>
      <c r="W628" s="1096" t="s">
        <v>1483</v>
      </c>
      <c r="X628" s="1114">
        <v>132.69999999999999</v>
      </c>
      <c r="Y628" s="1096" t="s">
        <v>1483</v>
      </c>
      <c r="Z628" s="1114">
        <v>133.5</v>
      </c>
      <c r="AA628" s="1096"/>
      <c r="AB628" s="1096"/>
      <c r="AC628" s="1096"/>
      <c r="AD628" s="1096"/>
      <c r="AE628" s="1096"/>
      <c r="AF628" s="1096"/>
      <c r="AG628" s="1096"/>
      <c r="AH628" s="1096"/>
      <c r="AI628" s="1096"/>
      <c r="AJ628" s="1096"/>
      <c r="AK628" s="1096"/>
      <c r="AL628" s="1096"/>
      <c r="AM628" s="1096"/>
      <c r="AN628" s="1096"/>
      <c r="AO628" s="1096"/>
      <c r="AP628" s="1096"/>
      <c r="AQ628" s="1096"/>
      <c r="AR628" s="1096"/>
      <c r="AS628" s="1096"/>
      <c r="AT628" s="1096"/>
      <c r="AU628" s="1096"/>
      <c r="AV628" s="1096"/>
      <c r="AW628" s="1096"/>
      <c r="AX628" s="1096"/>
      <c r="AY628" s="1096"/>
    </row>
    <row r="629" spans="1:51" x14ac:dyDescent="0.45">
      <c r="A629" s="1096">
        <v>1991</v>
      </c>
      <c r="B629" s="1096" t="s">
        <v>1371</v>
      </c>
      <c r="C629" s="1113">
        <f>[7]LRAll!C620</f>
        <v>134.1</v>
      </c>
      <c r="D629" s="1113">
        <f>[7]LRAll!I620</f>
        <v>125.7</v>
      </c>
      <c r="E629" s="1096"/>
      <c r="F629" s="1114">
        <f t="shared" si="18"/>
        <v>93.736017897091727</v>
      </c>
      <c r="G629" s="1112">
        <f t="shared" si="14"/>
        <v>79.0454884414616</v>
      </c>
      <c r="H629" s="1112">
        <f t="shared" si="15"/>
        <v>85.085756897837442</v>
      </c>
      <c r="I629" s="1112">
        <f t="shared" si="16"/>
        <v>88.516032811334838</v>
      </c>
      <c r="J629" s="1112">
        <f t="shared" si="17"/>
        <v>102.01342281879195</v>
      </c>
      <c r="K629" s="1096"/>
      <c r="L629" s="1096"/>
      <c r="M629" s="1096"/>
      <c r="N629" s="1096"/>
      <c r="O629" s="1096"/>
      <c r="P629" s="1114">
        <v>125.7</v>
      </c>
      <c r="Q629" s="1096" t="s">
        <v>1484</v>
      </c>
      <c r="R629" s="1114">
        <v>106</v>
      </c>
      <c r="S629" s="1096" t="s">
        <v>1484</v>
      </c>
      <c r="T629" s="1114">
        <v>114.1</v>
      </c>
      <c r="U629" s="1096" t="s">
        <v>1484</v>
      </c>
      <c r="V629" s="1114">
        <v>118.7</v>
      </c>
      <c r="W629" s="1096" t="s">
        <v>1484</v>
      </c>
      <c r="X629" s="1114">
        <v>136.80000000000001</v>
      </c>
      <c r="Y629" s="1096" t="s">
        <v>1484</v>
      </c>
      <c r="Z629" s="1114">
        <v>134.1</v>
      </c>
      <c r="AA629" s="1096"/>
      <c r="AB629" s="1096"/>
      <c r="AC629" s="1096"/>
      <c r="AD629" s="1096"/>
      <c r="AE629" s="1096"/>
      <c r="AF629" s="1096"/>
      <c r="AG629" s="1096"/>
      <c r="AH629" s="1096"/>
      <c r="AI629" s="1096"/>
      <c r="AJ629" s="1096"/>
      <c r="AK629" s="1096"/>
      <c r="AL629" s="1096"/>
      <c r="AM629" s="1096"/>
      <c r="AN629" s="1096"/>
      <c r="AO629" s="1096"/>
      <c r="AP629" s="1096"/>
      <c r="AQ629" s="1096"/>
      <c r="AR629" s="1096"/>
      <c r="AS629" s="1096"/>
      <c r="AT629" s="1096"/>
      <c r="AU629" s="1096"/>
      <c r="AV629" s="1096"/>
      <c r="AW629" s="1096"/>
      <c r="AX629" s="1096"/>
      <c r="AY629" s="1096"/>
    </row>
    <row r="630" spans="1:51" x14ac:dyDescent="0.45">
      <c r="A630" s="1096">
        <v>1991</v>
      </c>
      <c r="B630" s="1096" t="s">
        <v>1373</v>
      </c>
      <c r="C630" s="1113">
        <f>[7]LRAll!C621</f>
        <v>133.80000000000001</v>
      </c>
      <c r="D630" s="1113">
        <f>[7]LRAll!I621</f>
        <v>127.2</v>
      </c>
      <c r="E630" s="1096"/>
      <c r="F630" s="1114">
        <f t="shared" si="18"/>
        <v>95.067264573991025</v>
      </c>
      <c r="G630" s="1112">
        <f t="shared" si="14"/>
        <v>78.923766816143484</v>
      </c>
      <c r="H630" s="1112">
        <f t="shared" si="15"/>
        <v>83.333333333333329</v>
      </c>
      <c r="I630" s="1112">
        <f t="shared" si="16"/>
        <v>89.312406576980564</v>
      </c>
      <c r="J630" s="1112">
        <f t="shared" si="17"/>
        <v>104.33482810164423</v>
      </c>
      <c r="K630" s="1096"/>
      <c r="L630" s="1096"/>
      <c r="M630" s="1096"/>
      <c r="N630" s="1096"/>
      <c r="O630" s="1096"/>
      <c r="P630" s="1114">
        <v>127.2</v>
      </c>
      <c r="Q630" s="1096" t="s">
        <v>1485</v>
      </c>
      <c r="R630" s="1114">
        <v>105.6</v>
      </c>
      <c r="S630" s="1096" t="s">
        <v>1485</v>
      </c>
      <c r="T630" s="1114">
        <v>111.5</v>
      </c>
      <c r="U630" s="1096" t="s">
        <v>1485</v>
      </c>
      <c r="V630" s="1114">
        <v>119.5</v>
      </c>
      <c r="W630" s="1096" t="s">
        <v>1485</v>
      </c>
      <c r="X630" s="1114">
        <v>139.6</v>
      </c>
      <c r="Y630" s="1096" t="s">
        <v>1485</v>
      </c>
      <c r="Z630" s="1114">
        <v>133.80000000000001</v>
      </c>
      <c r="AA630" s="1096"/>
      <c r="AB630" s="1096"/>
      <c r="AC630" s="1096"/>
      <c r="AD630" s="1096"/>
      <c r="AE630" s="1096"/>
      <c r="AF630" s="1096"/>
      <c r="AG630" s="1096"/>
      <c r="AH630" s="1096"/>
      <c r="AI630" s="1096"/>
      <c r="AJ630" s="1096"/>
      <c r="AK630" s="1096"/>
      <c r="AL630" s="1096"/>
      <c r="AM630" s="1096"/>
      <c r="AN630" s="1096"/>
      <c r="AO630" s="1096"/>
      <c r="AP630" s="1096"/>
      <c r="AQ630" s="1096"/>
      <c r="AR630" s="1096"/>
      <c r="AS630" s="1096"/>
      <c r="AT630" s="1096"/>
      <c r="AU630" s="1096"/>
      <c r="AV630" s="1096"/>
      <c r="AW630" s="1096"/>
      <c r="AX630" s="1096"/>
      <c r="AY630" s="1096"/>
    </row>
    <row r="631" spans="1:51" x14ac:dyDescent="0.45">
      <c r="A631" s="1096">
        <v>1991</v>
      </c>
      <c r="B631" s="1096" t="s">
        <v>1375</v>
      </c>
      <c r="C631" s="1113">
        <f>[7]LRAll!C622</f>
        <v>134.1</v>
      </c>
      <c r="D631" s="1113">
        <f>[7]LRAll!I622</f>
        <v>127.6</v>
      </c>
      <c r="E631" s="1096"/>
      <c r="F631" s="1114">
        <f t="shared" si="18"/>
        <v>95.152870991797172</v>
      </c>
      <c r="G631" s="1112">
        <f t="shared" si="14"/>
        <v>82.774049217002243</v>
      </c>
      <c r="H631" s="1112">
        <f t="shared" si="15"/>
        <v>83.892617449664428</v>
      </c>
      <c r="I631" s="1112">
        <f t="shared" si="16"/>
        <v>89.112602535421331</v>
      </c>
      <c r="J631" s="1112">
        <f t="shared" si="17"/>
        <v>104.1014168530947</v>
      </c>
      <c r="K631" s="1096"/>
      <c r="L631" s="1096"/>
      <c r="M631" s="1096"/>
      <c r="N631" s="1096"/>
      <c r="O631" s="1096"/>
      <c r="P631" s="1114">
        <v>127.6</v>
      </c>
      <c r="Q631" s="1096" t="s">
        <v>1486</v>
      </c>
      <c r="R631" s="1114">
        <v>111</v>
      </c>
      <c r="S631" s="1096" t="s">
        <v>1486</v>
      </c>
      <c r="T631" s="1114">
        <v>112.5</v>
      </c>
      <c r="U631" s="1096" t="s">
        <v>1486</v>
      </c>
      <c r="V631" s="1114">
        <v>119.5</v>
      </c>
      <c r="W631" s="1096" t="s">
        <v>1486</v>
      </c>
      <c r="X631" s="1114">
        <v>139.6</v>
      </c>
      <c r="Y631" s="1096" t="s">
        <v>1486</v>
      </c>
      <c r="Z631" s="1114">
        <v>134.1</v>
      </c>
      <c r="AA631" s="1096"/>
      <c r="AB631" s="1096"/>
      <c r="AC631" s="1096"/>
      <c r="AD631" s="1096"/>
      <c r="AE631" s="1096"/>
      <c r="AF631" s="1096"/>
      <c r="AG631" s="1096"/>
      <c r="AH631" s="1096"/>
      <c r="AI631" s="1096"/>
      <c r="AJ631" s="1096"/>
      <c r="AK631" s="1096"/>
      <c r="AL631" s="1096"/>
      <c r="AM631" s="1096"/>
      <c r="AN631" s="1096"/>
      <c r="AO631" s="1096"/>
      <c r="AP631" s="1096"/>
      <c r="AQ631" s="1096"/>
      <c r="AR631" s="1096"/>
      <c r="AS631" s="1096"/>
      <c r="AT631" s="1096"/>
      <c r="AU631" s="1096"/>
      <c r="AV631" s="1096"/>
      <c r="AW631" s="1096"/>
      <c r="AX631" s="1096"/>
      <c r="AY631" s="1096"/>
    </row>
    <row r="632" spans="1:51" x14ac:dyDescent="0.45">
      <c r="A632" s="1096">
        <v>1991</v>
      </c>
      <c r="B632" s="1096" t="s">
        <v>1377</v>
      </c>
      <c r="C632" s="1113">
        <f>[7]LRAll!C623</f>
        <v>134.6</v>
      </c>
      <c r="D632" s="1113">
        <f>[7]LRAll!I623</f>
        <v>128</v>
      </c>
      <c r="E632" s="1096"/>
      <c r="F632" s="1114">
        <f t="shared" si="18"/>
        <v>95.096582466567611</v>
      </c>
      <c r="G632" s="1112">
        <f t="shared" si="14"/>
        <v>84.39821693907875</v>
      </c>
      <c r="H632" s="1112">
        <f t="shared" si="15"/>
        <v>86.627043090638935</v>
      </c>
      <c r="I632" s="1112">
        <f t="shared" si="16"/>
        <v>88.781575037147107</v>
      </c>
      <c r="J632" s="1112">
        <f t="shared" si="17"/>
        <v>103.71471025260031</v>
      </c>
      <c r="K632" s="1096"/>
      <c r="L632" s="1096"/>
      <c r="M632" s="1096"/>
      <c r="N632" s="1096"/>
      <c r="O632" s="1096"/>
      <c r="P632" s="1114">
        <v>128</v>
      </c>
      <c r="Q632" s="1096" t="s">
        <v>1487</v>
      </c>
      <c r="R632" s="1114">
        <v>113.6</v>
      </c>
      <c r="S632" s="1096" t="s">
        <v>1487</v>
      </c>
      <c r="T632" s="1114">
        <v>116.6</v>
      </c>
      <c r="U632" s="1096" t="s">
        <v>1487</v>
      </c>
      <c r="V632" s="1114">
        <v>119.5</v>
      </c>
      <c r="W632" s="1096" t="s">
        <v>1487</v>
      </c>
      <c r="X632" s="1114">
        <v>139.6</v>
      </c>
      <c r="Y632" s="1096" t="s">
        <v>1487</v>
      </c>
      <c r="Z632" s="1114">
        <v>134.6</v>
      </c>
      <c r="AA632" s="1096"/>
      <c r="AB632" s="1096"/>
      <c r="AC632" s="1096"/>
      <c r="AD632" s="1096"/>
      <c r="AE632" s="1096"/>
      <c r="AF632" s="1096"/>
      <c r="AG632" s="1096"/>
      <c r="AH632" s="1096"/>
      <c r="AI632" s="1096"/>
      <c r="AJ632" s="1096"/>
      <c r="AK632" s="1096"/>
      <c r="AL632" s="1096"/>
      <c r="AM632" s="1096"/>
      <c r="AN632" s="1096"/>
      <c r="AO632" s="1096"/>
      <c r="AP632" s="1096"/>
      <c r="AQ632" s="1096"/>
      <c r="AR632" s="1096"/>
      <c r="AS632" s="1096"/>
      <c r="AT632" s="1096"/>
      <c r="AU632" s="1096"/>
      <c r="AV632" s="1096"/>
      <c r="AW632" s="1096"/>
      <c r="AX632" s="1096"/>
      <c r="AY632" s="1096"/>
    </row>
    <row r="633" spans="1:51" x14ac:dyDescent="0.45">
      <c r="A633" s="1096">
        <v>1991</v>
      </c>
      <c r="B633" s="1096" t="s">
        <v>1379</v>
      </c>
      <c r="C633" s="1113">
        <f>[7]LRAll!C624</f>
        <v>135.1</v>
      </c>
      <c r="D633" s="1113">
        <f>[7]LRAll!I624</f>
        <v>128</v>
      </c>
      <c r="E633" s="1096"/>
      <c r="F633" s="1114">
        <f t="shared" si="18"/>
        <v>94.744633604737231</v>
      </c>
      <c r="G633" s="1112">
        <f t="shared" si="14"/>
        <v>84.4559585492228</v>
      </c>
      <c r="H633" s="1112">
        <f t="shared" si="15"/>
        <v>85.41820873427092</v>
      </c>
      <c r="I633" s="1112">
        <f t="shared" si="16"/>
        <v>88.452997779422645</v>
      </c>
      <c r="J633" s="1112">
        <f t="shared" si="17"/>
        <v>103.33086602516654</v>
      </c>
      <c r="K633" s="1096"/>
      <c r="L633" s="1096"/>
      <c r="M633" s="1096"/>
      <c r="N633" s="1096"/>
      <c r="O633" s="1096"/>
      <c r="P633" s="1114">
        <v>128</v>
      </c>
      <c r="Q633" s="1096" t="s">
        <v>1488</v>
      </c>
      <c r="R633" s="1114">
        <v>114.1</v>
      </c>
      <c r="S633" s="1096" t="s">
        <v>1488</v>
      </c>
      <c r="T633" s="1114">
        <v>115.4</v>
      </c>
      <c r="U633" s="1096" t="s">
        <v>1488</v>
      </c>
      <c r="V633" s="1114">
        <v>119.5</v>
      </c>
      <c r="W633" s="1096" t="s">
        <v>1488</v>
      </c>
      <c r="X633" s="1114">
        <v>139.6</v>
      </c>
      <c r="Y633" s="1096" t="s">
        <v>1488</v>
      </c>
      <c r="Z633" s="1114">
        <v>135.1</v>
      </c>
      <c r="AA633" s="1096"/>
      <c r="AB633" s="1096"/>
      <c r="AC633" s="1096"/>
      <c r="AD633" s="1096"/>
      <c r="AE633" s="1096"/>
      <c r="AF633" s="1096"/>
      <c r="AG633" s="1096"/>
      <c r="AH633" s="1096"/>
      <c r="AI633" s="1096"/>
      <c r="AJ633" s="1096"/>
      <c r="AK633" s="1096"/>
      <c r="AL633" s="1096"/>
      <c r="AM633" s="1096"/>
      <c r="AN633" s="1096"/>
      <c r="AO633" s="1096"/>
      <c r="AP633" s="1096"/>
      <c r="AQ633" s="1096"/>
      <c r="AR633" s="1096"/>
      <c r="AS633" s="1096"/>
      <c r="AT633" s="1096"/>
      <c r="AU633" s="1096"/>
      <c r="AV633" s="1096"/>
      <c r="AW633" s="1096"/>
      <c r="AX633" s="1096"/>
      <c r="AY633" s="1096"/>
    </row>
    <row r="634" spans="1:51" x14ac:dyDescent="0.45">
      <c r="A634" s="1096">
        <v>1991</v>
      </c>
      <c r="B634" s="1096" t="s">
        <v>1381</v>
      </c>
      <c r="C634" s="1113">
        <f>[7]LRAll!C625</f>
        <v>135.6</v>
      </c>
      <c r="D634" s="1113">
        <f>[7]LRAll!I625</f>
        <v>128.30000000000001</v>
      </c>
      <c r="E634" s="1096"/>
      <c r="F634" s="1114">
        <f t="shared" si="18"/>
        <v>94.616519174041315</v>
      </c>
      <c r="G634" s="1112">
        <f t="shared" si="14"/>
        <v>86.135693215339231</v>
      </c>
      <c r="H634" s="1112">
        <f t="shared" si="15"/>
        <v>86.799410029498532</v>
      </c>
      <c r="I634" s="1112">
        <f t="shared" si="16"/>
        <v>88.126843657817105</v>
      </c>
      <c r="J634" s="1112">
        <f t="shared" si="17"/>
        <v>102.94985250737463</v>
      </c>
      <c r="K634" s="1096"/>
      <c r="L634" s="1096"/>
      <c r="M634" s="1096"/>
      <c r="N634" s="1096"/>
      <c r="O634" s="1096"/>
      <c r="P634" s="1114">
        <v>128.30000000000001</v>
      </c>
      <c r="Q634" s="1096" t="s">
        <v>1489</v>
      </c>
      <c r="R634" s="1114">
        <v>116.8</v>
      </c>
      <c r="S634" s="1096" t="s">
        <v>1489</v>
      </c>
      <c r="T634" s="1114">
        <v>117.7</v>
      </c>
      <c r="U634" s="1096" t="s">
        <v>1489</v>
      </c>
      <c r="V634" s="1114">
        <v>119.5</v>
      </c>
      <c r="W634" s="1096" t="s">
        <v>1489</v>
      </c>
      <c r="X634" s="1114">
        <v>139.6</v>
      </c>
      <c r="Y634" s="1096" t="s">
        <v>1489</v>
      </c>
      <c r="Z634" s="1114">
        <v>135.6</v>
      </c>
      <c r="AA634" s="1096"/>
      <c r="AB634" s="1096"/>
      <c r="AC634" s="1096"/>
      <c r="AD634" s="1096"/>
      <c r="AE634" s="1096"/>
      <c r="AF634" s="1096"/>
      <c r="AG634" s="1096"/>
      <c r="AH634" s="1096"/>
      <c r="AI634" s="1096"/>
      <c r="AJ634" s="1096"/>
      <c r="AK634" s="1096"/>
      <c r="AL634" s="1096"/>
      <c r="AM634" s="1096"/>
      <c r="AN634" s="1096"/>
      <c r="AO634" s="1096"/>
      <c r="AP634" s="1096"/>
      <c r="AQ634" s="1096"/>
      <c r="AR634" s="1096"/>
      <c r="AS634" s="1096"/>
      <c r="AT634" s="1096"/>
      <c r="AU634" s="1096"/>
      <c r="AV634" s="1096"/>
      <c r="AW634" s="1096"/>
      <c r="AX634" s="1096"/>
      <c r="AY634" s="1096"/>
    </row>
    <row r="635" spans="1:51" x14ac:dyDescent="0.45">
      <c r="A635" s="1096">
        <v>1991</v>
      </c>
      <c r="B635" s="1096" t="s">
        <v>1383</v>
      </c>
      <c r="C635" s="1113">
        <f>[7]LRAll!C626</f>
        <v>135.69999999999999</v>
      </c>
      <c r="D635" s="1113">
        <f>[7]LRAll!I626</f>
        <v>128</v>
      </c>
      <c r="E635" s="1096"/>
      <c r="F635" s="1114">
        <f t="shared" si="18"/>
        <v>94.325718496683876</v>
      </c>
      <c r="G635" s="1112">
        <f t="shared" si="14"/>
        <v>86.440677966101703</v>
      </c>
      <c r="H635" s="1112">
        <f t="shared" si="15"/>
        <v>81.50331613854091</v>
      </c>
      <c r="I635" s="1112">
        <f t="shared" si="16"/>
        <v>88.061901252763448</v>
      </c>
      <c r="J635" s="1112">
        <f t="shared" si="17"/>
        <v>102.87398673544584</v>
      </c>
      <c r="K635" s="1096"/>
      <c r="L635" s="1096"/>
      <c r="M635" s="1096"/>
      <c r="N635" s="1096"/>
      <c r="O635" s="1096"/>
      <c r="P635" s="1114">
        <v>128</v>
      </c>
      <c r="Q635" s="1096" t="s">
        <v>1490</v>
      </c>
      <c r="R635" s="1114">
        <v>117.3</v>
      </c>
      <c r="S635" s="1096" t="s">
        <v>1490</v>
      </c>
      <c r="T635" s="1114">
        <v>110.6</v>
      </c>
      <c r="U635" s="1096" t="s">
        <v>1490</v>
      </c>
      <c r="V635" s="1114">
        <v>119.5</v>
      </c>
      <c r="W635" s="1096" t="s">
        <v>1490</v>
      </c>
      <c r="X635" s="1114">
        <v>139.6</v>
      </c>
      <c r="Y635" s="1096" t="s">
        <v>1490</v>
      </c>
      <c r="Z635" s="1114">
        <v>135.69999999999999</v>
      </c>
      <c r="AA635" s="1096"/>
      <c r="AB635" s="1096"/>
      <c r="AC635" s="1096"/>
      <c r="AD635" s="1096"/>
      <c r="AE635" s="1096"/>
      <c r="AF635" s="1096"/>
      <c r="AG635" s="1096"/>
      <c r="AH635" s="1096"/>
      <c r="AI635" s="1096"/>
      <c r="AJ635" s="1096"/>
      <c r="AK635" s="1096"/>
      <c r="AL635" s="1096"/>
      <c r="AM635" s="1096"/>
      <c r="AN635" s="1096"/>
      <c r="AO635" s="1096"/>
      <c r="AP635" s="1096"/>
      <c r="AQ635" s="1096"/>
      <c r="AR635" s="1096"/>
      <c r="AS635" s="1096"/>
      <c r="AT635" s="1096"/>
      <c r="AU635" s="1096"/>
      <c r="AV635" s="1096"/>
      <c r="AW635" s="1096"/>
      <c r="AX635" s="1096"/>
      <c r="AY635" s="1096"/>
    </row>
    <row r="636" spans="1:51" x14ac:dyDescent="0.45">
      <c r="A636" s="1096">
        <v>1992</v>
      </c>
      <c r="B636" s="1096" t="s">
        <v>1385</v>
      </c>
      <c r="C636" s="1113">
        <f>[7]LRAll!C627</f>
        <v>135.6</v>
      </c>
      <c r="D636" s="1113">
        <f>[7]LRAll!I627</f>
        <v>127.7</v>
      </c>
      <c r="E636" s="1096"/>
      <c r="F636" s="1114">
        <f t="shared" si="18"/>
        <v>94.174041297935105</v>
      </c>
      <c r="G636" s="1112">
        <f t="shared" si="14"/>
        <v>86.65191740412979</v>
      </c>
      <c r="H636" s="1112">
        <f t="shared" si="15"/>
        <v>77.064896755162252</v>
      </c>
      <c r="I636" s="1112">
        <f t="shared" si="16"/>
        <v>88.126843657817105</v>
      </c>
      <c r="J636" s="1112">
        <f t="shared" si="17"/>
        <v>102.94985250737463</v>
      </c>
      <c r="K636" s="1096"/>
      <c r="L636" s="1096"/>
      <c r="M636" s="1096"/>
      <c r="N636" s="1096"/>
      <c r="O636" s="1096"/>
      <c r="P636" s="1114">
        <v>127.7</v>
      </c>
      <c r="Q636" s="1096" t="s">
        <v>1491</v>
      </c>
      <c r="R636" s="1114">
        <v>117.5</v>
      </c>
      <c r="S636" s="1096" t="s">
        <v>1491</v>
      </c>
      <c r="T636" s="1114">
        <v>104.5</v>
      </c>
      <c r="U636" s="1096" t="s">
        <v>1491</v>
      </c>
      <c r="V636" s="1114">
        <v>119.5</v>
      </c>
      <c r="W636" s="1096" t="s">
        <v>1491</v>
      </c>
      <c r="X636" s="1114">
        <v>139.6</v>
      </c>
      <c r="Y636" s="1096" t="s">
        <v>1491</v>
      </c>
      <c r="Z636" s="1114">
        <v>135.6</v>
      </c>
      <c r="AA636" s="1096"/>
      <c r="AB636" s="1096"/>
      <c r="AC636" s="1096"/>
      <c r="AD636" s="1096"/>
      <c r="AE636" s="1096"/>
      <c r="AF636" s="1096"/>
      <c r="AG636" s="1096"/>
      <c r="AH636" s="1096"/>
      <c r="AI636" s="1096"/>
      <c r="AJ636" s="1096"/>
      <c r="AK636" s="1096"/>
      <c r="AL636" s="1096"/>
      <c r="AM636" s="1096"/>
      <c r="AN636" s="1096"/>
      <c r="AO636" s="1096"/>
      <c r="AP636" s="1096"/>
      <c r="AQ636" s="1096"/>
      <c r="AR636" s="1096"/>
      <c r="AS636" s="1096"/>
      <c r="AT636" s="1096"/>
      <c r="AU636" s="1096"/>
      <c r="AV636" s="1096"/>
      <c r="AW636" s="1096"/>
      <c r="AX636" s="1096"/>
      <c r="AY636" s="1096"/>
    </row>
    <row r="637" spans="1:51" x14ac:dyDescent="0.45">
      <c r="A637" s="1096">
        <v>1992</v>
      </c>
      <c r="B637" s="1096" t="s">
        <v>1387</v>
      </c>
      <c r="C637" s="1113">
        <f>[7]LRAll!C628</f>
        <v>136.30000000000001</v>
      </c>
      <c r="D637" s="1113">
        <f>[7]LRAll!I628</f>
        <v>127.8</v>
      </c>
      <c r="E637" s="1096"/>
      <c r="F637" s="1114">
        <f t="shared" si="18"/>
        <v>93.763756419662499</v>
      </c>
      <c r="G637" s="1112">
        <f t="shared" si="14"/>
        <v>86.28026412325751</v>
      </c>
      <c r="H637" s="1112">
        <f t="shared" si="15"/>
        <v>78.283198826118849</v>
      </c>
      <c r="I637" s="1112">
        <f t="shared" si="16"/>
        <v>87.674247982391776</v>
      </c>
      <c r="J637" s="1112">
        <f t="shared" si="17"/>
        <v>102.42112986060161</v>
      </c>
      <c r="K637" s="1096"/>
      <c r="L637" s="1096"/>
      <c r="M637" s="1096"/>
      <c r="N637" s="1096"/>
      <c r="O637" s="1096"/>
      <c r="P637" s="1114">
        <v>127.8</v>
      </c>
      <c r="Q637" s="1096" t="s">
        <v>1492</v>
      </c>
      <c r="R637" s="1114">
        <v>117.6</v>
      </c>
      <c r="S637" s="1096" t="s">
        <v>1492</v>
      </c>
      <c r="T637" s="1114">
        <v>106.7</v>
      </c>
      <c r="U637" s="1096" t="s">
        <v>1492</v>
      </c>
      <c r="V637" s="1114">
        <v>119.5</v>
      </c>
      <c r="W637" s="1096" t="s">
        <v>1492</v>
      </c>
      <c r="X637" s="1114">
        <v>139.6</v>
      </c>
      <c r="Y637" s="1096" t="s">
        <v>1492</v>
      </c>
      <c r="Z637" s="1114">
        <v>136.30000000000001</v>
      </c>
      <c r="AA637" s="1096"/>
      <c r="AB637" s="1096"/>
      <c r="AC637" s="1096"/>
      <c r="AD637" s="1096"/>
      <c r="AE637" s="1096"/>
      <c r="AF637" s="1096"/>
      <c r="AG637" s="1096"/>
      <c r="AH637" s="1096"/>
      <c r="AI637" s="1096"/>
      <c r="AJ637" s="1096"/>
      <c r="AK637" s="1096"/>
      <c r="AL637" s="1096"/>
      <c r="AM637" s="1096"/>
      <c r="AN637" s="1096"/>
      <c r="AO637" s="1096"/>
      <c r="AP637" s="1096"/>
      <c r="AQ637" s="1096"/>
      <c r="AR637" s="1096"/>
      <c r="AS637" s="1096"/>
      <c r="AT637" s="1096"/>
      <c r="AU637" s="1096"/>
      <c r="AV637" s="1096"/>
      <c r="AW637" s="1096"/>
      <c r="AX637" s="1096"/>
      <c r="AY637" s="1096"/>
    </row>
    <row r="638" spans="1:51" x14ac:dyDescent="0.45">
      <c r="A638" s="1096">
        <v>1992</v>
      </c>
      <c r="B638" s="1096" t="s">
        <v>1389</v>
      </c>
      <c r="C638" s="1113">
        <f>[7]LRAll!C629</f>
        <v>136.69999999999999</v>
      </c>
      <c r="D638" s="1113">
        <f>[7]LRAll!I629</f>
        <v>127.6</v>
      </c>
      <c r="E638" s="1096"/>
      <c r="F638" s="1114">
        <f t="shared" si="18"/>
        <v>93.343087051938554</v>
      </c>
      <c r="G638" s="1112">
        <f t="shared" si="14"/>
        <v>86.027798098024874</v>
      </c>
      <c r="H638" s="1112">
        <f t="shared" si="15"/>
        <v>75.713240673006581</v>
      </c>
      <c r="I638" s="1112">
        <f t="shared" si="16"/>
        <v>87.417702999268471</v>
      </c>
      <c r="J638" s="1112">
        <f t="shared" si="17"/>
        <v>102.12143379663496</v>
      </c>
      <c r="K638" s="1096"/>
      <c r="L638" s="1096"/>
      <c r="M638" s="1096"/>
      <c r="N638" s="1096"/>
      <c r="O638" s="1096"/>
      <c r="P638" s="1114">
        <v>127.6</v>
      </c>
      <c r="Q638" s="1096" t="s">
        <v>1493</v>
      </c>
      <c r="R638" s="1114">
        <v>117.6</v>
      </c>
      <c r="S638" s="1096" t="s">
        <v>1493</v>
      </c>
      <c r="T638" s="1114">
        <v>103.5</v>
      </c>
      <c r="U638" s="1096" t="s">
        <v>1493</v>
      </c>
      <c r="V638" s="1114">
        <v>119.5</v>
      </c>
      <c r="W638" s="1096" t="s">
        <v>1493</v>
      </c>
      <c r="X638" s="1114">
        <v>139.6</v>
      </c>
      <c r="Y638" s="1096" t="s">
        <v>1493</v>
      </c>
      <c r="Z638" s="1114">
        <v>136.69999999999999</v>
      </c>
      <c r="AA638" s="1096"/>
      <c r="AB638" s="1096"/>
      <c r="AC638" s="1096"/>
      <c r="AD638" s="1096"/>
      <c r="AE638" s="1096"/>
      <c r="AF638" s="1096"/>
      <c r="AG638" s="1096"/>
      <c r="AH638" s="1096"/>
      <c r="AI638" s="1096"/>
      <c r="AJ638" s="1096"/>
      <c r="AK638" s="1096"/>
      <c r="AL638" s="1096"/>
      <c r="AM638" s="1096"/>
      <c r="AN638" s="1096"/>
      <c r="AO638" s="1096"/>
      <c r="AP638" s="1096"/>
      <c r="AQ638" s="1096"/>
      <c r="AR638" s="1096"/>
      <c r="AS638" s="1096"/>
      <c r="AT638" s="1096"/>
      <c r="AU638" s="1096"/>
      <c r="AV638" s="1096"/>
      <c r="AW638" s="1096"/>
      <c r="AX638" s="1096"/>
      <c r="AY638" s="1096"/>
    </row>
    <row r="639" spans="1:51" x14ac:dyDescent="0.45">
      <c r="A639" s="1096">
        <v>1992</v>
      </c>
      <c r="B639" s="1096" t="s">
        <v>1391</v>
      </c>
      <c r="C639" s="1113">
        <f>[7]LRAll!C630</f>
        <v>138.80000000000001</v>
      </c>
      <c r="D639" s="1113">
        <f>[7]LRAll!I630</f>
        <v>127.8</v>
      </c>
      <c r="E639" s="1096"/>
      <c r="F639" s="1114">
        <f t="shared" si="18"/>
        <v>92.07492795389048</v>
      </c>
      <c r="G639" s="1112">
        <f t="shared" si="14"/>
        <v>84.726224783861653</v>
      </c>
      <c r="H639" s="1112">
        <f t="shared" si="15"/>
        <v>74.207492795389044</v>
      </c>
      <c r="I639" s="1112">
        <f t="shared" si="16"/>
        <v>86.095100864553302</v>
      </c>
      <c r="J639" s="1112">
        <f t="shared" si="17"/>
        <v>100.86455331412103</v>
      </c>
      <c r="K639" s="1096"/>
      <c r="L639" s="1096"/>
      <c r="M639" s="1096"/>
      <c r="N639" s="1096"/>
      <c r="O639" s="1096"/>
      <c r="P639" s="1114">
        <v>127.8</v>
      </c>
      <c r="Q639" s="1096" t="s">
        <v>1494</v>
      </c>
      <c r="R639" s="1114">
        <v>117.6</v>
      </c>
      <c r="S639" s="1096" t="s">
        <v>1494</v>
      </c>
      <c r="T639" s="1114">
        <v>103</v>
      </c>
      <c r="U639" s="1096" t="s">
        <v>1494</v>
      </c>
      <c r="V639" s="1114">
        <v>119.5</v>
      </c>
      <c r="W639" s="1096" t="s">
        <v>1494</v>
      </c>
      <c r="X639" s="1114">
        <v>140</v>
      </c>
      <c r="Y639" s="1096" t="s">
        <v>1494</v>
      </c>
      <c r="Z639" s="1114">
        <v>138.80000000000001</v>
      </c>
      <c r="AA639" s="1096"/>
      <c r="AB639" s="1096"/>
      <c r="AC639" s="1096"/>
      <c r="AD639" s="1096"/>
      <c r="AE639" s="1096"/>
      <c r="AF639" s="1096"/>
      <c r="AG639" s="1096"/>
      <c r="AH639" s="1096"/>
      <c r="AI639" s="1096"/>
      <c r="AJ639" s="1096"/>
      <c r="AK639" s="1096"/>
      <c r="AL639" s="1096"/>
      <c r="AM639" s="1096"/>
      <c r="AN639" s="1096"/>
      <c r="AO639" s="1096"/>
      <c r="AP639" s="1096"/>
      <c r="AQ639" s="1096"/>
      <c r="AR639" s="1096"/>
      <c r="AS639" s="1096"/>
      <c r="AT639" s="1096"/>
      <c r="AU639" s="1096"/>
      <c r="AV639" s="1096"/>
      <c r="AW639" s="1096"/>
      <c r="AX639" s="1096"/>
      <c r="AY639" s="1096"/>
    </row>
    <row r="640" spans="1:51" x14ac:dyDescent="0.45">
      <c r="A640" s="1096">
        <v>1992</v>
      </c>
      <c r="B640" s="1096" t="s">
        <v>1393</v>
      </c>
      <c r="C640" s="1113">
        <f>[7]LRAll!C631</f>
        <v>139.30000000000001</v>
      </c>
      <c r="D640" s="1113">
        <f>[7]LRAll!I631</f>
        <v>128.19999999999999</v>
      </c>
      <c r="E640" s="1096"/>
      <c r="F640" s="1114">
        <f t="shared" si="18"/>
        <v>92.03158650394829</v>
      </c>
      <c r="G640" s="1112">
        <f t="shared" si="14"/>
        <v>83.632447954055991</v>
      </c>
      <c r="H640" s="1112">
        <f t="shared" si="15"/>
        <v>74.515434314429285</v>
      </c>
      <c r="I640" s="1112">
        <f t="shared" si="16"/>
        <v>85.786073223259137</v>
      </c>
      <c r="J640" s="1112">
        <f t="shared" si="17"/>
        <v>101.22038765254844</v>
      </c>
      <c r="K640" s="1096"/>
      <c r="L640" s="1096"/>
      <c r="M640" s="1096"/>
      <c r="N640" s="1096"/>
      <c r="O640" s="1096"/>
      <c r="P640" s="1114">
        <v>128.19999999999999</v>
      </c>
      <c r="Q640" s="1096" t="s">
        <v>1495</v>
      </c>
      <c r="R640" s="1114">
        <v>116.5</v>
      </c>
      <c r="S640" s="1096" t="s">
        <v>1495</v>
      </c>
      <c r="T640" s="1114">
        <v>103.8</v>
      </c>
      <c r="U640" s="1096" t="s">
        <v>1495</v>
      </c>
      <c r="V640" s="1114">
        <v>119.5</v>
      </c>
      <c r="W640" s="1096" t="s">
        <v>1495</v>
      </c>
      <c r="X640" s="1114">
        <v>141</v>
      </c>
      <c r="Y640" s="1096" t="s">
        <v>1495</v>
      </c>
      <c r="Z640" s="1114">
        <v>139.30000000000001</v>
      </c>
      <c r="AA640" s="1096"/>
      <c r="AB640" s="1096"/>
      <c r="AC640" s="1096"/>
      <c r="AD640" s="1096"/>
      <c r="AE640" s="1096"/>
      <c r="AF640" s="1096"/>
      <c r="AG640" s="1096"/>
      <c r="AH640" s="1096"/>
      <c r="AI640" s="1096"/>
      <c r="AJ640" s="1096"/>
      <c r="AK640" s="1096"/>
      <c r="AL640" s="1096"/>
      <c r="AM640" s="1096"/>
      <c r="AN640" s="1096"/>
      <c r="AO640" s="1096"/>
      <c r="AP640" s="1096"/>
      <c r="AQ640" s="1096"/>
      <c r="AR640" s="1096"/>
      <c r="AS640" s="1096"/>
      <c r="AT640" s="1096"/>
      <c r="AU640" s="1096"/>
      <c r="AV640" s="1096"/>
      <c r="AW640" s="1096"/>
      <c r="AX640" s="1096"/>
      <c r="AY640" s="1096"/>
    </row>
    <row r="641" spans="1:51" x14ac:dyDescent="0.45">
      <c r="A641" s="1096">
        <v>1992</v>
      </c>
      <c r="B641" s="1096" t="s">
        <v>1371</v>
      </c>
      <c r="C641" s="1113">
        <f>[7]LRAll!C632</f>
        <v>139.30000000000001</v>
      </c>
      <c r="D641" s="1113">
        <f>[7]LRAll!I632</f>
        <v>128.30000000000001</v>
      </c>
      <c r="E641" s="1096"/>
      <c r="F641" s="1114">
        <f t="shared" si="18"/>
        <v>92.103374012921762</v>
      </c>
      <c r="G641" s="1112">
        <f t="shared" ref="G641:G704" si="19">R641/$Z641*100</f>
        <v>80.402010050251249</v>
      </c>
      <c r="H641" s="1112">
        <f t="shared" ref="H641:H704" si="20">T641/$Z641*100</f>
        <v>74.084709260588653</v>
      </c>
      <c r="I641" s="1112">
        <f t="shared" ref="I641:I704" si="21">V641/$Z641*100</f>
        <v>85.786073223259137</v>
      </c>
      <c r="J641" s="1112">
        <f t="shared" ref="J641:J704" si="22">X641/$Z641*100</f>
        <v>101.93826274228283</v>
      </c>
      <c r="K641" s="1096"/>
      <c r="L641" s="1096"/>
      <c r="M641" s="1096"/>
      <c r="N641" s="1096"/>
      <c r="O641" s="1096"/>
      <c r="P641" s="1114">
        <v>128.30000000000001</v>
      </c>
      <c r="Q641" s="1096" t="s">
        <v>1496</v>
      </c>
      <c r="R641" s="1114">
        <v>112</v>
      </c>
      <c r="S641" s="1096" t="s">
        <v>1496</v>
      </c>
      <c r="T641" s="1114">
        <v>103.2</v>
      </c>
      <c r="U641" s="1096" t="s">
        <v>1496</v>
      </c>
      <c r="V641" s="1114">
        <v>119.5</v>
      </c>
      <c r="W641" s="1096" t="s">
        <v>1496</v>
      </c>
      <c r="X641" s="1114">
        <v>142</v>
      </c>
      <c r="Y641" s="1096" t="s">
        <v>1496</v>
      </c>
      <c r="Z641" s="1114">
        <v>139.30000000000001</v>
      </c>
      <c r="AA641" s="1096"/>
      <c r="AB641" s="1096"/>
      <c r="AC641" s="1096"/>
      <c r="AD641" s="1096"/>
      <c r="AE641" s="1096"/>
      <c r="AF641" s="1096"/>
      <c r="AG641" s="1096"/>
      <c r="AH641" s="1096"/>
      <c r="AI641" s="1096"/>
      <c r="AJ641" s="1096"/>
      <c r="AK641" s="1096"/>
      <c r="AL641" s="1096"/>
      <c r="AM641" s="1096"/>
      <c r="AN641" s="1096"/>
      <c r="AO641" s="1096"/>
      <c r="AP641" s="1096"/>
      <c r="AQ641" s="1096"/>
      <c r="AR641" s="1096"/>
      <c r="AS641" s="1096"/>
      <c r="AT641" s="1096"/>
      <c r="AU641" s="1096"/>
      <c r="AV641" s="1096"/>
      <c r="AW641" s="1096"/>
      <c r="AX641" s="1096"/>
      <c r="AY641" s="1096"/>
    </row>
    <row r="642" spans="1:51" x14ac:dyDescent="0.45">
      <c r="A642" s="1096">
        <v>1992</v>
      </c>
      <c r="B642" s="1096" t="s">
        <v>1373</v>
      </c>
      <c r="C642" s="1113">
        <f>[7]LRAll!C633</f>
        <v>138.80000000000001</v>
      </c>
      <c r="D642" s="1113">
        <f>[7]LRAll!I633</f>
        <v>128.4</v>
      </c>
      <c r="E642" s="1096"/>
      <c r="F642" s="1114">
        <f t="shared" si="18"/>
        <v>92.507204610951007</v>
      </c>
      <c r="G642" s="1112">
        <f t="shared" si="19"/>
        <v>80.7636887608069</v>
      </c>
      <c r="H642" s="1112">
        <f t="shared" si="20"/>
        <v>74.49567723342939</v>
      </c>
      <c r="I642" s="1112">
        <f t="shared" si="21"/>
        <v>85.66282420749279</v>
      </c>
      <c r="J642" s="1112">
        <f t="shared" si="22"/>
        <v>102.80979827089337</v>
      </c>
      <c r="K642" s="1096"/>
      <c r="L642" s="1096"/>
      <c r="M642" s="1096"/>
      <c r="N642" s="1096"/>
      <c r="O642" s="1096"/>
      <c r="P642" s="1114">
        <v>128.4</v>
      </c>
      <c r="Q642" s="1096" t="s">
        <v>1497</v>
      </c>
      <c r="R642" s="1114">
        <v>112.1</v>
      </c>
      <c r="S642" s="1096" t="s">
        <v>1497</v>
      </c>
      <c r="T642" s="1114">
        <v>103.4</v>
      </c>
      <c r="U642" s="1096" t="s">
        <v>1497</v>
      </c>
      <c r="V642" s="1114">
        <v>118.9</v>
      </c>
      <c r="W642" s="1096" t="s">
        <v>1497</v>
      </c>
      <c r="X642" s="1114">
        <v>142.69999999999999</v>
      </c>
      <c r="Y642" s="1096" t="s">
        <v>1497</v>
      </c>
      <c r="Z642" s="1114">
        <v>138.80000000000001</v>
      </c>
      <c r="AA642" s="1096"/>
      <c r="AB642" s="1096"/>
      <c r="AC642" s="1096"/>
      <c r="AD642" s="1096"/>
      <c r="AE642" s="1096"/>
      <c r="AF642" s="1096"/>
      <c r="AG642" s="1096"/>
      <c r="AH642" s="1096"/>
      <c r="AI642" s="1096"/>
      <c r="AJ642" s="1096"/>
      <c r="AK642" s="1096"/>
      <c r="AL642" s="1096"/>
      <c r="AM642" s="1096"/>
      <c r="AN642" s="1096"/>
      <c r="AO642" s="1096"/>
      <c r="AP642" s="1096"/>
      <c r="AQ642" s="1096"/>
      <c r="AR642" s="1096"/>
      <c r="AS642" s="1096"/>
      <c r="AT642" s="1096"/>
      <c r="AU642" s="1096"/>
      <c r="AV642" s="1096"/>
      <c r="AW642" s="1096"/>
      <c r="AX642" s="1096"/>
      <c r="AY642" s="1096"/>
    </row>
    <row r="643" spans="1:51" x14ac:dyDescent="0.45">
      <c r="A643" s="1096">
        <v>1992</v>
      </c>
      <c r="B643" s="1096" t="s">
        <v>1375</v>
      </c>
      <c r="C643" s="1113">
        <f>[7]LRAll!C634</f>
        <v>138.9</v>
      </c>
      <c r="D643" s="1113">
        <f>[7]LRAll!I634</f>
        <v>127.8</v>
      </c>
      <c r="E643" s="1096"/>
      <c r="F643" s="1114">
        <f t="shared" si="18"/>
        <v>92.008639308855294</v>
      </c>
      <c r="G643" s="1112">
        <f t="shared" si="19"/>
        <v>80.561555075593944</v>
      </c>
      <c r="H643" s="1112">
        <f t="shared" si="20"/>
        <v>72.570194384449238</v>
      </c>
      <c r="I643" s="1112">
        <f t="shared" si="21"/>
        <v>84.737221022318209</v>
      </c>
      <c r="J643" s="1112">
        <f t="shared" si="22"/>
        <v>102.73578113750898</v>
      </c>
      <c r="K643" s="1096"/>
      <c r="L643" s="1096"/>
      <c r="M643" s="1096"/>
      <c r="N643" s="1096"/>
      <c r="O643" s="1096"/>
      <c r="P643" s="1114">
        <v>127.8</v>
      </c>
      <c r="Q643" s="1096" t="s">
        <v>1498</v>
      </c>
      <c r="R643" s="1114">
        <v>111.9</v>
      </c>
      <c r="S643" s="1096" t="s">
        <v>1498</v>
      </c>
      <c r="T643" s="1114">
        <v>100.8</v>
      </c>
      <c r="U643" s="1096" t="s">
        <v>1498</v>
      </c>
      <c r="V643" s="1114">
        <v>117.7</v>
      </c>
      <c r="W643" s="1096" t="s">
        <v>1498</v>
      </c>
      <c r="X643" s="1114">
        <v>142.69999999999999</v>
      </c>
      <c r="Y643" s="1096" t="s">
        <v>1498</v>
      </c>
      <c r="Z643" s="1114">
        <v>138.9</v>
      </c>
      <c r="AA643" s="1096"/>
      <c r="AB643" s="1096"/>
      <c r="AC643" s="1096"/>
      <c r="AD643" s="1096"/>
      <c r="AE643" s="1096"/>
      <c r="AF643" s="1096"/>
      <c r="AG643" s="1096"/>
      <c r="AH643" s="1096"/>
      <c r="AI643" s="1096"/>
      <c r="AJ643" s="1096"/>
      <c r="AK643" s="1096"/>
      <c r="AL643" s="1096"/>
      <c r="AM643" s="1096"/>
      <c r="AN643" s="1096"/>
      <c r="AO643" s="1096"/>
      <c r="AP643" s="1096"/>
      <c r="AQ643" s="1096"/>
      <c r="AR643" s="1096"/>
      <c r="AS643" s="1096"/>
      <c r="AT643" s="1096"/>
      <c r="AU643" s="1096"/>
      <c r="AV643" s="1096"/>
      <c r="AW643" s="1096"/>
      <c r="AX643" s="1096"/>
      <c r="AY643" s="1096"/>
    </row>
    <row r="644" spans="1:51" x14ac:dyDescent="0.45">
      <c r="A644" s="1096">
        <v>1992</v>
      </c>
      <c r="B644" s="1096" t="s">
        <v>1377</v>
      </c>
      <c r="C644" s="1113">
        <f>[7]LRAll!C635</f>
        <v>139.4</v>
      </c>
      <c r="D644" s="1113">
        <f>[7]LRAll!I635</f>
        <v>127.5</v>
      </c>
      <c r="E644" s="1096"/>
      <c r="F644" s="1114">
        <f t="shared" si="18"/>
        <v>91.463414634146332</v>
      </c>
      <c r="G644" s="1112">
        <f t="shared" si="19"/>
        <v>83.57245337159253</v>
      </c>
      <c r="H644" s="1112">
        <f t="shared" si="20"/>
        <v>70.51649928263987</v>
      </c>
      <c r="I644" s="1112">
        <f t="shared" si="21"/>
        <v>83.57245337159253</v>
      </c>
      <c r="J644" s="1112">
        <f t="shared" si="22"/>
        <v>102.36728837876612</v>
      </c>
      <c r="K644" s="1096"/>
      <c r="L644" s="1096"/>
      <c r="M644" s="1096"/>
      <c r="N644" s="1096"/>
      <c r="O644" s="1096"/>
      <c r="P644" s="1114">
        <v>127.5</v>
      </c>
      <c r="Q644" s="1096" t="s">
        <v>1499</v>
      </c>
      <c r="R644" s="1114">
        <v>116.5</v>
      </c>
      <c r="S644" s="1096" t="s">
        <v>1499</v>
      </c>
      <c r="T644" s="1114">
        <v>98.3</v>
      </c>
      <c r="U644" s="1096" t="s">
        <v>1499</v>
      </c>
      <c r="V644" s="1114">
        <v>116.5</v>
      </c>
      <c r="W644" s="1096" t="s">
        <v>1499</v>
      </c>
      <c r="X644" s="1114">
        <v>142.69999999999999</v>
      </c>
      <c r="Y644" s="1096" t="s">
        <v>1499</v>
      </c>
      <c r="Z644" s="1114">
        <v>139.4</v>
      </c>
      <c r="AA644" s="1096"/>
      <c r="AB644" s="1096"/>
      <c r="AC644" s="1096"/>
      <c r="AD644" s="1096"/>
      <c r="AE644" s="1096"/>
      <c r="AF644" s="1096"/>
      <c r="AG644" s="1096"/>
      <c r="AH644" s="1096"/>
      <c r="AI644" s="1096"/>
      <c r="AJ644" s="1096"/>
      <c r="AK644" s="1096"/>
      <c r="AL644" s="1096"/>
      <c r="AM644" s="1096"/>
      <c r="AN644" s="1096"/>
      <c r="AO644" s="1096"/>
      <c r="AP644" s="1096"/>
      <c r="AQ644" s="1096"/>
      <c r="AR644" s="1096"/>
      <c r="AS644" s="1096"/>
      <c r="AT644" s="1096"/>
      <c r="AU644" s="1096"/>
      <c r="AV644" s="1096"/>
      <c r="AW644" s="1096"/>
      <c r="AX644" s="1096"/>
      <c r="AY644" s="1096"/>
    </row>
    <row r="645" spans="1:51" x14ac:dyDescent="0.45">
      <c r="A645" s="1096">
        <v>1992</v>
      </c>
      <c r="B645" s="1096" t="s">
        <v>1379</v>
      </c>
      <c r="C645" s="1113">
        <f>[7]LRAll!C636</f>
        <v>139.9</v>
      </c>
      <c r="D645" s="1113">
        <f>[7]LRAll!I636</f>
        <v>127.7</v>
      </c>
      <c r="E645" s="1096"/>
      <c r="F645" s="1114">
        <f t="shared" si="18"/>
        <v>91.279485346676196</v>
      </c>
      <c r="G645" s="1112">
        <f t="shared" si="19"/>
        <v>84.274481772694784</v>
      </c>
      <c r="H645" s="1112">
        <f t="shared" si="20"/>
        <v>79.12794853466761</v>
      </c>
      <c r="I645" s="1112">
        <f t="shared" si="21"/>
        <v>82.416011436740519</v>
      </c>
      <c r="J645" s="1112">
        <f t="shared" si="22"/>
        <v>102.00142959256611</v>
      </c>
      <c r="K645" s="1096"/>
      <c r="L645" s="1096"/>
      <c r="M645" s="1096"/>
      <c r="N645" s="1096"/>
      <c r="O645" s="1096"/>
      <c r="P645" s="1114">
        <v>127.7</v>
      </c>
      <c r="Q645" s="1096" t="s">
        <v>1500</v>
      </c>
      <c r="R645" s="1114">
        <v>117.9</v>
      </c>
      <c r="S645" s="1096" t="s">
        <v>1500</v>
      </c>
      <c r="T645" s="1114">
        <v>110.7</v>
      </c>
      <c r="U645" s="1096" t="s">
        <v>1500</v>
      </c>
      <c r="V645" s="1114">
        <v>115.3</v>
      </c>
      <c r="W645" s="1096" t="s">
        <v>1500</v>
      </c>
      <c r="X645" s="1114">
        <v>142.69999999999999</v>
      </c>
      <c r="Y645" s="1096" t="s">
        <v>1500</v>
      </c>
      <c r="Z645" s="1114">
        <v>139.9</v>
      </c>
      <c r="AA645" s="1096"/>
      <c r="AB645" s="1096"/>
      <c r="AC645" s="1096"/>
      <c r="AD645" s="1096"/>
      <c r="AE645" s="1096"/>
      <c r="AF645" s="1096"/>
      <c r="AG645" s="1096"/>
      <c r="AH645" s="1096"/>
      <c r="AI645" s="1096"/>
      <c r="AJ645" s="1096"/>
      <c r="AK645" s="1096"/>
      <c r="AL645" s="1096"/>
      <c r="AM645" s="1096"/>
      <c r="AN645" s="1096"/>
      <c r="AO645" s="1096"/>
      <c r="AP645" s="1096"/>
      <c r="AQ645" s="1096"/>
      <c r="AR645" s="1096"/>
      <c r="AS645" s="1096"/>
      <c r="AT645" s="1096"/>
      <c r="AU645" s="1096"/>
      <c r="AV645" s="1096"/>
      <c r="AW645" s="1096"/>
      <c r="AX645" s="1096"/>
      <c r="AY645" s="1096"/>
    </row>
    <row r="646" spans="1:51" x14ac:dyDescent="0.45">
      <c r="A646" s="1096">
        <v>1992</v>
      </c>
      <c r="B646" s="1096" t="s">
        <v>1381</v>
      </c>
      <c r="C646" s="1113">
        <f>[7]LRAll!C637</f>
        <v>139.69999999999999</v>
      </c>
      <c r="D646" s="1113">
        <f>[7]LRAll!I637</f>
        <v>127.8</v>
      </c>
      <c r="E646" s="1096"/>
      <c r="F646" s="1114">
        <f t="shared" si="18"/>
        <v>91.481746599856834</v>
      </c>
      <c r="G646" s="1112">
        <f t="shared" si="19"/>
        <v>84.896206156048677</v>
      </c>
      <c r="H646" s="1112">
        <f t="shared" si="20"/>
        <v>83.536148890479609</v>
      </c>
      <c r="I646" s="1112">
        <f t="shared" si="21"/>
        <v>82.032927702219041</v>
      </c>
      <c r="J646" s="1112">
        <f t="shared" si="22"/>
        <v>102.14745884037222</v>
      </c>
      <c r="K646" s="1096"/>
      <c r="L646" s="1096"/>
      <c r="M646" s="1096"/>
      <c r="N646" s="1096"/>
      <c r="O646" s="1096"/>
      <c r="P646" s="1114">
        <v>127.8</v>
      </c>
      <c r="Q646" s="1096" t="s">
        <v>1501</v>
      </c>
      <c r="R646" s="1114">
        <v>118.6</v>
      </c>
      <c r="S646" s="1096" t="s">
        <v>1501</v>
      </c>
      <c r="T646" s="1114">
        <v>116.7</v>
      </c>
      <c r="U646" s="1096" t="s">
        <v>1501</v>
      </c>
      <c r="V646" s="1114">
        <v>114.6</v>
      </c>
      <c r="W646" s="1096" t="s">
        <v>1501</v>
      </c>
      <c r="X646" s="1114">
        <v>142.69999999999999</v>
      </c>
      <c r="Y646" s="1096" t="s">
        <v>1501</v>
      </c>
      <c r="Z646" s="1114">
        <v>139.69999999999999</v>
      </c>
      <c r="AA646" s="1096"/>
      <c r="AB646" s="1096"/>
      <c r="AC646" s="1096"/>
      <c r="AD646" s="1096"/>
      <c r="AE646" s="1096"/>
      <c r="AF646" s="1096"/>
      <c r="AG646" s="1096"/>
      <c r="AH646" s="1096"/>
      <c r="AI646" s="1096"/>
      <c r="AJ646" s="1096"/>
      <c r="AK646" s="1096"/>
      <c r="AL646" s="1096"/>
      <c r="AM646" s="1096"/>
      <c r="AN646" s="1096"/>
      <c r="AO646" s="1096"/>
      <c r="AP646" s="1096"/>
      <c r="AQ646" s="1096"/>
      <c r="AR646" s="1096"/>
      <c r="AS646" s="1096"/>
      <c r="AT646" s="1096"/>
      <c r="AU646" s="1096"/>
      <c r="AV646" s="1096"/>
      <c r="AW646" s="1096"/>
      <c r="AX646" s="1096"/>
      <c r="AY646" s="1096"/>
    </row>
    <row r="647" spans="1:51" x14ac:dyDescent="0.45">
      <c r="A647" s="1096">
        <v>1992</v>
      </c>
      <c r="B647" s="1096" t="s">
        <v>1383</v>
      </c>
      <c r="C647" s="1113">
        <f>[7]LRAll!C638</f>
        <v>139.19999999999999</v>
      </c>
      <c r="D647" s="1113">
        <f>[7]LRAll!I638</f>
        <v>127.4</v>
      </c>
      <c r="E647" s="1096"/>
      <c r="F647" s="1114">
        <f t="shared" si="18"/>
        <v>91.522988505747136</v>
      </c>
      <c r="G647" s="1112">
        <f t="shared" si="19"/>
        <v>85.201149425287355</v>
      </c>
      <c r="H647" s="1112">
        <f t="shared" si="20"/>
        <v>81.537356321839084</v>
      </c>
      <c r="I647" s="1112">
        <f t="shared" si="21"/>
        <v>81.824712643678183</v>
      </c>
      <c r="J647" s="1112">
        <f t="shared" si="22"/>
        <v>102.51436781609196</v>
      </c>
      <c r="K647" s="1096"/>
      <c r="L647" s="1096"/>
      <c r="M647" s="1096"/>
      <c r="N647" s="1096"/>
      <c r="O647" s="1096"/>
      <c r="P647" s="1114">
        <v>127.4</v>
      </c>
      <c r="Q647" s="1096" t="s">
        <v>1502</v>
      </c>
      <c r="R647" s="1114">
        <v>118.6</v>
      </c>
      <c r="S647" s="1096" t="s">
        <v>1502</v>
      </c>
      <c r="T647" s="1114">
        <v>113.5</v>
      </c>
      <c r="U647" s="1096" t="s">
        <v>1502</v>
      </c>
      <c r="V647" s="1114">
        <v>113.9</v>
      </c>
      <c r="W647" s="1096" t="s">
        <v>1502</v>
      </c>
      <c r="X647" s="1114">
        <v>142.69999999999999</v>
      </c>
      <c r="Y647" s="1096" t="s">
        <v>1502</v>
      </c>
      <c r="Z647" s="1114">
        <v>139.19999999999999</v>
      </c>
      <c r="AA647" s="1096"/>
      <c r="AB647" s="1096"/>
      <c r="AC647" s="1096"/>
      <c r="AD647" s="1096"/>
      <c r="AE647" s="1096"/>
      <c r="AF647" s="1096"/>
      <c r="AG647" s="1096"/>
      <c r="AH647" s="1096"/>
      <c r="AI647" s="1096"/>
      <c r="AJ647" s="1096"/>
      <c r="AK647" s="1096"/>
      <c r="AL647" s="1096"/>
      <c r="AM647" s="1096"/>
      <c r="AN647" s="1096"/>
      <c r="AO647" s="1096"/>
      <c r="AP647" s="1096"/>
      <c r="AQ647" s="1096"/>
      <c r="AR647" s="1096"/>
      <c r="AS647" s="1096"/>
      <c r="AT647" s="1096"/>
      <c r="AU647" s="1096"/>
      <c r="AV647" s="1096"/>
      <c r="AW647" s="1096"/>
      <c r="AX647" s="1096"/>
      <c r="AY647" s="1096"/>
    </row>
    <row r="648" spans="1:51" x14ac:dyDescent="0.45">
      <c r="A648" s="1096">
        <v>1993</v>
      </c>
      <c r="B648" s="1096" t="s">
        <v>1385</v>
      </c>
      <c r="C648" s="1113">
        <f>[7]LRAll!C639</f>
        <v>137.9</v>
      </c>
      <c r="D648" s="1113">
        <f>[7]LRAll!I639</f>
        <v>127.1</v>
      </c>
      <c r="E648" s="1096"/>
      <c r="F648" s="1114">
        <f t="shared" si="18"/>
        <v>92.168237853517027</v>
      </c>
      <c r="G648" s="1112">
        <f t="shared" si="19"/>
        <v>86.004350978970251</v>
      </c>
      <c r="H648" s="1112">
        <f t="shared" si="20"/>
        <v>82.6686004350979</v>
      </c>
      <c r="I648" s="1112">
        <f t="shared" si="21"/>
        <v>82.160986221899918</v>
      </c>
      <c r="J648" s="1112">
        <f t="shared" si="22"/>
        <v>103.48078317621463</v>
      </c>
      <c r="K648" s="1096"/>
      <c r="L648" s="1096"/>
      <c r="M648" s="1096"/>
      <c r="N648" s="1096"/>
      <c r="O648" s="1096"/>
      <c r="P648" s="1114">
        <v>127.1</v>
      </c>
      <c r="Q648" s="1096" t="s">
        <v>1503</v>
      </c>
      <c r="R648" s="1114">
        <v>118.6</v>
      </c>
      <c r="S648" s="1096" t="s">
        <v>1503</v>
      </c>
      <c r="T648" s="1114">
        <v>114</v>
      </c>
      <c r="U648" s="1096" t="s">
        <v>1503</v>
      </c>
      <c r="V648" s="1114">
        <v>113.3</v>
      </c>
      <c r="W648" s="1096" t="s">
        <v>1503</v>
      </c>
      <c r="X648" s="1114">
        <v>142.69999999999999</v>
      </c>
      <c r="Y648" s="1096" t="s">
        <v>1503</v>
      </c>
      <c r="Z648" s="1114">
        <v>137.9</v>
      </c>
      <c r="AA648" s="1096"/>
      <c r="AB648" s="1096"/>
      <c r="AC648" s="1096"/>
      <c r="AD648" s="1096"/>
      <c r="AE648" s="1096"/>
      <c r="AF648" s="1096"/>
      <c r="AG648" s="1096"/>
      <c r="AH648" s="1096"/>
      <c r="AI648" s="1096"/>
      <c r="AJ648" s="1096"/>
      <c r="AK648" s="1096"/>
      <c r="AL648" s="1096"/>
      <c r="AM648" s="1096"/>
      <c r="AN648" s="1096"/>
      <c r="AO648" s="1096"/>
      <c r="AP648" s="1096"/>
      <c r="AQ648" s="1096"/>
      <c r="AR648" s="1096"/>
      <c r="AS648" s="1096"/>
      <c r="AT648" s="1096"/>
      <c r="AU648" s="1096"/>
      <c r="AV648" s="1096"/>
      <c r="AW648" s="1096"/>
      <c r="AX648" s="1096"/>
      <c r="AY648" s="1096"/>
    </row>
    <row r="649" spans="1:51" x14ac:dyDescent="0.45">
      <c r="A649" s="1096">
        <v>1993</v>
      </c>
      <c r="B649" s="1096" t="s">
        <v>1387</v>
      </c>
      <c r="C649" s="1113">
        <f>[7]LRAll!C640</f>
        <v>138.80000000000001</v>
      </c>
      <c r="D649" s="1113">
        <f>[7]LRAll!I640</f>
        <v>127.1</v>
      </c>
      <c r="E649" s="1096"/>
      <c r="F649" s="1114">
        <f t="shared" si="18"/>
        <v>91.57060518731987</v>
      </c>
      <c r="G649" s="1112">
        <f t="shared" si="19"/>
        <v>85.446685878962526</v>
      </c>
      <c r="H649" s="1112">
        <f t="shared" si="20"/>
        <v>82.27665706051873</v>
      </c>
      <c r="I649" s="1112">
        <f t="shared" si="21"/>
        <v>81.628242074927954</v>
      </c>
      <c r="J649" s="1112">
        <f t="shared" si="22"/>
        <v>102.80979827089337</v>
      </c>
      <c r="K649" s="1096"/>
      <c r="L649" s="1096"/>
      <c r="M649" s="1096"/>
      <c r="N649" s="1096"/>
      <c r="O649" s="1096"/>
      <c r="P649" s="1114">
        <v>127.1</v>
      </c>
      <c r="Q649" s="1096" t="s">
        <v>1504</v>
      </c>
      <c r="R649" s="1114">
        <v>118.6</v>
      </c>
      <c r="S649" s="1096" t="s">
        <v>1504</v>
      </c>
      <c r="T649" s="1114">
        <v>114.2</v>
      </c>
      <c r="U649" s="1096" t="s">
        <v>1504</v>
      </c>
      <c r="V649" s="1114">
        <v>113.3</v>
      </c>
      <c r="W649" s="1096" t="s">
        <v>1504</v>
      </c>
      <c r="X649" s="1114">
        <v>142.69999999999999</v>
      </c>
      <c r="Y649" s="1096" t="s">
        <v>1504</v>
      </c>
      <c r="Z649" s="1114">
        <v>138.80000000000001</v>
      </c>
      <c r="AA649" s="1096"/>
      <c r="AB649" s="1096"/>
      <c r="AC649" s="1096"/>
      <c r="AD649" s="1096"/>
      <c r="AE649" s="1096"/>
      <c r="AF649" s="1096"/>
      <c r="AG649" s="1096"/>
      <c r="AH649" s="1096"/>
      <c r="AI649" s="1096"/>
      <c r="AJ649" s="1096"/>
      <c r="AK649" s="1096"/>
      <c r="AL649" s="1096"/>
      <c r="AM649" s="1096"/>
      <c r="AN649" s="1096"/>
      <c r="AO649" s="1096"/>
      <c r="AP649" s="1096"/>
      <c r="AQ649" s="1096"/>
      <c r="AR649" s="1096"/>
      <c r="AS649" s="1096"/>
      <c r="AT649" s="1096"/>
      <c r="AU649" s="1096"/>
      <c r="AV649" s="1096"/>
      <c r="AW649" s="1096"/>
      <c r="AX649" s="1096"/>
      <c r="AY649" s="1096"/>
    </row>
    <row r="650" spans="1:51" x14ac:dyDescent="0.45">
      <c r="A650" s="1096">
        <v>1993</v>
      </c>
      <c r="B650" s="1096" t="s">
        <v>1389</v>
      </c>
      <c r="C650" s="1113">
        <f>[7]LRAll!C641</f>
        <v>139.30000000000001</v>
      </c>
      <c r="D650" s="1113">
        <f>[7]LRAll!I641</f>
        <v>127.3</v>
      </c>
      <c r="E650" s="1096"/>
      <c r="F650" s="1114">
        <f t="shared" si="18"/>
        <v>91.385498923187356</v>
      </c>
      <c r="G650" s="1112">
        <f t="shared" si="19"/>
        <v>85.139985642498189</v>
      </c>
      <c r="H650" s="1112">
        <f t="shared" si="20"/>
        <v>84.350323043790382</v>
      </c>
      <c r="I650" s="1112">
        <f t="shared" si="21"/>
        <v>81.335247666905957</v>
      </c>
      <c r="J650" s="1112">
        <f t="shared" si="22"/>
        <v>102.44077530509689</v>
      </c>
      <c r="K650" s="1096"/>
      <c r="L650" s="1096"/>
      <c r="M650" s="1096"/>
      <c r="N650" s="1096"/>
      <c r="O650" s="1096"/>
      <c r="P650" s="1114">
        <v>127.3</v>
      </c>
      <c r="Q650" s="1096" t="s">
        <v>1505</v>
      </c>
      <c r="R650" s="1114">
        <v>118.6</v>
      </c>
      <c r="S650" s="1096" t="s">
        <v>1505</v>
      </c>
      <c r="T650" s="1114">
        <v>117.5</v>
      </c>
      <c r="U650" s="1096" t="s">
        <v>1505</v>
      </c>
      <c r="V650" s="1114">
        <v>113.3</v>
      </c>
      <c r="W650" s="1096" t="s">
        <v>1505</v>
      </c>
      <c r="X650" s="1114">
        <v>142.69999999999999</v>
      </c>
      <c r="Y650" s="1096" t="s">
        <v>1505</v>
      </c>
      <c r="Z650" s="1114">
        <v>139.30000000000001</v>
      </c>
      <c r="AA650" s="1096"/>
      <c r="AB650" s="1096"/>
      <c r="AC650" s="1096"/>
      <c r="AD650" s="1096"/>
      <c r="AE650" s="1096"/>
      <c r="AF650" s="1096"/>
      <c r="AG650" s="1096"/>
      <c r="AH650" s="1096"/>
      <c r="AI650" s="1096"/>
      <c r="AJ650" s="1096"/>
      <c r="AK650" s="1096"/>
      <c r="AL650" s="1096"/>
      <c r="AM650" s="1096"/>
      <c r="AN650" s="1096"/>
      <c r="AO650" s="1096"/>
      <c r="AP650" s="1096"/>
      <c r="AQ650" s="1096"/>
      <c r="AR650" s="1096"/>
      <c r="AS650" s="1096"/>
      <c r="AT650" s="1096"/>
      <c r="AU650" s="1096"/>
      <c r="AV650" s="1096"/>
      <c r="AW650" s="1096"/>
      <c r="AX650" s="1096"/>
      <c r="AY650" s="1096"/>
    </row>
    <row r="651" spans="1:51" x14ac:dyDescent="0.45">
      <c r="A651" s="1096">
        <v>1993</v>
      </c>
      <c r="B651" s="1096" t="s">
        <v>1391</v>
      </c>
      <c r="C651" s="1113">
        <f>[7]LRAll!C642</f>
        <v>140.6</v>
      </c>
      <c r="D651" s="1113">
        <f>[7]LRAll!I642</f>
        <v>127</v>
      </c>
      <c r="E651" s="1096"/>
      <c r="F651" s="1114">
        <f t="shared" si="18"/>
        <v>90.327169274537695</v>
      </c>
      <c r="G651" s="1112">
        <f t="shared" si="19"/>
        <v>84.21052631578948</v>
      </c>
      <c r="H651" s="1112">
        <f t="shared" si="20"/>
        <v>81.436699857752487</v>
      </c>
      <c r="I651" s="1112">
        <f t="shared" si="21"/>
        <v>80.583214793741107</v>
      </c>
      <c r="J651" s="1112">
        <f t="shared" si="22"/>
        <v>101.2091038406828</v>
      </c>
      <c r="K651" s="1096"/>
      <c r="L651" s="1096"/>
      <c r="M651" s="1096"/>
      <c r="N651" s="1096"/>
      <c r="O651" s="1096"/>
      <c r="P651" s="1114">
        <v>127</v>
      </c>
      <c r="Q651" s="1096" t="s">
        <v>1506</v>
      </c>
      <c r="R651" s="1114">
        <v>118.4</v>
      </c>
      <c r="S651" s="1096" t="s">
        <v>1506</v>
      </c>
      <c r="T651" s="1114">
        <v>114.5</v>
      </c>
      <c r="U651" s="1096" t="s">
        <v>1506</v>
      </c>
      <c r="V651" s="1114">
        <v>113.3</v>
      </c>
      <c r="W651" s="1096" t="s">
        <v>1506</v>
      </c>
      <c r="X651" s="1114">
        <v>142.30000000000001</v>
      </c>
      <c r="Y651" s="1096" t="s">
        <v>1506</v>
      </c>
      <c r="Z651" s="1114">
        <v>140.6</v>
      </c>
      <c r="AA651" s="1096"/>
      <c r="AB651" s="1096"/>
      <c r="AC651" s="1096"/>
      <c r="AD651" s="1096"/>
      <c r="AE651" s="1096"/>
      <c r="AF651" s="1096"/>
      <c r="AG651" s="1096"/>
      <c r="AH651" s="1096"/>
      <c r="AI651" s="1096"/>
      <c r="AJ651" s="1096"/>
      <c r="AK651" s="1096"/>
      <c r="AL651" s="1096"/>
      <c r="AM651" s="1096"/>
      <c r="AN651" s="1096"/>
      <c r="AO651" s="1096"/>
      <c r="AP651" s="1096"/>
      <c r="AQ651" s="1096"/>
      <c r="AR651" s="1096"/>
      <c r="AS651" s="1096"/>
      <c r="AT651" s="1096"/>
      <c r="AU651" s="1096"/>
      <c r="AV651" s="1096"/>
      <c r="AW651" s="1096"/>
      <c r="AX651" s="1096"/>
      <c r="AY651" s="1096"/>
    </row>
    <row r="652" spans="1:51" x14ac:dyDescent="0.45">
      <c r="A652" s="1096">
        <v>1993</v>
      </c>
      <c r="B652" s="1096" t="s">
        <v>1393</v>
      </c>
      <c r="C652" s="1113">
        <f>[7]LRAll!C643</f>
        <v>141.1</v>
      </c>
      <c r="D652" s="1113">
        <f>[7]LRAll!I643</f>
        <v>126.2</v>
      </c>
      <c r="E652" s="1096"/>
      <c r="F652" s="1114">
        <f t="shared" si="18"/>
        <v>89.4401133947555</v>
      </c>
      <c r="G652" s="1112">
        <f t="shared" si="19"/>
        <v>80.510276399716503</v>
      </c>
      <c r="H652" s="1112">
        <f t="shared" si="20"/>
        <v>80.297661233167972</v>
      </c>
      <c r="I652" s="1112">
        <f t="shared" si="21"/>
        <v>80.297661233167972</v>
      </c>
      <c r="J652" s="1112">
        <f t="shared" si="22"/>
        <v>100.1417434443657</v>
      </c>
      <c r="K652" s="1096"/>
      <c r="L652" s="1096"/>
      <c r="M652" s="1096"/>
      <c r="N652" s="1096"/>
      <c r="O652" s="1096"/>
      <c r="P652" s="1114">
        <v>126.2</v>
      </c>
      <c r="Q652" s="1096" t="s">
        <v>1507</v>
      </c>
      <c r="R652" s="1114">
        <v>113.6</v>
      </c>
      <c r="S652" s="1096" t="s">
        <v>1507</v>
      </c>
      <c r="T652" s="1114">
        <v>113.3</v>
      </c>
      <c r="U652" s="1096" t="s">
        <v>1507</v>
      </c>
      <c r="V652" s="1114">
        <v>113.3</v>
      </c>
      <c r="W652" s="1096" t="s">
        <v>1507</v>
      </c>
      <c r="X652" s="1114">
        <v>141.30000000000001</v>
      </c>
      <c r="Y652" s="1096" t="s">
        <v>1507</v>
      </c>
      <c r="Z652" s="1114">
        <v>141.1</v>
      </c>
      <c r="AA652" s="1096"/>
      <c r="AB652" s="1096"/>
      <c r="AC652" s="1096"/>
      <c r="AD652" s="1096"/>
      <c r="AE652" s="1096"/>
      <c r="AF652" s="1096"/>
      <c r="AG652" s="1096"/>
      <c r="AH652" s="1096"/>
      <c r="AI652" s="1096"/>
      <c r="AJ652" s="1096"/>
      <c r="AK652" s="1096"/>
      <c r="AL652" s="1096"/>
      <c r="AM652" s="1096"/>
      <c r="AN652" s="1096"/>
      <c r="AO652" s="1096"/>
      <c r="AP652" s="1096"/>
      <c r="AQ652" s="1096"/>
      <c r="AR652" s="1096"/>
      <c r="AS652" s="1096"/>
      <c r="AT652" s="1096"/>
      <c r="AU652" s="1096"/>
      <c r="AV652" s="1096"/>
      <c r="AW652" s="1096"/>
      <c r="AX652" s="1096"/>
      <c r="AY652" s="1096"/>
    </row>
    <row r="653" spans="1:51" x14ac:dyDescent="0.45">
      <c r="A653" s="1096">
        <v>1993</v>
      </c>
      <c r="B653" s="1096" t="s">
        <v>1371</v>
      </c>
      <c r="C653" s="1113">
        <f>[7]LRAll!C644</f>
        <v>141</v>
      </c>
      <c r="D653" s="1113">
        <f>[7]LRAll!I644</f>
        <v>125.7</v>
      </c>
      <c r="E653" s="1096"/>
      <c r="F653" s="1114">
        <f t="shared" si="18"/>
        <v>89.148936170212764</v>
      </c>
      <c r="G653" s="1112">
        <f t="shared" si="19"/>
        <v>80.070921985815602</v>
      </c>
      <c r="H653" s="1112">
        <f t="shared" si="20"/>
        <v>78.723404255319153</v>
      </c>
      <c r="I653" s="1112">
        <f t="shared" si="21"/>
        <v>80.354609929078009</v>
      </c>
      <c r="J653" s="1112">
        <f t="shared" si="22"/>
        <v>99.574468085106389</v>
      </c>
      <c r="K653" s="1096"/>
      <c r="L653" s="1096"/>
      <c r="M653" s="1096"/>
      <c r="N653" s="1096"/>
      <c r="O653" s="1096"/>
      <c r="P653" s="1114">
        <v>125.7</v>
      </c>
      <c r="Q653" s="1096" t="s">
        <v>1508</v>
      </c>
      <c r="R653" s="1114">
        <v>112.9</v>
      </c>
      <c r="S653" s="1096" t="s">
        <v>1508</v>
      </c>
      <c r="T653" s="1114">
        <v>111</v>
      </c>
      <c r="U653" s="1096" t="s">
        <v>1508</v>
      </c>
      <c r="V653" s="1114">
        <v>113.3</v>
      </c>
      <c r="W653" s="1096" t="s">
        <v>1508</v>
      </c>
      <c r="X653" s="1114">
        <v>140.4</v>
      </c>
      <c r="Y653" s="1096" t="s">
        <v>1508</v>
      </c>
      <c r="Z653" s="1114">
        <v>141</v>
      </c>
      <c r="AA653" s="1096"/>
      <c r="AB653" s="1096"/>
      <c r="AC653" s="1096"/>
      <c r="AD653" s="1096"/>
      <c r="AE653" s="1096"/>
      <c r="AF653" s="1096"/>
      <c r="AG653" s="1096"/>
      <c r="AH653" s="1096"/>
      <c r="AI653" s="1096"/>
      <c r="AJ653" s="1096"/>
      <c r="AK653" s="1096"/>
      <c r="AL653" s="1096"/>
      <c r="AM653" s="1096"/>
      <c r="AN653" s="1096"/>
      <c r="AO653" s="1096"/>
      <c r="AP653" s="1096"/>
      <c r="AQ653" s="1096"/>
      <c r="AR653" s="1096"/>
      <c r="AS653" s="1096"/>
      <c r="AT653" s="1096"/>
      <c r="AU653" s="1096"/>
      <c r="AV653" s="1096"/>
      <c r="AW653" s="1096"/>
      <c r="AX653" s="1096"/>
      <c r="AY653" s="1096"/>
    </row>
    <row r="654" spans="1:51" x14ac:dyDescent="0.45">
      <c r="A654" s="1096">
        <v>1993</v>
      </c>
      <c r="B654" s="1096" t="s">
        <v>1373</v>
      </c>
      <c r="C654" s="1113">
        <f>[7]LRAll!C645</f>
        <v>140.69999999999999</v>
      </c>
      <c r="D654" s="1113">
        <f>[7]LRAll!I645</f>
        <v>125.4</v>
      </c>
      <c r="E654" s="1096"/>
      <c r="F654" s="1114">
        <f t="shared" si="18"/>
        <v>89.125799573560784</v>
      </c>
      <c r="G654" s="1112">
        <f t="shared" si="19"/>
        <v>80.170575692963752</v>
      </c>
      <c r="H654" s="1112">
        <f t="shared" si="20"/>
        <v>78.251599147121539</v>
      </c>
      <c r="I654" s="1112">
        <f t="shared" si="21"/>
        <v>80.52594171997157</v>
      </c>
      <c r="J654" s="1112">
        <f t="shared" si="22"/>
        <v>99.502487562189074</v>
      </c>
      <c r="K654" s="1096"/>
      <c r="L654" s="1096"/>
      <c r="M654" s="1096"/>
      <c r="N654" s="1096"/>
      <c r="O654" s="1096"/>
      <c r="P654" s="1114">
        <v>125.4</v>
      </c>
      <c r="Q654" s="1096" t="s">
        <v>1509</v>
      </c>
      <c r="R654" s="1114">
        <v>112.8</v>
      </c>
      <c r="S654" s="1096" t="s">
        <v>1509</v>
      </c>
      <c r="T654" s="1114">
        <v>110.1</v>
      </c>
      <c r="U654" s="1096" t="s">
        <v>1509</v>
      </c>
      <c r="V654" s="1114">
        <v>113.3</v>
      </c>
      <c r="W654" s="1096" t="s">
        <v>1509</v>
      </c>
      <c r="X654" s="1114">
        <v>140</v>
      </c>
      <c r="Y654" s="1096" t="s">
        <v>1509</v>
      </c>
      <c r="Z654" s="1114">
        <v>140.69999999999999</v>
      </c>
      <c r="AA654" s="1096"/>
      <c r="AB654" s="1096"/>
      <c r="AC654" s="1096"/>
      <c r="AD654" s="1096"/>
      <c r="AE654" s="1096"/>
      <c r="AF654" s="1096"/>
      <c r="AG654" s="1096"/>
      <c r="AH654" s="1096"/>
      <c r="AI654" s="1096"/>
      <c r="AJ654" s="1096"/>
      <c r="AK654" s="1096"/>
      <c r="AL654" s="1096"/>
      <c r="AM654" s="1096"/>
      <c r="AN654" s="1096"/>
      <c r="AO654" s="1096"/>
      <c r="AP654" s="1096"/>
      <c r="AQ654" s="1096"/>
      <c r="AR654" s="1096"/>
      <c r="AS654" s="1096"/>
      <c r="AT654" s="1096"/>
      <c r="AU654" s="1096"/>
      <c r="AV654" s="1096"/>
      <c r="AW654" s="1096"/>
      <c r="AX654" s="1096"/>
      <c r="AY654" s="1096"/>
    </row>
    <row r="655" spans="1:51" x14ac:dyDescent="0.45">
      <c r="A655" s="1096">
        <v>1993</v>
      </c>
      <c r="B655" s="1096" t="s">
        <v>1375</v>
      </c>
      <c r="C655" s="1113">
        <f>[7]LRAll!C646</f>
        <v>141.30000000000001</v>
      </c>
      <c r="D655" s="1113">
        <f>[7]LRAll!I646</f>
        <v>125.4</v>
      </c>
      <c r="E655" s="1096"/>
      <c r="F655" s="1114">
        <f t="shared" si="18"/>
        <v>88.747346072186829</v>
      </c>
      <c r="G655" s="1112">
        <f t="shared" si="19"/>
        <v>79.68860580325547</v>
      </c>
      <c r="H655" s="1112">
        <f t="shared" si="20"/>
        <v>76.43312101910827</v>
      </c>
      <c r="I655" s="1112">
        <f t="shared" si="21"/>
        <v>80.184005661712661</v>
      </c>
      <c r="J655" s="1112">
        <f t="shared" si="22"/>
        <v>99.150743099787675</v>
      </c>
      <c r="K655" s="1096"/>
      <c r="L655" s="1096"/>
      <c r="M655" s="1096"/>
      <c r="N655" s="1096"/>
      <c r="O655" s="1096"/>
      <c r="P655" s="1114">
        <v>125.4</v>
      </c>
      <c r="Q655" s="1096" t="s">
        <v>1510</v>
      </c>
      <c r="R655" s="1114">
        <v>112.6</v>
      </c>
      <c r="S655" s="1096" t="s">
        <v>1510</v>
      </c>
      <c r="T655" s="1114">
        <v>108</v>
      </c>
      <c r="U655" s="1096" t="s">
        <v>1510</v>
      </c>
      <c r="V655" s="1114">
        <v>113.3</v>
      </c>
      <c r="W655" s="1096" t="s">
        <v>1510</v>
      </c>
      <c r="X655" s="1114">
        <v>140.1</v>
      </c>
      <c r="Y655" s="1096" t="s">
        <v>1510</v>
      </c>
      <c r="Z655" s="1114">
        <v>141.30000000000001</v>
      </c>
      <c r="AA655" s="1096"/>
      <c r="AB655" s="1096"/>
      <c r="AC655" s="1096"/>
      <c r="AD655" s="1096"/>
      <c r="AE655" s="1096"/>
      <c r="AF655" s="1096"/>
      <c r="AG655" s="1096"/>
      <c r="AH655" s="1096"/>
      <c r="AI655" s="1096"/>
      <c r="AJ655" s="1096"/>
      <c r="AK655" s="1096"/>
      <c r="AL655" s="1096"/>
      <c r="AM655" s="1096"/>
      <c r="AN655" s="1096"/>
      <c r="AO655" s="1096"/>
      <c r="AP655" s="1096"/>
      <c r="AQ655" s="1096"/>
      <c r="AR655" s="1096"/>
      <c r="AS655" s="1096"/>
      <c r="AT655" s="1096"/>
      <c r="AU655" s="1096"/>
      <c r="AV655" s="1096"/>
      <c r="AW655" s="1096"/>
      <c r="AX655" s="1096"/>
      <c r="AY655" s="1096"/>
    </row>
    <row r="656" spans="1:51" x14ac:dyDescent="0.45">
      <c r="A656" s="1096">
        <v>1993</v>
      </c>
      <c r="B656" s="1096" t="s">
        <v>1377</v>
      </c>
      <c r="C656" s="1113">
        <f>[7]LRAll!C647</f>
        <v>141.9</v>
      </c>
      <c r="D656" s="1113">
        <f>[7]LRAll!I647</f>
        <v>125.7</v>
      </c>
      <c r="E656" s="1096"/>
      <c r="F656" s="1114">
        <f t="shared" si="18"/>
        <v>88.583509513742072</v>
      </c>
      <c r="G656" s="1112">
        <f t="shared" si="19"/>
        <v>83.086680761099359</v>
      </c>
      <c r="H656" s="1112">
        <f t="shared" si="20"/>
        <v>76.391825229034524</v>
      </c>
      <c r="I656" s="1112">
        <f t="shared" si="21"/>
        <v>79.84496124031007</v>
      </c>
      <c r="J656" s="1112">
        <f t="shared" si="22"/>
        <v>98.80197322057785</v>
      </c>
      <c r="K656" s="1096"/>
      <c r="L656" s="1096"/>
      <c r="M656" s="1096"/>
      <c r="N656" s="1096"/>
      <c r="O656" s="1096"/>
      <c r="P656" s="1114">
        <v>125.7</v>
      </c>
      <c r="Q656" s="1096" t="s">
        <v>1511</v>
      </c>
      <c r="R656" s="1114">
        <v>117.9</v>
      </c>
      <c r="S656" s="1096" t="s">
        <v>1511</v>
      </c>
      <c r="T656" s="1114">
        <v>108.4</v>
      </c>
      <c r="U656" s="1096" t="s">
        <v>1511</v>
      </c>
      <c r="V656" s="1114">
        <v>113.3</v>
      </c>
      <c r="W656" s="1096" t="s">
        <v>1511</v>
      </c>
      <c r="X656" s="1114">
        <v>140.19999999999999</v>
      </c>
      <c r="Y656" s="1096" t="s">
        <v>1511</v>
      </c>
      <c r="Z656" s="1114">
        <v>141.9</v>
      </c>
      <c r="AA656" s="1096"/>
      <c r="AB656" s="1096"/>
      <c r="AC656" s="1096"/>
      <c r="AD656" s="1096"/>
      <c r="AE656" s="1096"/>
      <c r="AF656" s="1096"/>
      <c r="AG656" s="1096"/>
      <c r="AH656" s="1096"/>
      <c r="AI656" s="1096"/>
      <c r="AJ656" s="1096"/>
      <c r="AK656" s="1096"/>
      <c r="AL656" s="1096"/>
      <c r="AM656" s="1096"/>
      <c r="AN656" s="1096"/>
      <c r="AO656" s="1096"/>
      <c r="AP656" s="1096"/>
      <c r="AQ656" s="1096"/>
      <c r="AR656" s="1096"/>
      <c r="AS656" s="1096"/>
      <c r="AT656" s="1096"/>
      <c r="AU656" s="1096"/>
      <c r="AV656" s="1096"/>
      <c r="AW656" s="1096"/>
      <c r="AX656" s="1096"/>
      <c r="AY656" s="1096"/>
    </row>
    <row r="657" spans="1:51" x14ac:dyDescent="0.45">
      <c r="A657" s="1096">
        <v>1993</v>
      </c>
      <c r="B657" s="1096" t="s">
        <v>1379</v>
      </c>
      <c r="C657" s="1113">
        <f>[7]LRAll!C648</f>
        <v>141.80000000000001</v>
      </c>
      <c r="D657" s="1113">
        <f>[7]LRAll!I648</f>
        <v>125.9</v>
      </c>
      <c r="E657" s="1096"/>
      <c r="F657" s="1114">
        <f t="shared" si="18"/>
        <v>88.787023977432995</v>
      </c>
      <c r="G657" s="1112">
        <f t="shared" si="19"/>
        <v>84.062059238363886</v>
      </c>
      <c r="H657" s="1112">
        <f t="shared" si="20"/>
        <v>79.337094499294778</v>
      </c>
      <c r="I657" s="1112">
        <f t="shared" si="21"/>
        <v>79.901269393511981</v>
      </c>
      <c r="J657" s="1112">
        <f t="shared" si="22"/>
        <v>98.871650211565566</v>
      </c>
      <c r="K657" s="1096"/>
      <c r="L657" s="1096"/>
      <c r="M657" s="1096"/>
      <c r="N657" s="1096"/>
      <c r="O657" s="1096"/>
      <c r="P657" s="1114">
        <v>125.9</v>
      </c>
      <c r="Q657" s="1096" t="s">
        <v>1512</v>
      </c>
      <c r="R657" s="1114">
        <v>119.2</v>
      </c>
      <c r="S657" s="1096" t="s">
        <v>1512</v>
      </c>
      <c r="T657" s="1114">
        <v>112.5</v>
      </c>
      <c r="U657" s="1096" t="s">
        <v>1512</v>
      </c>
      <c r="V657" s="1114">
        <v>113.3</v>
      </c>
      <c r="W657" s="1096" t="s">
        <v>1512</v>
      </c>
      <c r="X657" s="1114">
        <v>140.19999999999999</v>
      </c>
      <c r="Y657" s="1096" t="s">
        <v>1512</v>
      </c>
      <c r="Z657" s="1114">
        <v>141.80000000000001</v>
      </c>
      <c r="AA657" s="1096"/>
      <c r="AB657" s="1096"/>
      <c r="AC657" s="1096"/>
      <c r="AD657" s="1096"/>
      <c r="AE657" s="1096"/>
      <c r="AF657" s="1096"/>
      <c r="AG657" s="1096"/>
      <c r="AH657" s="1096"/>
      <c r="AI657" s="1096"/>
      <c r="AJ657" s="1096"/>
      <c r="AK657" s="1096"/>
      <c r="AL657" s="1096"/>
      <c r="AM657" s="1096"/>
      <c r="AN657" s="1096"/>
      <c r="AO657" s="1096"/>
      <c r="AP657" s="1096"/>
      <c r="AQ657" s="1096"/>
      <c r="AR657" s="1096"/>
      <c r="AS657" s="1096"/>
      <c r="AT657" s="1096"/>
      <c r="AU657" s="1096"/>
      <c r="AV657" s="1096"/>
      <c r="AW657" s="1096"/>
      <c r="AX657" s="1096"/>
      <c r="AY657" s="1096"/>
    </row>
    <row r="658" spans="1:51" x14ac:dyDescent="0.45">
      <c r="A658" s="1096">
        <v>1993</v>
      </c>
      <c r="B658" s="1096" t="s">
        <v>1381</v>
      </c>
      <c r="C658" s="1113">
        <f>[7]LRAll!C649</f>
        <v>141.6</v>
      </c>
      <c r="D658" s="1113">
        <f>[7]LRAll!I649</f>
        <v>125.8</v>
      </c>
      <c r="E658" s="1096"/>
      <c r="F658" s="1114">
        <f t="shared" si="18"/>
        <v>88.841807909604526</v>
      </c>
      <c r="G658" s="1112">
        <f t="shared" si="19"/>
        <v>83.545197740112997</v>
      </c>
      <c r="H658" s="1112">
        <f t="shared" si="20"/>
        <v>79.166666666666657</v>
      </c>
      <c r="I658" s="1112">
        <f t="shared" si="21"/>
        <v>80.014124293785315</v>
      </c>
      <c r="J658" s="1112">
        <f t="shared" si="22"/>
        <v>98.870056497175142</v>
      </c>
      <c r="K658" s="1096"/>
      <c r="L658" s="1096"/>
      <c r="M658" s="1096"/>
      <c r="N658" s="1096"/>
      <c r="O658" s="1096"/>
      <c r="P658" s="1114">
        <v>125.8</v>
      </c>
      <c r="Q658" s="1096" t="s">
        <v>1513</v>
      </c>
      <c r="R658" s="1114">
        <v>118.3</v>
      </c>
      <c r="S658" s="1096" t="s">
        <v>1513</v>
      </c>
      <c r="T658" s="1114">
        <v>112.1</v>
      </c>
      <c r="U658" s="1096" t="s">
        <v>1513</v>
      </c>
      <c r="V658" s="1114">
        <v>113.3</v>
      </c>
      <c r="W658" s="1096" t="s">
        <v>1513</v>
      </c>
      <c r="X658" s="1114">
        <v>140</v>
      </c>
      <c r="Y658" s="1096" t="s">
        <v>1513</v>
      </c>
      <c r="Z658" s="1114">
        <v>141.6</v>
      </c>
      <c r="AA658" s="1096"/>
      <c r="AB658" s="1096"/>
      <c r="AC658" s="1096"/>
      <c r="AD658" s="1096"/>
      <c r="AE658" s="1096"/>
      <c r="AF658" s="1096"/>
      <c r="AG658" s="1096"/>
      <c r="AH658" s="1096"/>
      <c r="AI658" s="1096"/>
      <c r="AJ658" s="1096"/>
      <c r="AK658" s="1096"/>
      <c r="AL658" s="1096"/>
      <c r="AM658" s="1096"/>
      <c r="AN658" s="1096"/>
      <c r="AO658" s="1096"/>
      <c r="AP658" s="1096"/>
      <c r="AQ658" s="1096"/>
      <c r="AR658" s="1096"/>
      <c r="AS658" s="1096"/>
      <c r="AT658" s="1096"/>
      <c r="AU658" s="1096"/>
      <c r="AV658" s="1096"/>
      <c r="AW658" s="1096"/>
      <c r="AX658" s="1096"/>
      <c r="AY658" s="1096"/>
    </row>
    <row r="659" spans="1:51" x14ac:dyDescent="0.45">
      <c r="A659" s="1096">
        <v>1993</v>
      </c>
      <c r="B659" s="1096" t="s">
        <v>1383</v>
      </c>
      <c r="C659" s="1113">
        <f>[7]LRAll!C650</f>
        <v>141.9</v>
      </c>
      <c r="D659" s="1113">
        <f>[7]LRAll!I650</f>
        <v>125.6</v>
      </c>
      <c r="E659" s="1096"/>
      <c r="F659" s="1114">
        <f t="shared" si="18"/>
        <v>88.513037350246648</v>
      </c>
      <c r="G659" s="1112">
        <f t="shared" si="19"/>
        <v>84.425651867512329</v>
      </c>
      <c r="H659" s="1112">
        <f t="shared" si="20"/>
        <v>78.224101479915433</v>
      </c>
      <c r="I659" s="1112">
        <f t="shared" si="21"/>
        <v>79.84496124031007</v>
      </c>
      <c r="J659" s="1112">
        <f t="shared" si="22"/>
        <v>98.379140239605348</v>
      </c>
      <c r="K659" s="1096"/>
      <c r="L659" s="1096"/>
      <c r="M659" s="1096"/>
      <c r="N659" s="1096"/>
      <c r="O659" s="1096"/>
      <c r="P659" s="1114">
        <v>125.6</v>
      </c>
      <c r="Q659" s="1096" t="s">
        <v>1514</v>
      </c>
      <c r="R659" s="1114">
        <v>119.8</v>
      </c>
      <c r="S659" s="1096" t="s">
        <v>1514</v>
      </c>
      <c r="T659" s="1114">
        <v>111</v>
      </c>
      <c r="U659" s="1096" t="s">
        <v>1514</v>
      </c>
      <c r="V659" s="1114">
        <v>113.3</v>
      </c>
      <c r="W659" s="1096" t="s">
        <v>1514</v>
      </c>
      <c r="X659" s="1114">
        <v>139.6</v>
      </c>
      <c r="Y659" s="1096" t="s">
        <v>1514</v>
      </c>
      <c r="Z659" s="1114">
        <v>141.9</v>
      </c>
      <c r="AA659" s="1096"/>
      <c r="AB659" s="1096"/>
      <c r="AC659" s="1096"/>
      <c r="AD659" s="1096"/>
      <c r="AE659" s="1096"/>
      <c r="AF659" s="1096"/>
      <c r="AG659" s="1096"/>
      <c r="AH659" s="1096"/>
      <c r="AI659" s="1096"/>
      <c r="AJ659" s="1096"/>
      <c r="AK659" s="1096"/>
      <c r="AL659" s="1096"/>
      <c r="AM659" s="1096"/>
      <c r="AN659" s="1096"/>
      <c r="AO659" s="1096"/>
      <c r="AP659" s="1096"/>
      <c r="AQ659" s="1096"/>
      <c r="AR659" s="1096"/>
      <c r="AS659" s="1096"/>
      <c r="AT659" s="1096"/>
      <c r="AU659" s="1096"/>
      <c r="AV659" s="1096"/>
      <c r="AW659" s="1096"/>
      <c r="AX659" s="1096"/>
      <c r="AY659" s="1096"/>
    </row>
    <row r="660" spans="1:51" x14ac:dyDescent="0.45">
      <c r="A660" s="1096">
        <v>1994</v>
      </c>
      <c r="B660" s="1096" t="s">
        <v>1385</v>
      </c>
      <c r="C660" s="1113">
        <f>[7]LRAll!C651</f>
        <v>141.30000000000001</v>
      </c>
      <c r="D660" s="1113">
        <f>[7]LRAll!I651</f>
        <v>125.4</v>
      </c>
      <c r="E660" s="1096"/>
      <c r="F660" s="1114">
        <f t="shared" si="18"/>
        <v>88.747346072186829</v>
      </c>
      <c r="G660" s="1112">
        <f t="shared" si="19"/>
        <v>84.854918612880397</v>
      </c>
      <c r="H660" s="1112">
        <f t="shared" si="20"/>
        <v>77.070063694267503</v>
      </c>
      <c r="I660" s="1112">
        <f t="shared" si="21"/>
        <v>80.184005661712661</v>
      </c>
      <c r="J660" s="1112">
        <f t="shared" si="22"/>
        <v>98.513800424628442</v>
      </c>
      <c r="K660" s="1096"/>
      <c r="L660" s="1096"/>
      <c r="M660" s="1096"/>
      <c r="N660" s="1096"/>
      <c r="O660" s="1096"/>
      <c r="P660" s="1114">
        <v>125.4</v>
      </c>
      <c r="Q660" s="1096" t="s">
        <v>1515</v>
      </c>
      <c r="R660" s="1114">
        <v>119.9</v>
      </c>
      <c r="S660" s="1096" t="s">
        <v>1515</v>
      </c>
      <c r="T660" s="1114">
        <v>108.9</v>
      </c>
      <c r="U660" s="1096" t="s">
        <v>1515</v>
      </c>
      <c r="V660" s="1114">
        <v>113.3</v>
      </c>
      <c r="W660" s="1096" t="s">
        <v>1515</v>
      </c>
      <c r="X660" s="1114">
        <v>139.19999999999999</v>
      </c>
      <c r="Y660" s="1096" t="s">
        <v>1515</v>
      </c>
      <c r="Z660" s="1114">
        <v>141.30000000000001</v>
      </c>
      <c r="AA660" s="1096"/>
      <c r="AB660" s="1096"/>
      <c r="AC660" s="1096"/>
      <c r="AD660" s="1096"/>
      <c r="AE660" s="1096"/>
      <c r="AF660" s="1096"/>
      <c r="AG660" s="1096"/>
      <c r="AH660" s="1096"/>
      <c r="AI660" s="1096"/>
      <c r="AJ660" s="1096"/>
      <c r="AK660" s="1096"/>
      <c r="AL660" s="1096"/>
      <c r="AM660" s="1096"/>
      <c r="AN660" s="1096"/>
      <c r="AO660" s="1096"/>
      <c r="AP660" s="1096"/>
      <c r="AQ660" s="1096"/>
      <c r="AR660" s="1096"/>
      <c r="AS660" s="1096"/>
      <c r="AT660" s="1096"/>
      <c r="AU660" s="1096"/>
      <c r="AV660" s="1096"/>
      <c r="AW660" s="1096"/>
      <c r="AX660" s="1096"/>
      <c r="AY660" s="1096"/>
    </row>
    <row r="661" spans="1:51" x14ac:dyDescent="0.45">
      <c r="A661" s="1096">
        <v>1994</v>
      </c>
      <c r="B661" s="1096" t="s">
        <v>1387</v>
      </c>
      <c r="C661" s="1113">
        <f>[7]LRAll!C652</f>
        <v>142.1</v>
      </c>
      <c r="D661" s="1113">
        <f>[7]LRAll!I652</f>
        <v>124.9</v>
      </c>
      <c r="E661" s="1096"/>
      <c r="F661" s="1114">
        <f t="shared" si="18"/>
        <v>87.895847994370172</v>
      </c>
      <c r="G661" s="1112">
        <f t="shared" si="19"/>
        <v>84.166080225193525</v>
      </c>
      <c r="H661" s="1112">
        <f t="shared" si="20"/>
        <v>75.299085151301909</v>
      </c>
      <c r="I661" s="1112">
        <f t="shared" si="21"/>
        <v>79.732582688247717</v>
      </c>
      <c r="J661" s="1112">
        <f t="shared" si="22"/>
        <v>97.396199859254054</v>
      </c>
      <c r="K661" s="1096"/>
      <c r="L661" s="1096"/>
      <c r="M661" s="1096"/>
      <c r="N661" s="1096"/>
      <c r="O661" s="1096"/>
      <c r="P661" s="1114">
        <v>124.9</v>
      </c>
      <c r="Q661" s="1096" t="s">
        <v>1516</v>
      </c>
      <c r="R661" s="1114">
        <v>119.6</v>
      </c>
      <c r="S661" s="1096" t="s">
        <v>1516</v>
      </c>
      <c r="T661" s="1114">
        <v>107</v>
      </c>
      <c r="U661" s="1096" t="s">
        <v>1516</v>
      </c>
      <c r="V661" s="1114">
        <v>113.3</v>
      </c>
      <c r="W661" s="1096" t="s">
        <v>1516</v>
      </c>
      <c r="X661" s="1114">
        <v>138.4</v>
      </c>
      <c r="Y661" s="1096" t="s">
        <v>1516</v>
      </c>
      <c r="Z661" s="1114">
        <v>142.1</v>
      </c>
      <c r="AA661" s="1096"/>
      <c r="AB661" s="1096"/>
      <c r="AC661" s="1096"/>
      <c r="AD661" s="1096"/>
      <c r="AE661" s="1096"/>
      <c r="AF661" s="1096"/>
      <c r="AG661" s="1096"/>
      <c r="AH661" s="1096"/>
      <c r="AI661" s="1096"/>
      <c r="AJ661" s="1096"/>
      <c r="AK661" s="1096"/>
      <c r="AL661" s="1096"/>
      <c r="AM661" s="1096"/>
      <c r="AN661" s="1096"/>
      <c r="AO661" s="1096"/>
      <c r="AP661" s="1096"/>
      <c r="AQ661" s="1096"/>
      <c r="AR661" s="1096"/>
      <c r="AS661" s="1096"/>
      <c r="AT661" s="1096"/>
      <c r="AU661" s="1096"/>
      <c r="AV661" s="1096"/>
      <c r="AW661" s="1096"/>
      <c r="AX661" s="1096"/>
      <c r="AY661" s="1096"/>
    </row>
    <row r="662" spans="1:51" x14ac:dyDescent="0.45">
      <c r="A662" s="1096">
        <v>1994</v>
      </c>
      <c r="B662" s="1096" t="s">
        <v>1389</v>
      </c>
      <c r="C662" s="1113">
        <f>[7]LRAll!C653</f>
        <v>142.5</v>
      </c>
      <c r="D662" s="1113">
        <f>[7]LRAll!I653</f>
        <v>124.5</v>
      </c>
      <c r="E662" s="1096"/>
      <c r="F662" s="1114">
        <f t="shared" si="18"/>
        <v>87.368421052631589</v>
      </c>
      <c r="G662" s="1112">
        <f t="shared" si="19"/>
        <v>83.78947368421052</v>
      </c>
      <c r="H662" s="1112">
        <f t="shared" si="20"/>
        <v>74.666666666666671</v>
      </c>
      <c r="I662" s="1112">
        <f t="shared" si="21"/>
        <v>79.508771929824562</v>
      </c>
      <c r="J662" s="1112">
        <f t="shared" si="22"/>
        <v>96.631578947368411</v>
      </c>
      <c r="K662" s="1096"/>
      <c r="L662" s="1096"/>
      <c r="M662" s="1096"/>
      <c r="N662" s="1096"/>
      <c r="O662" s="1096"/>
      <c r="P662" s="1114">
        <v>124.5</v>
      </c>
      <c r="Q662" s="1096" t="s">
        <v>1517</v>
      </c>
      <c r="R662" s="1114">
        <v>119.4</v>
      </c>
      <c r="S662" s="1096" t="s">
        <v>1517</v>
      </c>
      <c r="T662" s="1114">
        <v>106.4</v>
      </c>
      <c r="U662" s="1096" t="s">
        <v>1517</v>
      </c>
      <c r="V662" s="1114">
        <v>113.3</v>
      </c>
      <c r="W662" s="1096" t="s">
        <v>1517</v>
      </c>
      <c r="X662" s="1114">
        <v>137.69999999999999</v>
      </c>
      <c r="Y662" s="1096" t="s">
        <v>1517</v>
      </c>
      <c r="Z662" s="1114">
        <v>142.5</v>
      </c>
      <c r="AA662" s="1096"/>
      <c r="AB662" s="1096"/>
      <c r="AC662" s="1096"/>
      <c r="AD662" s="1096"/>
      <c r="AE662" s="1096"/>
      <c r="AF662" s="1096"/>
      <c r="AG662" s="1096"/>
      <c r="AH662" s="1096"/>
      <c r="AI662" s="1096"/>
      <c r="AJ662" s="1096"/>
      <c r="AK662" s="1096"/>
      <c r="AL662" s="1096"/>
      <c r="AM662" s="1096"/>
      <c r="AN662" s="1096"/>
      <c r="AO662" s="1096"/>
      <c r="AP662" s="1096"/>
      <c r="AQ662" s="1096"/>
      <c r="AR662" s="1096"/>
      <c r="AS662" s="1096"/>
      <c r="AT662" s="1096"/>
      <c r="AU662" s="1096"/>
      <c r="AV662" s="1096"/>
      <c r="AW662" s="1096"/>
      <c r="AX662" s="1096"/>
      <c r="AY662" s="1096"/>
    </row>
    <row r="663" spans="1:51" x14ac:dyDescent="0.45">
      <c r="A663" s="1096">
        <v>1994</v>
      </c>
      <c r="B663" s="1096" t="s">
        <v>1391</v>
      </c>
      <c r="C663" s="1113">
        <f>[7]LRAll!C654</f>
        <v>144.19999999999999</v>
      </c>
      <c r="D663" s="1113">
        <f>[7]LRAll!I654</f>
        <v>134.30000000000001</v>
      </c>
      <c r="E663" s="1096"/>
      <c r="F663" s="1114">
        <f t="shared" si="18"/>
        <v>93.134535367545084</v>
      </c>
      <c r="G663" s="1112">
        <f t="shared" si="19"/>
        <v>89.042995839112365</v>
      </c>
      <c r="H663" s="1112">
        <f t="shared" si="20"/>
        <v>80.443828016643565</v>
      </c>
      <c r="I663" s="1112">
        <f t="shared" si="21"/>
        <v>84.882108183079069</v>
      </c>
      <c r="J663" s="1112">
        <f t="shared" si="22"/>
        <v>102.91262135922332</v>
      </c>
      <c r="K663" s="1096"/>
      <c r="L663" s="1096"/>
      <c r="M663" s="1096"/>
      <c r="N663" s="1096"/>
      <c r="O663" s="1096"/>
      <c r="P663" s="1114">
        <v>134.30000000000001</v>
      </c>
      <c r="Q663" s="1096" t="s">
        <v>1518</v>
      </c>
      <c r="R663" s="1114">
        <v>128.4</v>
      </c>
      <c r="S663" s="1096" t="s">
        <v>1518</v>
      </c>
      <c r="T663" s="1114">
        <v>116</v>
      </c>
      <c r="U663" s="1096" t="s">
        <v>1518</v>
      </c>
      <c r="V663" s="1114">
        <v>122.4</v>
      </c>
      <c r="W663" s="1096" t="s">
        <v>1518</v>
      </c>
      <c r="X663" s="1114">
        <v>148.4</v>
      </c>
      <c r="Y663" s="1096" t="s">
        <v>1518</v>
      </c>
      <c r="Z663" s="1114">
        <v>144.19999999999999</v>
      </c>
      <c r="AA663" s="1096"/>
      <c r="AB663" s="1096"/>
      <c r="AC663" s="1096"/>
      <c r="AD663" s="1096"/>
      <c r="AE663" s="1096"/>
      <c r="AF663" s="1096"/>
      <c r="AG663" s="1096"/>
      <c r="AH663" s="1096"/>
      <c r="AI663" s="1096"/>
      <c r="AJ663" s="1096"/>
      <c r="AK663" s="1096"/>
      <c r="AL663" s="1096"/>
      <c r="AM663" s="1096"/>
      <c r="AN663" s="1096"/>
      <c r="AO663" s="1096"/>
      <c r="AP663" s="1096"/>
      <c r="AQ663" s="1096"/>
      <c r="AR663" s="1096"/>
      <c r="AS663" s="1096"/>
      <c r="AT663" s="1096"/>
      <c r="AU663" s="1096"/>
      <c r="AV663" s="1096"/>
      <c r="AW663" s="1096"/>
      <c r="AX663" s="1096"/>
      <c r="AY663" s="1096"/>
    </row>
    <row r="664" spans="1:51" x14ac:dyDescent="0.45">
      <c r="A664" s="1096">
        <v>1994</v>
      </c>
      <c r="B664" s="1096" t="s">
        <v>1393</v>
      </c>
      <c r="C664" s="1113">
        <f>[7]LRAll!C655</f>
        <v>144.69999999999999</v>
      </c>
      <c r="D664" s="1113">
        <f>[7]LRAll!I655</f>
        <v>133.80000000000001</v>
      </c>
      <c r="E664" s="1096"/>
      <c r="F664" s="1114">
        <f t="shared" si="18"/>
        <v>92.467173462335879</v>
      </c>
      <c r="G664" s="1112">
        <f t="shared" si="19"/>
        <v>85.625431928127171</v>
      </c>
      <c r="H664" s="1112">
        <f t="shared" si="20"/>
        <v>80.165860400829303</v>
      </c>
      <c r="I664" s="1112">
        <f t="shared" si="21"/>
        <v>84.588804422944037</v>
      </c>
      <c r="J664" s="1112">
        <f t="shared" si="22"/>
        <v>102.07325501036628</v>
      </c>
      <c r="K664" s="1096"/>
      <c r="L664" s="1096"/>
      <c r="M664" s="1096"/>
      <c r="N664" s="1096"/>
      <c r="O664" s="1096"/>
      <c r="P664" s="1114">
        <v>133.80000000000001</v>
      </c>
      <c r="Q664" s="1096" t="s">
        <v>1519</v>
      </c>
      <c r="R664" s="1114">
        <v>123.9</v>
      </c>
      <c r="S664" s="1096" t="s">
        <v>1519</v>
      </c>
      <c r="T664" s="1114">
        <v>116</v>
      </c>
      <c r="U664" s="1096" t="s">
        <v>1519</v>
      </c>
      <c r="V664" s="1114">
        <v>122.4</v>
      </c>
      <c r="W664" s="1096" t="s">
        <v>1519</v>
      </c>
      <c r="X664" s="1114">
        <v>147.69999999999999</v>
      </c>
      <c r="Y664" s="1096" t="s">
        <v>1519</v>
      </c>
      <c r="Z664" s="1114">
        <v>144.69999999999999</v>
      </c>
      <c r="AA664" s="1096"/>
      <c r="AB664" s="1096"/>
      <c r="AC664" s="1096"/>
      <c r="AD664" s="1096"/>
      <c r="AE664" s="1096"/>
      <c r="AF664" s="1096"/>
      <c r="AG664" s="1096"/>
      <c r="AH664" s="1096"/>
      <c r="AI664" s="1096"/>
      <c r="AJ664" s="1096"/>
      <c r="AK664" s="1096"/>
      <c r="AL664" s="1096"/>
      <c r="AM664" s="1096"/>
      <c r="AN664" s="1096"/>
      <c r="AO664" s="1096"/>
      <c r="AP664" s="1096"/>
      <c r="AQ664" s="1096"/>
      <c r="AR664" s="1096"/>
      <c r="AS664" s="1096"/>
      <c r="AT664" s="1096"/>
      <c r="AU664" s="1096"/>
      <c r="AV664" s="1096"/>
      <c r="AW664" s="1096"/>
      <c r="AX664" s="1096"/>
      <c r="AY664" s="1096"/>
    </row>
    <row r="665" spans="1:51" x14ac:dyDescent="0.45">
      <c r="A665" s="1096">
        <v>1994</v>
      </c>
      <c r="B665" s="1096" t="s">
        <v>1371</v>
      </c>
      <c r="C665" s="1113">
        <f>[7]LRAll!C656</f>
        <v>144.69999999999999</v>
      </c>
      <c r="D665" s="1113">
        <f>[7]LRAll!I656</f>
        <v>133.69999999999999</v>
      </c>
      <c r="E665" s="1096"/>
      <c r="F665" s="1114">
        <f t="shared" si="18"/>
        <v>92.398064961990329</v>
      </c>
      <c r="G665" s="1112">
        <f t="shared" si="19"/>
        <v>85.279889426399464</v>
      </c>
      <c r="H665" s="1112">
        <f t="shared" si="20"/>
        <v>79.060124395300633</v>
      </c>
      <c r="I665" s="1112">
        <f t="shared" si="21"/>
        <v>84.588804422944037</v>
      </c>
      <c r="J665" s="1112">
        <f t="shared" si="22"/>
        <v>102.00414651002075</v>
      </c>
      <c r="K665" s="1096"/>
      <c r="L665" s="1096"/>
      <c r="M665" s="1096"/>
      <c r="N665" s="1096"/>
      <c r="O665" s="1096"/>
      <c r="P665" s="1114">
        <v>133.69999999999999</v>
      </c>
      <c r="Q665" s="1096" t="s">
        <v>1520</v>
      </c>
      <c r="R665" s="1114">
        <v>123.4</v>
      </c>
      <c r="S665" s="1096" t="s">
        <v>1520</v>
      </c>
      <c r="T665" s="1114">
        <v>114.4</v>
      </c>
      <c r="U665" s="1096" t="s">
        <v>1520</v>
      </c>
      <c r="V665" s="1114">
        <v>122.4</v>
      </c>
      <c r="W665" s="1096" t="s">
        <v>1520</v>
      </c>
      <c r="X665" s="1114">
        <v>147.6</v>
      </c>
      <c r="Y665" s="1096" t="s">
        <v>1520</v>
      </c>
      <c r="Z665" s="1114">
        <v>144.69999999999999</v>
      </c>
      <c r="AA665" s="1096"/>
      <c r="AB665" s="1096"/>
      <c r="AC665" s="1096"/>
      <c r="AD665" s="1096"/>
      <c r="AE665" s="1096"/>
      <c r="AF665" s="1096"/>
      <c r="AG665" s="1096"/>
      <c r="AH665" s="1096"/>
      <c r="AI665" s="1096"/>
      <c r="AJ665" s="1096"/>
      <c r="AK665" s="1096"/>
      <c r="AL665" s="1096"/>
      <c r="AM665" s="1096"/>
      <c r="AN665" s="1096"/>
      <c r="AO665" s="1096"/>
      <c r="AP665" s="1096"/>
      <c r="AQ665" s="1096"/>
      <c r="AR665" s="1096"/>
      <c r="AS665" s="1096"/>
      <c r="AT665" s="1096"/>
      <c r="AU665" s="1096"/>
      <c r="AV665" s="1096"/>
      <c r="AW665" s="1096"/>
      <c r="AX665" s="1096"/>
      <c r="AY665" s="1096"/>
    </row>
    <row r="666" spans="1:51" x14ac:dyDescent="0.45">
      <c r="A666" s="1096">
        <v>1994</v>
      </c>
      <c r="B666" s="1096" t="s">
        <v>1373</v>
      </c>
      <c r="C666" s="1113">
        <f>[7]LRAll!C657</f>
        <v>144</v>
      </c>
      <c r="D666" s="1113">
        <f>[7]LRAll!I657</f>
        <v>133.9</v>
      </c>
      <c r="E666" s="1096"/>
      <c r="F666" s="1114">
        <f t="shared" si="18"/>
        <v>92.986111111111114</v>
      </c>
      <c r="G666" s="1112">
        <f t="shared" si="19"/>
        <v>85.555555555555557</v>
      </c>
      <c r="H666" s="1112">
        <f t="shared" si="20"/>
        <v>79.027777777777771</v>
      </c>
      <c r="I666" s="1112">
        <f t="shared" si="21"/>
        <v>85.000000000000014</v>
      </c>
      <c r="J666" s="1112">
        <f t="shared" si="22"/>
        <v>102.98611111111111</v>
      </c>
      <c r="K666" s="1096"/>
      <c r="L666" s="1096"/>
      <c r="M666" s="1096"/>
      <c r="N666" s="1096"/>
      <c r="O666" s="1096"/>
      <c r="P666" s="1114">
        <v>133.9</v>
      </c>
      <c r="Q666" s="1096" t="s">
        <v>1521</v>
      </c>
      <c r="R666" s="1114">
        <v>123.2</v>
      </c>
      <c r="S666" s="1096" t="s">
        <v>1521</v>
      </c>
      <c r="T666" s="1114">
        <v>113.8</v>
      </c>
      <c r="U666" s="1096" t="s">
        <v>1521</v>
      </c>
      <c r="V666" s="1114">
        <v>122.4</v>
      </c>
      <c r="W666" s="1096" t="s">
        <v>1521</v>
      </c>
      <c r="X666" s="1114">
        <v>148.30000000000001</v>
      </c>
      <c r="Y666" s="1096" t="s">
        <v>1521</v>
      </c>
      <c r="Z666" s="1114">
        <v>144</v>
      </c>
      <c r="AA666" s="1096"/>
      <c r="AB666" s="1096"/>
      <c r="AC666" s="1096"/>
      <c r="AD666" s="1096"/>
      <c r="AE666" s="1096"/>
      <c r="AF666" s="1096"/>
      <c r="AG666" s="1096"/>
      <c r="AH666" s="1096"/>
      <c r="AI666" s="1096"/>
      <c r="AJ666" s="1096"/>
      <c r="AK666" s="1096"/>
      <c r="AL666" s="1096"/>
      <c r="AM666" s="1096"/>
      <c r="AN666" s="1096"/>
      <c r="AO666" s="1096"/>
      <c r="AP666" s="1096"/>
      <c r="AQ666" s="1096"/>
      <c r="AR666" s="1096"/>
      <c r="AS666" s="1096"/>
      <c r="AT666" s="1096"/>
      <c r="AU666" s="1096"/>
      <c r="AV666" s="1096"/>
      <c r="AW666" s="1096"/>
      <c r="AX666" s="1096"/>
      <c r="AY666" s="1096"/>
    </row>
    <row r="667" spans="1:51" x14ac:dyDescent="0.45">
      <c r="A667" s="1096">
        <v>1994</v>
      </c>
      <c r="B667" s="1096" t="s">
        <v>1375</v>
      </c>
      <c r="C667" s="1113">
        <f>[7]LRAll!C658</f>
        <v>144.69999999999999</v>
      </c>
      <c r="D667" s="1113">
        <f>[7]LRAll!I658</f>
        <v>134.19999999999999</v>
      </c>
      <c r="E667" s="1096"/>
      <c r="F667" s="1114">
        <f t="shared" si="18"/>
        <v>92.743607463718035</v>
      </c>
      <c r="G667" s="1112">
        <f t="shared" si="19"/>
        <v>85.003455425017279</v>
      </c>
      <c r="H667" s="1112">
        <f t="shared" si="20"/>
        <v>78.714581893572927</v>
      </c>
      <c r="I667" s="1112">
        <f t="shared" si="21"/>
        <v>84.588804422944037</v>
      </c>
      <c r="J667" s="1112">
        <f t="shared" si="22"/>
        <v>102.90255701451281</v>
      </c>
      <c r="K667" s="1096"/>
      <c r="L667" s="1096"/>
      <c r="M667" s="1096"/>
      <c r="N667" s="1096"/>
      <c r="O667" s="1096"/>
      <c r="P667" s="1114">
        <v>134.19999999999999</v>
      </c>
      <c r="Q667" s="1096" t="s">
        <v>1522</v>
      </c>
      <c r="R667" s="1114">
        <v>123</v>
      </c>
      <c r="S667" s="1096" t="s">
        <v>1522</v>
      </c>
      <c r="T667" s="1114">
        <v>113.9</v>
      </c>
      <c r="U667" s="1096" t="s">
        <v>1522</v>
      </c>
      <c r="V667" s="1114">
        <v>122.4</v>
      </c>
      <c r="W667" s="1096" t="s">
        <v>1522</v>
      </c>
      <c r="X667" s="1114">
        <v>148.9</v>
      </c>
      <c r="Y667" s="1096" t="s">
        <v>1522</v>
      </c>
      <c r="Z667" s="1114">
        <v>144.69999999999999</v>
      </c>
      <c r="AA667" s="1096"/>
      <c r="AB667" s="1096"/>
      <c r="AC667" s="1096"/>
      <c r="AD667" s="1096"/>
      <c r="AE667" s="1096"/>
      <c r="AF667" s="1096"/>
      <c r="AG667" s="1096"/>
      <c r="AH667" s="1096"/>
      <c r="AI667" s="1096"/>
      <c r="AJ667" s="1096"/>
      <c r="AK667" s="1096"/>
      <c r="AL667" s="1096"/>
      <c r="AM667" s="1096"/>
      <c r="AN667" s="1096"/>
      <c r="AO667" s="1096"/>
      <c r="AP667" s="1096"/>
      <c r="AQ667" s="1096"/>
      <c r="AR667" s="1096"/>
      <c r="AS667" s="1096"/>
      <c r="AT667" s="1096"/>
      <c r="AU667" s="1096"/>
      <c r="AV667" s="1096"/>
      <c r="AW667" s="1096"/>
      <c r="AX667" s="1096"/>
      <c r="AY667" s="1096"/>
    </row>
    <row r="668" spans="1:51" x14ac:dyDescent="0.45">
      <c r="A668" s="1096">
        <v>1994</v>
      </c>
      <c r="B668" s="1096" t="s">
        <v>1377</v>
      </c>
      <c r="C668" s="1113">
        <f>[7]LRAll!C659</f>
        <v>145</v>
      </c>
      <c r="D668" s="1113">
        <f>[7]LRAll!I659</f>
        <v>134.19999999999999</v>
      </c>
      <c r="E668" s="1096"/>
      <c r="F668" s="1114">
        <f t="shared" si="18"/>
        <v>92.551724137931018</v>
      </c>
      <c r="G668" s="1112">
        <f t="shared" si="19"/>
        <v>87.034482758620697</v>
      </c>
      <c r="H668" s="1112">
        <f t="shared" si="20"/>
        <v>78.068965517241381</v>
      </c>
      <c r="I668" s="1112">
        <f t="shared" si="21"/>
        <v>84.41379310344827</v>
      </c>
      <c r="J668" s="1112">
        <f t="shared" si="22"/>
        <v>102.48275862068965</v>
      </c>
      <c r="K668" s="1096"/>
      <c r="L668" s="1096"/>
      <c r="M668" s="1096"/>
      <c r="N668" s="1096"/>
      <c r="O668" s="1096"/>
      <c r="P668" s="1114">
        <v>134.19999999999999</v>
      </c>
      <c r="Q668" s="1096" t="s">
        <v>1523</v>
      </c>
      <c r="R668" s="1114">
        <v>126.2</v>
      </c>
      <c r="S668" s="1096" t="s">
        <v>1523</v>
      </c>
      <c r="T668" s="1114">
        <v>113.2</v>
      </c>
      <c r="U668" s="1096" t="s">
        <v>1523</v>
      </c>
      <c r="V668" s="1114">
        <v>122.4</v>
      </c>
      <c r="W668" s="1096" t="s">
        <v>1523</v>
      </c>
      <c r="X668" s="1114">
        <v>148.6</v>
      </c>
      <c r="Y668" s="1096" t="s">
        <v>1523</v>
      </c>
      <c r="Z668" s="1114">
        <v>145</v>
      </c>
      <c r="AA668" s="1096"/>
      <c r="AB668" s="1096"/>
      <c r="AC668" s="1096"/>
      <c r="AD668" s="1096"/>
      <c r="AE668" s="1096"/>
      <c r="AF668" s="1096"/>
      <c r="AG668" s="1096"/>
      <c r="AH668" s="1096"/>
      <c r="AI668" s="1096"/>
      <c r="AJ668" s="1096"/>
      <c r="AK668" s="1096"/>
      <c r="AL668" s="1096"/>
      <c r="AM668" s="1096"/>
      <c r="AN668" s="1096"/>
      <c r="AO668" s="1096"/>
      <c r="AP668" s="1096"/>
      <c r="AQ668" s="1096"/>
      <c r="AR668" s="1096"/>
      <c r="AS668" s="1096"/>
      <c r="AT668" s="1096"/>
      <c r="AU668" s="1096"/>
      <c r="AV668" s="1096"/>
      <c r="AW668" s="1096"/>
      <c r="AX668" s="1096"/>
      <c r="AY668" s="1096"/>
    </row>
    <row r="669" spans="1:51" x14ac:dyDescent="0.45">
      <c r="A669" s="1096">
        <v>1994</v>
      </c>
      <c r="B669" s="1096" t="s">
        <v>1379</v>
      </c>
      <c r="C669" s="1113">
        <f>[7]LRAll!C660</f>
        <v>145.19999999999999</v>
      </c>
      <c r="D669" s="1113">
        <f>[7]LRAll!I660</f>
        <v>134</v>
      </c>
      <c r="E669" s="1096"/>
      <c r="F669" s="1114">
        <f t="shared" si="18"/>
        <v>92.286501377410474</v>
      </c>
      <c r="G669" s="1112">
        <f t="shared" si="19"/>
        <v>88.016528925619838</v>
      </c>
      <c r="H669" s="1112">
        <f t="shared" si="20"/>
        <v>78.030303030303045</v>
      </c>
      <c r="I669" s="1112">
        <f t="shared" si="21"/>
        <v>84.297520661157037</v>
      </c>
      <c r="J669" s="1112">
        <f t="shared" si="22"/>
        <v>101.92837465564739</v>
      </c>
      <c r="K669" s="1096"/>
      <c r="L669" s="1096"/>
      <c r="M669" s="1096"/>
      <c r="N669" s="1096"/>
      <c r="O669" s="1096"/>
      <c r="P669" s="1114">
        <v>134</v>
      </c>
      <c r="Q669" s="1096" t="s">
        <v>1524</v>
      </c>
      <c r="R669" s="1114">
        <v>127.8</v>
      </c>
      <c r="S669" s="1096" t="s">
        <v>1524</v>
      </c>
      <c r="T669" s="1114">
        <v>113.3</v>
      </c>
      <c r="U669" s="1096" t="s">
        <v>1524</v>
      </c>
      <c r="V669" s="1114">
        <v>122.4</v>
      </c>
      <c r="W669" s="1096" t="s">
        <v>1524</v>
      </c>
      <c r="X669" s="1114">
        <v>148</v>
      </c>
      <c r="Y669" s="1096" t="s">
        <v>1524</v>
      </c>
      <c r="Z669" s="1114">
        <v>145.19999999999999</v>
      </c>
      <c r="AA669" s="1096"/>
      <c r="AB669" s="1096"/>
      <c r="AC669" s="1096"/>
      <c r="AD669" s="1096"/>
      <c r="AE669" s="1096"/>
      <c r="AF669" s="1096"/>
      <c r="AG669" s="1096"/>
      <c r="AH669" s="1096"/>
      <c r="AI669" s="1096"/>
      <c r="AJ669" s="1096"/>
      <c r="AK669" s="1096"/>
      <c r="AL669" s="1096"/>
      <c r="AM669" s="1096"/>
      <c r="AN669" s="1096"/>
      <c r="AO669" s="1096"/>
      <c r="AP669" s="1096"/>
      <c r="AQ669" s="1096"/>
      <c r="AR669" s="1096"/>
      <c r="AS669" s="1096"/>
      <c r="AT669" s="1096"/>
      <c r="AU669" s="1096"/>
      <c r="AV669" s="1096"/>
      <c r="AW669" s="1096"/>
      <c r="AX669" s="1096"/>
      <c r="AY669" s="1096"/>
    </row>
    <row r="670" spans="1:51" x14ac:dyDescent="0.45">
      <c r="A670" s="1096">
        <v>1994</v>
      </c>
      <c r="B670" s="1096" t="s">
        <v>1381</v>
      </c>
      <c r="C670" s="1113">
        <f>[7]LRAll!C661</f>
        <v>145.30000000000001</v>
      </c>
      <c r="D670" s="1113">
        <f>[7]LRAll!I661</f>
        <v>133.80000000000001</v>
      </c>
      <c r="E670" s="1096"/>
      <c r="F670" s="1114">
        <f t="shared" si="18"/>
        <v>92.085340674466622</v>
      </c>
      <c r="G670" s="1112">
        <f t="shared" si="19"/>
        <v>88.093599449414995</v>
      </c>
      <c r="H670" s="1112">
        <f t="shared" si="20"/>
        <v>77.701307639366817</v>
      </c>
      <c r="I670" s="1112">
        <f t="shared" si="21"/>
        <v>84.239504473503089</v>
      </c>
      <c r="J670" s="1112">
        <f t="shared" si="22"/>
        <v>101.65175498967652</v>
      </c>
      <c r="K670" s="1096"/>
      <c r="L670" s="1096"/>
      <c r="M670" s="1096"/>
      <c r="N670" s="1096"/>
      <c r="O670" s="1096"/>
      <c r="P670" s="1114">
        <v>133.80000000000001</v>
      </c>
      <c r="Q670" s="1096" t="s">
        <v>1525</v>
      </c>
      <c r="R670" s="1114">
        <v>128</v>
      </c>
      <c r="S670" s="1096" t="s">
        <v>1525</v>
      </c>
      <c r="T670" s="1114">
        <v>112.9</v>
      </c>
      <c r="U670" s="1096" t="s">
        <v>1525</v>
      </c>
      <c r="V670" s="1114">
        <v>122.4</v>
      </c>
      <c r="W670" s="1096" t="s">
        <v>1525</v>
      </c>
      <c r="X670" s="1114">
        <v>147.69999999999999</v>
      </c>
      <c r="Y670" s="1096" t="s">
        <v>1525</v>
      </c>
      <c r="Z670" s="1114">
        <v>145.30000000000001</v>
      </c>
      <c r="AA670" s="1096"/>
      <c r="AB670" s="1096"/>
      <c r="AC670" s="1096"/>
      <c r="AD670" s="1096"/>
      <c r="AE670" s="1096"/>
      <c r="AF670" s="1096"/>
      <c r="AG670" s="1096"/>
      <c r="AH670" s="1096"/>
      <c r="AI670" s="1096"/>
      <c r="AJ670" s="1096"/>
      <c r="AK670" s="1096"/>
      <c r="AL670" s="1096"/>
      <c r="AM670" s="1096"/>
      <c r="AN670" s="1096"/>
      <c r="AO670" s="1096"/>
      <c r="AP670" s="1096"/>
      <c r="AQ670" s="1096"/>
      <c r="AR670" s="1096"/>
      <c r="AS670" s="1096"/>
      <c r="AT670" s="1096"/>
      <c r="AU670" s="1096"/>
      <c r="AV670" s="1096"/>
      <c r="AW670" s="1096"/>
      <c r="AX670" s="1096"/>
      <c r="AY670" s="1096"/>
    </row>
    <row r="671" spans="1:51" x14ac:dyDescent="0.45">
      <c r="A671" s="1096">
        <v>1994</v>
      </c>
      <c r="B671" s="1096" t="s">
        <v>1383</v>
      </c>
      <c r="C671" s="1113">
        <f>[7]LRAll!C662</f>
        <v>146</v>
      </c>
      <c r="D671" s="1113">
        <f>[7]LRAll!I662</f>
        <v>133.80000000000001</v>
      </c>
      <c r="E671" s="1096"/>
      <c r="F671" s="1114">
        <f t="shared" si="18"/>
        <v>91.643835616438366</v>
      </c>
      <c r="G671" s="1112">
        <f t="shared" si="19"/>
        <v>87.876712328767127</v>
      </c>
      <c r="H671" s="1112">
        <f t="shared" si="20"/>
        <v>76.575342465753423</v>
      </c>
      <c r="I671" s="1112">
        <f t="shared" si="21"/>
        <v>83.835616438356169</v>
      </c>
      <c r="J671" s="1112">
        <f t="shared" si="22"/>
        <v>101.23287671232876</v>
      </c>
      <c r="K671" s="1096"/>
      <c r="L671" s="1096"/>
      <c r="M671" s="1096"/>
      <c r="N671" s="1096"/>
      <c r="O671" s="1096"/>
      <c r="P671" s="1114">
        <v>133.80000000000001</v>
      </c>
      <c r="Q671" s="1096" t="s">
        <v>1526</v>
      </c>
      <c r="R671" s="1114">
        <v>128.30000000000001</v>
      </c>
      <c r="S671" s="1096" t="s">
        <v>1526</v>
      </c>
      <c r="T671" s="1114">
        <v>111.8</v>
      </c>
      <c r="U671" s="1096" t="s">
        <v>1526</v>
      </c>
      <c r="V671" s="1114">
        <v>122.4</v>
      </c>
      <c r="W671" s="1096" t="s">
        <v>1526</v>
      </c>
      <c r="X671" s="1114">
        <v>147.80000000000001</v>
      </c>
      <c r="Y671" s="1096" t="s">
        <v>1526</v>
      </c>
      <c r="Z671" s="1114">
        <v>146</v>
      </c>
      <c r="AA671" s="1096"/>
      <c r="AB671" s="1096"/>
      <c r="AC671" s="1096"/>
      <c r="AD671" s="1096"/>
      <c r="AE671" s="1096"/>
      <c r="AF671" s="1096"/>
      <c r="AG671" s="1096"/>
      <c r="AH671" s="1096"/>
      <c r="AI671" s="1096"/>
      <c r="AJ671" s="1096"/>
      <c r="AK671" s="1096"/>
      <c r="AL671" s="1096"/>
      <c r="AM671" s="1096"/>
      <c r="AN671" s="1096"/>
      <c r="AO671" s="1096"/>
      <c r="AP671" s="1096"/>
      <c r="AQ671" s="1096"/>
      <c r="AR671" s="1096"/>
      <c r="AS671" s="1096"/>
      <c r="AT671" s="1096"/>
      <c r="AU671" s="1096"/>
      <c r="AV671" s="1096"/>
      <c r="AW671" s="1096"/>
      <c r="AX671" s="1096"/>
      <c r="AY671" s="1096"/>
    </row>
    <row r="672" spans="1:51" x14ac:dyDescent="0.45">
      <c r="A672" s="1096">
        <v>1995</v>
      </c>
      <c r="B672" s="1096" t="s">
        <v>1385</v>
      </c>
      <c r="C672" s="1113">
        <f>[7]LRAll!C663</f>
        <v>146</v>
      </c>
      <c r="D672" s="1113">
        <f>[7]LRAll!I663</f>
        <v>134.1</v>
      </c>
      <c r="E672" s="1096"/>
      <c r="F672" s="1114">
        <f t="shared" si="18"/>
        <v>91.849315068493141</v>
      </c>
      <c r="G672" s="1112">
        <f t="shared" si="19"/>
        <v>87.876712328767127</v>
      </c>
      <c r="H672" s="1112">
        <f t="shared" si="20"/>
        <v>76.575342465753423</v>
      </c>
      <c r="I672" s="1112">
        <f t="shared" si="21"/>
        <v>84.109589041095887</v>
      </c>
      <c r="J672" s="1112">
        <f t="shared" si="22"/>
        <v>101.36986301369863</v>
      </c>
      <c r="K672" s="1096"/>
      <c r="L672" s="1096"/>
      <c r="M672" s="1096"/>
      <c r="N672" s="1096"/>
      <c r="O672" s="1096"/>
      <c r="P672" s="1114">
        <v>134.1</v>
      </c>
      <c r="Q672" s="1096" t="s">
        <v>1527</v>
      </c>
      <c r="R672" s="1114">
        <v>128.30000000000001</v>
      </c>
      <c r="S672" s="1096" t="s">
        <v>1527</v>
      </c>
      <c r="T672" s="1114">
        <v>111.8</v>
      </c>
      <c r="U672" s="1096" t="s">
        <v>1527</v>
      </c>
      <c r="V672" s="1114">
        <v>122.8</v>
      </c>
      <c r="W672" s="1096" t="s">
        <v>1527</v>
      </c>
      <c r="X672" s="1114">
        <v>148</v>
      </c>
      <c r="Y672" s="1096" t="s">
        <v>1527</v>
      </c>
      <c r="Z672" s="1114">
        <v>146</v>
      </c>
      <c r="AA672" s="1096"/>
      <c r="AB672" s="1096"/>
      <c r="AC672" s="1096"/>
      <c r="AD672" s="1096"/>
      <c r="AE672" s="1096"/>
      <c r="AF672" s="1096"/>
      <c r="AG672" s="1096"/>
      <c r="AH672" s="1096"/>
      <c r="AI672" s="1096"/>
      <c r="AJ672" s="1096"/>
      <c r="AK672" s="1096"/>
      <c r="AL672" s="1096"/>
      <c r="AM672" s="1096"/>
      <c r="AN672" s="1096"/>
      <c r="AO672" s="1096"/>
      <c r="AP672" s="1096"/>
      <c r="AQ672" s="1096"/>
      <c r="AR672" s="1096"/>
      <c r="AS672" s="1096"/>
      <c r="AT672" s="1096"/>
      <c r="AU672" s="1096"/>
      <c r="AV672" s="1096"/>
      <c r="AW672" s="1096"/>
      <c r="AX672" s="1096"/>
      <c r="AY672" s="1096"/>
    </row>
    <row r="673" spans="1:51" x14ac:dyDescent="0.45">
      <c r="A673" s="1096">
        <v>1995</v>
      </c>
      <c r="B673" s="1096" t="s">
        <v>1387</v>
      </c>
      <c r="C673" s="1113">
        <f>[7]LRAll!C664</f>
        <v>146.9</v>
      </c>
      <c r="D673" s="1113">
        <f>[7]LRAll!I664</f>
        <v>134.30000000000001</v>
      </c>
      <c r="E673" s="1096"/>
      <c r="F673" s="1114">
        <f t="shared" si="18"/>
        <v>91.422736555479929</v>
      </c>
      <c r="G673" s="1112">
        <f t="shared" si="19"/>
        <v>87.338325391422742</v>
      </c>
      <c r="H673" s="1112">
        <f t="shared" si="20"/>
        <v>75.90197413206262</v>
      </c>
      <c r="I673" s="1112">
        <f t="shared" si="21"/>
        <v>84.002722940776039</v>
      </c>
      <c r="J673" s="1112">
        <f t="shared" si="22"/>
        <v>100.68073519400953</v>
      </c>
      <c r="K673" s="1096"/>
      <c r="L673" s="1096"/>
      <c r="M673" s="1096"/>
      <c r="N673" s="1096"/>
      <c r="O673" s="1096"/>
      <c r="P673" s="1114">
        <v>134.30000000000001</v>
      </c>
      <c r="Q673" s="1096" t="s">
        <v>1528</v>
      </c>
      <c r="R673" s="1114">
        <v>128.30000000000001</v>
      </c>
      <c r="S673" s="1096" t="s">
        <v>1528</v>
      </c>
      <c r="T673" s="1114">
        <v>111.5</v>
      </c>
      <c r="U673" s="1096" t="s">
        <v>1528</v>
      </c>
      <c r="V673" s="1114">
        <v>123.4</v>
      </c>
      <c r="W673" s="1096" t="s">
        <v>1528</v>
      </c>
      <c r="X673" s="1114">
        <v>147.9</v>
      </c>
      <c r="Y673" s="1096" t="s">
        <v>1528</v>
      </c>
      <c r="Z673" s="1114">
        <v>146.9</v>
      </c>
      <c r="AA673" s="1096"/>
      <c r="AB673" s="1096"/>
      <c r="AC673" s="1096"/>
      <c r="AD673" s="1096"/>
      <c r="AE673" s="1096"/>
      <c r="AF673" s="1096"/>
      <c r="AG673" s="1096"/>
      <c r="AH673" s="1096"/>
      <c r="AI673" s="1096"/>
      <c r="AJ673" s="1096"/>
      <c r="AK673" s="1096"/>
      <c r="AL673" s="1096"/>
      <c r="AM673" s="1096"/>
      <c r="AN673" s="1096"/>
      <c r="AO673" s="1096"/>
      <c r="AP673" s="1096"/>
      <c r="AQ673" s="1096"/>
      <c r="AR673" s="1096"/>
      <c r="AS673" s="1096"/>
      <c r="AT673" s="1096"/>
      <c r="AU673" s="1096"/>
      <c r="AV673" s="1096"/>
      <c r="AW673" s="1096"/>
      <c r="AX673" s="1096"/>
      <c r="AY673" s="1096"/>
    </row>
    <row r="674" spans="1:51" x14ac:dyDescent="0.45">
      <c r="A674" s="1096">
        <v>1995</v>
      </c>
      <c r="B674" s="1096" t="s">
        <v>1389</v>
      </c>
      <c r="C674" s="1113">
        <f>[7]LRAll!C665</f>
        <v>147.5</v>
      </c>
      <c r="D674" s="1113">
        <f>[7]LRAll!I665</f>
        <v>134.5</v>
      </c>
      <c r="E674" s="1096"/>
      <c r="F674" s="1114">
        <f t="shared" si="18"/>
        <v>91.18644067796609</v>
      </c>
      <c r="G674" s="1112">
        <f t="shared" si="19"/>
        <v>86.915254237288124</v>
      </c>
      <c r="H674" s="1112">
        <f t="shared" si="20"/>
        <v>75.389830508474574</v>
      </c>
      <c r="I674" s="1112">
        <f t="shared" si="21"/>
        <v>84.067796610169481</v>
      </c>
      <c r="J674" s="1112">
        <f t="shared" si="22"/>
        <v>100.13559322033898</v>
      </c>
      <c r="K674" s="1096"/>
      <c r="L674" s="1096"/>
      <c r="M674" s="1096"/>
      <c r="N674" s="1096"/>
      <c r="O674" s="1096"/>
      <c r="P674" s="1114">
        <v>134.5</v>
      </c>
      <c r="Q674" s="1096" t="s">
        <v>1529</v>
      </c>
      <c r="R674" s="1114">
        <v>128.19999999999999</v>
      </c>
      <c r="S674" s="1096" t="s">
        <v>1529</v>
      </c>
      <c r="T674" s="1114">
        <v>111.2</v>
      </c>
      <c r="U674" s="1096" t="s">
        <v>1529</v>
      </c>
      <c r="V674" s="1114">
        <v>124</v>
      </c>
      <c r="W674" s="1096" t="s">
        <v>1529</v>
      </c>
      <c r="X674" s="1114">
        <v>147.69999999999999</v>
      </c>
      <c r="Y674" s="1096" t="s">
        <v>1529</v>
      </c>
      <c r="Z674" s="1114">
        <v>147.5</v>
      </c>
      <c r="AA674" s="1096"/>
      <c r="AB674" s="1096"/>
      <c r="AC674" s="1096"/>
      <c r="AD674" s="1096"/>
      <c r="AE674" s="1096"/>
      <c r="AF674" s="1096"/>
      <c r="AG674" s="1096"/>
      <c r="AH674" s="1096"/>
      <c r="AI674" s="1096"/>
      <c r="AJ674" s="1096"/>
      <c r="AK674" s="1096"/>
      <c r="AL674" s="1096"/>
      <c r="AM674" s="1096"/>
      <c r="AN674" s="1096"/>
      <c r="AO674" s="1096"/>
      <c r="AP674" s="1096"/>
      <c r="AQ674" s="1096"/>
      <c r="AR674" s="1096"/>
      <c r="AS674" s="1096"/>
      <c r="AT674" s="1096"/>
      <c r="AU674" s="1096"/>
      <c r="AV674" s="1096"/>
      <c r="AW674" s="1096"/>
      <c r="AX674" s="1096"/>
      <c r="AY674" s="1096"/>
    </row>
    <row r="675" spans="1:51" x14ac:dyDescent="0.45">
      <c r="A675" s="1096">
        <v>1995</v>
      </c>
      <c r="B675" s="1096" t="s">
        <v>1391</v>
      </c>
      <c r="C675" s="1113">
        <f>[7]LRAll!C666</f>
        <v>149</v>
      </c>
      <c r="D675" s="1113">
        <f>[7]LRAll!I666</f>
        <v>134.69999999999999</v>
      </c>
      <c r="E675" s="1096"/>
      <c r="F675" s="1114">
        <f t="shared" si="18"/>
        <v>90.402684563758385</v>
      </c>
      <c r="G675" s="1112">
        <f t="shared" si="19"/>
        <v>85.973154362416111</v>
      </c>
      <c r="H675" s="1112">
        <f t="shared" si="20"/>
        <v>75.369127516778519</v>
      </c>
      <c r="I675" s="1112">
        <f t="shared" si="21"/>
        <v>83.489932885906043</v>
      </c>
      <c r="J675" s="1112">
        <f t="shared" si="22"/>
        <v>99.194630872483231</v>
      </c>
      <c r="K675" s="1096"/>
      <c r="L675" s="1096"/>
      <c r="M675" s="1096"/>
      <c r="N675" s="1096"/>
      <c r="O675" s="1096"/>
      <c r="P675" s="1114">
        <v>134.69999999999999</v>
      </c>
      <c r="Q675" s="1096" t="s">
        <v>1530</v>
      </c>
      <c r="R675" s="1114">
        <v>128.1</v>
      </c>
      <c r="S675" s="1096" t="s">
        <v>1530</v>
      </c>
      <c r="T675" s="1114">
        <v>112.3</v>
      </c>
      <c r="U675" s="1096" t="s">
        <v>1530</v>
      </c>
      <c r="V675" s="1114">
        <v>124.4</v>
      </c>
      <c r="W675" s="1096" t="s">
        <v>1530</v>
      </c>
      <c r="X675" s="1114">
        <v>147.80000000000001</v>
      </c>
      <c r="Y675" s="1096" t="s">
        <v>1530</v>
      </c>
      <c r="Z675" s="1114">
        <v>149</v>
      </c>
      <c r="AA675" s="1096"/>
      <c r="AB675" s="1096"/>
      <c r="AC675" s="1096"/>
      <c r="AD675" s="1096"/>
      <c r="AE675" s="1096"/>
      <c r="AF675" s="1096"/>
      <c r="AG675" s="1096"/>
      <c r="AH675" s="1096"/>
      <c r="AI675" s="1096"/>
      <c r="AJ675" s="1096"/>
      <c r="AK675" s="1096"/>
      <c r="AL675" s="1096"/>
      <c r="AM675" s="1096"/>
      <c r="AN675" s="1096"/>
      <c r="AO675" s="1096"/>
      <c r="AP675" s="1096"/>
      <c r="AQ675" s="1096"/>
      <c r="AR675" s="1096"/>
      <c r="AS675" s="1096"/>
      <c r="AT675" s="1096"/>
      <c r="AU675" s="1096"/>
      <c r="AV675" s="1096"/>
      <c r="AW675" s="1096"/>
      <c r="AX675" s="1096"/>
      <c r="AY675" s="1096"/>
    </row>
    <row r="676" spans="1:51" x14ac:dyDescent="0.45">
      <c r="A676" s="1096">
        <v>1995</v>
      </c>
      <c r="B676" s="1096" t="s">
        <v>1393</v>
      </c>
      <c r="C676" s="1113">
        <f>[7]LRAll!C667</f>
        <v>149.6</v>
      </c>
      <c r="D676" s="1113">
        <f>[7]LRAll!I667</f>
        <v>134.4</v>
      </c>
      <c r="E676" s="1096"/>
      <c r="F676" s="1114">
        <f t="shared" si="18"/>
        <v>89.839572192513373</v>
      </c>
      <c r="G676" s="1112">
        <f t="shared" si="19"/>
        <v>82.68716577540107</v>
      </c>
      <c r="H676" s="1112">
        <f t="shared" si="20"/>
        <v>74.799465240641723</v>
      </c>
      <c r="I676" s="1112">
        <f t="shared" si="21"/>
        <v>83.155080213903759</v>
      </c>
      <c r="J676" s="1112">
        <f t="shared" si="22"/>
        <v>98.596256684491976</v>
      </c>
      <c r="K676" s="1096"/>
      <c r="L676" s="1096"/>
      <c r="M676" s="1096"/>
      <c r="N676" s="1096"/>
      <c r="O676" s="1096"/>
      <c r="P676" s="1114">
        <v>134.4</v>
      </c>
      <c r="Q676" s="1096" t="s">
        <v>1531</v>
      </c>
      <c r="R676" s="1114">
        <v>123.7</v>
      </c>
      <c r="S676" s="1096" t="s">
        <v>1531</v>
      </c>
      <c r="T676" s="1114">
        <v>111.9</v>
      </c>
      <c r="U676" s="1096" t="s">
        <v>1531</v>
      </c>
      <c r="V676" s="1114">
        <v>124.4</v>
      </c>
      <c r="W676" s="1096" t="s">
        <v>1531</v>
      </c>
      <c r="X676" s="1114">
        <v>147.5</v>
      </c>
      <c r="Y676" s="1096" t="s">
        <v>1531</v>
      </c>
      <c r="Z676" s="1114">
        <v>149.6</v>
      </c>
      <c r="AA676" s="1096"/>
      <c r="AB676" s="1096"/>
      <c r="AC676" s="1096"/>
      <c r="AD676" s="1096"/>
      <c r="AE676" s="1096"/>
      <c r="AF676" s="1096"/>
      <c r="AG676" s="1096"/>
      <c r="AH676" s="1096"/>
      <c r="AI676" s="1096"/>
      <c r="AJ676" s="1096"/>
      <c r="AK676" s="1096"/>
      <c r="AL676" s="1096"/>
      <c r="AM676" s="1096"/>
      <c r="AN676" s="1096"/>
      <c r="AO676" s="1096"/>
      <c r="AP676" s="1096"/>
      <c r="AQ676" s="1096"/>
      <c r="AR676" s="1096"/>
      <c r="AS676" s="1096"/>
      <c r="AT676" s="1096"/>
      <c r="AU676" s="1096"/>
      <c r="AV676" s="1096"/>
      <c r="AW676" s="1096"/>
      <c r="AX676" s="1096"/>
      <c r="AY676" s="1096"/>
    </row>
    <row r="677" spans="1:51" x14ac:dyDescent="0.45">
      <c r="A677" s="1096">
        <v>1995</v>
      </c>
      <c r="B677" s="1096" t="s">
        <v>1371</v>
      </c>
      <c r="C677" s="1113">
        <f>[7]LRAll!C668</f>
        <v>149.80000000000001</v>
      </c>
      <c r="D677" s="1113">
        <f>[7]LRAll!I668</f>
        <v>134.30000000000001</v>
      </c>
      <c r="E677" s="1096"/>
      <c r="F677" s="1114">
        <f t="shared" si="18"/>
        <v>89.652870493991983</v>
      </c>
      <c r="G677" s="1112">
        <f t="shared" si="19"/>
        <v>82.376502002670222</v>
      </c>
      <c r="H677" s="1112">
        <f t="shared" si="20"/>
        <v>74.499332443257671</v>
      </c>
      <c r="I677" s="1112">
        <f t="shared" si="21"/>
        <v>83.044058744993322</v>
      </c>
      <c r="J677" s="1112">
        <f t="shared" si="22"/>
        <v>98.397863818424554</v>
      </c>
      <c r="K677" s="1096"/>
      <c r="L677" s="1096"/>
      <c r="M677" s="1096"/>
      <c r="N677" s="1096"/>
      <c r="O677" s="1096"/>
      <c r="P677" s="1114">
        <v>134.30000000000001</v>
      </c>
      <c r="Q677" s="1096" t="s">
        <v>1532</v>
      </c>
      <c r="R677" s="1114">
        <v>123.4</v>
      </c>
      <c r="S677" s="1096" t="s">
        <v>1532</v>
      </c>
      <c r="T677" s="1114">
        <v>111.6</v>
      </c>
      <c r="U677" s="1096" t="s">
        <v>1532</v>
      </c>
      <c r="V677" s="1114">
        <v>124.4</v>
      </c>
      <c r="W677" s="1096" t="s">
        <v>1532</v>
      </c>
      <c r="X677" s="1114">
        <v>147.4</v>
      </c>
      <c r="Y677" s="1096" t="s">
        <v>1532</v>
      </c>
      <c r="Z677" s="1114">
        <v>149.80000000000001</v>
      </c>
      <c r="AA677" s="1096"/>
      <c r="AB677" s="1096"/>
      <c r="AC677" s="1096"/>
      <c r="AD677" s="1096"/>
      <c r="AE677" s="1096"/>
      <c r="AF677" s="1096"/>
      <c r="AG677" s="1096"/>
      <c r="AH677" s="1096"/>
      <c r="AI677" s="1096"/>
      <c r="AJ677" s="1096"/>
      <c r="AK677" s="1096"/>
      <c r="AL677" s="1096"/>
      <c r="AM677" s="1096"/>
      <c r="AN677" s="1096"/>
      <c r="AO677" s="1096"/>
      <c r="AP677" s="1096"/>
      <c r="AQ677" s="1096"/>
      <c r="AR677" s="1096"/>
      <c r="AS677" s="1096"/>
      <c r="AT677" s="1096"/>
      <c r="AU677" s="1096"/>
      <c r="AV677" s="1096"/>
      <c r="AW677" s="1096"/>
      <c r="AX677" s="1096"/>
      <c r="AY677" s="1096"/>
    </row>
    <row r="678" spans="1:51" x14ac:dyDescent="0.45">
      <c r="A678" s="1096">
        <v>1995</v>
      </c>
      <c r="B678" s="1096" t="s">
        <v>1373</v>
      </c>
      <c r="C678" s="1113">
        <f>[7]LRAll!C669</f>
        <v>149.1</v>
      </c>
      <c r="D678" s="1113">
        <f>[7]LRAll!I669</f>
        <v>134.4</v>
      </c>
      <c r="E678" s="1096"/>
      <c r="F678" s="1114">
        <f t="shared" ref="F678:F741" si="23">D678/C678*100</f>
        <v>90.140845070422543</v>
      </c>
      <c r="G678" s="1112">
        <f t="shared" si="19"/>
        <v>82.629107981220656</v>
      </c>
      <c r="H678" s="1112">
        <f t="shared" si="20"/>
        <v>74.714956405097254</v>
      </c>
      <c r="I678" s="1112">
        <f t="shared" si="21"/>
        <v>83.433936955063729</v>
      </c>
      <c r="J678" s="1112">
        <f t="shared" si="22"/>
        <v>99.061032863849761</v>
      </c>
      <c r="K678" s="1096"/>
      <c r="L678" s="1096"/>
      <c r="M678" s="1096"/>
      <c r="N678" s="1096"/>
      <c r="O678" s="1096"/>
      <c r="P678" s="1114">
        <v>134.4</v>
      </c>
      <c r="Q678" s="1096" t="s">
        <v>1533</v>
      </c>
      <c r="R678" s="1114">
        <v>123.2</v>
      </c>
      <c r="S678" s="1096" t="s">
        <v>1533</v>
      </c>
      <c r="T678" s="1114">
        <v>111.4</v>
      </c>
      <c r="U678" s="1096" t="s">
        <v>1533</v>
      </c>
      <c r="V678" s="1114">
        <v>124.4</v>
      </c>
      <c r="W678" s="1096" t="s">
        <v>1533</v>
      </c>
      <c r="X678" s="1114">
        <v>147.69999999999999</v>
      </c>
      <c r="Y678" s="1096" t="s">
        <v>1533</v>
      </c>
      <c r="Z678" s="1114">
        <v>149.1</v>
      </c>
      <c r="AA678" s="1096"/>
      <c r="AB678" s="1096"/>
      <c r="AC678" s="1096"/>
      <c r="AD678" s="1096"/>
      <c r="AE678" s="1096"/>
      <c r="AF678" s="1096"/>
      <c r="AG678" s="1096"/>
      <c r="AH678" s="1096"/>
      <c r="AI678" s="1096"/>
      <c r="AJ678" s="1096"/>
      <c r="AK678" s="1096"/>
      <c r="AL678" s="1096"/>
      <c r="AM678" s="1096"/>
      <c r="AN678" s="1096"/>
      <c r="AO678" s="1096"/>
      <c r="AP678" s="1096"/>
      <c r="AQ678" s="1096"/>
      <c r="AR678" s="1096"/>
      <c r="AS678" s="1096"/>
      <c r="AT678" s="1096"/>
      <c r="AU678" s="1096"/>
      <c r="AV678" s="1096"/>
      <c r="AW678" s="1096"/>
      <c r="AX678" s="1096"/>
      <c r="AY678" s="1096"/>
    </row>
    <row r="679" spans="1:51" x14ac:dyDescent="0.45">
      <c r="A679" s="1096">
        <v>1995</v>
      </c>
      <c r="B679" s="1096" t="s">
        <v>1375</v>
      </c>
      <c r="C679" s="1113">
        <f>[7]LRAll!C670</f>
        <v>149.9</v>
      </c>
      <c r="D679" s="1113">
        <f>[7]LRAll!I670</f>
        <v>134.4</v>
      </c>
      <c r="E679" s="1096"/>
      <c r="F679" s="1114">
        <f t="shared" si="23"/>
        <v>89.659773182121413</v>
      </c>
      <c r="G679" s="1112">
        <f t="shared" si="19"/>
        <v>81.987991994663105</v>
      </c>
      <c r="H679" s="1112">
        <f t="shared" si="20"/>
        <v>74.316210807204811</v>
      </c>
      <c r="I679" s="1112">
        <f t="shared" si="21"/>
        <v>82.988659106070713</v>
      </c>
      <c r="J679" s="1112">
        <f t="shared" si="22"/>
        <v>98.532354903268839</v>
      </c>
      <c r="K679" s="1096"/>
      <c r="L679" s="1096"/>
      <c r="M679" s="1096"/>
      <c r="N679" s="1096"/>
      <c r="O679" s="1096"/>
      <c r="P679" s="1114">
        <v>134.4</v>
      </c>
      <c r="Q679" s="1096" t="s">
        <v>1534</v>
      </c>
      <c r="R679" s="1114">
        <v>122.9</v>
      </c>
      <c r="S679" s="1096" t="s">
        <v>1534</v>
      </c>
      <c r="T679" s="1114">
        <v>111.4</v>
      </c>
      <c r="U679" s="1096" t="s">
        <v>1534</v>
      </c>
      <c r="V679" s="1114">
        <v>124.4</v>
      </c>
      <c r="W679" s="1096" t="s">
        <v>1534</v>
      </c>
      <c r="X679" s="1114">
        <v>147.69999999999999</v>
      </c>
      <c r="Y679" s="1096" t="s">
        <v>1534</v>
      </c>
      <c r="Z679" s="1114">
        <v>149.9</v>
      </c>
      <c r="AA679" s="1096"/>
      <c r="AB679" s="1096"/>
      <c r="AC679" s="1096"/>
      <c r="AD679" s="1096"/>
      <c r="AE679" s="1096"/>
      <c r="AF679" s="1096"/>
      <c r="AG679" s="1096"/>
      <c r="AH679" s="1096"/>
      <c r="AI679" s="1096"/>
      <c r="AJ679" s="1096"/>
      <c r="AK679" s="1096"/>
      <c r="AL679" s="1096"/>
      <c r="AM679" s="1096"/>
      <c r="AN679" s="1096"/>
      <c r="AO679" s="1096"/>
      <c r="AP679" s="1096"/>
      <c r="AQ679" s="1096"/>
      <c r="AR679" s="1096"/>
      <c r="AS679" s="1096"/>
      <c r="AT679" s="1096"/>
      <c r="AU679" s="1096"/>
      <c r="AV679" s="1096"/>
      <c r="AW679" s="1096"/>
      <c r="AX679" s="1096"/>
      <c r="AY679" s="1096"/>
    </row>
    <row r="680" spans="1:51" x14ac:dyDescent="0.45">
      <c r="A680" s="1096">
        <v>1995</v>
      </c>
      <c r="B680" s="1096" t="s">
        <v>1377</v>
      </c>
      <c r="C680" s="1113">
        <f>[7]LRAll!C671</f>
        <v>150.6</v>
      </c>
      <c r="D680" s="1113">
        <f>[7]LRAll!I671</f>
        <v>134.69999999999999</v>
      </c>
      <c r="E680" s="1096"/>
      <c r="F680" s="1114">
        <f t="shared" si="23"/>
        <v>89.442231075697208</v>
      </c>
      <c r="G680" s="1112">
        <f t="shared" si="19"/>
        <v>83.997343957503318</v>
      </c>
      <c r="H680" s="1112">
        <f t="shared" si="20"/>
        <v>75.365205843293495</v>
      </c>
      <c r="I680" s="1112">
        <f t="shared" si="21"/>
        <v>82.602921646746353</v>
      </c>
      <c r="J680" s="1112">
        <f t="shared" si="22"/>
        <v>98.074369189907031</v>
      </c>
      <c r="K680" s="1096"/>
      <c r="L680" s="1096"/>
      <c r="M680" s="1096"/>
      <c r="N680" s="1096"/>
      <c r="O680" s="1096"/>
      <c r="P680" s="1114">
        <v>134.69999999999999</v>
      </c>
      <c r="Q680" s="1096" t="s">
        <v>1535</v>
      </c>
      <c r="R680" s="1114">
        <v>126.5</v>
      </c>
      <c r="S680" s="1096" t="s">
        <v>1535</v>
      </c>
      <c r="T680" s="1114">
        <v>113.5</v>
      </c>
      <c r="U680" s="1096" t="s">
        <v>1535</v>
      </c>
      <c r="V680" s="1114">
        <v>124.4</v>
      </c>
      <c r="W680" s="1096" t="s">
        <v>1535</v>
      </c>
      <c r="X680" s="1114">
        <v>147.69999999999999</v>
      </c>
      <c r="Y680" s="1096" t="s">
        <v>1535</v>
      </c>
      <c r="Z680" s="1114">
        <v>150.6</v>
      </c>
      <c r="AA680" s="1096"/>
      <c r="AB680" s="1096"/>
      <c r="AC680" s="1096"/>
      <c r="AD680" s="1096"/>
      <c r="AE680" s="1096"/>
      <c r="AF680" s="1096"/>
      <c r="AG680" s="1096"/>
      <c r="AH680" s="1096"/>
      <c r="AI680" s="1096"/>
      <c r="AJ680" s="1096"/>
      <c r="AK680" s="1096"/>
      <c r="AL680" s="1096"/>
      <c r="AM680" s="1096"/>
      <c r="AN680" s="1096"/>
      <c r="AO680" s="1096"/>
      <c r="AP680" s="1096"/>
      <c r="AQ680" s="1096"/>
      <c r="AR680" s="1096"/>
      <c r="AS680" s="1096"/>
      <c r="AT680" s="1096"/>
      <c r="AU680" s="1096"/>
      <c r="AV680" s="1096"/>
      <c r="AW680" s="1096"/>
      <c r="AX680" s="1096"/>
      <c r="AY680" s="1096"/>
    </row>
    <row r="681" spans="1:51" x14ac:dyDescent="0.45">
      <c r="A681" s="1096">
        <v>1995</v>
      </c>
      <c r="B681" s="1096" t="s">
        <v>1379</v>
      </c>
      <c r="C681" s="1113">
        <f>[7]LRAll!C672</f>
        <v>149.80000000000001</v>
      </c>
      <c r="D681" s="1113">
        <f>[7]LRAll!I672</f>
        <v>134.6</v>
      </c>
      <c r="E681" s="1096"/>
      <c r="F681" s="1114">
        <f t="shared" si="23"/>
        <v>89.853137516688903</v>
      </c>
      <c r="G681" s="1112">
        <f t="shared" si="19"/>
        <v>85.246995994659542</v>
      </c>
      <c r="H681" s="1112">
        <f t="shared" si="20"/>
        <v>74.699599465954606</v>
      </c>
      <c r="I681" s="1112">
        <f t="shared" si="21"/>
        <v>83.044058744993322</v>
      </c>
      <c r="J681" s="1112">
        <f t="shared" si="22"/>
        <v>98.531375166889177</v>
      </c>
      <c r="K681" s="1096"/>
      <c r="L681" s="1096"/>
      <c r="M681" s="1096"/>
      <c r="N681" s="1096"/>
      <c r="O681" s="1096"/>
      <c r="P681" s="1114">
        <v>134.6</v>
      </c>
      <c r="Q681" s="1096" t="s">
        <v>1536</v>
      </c>
      <c r="R681" s="1114">
        <v>127.7</v>
      </c>
      <c r="S681" s="1096" t="s">
        <v>1536</v>
      </c>
      <c r="T681" s="1114">
        <v>111.9</v>
      </c>
      <c r="U681" s="1096" t="s">
        <v>1536</v>
      </c>
      <c r="V681" s="1114">
        <v>124.4</v>
      </c>
      <c r="W681" s="1096" t="s">
        <v>1536</v>
      </c>
      <c r="X681" s="1114">
        <v>147.6</v>
      </c>
      <c r="Y681" s="1096" t="s">
        <v>1536</v>
      </c>
      <c r="Z681" s="1114">
        <v>149.80000000000001</v>
      </c>
      <c r="AA681" s="1096"/>
      <c r="AB681" s="1096"/>
      <c r="AC681" s="1096"/>
      <c r="AD681" s="1096"/>
      <c r="AE681" s="1096"/>
      <c r="AF681" s="1096"/>
      <c r="AG681" s="1096"/>
      <c r="AH681" s="1096"/>
      <c r="AI681" s="1096"/>
      <c r="AJ681" s="1096"/>
      <c r="AK681" s="1096"/>
      <c r="AL681" s="1096"/>
      <c r="AM681" s="1096"/>
      <c r="AN681" s="1096"/>
      <c r="AO681" s="1096"/>
      <c r="AP681" s="1096"/>
      <c r="AQ681" s="1096"/>
      <c r="AR681" s="1096"/>
      <c r="AS681" s="1096"/>
      <c r="AT681" s="1096"/>
      <c r="AU681" s="1096"/>
      <c r="AV681" s="1096"/>
      <c r="AW681" s="1096"/>
      <c r="AX681" s="1096"/>
      <c r="AY681" s="1096"/>
    </row>
    <row r="682" spans="1:51" x14ac:dyDescent="0.45">
      <c r="A682" s="1096">
        <v>1995</v>
      </c>
      <c r="B682" s="1096" t="s">
        <v>1381</v>
      </c>
      <c r="C682" s="1113">
        <f>[7]LRAll!C673</f>
        <v>149.80000000000001</v>
      </c>
      <c r="D682" s="1113">
        <f>[7]LRAll!I673</f>
        <v>134.6</v>
      </c>
      <c r="E682" s="1096"/>
      <c r="F682" s="1114">
        <f t="shared" si="23"/>
        <v>89.853137516688903</v>
      </c>
      <c r="G682" s="1112">
        <f t="shared" si="19"/>
        <v>85.246995994659542</v>
      </c>
      <c r="H682" s="1112">
        <f t="shared" si="20"/>
        <v>75.30040053404538</v>
      </c>
      <c r="I682" s="1112">
        <f t="shared" si="21"/>
        <v>83.044058744993322</v>
      </c>
      <c r="J682" s="1112">
        <f t="shared" si="22"/>
        <v>98.464619492656865</v>
      </c>
      <c r="K682" s="1096"/>
      <c r="L682" s="1096"/>
      <c r="M682" s="1096"/>
      <c r="N682" s="1096"/>
      <c r="O682" s="1096"/>
      <c r="P682" s="1114">
        <v>134.6</v>
      </c>
      <c r="Q682" s="1096" t="s">
        <v>1537</v>
      </c>
      <c r="R682" s="1114">
        <v>127.7</v>
      </c>
      <c r="S682" s="1096" t="s">
        <v>1537</v>
      </c>
      <c r="T682" s="1114">
        <v>112.8</v>
      </c>
      <c r="U682" s="1096" t="s">
        <v>1537</v>
      </c>
      <c r="V682" s="1114">
        <v>124.4</v>
      </c>
      <c r="W682" s="1096" t="s">
        <v>1537</v>
      </c>
      <c r="X682" s="1114">
        <v>147.5</v>
      </c>
      <c r="Y682" s="1096" t="s">
        <v>1537</v>
      </c>
      <c r="Z682" s="1114">
        <v>149.80000000000001</v>
      </c>
      <c r="AA682" s="1096"/>
      <c r="AB682" s="1096"/>
      <c r="AC682" s="1096"/>
      <c r="AD682" s="1096"/>
      <c r="AE682" s="1096"/>
      <c r="AF682" s="1096"/>
      <c r="AG682" s="1096"/>
      <c r="AH682" s="1096"/>
      <c r="AI682" s="1096"/>
      <c r="AJ682" s="1096"/>
      <c r="AK682" s="1096"/>
      <c r="AL682" s="1096"/>
      <c r="AM682" s="1096"/>
      <c r="AN682" s="1096"/>
      <c r="AO682" s="1096"/>
      <c r="AP682" s="1096"/>
      <c r="AQ682" s="1096"/>
      <c r="AR682" s="1096"/>
      <c r="AS682" s="1096"/>
      <c r="AT682" s="1096"/>
      <c r="AU682" s="1096"/>
      <c r="AV682" s="1096"/>
      <c r="AW682" s="1096"/>
      <c r="AX682" s="1096"/>
      <c r="AY682" s="1096"/>
    </row>
    <row r="683" spans="1:51" x14ac:dyDescent="0.45">
      <c r="A683" s="1096">
        <v>1995</v>
      </c>
      <c r="B683" s="1096" t="s">
        <v>1383</v>
      </c>
      <c r="C683" s="1113">
        <f>[7]LRAll!C674</f>
        <v>150.69999999999999</v>
      </c>
      <c r="D683" s="1113">
        <f>[7]LRAll!I674</f>
        <v>134.80000000000001</v>
      </c>
      <c r="E683" s="1096"/>
      <c r="F683" s="1114">
        <f t="shared" si="23"/>
        <v>89.449236894492373</v>
      </c>
      <c r="G683" s="1112">
        <f t="shared" si="19"/>
        <v>85.202388852023901</v>
      </c>
      <c r="H683" s="1112">
        <f t="shared" si="20"/>
        <v>76.775049767750502</v>
      </c>
      <c r="I683" s="1112">
        <f t="shared" si="21"/>
        <v>82.548108825481108</v>
      </c>
      <c r="J683" s="1112">
        <f t="shared" si="22"/>
        <v>97.876575978765771</v>
      </c>
      <c r="K683" s="1096"/>
      <c r="L683" s="1096"/>
      <c r="M683" s="1096"/>
      <c r="N683" s="1096"/>
      <c r="O683" s="1096"/>
      <c r="P683" s="1114">
        <v>134.80000000000001</v>
      </c>
      <c r="Q683" s="1096" t="s">
        <v>1538</v>
      </c>
      <c r="R683" s="1114">
        <v>128.4</v>
      </c>
      <c r="S683" s="1096" t="s">
        <v>1538</v>
      </c>
      <c r="T683" s="1114">
        <v>115.7</v>
      </c>
      <c r="U683" s="1096" t="s">
        <v>1538</v>
      </c>
      <c r="V683" s="1114">
        <v>124.4</v>
      </c>
      <c r="W683" s="1096" t="s">
        <v>1538</v>
      </c>
      <c r="X683" s="1114">
        <v>147.5</v>
      </c>
      <c r="Y683" s="1096" t="s">
        <v>1538</v>
      </c>
      <c r="Z683" s="1114">
        <v>150.69999999999999</v>
      </c>
      <c r="AA683" s="1096"/>
      <c r="AB683" s="1096"/>
      <c r="AC683" s="1096"/>
      <c r="AD683" s="1096"/>
      <c r="AE683" s="1096"/>
      <c r="AF683" s="1096"/>
      <c r="AG683" s="1096"/>
      <c r="AH683" s="1096"/>
      <c r="AI683" s="1096"/>
      <c r="AJ683" s="1096"/>
      <c r="AK683" s="1096"/>
      <c r="AL683" s="1096"/>
      <c r="AM683" s="1096"/>
      <c r="AN683" s="1096"/>
      <c r="AO683" s="1096"/>
      <c r="AP683" s="1096"/>
      <c r="AQ683" s="1096"/>
      <c r="AR683" s="1096"/>
      <c r="AS683" s="1096"/>
      <c r="AT683" s="1096"/>
      <c r="AU683" s="1096"/>
      <c r="AV683" s="1096"/>
      <c r="AW683" s="1096"/>
      <c r="AX683" s="1096"/>
      <c r="AY683" s="1096"/>
    </row>
    <row r="684" spans="1:51" x14ac:dyDescent="0.45">
      <c r="A684" s="1096">
        <v>1996</v>
      </c>
      <c r="B684" s="1096" t="s">
        <v>1385</v>
      </c>
      <c r="C684" s="1113">
        <f>[7]LRAll!C675</f>
        <v>150.19999999999999</v>
      </c>
      <c r="D684" s="1113">
        <f>[7]LRAll!I675</f>
        <v>134.9</v>
      </c>
      <c r="E684" s="1096"/>
      <c r="F684" s="1114">
        <f t="shared" si="23"/>
        <v>89.813581890812273</v>
      </c>
      <c r="G684" s="1112">
        <f t="shared" si="19"/>
        <v>85.685752330226364</v>
      </c>
      <c r="H684" s="1112">
        <f t="shared" si="20"/>
        <v>78.961384820239672</v>
      </c>
      <c r="I684" s="1112">
        <f t="shared" si="21"/>
        <v>82.822902796271649</v>
      </c>
      <c r="J684" s="1112">
        <f t="shared" si="22"/>
        <v>98.135818908122516</v>
      </c>
      <c r="K684" s="1096"/>
      <c r="L684" s="1096"/>
      <c r="M684" s="1096"/>
      <c r="N684" s="1096"/>
      <c r="O684" s="1096"/>
      <c r="P684" s="1114">
        <v>134.9</v>
      </c>
      <c r="Q684" s="1096" t="s">
        <v>1539</v>
      </c>
      <c r="R684" s="1114">
        <v>128.69999999999999</v>
      </c>
      <c r="S684" s="1096" t="s">
        <v>1539</v>
      </c>
      <c r="T684" s="1114">
        <v>118.6</v>
      </c>
      <c r="U684" s="1096" t="s">
        <v>1539</v>
      </c>
      <c r="V684" s="1114">
        <v>124.4</v>
      </c>
      <c r="W684" s="1096" t="s">
        <v>1539</v>
      </c>
      <c r="X684" s="1114">
        <v>147.4</v>
      </c>
      <c r="Y684" s="1096" t="s">
        <v>1539</v>
      </c>
      <c r="Z684" s="1114">
        <v>150.19999999999999</v>
      </c>
      <c r="AA684" s="1096"/>
      <c r="AB684" s="1096"/>
      <c r="AC684" s="1096"/>
      <c r="AD684" s="1096"/>
      <c r="AE684" s="1096"/>
      <c r="AF684" s="1096"/>
      <c r="AG684" s="1096"/>
      <c r="AH684" s="1096"/>
      <c r="AI684" s="1096"/>
      <c r="AJ684" s="1096"/>
      <c r="AK684" s="1096"/>
      <c r="AL684" s="1096"/>
      <c r="AM684" s="1096"/>
      <c r="AN684" s="1096"/>
      <c r="AO684" s="1096"/>
      <c r="AP684" s="1096"/>
      <c r="AQ684" s="1096"/>
      <c r="AR684" s="1096"/>
      <c r="AS684" s="1096"/>
      <c r="AT684" s="1096"/>
      <c r="AU684" s="1096"/>
      <c r="AV684" s="1096"/>
      <c r="AW684" s="1096"/>
      <c r="AX684" s="1096"/>
      <c r="AY684" s="1096"/>
    </row>
    <row r="685" spans="1:51" x14ac:dyDescent="0.45">
      <c r="A685" s="1096">
        <v>1996</v>
      </c>
      <c r="B685" s="1096" t="s">
        <v>1387</v>
      </c>
      <c r="C685" s="1113">
        <f>[7]LRAll!C676</f>
        <v>150.9</v>
      </c>
      <c r="D685" s="1113">
        <f>[7]LRAll!I676</f>
        <v>134.9</v>
      </c>
      <c r="E685" s="1096"/>
      <c r="F685" s="1114">
        <f t="shared" si="23"/>
        <v>89.396951623591775</v>
      </c>
      <c r="G685" s="1112">
        <f t="shared" si="19"/>
        <v>85.288270377733582</v>
      </c>
      <c r="H685" s="1112">
        <f t="shared" si="20"/>
        <v>77.932405566600394</v>
      </c>
      <c r="I685" s="1112">
        <f t="shared" si="21"/>
        <v>82.438701126573889</v>
      </c>
      <c r="J685" s="1112">
        <f t="shared" si="22"/>
        <v>97.6805831676607</v>
      </c>
      <c r="K685" s="1096"/>
      <c r="L685" s="1096"/>
      <c r="M685" s="1096"/>
      <c r="N685" s="1096"/>
      <c r="O685" s="1096"/>
      <c r="P685" s="1114">
        <v>134.9</v>
      </c>
      <c r="Q685" s="1096" t="s">
        <v>1540</v>
      </c>
      <c r="R685" s="1114">
        <v>128.69999999999999</v>
      </c>
      <c r="S685" s="1096" t="s">
        <v>1540</v>
      </c>
      <c r="T685" s="1114">
        <v>117.6</v>
      </c>
      <c r="U685" s="1096" t="s">
        <v>1540</v>
      </c>
      <c r="V685" s="1114">
        <v>124.4</v>
      </c>
      <c r="W685" s="1096" t="s">
        <v>1540</v>
      </c>
      <c r="X685" s="1114">
        <v>147.4</v>
      </c>
      <c r="Y685" s="1096" t="s">
        <v>1540</v>
      </c>
      <c r="Z685" s="1114">
        <v>150.9</v>
      </c>
      <c r="AA685" s="1096"/>
      <c r="AB685" s="1096"/>
      <c r="AC685" s="1096"/>
      <c r="AD685" s="1096"/>
      <c r="AE685" s="1096"/>
      <c r="AF685" s="1096"/>
      <c r="AG685" s="1096"/>
      <c r="AH685" s="1096"/>
      <c r="AI685" s="1096"/>
      <c r="AJ685" s="1096"/>
      <c r="AK685" s="1096"/>
      <c r="AL685" s="1096"/>
      <c r="AM685" s="1096"/>
      <c r="AN685" s="1096"/>
      <c r="AO685" s="1096"/>
      <c r="AP685" s="1096"/>
      <c r="AQ685" s="1096"/>
      <c r="AR685" s="1096"/>
      <c r="AS685" s="1096"/>
      <c r="AT685" s="1096"/>
      <c r="AU685" s="1096"/>
      <c r="AV685" s="1096"/>
      <c r="AW685" s="1096"/>
      <c r="AX685" s="1096"/>
      <c r="AY685" s="1096"/>
    </row>
    <row r="686" spans="1:51" x14ac:dyDescent="0.45">
      <c r="A686" s="1096">
        <v>1996</v>
      </c>
      <c r="B686" s="1096" t="s">
        <v>1389</v>
      </c>
      <c r="C686" s="1113">
        <f>[7]LRAll!C677</f>
        <v>151.5</v>
      </c>
      <c r="D686" s="1113">
        <f>[7]LRAll!I677</f>
        <v>135</v>
      </c>
      <c r="E686" s="1096"/>
      <c r="F686" s="1114">
        <f t="shared" si="23"/>
        <v>89.10891089108911</v>
      </c>
      <c r="G686" s="1112">
        <f t="shared" si="19"/>
        <v>85.016501650165026</v>
      </c>
      <c r="H686" s="1112">
        <f t="shared" si="20"/>
        <v>79.471947194719476</v>
      </c>
      <c r="I686" s="1112">
        <f t="shared" si="21"/>
        <v>82.112211221122109</v>
      </c>
      <c r="J686" s="1112">
        <f t="shared" si="22"/>
        <v>97.293729372937293</v>
      </c>
      <c r="K686" s="1096"/>
      <c r="L686" s="1096"/>
      <c r="M686" s="1096"/>
      <c r="N686" s="1096"/>
      <c r="O686" s="1096"/>
      <c r="P686" s="1114">
        <v>135</v>
      </c>
      <c r="Q686" s="1096" t="s">
        <v>1541</v>
      </c>
      <c r="R686" s="1114">
        <v>128.80000000000001</v>
      </c>
      <c r="S686" s="1096" t="s">
        <v>1541</v>
      </c>
      <c r="T686" s="1114">
        <v>120.4</v>
      </c>
      <c r="U686" s="1096" t="s">
        <v>1541</v>
      </c>
      <c r="V686" s="1114">
        <v>124.4</v>
      </c>
      <c r="W686" s="1096" t="s">
        <v>1541</v>
      </c>
      <c r="X686" s="1114">
        <v>147.4</v>
      </c>
      <c r="Y686" s="1096" t="s">
        <v>1541</v>
      </c>
      <c r="Z686" s="1114">
        <v>151.5</v>
      </c>
      <c r="AA686" s="1096"/>
      <c r="AB686" s="1096"/>
      <c r="AC686" s="1096"/>
      <c r="AD686" s="1096"/>
      <c r="AE686" s="1096"/>
      <c r="AF686" s="1096"/>
      <c r="AG686" s="1096"/>
      <c r="AH686" s="1096"/>
      <c r="AI686" s="1096"/>
      <c r="AJ686" s="1096"/>
      <c r="AK686" s="1096"/>
      <c r="AL686" s="1096"/>
      <c r="AM686" s="1096"/>
      <c r="AN686" s="1096"/>
      <c r="AO686" s="1096"/>
      <c r="AP686" s="1096"/>
      <c r="AQ686" s="1096"/>
      <c r="AR686" s="1096"/>
      <c r="AS686" s="1096"/>
      <c r="AT686" s="1096"/>
      <c r="AU686" s="1096"/>
      <c r="AV686" s="1096"/>
      <c r="AW686" s="1096"/>
      <c r="AX686" s="1096"/>
      <c r="AY686" s="1096"/>
    </row>
    <row r="687" spans="1:51" x14ac:dyDescent="0.45">
      <c r="A687" s="1096">
        <v>1996</v>
      </c>
      <c r="B687" s="1096" t="s">
        <v>1391</v>
      </c>
      <c r="C687" s="1113">
        <f>[7]LRAll!C678</f>
        <v>152.6</v>
      </c>
      <c r="D687" s="1113">
        <f>[7]LRAll!I678</f>
        <v>135.1</v>
      </c>
      <c r="E687" s="1096"/>
      <c r="F687" s="1114">
        <f t="shared" si="23"/>
        <v>88.532110091743121</v>
      </c>
      <c r="G687" s="1112">
        <f t="shared" si="19"/>
        <v>84.403669724770651</v>
      </c>
      <c r="H687" s="1112">
        <f t="shared" si="20"/>
        <v>80.799475753604199</v>
      </c>
      <c r="I687" s="1112">
        <f t="shared" si="21"/>
        <v>81.520314547837486</v>
      </c>
      <c r="J687" s="1112">
        <f t="shared" si="22"/>
        <v>96.592398427260818</v>
      </c>
      <c r="K687" s="1096"/>
      <c r="L687" s="1096"/>
      <c r="M687" s="1096"/>
      <c r="N687" s="1096"/>
      <c r="O687" s="1096"/>
      <c r="P687" s="1114">
        <v>135.1</v>
      </c>
      <c r="Q687" s="1096" t="s">
        <v>1542</v>
      </c>
      <c r="R687" s="1114">
        <v>128.80000000000001</v>
      </c>
      <c r="S687" s="1096" t="s">
        <v>1542</v>
      </c>
      <c r="T687" s="1114">
        <v>123.3</v>
      </c>
      <c r="U687" s="1096" t="s">
        <v>1542</v>
      </c>
      <c r="V687" s="1114">
        <v>124.4</v>
      </c>
      <c r="W687" s="1096" t="s">
        <v>1542</v>
      </c>
      <c r="X687" s="1114">
        <v>147.4</v>
      </c>
      <c r="Y687" s="1096" t="s">
        <v>1542</v>
      </c>
      <c r="Z687" s="1114">
        <v>152.6</v>
      </c>
      <c r="AA687" s="1096"/>
      <c r="AB687" s="1096"/>
      <c r="AC687" s="1096"/>
      <c r="AD687" s="1096"/>
      <c r="AE687" s="1096"/>
      <c r="AF687" s="1096"/>
      <c r="AG687" s="1096"/>
      <c r="AH687" s="1096"/>
      <c r="AI687" s="1096"/>
      <c r="AJ687" s="1096"/>
      <c r="AK687" s="1096"/>
      <c r="AL687" s="1096"/>
      <c r="AM687" s="1096"/>
      <c r="AN687" s="1096"/>
      <c r="AO687" s="1096"/>
      <c r="AP687" s="1096"/>
      <c r="AQ687" s="1096"/>
      <c r="AR687" s="1096"/>
      <c r="AS687" s="1096"/>
      <c r="AT687" s="1096"/>
      <c r="AU687" s="1096"/>
      <c r="AV687" s="1096"/>
      <c r="AW687" s="1096"/>
      <c r="AX687" s="1096"/>
      <c r="AY687" s="1096"/>
    </row>
    <row r="688" spans="1:51" x14ac:dyDescent="0.45">
      <c r="A688" s="1096">
        <v>1996</v>
      </c>
      <c r="B688" s="1096" t="s">
        <v>1393</v>
      </c>
      <c r="C688" s="1113">
        <f>[7]LRAll!C679</f>
        <v>152.9</v>
      </c>
      <c r="D688" s="1113">
        <f>[7]LRAll!I679</f>
        <v>134.9</v>
      </c>
      <c r="E688" s="1096"/>
      <c r="F688" s="1114">
        <f t="shared" si="23"/>
        <v>88.227599738391106</v>
      </c>
      <c r="G688" s="1112">
        <f t="shared" si="19"/>
        <v>81.556572923479393</v>
      </c>
      <c r="H688" s="1112">
        <f t="shared" si="20"/>
        <v>76.913015042511432</v>
      </c>
      <c r="I688" s="1112">
        <f t="shared" si="21"/>
        <v>81.360366252452593</v>
      </c>
      <c r="J688" s="1112">
        <f t="shared" si="22"/>
        <v>96.664486592544151</v>
      </c>
      <c r="K688" s="1096"/>
      <c r="L688" s="1096"/>
      <c r="M688" s="1096"/>
      <c r="N688" s="1096"/>
      <c r="O688" s="1096"/>
      <c r="P688" s="1114">
        <v>134.9</v>
      </c>
      <c r="Q688" s="1096" t="s">
        <v>1543</v>
      </c>
      <c r="R688" s="1114">
        <v>124.7</v>
      </c>
      <c r="S688" s="1096" t="s">
        <v>1543</v>
      </c>
      <c r="T688" s="1114">
        <v>117.6</v>
      </c>
      <c r="U688" s="1096" t="s">
        <v>1543</v>
      </c>
      <c r="V688" s="1114">
        <v>124.4</v>
      </c>
      <c r="W688" s="1096" t="s">
        <v>1543</v>
      </c>
      <c r="X688" s="1114">
        <v>147.80000000000001</v>
      </c>
      <c r="Y688" s="1096" t="s">
        <v>1543</v>
      </c>
      <c r="Z688" s="1114">
        <v>152.9</v>
      </c>
      <c r="AA688" s="1096"/>
      <c r="AB688" s="1096"/>
      <c r="AC688" s="1096"/>
      <c r="AD688" s="1096"/>
      <c r="AE688" s="1096"/>
      <c r="AF688" s="1096"/>
      <c r="AG688" s="1096"/>
      <c r="AH688" s="1096"/>
      <c r="AI688" s="1096"/>
      <c r="AJ688" s="1096"/>
      <c r="AK688" s="1096"/>
      <c r="AL688" s="1096"/>
      <c r="AM688" s="1096"/>
      <c r="AN688" s="1096"/>
      <c r="AO688" s="1096"/>
      <c r="AP688" s="1096"/>
      <c r="AQ688" s="1096"/>
      <c r="AR688" s="1096"/>
      <c r="AS688" s="1096"/>
      <c r="AT688" s="1096"/>
      <c r="AU688" s="1096"/>
      <c r="AV688" s="1096"/>
      <c r="AW688" s="1096"/>
      <c r="AX688" s="1096"/>
      <c r="AY688" s="1096"/>
    </row>
    <row r="689" spans="1:51" x14ac:dyDescent="0.45">
      <c r="A689" s="1096">
        <v>1996</v>
      </c>
      <c r="B689" s="1096" t="s">
        <v>1371</v>
      </c>
      <c r="C689" s="1113">
        <f>[7]LRAll!C680</f>
        <v>153</v>
      </c>
      <c r="D689" s="1113">
        <f>[7]LRAll!I680</f>
        <v>135.1</v>
      </c>
      <c r="E689" s="1096"/>
      <c r="F689" s="1114">
        <f t="shared" si="23"/>
        <v>88.300653594771234</v>
      </c>
      <c r="G689" s="1112">
        <f t="shared" si="19"/>
        <v>81.111111111111114</v>
      </c>
      <c r="H689" s="1112">
        <f t="shared" si="20"/>
        <v>75.620915032679733</v>
      </c>
      <c r="I689" s="1112">
        <f t="shared" si="21"/>
        <v>81.24183006535948</v>
      </c>
      <c r="J689" s="1112">
        <f t="shared" si="22"/>
        <v>97.058823529411768</v>
      </c>
      <c r="K689" s="1096"/>
      <c r="L689" s="1096"/>
      <c r="M689" s="1096"/>
      <c r="N689" s="1096"/>
      <c r="O689" s="1096"/>
      <c r="P689" s="1114">
        <v>135.1</v>
      </c>
      <c r="Q689" s="1096" t="s">
        <v>1544</v>
      </c>
      <c r="R689" s="1114">
        <v>124.1</v>
      </c>
      <c r="S689" s="1096" t="s">
        <v>1544</v>
      </c>
      <c r="T689" s="1114">
        <v>115.7</v>
      </c>
      <c r="U689" s="1096" t="s">
        <v>1544</v>
      </c>
      <c r="V689" s="1114">
        <v>124.3</v>
      </c>
      <c r="W689" s="1096" t="s">
        <v>1544</v>
      </c>
      <c r="X689" s="1114">
        <v>148.5</v>
      </c>
      <c r="Y689" s="1096" t="s">
        <v>1544</v>
      </c>
      <c r="Z689" s="1114">
        <v>153</v>
      </c>
      <c r="AA689" s="1096"/>
      <c r="AB689" s="1096"/>
      <c r="AC689" s="1096"/>
      <c r="AD689" s="1096"/>
      <c r="AE689" s="1096"/>
      <c r="AF689" s="1096"/>
      <c r="AG689" s="1096"/>
      <c r="AH689" s="1096"/>
      <c r="AI689" s="1096"/>
      <c r="AJ689" s="1096"/>
      <c r="AK689" s="1096"/>
      <c r="AL689" s="1096"/>
      <c r="AM689" s="1096"/>
      <c r="AN689" s="1096"/>
      <c r="AO689" s="1096"/>
      <c r="AP689" s="1096"/>
      <c r="AQ689" s="1096"/>
      <c r="AR689" s="1096"/>
      <c r="AS689" s="1096"/>
      <c r="AT689" s="1096"/>
      <c r="AU689" s="1096"/>
      <c r="AV689" s="1096"/>
      <c r="AW689" s="1096"/>
      <c r="AX689" s="1096"/>
      <c r="AY689" s="1096"/>
    </row>
    <row r="690" spans="1:51" x14ac:dyDescent="0.45">
      <c r="A690" s="1096">
        <v>1996</v>
      </c>
      <c r="B690" s="1096" t="s">
        <v>1373</v>
      </c>
      <c r="C690" s="1113">
        <f>[7]LRAll!C681</f>
        <v>152.4</v>
      </c>
      <c r="D690" s="1113">
        <f>[7]LRAll!I681</f>
        <v>135.19999999999999</v>
      </c>
      <c r="E690" s="1096"/>
      <c r="F690" s="1114">
        <f t="shared" si="23"/>
        <v>88.71391076115485</v>
      </c>
      <c r="G690" s="1112">
        <f t="shared" si="19"/>
        <v>81.69291338582677</v>
      </c>
      <c r="H690" s="1112">
        <f t="shared" si="20"/>
        <v>76.771653543307082</v>
      </c>
      <c r="I690" s="1112">
        <f t="shared" si="21"/>
        <v>81.561679790026247</v>
      </c>
      <c r="J690" s="1112">
        <f t="shared" si="22"/>
        <v>97.506561679790011</v>
      </c>
      <c r="K690" s="1096"/>
      <c r="L690" s="1096"/>
      <c r="M690" s="1096"/>
      <c r="N690" s="1096"/>
      <c r="O690" s="1096"/>
      <c r="P690" s="1114">
        <v>135.19999999999999</v>
      </c>
      <c r="Q690" s="1096" t="s">
        <v>1545</v>
      </c>
      <c r="R690" s="1114">
        <v>124.5</v>
      </c>
      <c r="S690" s="1096" t="s">
        <v>1545</v>
      </c>
      <c r="T690" s="1114">
        <v>117</v>
      </c>
      <c r="U690" s="1096" t="s">
        <v>1545</v>
      </c>
      <c r="V690" s="1114">
        <v>124.3</v>
      </c>
      <c r="W690" s="1096" t="s">
        <v>1545</v>
      </c>
      <c r="X690" s="1114">
        <v>148.6</v>
      </c>
      <c r="Y690" s="1096" t="s">
        <v>1545</v>
      </c>
      <c r="Z690" s="1114">
        <v>152.4</v>
      </c>
      <c r="AA690" s="1096"/>
      <c r="AB690" s="1096"/>
      <c r="AC690" s="1096"/>
      <c r="AD690" s="1096"/>
      <c r="AE690" s="1096"/>
      <c r="AF690" s="1096"/>
      <c r="AG690" s="1096"/>
      <c r="AH690" s="1096"/>
      <c r="AI690" s="1096"/>
      <c r="AJ690" s="1096"/>
      <c r="AK690" s="1096"/>
      <c r="AL690" s="1096"/>
      <c r="AM690" s="1096"/>
      <c r="AN690" s="1096"/>
      <c r="AO690" s="1096"/>
      <c r="AP690" s="1096"/>
      <c r="AQ690" s="1096"/>
      <c r="AR690" s="1096"/>
      <c r="AS690" s="1096"/>
      <c r="AT690" s="1096"/>
      <c r="AU690" s="1096"/>
      <c r="AV690" s="1096"/>
      <c r="AW690" s="1096"/>
      <c r="AX690" s="1096"/>
      <c r="AY690" s="1096"/>
    </row>
    <row r="691" spans="1:51" x14ac:dyDescent="0.45">
      <c r="A691" s="1096">
        <v>1996</v>
      </c>
      <c r="B691" s="1096" t="s">
        <v>1375</v>
      </c>
      <c r="C691" s="1113">
        <f>[7]LRAll!C682</f>
        <v>153.1</v>
      </c>
      <c r="D691" s="1113">
        <f>[7]LRAll!I682</f>
        <v>135</v>
      </c>
      <c r="E691" s="1096"/>
      <c r="F691" s="1114">
        <f t="shared" si="23"/>
        <v>88.177661659046379</v>
      </c>
      <c r="G691" s="1112">
        <f t="shared" si="19"/>
        <v>81.319399085564996</v>
      </c>
      <c r="H691" s="1112">
        <f t="shared" si="20"/>
        <v>76.943174395819725</v>
      </c>
      <c r="I691" s="1112">
        <f t="shared" si="21"/>
        <v>81.188765512736765</v>
      </c>
      <c r="J691" s="1112">
        <f t="shared" si="22"/>
        <v>96.668843892880474</v>
      </c>
      <c r="K691" s="1096"/>
      <c r="L691" s="1096"/>
      <c r="M691" s="1096"/>
      <c r="N691" s="1096"/>
      <c r="O691" s="1096"/>
      <c r="P691" s="1114">
        <v>135</v>
      </c>
      <c r="Q691" s="1096" t="s">
        <v>1546</v>
      </c>
      <c r="R691" s="1114">
        <v>124.5</v>
      </c>
      <c r="S691" s="1096" t="s">
        <v>1546</v>
      </c>
      <c r="T691" s="1114">
        <v>117.8</v>
      </c>
      <c r="U691" s="1096" t="s">
        <v>1546</v>
      </c>
      <c r="V691" s="1114">
        <v>124.3</v>
      </c>
      <c r="W691" s="1096" t="s">
        <v>1546</v>
      </c>
      <c r="X691" s="1114">
        <v>148</v>
      </c>
      <c r="Y691" s="1096" t="s">
        <v>1546</v>
      </c>
      <c r="Z691" s="1114">
        <v>153.1</v>
      </c>
      <c r="AA691" s="1096"/>
      <c r="AB691" s="1096"/>
      <c r="AC691" s="1096"/>
      <c r="AD691" s="1096"/>
      <c r="AE691" s="1096"/>
      <c r="AF691" s="1096"/>
      <c r="AG691" s="1096"/>
      <c r="AH691" s="1096"/>
      <c r="AI691" s="1096"/>
      <c r="AJ691" s="1096"/>
      <c r="AK691" s="1096"/>
      <c r="AL691" s="1096"/>
      <c r="AM691" s="1096"/>
      <c r="AN691" s="1096"/>
      <c r="AO691" s="1096"/>
      <c r="AP691" s="1096"/>
      <c r="AQ691" s="1096"/>
      <c r="AR691" s="1096"/>
      <c r="AS691" s="1096"/>
      <c r="AT691" s="1096"/>
      <c r="AU691" s="1096"/>
      <c r="AV691" s="1096"/>
      <c r="AW691" s="1096"/>
      <c r="AX691" s="1096"/>
      <c r="AY691" s="1096"/>
    </row>
    <row r="692" spans="1:51" x14ac:dyDescent="0.45">
      <c r="A692" s="1096">
        <v>1996</v>
      </c>
      <c r="B692" s="1096" t="s">
        <v>1377</v>
      </c>
      <c r="C692" s="1113">
        <f>[7]LRAll!C683</f>
        <v>153.80000000000001</v>
      </c>
      <c r="D692" s="1113">
        <f>[7]LRAll!I683</f>
        <v>135</v>
      </c>
      <c r="E692" s="1096"/>
      <c r="F692" s="1114">
        <f t="shared" si="23"/>
        <v>87.776332899869956</v>
      </c>
      <c r="G692" s="1112">
        <f t="shared" si="19"/>
        <v>82.769830949284767</v>
      </c>
      <c r="H692" s="1112">
        <f t="shared" si="20"/>
        <v>84.590377113133925</v>
      </c>
      <c r="I692" s="1112">
        <f t="shared" si="21"/>
        <v>80.819245773732106</v>
      </c>
      <c r="J692" s="1112">
        <f t="shared" si="22"/>
        <v>95.708712613784115</v>
      </c>
      <c r="K692" s="1096"/>
      <c r="L692" s="1096"/>
      <c r="M692" s="1096"/>
      <c r="N692" s="1096"/>
      <c r="O692" s="1096"/>
      <c r="P692" s="1114">
        <v>135</v>
      </c>
      <c r="Q692" s="1096" t="s">
        <v>1547</v>
      </c>
      <c r="R692" s="1114">
        <v>127.3</v>
      </c>
      <c r="S692" s="1096" t="s">
        <v>1547</v>
      </c>
      <c r="T692" s="1114">
        <v>130.1</v>
      </c>
      <c r="U692" s="1096" t="s">
        <v>1547</v>
      </c>
      <c r="V692" s="1114">
        <v>124.3</v>
      </c>
      <c r="W692" s="1096" t="s">
        <v>1547</v>
      </c>
      <c r="X692" s="1114">
        <v>147.19999999999999</v>
      </c>
      <c r="Y692" s="1096" t="s">
        <v>1547</v>
      </c>
      <c r="Z692" s="1114">
        <v>153.80000000000001</v>
      </c>
      <c r="AA692" s="1096"/>
      <c r="AB692" s="1096"/>
      <c r="AC692" s="1096"/>
      <c r="AD692" s="1096"/>
      <c r="AE692" s="1096"/>
      <c r="AF692" s="1096"/>
      <c r="AG692" s="1096"/>
      <c r="AH692" s="1096"/>
      <c r="AI692" s="1096"/>
      <c r="AJ692" s="1096"/>
      <c r="AK692" s="1096"/>
      <c r="AL692" s="1096"/>
      <c r="AM692" s="1096"/>
      <c r="AN692" s="1096"/>
      <c r="AO692" s="1096"/>
      <c r="AP692" s="1096"/>
      <c r="AQ692" s="1096"/>
      <c r="AR692" s="1096"/>
      <c r="AS692" s="1096"/>
      <c r="AT692" s="1096"/>
      <c r="AU692" s="1096"/>
      <c r="AV692" s="1096"/>
      <c r="AW692" s="1096"/>
      <c r="AX692" s="1096"/>
      <c r="AY692" s="1096"/>
    </row>
    <row r="693" spans="1:51" x14ac:dyDescent="0.45">
      <c r="A693" s="1096">
        <v>1996</v>
      </c>
      <c r="B693" s="1096" t="s">
        <v>1379</v>
      </c>
      <c r="C693" s="1113">
        <f>[7]LRAll!C684</f>
        <v>153.80000000000001</v>
      </c>
      <c r="D693" s="1113">
        <f>[7]LRAll!I684</f>
        <v>134.80000000000001</v>
      </c>
      <c r="E693" s="1096"/>
      <c r="F693" s="1114">
        <f t="shared" si="23"/>
        <v>87.646293888166454</v>
      </c>
      <c r="G693" s="1112">
        <f t="shared" si="19"/>
        <v>84.395318595578672</v>
      </c>
      <c r="H693" s="1112">
        <f t="shared" si="20"/>
        <v>91.612483745123527</v>
      </c>
      <c r="I693" s="1112">
        <f t="shared" si="21"/>
        <v>80.819245773732106</v>
      </c>
      <c r="J693" s="1112">
        <f t="shared" si="22"/>
        <v>94.798439531859557</v>
      </c>
      <c r="K693" s="1096"/>
      <c r="L693" s="1096"/>
      <c r="M693" s="1096"/>
      <c r="N693" s="1096"/>
      <c r="O693" s="1096"/>
      <c r="P693" s="1114">
        <v>134.80000000000001</v>
      </c>
      <c r="Q693" s="1096" t="s">
        <v>1548</v>
      </c>
      <c r="R693" s="1114">
        <v>129.80000000000001</v>
      </c>
      <c r="S693" s="1096" t="s">
        <v>1548</v>
      </c>
      <c r="T693" s="1114">
        <v>140.9</v>
      </c>
      <c r="U693" s="1096" t="s">
        <v>1548</v>
      </c>
      <c r="V693" s="1114">
        <v>124.3</v>
      </c>
      <c r="W693" s="1096" t="s">
        <v>1548</v>
      </c>
      <c r="X693" s="1114">
        <v>145.80000000000001</v>
      </c>
      <c r="Y693" s="1096" t="s">
        <v>1548</v>
      </c>
      <c r="Z693" s="1114">
        <v>153.80000000000001</v>
      </c>
      <c r="AA693" s="1096"/>
      <c r="AB693" s="1096"/>
      <c r="AC693" s="1096"/>
      <c r="AD693" s="1096"/>
      <c r="AE693" s="1096"/>
      <c r="AF693" s="1096"/>
      <c r="AG693" s="1096"/>
      <c r="AH693" s="1096"/>
      <c r="AI693" s="1096"/>
      <c r="AJ693" s="1096"/>
      <c r="AK693" s="1096"/>
      <c r="AL693" s="1096"/>
      <c r="AM693" s="1096"/>
      <c r="AN693" s="1096"/>
      <c r="AO693" s="1096"/>
      <c r="AP693" s="1096"/>
      <c r="AQ693" s="1096"/>
      <c r="AR693" s="1096"/>
      <c r="AS693" s="1096"/>
      <c r="AT693" s="1096"/>
      <c r="AU693" s="1096"/>
      <c r="AV693" s="1096"/>
      <c r="AW693" s="1096"/>
      <c r="AX693" s="1096"/>
      <c r="AY693" s="1096"/>
    </row>
    <row r="694" spans="1:51" x14ac:dyDescent="0.45">
      <c r="A694" s="1096">
        <v>1996</v>
      </c>
      <c r="B694" s="1096" t="s">
        <v>1381</v>
      </c>
      <c r="C694" s="1113">
        <f>[7]LRAll!C685</f>
        <v>153.9</v>
      </c>
      <c r="D694" s="1113">
        <f>[7]LRAll!I685</f>
        <v>134.1</v>
      </c>
      <c r="E694" s="1096"/>
      <c r="F694" s="1114">
        <f t="shared" si="23"/>
        <v>87.134502923976598</v>
      </c>
      <c r="G694" s="1112">
        <f t="shared" si="19"/>
        <v>84.860298895386606</v>
      </c>
      <c r="H694" s="1112">
        <f t="shared" si="20"/>
        <v>84.275503573749177</v>
      </c>
      <c r="I694" s="1112">
        <f t="shared" si="21"/>
        <v>80.766731643924615</v>
      </c>
      <c r="J694" s="1112">
        <f t="shared" si="22"/>
        <v>94.152046783625735</v>
      </c>
      <c r="K694" s="1096"/>
      <c r="L694" s="1096"/>
      <c r="M694" s="1096"/>
      <c r="N694" s="1096"/>
      <c r="O694" s="1096"/>
      <c r="P694" s="1114">
        <v>134.1</v>
      </c>
      <c r="Q694" s="1096" t="s">
        <v>1549</v>
      </c>
      <c r="R694" s="1114">
        <v>130.6</v>
      </c>
      <c r="S694" s="1096" t="s">
        <v>1549</v>
      </c>
      <c r="T694" s="1114">
        <v>129.69999999999999</v>
      </c>
      <c r="U694" s="1096" t="s">
        <v>1549</v>
      </c>
      <c r="V694" s="1114">
        <v>124.3</v>
      </c>
      <c r="W694" s="1096" t="s">
        <v>1549</v>
      </c>
      <c r="X694" s="1114">
        <v>144.9</v>
      </c>
      <c r="Y694" s="1096" t="s">
        <v>1549</v>
      </c>
      <c r="Z694" s="1114">
        <v>153.9</v>
      </c>
      <c r="AA694" s="1096"/>
      <c r="AB694" s="1096"/>
      <c r="AC694" s="1096"/>
      <c r="AD694" s="1096"/>
      <c r="AE694" s="1096"/>
      <c r="AF694" s="1096"/>
      <c r="AG694" s="1096"/>
      <c r="AH694" s="1096"/>
      <c r="AI694" s="1096"/>
      <c r="AJ694" s="1096"/>
      <c r="AK694" s="1096"/>
      <c r="AL694" s="1096"/>
      <c r="AM694" s="1096"/>
      <c r="AN694" s="1096"/>
      <c r="AO694" s="1096"/>
      <c r="AP694" s="1096"/>
      <c r="AQ694" s="1096"/>
      <c r="AR694" s="1096"/>
      <c r="AS694" s="1096"/>
      <c r="AT694" s="1096"/>
      <c r="AU694" s="1096"/>
      <c r="AV694" s="1096"/>
      <c r="AW694" s="1096"/>
      <c r="AX694" s="1096"/>
      <c r="AY694" s="1096"/>
    </row>
    <row r="695" spans="1:51" x14ac:dyDescent="0.45">
      <c r="A695" s="1096">
        <v>1996</v>
      </c>
      <c r="B695" s="1096" t="s">
        <v>1383</v>
      </c>
      <c r="C695" s="1113">
        <f>[7]LRAll!C686</f>
        <v>154.4</v>
      </c>
      <c r="D695" s="1113">
        <f>[7]LRAll!I686</f>
        <v>133.9</v>
      </c>
      <c r="E695" s="1096"/>
      <c r="F695" s="1114">
        <f t="shared" si="23"/>
        <v>86.72279792746113</v>
      </c>
      <c r="G695" s="1112">
        <f t="shared" si="19"/>
        <v>84.779792746113998</v>
      </c>
      <c r="H695" s="1112">
        <f t="shared" si="20"/>
        <v>87.176165803108802</v>
      </c>
      <c r="I695" s="1112">
        <f t="shared" si="21"/>
        <v>80.505181347150256</v>
      </c>
      <c r="J695" s="1112">
        <f t="shared" si="22"/>
        <v>93.393782383419676</v>
      </c>
      <c r="K695" s="1096"/>
      <c r="L695" s="1096"/>
      <c r="M695" s="1096"/>
      <c r="N695" s="1096"/>
      <c r="O695" s="1096"/>
      <c r="P695" s="1114">
        <v>133.9</v>
      </c>
      <c r="Q695" s="1096" t="s">
        <v>1550</v>
      </c>
      <c r="R695" s="1114">
        <v>130.9</v>
      </c>
      <c r="S695" s="1096" t="s">
        <v>1550</v>
      </c>
      <c r="T695" s="1114">
        <v>134.6</v>
      </c>
      <c r="U695" s="1096" t="s">
        <v>1550</v>
      </c>
      <c r="V695" s="1114">
        <v>124.3</v>
      </c>
      <c r="W695" s="1096" t="s">
        <v>1550</v>
      </c>
      <c r="X695" s="1114">
        <v>144.19999999999999</v>
      </c>
      <c r="Y695" s="1096" t="s">
        <v>1550</v>
      </c>
      <c r="Z695" s="1114">
        <v>154.4</v>
      </c>
      <c r="AA695" s="1096"/>
      <c r="AB695" s="1096"/>
      <c r="AC695" s="1096"/>
      <c r="AD695" s="1096"/>
      <c r="AE695" s="1096"/>
      <c r="AF695" s="1096"/>
      <c r="AG695" s="1096"/>
      <c r="AH695" s="1096"/>
      <c r="AI695" s="1096"/>
      <c r="AJ695" s="1096"/>
      <c r="AK695" s="1096"/>
      <c r="AL695" s="1096"/>
      <c r="AM695" s="1096"/>
      <c r="AN695" s="1096"/>
      <c r="AO695" s="1096"/>
      <c r="AP695" s="1096"/>
      <c r="AQ695" s="1096"/>
      <c r="AR695" s="1096"/>
      <c r="AS695" s="1096"/>
      <c r="AT695" s="1096"/>
      <c r="AU695" s="1096"/>
      <c r="AV695" s="1096"/>
      <c r="AW695" s="1096"/>
      <c r="AX695" s="1096"/>
      <c r="AY695" s="1096"/>
    </row>
    <row r="696" spans="1:51" x14ac:dyDescent="0.45">
      <c r="A696" s="1096">
        <v>1997</v>
      </c>
      <c r="B696" s="1096" t="s">
        <v>1385</v>
      </c>
      <c r="C696" s="1113">
        <f>[7]LRAll!C687</f>
        <v>154.4</v>
      </c>
      <c r="D696" s="1113">
        <f>[7]LRAll!I687</f>
        <v>133.19999999999999</v>
      </c>
      <c r="E696" s="1096"/>
      <c r="F696" s="1114">
        <f t="shared" si="23"/>
        <v>86.269430051813458</v>
      </c>
      <c r="G696" s="1112">
        <f t="shared" si="19"/>
        <v>84.844559585492235</v>
      </c>
      <c r="H696" s="1112">
        <f t="shared" si="20"/>
        <v>87.629533678756474</v>
      </c>
      <c r="I696" s="1112">
        <f t="shared" si="21"/>
        <v>80.505181347150256</v>
      </c>
      <c r="J696" s="1112">
        <f t="shared" si="22"/>
        <v>92.292746113989637</v>
      </c>
      <c r="K696" s="1096"/>
      <c r="L696" s="1096"/>
      <c r="M696" s="1096"/>
      <c r="N696" s="1096"/>
      <c r="O696" s="1096"/>
      <c r="P696" s="1114">
        <v>133.19999999999999</v>
      </c>
      <c r="Q696" s="1096" t="s">
        <v>1551</v>
      </c>
      <c r="R696" s="1114">
        <v>131</v>
      </c>
      <c r="S696" s="1096" t="s">
        <v>1551</v>
      </c>
      <c r="T696" s="1114">
        <v>135.30000000000001</v>
      </c>
      <c r="U696" s="1096" t="s">
        <v>1551</v>
      </c>
      <c r="V696" s="1114">
        <v>124.3</v>
      </c>
      <c r="W696" s="1096" t="s">
        <v>1551</v>
      </c>
      <c r="X696" s="1114">
        <v>142.5</v>
      </c>
      <c r="Y696" s="1096" t="s">
        <v>1551</v>
      </c>
      <c r="Z696" s="1114">
        <v>154.4</v>
      </c>
      <c r="AA696" s="1096"/>
      <c r="AB696" s="1096"/>
      <c r="AC696" s="1096"/>
      <c r="AD696" s="1096"/>
      <c r="AE696" s="1096"/>
      <c r="AF696" s="1096"/>
      <c r="AG696" s="1096"/>
      <c r="AH696" s="1096"/>
      <c r="AI696" s="1096"/>
      <c r="AJ696" s="1096"/>
      <c r="AK696" s="1096"/>
      <c r="AL696" s="1096"/>
      <c r="AM696" s="1096"/>
      <c r="AN696" s="1096"/>
      <c r="AO696" s="1096"/>
      <c r="AP696" s="1096"/>
      <c r="AQ696" s="1096"/>
      <c r="AR696" s="1096"/>
      <c r="AS696" s="1096"/>
      <c r="AT696" s="1096"/>
      <c r="AU696" s="1096"/>
      <c r="AV696" s="1096"/>
      <c r="AW696" s="1096"/>
      <c r="AX696" s="1096"/>
      <c r="AY696" s="1096"/>
    </row>
    <row r="697" spans="1:51" x14ac:dyDescent="0.45">
      <c r="A697" s="1096">
        <v>1997</v>
      </c>
      <c r="B697" s="1096" t="s">
        <v>1387</v>
      </c>
      <c r="C697" s="1113">
        <f>[7]LRAll!C688</f>
        <v>155</v>
      </c>
      <c r="D697" s="1113">
        <f>[7]LRAll!I688</f>
        <v>133.19999999999999</v>
      </c>
      <c r="E697" s="1096"/>
      <c r="F697" s="1114">
        <f t="shared" si="23"/>
        <v>85.93548387096773</v>
      </c>
      <c r="G697" s="1112">
        <f t="shared" si="19"/>
        <v>84.516129032258064</v>
      </c>
      <c r="H697" s="1112">
        <f t="shared" si="20"/>
        <v>83.741935483870975</v>
      </c>
      <c r="I697" s="1112">
        <f t="shared" si="21"/>
        <v>80.193548387096769</v>
      </c>
      <c r="J697" s="1112">
        <f t="shared" si="22"/>
        <v>92.387096774193537</v>
      </c>
      <c r="K697" s="1096"/>
      <c r="L697" s="1096"/>
      <c r="M697" s="1096"/>
      <c r="N697" s="1096"/>
      <c r="O697" s="1096"/>
      <c r="P697" s="1114">
        <v>133.19999999999999</v>
      </c>
      <c r="Q697" s="1096" t="s">
        <v>1552</v>
      </c>
      <c r="R697" s="1114">
        <v>131</v>
      </c>
      <c r="S697" s="1096" t="s">
        <v>1552</v>
      </c>
      <c r="T697" s="1114">
        <v>129.80000000000001</v>
      </c>
      <c r="U697" s="1096" t="s">
        <v>1552</v>
      </c>
      <c r="V697" s="1114">
        <v>124.3</v>
      </c>
      <c r="W697" s="1096" t="s">
        <v>1552</v>
      </c>
      <c r="X697" s="1114">
        <v>143.19999999999999</v>
      </c>
      <c r="Y697" s="1096" t="s">
        <v>1552</v>
      </c>
      <c r="Z697" s="1114">
        <v>155</v>
      </c>
      <c r="AA697" s="1096"/>
      <c r="AB697" s="1096"/>
      <c r="AC697" s="1096"/>
      <c r="AD697" s="1096"/>
      <c r="AE697" s="1096"/>
      <c r="AF697" s="1096"/>
      <c r="AG697" s="1096"/>
      <c r="AH697" s="1096"/>
      <c r="AI697" s="1096"/>
      <c r="AJ697" s="1096"/>
      <c r="AK697" s="1096"/>
      <c r="AL697" s="1096"/>
      <c r="AM697" s="1096"/>
      <c r="AN697" s="1096"/>
      <c r="AO697" s="1096"/>
      <c r="AP697" s="1096"/>
      <c r="AQ697" s="1096"/>
      <c r="AR697" s="1096"/>
      <c r="AS697" s="1096"/>
      <c r="AT697" s="1096"/>
      <c r="AU697" s="1096"/>
      <c r="AV697" s="1096"/>
      <c r="AW697" s="1096"/>
      <c r="AX697" s="1096"/>
      <c r="AY697" s="1096"/>
    </row>
    <row r="698" spans="1:51" x14ac:dyDescent="0.45">
      <c r="A698" s="1096">
        <v>1997</v>
      </c>
      <c r="B698" s="1096" t="s">
        <v>1389</v>
      </c>
      <c r="C698" s="1113">
        <f>[7]LRAll!C689</f>
        <v>155.4</v>
      </c>
      <c r="D698" s="1113">
        <f>[7]LRAll!I689</f>
        <v>133.19999999999999</v>
      </c>
      <c r="E698" s="1096"/>
      <c r="F698" s="1114">
        <f t="shared" si="23"/>
        <v>85.714285714285694</v>
      </c>
      <c r="G698" s="1112">
        <f t="shared" si="19"/>
        <v>84.169884169884185</v>
      </c>
      <c r="H698" s="1112">
        <f t="shared" si="20"/>
        <v>79.086229086229082</v>
      </c>
      <c r="I698" s="1112">
        <f t="shared" si="21"/>
        <v>79.987129987129975</v>
      </c>
      <c r="J698" s="1112">
        <f t="shared" si="22"/>
        <v>92.535392535392532</v>
      </c>
      <c r="K698" s="1096"/>
      <c r="L698" s="1096"/>
      <c r="M698" s="1096"/>
      <c r="N698" s="1096"/>
      <c r="O698" s="1096"/>
      <c r="P698" s="1114">
        <v>133.19999999999999</v>
      </c>
      <c r="Q698" s="1096" t="s">
        <v>1553</v>
      </c>
      <c r="R698" s="1114">
        <v>130.80000000000001</v>
      </c>
      <c r="S698" s="1096" t="s">
        <v>1553</v>
      </c>
      <c r="T698" s="1114">
        <v>122.9</v>
      </c>
      <c r="U698" s="1096" t="s">
        <v>1553</v>
      </c>
      <c r="V698" s="1114">
        <v>124.3</v>
      </c>
      <c r="W698" s="1096" t="s">
        <v>1553</v>
      </c>
      <c r="X698" s="1114">
        <v>143.80000000000001</v>
      </c>
      <c r="Y698" s="1096" t="s">
        <v>1553</v>
      </c>
      <c r="Z698" s="1114">
        <v>155.4</v>
      </c>
      <c r="AA698" s="1096"/>
      <c r="AB698" s="1096"/>
      <c r="AC698" s="1096"/>
      <c r="AD698" s="1096"/>
      <c r="AE698" s="1096"/>
      <c r="AF698" s="1096"/>
      <c r="AG698" s="1096"/>
      <c r="AH698" s="1096"/>
      <c r="AI698" s="1096"/>
      <c r="AJ698" s="1096"/>
      <c r="AK698" s="1096"/>
      <c r="AL698" s="1096"/>
      <c r="AM698" s="1096"/>
      <c r="AN698" s="1096"/>
      <c r="AO698" s="1096"/>
      <c r="AP698" s="1096"/>
      <c r="AQ698" s="1096"/>
      <c r="AR698" s="1096"/>
      <c r="AS698" s="1096"/>
      <c r="AT698" s="1096"/>
      <c r="AU698" s="1096"/>
      <c r="AV698" s="1096"/>
      <c r="AW698" s="1096"/>
      <c r="AX698" s="1096"/>
      <c r="AY698" s="1096"/>
    </row>
    <row r="699" spans="1:51" x14ac:dyDescent="0.45">
      <c r="A699" s="1096">
        <v>1997</v>
      </c>
      <c r="B699" s="1096" t="s">
        <v>1391</v>
      </c>
      <c r="C699" s="1113">
        <f>[7]LRAll!C690</f>
        <v>156.30000000000001</v>
      </c>
      <c r="D699" s="1113">
        <f>[7]LRAll!I690</f>
        <v>132.80000000000001</v>
      </c>
      <c r="E699" s="1096"/>
      <c r="F699" s="1114">
        <f t="shared" si="23"/>
        <v>84.964811260396672</v>
      </c>
      <c r="G699" s="1112">
        <f t="shared" si="19"/>
        <v>83.557261676263579</v>
      </c>
      <c r="H699" s="1112">
        <f t="shared" si="20"/>
        <v>76.263595649392187</v>
      </c>
      <c r="I699" s="1112">
        <f t="shared" si="21"/>
        <v>79.462571976967368</v>
      </c>
      <c r="J699" s="1112">
        <f t="shared" si="22"/>
        <v>91.81062060140755</v>
      </c>
      <c r="K699" s="1096"/>
      <c r="L699" s="1096"/>
      <c r="M699" s="1096"/>
      <c r="N699" s="1096"/>
      <c r="O699" s="1096"/>
      <c r="P699" s="1114">
        <v>132.80000000000001</v>
      </c>
      <c r="Q699" s="1096" t="s">
        <v>1554</v>
      </c>
      <c r="R699" s="1114">
        <v>130.6</v>
      </c>
      <c r="S699" s="1096" t="s">
        <v>1554</v>
      </c>
      <c r="T699" s="1114">
        <v>119.2</v>
      </c>
      <c r="U699" s="1096" t="s">
        <v>1554</v>
      </c>
      <c r="V699" s="1114">
        <v>124.2</v>
      </c>
      <c r="W699" s="1096" t="s">
        <v>1554</v>
      </c>
      <c r="X699" s="1114">
        <v>143.5</v>
      </c>
      <c r="Y699" s="1096" t="s">
        <v>1554</v>
      </c>
      <c r="Z699" s="1114">
        <v>156.30000000000001</v>
      </c>
      <c r="AA699" s="1096"/>
      <c r="AB699" s="1096"/>
      <c r="AC699" s="1096"/>
      <c r="AD699" s="1096"/>
      <c r="AE699" s="1096"/>
      <c r="AF699" s="1096"/>
      <c r="AG699" s="1096"/>
      <c r="AH699" s="1096"/>
      <c r="AI699" s="1096"/>
      <c r="AJ699" s="1096"/>
      <c r="AK699" s="1096"/>
      <c r="AL699" s="1096"/>
      <c r="AM699" s="1096"/>
      <c r="AN699" s="1096"/>
      <c r="AO699" s="1096"/>
      <c r="AP699" s="1096"/>
      <c r="AQ699" s="1096"/>
      <c r="AR699" s="1096"/>
      <c r="AS699" s="1096"/>
      <c r="AT699" s="1096"/>
      <c r="AU699" s="1096"/>
      <c r="AV699" s="1096"/>
      <c r="AW699" s="1096"/>
      <c r="AX699" s="1096"/>
      <c r="AY699" s="1096"/>
    </row>
    <row r="700" spans="1:51" x14ac:dyDescent="0.45">
      <c r="A700" s="1096">
        <v>1997</v>
      </c>
      <c r="B700" s="1096" t="s">
        <v>1393</v>
      </c>
      <c r="C700" s="1113">
        <f>[7]LRAll!C691</f>
        <v>156.9</v>
      </c>
      <c r="D700" s="1113">
        <f>[7]LRAll!I691</f>
        <v>132.30000000000001</v>
      </c>
      <c r="E700" s="1096"/>
      <c r="F700" s="1114">
        <f t="shared" si="23"/>
        <v>84.321223709369036</v>
      </c>
      <c r="G700" s="1112">
        <f t="shared" si="19"/>
        <v>80.879541108986615</v>
      </c>
      <c r="H700" s="1112">
        <f t="shared" si="20"/>
        <v>76.03569152326321</v>
      </c>
      <c r="I700" s="1112">
        <f t="shared" si="21"/>
        <v>79.158699808795404</v>
      </c>
      <c r="J700" s="1112">
        <f t="shared" si="22"/>
        <v>90.885914595283609</v>
      </c>
      <c r="K700" s="1096"/>
      <c r="L700" s="1096"/>
      <c r="M700" s="1096"/>
      <c r="N700" s="1096"/>
      <c r="O700" s="1096"/>
      <c r="P700" s="1114">
        <v>132.30000000000001</v>
      </c>
      <c r="Q700" s="1096" t="s">
        <v>1555</v>
      </c>
      <c r="R700" s="1114">
        <v>126.9</v>
      </c>
      <c r="S700" s="1096" t="s">
        <v>1555</v>
      </c>
      <c r="T700" s="1114">
        <v>119.3</v>
      </c>
      <c r="U700" s="1096" t="s">
        <v>1555</v>
      </c>
      <c r="V700" s="1114">
        <v>124.2</v>
      </c>
      <c r="W700" s="1096" t="s">
        <v>1555</v>
      </c>
      <c r="X700" s="1114">
        <v>142.6</v>
      </c>
      <c r="Y700" s="1096" t="s">
        <v>1555</v>
      </c>
      <c r="Z700" s="1114">
        <v>156.9</v>
      </c>
      <c r="AA700" s="1096"/>
      <c r="AB700" s="1096"/>
      <c r="AC700" s="1096"/>
      <c r="AD700" s="1096"/>
      <c r="AE700" s="1096"/>
      <c r="AF700" s="1096"/>
      <c r="AG700" s="1096"/>
      <c r="AH700" s="1096"/>
      <c r="AI700" s="1096"/>
      <c r="AJ700" s="1096"/>
      <c r="AK700" s="1096"/>
      <c r="AL700" s="1096"/>
      <c r="AM700" s="1096"/>
      <c r="AN700" s="1096"/>
      <c r="AO700" s="1096"/>
      <c r="AP700" s="1096"/>
      <c r="AQ700" s="1096"/>
      <c r="AR700" s="1096"/>
      <c r="AS700" s="1096"/>
      <c r="AT700" s="1096"/>
      <c r="AU700" s="1096"/>
      <c r="AV700" s="1096"/>
      <c r="AW700" s="1096"/>
      <c r="AX700" s="1096"/>
      <c r="AY700" s="1096"/>
    </row>
    <row r="701" spans="1:51" x14ac:dyDescent="0.45">
      <c r="A701" s="1096">
        <v>1997</v>
      </c>
      <c r="B701" s="1096" t="s">
        <v>1371</v>
      </c>
      <c r="C701" s="1113">
        <f>[7]LRAll!C692</f>
        <v>157.5</v>
      </c>
      <c r="D701" s="1113">
        <f>[7]LRAll!I692</f>
        <v>131.69999999999999</v>
      </c>
      <c r="E701" s="1096"/>
      <c r="F701" s="1114">
        <f t="shared" si="23"/>
        <v>83.61904761904762</v>
      </c>
      <c r="G701" s="1112">
        <f t="shared" si="19"/>
        <v>80.063492063492063</v>
      </c>
      <c r="H701" s="1112">
        <f t="shared" si="20"/>
        <v>74.666666666666657</v>
      </c>
      <c r="I701" s="1112">
        <f t="shared" si="21"/>
        <v>78.857142857142861</v>
      </c>
      <c r="J701" s="1112">
        <f t="shared" si="22"/>
        <v>89.968253968253961</v>
      </c>
      <c r="K701" s="1096"/>
      <c r="L701" s="1096"/>
      <c r="M701" s="1096"/>
      <c r="N701" s="1096"/>
      <c r="O701" s="1096"/>
      <c r="P701" s="1114">
        <v>131.69999999999999</v>
      </c>
      <c r="Q701" s="1096" t="s">
        <v>1556</v>
      </c>
      <c r="R701" s="1114">
        <v>126.1</v>
      </c>
      <c r="S701" s="1096" t="s">
        <v>1556</v>
      </c>
      <c r="T701" s="1114">
        <v>117.6</v>
      </c>
      <c r="U701" s="1096" t="s">
        <v>1556</v>
      </c>
      <c r="V701" s="1114">
        <v>124.2</v>
      </c>
      <c r="W701" s="1096" t="s">
        <v>1556</v>
      </c>
      <c r="X701" s="1114">
        <v>141.69999999999999</v>
      </c>
      <c r="Y701" s="1096" t="s">
        <v>1556</v>
      </c>
      <c r="Z701" s="1114">
        <v>157.5</v>
      </c>
      <c r="AA701" s="1096"/>
      <c r="AB701" s="1096"/>
      <c r="AC701" s="1096"/>
      <c r="AD701" s="1096"/>
      <c r="AE701" s="1096"/>
      <c r="AF701" s="1096"/>
      <c r="AG701" s="1096"/>
      <c r="AH701" s="1096"/>
      <c r="AI701" s="1096"/>
      <c r="AJ701" s="1096"/>
      <c r="AK701" s="1096"/>
      <c r="AL701" s="1096"/>
      <c r="AM701" s="1096"/>
      <c r="AN701" s="1096"/>
      <c r="AO701" s="1096"/>
      <c r="AP701" s="1096"/>
      <c r="AQ701" s="1096"/>
      <c r="AR701" s="1096"/>
      <c r="AS701" s="1096"/>
      <c r="AT701" s="1096"/>
      <c r="AU701" s="1096"/>
      <c r="AV701" s="1096"/>
      <c r="AW701" s="1096"/>
      <c r="AX701" s="1096"/>
      <c r="AY701" s="1096"/>
    </row>
    <row r="702" spans="1:51" x14ac:dyDescent="0.45">
      <c r="A702" s="1096">
        <v>1997</v>
      </c>
      <c r="B702" s="1096" t="s">
        <v>1373</v>
      </c>
      <c r="C702" s="1113">
        <f>[7]LRAll!C693</f>
        <v>157.5</v>
      </c>
      <c r="D702" s="1113">
        <f>[7]LRAll!I693</f>
        <v>131.19999999999999</v>
      </c>
      <c r="E702" s="1096"/>
      <c r="F702" s="1114">
        <f t="shared" si="23"/>
        <v>83.301587301587304</v>
      </c>
      <c r="G702" s="1112">
        <f t="shared" si="19"/>
        <v>80.38095238095238</v>
      </c>
      <c r="H702" s="1112">
        <f t="shared" si="20"/>
        <v>72.888888888888886</v>
      </c>
      <c r="I702" s="1112">
        <f t="shared" si="21"/>
        <v>78.857142857142861</v>
      </c>
      <c r="J702" s="1112">
        <f t="shared" si="22"/>
        <v>89.333333333333329</v>
      </c>
      <c r="K702" s="1096"/>
      <c r="L702" s="1096"/>
      <c r="M702" s="1096"/>
      <c r="N702" s="1096"/>
      <c r="O702" s="1096"/>
      <c r="P702" s="1114">
        <v>131.19999999999999</v>
      </c>
      <c r="Q702" s="1096" t="s">
        <v>1557</v>
      </c>
      <c r="R702" s="1114">
        <v>126.6</v>
      </c>
      <c r="S702" s="1096" t="s">
        <v>1557</v>
      </c>
      <c r="T702" s="1114">
        <v>114.8</v>
      </c>
      <c r="U702" s="1096" t="s">
        <v>1557</v>
      </c>
      <c r="V702" s="1114">
        <v>124.2</v>
      </c>
      <c r="W702" s="1096" t="s">
        <v>1557</v>
      </c>
      <c r="X702" s="1114">
        <v>140.69999999999999</v>
      </c>
      <c r="Y702" s="1096" t="s">
        <v>1557</v>
      </c>
      <c r="Z702" s="1114">
        <v>157.5</v>
      </c>
      <c r="AA702" s="1096"/>
      <c r="AB702" s="1096"/>
      <c r="AC702" s="1096"/>
      <c r="AD702" s="1096"/>
      <c r="AE702" s="1096"/>
      <c r="AF702" s="1096"/>
      <c r="AG702" s="1096"/>
      <c r="AH702" s="1096"/>
      <c r="AI702" s="1096"/>
      <c r="AJ702" s="1096"/>
      <c r="AK702" s="1096"/>
      <c r="AL702" s="1096"/>
      <c r="AM702" s="1096"/>
      <c r="AN702" s="1096"/>
      <c r="AO702" s="1096"/>
      <c r="AP702" s="1096"/>
      <c r="AQ702" s="1096"/>
      <c r="AR702" s="1096"/>
      <c r="AS702" s="1096"/>
      <c r="AT702" s="1096"/>
      <c r="AU702" s="1096"/>
      <c r="AV702" s="1096"/>
      <c r="AW702" s="1096"/>
      <c r="AX702" s="1096"/>
      <c r="AY702" s="1096"/>
    </row>
    <row r="703" spans="1:51" x14ac:dyDescent="0.45">
      <c r="A703" s="1096">
        <v>1997</v>
      </c>
      <c r="B703" s="1096" t="s">
        <v>1375</v>
      </c>
      <c r="C703" s="1113">
        <f>[7]LRAll!C694</f>
        <v>158.5</v>
      </c>
      <c r="D703" s="1113">
        <f>[7]LRAll!I694</f>
        <v>131.19999999999999</v>
      </c>
      <c r="E703" s="1096"/>
      <c r="F703" s="1114">
        <f t="shared" si="23"/>
        <v>82.776025236593057</v>
      </c>
      <c r="G703" s="1112">
        <f t="shared" si="19"/>
        <v>79.432176656151427</v>
      </c>
      <c r="H703" s="1112">
        <f t="shared" si="20"/>
        <v>74.13249211356468</v>
      </c>
      <c r="I703" s="1112">
        <f t="shared" si="21"/>
        <v>78.359621451104104</v>
      </c>
      <c r="J703" s="1112">
        <f t="shared" si="22"/>
        <v>88.643533123028391</v>
      </c>
      <c r="K703" s="1096"/>
      <c r="L703" s="1096"/>
      <c r="M703" s="1096"/>
      <c r="N703" s="1096"/>
      <c r="O703" s="1096"/>
      <c r="P703" s="1114">
        <v>131.19999999999999</v>
      </c>
      <c r="Q703" s="1096" t="s">
        <v>1558</v>
      </c>
      <c r="R703" s="1114">
        <v>125.9</v>
      </c>
      <c r="S703" s="1096" t="s">
        <v>1558</v>
      </c>
      <c r="T703" s="1114">
        <v>117.5</v>
      </c>
      <c r="U703" s="1096" t="s">
        <v>1558</v>
      </c>
      <c r="V703" s="1114">
        <v>124.2</v>
      </c>
      <c r="W703" s="1096" t="s">
        <v>1558</v>
      </c>
      <c r="X703" s="1114">
        <v>140.5</v>
      </c>
      <c r="Y703" s="1096" t="s">
        <v>1558</v>
      </c>
      <c r="Z703" s="1114">
        <v>158.5</v>
      </c>
      <c r="AA703" s="1096"/>
      <c r="AB703" s="1096"/>
      <c r="AC703" s="1096"/>
      <c r="AD703" s="1096"/>
      <c r="AE703" s="1096"/>
      <c r="AF703" s="1096"/>
      <c r="AG703" s="1096"/>
      <c r="AH703" s="1096"/>
      <c r="AI703" s="1096"/>
      <c r="AJ703" s="1096"/>
      <c r="AK703" s="1096"/>
      <c r="AL703" s="1096"/>
      <c r="AM703" s="1096"/>
      <c r="AN703" s="1096"/>
      <c r="AO703" s="1096"/>
      <c r="AP703" s="1096"/>
      <c r="AQ703" s="1096"/>
      <c r="AR703" s="1096"/>
      <c r="AS703" s="1096"/>
      <c r="AT703" s="1096"/>
      <c r="AU703" s="1096"/>
      <c r="AV703" s="1096"/>
      <c r="AW703" s="1096"/>
      <c r="AX703" s="1096"/>
      <c r="AY703" s="1096"/>
    </row>
    <row r="704" spans="1:51" x14ac:dyDescent="0.45">
      <c r="A704" s="1096">
        <v>1997</v>
      </c>
      <c r="B704" s="1096" t="s">
        <v>1377</v>
      </c>
      <c r="C704" s="1113">
        <f>[7]LRAll!C695</f>
        <v>159.30000000000001</v>
      </c>
      <c r="D704" s="1113">
        <f>[7]LRAll!I695</f>
        <v>127.6</v>
      </c>
      <c r="E704" s="1096"/>
      <c r="F704" s="1114">
        <f t="shared" si="23"/>
        <v>80.100439422473315</v>
      </c>
      <c r="G704" s="1112">
        <f t="shared" si="19"/>
        <v>78.844946641556803</v>
      </c>
      <c r="H704" s="1112">
        <f t="shared" si="20"/>
        <v>72.755806654111737</v>
      </c>
      <c r="I704" s="1112">
        <f t="shared" si="21"/>
        <v>75.831763967357176</v>
      </c>
      <c r="J704" s="1112">
        <f t="shared" si="22"/>
        <v>85.687382297551778</v>
      </c>
      <c r="K704" s="1096"/>
      <c r="L704" s="1096"/>
      <c r="M704" s="1096"/>
      <c r="N704" s="1096"/>
      <c r="O704" s="1096"/>
      <c r="P704" s="1114">
        <v>127.6</v>
      </c>
      <c r="Q704" s="1096" t="s">
        <v>1559</v>
      </c>
      <c r="R704" s="1114">
        <v>125.6</v>
      </c>
      <c r="S704" s="1096" t="s">
        <v>1559</v>
      </c>
      <c r="T704" s="1114">
        <v>115.9</v>
      </c>
      <c r="U704" s="1096" t="s">
        <v>1559</v>
      </c>
      <c r="V704" s="1114">
        <v>120.8</v>
      </c>
      <c r="W704" s="1096" t="s">
        <v>1559</v>
      </c>
      <c r="X704" s="1114">
        <v>136.5</v>
      </c>
      <c r="Y704" s="1096" t="s">
        <v>1559</v>
      </c>
      <c r="Z704" s="1114">
        <v>159.30000000000001</v>
      </c>
      <c r="AA704" s="1096"/>
      <c r="AB704" s="1096"/>
      <c r="AC704" s="1096"/>
      <c r="AD704" s="1096"/>
      <c r="AE704" s="1096"/>
      <c r="AF704" s="1096"/>
      <c r="AG704" s="1096"/>
      <c r="AH704" s="1096"/>
      <c r="AI704" s="1096"/>
      <c r="AJ704" s="1096"/>
      <c r="AK704" s="1096"/>
      <c r="AL704" s="1096"/>
      <c r="AM704" s="1096"/>
      <c r="AN704" s="1096"/>
      <c r="AO704" s="1096"/>
      <c r="AP704" s="1096"/>
      <c r="AQ704" s="1096"/>
      <c r="AR704" s="1096"/>
      <c r="AS704" s="1096"/>
      <c r="AT704" s="1096"/>
      <c r="AU704" s="1096"/>
      <c r="AV704" s="1096"/>
      <c r="AW704" s="1096"/>
      <c r="AX704" s="1096"/>
      <c r="AY704" s="1096"/>
    </row>
    <row r="705" spans="1:51" x14ac:dyDescent="0.45">
      <c r="A705" s="1096">
        <v>1997</v>
      </c>
      <c r="B705" s="1096" t="s">
        <v>1379</v>
      </c>
      <c r="C705" s="1113">
        <f>[7]LRAll!C696</f>
        <v>159.5</v>
      </c>
      <c r="D705" s="1113">
        <f>[7]LRAll!I696</f>
        <v>127.6</v>
      </c>
      <c r="E705" s="1096"/>
      <c r="F705" s="1114">
        <f t="shared" si="23"/>
        <v>80</v>
      </c>
      <c r="G705" s="1112">
        <f t="shared" ref="G705:G768" si="24">R705/$Z705*100</f>
        <v>81.442006269592483</v>
      </c>
      <c r="H705" s="1112">
        <f t="shared" ref="H705:H768" si="25">T705/$Z705*100</f>
        <v>74.231974921630098</v>
      </c>
      <c r="I705" s="1112">
        <f t="shared" ref="I705:I768" si="26">V705/$Z705*100</f>
        <v>75.736677115987462</v>
      </c>
      <c r="J705" s="1112">
        <f t="shared" ref="J705:J768" si="27">X705/$Z705*100</f>
        <v>85.2037617554859</v>
      </c>
      <c r="K705" s="1096"/>
      <c r="L705" s="1096"/>
      <c r="M705" s="1096"/>
      <c r="N705" s="1096"/>
      <c r="O705" s="1096"/>
      <c r="P705" s="1114">
        <v>127.6</v>
      </c>
      <c r="Q705" s="1096" t="s">
        <v>1560</v>
      </c>
      <c r="R705" s="1114">
        <v>129.9</v>
      </c>
      <c r="S705" s="1096" t="s">
        <v>1560</v>
      </c>
      <c r="T705" s="1114">
        <v>118.4</v>
      </c>
      <c r="U705" s="1096" t="s">
        <v>1560</v>
      </c>
      <c r="V705" s="1114">
        <v>120.8</v>
      </c>
      <c r="W705" s="1096" t="s">
        <v>1560</v>
      </c>
      <c r="X705" s="1114">
        <v>135.9</v>
      </c>
      <c r="Y705" s="1096" t="s">
        <v>1560</v>
      </c>
      <c r="Z705" s="1114">
        <v>159.5</v>
      </c>
      <c r="AA705" s="1096"/>
      <c r="AB705" s="1096"/>
      <c r="AC705" s="1096"/>
      <c r="AD705" s="1096"/>
      <c r="AE705" s="1096"/>
      <c r="AF705" s="1096"/>
      <c r="AG705" s="1096"/>
      <c r="AH705" s="1096"/>
      <c r="AI705" s="1096"/>
      <c r="AJ705" s="1096"/>
      <c r="AK705" s="1096"/>
      <c r="AL705" s="1096"/>
      <c r="AM705" s="1096"/>
      <c r="AN705" s="1096"/>
      <c r="AO705" s="1096"/>
      <c r="AP705" s="1096"/>
      <c r="AQ705" s="1096"/>
      <c r="AR705" s="1096"/>
      <c r="AS705" s="1096"/>
      <c r="AT705" s="1096"/>
      <c r="AU705" s="1096"/>
      <c r="AV705" s="1096"/>
      <c r="AW705" s="1096"/>
      <c r="AX705" s="1096"/>
      <c r="AY705" s="1096"/>
    </row>
    <row r="706" spans="1:51" x14ac:dyDescent="0.45">
      <c r="A706" s="1096">
        <v>1997</v>
      </c>
      <c r="B706" s="1096" t="s">
        <v>1381</v>
      </c>
      <c r="C706" s="1113">
        <f>[7]LRAll!C697</f>
        <v>159.6</v>
      </c>
      <c r="D706" s="1113">
        <f>[7]LRAll!I697</f>
        <v>127.1</v>
      </c>
      <c r="E706" s="1096"/>
      <c r="F706" s="1114">
        <f t="shared" si="23"/>
        <v>79.636591478696744</v>
      </c>
      <c r="G706" s="1112">
        <f t="shared" si="24"/>
        <v>81.453634085213039</v>
      </c>
      <c r="H706" s="1112">
        <f t="shared" si="25"/>
        <v>74.122807017543863</v>
      </c>
      <c r="I706" s="1112">
        <f t="shared" si="26"/>
        <v>75.689223057644099</v>
      </c>
      <c r="J706" s="1112">
        <f t="shared" si="27"/>
        <v>84.523809523809533</v>
      </c>
      <c r="K706" s="1096"/>
      <c r="L706" s="1096"/>
      <c r="M706" s="1096"/>
      <c r="N706" s="1096"/>
      <c r="O706" s="1096"/>
      <c r="P706" s="1114">
        <v>127.1</v>
      </c>
      <c r="Q706" s="1096" t="s">
        <v>1561</v>
      </c>
      <c r="R706" s="1114">
        <v>130</v>
      </c>
      <c r="S706" s="1096" t="s">
        <v>1561</v>
      </c>
      <c r="T706" s="1114">
        <v>118.3</v>
      </c>
      <c r="U706" s="1096" t="s">
        <v>1561</v>
      </c>
      <c r="V706" s="1114">
        <v>120.8</v>
      </c>
      <c r="W706" s="1096" t="s">
        <v>1561</v>
      </c>
      <c r="X706" s="1114">
        <v>134.9</v>
      </c>
      <c r="Y706" s="1096" t="s">
        <v>1561</v>
      </c>
      <c r="Z706" s="1114">
        <v>159.6</v>
      </c>
      <c r="AA706" s="1096"/>
      <c r="AB706" s="1096"/>
      <c r="AC706" s="1096"/>
      <c r="AD706" s="1096"/>
      <c r="AE706" s="1096"/>
      <c r="AF706" s="1096"/>
      <c r="AG706" s="1096"/>
      <c r="AH706" s="1096"/>
      <c r="AI706" s="1096"/>
      <c r="AJ706" s="1096"/>
      <c r="AK706" s="1096"/>
      <c r="AL706" s="1096"/>
      <c r="AM706" s="1096"/>
      <c r="AN706" s="1096"/>
      <c r="AO706" s="1096"/>
      <c r="AP706" s="1096"/>
      <c r="AQ706" s="1096"/>
      <c r="AR706" s="1096"/>
      <c r="AS706" s="1096"/>
      <c r="AT706" s="1096"/>
      <c r="AU706" s="1096"/>
      <c r="AV706" s="1096"/>
      <c r="AW706" s="1096"/>
      <c r="AX706" s="1096"/>
      <c r="AY706" s="1096"/>
    </row>
    <row r="707" spans="1:51" x14ac:dyDescent="0.45">
      <c r="A707" s="1096">
        <v>1997</v>
      </c>
      <c r="B707" s="1096" t="s">
        <v>1383</v>
      </c>
      <c r="C707" s="1113">
        <f>[7]LRAll!C698</f>
        <v>160</v>
      </c>
      <c r="D707" s="1113">
        <f>[7]LRAll!I698</f>
        <v>126.5</v>
      </c>
      <c r="E707" s="1096"/>
      <c r="F707" s="1114">
        <f t="shared" si="23"/>
        <v>79.0625</v>
      </c>
      <c r="G707" s="1112">
        <f t="shared" si="24"/>
        <v>81.3125</v>
      </c>
      <c r="H707" s="1112">
        <f t="shared" si="25"/>
        <v>72.625</v>
      </c>
      <c r="I707" s="1112">
        <f t="shared" si="26"/>
        <v>75.5</v>
      </c>
      <c r="J707" s="1112">
        <f t="shared" si="27"/>
        <v>83.75</v>
      </c>
      <c r="K707" s="1096"/>
      <c r="L707" s="1096"/>
      <c r="M707" s="1096"/>
      <c r="N707" s="1096"/>
      <c r="O707" s="1096"/>
      <c r="P707" s="1114">
        <v>126.5</v>
      </c>
      <c r="Q707" s="1096" t="s">
        <v>1562</v>
      </c>
      <c r="R707" s="1114">
        <v>130.1</v>
      </c>
      <c r="S707" s="1096" t="s">
        <v>1562</v>
      </c>
      <c r="T707" s="1114">
        <v>116.2</v>
      </c>
      <c r="U707" s="1096" t="s">
        <v>1562</v>
      </c>
      <c r="V707" s="1114">
        <v>120.8</v>
      </c>
      <c r="W707" s="1096" t="s">
        <v>1562</v>
      </c>
      <c r="X707" s="1114">
        <v>134</v>
      </c>
      <c r="Y707" s="1096" t="s">
        <v>1562</v>
      </c>
      <c r="Z707" s="1114">
        <v>160</v>
      </c>
      <c r="AA707" s="1096"/>
      <c r="AB707" s="1096"/>
      <c r="AC707" s="1096"/>
      <c r="AD707" s="1096"/>
      <c r="AE707" s="1096"/>
      <c r="AF707" s="1096"/>
      <c r="AG707" s="1096"/>
      <c r="AH707" s="1096"/>
      <c r="AI707" s="1096"/>
      <c r="AJ707" s="1096"/>
      <c r="AK707" s="1096"/>
      <c r="AL707" s="1096"/>
      <c r="AM707" s="1096"/>
      <c r="AN707" s="1096"/>
      <c r="AO707" s="1096"/>
      <c r="AP707" s="1096"/>
      <c r="AQ707" s="1096"/>
      <c r="AR707" s="1096"/>
      <c r="AS707" s="1096"/>
      <c r="AT707" s="1096"/>
      <c r="AU707" s="1096"/>
      <c r="AV707" s="1096"/>
      <c r="AW707" s="1096"/>
      <c r="AX707" s="1096"/>
      <c r="AY707" s="1096"/>
    </row>
    <row r="708" spans="1:51" x14ac:dyDescent="0.45">
      <c r="A708" s="1096">
        <v>1998</v>
      </c>
      <c r="B708" s="1096" t="s">
        <v>1385</v>
      </c>
      <c r="C708" s="1113">
        <f>[7]LRAll!C699</f>
        <v>159.5</v>
      </c>
      <c r="D708" s="1113">
        <f>[7]LRAll!I699</f>
        <v>125.5</v>
      </c>
      <c r="E708" s="1096"/>
      <c r="F708" s="1114">
        <f t="shared" si="23"/>
        <v>78.683385579937308</v>
      </c>
      <c r="G708" s="1112">
        <f t="shared" si="24"/>
        <v>81.567398119122259</v>
      </c>
      <c r="H708" s="1112">
        <f t="shared" si="25"/>
        <v>69.592476489028215</v>
      </c>
      <c r="I708" s="1112">
        <f t="shared" si="26"/>
        <v>74.7962382445141</v>
      </c>
      <c r="J708" s="1112">
        <f t="shared" si="27"/>
        <v>83.824451410658298</v>
      </c>
      <c r="K708" s="1096"/>
      <c r="L708" s="1096"/>
      <c r="M708" s="1096"/>
      <c r="N708" s="1096"/>
      <c r="O708" s="1096"/>
      <c r="P708" s="1114">
        <v>125.5</v>
      </c>
      <c r="Q708" s="1096" t="s">
        <v>1563</v>
      </c>
      <c r="R708" s="1114">
        <v>130.1</v>
      </c>
      <c r="S708" s="1096" t="s">
        <v>1563</v>
      </c>
      <c r="T708" s="1114">
        <v>111</v>
      </c>
      <c r="U708" s="1096" t="s">
        <v>1563</v>
      </c>
      <c r="V708" s="1114">
        <v>119.3</v>
      </c>
      <c r="W708" s="1096" t="s">
        <v>1563</v>
      </c>
      <c r="X708" s="1114">
        <v>133.69999999999999</v>
      </c>
      <c r="Y708" s="1096" t="s">
        <v>1563</v>
      </c>
      <c r="Z708" s="1114">
        <v>159.5</v>
      </c>
      <c r="AA708" s="1096"/>
      <c r="AB708" s="1096"/>
      <c r="AC708" s="1096"/>
      <c r="AD708" s="1096"/>
      <c r="AE708" s="1096"/>
      <c r="AF708" s="1096"/>
      <c r="AG708" s="1096"/>
      <c r="AH708" s="1096"/>
      <c r="AI708" s="1096"/>
      <c r="AJ708" s="1096"/>
      <c r="AK708" s="1096"/>
      <c r="AL708" s="1096"/>
      <c r="AM708" s="1096"/>
      <c r="AN708" s="1096"/>
      <c r="AO708" s="1096"/>
      <c r="AP708" s="1096"/>
      <c r="AQ708" s="1096"/>
      <c r="AR708" s="1096"/>
      <c r="AS708" s="1096"/>
      <c r="AT708" s="1096"/>
      <c r="AU708" s="1096"/>
      <c r="AV708" s="1096"/>
      <c r="AW708" s="1096"/>
      <c r="AX708" s="1096"/>
      <c r="AY708" s="1096"/>
    </row>
    <row r="709" spans="1:51" x14ac:dyDescent="0.45">
      <c r="A709" s="1096">
        <v>1998</v>
      </c>
      <c r="B709" s="1096" t="s">
        <v>1387</v>
      </c>
      <c r="C709" s="1113">
        <f>[7]LRAll!C700</f>
        <v>160.30000000000001</v>
      </c>
      <c r="D709" s="1113">
        <f>[7]LRAll!I700</f>
        <v>125.9</v>
      </c>
      <c r="E709" s="1096"/>
      <c r="F709" s="1114">
        <f t="shared" si="23"/>
        <v>78.540237055520905</v>
      </c>
      <c r="G709" s="1112">
        <f t="shared" si="24"/>
        <v>81.222707423580772</v>
      </c>
      <c r="H709" s="1112">
        <f t="shared" si="25"/>
        <v>66.313162819713028</v>
      </c>
      <c r="I709" s="1112">
        <f t="shared" si="26"/>
        <v>74.360573923892687</v>
      </c>
      <c r="J709" s="1112">
        <f t="shared" si="27"/>
        <v>84.154709918902057</v>
      </c>
      <c r="K709" s="1096"/>
      <c r="L709" s="1096"/>
      <c r="M709" s="1096"/>
      <c r="N709" s="1096"/>
      <c r="O709" s="1096"/>
      <c r="P709" s="1114">
        <v>125.9</v>
      </c>
      <c r="Q709" s="1096" t="s">
        <v>1564</v>
      </c>
      <c r="R709" s="1114">
        <v>130.19999999999999</v>
      </c>
      <c r="S709" s="1096" t="s">
        <v>1564</v>
      </c>
      <c r="T709" s="1114">
        <v>106.3</v>
      </c>
      <c r="U709" s="1096" t="s">
        <v>1564</v>
      </c>
      <c r="V709" s="1114">
        <v>119.2</v>
      </c>
      <c r="W709" s="1096" t="s">
        <v>1564</v>
      </c>
      <c r="X709" s="1114">
        <v>134.9</v>
      </c>
      <c r="Y709" s="1096" t="s">
        <v>1564</v>
      </c>
      <c r="Z709" s="1114">
        <v>160.30000000000001</v>
      </c>
      <c r="AA709" s="1096"/>
      <c r="AB709" s="1096"/>
      <c r="AC709" s="1096"/>
      <c r="AD709" s="1096"/>
      <c r="AE709" s="1096"/>
      <c r="AF709" s="1096"/>
      <c r="AG709" s="1096"/>
      <c r="AH709" s="1096"/>
      <c r="AI709" s="1096"/>
      <c r="AJ709" s="1096"/>
      <c r="AK709" s="1096"/>
      <c r="AL709" s="1096"/>
      <c r="AM709" s="1096"/>
      <c r="AN709" s="1096"/>
      <c r="AO709" s="1096"/>
      <c r="AP709" s="1096"/>
      <c r="AQ709" s="1096"/>
      <c r="AR709" s="1096"/>
      <c r="AS709" s="1096"/>
      <c r="AT709" s="1096"/>
      <c r="AU709" s="1096"/>
      <c r="AV709" s="1096"/>
      <c r="AW709" s="1096"/>
      <c r="AX709" s="1096"/>
      <c r="AY709" s="1096"/>
    </row>
    <row r="710" spans="1:51" x14ac:dyDescent="0.45">
      <c r="A710" s="1096">
        <v>1998</v>
      </c>
      <c r="B710" s="1096" t="s">
        <v>1389</v>
      </c>
      <c r="C710" s="1113">
        <f>[7]LRAll!C701</f>
        <v>160.80000000000001</v>
      </c>
      <c r="D710" s="1113">
        <f>[7]LRAll!I701</f>
        <v>126.2</v>
      </c>
      <c r="E710" s="1096"/>
      <c r="F710" s="1114">
        <f t="shared" si="23"/>
        <v>78.482587064676608</v>
      </c>
      <c r="G710" s="1112">
        <f t="shared" si="24"/>
        <v>80.907960199004975</v>
      </c>
      <c r="H710" s="1112">
        <f t="shared" si="25"/>
        <v>63.184079601990042</v>
      </c>
      <c r="I710" s="1112">
        <f t="shared" si="26"/>
        <v>74.067164179104466</v>
      </c>
      <c r="J710" s="1112">
        <f t="shared" si="27"/>
        <v>84.577114427860693</v>
      </c>
      <c r="K710" s="1096"/>
      <c r="L710" s="1096"/>
      <c r="M710" s="1096"/>
      <c r="N710" s="1096"/>
      <c r="O710" s="1096"/>
      <c r="P710" s="1114">
        <v>126.2</v>
      </c>
      <c r="Q710" s="1096" t="s">
        <v>1565</v>
      </c>
      <c r="R710" s="1114">
        <v>130.1</v>
      </c>
      <c r="S710" s="1096" t="s">
        <v>1565</v>
      </c>
      <c r="T710" s="1114">
        <v>101.6</v>
      </c>
      <c r="U710" s="1096" t="s">
        <v>1565</v>
      </c>
      <c r="V710" s="1114">
        <v>119.1</v>
      </c>
      <c r="W710" s="1096" t="s">
        <v>1565</v>
      </c>
      <c r="X710" s="1114">
        <v>136</v>
      </c>
      <c r="Y710" s="1096" t="s">
        <v>1565</v>
      </c>
      <c r="Z710" s="1114">
        <v>160.80000000000001</v>
      </c>
      <c r="AA710" s="1096"/>
      <c r="AB710" s="1096"/>
      <c r="AC710" s="1096"/>
      <c r="AD710" s="1096"/>
      <c r="AE710" s="1096"/>
      <c r="AF710" s="1096"/>
      <c r="AG710" s="1096"/>
      <c r="AH710" s="1096"/>
      <c r="AI710" s="1096"/>
      <c r="AJ710" s="1096"/>
      <c r="AK710" s="1096"/>
      <c r="AL710" s="1096"/>
      <c r="AM710" s="1096"/>
      <c r="AN710" s="1096"/>
      <c r="AO710" s="1096"/>
      <c r="AP710" s="1096"/>
      <c r="AQ710" s="1096"/>
      <c r="AR710" s="1096"/>
      <c r="AS710" s="1096"/>
      <c r="AT710" s="1096"/>
      <c r="AU710" s="1096"/>
      <c r="AV710" s="1096"/>
      <c r="AW710" s="1096"/>
      <c r="AX710" s="1096"/>
      <c r="AY710" s="1096"/>
    </row>
    <row r="711" spans="1:51" x14ac:dyDescent="0.45">
      <c r="A711" s="1096">
        <v>1998</v>
      </c>
      <c r="B711" s="1096" t="s">
        <v>1391</v>
      </c>
      <c r="C711" s="1113">
        <f>[7]LRAll!C702</f>
        <v>162.6</v>
      </c>
      <c r="D711" s="1113">
        <f>[7]LRAll!I702</f>
        <v>126.2</v>
      </c>
      <c r="E711" s="1096"/>
      <c r="F711" s="1114">
        <f t="shared" si="23"/>
        <v>77.613776137761377</v>
      </c>
      <c r="G711" s="1112">
        <f t="shared" si="24"/>
        <v>80.012300123001239</v>
      </c>
      <c r="H711" s="1112">
        <f t="shared" si="25"/>
        <v>62.730627306273071</v>
      </c>
      <c r="I711" s="1112">
        <f t="shared" si="26"/>
        <v>73.185731857318586</v>
      </c>
      <c r="J711" s="1112">
        <f t="shared" si="27"/>
        <v>83.640836408364081</v>
      </c>
      <c r="K711" s="1096"/>
      <c r="L711" s="1096"/>
      <c r="M711" s="1096"/>
      <c r="N711" s="1096"/>
      <c r="O711" s="1096"/>
      <c r="P711" s="1114">
        <v>126.2</v>
      </c>
      <c r="Q711" s="1096" t="s">
        <v>1566</v>
      </c>
      <c r="R711" s="1114">
        <v>130.1</v>
      </c>
      <c r="S711" s="1096" t="s">
        <v>1566</v>
      </c>
      <c r="T711" s="1114">
        <v>102</v>
      </c>
      <c r="U711" s="1096" t="s">
        <v>1566</v>
      </c>
      <c r="V711" s="1114">
        <v>119</v>
      </c>
      <c r="W711" s="1096" t="s">
        <v>1566</v>
      </c>
      <c r="X711" s="1114">
        <v>136</v>
      </c>
      <c r="Y711" s="1096" t="s">
        <v>1566</v>
      </c>
      <c r="Z711" s="1114">
        <v>162.6</v>
      </c>
      <c r="AA711" s="1096"/>
      <c r="AB711" s="1096"/>
      <c r="AC711" s="1096"/>
      <c r="AD711" s="1096"/>
      <c r="AE711" s="1096"/>
      <c r="AF711" s="1096"/>
      <c r="AG711" s="1096"/>
      <c r="AH711" s="1096"/>
      <c r="AI711" s="1096"/>
      <c r="AJ711" s="1096"/>
      <c r="AK711" s="1096"/>
      <c r="AL711" s="1096"/>
      <c r="AM711" s="1096"/>
      <c r="AN711" s="1096"/>
      <c r="AO711" s="1096"/>
      <c r="AP711" s="1096"/>
      <c r="AQ711" s="1096"/>
      <c r="AR711" s="1096"/>
      <c r="AS711" s="1096"/>
      <c r="AT711" s="1096"/>
      <c r="AU711" s="1096"/>
      <c r="AV711" s="1096"/>
      <c r="AW711" s="1096"/>
      <c r="AX711" s="1096"/>
      <c r="AY711" s="1096"/>
    </row>
    <row r="712" spans="1:51" x14ac:dyDescent="0.45">
      <c r="A712" s="1096">
        <v>1998</v>
      </c>
      <c r="B712" s="1096" t="s">
        <v>1393</v>
      </c>
      <c r="C712" s="1113">
        <f>[7]LRAll!C703</f>
        <v>163.5</v>
      </c>
      <c r="D712" s="1113">
        <f>[7]LRAll!I703</f>
        <v>125.4</v>
      </c>
      <c r="E712" s="1096"/>
      <c r="F712" s="1114">
        <f t="shared" si="23"/>
        <v>76.697247706422019</v>
      </c>
      <c r="G712" s="1112">
        <f t="shared" si="24"/>
        <v>77.737003058103966</v>
      </c>
      <c r="H712" s="1112">
        <f t="shared" si="25"/>
        <v>62.691131498470952</v>
      </c>
      <c r="I712" s="1112">
        <f t="shared" si="26"/>
        <v>72.721712538226299</v>
      </c>
      <c r="J712" s="1112">
        <f t="shared" si="27"/>
        <v>82.262996941896034</v>
      </c>
      <c r="K712" s="1096"/>
      <c r="L712" s="1096"/>
      <c r="M712" s="1096"/>
      <c r="N712" s="1096"/>
      <c r="O712" s="1096"/>
      <c r="P712" s="1114">
        <v>125.4</v>
      </c>
      <c r="Q712" s="1096" t="s">
        <v>1567</v>
      </c>
      <c r="R712" s="1114">
        <v>127.1</v>
      </c>
      <c r="S712" s="1096" t="s">
        <v>1567</v>
      </c>
      <c r="T712" s="1114">
        <v>102.5</v>
      </c>
      <c r="U712" s="1096" t="s">
        <v>1567</v>
      </c>
      <c r="V712" s="1114">
        <v>118.9</v>
      </c>
      <c r="W712" s="1096" t="s">
        <v>1567</v>
      </c>
      <c r="X712" s="1114">
        <v>134.5</v>
      </c>
      <c r="Y712" s="1096" t="s">
        <v>1567</v>
      </c>
      <c r="Z712" s="1114">
        <v>163.5</v>
      </c>
      <c r="AA712" s="1096"/>
      <c r="AB712" s="1096"/>
      <c r="AC712" s="1096"/>
      <c r="AD712" s="1096"/>
      <c r="AE712" s="1096"/>
      <c r="AF712" s="1096"/>
      <c r="AG712" s="1096"/>
      <c r="AH712" s="1096"/>
      <c r="AI712" s="1096"/>
      <c r="AJ712" s="1096"/>
      <c r="AK712" s="1096"/>
      <c r="AL712" s="1096"/>
      <c r="AM712" s="1096"/>
      <c r="AN712" s="1096"/>
      <c r="AO712" s="1096"/>
      <c r="AP712" s="1096"/>
      <c r="AQ712" s="1096"/>
      <c r="AR712" s="1096"/>
      <c r="AS712" s="1096"/>
      <c r="AT712" s="1096"/>
      <c r="AU712" s="1096"/>
      <c r="AV712" s="1096"/>
      <c r="AW712" s="1096"/>
      <c r="AX712" s="1096"/>
      <c r="AY712" s="1096"/>
    </row>
    <row r="713" spans="1:51" x14ac:dyDescent="0.45">
      <c r="A713" s="1096">
        <v>1998</v>
      </c>
      <c r="B713" s="1096" t="s">
        <v>1371</v>
      </c>
      <c r="C713" s="1113">
        <f>[7]LRAll!C704</f>
        <v>163.4</v>
      </c>
      <c r="D713" s="1113">
        <f>[7]LRAll!I704</f>
        <v>124.6</v>
      </c>
      <c r="E713" s="1096"/>
      <c r="F713" s="1114">
        <f t="shared" si="23"/>
        <v>76.254589963280281</v>
      </c>
      <c r="G713" s="1112">
        <f t="shared" si="24"/>
        <v>77.968176254589963</v>
      </c>
      <c r="H713" s="1112">
        <f t="shared" si="25"/>
        <v>61.260709914320678</v>
      </c>
      <c r="I713" s="1112">
        <f t="shared" si="26"/>
        <v>72.705018359853113</v>
      </c>
      <c r="J713" s="1112">
        <f t="shared" si="27"/>
        <v>81.456548347613207</v>
      </c>
      <c r="K713" s="1096"/>
      <c r="L713" s="1096"/>
      <c r="M713" s="1096"/>
      <c r="N713" s="1096"/>
      <c r="O713" s="1096"/>
      <c r="P713" s="1114">
        <v>124.6</v>
      </c>
      <c r="Q713" s="1096" t="s">
        <v>1568</v>
      </c>
      <c r="R713" s="1114">
        <v>127.4</v>
      </c>
      <c r="S713" s="1096" t="s">
        <v>1568</v>
      </c>
      <c r="T713" s="1114">
        <v>100.1</v>
      </c>
      <c r="U713" s="1096" t="s">
        <v>1568</v>
      </c>
      <c r="V713" s="1114">
        <v>118.8</v>
      </c>
      <c r="W713" s="1096" t="s">
        <v>1568</v>
      </c>
      <c r="X713" s="1114">
        <v>133.1</v>
      </c>
      <c r="Y713" s="1096" t="s">
        <v>1568</v>
      </c>
      <c r="Z713" s="1114">
        <v>163.4</v>
      </c>
      <c r="AA713" s="1096"/>
      <c r="AB713" s="1096"/>
      <c r="AC713" s="1096"/>
      <c r="AD713" s="1096"/>
      <c r="AE713" s="1096"/>
      <c r="AF713" s="1096"/>
      <c r="AG713" s="1096"/>
      <c r="AH713" s="1096"/>
      <c r="AI713" s="1096"/>
      <c r="AJ713" s="1096"/>
      <c r="AK713" s="1096"/>
      <c r="AL713" s="1096"/>
      <c r="AM713" s="1096"/>
      <c r="AN713" s="1096"/>
      <c r="AO713" s="1096"/>
      <c r="AP713" s="1096"/>
      <c r="AQ713" s="1096"/>
      <c r="AR713" s="1096"/>
      <c r="AS713" s="1096"/>
      <c r="AT713" s="1096"/>
      <c r="AU713" s="1096"/>
      <c r="AV713" s="1096"/>
      <c r="AW713" s="1096"/>
      <c r="AX713" s="1096"/>
      <c r="AY713" s="1096"/>
    </row>
    <row r="714" spans="1:51" x14ac:dyDescent="0.45">
      <c r="A714" s="1096">
        <v>1998</v>
      </c>
      <c r="B714" s="1096" t="s">
        <v>1373</v>
      </c>
      <c r="C714" s="1113">
        <f>[7]LRAll!C705</f>
        <v>163</v>
      </c>
      <c r="D714" s="1113">
        <f>[7]LRAll!I705</f>
        <v>124.2</v>
      </c>
      <c r="E714" s="1096"/>
      <c r="F714" s="1114">
        <f t="shared" si="23"/>
        <v>76.196319018404907</v>
      </c>
      <c r="G714" s="1112">
        <f t="shared" si="24"/>
        <v>78.343558282208591</v>
      </c>
      <c r="H714" s="1112">
        <f t="shared" si="25"/>
        <v>60.061349693251543</v>
      </c>
      <c r="I714" s="1112">
        <f t="shared" si="26"/>
        <v>72.883435582822088</v>
      </c>
      <c r="J714" s="1112">
        <f t="shared" si="27"/>
        <v>81.288343558282207</v>
      </c>
      <c r="K714" s="1096"/>
      <c r="L714" s="1096"/>
      <c r="M714" s="1096"/>
      <c r="N714" s="1096"/>
      <c r="O714" s="1096"/>
      <c r="P714" s="1114">
        <v>124.2</v>
      </c>
      <c r="Q714" s="1096" t="s">
        <v>1569</v>
      </c>
      <c r="R714" s="1114">
        <v>127.7</v>
      </c>
      <c r="S714" s="1096" t="s">
        <v>1569</v>
      </c>
      <c r="T714" s="1114">
        <v>97.9</v>
      </c>
      <c r="U714" s="1096" t="s">
        <v>1569</v>
      </c>
      <c r="V714" s="1114">
        <v>118.8</v>
      </c>
      <c r="W714" s="1096" t="s">
        <v>1569</v>
      </c>
      <c r="X714" s="1114">
        <v>132.5</v>
      </c>
      <c r="Y714" s="1096" t="s">
        <v>1569</v>
      </c>
      <c r="Z714" s="1114">
        <v>163</v>
      </c>
      <c r="AA714" s="1096"/>
      <c r="AB714" s="1096"/>
      <c r="AC714" s="1096"/>
      <c r="AD714" s="1096"/>
      <c r="AE714" s="1096"/>
      <c r="AF714" s="1096"/>
      <c r="AG714" s="1096"/>
      <c r="AH714" s="1096"/>
      <c r="AI714" s="1096"/>
      <c r="AJ714" s="1096"/>
      <c r="AK714" s="1096"/>
      <c r="AL714" s="1096"/>
      <c r="AM714" s="1096"/>
      <c r="AN714" s="1096"/>
      <c r="AO714" s="1096"/>
      <c r="AP714" s="1096"/>
      <c r="AQ714" s="1096"/>
      <c r="AR714" s="1096"/>
      <c r="AS714" s="1096"/>
      <c r="AT714" s="1096"/>
      <c r="AU714" s="1096"/>
      <c r="AV714" s="1096"/>
      <c r="AW714" s="1096"/>
      <c r="AX714" s="1096"/>
      <c r="AY714" s="1096"/>
    </row>
    <row r="715" spans="1:51" x14ac:dyDescent="0.45">
      <c r="A715" s="1096">
        <v>1998</v>
      </c>
      <c r="B715" s="1096" t="s">
        <v>1375</v>
      </c>
      <c r="C715" s="1113">
        <f>[7]LRAll!C706</f>
        <v>163.69999999999999</v>
      </c>
      <c r="D715" s="1113">
        <f>[7]LRAll!I706</f>
        <v>124.2</v>
      </c>
      <c r="E715" s="1096"/>
      <c r="F715" s="1114">
        <f t="shared" si="23"/>
        <v>75.870494807574843</v>
      </c>
      <c r="G715" s="1112">
        <f t="shared" si="24"/>
        <v>78.069639584605994</v>
      </c>
      <c r="H715" s="1112">
        <f t="shared" si="25"/>
        <v>58.949297495418449</v>
      </c>
      <c r="I715" s="1112">
        <f t="shared" si="26"/>
        <v>72.571777642028096</v>
      </c>
      <c r="J715" s="1112">
        <f t="shared" si="27"/>
        <v>80.940745265730001</v>
      </c>
      <c r="K715" s="1096"/>
      <c r="L715" s="1096"/>
      <c r="M715" s="1096"/>
      <c r="N715" s="1096"/>
      <c r="O715" s="1096"/>
      <c r="P715" s="1114">
        <v>124.2</v>
      </c>
      <c r="Q715" s="1096" t="s">
        <v>1570</v>
      </c>
      <c r="R715" s="1114">
        <v>127.8</v>
      </c>
      <c r="S715" s="1096" t="s">
        <v>1570</v>
      </c>
      <c r="T715" s="1114">
        <v>96.5</v>
      </c>
      <c r="U715" s="1096" t="s">
        <v>1570</v>
      </c>
      <c r="V715" s="1114">
        <v>118.8</v>
      </c>
      <c r="W715" s="1096" t="s">
        <v>1570</v>
      </c>
      <c r="X715" s="1114">
        <v>132.5</v>
      </c>
      <c r="Y715" s="1096" t="s">
        <v>1570</v>
      </c>
      <c r="Z715" s="1114">
        <v>163.69999999999999</v>
      </c>
      <c r="AA715" s="1096"/>
      <c r="AB715" s="1096"/>
      <c r="AC715" s="1096"/>
      <c r="AD715" s="1096"/>
      <c r="AE715" s="1096"/>
      <c r="AF715" s="1096"/>
      <c r="AG715" s="1096"/>
      <c r="AH715" s="1096"/>
      <c r="AI715" s="1096"/>
      <c r="AJ715" s="1096"/>
      <c r="AK715" s="1096"/>
      <c r="AL715" s="1096"/>
      <c r="AM715" s="1096"/>
      <c r="AN715" s="1096"/>
      <c r="AO715" s="1096"/>
      <c r="AP715" s="1096"/>
      <c r="AQ715" s="1096"/>
      <c r="AR715" s="1096"/>
      <c r="AS715" s="1096"/>
      <c r="AT715" s="1096"/>
      <c r="AU715" s="1096"/>
      <c r="AV715" s="1096"/>
      <c r="AW715" s="1096"/>
      <c r="AX715" s="1096"/>
      <c r="AY715" s="1096"/>
    </row>
    <row r="716" spans="1:51" x14ac:dyDescent="0.45">
      <c r="A716" s="1096">
        <v>1998</v>
      </c>
      <c r="B716" s="1096" t="s">
        <v>1377</v>
      </c>
      <c r="C716" s="1113">
        <f>[7]LRAll!C707</f>
        <v>164.4</v>
      </c>
      <c r="D716" s="1113">
        <f>[7]LRAll!I707</f>
        <v>124.3</v>
      </c>
      <c r="E716" s="1096"/>
      <c r="F716" s="1114">
        <f t="shared" si="23"/>
        <v>75.608272506082713</v>
      </c>
      <c r="G716" s="1112">
        <f t="shared" si="24"/>
        <v>78.406326034063255</v>
      </c>
      <c r="H716" s="1112">
        <f t="shared" si="25"/>
        <v>60.21897810218978</v>
      </c>
      <c r="I716" s="1112">
        <f t="shared" si="26"/>
        <v>72.262773722627742</v>
      </c>
      <c r="J716" s="1112">
        <f t="shared" si="27"/>
        <v>80.59610705596107</v>
      </c>
      <c r="K716" s="1096"/>
      <c r="L716" s="1096"/>
      <c r="M716" s="1096"/>
      <c r="N716" s="1096"/>
      <c r="O716" s="1096"/>
      <c r="P716" s="1114">
        <v>124.3</v>
      </c>
      <c r="Q716" s="1096" t="s">
        <v>1571</v>
      </c>
      <c r="R716" s="1114">
        <v>128.9</v>
      </c>
      <c r="S716" s="1096" t="s">
        <v>1571</v>
      </c>
      <c r="T716" s="1114">
        <v>99</v>
      </c>
      <c r="U716" s="1096" t="s">
        <v>1571</v>
      </c>
      <c r="V716" s="1114">
        <v>118.8</v>
      </c>
      <c r="W716" s="1096" t="s">
        <v>1571</v>
      </c>
      <c r="X716" s="1114">
        <v>132.5</v>
      </c>
      <c r="Y716" s="1096" t="s">
        <v>1571</v>
      </c>
      <c r="Z716" s="1114">
        <v>164.4</v>
      </c>
      <c r="AA716" s="1096"/>
      <c r="AB716" s="1096"/>
      <c r="AC716" s="1096"/>
      <c r="AD716" s="1096"/>
      <c r="AE716" s="1096"/>
      <c r="AF716" s="1096"/>
      <c r="AG716" s="1096"/>
      <c r="AH716" s="1096"/>
      <c r="AI716" s="1096"/>
      <c r="AJ716" s="1096"/>
      <c r="AK716" s="1096"/>
      <c r="AL716" s="1096"/>
      <c r="AM716" s="1096"/>
      <c r="AN716" s="1096"/>
      <c r="AO716" s="1096"/>
      <c r="AP716" s="1096"/>
      <c r="AQ716" s="1096"/>
      <c r="AR716" s="1096"/>
      <c r="AS716" s="1096"/>
      <c r="AT716" s="1096"/>
      <c r="AU716" s="1096"/>
      <c r="AV716" s="1096"/>
      <c r="AW716" s="1096"/>
      <c r="AX716" s="1096"/>
      <c r="AY716" s="1096"/>
    </row>
    <row r="717" spans="1:51" x14ac:dyDescent="0.45">
      <c r="A717" s="1096">
        <v>1998</v>
      </c>
      <c r="B717" s="1096" t="s">
        <v>1379</v>
      </c>
      <c r="C717" s="1113">
        <f>[7]LRAll!C708</f>
        <v>164.5</v>
      </c>
      <c r="D717" s="1113">
        <f>[7]LRAll!I708</f>
        <v>124.5</v>
      </c>
      <c r="E717" s="1096"/>
      <c r="F717" s="1114">
        <f t="shared" si="23"/>
        <v>75.683890577507597</v>
      </c>
      <c r="G717" s="1112">
        <f t="shared" si="24"/>
        <v>80.911854103343458</v>
      </c>
      <c r="H717" s="1112">
        <f t="shared" si="25"/>
        <v>61.519756838905778</v>
      </c>
      <c r="I717" s="1112">
        <f t="shared" si="26"/>
        <v>72.218844984802431</v>
      </c>
      <c r="J717" s="1112">
        <f t="shared" si="27"/>
        <v>80.547112462006083</v>
      </c>
      <c r="K717" s="1096"/>
      <c r="L717" s="1096"/>
      <c r="M717" s="1096"/>
      <c r="N717" s="1096"/>
      <c r="O717" s="1096"/>
      <c r="P717" s="1114">
        <v>124.5</v>
      </c>
      <c r="Q717" s="1096" t="s">
        <v>1572</v>
      </c>
      <c r="R717" s="1114">
        <v>133.1</v>
      </c>
      <c r="S717" s="1096" t="s">
        <v>1572</v>
      </c>
      <c r="T717" s="1114">
        <v>101.2</v>
      </c>
      <c r="U717" s="1096" t="s">
        <v>1572</v>
      </c>
      <c r="V717" s="1114">
        <v>118.8</v>
      </c>
      <c r="W717" s="1096" t="s">
        <v>1572</v>
      </c>
      <c r="X717" s="1114">
        <v>132.5</v>
      </c>
      <c r="Y717" s="1096" t="s">
        <v>1572</v>
      </c>
      <c r="Z717" s="1114">
        <v>164.5</v>
      </c>
      <c r="AA717" s="1096"/>
      <c r="AB717" s="1096"/>
      <c r="AC717" s="1096"/>
      <c r="AD717" s="1096"/>
      <c r="AE717" s="1096"/>
      <c r="AF717" s="1096"/>
      <c r="AG717" s="1096"/>
      <c r="AH717" s="1096"/>
      <c r="AI717" s="1096"/>
      <c r="AJ717" s="1096"/>
      <c r="AK717" s="1096"/>
      <c r="AL717" s="1096"/>
      <c r="AM717" s="1096"/>
      <c r="AN717" s="1096"/>
      <c r="AO717" s="1096"/>
      <c r="AP717" s="1096"/>
      <c r="AQ717" s="1096"/>
      <c r="AR717" s="1096"/>
      <c r="AS717" s="1096"/>
      <c r="AT717" s="1096"/>
      <c r="AU717" s="1096"/>
      <c r="AV717" s="1096"/>
      <c r="AW717" s="1096"/>
      <c r="AX717" s="1096"/>
      <c r="AY717" s="1096"/>
    </row>
    <row r="718" spans="1:51" x14ac:dyDescent="0.45">
      <c r="A718" s="1096">
        <v>1998</v>
      </c>
      <c r="B718" s="1096" t="s">
        <v>1381</v>
      </c>
      <c r="C718" s="1113">
        <f>[7]LRAll!C709</f>
        <v>164.4</v>
      </c>
      <c r="D718" s="1113">
        <f>[7]LRAll!I709</f>
        <v>124.4</v>
      </c>
      <c r="E718" s="1096"/>
      <c r="F718" s="1114">
        <f t="shared" si="23"/>
        <v>75.669099756690997</v>
      </c>
      <c r="G718" s="1112">
        <f t="shared" si="24"/>
        <v>81.021897810218974</v>
      </c>
      <c r="H718" s="1112">
        <f t="shared" si="25"/>
        <v>60.036496350364963</v>
      </c>
      <c r="I718" s="1112">
        <f t="shared" si="26"/>
        <v>72.262773722627742</v>
      </c>
      <c r="J718" s="1112">
        <f t="shared" si="27"/>
        <v>80.59610705596107</v>
      </c>
      <c r="K718" s="1096"/>
      <c r="L718" s="1096"/>
      <c r="M718" s="1096"/>
      <c r="N718" s="1096"/>
      <c r="O718" s="1096"/>
      <c r="P718" s="1114">
        <v>124.4</v>
      </c>
      <c r="Q718" s="1096" t="s">
        <v>1573</v>
      </c>
      <c r="R718" s="1114">
        <v>133.19999999999999</v>
      </c>
      <c r="S718" s="1096" t="s">
        <v>1573</v>
      </c>
      <c r="T718" s="1114">
        <v>98.7</v>
      </c>
      <c r="U718" s="1096" t="s">
        <v>1573</v>
      </c>
      <c r="V718" s="1114">
        <v>118.8</v>
      </c>
      <c r="W718" s="1096" t="s">
        <v>1573</v>
      </c>
      <c r="X718" s="1114">
        <v>132.5</v>
      </c>
      <c r="Y718" s="1096" t="s">
        <v>1573</v>
      </c>
      <c r="Z718" s="1114">
        <v>164.4</v>
      </c>
      <c r="AA718" s="1096"/>
      <c r="AB718" s="1096"/>
      <c r="AC718" s="1096"/>
      <c r="AD718" s="1096"/>
      <c r="AE718" s="1096"/>
      <c r="AF718" s="1096"/>
      <c r="AG718" s="1096"/>
      <c r="AH718" s="1096"/>
      <c r="AI718" s="1096"/>
      <c r="AJ718" s="1096"/>
      <c r="AK718" s="1096"/>
      <c r="AL718" s="1096"/>
      <c r="AM718" s="1096"/>
      <c r="AN718" s="1096"/>
      <c r="AO718" s="1096"/>
      <c r="AP718" s="1096"/>
      <c r="AQ718" s="1096"/>
      <c r="AR718" s="1096"/>
      <c r="AS718" s="1096"/>
      <c r="AT718" s="1096"/>
      <c r="AU718" s="1096"/>
      <c r="AV718" s="1096"/>
      <c r="AW718" s="1096"/>
      <c r="AX718" s="1096"/>
      <c r="AY718" s="1096"/>
    </row>
    <row r="719" spans="1:51" x14ac:dyDescent="0.45">
      <c r="A719" s="1096">
        <v>1998</v>
      </c>
      <c r="B719" s="1096" t="s">
        <v>1383</v>
      </c>
      <c r="C719" s="1113">
        <f>[7]LRAll!C710</f>
        <v>164.4</v>
      </c>
      <c r="D719" s="1113">
        <f>[7]LRAll!I710</f>
        <v>124.2</v>
      </c>
      <c r="E719" s="1096"/>
      <c r="F719" s="1114">
        <f t="shared" si="23"/>
        <v>75.547445255474457</v>
      </c>
      <c r="G719" s="1112">
        <f t="shared" si="24"/>
        <v>81.143552311435514</v>
      </c>
      <c r="H719" s="1112">
        <f t="shared" si="25"/>
        <v>56.995133819951334</v>
      </c>
      <c r="I719" s="1112">
        <f t="shared" si="26"/>
        <v>72.262773722627742</v>
      </c>
      <c r="J719" s="1112">
        <f t="shared" si="27"/>
        <v>80.59610705596107</v>
      </c>
      <c r="K719" s="1096"/>
      <c r="L719" s="1096"/>
      <c r="M719" s="1096"/>
      <c r="N719" s="1096"/>
      <c r="O719" s="1096"/>
      <c r="P719" s="1114">
        <v>124.2</v>
      </c>
      <c r="Q719" s="1096" t="s">
        <v>1574</v>
      </c>
      <c r="R719" s="1114">
        <v>133.4</v>
      </c>
      <c r="S719" s="1096" t="s">
        <v>1574</v>
      </c>
      <c r="T719" s="1114">
        <v>93.7</v>
      </c>
      <c r="U719" s="1096" t="s">
        <v>1574</v>
      </c>
      <c r="V719" s="1114">
        <v>118.8</v>
      </c>
      <c r="W719" s="1096" t="s">
        <v>1574</v>
      </c>
      <c r="X719" s="1114">
        <v>132.5</v>
      </c>
      <c r="Y719" s="1096" t="s">
        <v>1574</v>
      </c>
      <c r="Z719" s="1114">
        <v>164.4</v>
      </c>
      <c r="AA719" s="1096"/>
      <c r="AB719" s="1096"/>
      <c r="AC719" s="1096"/>
      <c r="AD719" s="1096"/>
      <c r="AE719" s="1096"/>
      <c r="AF719" s="1096"/>
      <c r="AG719" s="1096"/>
      <c r="AH719" s="1096"/>
      <c r="AI719" s="1096"/>
      <c r="AJ719" s="1096"/>
      <c r="AK719" s="1096"/>
      <c r="AL719" s="1096"/>
      <c r="AM719" s="1096"/>
      <c r="AN719" s="1096"/>
      <c r="AO719" s="1096"/>
      <c r="AP719" s="1096"/>
      <c r="AQ719" s="1096"/>
      <c r="AR719" s="1096"/>
      <c r="AS719" s="1096"/>
      <c r="AT719" s="1096"/>
      <c r="AU719" s="1096"/>
      <c r="AV719" s="1096"/>
      <c r="AW719" s="1096"/>
      <c r="AX719" s="1096"/>
      <c r="AY719" s="1096"/>
    </row>
    <row r="720" spans="1:51" x14ac:dyDescent="0.45">
      <c r="A720" s="1096">
        <v>1999</v>
      </c>
      <c r="B720" s="1096" t="s">
        <v>1385</v>
      </c>
      <c r="C720" s="1113">
        <f>[7]LRAll!C711</f>
        <v>163.4</v>
      </c>
      <c r="D720" s="1113">
        <f>[7]LRAll!I711</f>
        <v>124.3</v>
      </c>
      <c r="E720" s="1096"/>
      <c r="F720" s="1114">
        <f t="shared" si="23"/>
        <v>76.070991432068539</v>
      </c>
      <c r="G720" s="1112">
        <f t="shared" si="24"/>
        <v>81.517747858017131</v>
      </c>
      <c r="H720" s="1112">
        <f t="shared" si="25"/>
        <v>57.955936352509177</v>
      </c>
      <c r="I720" s="1112">
        <f t="shared" si="26"/>
        <v>72.705018359853113</v>
      </c>
      <c r="J720" s="1112">
        <f t="shared" si="27"/>
        <v>81.089351285189721</v>
      </c>
      <c r="K720" s="1096"/>
      <c r="L720" s="1096"/>
      <c r="M720" s="1096"/>
      <c r="N720" s="1096"/>
      <c r="O720" s="1096"/>
      <c r="P720" s="1114">
        <v>124.3</v>
      </c>
      <c r="Q720" s="1096" t="s">
        <v>1575</v>
      </c>
      <c r="R720" s="1114">
        <v>133.19999999999999</v>
      </c>
      <c r="S720" s="1096" t="s">
        <v>1575</v>
      </c>
      <c r="T720" s="1114">
        <v>94.7</v>
      </c>
      <c r="U720" s="1096" t="s">
        <v>1575</v>
      </c>
      <c r="V720" s="1114">
        <v>118.8</v>
      </c>
      <c r="W720" s="1096" t="s">
        <v>1575</v>
      </c>
      <c r="X720" s="1114">
        <v>132.5</v>
      </c>
      <c r="Y720" s="1096" t="s">
        <v>1575</v>
      </c>
      <c r="Z720" s="1114">
        <v>163.4</v>
      </c>
      <c r="AA720" s="1096"/>
      <c r="AB720" s="1096"/>
      <c r="AC720" s="1096"/>
      <c r="AD720" s="1096"/>
      <c r="AE720" s="1096"/>
      <c r="AF720" s="1096"/>
      <c r="AG720" s="1096"/>
      <c r="AH720" s="1096"/>
      <c r="AI720" s="1096"/>
      <c r="AJ720" s="1096"/>
      <c r="AK720" s="1096"/>
      <c r="AL720" s="1096"/>
      <c r="AM720" s="1096"/>
      <c r="AN720" s="1096"/>
      <c r="AO720" s="1096"/>
      <c r="AP720" s="1096"/>
      <c r="AQ720" s="1096"/>
      <c r="AR720" s="1096"/>
      <c r="AS720" s="1096"/>
      <c r="AT720" s="1096"/>
      <c r="AU720" s="1096"/>
      <c r="AV720" s="1096"/>
      <c r="AW720" s="1096"/>
      <c r="AX720" s="1096"/>
      <c r="AY720" s="1096"/>
    </row>
    <row r="721" spans="1:51" x14ac:dyDescent="0.45">
      <c r="A721" s="1096">
        <v>1999</v>
      </c>
      <c r="B721" s="1096" t="s">
        <v>1387</v>
      </c>
      <c r="C721" s="1113">
        <f>[7]LRAll!C712</f>
        <v>163.69999999999999</v>
      </c>
      <c r="D721" s="1113">
        <f>[7]LRAll!I712</f>
        <v>124.2</v>
      </c>
      <c r="E721" s="1096"/>
      <c r="F721" s="1114">
        <f t="shared" si="23"/>
        <v>75.870494807574843</v>
      </c>
      <c r="G721" s="1112">
        <f t="shared" si="24"/>
        <v>81.490531459987793</v>
      </c>
      <c r="H721" s="1112">
        <f t="shared" si="25"/>
        <v>57.483200977397672</v>
      </c>
      <c r="I721" s="1112">
        <f t="shared" si="26"/>
        <v>72.571777642028096</v>
      </c>
      <c r="J721" s="1112">
        <f t="shared" si="27"/>
        <v>80.879657910812469</v>
      </c>
      <c r="K721" s="1096"/>
      <c r="L721" s="1096"/>
      <c r="M721" s="1096"/>
      <c r="N721" s="1096"/>
      <c r="O721" s="1096"/>
      <c r="P721" s="1114">
        <v>124.2</v>
      </c>
      <c r="Q721" s="1096" t="s">
        <v>1576</v>
      </c>
      <c r="R721" s="1114">
        <v>133.4</v>
      </c>
      <c r="S721" s="1096" t="s">
        <v>1576</v>
      </c>
      <c r="T721" s="1114">
        <v>94.1</v>
      </c>
      <c r="U721" s="1096" t="s">
        <v>1576</v>
      </c>
      <c r="V721" s="1114">
        <v>118.8</v>
      </c>
      <c r="W721" s="1096" t="s">
        <v>1576</v>
      </c>
      <c r="X721" s="1114">
        <v>132.4</v>
      </c>
      <c r="Y721" s="1096" t="s">
        <v>1576</v>
      </c>
      <c r="Z721" s="1114">
        <v>163.69999999999999</v>
      </c>
      <c r="AA721" s="1096"/>
      <c r="AB721" s="1096"/>
      <c r="AC721" s="1096"/>
      <c r="AD721" s="1096"/>
      <c r="AE721" s="1096"/>
      <c r="AF721" s="1096"/>
      <c r="AG721" s="1096"/>
      <c r="AH721" s="1096"/>
      <c r="AI721" s="1096"/>
      <c r="AJ721" s="1096"/>
      <c r="AK721" s="1096"/>
      <c r="AL721" s="1096"/>
      <c r="AM721" s="1096"/>
      <c r="AN721" s="1096"/>
      <c r="AO721" s="1096"/>
      <c r="AP721" s="1096"/>
      <c r="AQ721" s="1096"/>
      <c r="AR721" s="1096"/>
      <c r="AS721" s="1096"/>
      <c r="AT721" s="1096"/>
      <c r="AU721" s="1096"/>
      <c r="AV721" s="1096"/>
      <c r="AW721" s="1096"/>
      <c r="AX721" s="1096"/>
      <c r="AY721" s="1096"/>
    </row>
    <row r="722" spans="1:51" x14ac:dyDescent="0.45">
      <c r="A722" s="1096">
        <v>1999</v>
      </c>
      <c r="B722" s="1096" t="s">
        <v>1389</v>
      </c>
      <c r="C722" s="1113">
        <f>[7]LRAll!C713</f>
        <v>164.1</v>
      </c>
      <c r="D722" s="1113">
        <f>[7]LRAll!I713</f>
        <v>124.5</v>
      </c>
      <c r="E722" s="1096"/>
      <c r="F722" s="1114">
        <f t="shared" si="23"/>
        <v>75.868372943327245</v>
      </c>
      <c r="G722" s="1112">
        <f t="shared" si="24"/>
        <v>81.230956733698974</v>
      </c>
      <c r="H722" s="1112">
        <f t="shared" si="25"/>
        <v>59.414990859232176</v>
      </c>
      <c r="I722" s="1112">
        <f t="shared" si="26"/>
        <v>72.638634978671547</v>
      </c>
      <c r="J722" s="1112">
        <f t="shared" si="27"/>
        <v>80.682510664229142</v>
      </c>
      <c r="K722" s="1096"/>
      <c r="L722" s="1096"/>
      <c r="M722" s="1096"/>
      <c r="N722" s="1096"/>
      <c r="O722" s="1096"/>
      <c r="P722" s="1114">
        <v>124.5</v>
      </c>
      <c r="Q722" s="1096" t="s">
        <v>1577</v>
      </c>
      <c r="R722" s="1114">
        <v>133.30000000000001</v>
      </c>
      <c r="S722" s="1096" t="s">
        <v>1577</v>
      </c>
      <c r="T722" s="1114">
        <v>97.5</v>
      </c>
      <c r="U722" s="1096" t="s">
        <v>1577</v>
      </c>
      <c r="V722" s="1114">
        <v>119.2</v>
      </c>
      <c r="W722" s="1096" t="s">
        <v>1577</v>
      </c>
      <c r="X722" s="1114">
        <v>132.4</v>
      </c>
      <c r="Y722" s="1096" t="s">
        <v>1577</v>
      </c>
      <c r="Z722" s="1114">
        <v>164.1</v>
      </c>
      <c r="AA722" s="1096"/>
      <c r="AB722" s="1096"/>
      <c r="AC722" s="1096"/>
      <c r="AD722" s="1096"/>
      <c r="AE722" s="1096"/>
      <c r="AF722" s="1096"/>
      <c r="AG722" s="1096"/>
      <c r="AH722" s="1096"/>
      <c r="AI722" s="1096"/>
      <c r="AJ722" s="1096"/>
      <c r="AK722" s="1096"/>
      <c r="AL722" s="1096"/>
      <c r="AM722" s="1096"/>
      <c r="AN722" s="1096"/>
      <c r="AO722" s="1096"/>
      <c r="AP722" s="1096"/>
      <c r="AQ722" s="1096"/>
      <c r="AR722" s="1096"/>
      <c r="AS722" s="1096"/>
      <c r="AT722" s="1096"/>
      <c r="AU722" s="1096"/>
      <c r="AV722" s="1096"/>
      <c r="AW722" s="1096"/>
      <c r="AX722" s="1096"/>
      <c r="AY722" s="1096"/>
    </row>
    <row r="723" spans="1:51" x14ac:dyDescent="0.45">
      <c r="A723" s="1096">
        <v>1999</v>
      </c>
      <c r="B723" s="1096" t="s">
        <v>1391</v>
      </c>
      <c r="C723" s="1113">
        <f>[7]LRAll!C714</f>
        <v>165.2</v>
      </c>
      <c r="D723" s="1113">
        <f>[7]LRAll!I714</f>
        <v>124.2</v>
      </c>
      <c r="E723" s="1096"/>
      <c r="F723" s="1114">
        <f t="shared" si="23"/>
        <v>75.181598062954009</v>
      </c>
      <c r="G723" s="1112">
        <f t="shared" si="24"/>
        <v>80.932203389830505</v>
      </c>
      <c r="H723" s="1112">
        <f t="shared" si="25"/>
        <v>63.559322033898312</v>
      </c>
      <c r="I723" s="1112">
        <f t="shared" si="26"/>
        <v>71.368038740920099</v>
      </c>
      <c r="J723" s="1112">
        <f t="shared" si="27"/>
        <v>80.084745762711876</v>
      </c>
      <c r="K723" s="1096"/>
      <c r="L723" s="1096"/>
      <c r="M723" s="1096"/>
      <c r="N723" s="1096"/>
      <c r="O723" s="1096"/>
      <c r="P723" s="1114">
        <v>124.2</v>
      </c>
      <c r="Q723" s="1096" t="s">
        <v>1578</v>
      </c>
      <c r="R723" s="1114">
        <v>133.69999999999999</v>
      </c>
      <c r="S723" s="1096" t="s">
        <v>1578</v>
      </c>
      <c r="T723" s="1114">
        <v>105</v>
      </c>
      <c r="U723" s="1096" t="s">
        <v>1578</v>
      </c>
      <c r="V723" s="1114">
        <v>117.9</v>
      </c>
      <c r="W723" s="1096" t="s">
        <v>1578</v>
      </c>
      <c r="X723" s="1114">
        <v>132.30000000000001</v>
      </c>
      <c r="Y723" s="1096" t="s">
        <v>1578</v>
      </c>
      <c r="Z723" s="1114">
        <v>165.2</v>
      </c>
      <c r="AA723" s="1096"/>
      <c r="AB723" s="1096"/>
      <c r="AC723" s="1096"/>
      <c r="AD723" s="1096"/>
      <c r="AE723" s="1096"/>
      <c r="AF723" s="1096"/>
      <c r="AG723" s="1096"/>
      <c r="AH723" s="1096"/>
      <c r="AI723" s="1096"/>
      <c r="AJ723" s="1096"/>
      <c r="AK723" s="1096"/>
      <c r="AL723" s="1096"/>
      <c r="AM723" s="1096"/>
      <c r="AN723" s="1096"/>
      <c r="AO723" s="1096"/>
      <c r="AP723" s="1096"/>
      <c r="AQ723" s="1096"/>
      <c r="AR723" s="1096"/>
      <c r="AS723" s="1096"/>
      <c r="AT723" s="1096"/>
      <c r="AU723" s="1096"/>
      <c r="AV723" s="1096"/>
      <c r="AW723" s="1096"/>
      <c r="AX723" s="1096"/>
      <c r="AY723" s="1096"/>
    </row>
    <row r="724" spans="1:51" x14ac:dyDescent="0.45">
      <c r="A724" s="1096">
        <v>1999</v>
      </c>
      <c r="B724" s="1096" t="s">
        <v>1393</v>
      </c>
      <c r="C724" s="1113">
        <f>[7]LRAll!C715</f>
        <v>165.6</v>
      </c>
      <c r="D724" s="1113">
        <f>[7]LRAll!I715</f>
        <v>124</v>
      </c>
      <c r="E724" s="1096"/>
      <c r="F724" s="1114">
        <f t="shared" si="23"/>
        <v>74.879227053140099</v>
      </c>
      <c r="G724" s="1112">
        <f t="shared" si="24"/>
        <v>78.623188405797094</v>
      </c>
      <c r="H724" s="1112">
        <f t="shared" si="25"/>
        <v>62.922705314009661</v>
      </c>
      <c r="I724" s="1112">
        <f t="shared" si="26"/>
        <v>71.195652173913047</v>
      </c>
      <c r="J724" s="1112">
        <f t="shared" si="27"/>
        <v>79.770531400966178</v>
      </c>
      <c r="K724" s="1096"/>
      <c r="L724" s="1096"/>
      <c r="M724" s="1096"/>
      <c r="N724" s="1096"/>
      <c r="O724" s="1096"/>
      <c r="P724" s="1114">
        <v>124</v>
      </c>
      <c r="Q724" s="1096" t="s">
        <v>1579</v>
      </c>
      <c r="R724" s="1114">
        <v>130.19999999999999</v>
      </c>
      <c r="S724" s="1096" t="s">
        <v>1579</v>
      </c>
      <c r="T724" s="1114">
        <v>104.2</v>
      </c>
      <c r="U724" s="1096" t="s">
        <v>1579</v>
      </c>
      <c r="V724" s="1114">
        <v>117.9</v>
      </c>
      <c r="W724" s="1096" t="s">
        <v>1579</v>
      </c>
      <c r="X724" s="1114">
        <v>132.1</v>
      </c>
      <c r="Y724" s="1096" t="s">
        <v>1579</v>
      </c>
      <c r="Z724" s="1114">
        <v>165.6</v>
      </c>
      <c r="AA724" s="1096"/>
      <c r="AB724" s="1096"/>
      <c r="AC724" s="1096"/>
      <c r="AD724" s="1096"/>
      <c r="AE724" s="1096"/>
      <c r="AF724" s="1096"/>
      <c r="AG724" s="1096"/>
      <c r="AH724" s="1096"/>
      <c r="AI724" s="1096"/>
      <c r="AJ724" s="1096"/>
      <c r="AK724" s="1096"/>
      <c r="AL724" s="1096"/>
      <c r="AM724" s="1096"/>
      <c r="AN724" s="1096"/>
      <c r="AO724" s="1096"/>
      <c r="AP724" s="1096"/>
      <c r="AQ724" s="1096"/>
      <c r="AR724" s="1096"/>
      <c r="AS724" s="1096"/>
      <c r="AT724" s="1096"/>
      <c r="AU724" s="1096"/>
      <c r="AV724" s="1096"/>
      <c r="AW724" s="1096"/>
      <c r="AX724" s="1096"/>
      <c r="AY724" s="1096"/>
    </row>
    <row r="725" spans="1:51" x14ac:dyDescent="0.45">
      <c r="A725" s="1096">
        <v>1999</v>
      </c>
      <c r="B725" s="1096" t="s">
        <v>1371</v>
      </c>
      <c r="C725" s="1113">
        <f>[7]LRAll!C716</f>
        <v>165.6</v>
      </c>
      <c r="D725" s="1113">
        <f>[7]LRAll!I716</f>
        <v>123.9</v>
      </c>
      <c r="E725" s="1096"/>
      <c r="F725" s="1114">
        <f t="shared" si="23"/>
        <v>74.818840579710155</v>
      </c>
      <c r="G725" s="1112">
        <f t="shared" si="24"/>
        <v>78.44202898550725</v>
      </c>
      <c r="H725" s="1112">
        <f t="shared" si="25"/>
        <v>62.922705314009661</v>
      </c>
      <c r="I725" s="1112">
        <f t="shared" si="26"/>
        <v>71.195652173913047</v>
      </c>
      <c r="J725" s="1112">
        <f t="shared" si="27"/>
        <v>79.710144927536234</v>
      </c>
      <c r="K725" s="1096"/>
      <c r="L725" s="1096"/>
      <c r="M725" s="1096"/>
      <c r="N725" s="1096"/>
      <c r="O725" s="1096"/>
      <c r="P725" s="1114">
        <v>123.9</v>
      </c>
      <c r="Q725" s="1096" t="s">
        <v>1580</v>
      </c>
      <c r="R725" s="1114">
        <v>129.9</v>
      </c>
      <c r="S725" s="1096" t="s">
        <v>1580</v>
      </c>
      <c r="T725" s="1114">
        <v>104.2</v>
      </c>
      <c r="U725" s="1096" t="s">
        <v>1580</v>
      </c>
      <c r="V725" s="1114">
        <v>117.9</v>
      </c>
      <c r="W725" s="1096" t="s">
        <v>1580</v>
      </c>
      <c r="X725" s="1114">
        <v>132</v>
      </c>
      <c r="Y725" s="1096" t="s">
        <v>1580</v>
      </c>
      <c r="Z725" s="1114">
        <v>165.6</v>
      </c>
      <c r="AA725" s="1096"/>
      <c r="AB725" s="1096"/>
      <c r="AC725" s="1096"/>
      <c r="AD725" s="1096"/>
      <c r="AE725" s="1096"/>
      <c r="AF725" s="1096"/>
      <c r="AG725" s="1096"/>
      <c r="AH725" s="1096"/>
      <c r="AI725" s="1096"/>
      <c r="AJ725" s="1096"/>
      <c r="AK725" s="1096"/>
      <c r="AL725" s="1096"/>
      <c r="AM725" s="1096"/>
      <c r="AN725" s="1096"/>
      <c r="AO725" s="1096"/>
      <c r="AP725" s="1096"/>
      <c r="AQ725" s="1096"/>
      <c r="AR725" s="1096"/>
      <c r="AS725" s="1096"/>
      <c r="AT725" s="1096"/>
      <c r="AU725" s="1096"/>
      <c r="AV725" s="1096"/>
      <c r="AW725" s="1096"/>
      <c r="AX725" s="1096"/>
      <c r="AY725" s="1096"/>
    </row>
    <row r="726" spans="1:51" x14ac:dyDescent="0.45">
      <c r="A726" s="1096">
        <v>1999</v>
      </c>
      <c r="B726" s="1096" t="s">
        <v>1373</v>
      </c>
      <c r="C726" s="1113">
        <f>[7]LRAll!C717</f>
        <v>165.1</v>
      </c>
      <c r="D726" s="1113">
        <f>[7]LRAll!I717</f>
        <v>124.2</v>
      </c>
      <c r="E726" s="1096"/>
      <c r="F726" s="1114">
        <f t="shared" si="23"/>
        <v>75.227135069654764</v>
      </c>
      <c r="G726" s="1112">
        <f t="shared" si="24"/>
        <v>78.800726832222892</v>
      </c>
      <c r="H726" s="1112">
        <f t="shared" si="25"/>
        <v>69.473046638400973</v>
      </c>
      <c r="I726" s="1112">
        <f t="shared" si="26"/>
        <v>71.411265899454875</v>
      </c>
      <c r="J726" s="1112">
        <f t="shared" si="27"/>
        <v>79.769836462749851</v>
      </c>
      <c r="K726" s="1096"/>
      <c r="L726" s="1096"/>
      <c r="M726" s="1096"/>
      <c r="N726" s="1096"/>
      <c r="O726" s="1096"/>
      <c r="P726" s="1114">
        <v>124.2</v>
      </c>
      <c r="Q726" s="1096" t="s">
        <v>1581</v>
      </c>
      <c r="R726" s="1114">
        <v>130.1</v>
      </c>
      <c r="S726" s="1096" t="s">
        <v>1581</v>
      </c>
      <c r="T726" s="1114">
        <v>114.7</v>
      </c>
      <c r="U726" s="1096" t="s">
        <v>1581</v>
      </c>
      <c r="V726" s="1114">
        <v>117.9</v>
      </c>
      <c r="W726" s="1096" t="s">
        <v>1581</v>
      </c>
      <c r="X726" s="1114">
        <v>131.69999999999999</v>
      </c>
      <c r="Y726" s="1096" t="s">
        <v>1581</v>
      </c>
      <c r="Z726" s="1114">
        <v>165.1</v>
      </c>
      <c r="AA726" s="1096"/>
      <c r="AB726" s="1096"/>
      <c r="AC726" s="1096"/>
      <c r="AD726" s="1096"/>
      <c r="AE726" s="1096"/>
      <c r="AF726" s="1096"/>
      <c r="AG726" s="1096"/>
      <c r="AH726" s="1096"/>
      <c r="AI726" s="1096"/>
      <c r="AJ726" s="1096"/>
      <c r="AK726" s="1096"/>
      <c r="AL726" s="1096"/>
      <c r="AM726" s="1096"/>
      <c r="AN726" s="1096"/>
      <c r="AO726" s="1096"/>
      <c r="AP726" s="1096"/>
      <c r="AQ726" s="1096"/>
      <c r="AR726" s="1096"/>
      <c r="AS726" s="1096"/>
      <c r="AT726" s="1096"/>
      <c r="AU726" s="1096"/>
      <c r="AV726" s="1096"/>
      <c r="AW726" s="1096"/>
      <c r="AX726" s="1096"/>
      <c r="AY726" s="1096"/>
    </row>
    <row r="727" spans="1:51" x14ac:dyDescent="0.45">
      <c r="A727" s="1096">
        <v>1999</v>
      </c>
      <c r="B727" s="1096" t="s">
        <v>1375</v>
      </c>
      <c r="C727" s="1113">
        <f>[7]LRAll!C718</f>
        <v>165.5</v>
      </c>
      <c r="D727" s="1113">
        <f>[7]LRAll!I718</f>
        <v>124.2</v>
      </c>
      <c r="E727" s="1096"/>
      <c r="F727" s="1114">
        <f t="shared" si="23"/>
        <v>75.045317220543808</v>
      </c>
      <c r="G727" s="1112">
        <f t="shared" si="24"/>
        <v>78.549848942598189</v>
      </c>
      <c r="H727" s="1112">
        <f t="shared" si="25"/>
        <v>70.392749244712988</v>
      </c>
      <c r="I727" s="1112">
        <f t="shared" si="26"/>
        <v>71.238670694864055</v>
      </c>
      <c r="J727" s="1112">
        <f t="shared" si="27"/>
        <v>79.516616314199396</v>
      </c>
      <c r="K727" s="1096"/>
      <c r="L727" s="1096"/>
      <c r="M727" s="1096"/>
      <c r="N727" s="1096"/>
      <c r="O727" s="1096"/>
      <c r="P727" s="1114">
        <v>124.2</v>
      </c>
      <c r="Q727" s="1096" t="s">
        <v>1582</v>
      </c>
      <c r="R727" s="1114">
        <v>130</v>
      </c>
      <c r="S727" s="1096" t="s">
        <v>1582</v>
      </c>
      <c r="T727" s="1114">
        <v>116.5</v>
      </c>
      <c r="U727" s="1096" t="s">
        <v>1582</v>
      </c>
      <c r="V727" s="1114">
        <v>117.9</v>
      </c>
      <c r="W727" s="1096" t="s">
        <v>1582</v>
      </c>
      <c r="X727" s="1114">
        <v>131.6</v>
      </c>
      <c r="Y727" s="1096" t="s">
        <v>1582</v>
      </c>
      <c r="Z727" s="1114">
        <v>165.5</v>
      </c>
      <c r="AA727" s="1096"/>
      <c r="AB727" s="1096"/>
      <c r="AC727" s="1096"/>
      <c r="AD727" s="1096"/>
      <c r="AE727" s="1096"/>
      <c r="AF727" s="1096"/>
      <c r="AG727" s="1096"/>
      <c r="AH727" s="1096"/>
      <c r="AI727" s="1096"/>
      <c r="AJ727" s="1096"/>
      <c r="AK727" s="1096"/>
      <c r="AL727" s="1096"/>
      <c r="AM727" s="1096"/>
      <c r="AN727" s="1096"/>
      <c r="AO727" s="1096"/>
      <c r="AP727" s="1096"/>
      <c r="AQ727" s="1096"/>
      <c r="AR727" s="1096"/>
      <c r="AS727" s="1096"/>
      <c r="AT727" s="1096"/>
      <c r="AU727" s="1096"/>
      <c r="AV727" s="1096"/>
      <c r="AW727" s="1096"/>
      <c r="AX727" s="1096"/>
      <c r="AY727" s="1096"/>
    </row>
    <row r="728" spans="1:51" x14ac:dyDescent="0.45">
      <c r="A728" s="1096">
        <v>1999</v>
      </c>
      <c r="B728" s="1096" t="s">
        <v>1377</v>
      </c>
      <c r="C728" s="1113">
        <f>[7]LRAll!C719</f>
        <v>166.2</v>
      </c>
      <c r="D728" s="1113">
        <f>[7]LRAll!I719</f>
        <v>124.5</v>
      </c>
      <c r="E728" s="1096"/>
      <c r="F728" s="1114">
        <f t="shared" si="23"/>
        <v>74.909747292418785</v>
      </c>
      <c r="G728" s="1112">
        <f t="shared" si="24"/>
        <v>78.941034897713592</v>
      </c>
      <c r="H728" s="1112">
        <f t="shared" si="25"/>
        <v>74.007220216606513</v>
      </c>
      <c r="I728" s="1112">
        <f t="shared" si="26"/>
        <v>70.938628158844779</v>
      </c>
      <c r="J728" s="1112">
        <f t="shared" si="27"/>
        <v>79.181708784596879</v>
      </c>
      <c r="K728" s="1096"/>
      <c r="L728" s="1096"/>
      <c r="M728" s="1096"/>
      <c r="N728" s="1096"/>
      <c r="O728" s="1096"/>
      <c r="P728" s="1114">
        <v>124.5</v>
      </c>
      <c r="Q728" s="1096" t="s">
        <v>1583</v>
      </c>
      <c r="R728" s="1114">
        <v>131.19999999999999</v>
      </c>
      <c r="S728" s="1096" t="s">
        <v>1583</v>
      </c>
      <c r="T728" s="1114">
        <v>123</v>
      </c>
      <c r="U728" s="1096" t="s">
        <v>1583</v>
      </c>
      <c r="V728" s="1114">
        <v>117.9</v>
      </c>
      <c r="W728" s="1096" t="s">
        <v>1583</v>
      </c>
      <c r="X728" s="1114">
        <v>131.6</v>
      </c>
      <c r="Y728" s="1096" t="s">
        <v>1583</v>
      </c>
      <c r="Z728" s="1114">
        <v>166.2</v>
      </c>
      <c r="AA728" s="1096"/>
      <c r="AB728" s="1096"/>
      <c r="AC728" s="1096"/>
      <c r="AD728" s="1096"/>
      <c r="AE728" s="1096"/>
      <c r="AF728" s="1096"/>
      <c r="AG728" s="1096"/>
      <c r="AH728" s="1096"/>
      <c r="AI728" s="1096"/>
      <c r="AJ728" s="1096"/>
      <c r="AK728" s="1096"/>
      <c r="AL728" s="1096"/>
      <c r="AM728" s="1096"/>
      <c r="AN728" s="1096"/>
      <c r="AO728" s="1096"/>
      <c r="AP728" s="1096"/>
      <c r="AQ728" s="1096"/>
      <c r="AR728" s="1096"/>
      <c r="AS728" s="1096"/>
      <c r="AT728" s="1096"/>
      <c r="AU728" s="1096"/>
      <c r="AV728" s="1096"/>
      <c r="AW728" s="1096"/>
      <c r="AX728" s="1096"/>
      <c r="AY728" s="1096"/>
    </row>
    <row r="729" spans="1:51" x14ac:dyDescent="0.45">
      <c r="A729" s="1096">
        <v>1999</v>
      </c>
      <c r="B729" s="1096" t="s">
        <v>1379</v>
      </c>
      <c r="C729" s="1113">
        <f>[7]LRAll!C720</f>
        <v>166.5</v>
      </c>
      <c r="D729" s="1113">
        <f>[7]LRAll!I720</f>
        <v>124.6</v>
      </c>
      <c r="E729" s="1096"/>
      <c r="F729" s="1114">
        <f t="shared" si="23"/>
        <v>74.834834834834822</v>
      </c>
      <c r="G729" s="1112">
        <f t="shared" si="24"/>
        <v>80.840840840840826</v>
      </c>
      <c r="H729" s="1112">
        <f t="shared" si="25"/>
        <v>74.89489489489489</v>
      </c>
      <c r="I729" s="1112">
        <f t="shared" si="26"/>
        <v>70.810810810810807</v>
      </c>
      <c r="J729" s="1112">
        <f t="shared" si="27"/>
        <v>79.039039039039039</v>
      </c>
      <c r="K729" s="1096"/>
      <c r="L729" s="1096"/>
      <c r="M729" s="1096"/>
      <c r="N729" s="1096"/>
      <c r="O729" s="1096"/>
      <c r="P729" s="1114">
        <v>124.6</v>
      </c>
      <c r="Q729" s="1096" t="s">
        <v>1584</v>
      </c>
      <c r="R729" s="1114">
        <v>134.6</v>
      </c>
      <c r="S729" s="1096" t="s">
        <v>1584</v>
      </c>
      <c r="T729" s="1114">
        <v>124.7</v>
      </c>
      <c r="U729" s="1096" t="s">
        <v>1584</v>
      </c>
      <c r="V729" s="1114">
        <v>117.9</v>
      </c>
      <c r="W729" s="1096" t="s">
        <v>1584</v>
      </c>
      <c r="X729" s="1114">
        <v>131.6</v>
      </c>
      <c r="Y729" s="1096" t="s">
        <v>1584</v>
      </c>
      <c r="Z729" s="1114">
        <v>166.5</v>
      </c>
      <c r="AA729" s="1096"/>
      <c r="AB729" s="1096"/>
      <c r="AC729" s="1096"/>
      <c r="AD729" s="1096"/>
      <c r="AE729" s="1096"/>
      <c r="AF729" s="1096"/>
      <c r="AG729" s="1096"/>
      <c r="AH729" s="1096"/>
      <c r="AI729" s="1096"/>
      <c r="AJ729" s="1096"/>
      <c r="AK729" s="1096"/>
      <c r="AL729" s="1096"/>
      <c r="AM729" s="1096"/>
      <c r="AN729" s="1096"/>
      <c r="AO729" s="1096"/>
      <c r="AP729" s="1096"/>
      <c r="AQ729" s="1096"/>
      <c r="AR729" s="1096"/>
      <c r="AS729" s="1096"/>
      <c r="AT729" s="1096"/>
      <c r="AU729" s="1096"/>
      <c r="AV729" s="1096"/>
      <c r="AW729" s="1096"/>
      <c r="AX729" s="1096"/>
      <c r="AY729" s="1096"/>
    </row>
    <row r="730" spans="1:51" x14ac:dyDescent="0.45">
      <c r="A730" s="1096">
        <v>1999</v>
      </c>
      <c r="B730" s="1096" t="s">
        <v>1381</v>
      </c>
      <c r="C730" s="1113">
        <f>[7]LRAll!C721</f>
        <v>166.7</v>
      </c>
      <c r="D730" s="1113">
        <f>[7]LRAll!I721</f>
        <v>124.9</v>
      </c>
      <c r="E730" s="1096"/>
      <c r="F730" s="1114">
        <f t="shared" si="23"/>
        <v>74.925014997000602</v>
      </c>
      <c r="G730" s="1112">
        <f t="shared" si="24"/>
        <v>80.92381523695262</v>
      </c>
      <c r="H730" s="1112">
        <f t="shared" si="25"/>
        <v>78.164367126574703</v>
      </c>
      <c r="I730" s="1112">
        <f t="shared" si="26"/>
        <v>70.725854829034191</v>
      </c>
      <c r="J730" s="1112">
        <f t="shared" si="27"/>
        <v>78.94421115776845</v>
      </c>
      <c r="K730" s="1096"/>
      <c r="L730" s="1096"/>
      <c r="M730" s="1096"/>
      <c r="N730" s="1096"/>
      <c r="O730" s="1096"/>
      <c r="P730" s="1114">
        <v>124.9</v>
      </c>
      <c r="Q730" s="1096" t="s">
        <v>1585</v>
      </c>
      <c r="R730" s="1114">
        <v>134.9</v>
      </c>
      <c r="S730" s="1096" t="s">
        <v>1585</v>
      </c>
      <c r="T730" s="1114">
        <v>130.30000000000001</v>
      </c>
      <c r="U730" s="1096" t="s">
        <v>1585</v>
      </c>
      <c r="V730" s="1114">
        <v>117.9</v>
      </c>
      <c r="W730" s="1096" t="s">
        <v>1585</v>
      </c>
      <c r="X730" s="1114">
        <v>131.6</v>
      </c>
      <c r="Y730" s="1096" t="s">
        <v>1585</v>
      </c>
      <c r="Z730" s="1114">
        <v>166.7</v>
      </c>
      <c r="AA730" s="1096"/>
      <c r="AB730" s="1096"/>
      <c r="AC730" s="1096"/>
      <c r="AD730" s="1096"/>
      <c r="AE730" s="1096"/>
      <c r="AF730" s="1096"/>
      <c r="AG730" s="1096"/>
      <c r="AH730" s="1096"/>
      <c r="AI730" s="1096"/>
      <c r="AJ730" s="1096"/>
      <c r="AK730" s="1096"/>
      <c r="AL730" s="1096"/>
      <c r="AM730" s="1096"/>
      <c r="AN730" s="1096"/>
      <c r="AO730" s="1096"/>
      <c r="AP730" s="1096"/>
      <c r="AQ730" s="1096"/>
      <c r="AR730" s="1096"/>
      <c r="AS730" s="1096"/>
      <c r="AT730" s="1096"/>
      <c r="AU730" s="1096"/>
      <c r="AV730" s="1096"/>
      <c r="AW730" s="1096"/>
      <c r="AX730" s="1096"/>
      <c r="AY730" s="1096"/>
    </row>
    <row r="731" spans="1:51" x14ac:dyDescent="0.45">
      <c r="A731" s="1096">
        <v>1999</v>
      </c>
      <c r="B731" s="1096" t="s">
        <v>1383</v>
      </c>
      <c r="C731" s="1113">
        <f>[7]LRAll!C722</f>
        <v>167.3</v>
      </c>
      <c r="D731" s="1113">
        <f>[7]LRAll!I722</f>
        <v>125.5</v>
      </c>
      <c r="E731" s="1096"/>
      <c r="F731" s="1114">
        <f t="shared" si="23"/>
        <v>75.014943215780022</v>
      </c>
      <c r="G731" s="1112">
        <f t="shared" si="24"/>
        <v>80.81291093843393</v>
      </c>
      <c r="H731" s="1112">
        <f t="shared" si="25"/>
        <v>87.148834429169156</v>
      </c>
      <c r="I731" s="1112">
        <f t="shared" si="26"/>
        <v>70.472205618649127</v>
      </c>
      <c r="J731" s="1112">
        <f t="shared" si="27"/>
        <v>78.661087866108787</v>
      </c>
      <c r="K731" s="1096"/>
      <c r="L731" s="1096"/>
      <c r="M731" s="1096"/>
      <c r="N731" s="1096"/>
      <c r="O731" s="1096"/>
      <c r="P731" s="1114">
        <v>125.5</v>
      </c>
      <c r="Q731" s="1096" t="s">
        <v>1586</v>
      </c>
      <c r="R731" s="1114">
        <v>135.19999999999999</v>
      </c>
      <c r="S731" s="1096" t="s">
        <v>1586</v>
      </c>
      <c r="T731" s="1114">
        <v>145.80000000000001</v>
      </c>
      <c r="U731" s="1096" t="s">
        <v>1586</v>
      </c>
      <c r="V731" s="1114">
        <v>117.9</v>
      </c>
      <c r="W731" s="1096" t="s">
        <v>1586</v>
      </c>
      <c r="X731" s="1114">
        <v>131.6</v>
      </c>
      <c r="Y731" s="1096" t="s">
        <v>1586</v>
      </c>
      <c r="Z731" s="1114">
        <v>167.3</v>
      </c>
      <c r="AA731" s="1096"/>
      <c r="AB731" s="1096"/>
      <c r="AC731" s="1096"/>
      <c r="AD731" s="1096"/>
      <c r="AE731" s="1096"/>
      <c r="AF731" s="1096"/>
      <c r="AG731" s="1096"/>
      <c r="AH731" s="1096"/>
      <c r="AI731" s="1096"/>
      <c r="AJ731" s="1096"/>
      <c r="AK731" s="1096"/>
      <c r="AL731" s="1096"/>
      <c r="AM731" s="1096"/>
      <c r="AN731" s="1096"/>
      <c r="AO731" s="1096"/>
      <c r="AP731" s="1096"/>
      <c r="AQ731" s="1096"/>
      <c r="AR731" s="1096"/>
      <c r="AS731" s="1096"/>
      <c r="AT731" s="1096"/>
      <c r="AU731" s="1096"/>
      <c r="AV731" s="1096"/>
      <c r="AW731" s="1096"/>
      <c r="AX731" s="1096"/>
      <c r="AY731" s="1096"/>
    </row>
    <row r="732" spans="1:51" x14ac:dyDescent="0.45">
      <c r="A732" s="1096">
        <v>2000</v>
      </c>
      <c r="B732" s="1096" t="s">
        <v>1385</v>
      </c>
      <c r="C732" s="1113">
        <f>[7]LRAll!C723</f>
        <v>166.6</v>
      </c>
      <c r="D732" s="1113">
        <f>[7]LRAll!I723</f>
        <v>125.4</v>
      </c>
      <c r="E732" s="1096"/>
      <c r="F732" s="1114">
        <f t="shared" si="23"/>
        <v>75.270108043217292</v>
      </c>
      <c r="G732" s="1112">
        <f t="shared" si="24"/>
        <v>81.272509003601442</v>
      </c>
      <c r="H732" s="1112">
        <f t="shared" si="25"/>
        <v>85.954381752701082</v>
      </c>
      <c r="I732" s="1112">
        <f t="shared" si="26"/>
        <v>70.708283313325325</v>
      </c>
      <c r="J732" s="1112">
        <f t="shared" si="27"/>
        <v>78.991596638655466</v>
      </c>
      <c r="K732" s="1096"/>
      <c r="L732" s="1096"/>
      <c r="M732" s="1096"/>
      <c r="N732" s="1096"/>
      <c r="O732" s="1096"/>
      <c r="P732" s="1114">
        <v>125.4</v>
      </c>
      <c r="Q732" s="1096" t="s">
        <v>1587</v>
      </c>
      <c r="R732" s="1114">
        <v>135.4</v>
      </c>
      <c r="S732" s="1096" t="s">
        <v>1587</v>
      </c>
      <c r="T732" s="1114">
        <v>143.19999999999999</v>
      </c>
      <c r="U732" s="1096" t="s">
        <v>1587</v>
      </c>
      <c r="V732" s="1114">
        <v>117.8</v>
      </c>
      <c r="W732" s="1096" t="s">
        <v>1587</v>
      </c>
      <c r="X732" s="1114">
        <v>131.6</v>
      </c>
      <c r="Y732" s="1096" t="s">
        <v>1587</v>
      </c>
      <c r="Z732" s="1114">
        <v>166.6</v>
      </c>
      <c r="AA732" s="1096"/>
      <c r="AB732" s="1096"/>
      <c r="AC732" s="1096"/>
      <c r="AD732" s="1096"/>
      <c r="AE732" s="1096"/>
      <c r="AF732" s="1096"/>
      <c r="AG732" s="1096"/>
      <c r="AH732" s="1096"/>
      <c r="AI732" s="1096"/>
      <c r="AJ732" s="1096"/>
      <c r="AK732" s="1096"/>
      <c r="AL732" s="1096"/>
      <c r="AM732" s="1096"/>
      <c r="AN732" s="1096"/>
      <c r="AO732" s="1096"/>
      <c r="AP732" s="1096"/>
      <c r="AQ732" s="1096"/>
      <c r="AR732" s="1096"/>
      <c r="AS732" s="1096"/>
      <c r="AT732" s="1096"/>
      <c r="AU732" s="1096"/>
      <c r="AV732" s="1096"/>
      <c r="AW732" s="1096"/>
      <c r="AX732" s="1096"/>
      <c r="AY732" s="1096"/>
    </row>
    <row r="733" spans="1:51" x14ac:dyDescent="0.45">
      <c r="A733" s="1096">
        <v>2000</v>
      </c>
      <c r="B733" s="1096" t="s">
        <v>1387</v>
      </c>
      <c r="C733" s="1113">
        <f>[7]LRAll!C724</f>
        <v>167.5</v>
      </c>
      <c r="D733" s="1113">
        <f>[7]LRAll!I724</f>
        <v>125.4</v>
      </c>
      <c r="E733" s="1096"/>
      <c r="F733" s="1114">
        <f t="shared" si="23"/>
        <v>74.865671641791039</v>
      </c>
      <c r="G733" s="1112">
        <f t="shared" si="24"/>
        <v>80.776119402985074</v>
      </c>
      <c r="H733" s="1112">
        <f t="shared" si="25"/>
        <v>85.850746268656721</v>
      </c>
      <c r="I733" s="1112">
        <f t="shared" si="26"/>
        <v>70.328358208955223</v>
      </c>
      <c r="J733" s="1112">
        <f t="shared" si="27"/>
        <v>78.567164179104481</v>
      </c>
      <c r="K733" s="1096"/>
      <c r="L733" s="1096"/>
      <c r="M733" s="1096"/>
      <c r="N733" s="1096"/>
      <c r="O733" s="1096"/>
      <c r="P733" s="1114">
        <v>125.4</v>
      </c>
      <c r="Q733" s="1096" t="s">
        <v>1588</v>
      </c>
      <c r="R733" s="1114">
        <v>135.30000000000001</v>
      </c>
      <c r="S733" s="1096" t="s">
        <v>1588</v>
      </c>
      <c r="T733" s="1114">
        <v>143.80000000000001</v>
      </c>
      <c r="U733" s="1096" t="s">
        <v>1588</v>
      </c>
      <c r="V733" s="1114">
        <v>117.8</v>
      </c>
      <c r="W733" s="1096" t="s">
        <v>1588</v>
      </c>
      <c r="X733" s="1114">
        <v>131.6</v>
      </c>
      <c r="Y733" s="1096" t="s">
        <v>1588</v>
      </c>
      <c r="Z733" s="1114">
        <v>167.5</v>
      </c>
      <c r="AA733" s="1096"/>
      <c r="AB733" s="1096"/>
      <c r="AC733" s="1096"/>
      <c r="AD733" s="1096"/>
      <c r="AE733" s="1096"/>
      <c r="AF733" s="1096"/>
      <c r="AG733" s="1096"/>
      <c r="AH733" s="1096"/>
      <c r="AI733" s="1096"/>
      <c r="AJ733" s="1096"/>
      <c r="AK733" s="1096"/>
      <c r="AL733" s="1096"/>
      <c r="AM733" s="1096"/>
      <c r="AN733" s="1096"/>
      <c r="AO733" s="1096"/>
      <c r="AP733" s="1096"/>
      <c r="AQ733" s="1096"/>
      <c r="AR733" s="1096"/>
      <c r="AS733" s="1096"/>
      <c r="AT733" s="1096"/>
      <c r="AU733" s="1096"/>
      <c r="AV733" s="1096"/>
      <c r="AW733" s="1096"/>
      <c r="AX733" s="1096"/>
      <c r="AY733" s="1096"/>
    </row>
    <row r="734" spans="1:51" x14ac:dyDescent="0.45">
      <c r="A734" s="1096">
        <v>2000</v>
      </c>
      <c r="B734" s="1096" t="s">
        <v>1389</v>
      </c>
      <c r="C734" s="1113">
        <f>[7]LRAll!C725</f>
        <v>168.4</v>
      </c>
      <c r="D734" s="1113">
        <f>[7]LRAll!I725</f>
        <v>125.5</v>
      </c>
      <c r="E734" s="1096"/>
      <c r="F734" s="1114">
        <f t="shared" si="23"/>
        <v>74.524940617577201</v>
      </c>
      <c r="G734" s="1112">
        <f t="shared" si="24"/>
        <v>80.581947743467921</v>
      </c>
      <c r="H734" s="1112">
        <f t="shared" si="25"/>
        <v>87.173396674584325</v>
      </c>
      <c r="I734" s="1112">
        <f t="shared" si="26"/>
        <v>69.952494061757719</v>
      </c>
      <c r="J734" s="1112">
        <f t="shared" si="27"/>
        <v>78.147268408551056</v>
      </c>
      <c r="K734" s="1096"/>
      <c r="L734" s="1096"/>
      <c r="M734" s="1096"/>
      <c r="N734" s="1096"/>
      <c r="O734" s="1096"/>
      <c r="P734" s="1114">
        <v>125.5</v>
      </c>
      <c r="Q734" s="1096" t="s">
        <v>1589</v>
      </c>
      <c r="R734" s="1114">
        <v>135.69999999999999</v>
      </c>
      <c r="S734" s="1096" t="s">
        <v>1589</v>
      </c>
      <c r="T734" s="1114">
        <v>146.80000000000001</v>
      </c>
      <c r="U734" s="1096" t="s">
        <v>1589</v>
      </c>
      <c r="V734" s="1114">
        <v>117.8</v>
      </c>
      <c r="W734" s="1096" t="s">
        <v>1589</v>
      </c>
      <c r="X734" s="1114">
        <v>131.6</v>
      </c>
      <c r="Y734" s="1096" t="s">
        <v>1589</v>
      </c>
      <c r="Z734" s="1114">
        <v>168.4</v>
      </c>
      <c r="AA734" s="1096"/>
      <c r="AB734" s="1096"/>
      <c r="AC734" s="1096"/>
      <c r="AD734" s="1096"/>
      <c r="AE734" s="1096"/>
      <c r="AF734" s="1096"/>
      <c r="AG734" s="1096"/>
      <c r="AH734" s="1096"/>
      <c r="AI734" s="1096"/>
      <c r="AJ734" s="1096"/>
      <c r="AK734" s="1096"/>
      <c r="AL734" s="1096"/>
      <c r="AM734" s="1096"/>
      <c r="AN734" s="1096"/>
      <c r="AO734" s="1096"/>
      <c r="AP734" s="1096"/>
      <c r="AQ734" s="1096"/>
      <c r="AR734" s="1096"/>
      <c r="AS734" s="1096"/>
      <c r="AT734" s="1096"/>
      <c r="AU734" s="1096"/>
      <c r="AV734" s="1096"/>
      <c r="AW734" s="1096"/>
      <c r="AX734" s="1096"/>
      <c r="AY734" s="1096"/>
    </row>
    <row r="735" spans="1:51" x14ac:dyDescent="0.45">
      <c r="A735" s="1096">
        <v>2000</v>
      </c>
      <c r="B735" s="1096" t="s">
        <v>1391</v>
      </c>
      <c r="C735" s="1113">
        <f>[7]LRAll!C726</f>
        <v>170.1</v>
      </c>
      <c r="D735" s="1113">
        <f>[7]LRAll!I726</f>
        <v>123.8</v>
      </c>
      <c r="E735" s="1096"/>
      <c r="F735" s="1114">
        <f t="shared" si="23"/>
        <v>72.780717225161666</v>
      </c>
      <c r="G735" s="1112">
        <f t="shared" si="24"/>
        <v>79.541446208112887</v>
      </c>
      <c r="H735" s="1112">
        <f t="shared" si="25"/>
        <v>84.832451499118179</v>
      </c>
      <c r="I735" s="1112">
        <f t="shared" si="26"/>
        <v>67.372134038800695</v>
      </c>
      <c r="J735" s="1112">
        <f t="shared" si="27"/>
        <v>77.072310405643734</v>
      </c>
      <c r="K735" s="1096"/>
      <c r="L735" s="1096"/>
      <c r="M735" s="1096"/>
      <c r="N735" s="1096"/>
      <c r="O735" s="1096"/>
      <c r="P735" s="1114">
        <v>123.8</v>
      </c>
      <c r="Q735" s="1096" t="s">
        <v>1590</v>
      </c>
      <c r="R735" s="1114">
        <v>135.30000000000001</v>
      </c>
      <c r="S735" s="1096" t="s">
        <v>1590</v>
      </c>
      <c r="T735" s="1114">
        <v>144.30000000000001</v>
      </c>
      <c r="U735" s="1096" t="s">
        <v>1590</v>
      </c>
      <c r="V735" s="1114">
        <v>114.6</v>
      </c>
      <c r="W735" s="1096" t="s">
        <v>1590</v>
      </c>
      <c r="X735" s="1114">
        <v>131.1</v>
      </c>
      <c r="Y735" s="1096" t="s">
        <v>1590</v>
      </c>
      <c r="Z735" s="1114">
        <v>170.1</v>
      </c>
      <c r="AA735" s="1096"/>
      <c r="AB735" s="1096"/>
      <c r="AC735" s="1096"/>
      <c r="AD735" s="1096"/>
      <c r="AE735" s="1096"/>
      <c r="AF735" s="1096"/>
      <c r="AG735" s="1096"/>
      <c r="AH735" s="1096"/>
      <c r="AI735" s="1096"/>
      <c r="AJ735" s="1096"/>
      <c r="AK735" s="1096"/>
      <c r="AL735" s="1096"/>
      <c r="AM735" s="1096"/>
      <c r="AN735" s="1096"/>
      <c r="AO735" s="1096"/>
      <c r="AP735" s="1096"/>
      <c r="AQ735" s="1096"/>
      <c r="AR735" s="1096"/>
      <c r="AS735" s="1096"/>
      <c r="AT735" s="1096"/>
      <c r="AU735" s="1096"/>
      <c r="AV735" s="1096"/>
      <c r="AW735" s="1096"/>
      <c r="AX735" s="1096"/>
      <c r="AY735" s="1096"/>
    </row>
    <row r="736" spans="1:51" x14ac:dyDescent="0.45">
      <c r="A736" s="1096">
        <v>2000</v>
      </c>
      <c r="B736" s="1096" t="s">
        <v>1393</v>
      </c>
      <c r="C736" s="1113">
        <f>[7]LRAll!C727</f>
        <v>170.7</v>
      </c>
      <c r="D736" s="1113">
        <f>[7]LRAll!I727</f>
        <v>122.9</v>
      </c>
      <c r="E736" s="1096"/>
      <c r="F736" s="1114">
        <f t="shared" si="23"/>
        <v>71.997656707674295</v>
      </c>
      <c r="G736" s="1112">
        <f t="shared" si="24"/>
        <v>77.328646748681905</v>
      </c>
      <c r="H736" s="1112">
        <f t="shared" si="25"/>
        <v>83.245459871118925</v>
      </c>
      <c r="I736" s="1112">
        <f t="shared" si="26"/>
        <v>67.07674282366726</v>
      </c>
      <c r="J736" s="1112">
        <f t="shared" si="27"/>
        <v>76.039835969537208</v>
      </c>
      <c r="K736" s="1096"/>
      <c r="L736" s="1096"/>
      <c r="M736" s="1096"/>
      <c r="N736" s="1096"/>
      <c r="O736" s="1096"/>
      <c r="P736" s="1114">
        <v>122.9</v>
      </c>
      <c r="Q736" s="1096" t="s">
        <v>1591</v>
      </c>
      <c r="R736" s="1114">
        <v>132</v>
      </c>
      <c r="S736" s="1096" t="s">
        <v>1591</v>
      </c>
      <c r="T736" s="1114">
        <v>142.1</v>
      </c>
      <c r="U736" s="1096" t="s">
        <v>1591</v>
      </c>
      <c r="V736" s="1114">
        <v>114.5</v>
      </c>
      <c r="W736" s="1096" t="s">
        <v>1591</v>
      </c>
      <c r="X736" s="1114">
        <v>129.80000000000001</v>
      </c>
      <c r="Y736" s="1096" t="s">
        <v>1591</v>
      </c>
      <c r="Z736" s="1114">
        <v>170.7</v>
      </c>
      <c r="AA736" s="1096"/>
      <c r="AB736" s="1096"/>
      <c r="AC736" s="1096"/>
      <c r="AD736" s="1096"/>
      <c r="AE736" s="1096"/>
      <c r="AF736" s="1096"/>
      <c r="AG736" s="1096"/>
      <c r="AH736" s="1096"/>
      <c r="AI736" s="1096"/>
      <c r="AJ736" s="1096"/>
      <c r="AK736" s="1096"/>
      <c r="AL736" s="1096"/>
      <c r="AM736" s="1096"/>
      <c r="AN736" s="1096"/>
      <c r="AO736" s="1096"/>
      <c r="AP736" s="1096"/>
      <c r="AQ736" s="1096"/>
      <c r="AR736" s="1096"/>
      <c r="AS736" s="1096"/>
      <c r="AT736" s="1096"/>
      <c r="AU736" s="1096"/>
      <c r="AV736" s="1096"/>
      <c r="AW736" s="1096"/>
      <c r="AX736" s="1096"/>
      <c r="AY736" s="1096"/>
    </row>
    <row r="737" spans="1:51" x14ac:dyDescent="0.45">
      <c r="A737" s="1096">
        <v>2000</v>
      </c>
      <c r="B737" s="1096" t="s">
        <v>1371</v>
      </c>
      <c r="C737" s="1113">
        <f>[7]LRAll!C728</f>
        <v>171.1</v>
      </c>
      <c r="D737" s="1113">
        <f>[7]LRAll!I728</f>
        <v>122.4</v>
      </c>
      <c r="E737" s="1096"/>
      <c r="F737" s="1114">
        <f t="shared" si="23"/>
        <v>71.537112799532437</v>
      </c>
      <c r="G737" s="1112">
        <f t="shared" si="24"/>
        <v>76.621858562244299</v>
      </c>
      <c r="H737" s="1112">
        <f t="shared" si="25"/>
        <v>84.570426651081235</v>
      </c>
      <c r="I737" s="1112">
        <f t="shared" si="26"/>
        <v>66.861484511981303</v>
      </c>
      <c r="J737" s="1112">
        <f t="shared" si="27"/>
        <v>75.160724722384558</v>
      </c>
      <c r="K737" s="1096"/>
      <c r="L737" s="1096"/>
      <c r="M737" s="1096"/>
      <c r="N737" s="1096"/>
      <c r="O737" s="1096"/>
      <c r="P737" s="1114">
        <v>122.4</v>
      </c>
      <c r="Q737" s="1096" t="s">
        <v>1592</v>
      </c>
      <c r="R737" s="1114">
        <v>131.1</v>
      </c>
      <c r="S737" s="1096" t="s">
        <v>1592</v>
      </c>
      <c r="T737" s="1114">
        <v>144.69999999999999</v>
      </c>
      <c r="U737" s="1096" t="s">
        <v>1592</v>
      </c>
      <c r="V737" s="1114">
        <v>114.4</v>
      </c>
      <c r="W737" s="1096" t="s">
        <v>1592</v>
      </c>
      <c r="X737" s="1114">
        <v>128.6</v>
      </c>
      <c r="Y737" s="1096" t="s">
        <v>1592</v>
      </c>
      <c r="Z737" s="1114">
        <v>171.1</v>
      </c>
      <c r="AA737" s="1096"/>
      <c r="AB737" s="1096"/>
      <c r="AC737" s="1096"/>
      <c r="AD737" s="1096"/>
      <c r="AE737" s="1096"/>
      <c r="AF737" s="1096"/>
      <c r="AG737" s="1096"/>
      <c r="AH737" s="1096"/>
      <c r="AI737" s="1096"/>
      <c r="AJ737" s="1096"/>
      <c r="AK737" s="1096"/>
      <c r="AL737" s="1096"/>
      <c r="AM737" s="1096"/>
      <c r="AN737" s="1096"/>
      <c r="AO737" s="1096"/>
      <c r="AP737" s="1096"/>
      <c r="AQ737" s="1096"/>
      <c r="AR737" s="1096"/>
      <c r="AS737" s="1096"/>
      <c r="AT737" s="1096"/>
      <c r="AU737" s="1096"/>
      <c r="AV737" s="1096"/>
      <c r="AW737" s="1096"/>
      <c r="AX737" s="1096"/>
      <c r="AY737" s="1096"/>
    </row>
    <row r="738" spans="1:51" x14ac:dyDescent="0.45">
      <c r="A738" s="1096">
        <v>2000</v>
      </c>
      <c r="B738" s="1096" t="s">
        <v>1373</v>
      </c>
      <c r="C738" s="1113">
        <f>[7]LRAll!C729</f>
        <v>170.5</v>
      </c>
      <c r="D738" s="1113">
        <f>[7]LRAll!I729</f>
        <v>122.5</v>
      </c>
      <c r="E738" s="1096"/>
      <c r="F738" s="1114">
        <f t="shared" si="23"/>
        <v>71.847507331378296</v>
      </c>
      <c r="G738" s="1112">
        <f t="shared" si="24"/>
        <v>76.715542521994138</v>
      </c>
      <c r="H738" s="1112">
        <f t="shared" si="25"/>
        <v>90.322580645161281</v>
      </c>
      <c r="I738" s="1112">
        <f t="shared" si="26"/>
        <v>67.096774193548399</v>
      </c>
      <c r="J738" s="1112">
        <f t="shared" si="27"/>
        <v>74.956011730205276</v>
      </c>
      <c r="K738" s="1096"/>
      <c r="L738" s="1096"/>
      <c r="M738" s="1096"/>
      <c r="N738" s="1096"/>
      <c r="O738" s="1096"/>
      <c r="P738" s="1114">
        <v>122.5</v>
      </c>
      <c r="Q738" s="1096" t="s">
        <v>1593</v>
      </c>
      <c r="R738" s="1114">
        <v>130.80000000000001</v>
      </c>
      <c r="S738" s="1096" t="s">
        <v>1593</v>
      </c>
      <c r="T738" s="1114">
        <v>154</v>
      </c>
      <c r="U738" s="1096" t="s">
        <v>1593</v>
      </c>
      <c r="V738" s="1114">
        <v>114.4</v>
      </c>
      <c r="W738" s="1096" t="s">
        <v>1593</v>
      </c>
      <c r="X738" s="1114">
        <v>127.8</v>
      </c>
      <c r="Y738" s="1096" t="s">
        <v>1593</v>
      </c>
      <c r="Z738" s="1114">
        <v>170.5</v>
      </c>
      <c r="AA738" s="1096"/>
      <c r="AB738" s="1096"/>
      <c r="AC738" s="1096"/>
      <c r="AD738" s="1096"/>
      <c r="AE738" s="1096"/>
      <c r="AF738" s="1096"/>
      <c r="AG738" s="1096"/>
      <c r="AH738" s="1096"/>
      <c r="AI738" s="1096"/>
      <c r="AJ738" s="1096"/>
      <c r="AK738" s="1096"/>
      <c r="AL738" s="1096"/>
      <c r="AM738" s="1096"/>
      <c r="AN738" s="1096"/>
      <c r="AO738" s="1096"/>
      <c r="AP738" s="1096"/>
      <c r="AQ738" s="1096"/>
      <c r="AR738" s="1096"/>
      <c r="AS738" s="1096"/>
      <c r="AT738" s="1096"/>
      <c r="AU738" s="1096"/>
      <c r="AV738" s="1096"/>
      <c r="AW738" s="1096"/>
      <c r="AX738" s="1096"/>
      <c r="AY738" s="1096"/>
    </row>
    <row r="739" spans="1:51" x14ac:dyDescent="0.45">
      <c r="A739" s="1096">
        <v>2000</v>
      </c>
      <c r="B739" s="1096" t="s">
        <v>1375</v>
      </c>
      <c r="C739" s="1113">
        <f>[7]LRAll!C730</f>
        <v>170.5</v>
      </c>
      <c r="D739" s="1113">
        <f>[7]LRAll!I730</f>
        <v>122.5</v>
      </c>
      <c r="E739" s="1096"/>
      <c r="F739" s="1114">
        <f t="shared" si="23"/>
        <v>71.847507331378296</v>
      </c>
      <c r="G739" s="1112">
        <f t="shared" si="24"/>
        <v>76.89149560117302</v>
      </c>
      <c r="H739" s="1112">
        <f t="shared" si="25"/>
        <v>90.850439882697955</v>
      </c>
      <c r="I739" s="1112">
        <f t="shared" si="26"/>
        <v>67.096774193548399</v>
      </c>
      <c r="J739" s="1112">
        <f t="shared" si="27"/>
        <v>74.897360703812325</v>
      </c>
      <c r="K739" s="1096"/>
      <c r="L739" s="1096"/>
      <c r="M739" s="1096"/>
      <c r="N739" s="1096"/>
      <c r="O739" s="1096"/>
      <c r="P739" s="1114">
        <v>122.5</v>
      </c>
      <c r="Q739" s="1096" t="s">
        <v>1594</v>
      </c>
      <c r="R739" s="1114">
        <v>131.1</v>
      </c>
      <c r="S739" s="1096" t="s">
        <v>1594</v>
      </c>
      <c r="T739" s="1114">
        <v>154.9</v>
      </c>
      <c r="U739" s="1096" t="s">
        <v>1594</v>
      </c>
      <c r="V739" s="1114">
        <v>114.4</v>
      </c>
      <c r="W739" s="1096" t="s">
        <v>1594</v>
      </c>
      <c r="X739" s="1114">
        <v>127.7</v>
      </c>
      <c r="Y739" s="1096" t="s">
        <v>1594</v>
      </c>
      <c r="Z739" s="1114">
        <v>170.5</v>
      </c>
      <c r="AA739" s="1096"/>
      <c r="AB739" s="1096"/>
      <c r="AC739" s="1096"/>
      <c r="AD739" s="1096"/>
      <c r="AE739" s="1096"/>
      <c r="AF739" s="1096"/>
      <c r="AG739" s="1096"/>
      <c r="AH739" s="1096"/>
      <c r="AI739" s="1096"/>
      <c r="AJ739" s="1096"/>
      <c r="AK739" s="1096"/>
      <c r="AL739" s="1096"/>
      <c r="AM739" s="1096"/>
      <c r="AN739" s="1096"/>
      <c r="AO739" s="1096"/>
      <c r="AP739" s="1096"/>
      <c r="AQ739" s="1096"/>
      <c r="AR739" s="1096"/>
      <c r="AS739" s="1096"/>
      <c r="AT739" s="1096"/>
      <c r="AU739" s="1096"/>
      <c r="AV739" s="1096"/>
      <c r="AW739" s="1096"/>
      <c r="AX739" s="1096"/>
      <c r="AY739" s="1096"/>
    </row>
    <row r="740" spans="1:51" x14ac:dyDescent="0.45">
      <c r="A740" s="1096">
        <v>2000</v>
      </c>
      <c r="B740" s="1096" t="s">
        <v>1377</v>
      </c>
      <c r="C740" s="1113">
        <f>[7]LRAll!C731</f>
        <v>171.7</v>
      </c>
      <c r="D740" s="1113">
        <f>[7]LRAll!I731</f>
        <v>124.1</v>
      </c>
      <c r="E740" s="1096"/>
      <c r="F740" s="1114">
        <f t="shared" si="23"/>
        <v>72.277227722772281</v>
      </c>
      <c r="G740" s="1112">
        <f t="shared" si="24"/>
        <v>77.810133954571924</v>
      </c>
      <c r="H740" s="1112">
        <f t="shared" si="25"/>
        <v>105.88235294117649</v>
      </c>
      <c r="I740" s="1112">
        <f t="shared" si="26"/>
        <v>66.627839254513702</v>
      </c>
      <c r="J740" s="1112">
        <f t="shared" si="27"/>
        <v>74.373907979033206</v>
      </c>
      <c r="K740" s="1096"/>
      <c r="L740" s="1096"/>
      <c r="M740" s="1096"/>
      <c r="N740" s="1096"/>
      <c r="O740" s="1096"/>
      <c r="P740" s="1114">
        <v>124.1</v>
      </c>
      <c r="Q740" s="1096" t="s">
        <v>1595</v>
      </c>
      <c r="R740" s="1114">
        <v>133.6</v>
      </c>
      <c r="S740" s="1096" t="s">
        <v>1595</v>
      </c>
      <c r="T740" s="1114">
        <v>181.8</v>
      </c>
      <c r="U740" s="1096" t="s">
        <v>1595</v>
      </c>
      <c r="V740" s="1114">
        <v>114.4</v>
      </c>
      <c r="W740" s="1096" t="s">
        <v>1595</v>
      </c>
      <c r="X740" s="1114">
        <v>127.7</v>
      </c>
      <c r="Y740" s="1096" t="s">
        <v>1595</v>
      </c>
      <c r="Z740" s="1114">
        <v>171.7</v>
      </c>
      <c r="AA740" s="1096"/>
      <c r="AB740" s="1096"/>
      <c r="AC740" s="1096"/>
      <c r="AD740" s="1096"/>
      <c r="AE740" s="1096"/>
      <c r="AF740" s="1096"/>
      <c r="AG740" s="1096"/>
      <c r="AH740" s="1096"/>
      <c r="AI740" s="1096"/>
      <c r="AJ740" s="1096"/>
      <c r="AK740" s="1096"/>
      <c r="AL740" s="1096"/>
      <c r="AM740" s="1096"/>
      <c r="AN740" s="1096"/>
      <c r="AO740" s="1096"/>
      <c r="AP740" s="1096"/>
      <c r="AQ740" s="1096"/>
      <c r="AR740" s="1096"/>
      <c r="AS740" s="1096"/>
      <c r="AT740" s="1096"/>
      <c r="AU740" s="1096"/>
      <c r="AV740" s="1096"/>
      <c r="AW740" s="1096"/>
      <c r="AX740" s="1096"/>
      <c r="AY740" s="1096"/>
    </row>
    <row r="741" spans="1:51" x14ac:dyDescent="0.45">
      <c r="A741" s="1096">
        <v>2000</v>
      </c>
      <c r="B741" s="1096" t="s">
        <v>1379</v>
      </c>
      <c r="C741" s="1113">
        <f>[7]LRAll!C732</f>
        <v>171.6</v>
      </c>
      <c r="D741" s="1113">
        <f>[7]LRAll!I732</f>
        <v>124.6</v>
      </c>
      <c r="E741" s="1096"/>
      <c r="F741" s="1114">
        <f t="shared" si="23"/>
        <v>72.610722610722604</v>
      </c>
      <c r="G741" s="1112">
        <f t="shared" si="24"/>
        <v>80.24475524475524</v>
      </c>
      <c r="H741" s="1112">
        <f t="shared" si="25"/>
        <v>110.60606060606062</v>
      </c>
      <c r="I741" s="1112">
        <f t="shared" si="26"/>
        <v>66.666666666666671</v>
      </c>
      <c r="J741" s="1112">
        <f t="shared" si="27"/>
        <v>74.417249417249423</v>
      </c>
      <c r="K741" s="1096"/>
      <c r="L741" s="1096"/>
      <c r="M741" s="1096"/>
      <c r="N741" s="1096"/>
      <c r="O741" s="1096"/>
      <c r="P741" s="1114">
        <v>124.6</v>
      </c>
      <c r="Q741" s="1096" t="s">
        <v>1596</v>
      </c>
      <c r="R741" s="1114">
        <v>137.69999999999999</v>
      </c>
      <c r="S741" s="1096" t="s">
        <v>1596</v>
      </c>
      <c r="T741" s="1114">
        <v>189.8</v>
      </c>
      <c r="U741" s="1096" t="s">
        <v>1596</v>
      </c>
      <c r="V741" s="1114">
        <v>114.4</v>
      </c>
      <c r="W741" s="1096" t="s">
        <v>1596</v>
      </c>
      <c r="X741" s="1114">
        <v>127.7</v>
      </c>
      <c r="Y741" s="1096" t="s">
        <v>1596</v>
      </c>
      <c r="Z741" s="1114">
        <v>171.6</v>
      </c>
      <c r="AA741" s="1096"/>
      <c r="AB741" s="1096"/>
      <c r="AC741" s="1096"/>
      <c r="AD741" s="1096"/>
      <c r="AE741" s="1096"/>
      <c r="AF741" s="1096"/>
      <c r="AG741" s="1096"/>
      <c r="AH741" s="1096"/>
      <c r="AI741" s="1096"/>
      <c r="AJ741" s="1096"/>
      <c r="AK741" s="1096"/>
      <c r="AL741" s="1096"/>
      <c r="AM741" s="1096"/>
      <c r="AN741" s="1096"/>
      <c r="AO741" s="1096"/>
      <c r="AP741" s="1096"/>
      <c r="AQ741" s="1096"/>
      <c r="AR741" s="1096"/>
      <c r="AS741" s="1096"/>
      <c r="AT741" s="1096"/>
      <c r="AU741" s="1096"/>
      <c r="AV741" s="1096"/>
      <c r="AW741" s="1096"/>
      <c r="AX741" s="1096"/>
      <c r="AY741" s="1096"/>
    </row>
    <row r="742" spans="1:51" x14ac:dyDescent="0.45">
      <c r="A742" s="1096">
        <v>2000</v>
      </c>
      <c r="B742" s="1096" t="s">
        <v>1381</v>
      </c>
      <c r="C742" s="1113">
        <f>[7]LRAll!C733</f>
        <v>172.1</v>
      </c>
      <c r="D742" s="1113">
        <f>[7]LRAll!I733</f>
        <v>124.2</v>
      </c>
      <c r="E742" s="1096"/>
      <c r="F742" s="1114">
        <f t="shared" ref="F742:F805" si="28">D742/C742*100</f>
        <v>72.167344567112153</v>
      </c>
      <c r="G742" s="1112">
        <f t="shared" si="24"/>
        <v>80.825101685066826</v>
      </c>
      <c r="H742" s="1112">
        <f t="shared" si="25"/>
        <v>104.82277745496805</v>
      </c>
      <c r="I742" s="1112">
        <f t="shared" si="26"/>
        <v>66.472980825101686</v>
      </c>
      <c r="J742" s="1112">
        <f t="shared" si="27"/>
        <v>74.201045903544454</v>
      </c>
      <c r="K742" s="1096"/>
      <c r="L742" s="1096"/>
      <c r="M742" s="1096"/>
      <c r="N742" s="1096"/>
      <c r="O742" s="1096"/>
      <c r="P742" s="1114">
        <v>124.2</v>
      </c>
      <c r="Q742" s="1096" t="s">
        <v>1597</v>
      </c>
      <c r="R742" s="1114">
        <v>139.1</v>
      </c>
      <c r="S742" s="1096" t="s">
        <v>1597</v>
      </c>
      <c r="T742" s="1114">
        <v>180.4</v>
      </c>
      <c r="U742" s="1096" t="s">
        <v>1597</v>
      </c>
      <c r="V742" s="1114">
        <v>114.4</v>
      </c>
      <c r="W742" s="1096" t="s">
        <v>1597</v>
      </c>
      <c r="X742" s="1114">
        <v>127.7</v>
      </c>
      <c r="Y742" s="1096" t="s">
        <v>1597</v>
      </c>
      <c r="Z742" s="1114">
        <v>172.1</v>
      </c>
      <c r="AA742" s="1096"/>
      <c r="AB742" s="1096"/>
      <c r="AC742" s="1096"/>
      <c r="AD742" s="1096"/>
      <c r="AE742" s="1096"/>
      <c r="AF742" s="1096"/>
      <c r="AG742" s="1096"/>
      <c r="AH742" s="1096"/>
      <c r="AI742" s="1096"/>
      <c r="AJ742" s="1096"/>
      <c r="AK742" s="1096"/>
      <c r="AL742" s="1096"/>
      <c r="AM742" s="1096"/>
      <c r="AN742" s="1096"/>
      <c r="AO742" s="1096"/>
      <c r="AP742" s="1096"/>
      <c r="AQ742" s="1096"/>
      <c r="AR742" s="1096"/>
      <c r="AS742" s="1096"/>
      <c r="AT742" s="1096"/>
      <c r="AU742" s="1096"/>
      <c r="AV742" s="1096"/>
      <c r="AW742" s="1096"/>
      <c r="AX742" s="1096"/>
      <c r="AY742" s="1096"/>
    </row>
    <row r="743" spans="1:51" x14ac:dyDescent="0.45">
      <c r="A743" s="1096">
        <v>2000</v>
      </c>
      <c r="B743" s="1096" t="s">
        <v>1383</v>
      </c>
      <c r="C743" s="1113">
        <f>[7]LRAll!C734</f>
        <v>172.2</v>
      </c>
      <c r="D743" s="1113">
        <f>[7]LRAll!I734</f>
        <v>123.9</v>
      </c>
      <c r="E743" s="1096"/>
      <c r="F743" s="1114">
        <f t="shared" si="28"/>
        <v>71.951219512195124</v>
      </c>
      <c r="G743" s="1112">
        <f t="shared" si="24"/>
        <v>81.01045296167247</v>
      </c>
      <c r="H743" s="1112">
        <f t="shared" si="25"/>
        <v>101.10336817653891</v>
      </c>
      <c r="I743" s="1112">
        <f t="shared" si="26"/>
        <v>66.492450638792107</v>
      </c>
      <c r="J743" s="1112">
        <f t="shared" si="27"/>
        <v>74.157955865272939</v>
      </c>
      <c r="K743" s="1096"/>
      <c r="L743" s="1096"/>
      <c r="M743" s="1096"/>
      <c r="N743" s="1096"/>
      <c r="O743" s="1096"/>
      <c r="P743" s="1114">
        <v>123.9</v>
      </c>
      <c r="Q743" s="1096" t="s">
        <v>1598</v>
      </c>
      <c r="R743" s="1114">
        <v>139.5</v>
      </c>
      <c r="S743" s="1096" t="s">
        <v>1598</v>
      </c>
      <c r="T743" s="1114">
        <v>174.1</v>
      </c>
      <c r="U743" s="1096" t="s">
        <v>1598</v>
      </c>
      <c r="V743" s="1114">
        <v>114.5</v>
      </c>
      <c r="W743" s="1096" t="s">
        <v>1598</v>
      </c>
      <c r="X743" s="1114">
        <v>127.7</v>
      </c>
      <c r="Y743" s="1096" t="s">
        <v>1598</v>
      </c>
      <c r="Z743" s="1114">
        <v>172.2</v>
      </c>
      <c r="AA743" s="1096"/>
      <c r="AB743" s="1096"/>
      <c r="AC743" s="1096"/>
      <c r="AD743" s="1096"/>
      <c r="AE743" s="1096"/>
      <c r="AF743" s="1096"/>
      <c r="AG743" s="1096"/>
      <c r="AH743" s="1096"/>
      <c r="AI743" s="1096"/>
      <c r="AJ743" s="1096"/>
      <c r="AK743" s="1096"/>
      <c r="AL743" s="1096"/>
      <c r="AM743" s="1096"/>
      <c r="AN743" s="1096"/>
      <c r="AO743" s="1096"/>
      <c r="AP743" s="1096"/>
      <c r="AQ743" s="1096"/>
      <c r="AR743" s="1096"/>
      <c r="AS743" s="1096"/>
      <c r="AT743" s="1096"/>
      <c r="AU743" s="1096"/>
      <c r="AV743" s="1096"/>
      <c r="AW743" s="1096"/>
      <c r="AX743" s="1096"/>
      <c r="AY743" s="1096"/>
    </row>
    <row r="744" spans="1:51" x14ac:dyDescent="0.45">
      <c r="A744" s="1096">
        <v>2001</v>
      </c>
      <c r="B744" s="1096" t="s">
        <v>1385</v>
      </c>
      <c r="C744" s="1113">
        <f>[7]LRAll!C735</f>
        <v>171.1</v>
      </c>
      <c r="D744" s="1113">
        <f>[7]LRAll!I735</f>
        <v>123.1</v>
      </c>
      <c r="E744" s="1096"/>
      <c r="F744" s="1114">
        <f t="shared" si="28"/>
        <v>71.946230274693164</v>
      </c>
      <c r="G744" s="1112">
        <f t="shared" si="24"/>
        <v>81.589713617767387</v>
      </c>
      <c r="H744" s="1112">
        <f t="shared" si="25"/>
        <v>93.220338983050851</v>
      </c>
      <c r="I744" s="1112">
        <f t="shared" si="26"/>
        <v>66.919929865575682</v>
      </c>
      <c r="J744" s="1112">
        <f t="shared" si="27"/>
        <v>74.634716540035072</v>
      </c>
      <c r="K744" s="1096"/>
      <c r="L744" s="1096"/>
      <c r="M744" s="1096"/>
      <c r="N744" s="1096"/>
      <c r="O744" s="1096"/>
      <c r="P744" s="1114">
        <v>123.1</v>
      </c>
      <c r="Q744" s="1096" t="s">
        <v>1599</v>
      </c>
      <c r="R744" s="1114">
        <v>139.6</v>
      </c>
      <c r="S744" s="1096" t="s">
        <v>1599</v>
      </c>
      <c r="T744" s="1114">
        <v>159.5</v>
      </c>
      <c r="U744" s="1096" t="s">
        <v>1599</v>
      </c>
      <c r="V744" s="1114">
        <v>114.5</v>
      </c>
      <c r="W744" s="1096" t="s">
        <v>1599</v>
      </c>
      <c r="X744" s="1114">
        <v>127.7</v>
      </c>
      <c r="Y744" s="1096" t="s">
        <v>1599</v>
      </c>
      <c r="Z744" s="1114">
        <v>171.1</v>
      </c>
      <c r="AA744" s="1096"/>
      <c r="AB744" s="1096"/>
      <c r="AC744" s="1096"/>
      <c r="AD744" s="1096"/>
      <c r="AE744" s="1096"/>
      <c r="AF744" s="1096"/>
      <c r="AG744" s="1096"/>
      <c r="AH744" s="1096"/>
      <c r="AI744" s="1096"/>
      <c r="AJ744" s="1096"/>
      <c r="AK744" s="1096"/>
      <c r="AL744" s="1096"/>
      <c r="AM744" s="1096"/>
      <c r="AN744" s="1096"/>
      <c r="AO744" s="1096"/>
      <c r="AP744" s="1096"/>
      <c r="AQ744" s="1096"/>
      <c r="AR744" s="1096"/>
      <c r="AS744" s="1096"/>
      <c r="AT744" s="1096"/>
      <c r="AU744" s="1096"/>
      <c r="AV744" s="1096"/>
      <c r="AW744" s="1096"/>
      <c r="AX744" s="1096"/>
      <c r="AY744" s="1096"/>
    </row>
    <row r="745" spans="1:51" x14ac:dyDescent="0.45">
      <c r="A745" s="1096">
        <v>2001</v>
      </c>
      <c r="B745" s="1096" t="s">
        <v>1387</v>
      </c>
      <c r="C745" s="1113">
        <f>[7]LRAll!C736</f>
        <v>172</v>
      </c>
      <c r="D745" s="1113">
        <f>[7]LRAll!I736</f>
        <v>123.2</v>
      </c>
      <c r="E745" s="1096"/>
      <c r="F745" s="1114">
        <f t="shared" si="28"/>
        <v>71.627906976744185</v>
      </c>
      <c r="G745" s="1112">
        <f t="shared" si="24"/>
        <v>81.04651162790698</v>
      </c>
      <c r="H745" s="1112">
        <f t="shared" si="25"/>
        <v>93.720930232558132</v>
      </c>
      <c r="I745" s="1112">
        <f t="shared" si="26"/>
        <v>66.686046511627907</v>
      </c>
      <c r="J745" s="1112">
        <f t="shared" si="27"/>
        <v>74.244186046511629</v>
      </c>
      <c r="K745" s="1096"/>
      <c r="L745" s="1096"/>
      <c r="M745" s="1096"/>
      <c r="N745" s="1096"/>
      <c r="O745" s="1096"/>
      <c r="P745" s="1114">
        <v>123.2</v>
      </c>
      <c r="Q745" s="1096" t="s">
        <v>1600</v>
      </c>
      <c r="R745" s="1114">
        <v>139.4</v>
      </c>
      <c r="S745" s="1096" t="s">
        <v>1600</v>
      </c>
      <c r="T745" s="1114">
        <v>161.19999999999999</v>
      </c>
      <c r="U745" s="1096" t="s">
        <v>1600</v>
      </c>
      <c r="V745" s="1114">
        <v>114.7</v>
      </c>
      <c r="W745" s="1096" t="s">
        <v>1600</v>
      </c>
      <c r="X745" s="1114">
        <v>127.7</v>
      </c>
      <c r="Y745" s="1096" t="s">
        <v>1600</v>
      </c>
      <c r="Z745" s="1114">
        <v>172</v>
      </c>
      <c r="AA745" s="1096"/>
      <c r="AB745" s="1096"/>
      <c r="AC745" s="1096"/>
      <c r="AD745" s="1096"/>
      <c r="AE745" s="1096"/>
      <c r="AF745" s="1096"/>
      <c r="AG745" s="1096"/>
      <c r="AH745" s="1096"/>
      <c r="AI745" s="1096"/>
      <c r="AJ745" s="1096"/>
      <c r="AK745" s="1096"/>
      <c r="AL745" s="1096"/>
      <c r="AM745" s="1096"/>
      <c r="AN745" s="1096"/>
      <c r="AO745" s="1096"/>
      <c r="AP745" s="1096"/>
      <c r="AQ745" s="1096"/>
      <c r="AR745" s="1096"/>
      <c r="AS745" s="1096"/>
      <c r="AT745" s="1096"/>
      <c r="AU745" s="1096"/>
      <c r="AV745" s="1096"/>
      <c r="AW745" s="1096"/>
      <c r="AX745" s="1096"/>
      <c r="AY745" s="1096"/>
    </row>
    <row r="746" spans="1:51" x14ac:dyDescent="0.45">
      <c r="A746" s="1096">
        <v>2001</v>
      </c>
      <c r="B746" s="1096" t="s">
        <v>1389</v>
      </c>
      <c r="C746" s="1113">
        <f>[7]LRAll!C737</f>
        <v>172.2</v>
      </c>
      <c r="D746" s="1113">
        <f>[7]LRAll!I737</f>
        <v>123.2</v>
      </c>
      <c r="E746" s="1096"/>
      <c r="F746" s="1114">
        <f t="shared" si="28"/>
        <v>71.544715447154488</v>
      </c>
      <c r="G746" s="1112">
        <f t="shared" si="24"/>
        <v>80.952380952380963</v>
      </c>
      <c r="H746" s="1112">
        <f t="shared" si="25"/>
        <v>91.463414634146346</v>
      </c>
      <c r="I746" s="1112">
        <f t="shared" si="26"/>
        <v>66.724738675958193</v>
      </c>
      <c r="J746" s="1112">
        <f t="shared" si="27"/>
        <v>74.157955865272939</v>
      </c>
      <c r="K746" s="1096"/>
      <c r="L746" s="1096"/>
      <c r="M746" s="1096"/>
      <c r="N746" s="1096"/>
      <c r="O746" s="1096"/>
      <c r="P746" s="1114">
        <v>123.2</v>
      </c>
      <c r="Q746" s="1096" t="s">
        <v>1601</v>
      </c>
      <c r="R746" s="1114">
        <v>139.4</v>
      </c>
      <c r="S746" s="1096" t="s">
        <v>1601</v>
      </c>
      <c r="T746" s="1114">
        <v>157.5</v>
      </c>
      <c r="U746" s="1096" t="s">
        <v>1601</v>
      </c>
      <c r="V746" s="1114">
        <v>114.9</v>
      </c>
      <c r="W746" s="1096" t="s">
        <v>1601</v>
      </c>
      <c r="X746" s="1114">
        <v>127.7</v>
      </c>
      <c r="Y746" s="1096" t="s">
        <v>1601</v>
      </c>
      <c r="Z746" s="1114">
        <v>172.2</v>
      </c>
      <c r="AA746" s="1096"/>
      <c r="AB746" s="1096"/>
      <c r="AC746" s="1096"/>
      <c r="AD746" s="1096"/>
      <c r="AE746" s="1096"/>
      <c r="AF746" s="1096"/>
      <c r="AG746" s="1096"/>
      <c r="AH746" s="1096"/>
      <c r="AI746" s="1096"/>
      <c r="AJ746" s="1096"/>
      <c r="AK746" s="1096"/>
      <c r="AL746" s="1096"/>
      <c r="AM746" s="1096"/>
      <c r="AN746" s="1096"/>
      <c r="AO746" s="1096"/>
      <c r="AP746" s="1096"/>
      <c r="AQ746" s="1096"/>
      <c r="AR746" s="1096"/>
      <c r="AS746" s="1096"/>
      <c r="AT746" s="1096"/>
      <c r="AU746" s="1096"/>
      <c r="AV746" s="1096"/>
      <c r="AW746" s="1096"/>
      <c r="AX746" s="1096"/>
      <c r="AY746" s="1096"/>
    </row>
    <row r="747" spans="1:51" x14ac:dyDescent="0.45">
      <c r="A747" s="1096">
        <v>2001</v>
      </c>
      <c r="B747" s="1096" t="s">
        <v>1391</v>
      </c>
      <c r="C747" s="1113">
        <f>[7]LRAll!C738</f>
        <v>173.1</v>
      </c>
      <c r="D747" s="1113">
        <f>[7]LRAll!I738</f>
        <v>125.1</v>
      </c>
      <c r="E747" s="1096"/>
      <c r="F747" s="1114">
        <f t="shared" si="28"/>
        <v>72.270363951473144</v>
      </c>
      <c r="G747" s="1112">
        <f t="shared" si="24"/>
        <v>80.589254766031189</v>
      </c>
      <c r="H747" s="1112">
        <f t="shared" si="25"/>
        <v>88.908145580589263</v>
      </c>
      <c r="I747" s="1112">
        <f t="shared" si="26"/>
        <v>68.977469670710576</v>
      </c>
      <c r="J747" s="1112">
        <f t="shared" si="27"/>
        <v>73.772385904101682</v>
      </c>
      <c r="K747" s="1096"/>
      <c r="L747" s="1096"/>
      <c r="M747" s="1096"/>
      <c r="N747" s="1096"/>
      <c r="O747" s="1096"/>
      <c r="P747" s="1114">
        <v>125.1</v>
      </c>
      <c r="Q747" s="1096" t="s">
        <v>1602</v>
      </c>
      <c r="R747" s="1114">
        <v>139.5</v>
      </c>
      <c r="S747" s="1096" t="s">
        <v>1602</v>
      </c>
      <c r="T747" s="1114">
        <v>153.9</v>
      </c>
      <c r="U747" s="1096" t="s">
        <v>1602</v>
      </c>
      <c r="V747" s="1114">
        <v>119.4</v>
      </c>
      <c r="W747" s="1096" t="s">
        <v>1602</v>
      </c>
      <c r="X747" s="1114">
        <v>127.7</v>
      </c>
      <c r="Y747" s="1096" t="s">
        <v>1602</v>
      </c>
      <c r="Z747" s="1114">
        <v>173.1</v>
      </c>
      <c r="AA747" s="1096"/>
      <c r="AB747" s="1096"/>
      <c r="AC747" s="1096"/>
      <c r="AD747" s="1096"/>
      <c r="AE747" s="1096"/>
      <c r="AF747" s="1096"/>
      <c r="AG747" s="1096"/>
      <c r="AH747" s="1096"/>
      <c r="AI747" s="1096"/>
      <c r="AJ747" s="1096"/>
      <c r="AK747" s="1096"/>
      <c r="AL747" s="1096"/>
      <c r="AM747" s="1096"/>
      <c r="AN747" s="1096"/>
      <c r="AO747" s="1096"/>
      <c r="AP747" s="1096"/>
      <c r="AQ747" s="1096"/>
      <c r="AR747" s="1096"/>
      <c r="AS747" s="1096"/>
      <c r="AT747" s="1096"/>
      <c r="AU747" s="1096"/>
      <c r="AV747" s="1096"/>
      <c r="AW747" s="1096"/>
      <c r="AX747" s="1096"/>
      <c r="AY747" s="1096"/>
    </row>
    <row r="748" spans="1:51" x14ac:dyDescent="0.45">
      <c r="A748" s="1096">
        <v>2001</v>
      </c>
      <c r="B748" s="1096" t="s">
        <v>1393</v>
      </c>
      <c r="C748" s="1113">
        <f>[7]LRAll!C739</f>
        <v>174.2</v>
      </c>
      <c r="D748" s="1113">
        <f>[7]LRAll!I739</f>
        <v>125.4</v>
      </c>
      <c r="E748" s="1096"/>
      <c r="F748" s="1114">
        <f t="shared" si="28"/>
        <v>71.986222732491399</v>
      </c>
      <c r="G748" s="1112">
        <f t="shared" si="24"/>
        <v>78.989667049368535</v>
      </c>
      <c r="H748" s="1112">
        <f t="shared" si="25"/>
        <v>91.216991963260625</v>
      </c>
      <c r="I748" s="1112">
        <f t="shared" si="26"/>
        <v>68.714121699196326</v>
      </c>
      <c r="J748" s="1112">
        <f t="shared" si="27"/>
        <v>73.421354764638352</v>
      </c>
      <c r="K748" s="1096"/>
      <c r="L748" s="1096"/>
      <c r="M748" s="1096"/>
      <c r="N748" s="1096"/>
      <c r="O748" s="1096"/>
      <c r="P748" s="1114">
        <v>125.4</v>
      </c>
      <c r="Q748" s="1096" t="s">
        <v>1603</v>
      </c>
      <c r="R748" s="1114">
        <v>137.6</v>
      </c>
      <c r="S748" s="1096" t="s">
        <v>1603</v>
      </c>
      <c r="T748" s="1114">
        <v>158.9</v>
      </c>
      <c r="U748" s="1096" t="s">
        <v>1603</v>
      </c>
      <c r="V748" s="1114">
        <v>119.7</v>
      </c>
      <c r="W748" s="1096" t="s">
        <v>1603</v>
      </c>
      <c r="X748" s="1114">
        <v>127.9</v>
      </c>
      <c r="Y748" s="1096" t="s">
        <v>1603</v>
      </c>
      <c r="Z748" s="1114">
        <v>174.2</v>
      </c>
      <c r="AA748" s="1096"/>
      <c r="AB748" s="1096"/>
      <c r="AC748" s="1096"/>
      <c r="AD748" s="1096"/>
      <c r="AE748" s="1096"/>
      <c r="AF748" s="1096"/>
      <c r="AG748" s="1096"/>
      <c r="AH748" s="1096"/>
      <c r="AI748" s="1096"/>
      <c r="AJ748" s="1096"/>
      <c r="AK748" s="1096"/>
      <c r="AL748" s="1096"/>
      <c r="AM748" s="1096"/>
      <c r="AN748" s="1096"/>
      <c r="AO748" s="1096"/>
      <c r="AP748" s="1096"/>
      <c r="AQ748" s="1096"/>
      <c r="AR748" s="1096"/>
      <c r="AS748" s="1096"/>
      <c r="AT748" s="1096"/>
      <c r="AU748" s="1096"/>
      <c r="AV748" s="1096"/>
      <c r="AW748" s="1096"/>
      <c r="AX748" s="1096"/>
      <c r="AY748" s="1096"/>
    </row>
    <row r="749" spans="1:51" x14ac:dyDescent="0.45">
      <c r="A749" s="1096">
        <v>2001</v>
      </c>
      <c r="B749" s="1096" t="s">
        <v>1371</v>
      </c>
      <c r="C749" s="1113">
        <f>[7]LRAll!C740</f>
        <v>174.4</v>
      </c>
      <c r="D749" s="1113">
        <f>[7]LRAll!I740</f>
        <v>125.4</v>
      </c>
      <c r="E749" s="1096"/>
      <c r="F749" s="1114">
        <f t="shared" si="28"/>
        <v>71.903669724770651</v>
      </c>
      <c r="G749" s="1112">
        <f t="shared" si="24"/>
        <v>78.612385321100902</v>
      </c>
      <c r="H749" s="1112">
        <f t="shared" si="25"/>
        <v>91.227064220183479</v>
      </c>
      <c r="I749" s="1112">
        <f t="shared" si="26"/>
        <v>68.635321100917437</v>
      </c>
      <c r="J749" s="1112">
        <f t="shared" si="27"/>
        <v>73.394495412844023</v>
      </c>
      <c r="K749" s="1096"/>
      <c r="L749" s="1096"/>
      <c r="M749" s="1096"/>
      <c r="N749" s="1096"/>
      <c r="O749" s="1096"/>
      <c r="P749" s="1114">
        <v>125.4</v>
      </c>
      <c r="Q749" s="1096" t="s">
        <v>1604</v>
      </c>
      <c r="R749" s="1114">
        <v>137.1</v>
      </c>
      <c r="S749" s="1096" t="s">
        <v>1604</v>
      </c>
      <c r="T749" s="1114">
        <v>159.1</v>
      </c>
      <c r="U749" s="1096" t="s">
        <v>1604</v>
      </c>
      <c r="V749" s="1114">
        <v>119.7</v>
      </c>
      <c r="W749" s="1096" t="s">
        <v>1604</v>
      </c>
      <c r="X749" s="1114">
        <v>128</v>
      </c>
      <c r="Y749" s="1096" t="s">
        <v>1604</v>
      </c>
      <c r="Z749" s="1114">
        <v>174.4</v>
      </c>
      <c r="AA749" s="1096"/>
      <c r="AB749" s="1096"/>
      <c r="AC749" s="1096"/>
      <c r="AD749" s="1096"/>
      <c r="AE749" s="1096"/>
      <c r="AF749" s="1096"/>
      <c r="AG749" s="1096"/>
      <c r="AH749" s="1096"/>
      <c r="AI749" s="1096"/>
      <c r="AJ749" s="1096"/>
      <c r="AK749" s="1096"/>
      <c r="AL749" s="1096"/>
      <c r="AM749" s="1096"/>
      <c r="AN749" s="1096"/>
      <c r="AO749" s="1096"/>
      <c r="AP749" s="1096"/>
      <c r="AQ749" s="1096"/>
      <c r="AR749" s="1096"/>
      <c r="AS749" s="1096"/>
      <c r="AT749" s="1096"/>
      <c r="AU749" s="1096"/>
      <c r="AV749" s="1096"/>
      <c r="AW749" s="1096"/>
      <c r="AX749" s="1096"/>
      <c r="AY749" s="1096"/>
    </row>
    <row r="750" spans="1:51" x14ac:dyDescent="0.45">
      <c r="A750" s="1096">
        <v>2001</v>
      </c>
      <c r="B750" s="1096" t="s">
        <v>1373</v>
      </c>
      <c r="C750" s="1113">
        <f>[7]LRAll!C741</f>
        <v>173.3</v>
      </c>
      <c r="D750" s="1113">
        <f>[7]LRAll!I741</f>
        <v>125.4</v>
      </c>
      <c r="E750" s="1096"/>
      <c r="F750" s="1114">
        <f t="shared" si="28"/>
        <v>72.360069244085395</v>
      </c>
      <c r="G750" s="1112">
        <f t="shared" si="24"/>
        <v>78.765147143681475</v>
      </c>
      <c r="H750" s="1112">
        <f t="shared" si="25"/>
        <v>88.978649740334674</v>
      </c>
      <c r="I750" s="1112">
        <f t="shared" si="26"/>
        <v>69.070975187536064</v>
      </c>
      <c r="J750" s="1112">
        <f t="shared" si="27"/>
        <v>73.918061165608762</v>
      </c>
      <c r="K750" s="1096"/>
      <c r="L750" s="1096"/>
      <c r="M750" s="1096"/>
      <c r="N750" s="1096"/>
      <c r="O750" s="1096"/>
      <c r="P750" s="1114">
        <v>125.4</v>
      </c>
      <c r="Q750" s="1096" t="s">
        <v>1605</v>
      </c>
      <c r="R750" s="1114">
        <v>136.5</v>
      </c>
      <c r="S750" s="1096" t="s">
        <v>1605</v>
      </c>
      <c r="T750" s="1114">
        <v>154.19999999999999</v>
      </c>
      <c r="U750" s="1096" t="s">
        <v>1605</v>
      </c>
      <c r="V750" s="1114">
        <v>119.7</v>
      </c>
      <c r="W750" s="1096" t="s">
        <v>1605</v>
      </c>
      <c r="X750" s="1114">
        <v>128.1</v>
      </c>
      <c r="Y750" s="1096" t="s">
        <v>1605</v>
      </c>
      <c r="Z750" s="1114">
        <v>173.3</v>
      </c>
      <c r="AA750" s="1096"/>
      <c r="AB750" s="1096"/>
      <c r="AC750" s="1096"/>
      <c r="AD750" s="1096"/>
      <c r="AE750" s="1096"/>
      <c r="AF750" s="1096"/>
      <c r="AG750" s="1096"/>
      <c r="AH750" s="1096"/>
      <c r="AI750" s="1096"/>
      <c r="AJ750" s="1096"/>
      <c r="AK750" s="1096"/>
      <c r="AL750" s="1096"/>
      <c r="AM750" s="1096"/>
      <c r="AN750" s="1096"/>
      <c r="AO750" s="1096"/>
      <c r="AP750" s="1096"/>
      <c r="AQ750" s="1096"/>
      <c r="AR750" s="1096"/>
      <c r="AS750" s="1096"/>
      <c r="AT750" s="1096"/>
      <c r="AU750" s="1096"/>
      <c r="AV750" s="1096"/>
      <c r="AW750" s="1096"/>
      <c r="AX750" s="1096"/>
      <c r="AY750" s="1096"/>
    </row>
    <row r="751" spans="1:51" x14ac:dyDescent="0.45">
      <c r="A751" s="1096">
        <v>2001</v>
      </c>
      <c r="B751" s="1096" t="s">
        <v>1375</v>
      </c>
      <c r="C751" s="1113">
        <f>[7]LRAll!C742</f>
        <v>174</v>
      </c>
      <c r="D751" s="1113">
        <f>[7]LRAll!I742</f>
        <v>125.3</v>
      </c>
      <c r="E751" s="1096"/>
      <c r="F751" s="1114">
        <f t="shared" si="28"/>
        <v>72.011494252873561</v>
      </c>
      <c r="G751" s="1112">
        <f t="shared" si="24"/>
        <v>78.563218390804593</v>
      </c>
      <c r="H751" s="1112">
        <f t="shared" si="25"/>
        <v>86.781609195402297</v>
      </c>
      <c r="I751" s="1112">
        <f t="shared" si="26"/>
        <v>68.793103448275858</v>
      </c>
      <c r="J751" s="1112">
        <f t="shared" si="27"/>
        <v>73.678160919540232</v>
      </c>
      <c r="K751" s="1096"/>
      <c r="L751" s="1096"/>
      <c r="M751" s="1096"/>
      <c r="N751" s="1096"/>
      <c r="O751" s="1096"/>
      <c r="P751" s="1114">
        <v>125.3</v>
      </c>
      <c r="Q751" s="1096" t="s">
        <v>1606</v>
      </c>
      <c r="R751" s="1114">
        <v>136.69999999999999</v>
      </c>
      <c r="S751" s="1096" t="s">
        <v>1606</v>
      </c>
      <c r="T751" s="1114">
        <v>151</v>
      </c>
      <c r="U751" s="1096" t="s">
        <v>1606</v>
      </c>
      <c r="V751" s="1114">
        <v>119.7</v>
      </c>
      <c r="W751" s="1096" t="s">
        <v>1606</v>
      </c>
      <c r="X751" s="1114">
        <v>128.19999999999999</v>
      </c>
      <c r="Y751" s="1096" t="s">
        <v>1606</v>
      </c>
      <c r="Z751" s="1114">
        <v>174</v>
      </c>
      <c r="AA751" s="1096"/>
      <c r="AB751" s="1096"/>
      <c r="AC751" s="1096"/>
      <c r="AD751" s="1096"/>
      <c r="AE751" s="1096"/>
      <c r="AF751" s="1096"/>
      <c r="AG751" s="1096"/>
      <c r="AH751" s="1096"/>
      <c r="AI751" s="1096"/>
      <c r="AJ751" s="1096"/>
      <c r="AK751" s="1096"/>
      <c r="AL751" s="1096"/>
      <c r="AM751" s="1096"/>
      <c r="AN751" s="1096"/>
      <c r="AO751" s="1096"/>
      <c r="AP751" s="1096"/>
      <c r="AQ751" s="1096"/>
      <c r="AR751" s="1096"/>
      <c r="AS751" s="1096"/>
      <c r="AT751" s="1096"/>
      <c r="AU751" s="1096"/>
      <c r="AV751" s="1096"/>
      <c r="AW751" s="1096"/>
      <c r="AX751" s="1096"/>
      <c r="AY751" s="1096"/>
    </row>
    <row r="752" spans="1:51" x14ac:dyDescent="0.45">
      <c r="A752" s="1096">
        <v>2001</v>
      </c>
      <c r="B752" s="1096" t="s">
        <v>1377</v>
      </c>
      <c r="C752" s="1113">
        <f>[7]LRAll!C743</f>
        <v>174.6</v>
      </c>
      <c r="D752" s="1113">
        <f>[7]LRAll!I743</f>
        <v>126.1</v>
      </c>
      <c r="E752" s="1096"/>
      <c r="F752" s="1114">
        <f t="shared" si="28"/>
        <v>72.222222222222214</v>
      </c>
      <c r="G752" s="1112">
        <f t="shared" si="24"/>
        <v>82.302405498281786</v>
      </c>
      <c r="H752" s="1112">
        <f t="shared" si="25"/>
        <v>97.995418098510882</v>
      </c>
      <c r="I752" s="1112">
        <f t="shared" si="26"/>
        <v>68.55670103092784</v>
      </c>
      <c r="J752" s="1112">
        <f t="shared" si="27"/>
        <v>73.48224513172967</v>
      </c>
      <c r="K752" s="1096"/>
      <c r="L752" s="1096"/>
      <c r="M752" s="1096"/>
      <c r="N752" s="1096"/>
      <c r="O752" s="1096"/>
      <c r="P752" s="1114">
        <v>126.1</v>
      </c>
      <c r="Q752" s="1096" t="s">
        <v>1607</v>
      </c>
      <c r="R752" s="1114">
        <v>143.69999999999999</v>
      </c>
      <c r="S752" s="1096" t="s">
        <v>1607</v>
      </c>
      <c r="T752" s="1114">
        <v>171.1</v>
      </c>
      <c r="U752" s="1096" t="s">
        <v>1607</v>
      </c>
      <c r="V752" s="1114">
        <v>119.7</v>
      </c>
      <c r="W752" s="1096" t="s">
        <v>1607</v>
      </c>
      <c r="X752" s="1114">
        <v>128.30000000000001</v>
      </c>
      <c r="Y752" s="1096" t="s">
        <v>1607</v>
      </c>
      <c r="Z752" s="1114">
        <v>174.6</v>
      </c>
      <c r="AA752" s="1096"/>
      <c r="AB752" s="1096"/>
      <c r="AC752" s="1096"/>
      <c r="AD752" s="1096"/>
      <c r="AE752" s="1096"/>
      <c r="AF752" s="1096"/>
      <c r="AG752" s="1096"/>
      <c r="AH752" s="1096"/>
      <c r="AI752" s="1096"/>
      <c r="AJ752" s="1096"/>
      <c r="AK752" s="1096"/>
      <c r="AL752" s="1096"/>
      <c r="AM752" s="1096"/>
      <c r="AN752" s="1096"/>
      <c r="AO752" s="1096"/>
      <c r="AP752" s="1096"/>
      <c r="AQ752" s="1096"/>
      <c r="AR752" s="1096"/>
      <c r="AS752" s="1096"/>
      <c r="AT752" s="1096"/>
      <c r="AU752" s="1096"/>
      <c r="AV752" s="1096"/>
      <c r="AW752" s="1096"/>
      <c r="AX752" s="1096"/>
      <c r="AY752" s="1096"/>
    </row>
    <row r="753" spans="1:51" x14ac:dyDescent="0.45">
      <c r="A753" s="1096">
        <v>2001</v>
      </c>
      <c r="B753" s="1096" t="s">
        <v>1379</v>
      </c>
      <c r="C753" s="1113">
        <f>[7]LRAll!C744</f>
        <v>174.3</v>
      </c>
      <c r="D753" s="1113">
        <f>[7]LRAll!I744</f>
        <v>125.7</v>
      </c>
      <c r="E753" s="1096"/>
      <c r="F753" s="1114">
        <f t="shared" si="28"/>
        <v>72.117039586919105</v>
      </c>
      <c r="G753" s="1112">
        <f t="shared" si="24"/>
        <v>84.452094090648302</v>
      </c>
      <c r="H753" s="1112">
        <f t="shared" si="25"/>
        <v>85.599541021227751</v>
      </c>
      <c r="I753" s="1112">
        <f t="shared" si="26"/>
        <v>68.674698795180717</v>
      </c>
      <c r="J753" s="1112">
        <f t="shared" si="27"/>
        <v>73.666092943201377</v>
      </c>
      <c r="K753" s="1096"/>
      <c r="L753" s="1096"/>
      <c r="M753" s="1096"/>
      <c r="N753" s="1096"/>
      <c r="O753" s="1096"/>
      <c r="P753" s="1114">
        <v>125.7</v>
      </c>
      <c r="Q753" s="1096" t="s">
        <v>1608</v>
      </c>
      <c r="R753" s="1114">
        <v>147.19999999999999</v>
      </c>
      <c r="S753" s="1096" t="s">
        <v>1608</v>
      </c>
      <c r="T753" s="1114">
        <v>149.19999999999999</v>
      </c>
      <c r="U753" s="1096" t="s">
        <v>1608</v>
      </c>
      <c r="V753" s="1114">
        <v>119.7</v>
      </c>
      <c r="W753" s="1096" t="s">
        <v>1608</v>
      </c>
      <c r="X753" s="1114">
        <v>128.4</v>
      </c>
      <c r="Y753" s="1096" t="s">
        <v>1608</v>
      </c>
      <c r="Z753" s="1114">
        <v>174.3</v>
      </c>
      <c r="AA753" s="1096"/>
      <c r="AB753" s="1096"/>
      <c r="AC753" s="1096"/>
      <c r="AD753" s="1096"/>
      <c r="AE753" s="1096"/>
      <c r="AF753" s="1096"/>
      <c r="AG753" s="1096"/>
      <c r="AH753" s="1096"/>
      <c r="AI753" s="1096"/>
      <c r="AJ753" s="1096"/>
      <c r="AK753" s="1096"/>
      <c r="AL753" s="1096"/>
      <c r="AM753" s="1096"/>
      <c r="AN753" s="1096"/>
      <c r="AO753" s="1096"/>
      <c r="AP753" s="1096"/>
      <c r="AQ753" s="1096"/>
      <c r="AR753" s="1096"/>
      <c r="AS753" s="1096"/>
      <c r="AT753" s="1096"/>
      <c r="AU753" s="1096"/>
      <c r="AV753" s="1096"/>
      <c r="AW753" s="1096"/>
      <c r="AX753" s="1096"/>
      <c r="AY753" s="1096"/>
    </row>
    <row r="754" spans="1:51" x14ac:dyDescent="0.45">
      <c r="A754" s="1096">
        <v>2001</v>
      </c>
      <c r="B754" s="1096" t="s">
        <v>1381</v>
      </c>
      <c r="C754" s="1113">
        <f>[7]LRAll!C745</f>
        <v>173.6</v>
      </c>
      <c r="D754" s="1113">
        <f>[7]LRAll!I745</f>
        <v>125.5</v>
      </c>
      <c r="E754" s="1096"/>
      <c r="F754" s="1114">
        <f t="shared" si="28"/>
        <v>72.292626728110605</v>
      </c>
      <c r="G754" s="1112">
        <f t="shared" si="24"/>
        <v>85.195852534562221</v>
      </c>
      <c r="H754" s="1112">
        <f t="shared" si="25"/>
        <v>80.357142857142861</v>
      </c>
      <c r="I754" s="1112">
        <f t="shared" si="26"/>
        <v>68.951612903225808</v>
      </c>
      <c r="J754" s="1112">
        <f t="shared" si="27"/>
        <v>73.963133640552996</v>
      </c>
      <c r="K754" s="1096"/>
      <c r="L754" s="1096"/>
      <c r="M754" s="1096"/>
      <c r="N754" s="1096"/>
      <c r="O754" s="1096"/>
      <c r="P754" s="1114">
        <v>125.5</v>
      </c>
      <c r="Q754" s="1096" t="s">
        <v>1609</v>
      </c>
      <c r="R754" s="1114">
        <v>147.9</v>
      </c>
      <c r="S754" s="1096" t="s">
        <v>1609</v>
      </c>
      <c r="T754" s="1114">
        <v>139.5</v>
      </c>
      <c r="U754" s="1096" t="s">
        <v>1609</v>
      </c>
      <c r="V754" s="1114">
        <v>119.7</v>
      </c>
      <c r="W754" s="1096" t="s">
        <v>1609</v>
      </c>
      <c r="X754" s="1114">
        <v>128.4</v>
      </c>
      <c r="Y754" s="1096" t="s">
        <v>1609</v>
      </c>
      <c r="Z754" s="1114">
        <v>173.6</v>
      </c>
      <c r="AA754" s="1096"/>
      <c r="AB754" s="1096"/>
      <c r="AC754" s="1096"/>
      <c r="AD754" s="1096"/>
      <c r="AE754" s="1096"/>
      <c r="AF754" s="1096"/>
      <c r="AG754" s="1096"/>
      <c r="AH754" s="1096"/>
      <c r="AI754" s="1096"/>
      <c r="AJ754" s="1096"/>
      <c r="AK754" s="1096"/>
      <c r="AL754" s="1096"/>
      <c r="AM754" s="1096"/>
      <c r="AN754" s="1096"/>
      <c r="AO754" s="1096"/>
      <c r="AP754" s="1096"/>
      <c r="AQ754" s="1096"/>
      <c r="AR754" s="1096"/>
      <c r="AS754" s="1096"/>
      <c r="AT754" s="1096"/>
      <c r="AU754" s="1096"/>
      <c r="AV754" s="1096"/>
      <c r="AW754" s="1096"/>
      <c r="AX754" s="1096"/>
      <c r="AY754" s="1096"/>
    </row>
    <row r="755" spans="1:51" x14ac:dyDescent="0.45">
      <c r="A755" s="1096">
        <v>2001</v>
      </c>
      <c r="B755" s="1096" t="s">
        <v>1383</v>
      </c>
      <c r="C755" s="1113">
        <f>[7]LRAll!C746</f>
        <v>173.4</v>
      </c>
      <c r="D755" s="1113">
        <f>[7]LRAll!I746</f>
        <v>125.3</v>
      </c>
      <c r="E755" s="1096"/>
      <c r="F755" s="1114">
        <f t="shared" si="28"/>
        <v>72.260668973471738</v>
      </c>
      <c r="G755" s="1112">
        <f t="shared" si="24"/>
        <v>85.640138408304495</v>
      </c>
      <c r="H755" s="1112">
        <f t="shared" si="25"/>
        <v>77.104959630911168</v>
      </c>
      <c r="I755" s="1112">
        <f t="shared" si="26"/>
        <v>69.031141868512108</v>
      </c>
      <c r="J755" s="1112">
        <f t="shared" si="27"/>
        <v>74.048442906574394</v>
      </c>
      <c r="K755" s="1096"/>
      <c r="L755" s="1096"/>
      <c r="M755" s="1096"/>
      <c r="N755" s="1096"/>
      <c r="O755" s="1096"/>
      <c r="P755" s="1114">
        <v>125.3</v>
      </c>
      <c r="Q755" s="1096" t="s">
        <v>1610</v>
      </c>
      <c r="R755" s="1114">
        <v>148.5</v>
      </c>
      <c r="S755" s="1096" t="s">
        <v>1610</v>
      </c>
      <c r="T755" s="1114">
        <v>133.69999999999999</v>
      </c>
      <c r="U755" s="1096" t="s">
        <v>1610</v>
      </c>
      <c r="V755" s="1114">
        <v>119.7</v>
      </c>
      <c r="W755" s="1096" t="s">
        <v>1610</v>
      </c>
      <c r="X755" s="1114">
        <v>128.4</v>
      </c>
      <c r="Y755" s="1096" t="s">
        <v>1610</v>
      </c>
      <c r="Z755" s="1114">
        <v>173.4</v>
      </c>
      <c r="AA755" s="1096"/>
      <c r="AB755" s="1096"/>
      <c r="AC755" s="1096"/>
      <c r="AD755" s="1096"/>
      <c r="AE755" s="1096"/>
      <c r="AF755" s="1096"/>
      <c r="AG755" s="1096"/>
      <c r="AH755" s="1096"/>
      <c r="AI755" s="1096"/>
      <c r="AJ755" s="1096"/>
      <c r="AK755" s="1096"/>
      <c r="AL755" s="1096"/>
      <c r="AM755" s="1096"/>
      <c r="AN755" s="1096"/>
      <c r="AO755" s="1096"/>
      <c r="AP755" s="1096"/>
      <c r="AQ755" s="1096"/>
      <c r="AR755" s="1096"/>
      <c r="AS755" s="1096"/>
      <c r="AT755" s="1096"/>
      <c r="AU755" s="1096"/>
      <c r="AV755" s="1096"/>
      <c r="AW755" s="1096"/>
      <c r="AX755" s="1096"/>
      <c r="AY755" s="1096"/>
    </row>
    <row r="756" spans="1:51" x14ac:dyDescent="0.45">
      <c r="A756" s="1096">
        <v>2002</v>
      </c>
      <c r="B756" s="1096" t="s">
        <v>1385</v>
      </c>
      <c r="C756" s="1113">
        <f>[7]LRAll!C747</f>
        <v>173.3</v>
      </c>
      <c r="D756" s="1113">
        <f>[7]LRAll!I747</f>
        <v>127.8</v>
      </c>
      <c r="E756" s="1096"/>
      <c r="F756" s="1114">
        <f t="shared" si="28"/>
        <v>73.744950952106166</v>
      </c>
      <c r="G756" s="1112">
        <f t="shared" si="24"/>
        <v>85.574148874783617</v>
      </c>
      <c r="H756" s="1112">
        <f t="shared" si="25"/>
        <v>79.5729948066936</v>
      </c>
      <c r="I756" s="1112">
        <f t="shared" si="26"/>
        <v>72.186959030582798</v>
      </c>
      <c r="J756" s="1112">
        <f t="shared" si="27"/>
        <v>74.091171379111358</v>
      </c>
      <c r="K756" s="1096"/>
      <c r="L756" s="1096"/>
      <c r="M756" s="1096"/>
      <c r="N756" s="1096"/>
      <c r="O756" s="1096"/>
      <c r="P756" s="1114">
        <v>127.8</v>
      </c>
      <c r="Q756" s="1096" t="s">
        <v>1611</v>
      </c>
      <c r="R756" s="1114">
        <v>148.30000000000001</v>
      </c>
      <c r="S756" s="1096" t="s">
        <v>1611</v>
      </c>
      <c r="T756" s="1114">
        <v>137.9</v>
      </c>
      <c r="U756" s="1096" t="s">
        <v>1611</v>
      </c>
      <c r="V756" s="1114">
        <v>125.1</v>
      </c>
      <c r="W756" s="1096" t="s">
        <v>1611</v>
      </c>
      <c r="X756" s="1114">
        <v>128.4</v>
      </c>
      <c r="Y756" s="1096" t="s">
        <v>1611</v>
      </c>
      <c r="Z756" s="1114">
        <v>173.3</v>
      </c>
      <c r="AA756" s="1096"/>
      <c r="AB756" s="1096"/>
      <c r="AC756" s="1096"/>
      <c r="AD756" s="1096"/>
      <c r="AE756" s="1096"/>
      <c r="AF756" s="1096"/>
      <c r="AG756" s="1096"/>
      <c r="AH756" s="1096"/>
      <c r="AI756" s="1096"/>
      <c r="AJ756" s="1096"/>
      <c r="AK756" s="1096"/>
      <c r="AL756" s="1096"/>
      <c r="AM756" s="1096"/>
      <c r="AN756" s="1096"/>
      <c r="AO756" s="1096"/>
      <c r="AP756" s="1096"/>
      <c r="AQ756" s="1096"/>
      <c r="AR756" s="1096"/>
      <c r="AS756" s="1096"/>
      <c r="AT756" s="1096"/>
      <c r="AU756" s="1096"/>
      <c r="AV756" s="1096"/>
      <c r="AW756" s="1096"/>
      <c r="AX756" s="1096"/>
      <c r="AY756" s="1096"/>
    </row>
    <row r="757" spans="1:51" x14ac:dyDescent="0.45">
      <c r="A757" s="1096">
        <v>2002</v>
      </c>
      <c r="B757" s="1096" t="s">
        <v>1387</v>
      </c>
      <c r="C757" s="1113">
        <f>[7]LRAll!C748</f>
        <v>173.8</v>
      </c>
      <c r="D757" s="1113">
        <f>[7]LRAll!I748</f>
        <v>127.7</v>
      </c>
      <c r="E757" s="1096"/>
      <c r="F757" s="1114">
        <f t="shared" si="28"/>
        <v>73.475258918296888</v>
      </c>
      <c r="G757" s="1112">
        <f t="shared" si="24"/>
        <v>85.443037974683534</v>
      </c>
      <c r="H757" s="1112">
        <f t="shared" si="25"/>
        <v>77.330264672036819</v>
      </c>
      <c r="I757" s="1112">
        <f t="shared" si="26"/>
        <v>72.094361334867656</v>
      </c>
      <c r="J757" s="1112">
        <f t="shared" si="27"/>
        <v>73.878020713463755</v>
      </c>
      <c r="K757" s="1096"/>
      <c r="L757" s="1096"/>
      <c r="M757" s="1096"/>
      <c r="N757" s="1096"/>
      <c r="O757" s="1096"/>
      <c r="P757" s="1114">
        <v>127.7</v>
      </c>
      <c r="Q757" s="1096" t="s">
        <v>1612</v>
      </c>
      <c r="R757" s="1114">
        <v>148.5</v>
      </c>
      <c r="S757" s="1096" t="s">
        <v>1612</v>
      </c>
      <c r="T757" s="1114">
        <v>134.4</v>
      </c>
      <c r="U757" s="1096" t="s">
        <v>1612</v>
      </c>
      <c r="V757" s="1114">
        <v>125.3</v>
      </c>
      <c r="W757" s="1096" t="s">
        <v>1612</v>
      </c>
      <c r="X757" s="1114">
        <v>128.4</v>
      </c>
      <c r="Y757" s="1096" t="s">
        <v>1612</v>
      </c>
      <c r="Z757" s="1114">
        <v>173.8</v>
      </c>
      <c r="AA757" s="1096"/>
      <c r="AB757" s="1096"/>
      <c r="AC757" s="1096"/>
      <c r="AD757" s="1096"/>
      <c r="AE757" s="1096"/>
      <c r="AF757" s="1096"/>
      <c r="AG757" s="1096"/>
      <c r="AH757" s="1096"/>
      <c r="AI757" s="1096"/>
      <c r="AJ757" s="1096"/>
      <c r="AK757" s="1096"/>
      <c r="AL757" s="1096"/>
      <c r="AM757" s="1096"/>
      <c r="AN757" s="1096"/>
      <c r="AO757" s="1096"/>
      <c r="AP757" s="1096"/>
      <c r="AQ757" s="1096"/>
      <c r="AR757" s="1096"/>
      <c r="AS757" s="1096"/>
      <c r="AT757" s="1096"/>
      <c r="AU757" s="1096"/>
      <c r="AV757" s="1096"/>
      <c r="AW757" s="1096"/>
      <c r="AX757" s="1096"/>
      <c r="AY757" s="1096"/>
    </row>
    <row r="758" spans="1:51" x14ac:dyDescent="0.45">
      <c r="A758" s="1096">
        <v>2002</v>
      </c>
      <c r="B758" s="1096" t="s">
        <v>1389</v>
      </c>
      <c r="C758" s="1113">
        <f>[7]LRAll!C749</f>
        <v>174.5</v>
      </c>
      <c r="D758" s="1113">
        <f>[7]LRAll!I749</f>
        <v>128.1</v>
      </c>
      <c r="E758" s="1096"/>
      <c r="F758" s="1114">
        <f t="shared" si="28"/>
        <v>73.409742120343836</v>
      </c>
      <c r="G758" s="1112">
        <f t="shared" si="24"/>
        <v>85.157593123209168</v>
      </c>
      <c r="H758" s="1112">
        <f t="shared" si="25"/>
        <v>80.859598853868192</v>
      </c>
      <c r="I758" s="1112">
        <f t="shared" si="26"/>
        <v>71.805157593123198</v>
      </c>
      <c r="J758" s="1112">
        <f t="shared" si="27"/>
        <v>73.581661891117477</v>
      </c>
      <c r="K758" s="1096"/>
      <c r="L758" s="1096"/>
      <c r="M758" s="1096"/>
      <c r="N758" s="1096"/>
      <c r="O758" s="1096"/>
      <c r="P758" s="1114">
        <v>128.1</v>
      </c>
      <c r="Q758" s="1096" t="s">
        <v>1613</v>
      </c>
      <c r="R758" s="1114">
        <v>148.6</v>
      </c>
      <c r="S758" s="1096" t="s">
        <v>1613</v>
      </c>
      <c r="T758" s="1114">
        <v>141.1</v>
      </c>
      <c r="U758" s="1096" t="s">
        <v>1613</v>
      </c>
      <c r="V758" s="1114">
        <v>125.3</v>
      </c>
      <c r="W758" s="1096" t="s">
        <v>1613</v>
      </c>
      <c r="X758" s="1114">
        <v>128.4</v>
      </c>
      <c r="Y758" s="1096" t="s">
        <v>1613</v>
      </c>
      <c r="Z758" s="1114">
        <v>174.5</v>
      </c>
      <c r="AA758" s="1096"/>
      <c r="AB758" s="1096"/>
      <c r="AC758" s="1096"/>
      <c r="AD758" s="1096"/>
      <c r="AE758" s="1096"/>
      <c r="AF758" s="1096"/>
      <c r="AG758" s="1096"/>
      <c r="AH758" s="1096"/>
      <c r="AI758" s="1096"/>
      <c r="AJ758" s="1096"/>
      <c r="AK758" s="1096"/>
      <c r="AL758" s="1096"/>
      <c r="AM758" s="1096"/>
      <c r="AN758" s="1096"/>
      <c r="AO758" s="1096"/>
      <c r="AP758" s="1096"/>
      <c r="AQ758" s="1096"/>
      <c r="AR758" s="1096"/>
      <c r="AS758" s="1096"/>
      <c r="AT758" s="1096"/>
      <c r="AU758" s="1096"/>
      <c r="AV758" s="1096"/>
      <c r="AW758" s="1096"/>
      <c r="AX758" s="1096"/>
      <c r="AY758" s="1096"/>
    </row>
    <row r="759" spans="1:51" x14ac:dyDescent="0.45">
      <c r="A759" s="1096">
        <v>2002</v>
      </c>
      <c r="B759" s="1096" t="s">
        <v>1391</v>
      </c>
      <c r="C759" s="1113">
        <f>[7]LRAll!C750</f>
        <v>175.7</v>
      </c>
      <c r="D759" s="1113">
        <f>[7]LRAll!I750</f>
        <v>128.6</v>
      </c>
      <c r="E759" s="1096"/>
      <c r="F759" s="1114">
        <f t="shared" si="28"/>
        <v>73.19294251565168</v>
      </c>
      <c r="G759" s="1112">
        <f t="shared" si="24"/>
        <v>84.575981787137167</v>
      </c>
      <c r="H759" s="1112">
        <f t="shared" si="25"/>
        <v>83.039271485486637</v>
      </c>
      <c r="I759" s="1112">
        <f t="shared" si="26"/>
        <v>71.599317017643713</v>
      </c>
      <c r="J759" s="1112">
        <f t="shared" si="27"/>
        <v>73.136027319294257</v>
      </c>
      <c r="K759" s="1096"/>
      <c r="L759" s="1096"/>
      <c r="M759" s="1096"/>
      <c r="N759" s="1096"/>
      <c r="O759" s="1096"/>
      <c r="P759" s="1114">
        <v>128.6</v>
      </c>
      <c r="Q759" s="1096" t="s">
        <v>1614</v>
      </c>
      <c r="R759" s="1114">
        <v>148.6</v>
      </c>
      <c r="S759" s="1096" t="s">
        <v>1614</v>
      </c>
      <c r="T759" s="1114">
        <v>145.9</v>
      </c>
      <c r="U759" s="1096" t="s">
        <v>1614</v>
      </c>
      <c r="V759" s="1114">
        <v>125.8</v>
      </c>
      <c r="W759" s="1096" t="s">
        <v>1614</v>
      </c>
      <c r="X759" s="1114">
        <v>128.5</v>
      </c>
      <c r="Y759" s="1096" t="s">
        <v>1614</v>
      </c>
      <c r="Z759" s="1114">
        <v>175.7</v>
      </c>
      <c r="AA759" s="1096"/>
      <c r="AB759" s="1096"/>
      <c r="AC759" s="1096"/>
      <c r="AD759" s="1096"/>
      <c r="AE759" s="1096"/>
      <c r="AF759" s="1096"/>
      <c r="AG759" s="1096"/>
      <c r="AH759" s="1096"/>
      <c r="AI759" s="1096"/>
      <c r="AJ759" s="1096"/>
      <c r="AK759" s="1096"/>
      <c r="AL759" s="1096"/>
      <c r="AM759" s="1096"/>
      <c r="AN759" s="1096"/>
      <c r="AO759" s="1096"/>
      <c r="AP759" s="1096"/>
      <c r="AQ759" s="1096"/>
      <c r="AR759" s="1096"/>
      <c r="AS759" s="1096"/>
      <c r="AT759" s="1096"/>
      <c r="AU759" s="1096"/>
      <c r="AV759" s="1096"/>
      <c r="AW759" s="1096"/>
      <c r="AX759" s="1096"/>
      <c r="AY759" s="1096"/>
    </row>
    <row r="760" spans="1:51" x14ac:dyDescent="0.45">
      <c r="A760" s="1096">
        <v>2002</v>
      </c>
      <c r="B760" s="1096" t="s">
        <v>1393</v>
      </c>
      <c r="C760" s="1113">
        <f>[7]LRAll!C751</f>
        <v>176.2</v>
      </c>
      <c r="D760" s="1113">
        <f>[7]LRAll!I751</f>
        <v>128.69999999999999</v>
      </c>
      <c r="E760" s="1096"/>
      <c r="F760" s="1114">
        <f t="shared" si="28"/>
        <v>73.04199772985244</v>
      </c>
      <c r="G760" s="1112">
        <f t="shared" si="24"/>
        <v>83.087400681044272</v>
      </c>
      <c r="H760" s="1112">
        <f t="shared" si="25"/>
        <v>82.973893303064699</v>
      </c>
      <c r="I760" s="1112">
        <f t="shared" si="26"/>
        <v>71.396140749148699</v>
      </c>
      <c r="J760" s="1112">
        <f t="shared" si="27"/>
        <v>72.985244040862668</v>
      </c>
      <c r="K760" s="1096"/>
      <c r="L760" s="1096"/>
      <c r="M760" s="1096"/>
      <c r="N760" s="1096"/>
      <c r="O760" s="1096"/>
      <c r="P760" s="1114">
        <v>128.69999999999999</v>
      </c>
      <c r="Q760" s="1096" t="s">
        <v>1615</v>
      </c>
      <c r="R760" s="1114">
        <v>146.4</v>
      </c>
      <c r="S760" s="1096" t="s">
        <v>1615</v>
      </c>
      <c r="T760" s="1114">
        <v>146.19999999999999</v>
      </c>
      <c r="U760" s="1096" t="s">
        <v>1615</v>
      </c>
      <c r="V760" s="1114">
        <v>125.8</v>
      </c>
      <c r="W760" s="1096" t="s">
        <v>1615</v>
      </c>
      <c r="X760" s="1114">
        <v>128.6</v>
      </c>
      <c r="Y760" s="1096" t="s">
        <v>1615</v>
      </c>
      <c r="Z760" s="1114">
        <v>176.2</v>
      </c>
      <c r="AA760" s="1096"/>
      <c r="AB760" s="1096"/>
      <c r="AC760" s="1096"/>
      <c r="AD760" s="1096"/>
      <c r="AE760" s="1096"/>
      <c r="AF760" s="1096"/>
      <c r="AG760" s="1096"/>
      <c r="AH760" s="1096"/>
      <c r="AI760" s="1096"/>
      <c r="AJ760" s="1096"/>
      <c r="AK760" s="1096"/>
      <c r="AL760" s="1096"/>
      <c r="AM760" s="1096"/>
      <c r="AN760" s="1096"/>
      <c r="AO760" s="1096"/>
      <c r="AP760" s="1096"/>
      <c r="AQ760" s="1096"/>
      <c r="AR760" s="1096"/>
      <c r="AS760" s="1096"/>
      <c r="AT760" s="1096"/>
      <c r="AU760" s="1096"/>
      <c r="AV760" s="1096"/>
      <c r="AW760" s="1096"/>
      <c r="AX760" s="1096"/>
      <c r="AY760" s="1096"/>
    </row>
    <row r="761" spans="1:51" x14ac:dyDescent="0.45">
      <c r="A761" s="1096">
        <v>2002</v>
      </c>
      <c r="B761" s="1096" t="s">
        <v>1371</v>
      </c>
      <c r="C761" s="1113">
        <f>[7]LRAll!C752</f>
        <v>176.2</v>
      </c>
      <c r="D761" s="1113">
        <f>[7]LRAll!I752</f>
        <v>128.69999999999999</v>
      </c>
      <c r="E761" s="1096"/>
      <c r="F761" s="1114">
        <f t="shared" si="28"/>
        <v>73.04199772985244</v>
      </c>
      <c r="G761" s="1112">
        <f t="shared" si="24"/>
        <v>82.803632236095353</v>
      </c>
      <c r="H761" s="1112">
        <f t="shared" si="25"/>
        <v>81.157775255391613</v>
      </c>
      <c r="I761" s="1112">
        <f t="shared" si="26"/>
        <v>71.623155505107832</v>
      </c>
      <c r="J761" s="1112">
        <f t="shared" si="27"/>
        <v>73.04199772985244</v>
      </c>
      <c r="K761" s="1096"/>
      <c r="L761" s="1096"/>
      <c r="M761" s="1096"/>
      <c r="N761" s="1096"/>
      <c r="O761" s="1096"/>
      <c r="P761" s="1114">
        <v>128.69999999999999</v>
      </c>
      <c r="Q761" s="1096" t="s">
        <v>1616</v>
      </c>
      <c r="R761" s="1114">
        <v>145.9</v>
      </c>
      <c r="S761" s="1096" t="s">
        <v>1616</v>
      </c>
      <c r="T761" s="1114">
        <v>143</v>
      </c>
      <c r="U761" s="1096" t="s">
        <v>1616</v>
      </c>
      <c r="V761" s="1114">
        <v>126.2</v>
      </c>
      <c r="W761" s="1096" t="s">
        <v>1616</v>
      </c>
      <c r="X761" s="1114">
        <v>128.69999999999999</v>
      </c>
      <c r="Y761" s="1096" t="s">
        <v>1616</v>
      </c>
      <c r="Z761" s="1114">
        <v>176.2</v>
      </c>
      <c r="AA761" s="1096"/>
      <c r="AB761" s="1096"/>
      <c r="AC761" s="1096"/>
      <c r="AD761" s="1096"/>
      <c r="AE761" s="1096"/>
      <c r="AF761" s="1096"/>
      <c r="AG761" s="1096"/>
      <c r="AH761" s="1096"/>
      <c r="AI761" s="1096"/>
      <c r="AJ761" s="1096"/>
      <c r="AK761" s="1096"/>
      <c r="AL761" s="1096"/>
      <c r="AM761" s="1096"/>
      <c r="AN761" s="1096"/>
      <c r="AO761" s="1096"/>
      <c r="AP761" s="1096"/>
      <c r="AQ761" s="1096"/>
      <c r="AR761" s="1096"/>
      <c r="AS761" s="1096"/>
      <c r="AT761" s="1096"/>
      <c r="AU761" s="1096"/>
      <c r="AV761" s="1096"/>
      <c r="AW761" s="1096"/>
      <c r="AX761" s="1096"/>
      <c r="AY761" s="1096"/>
    </row>
    <row r="762" spans="1:51" x14ac:dyDescent="0.45">
      <c r="A762" s="1096">
        <v>2002</v>
      </c>
      <c r="B762" s="1096" t="s">
        <v>1373</v>
      </c>
      <c r="C762" s="1113">
        <f>[7]LRAll!C753</f>
        <v>175.9</v>
      </c>
      <c r="D762" s="1113">
        <f>[7]LRAll!I753</f>
        <v>128.6</v>
      </c>
      <c r="E762" s="1096"/>
      <c r="F762" s="1114">
        <f t="shared" si="28"/>
        <v>73.10972143263217</v>
      </c>
      <c r="G762" s="1112">
        <f t="shared" si="24"/>
        <v>82.831154064809539</v>
      </c>
      <c r="H762" s="1112">
        <f t="shared" si="25"/>
        <v>80.272882319499701</v>
      </c>
      <c r="I762" s="1112">
        <f t="shared" si="26"/>
        <v>71.745309835133597</v>
      </c>
      <c r="J762" s="1112">
        <f t="shared" si="27"/>
        <v>73.223422399090396</v>
      </c>
      <c r="K762" s="1096"/>
      <c r="L762" s="1096"/>
      <c r="M762" s="1096"/>
      <c r="N762" s="1096"/>
      <c r="O762" s="1096"/>
      <c r="P762" s="1114">
        <v>128.6</v>
      </c>
      <c r="Q762" s="1096" t="s">
        <v>1617</v>
      </c>
      <c r="R762" s="1114">
        <v>145.69999999999999</v>
      </c>
      <c r="S762" s="1096" t="s">
        <v>1617</v>
      </c>
      <c r="T762" s="1114">
        <v>141.19999999999999</v>
      </c>
      <c r="U762" s="1096" t="s">
        <v>1617</v>
      </c>
      <c r="V762" s="1114">
        <v>126.2</v>
      </c>
      <c r="W762" s="1096" t="s">
        <v>1617</v>
      </c>
      <c r="X762" s="1114">
        <v>128.80000000000001</v>
      </c>
      <c r="Y762" s="1096" t="s">
        <v>1617</v>
      </c>
      <c r="Z762" s="1114">
        <v>175.9</v>
      </c>
      <c r="AA762" s="1096"/>
      <c r="AB762" s="1096"/>
      <c r="AC762" s="1096"/>
      <c r="AD762" s="1096"/>
      <c r="AE762" s="1096"/>
      <c r="AF762" s="1096"/>
      <c r="AG762" s="1096"/>
      <c r="AH762" s="1096"/>
      <c r="AI762" s="1096"/>
      <c r="AJ762" s="1096"/>
      <c r="AK762" s="1096"/>
      <c r="AL762" s="1096"/>
      <c r="AM762" s="1096"/>
      <c r="AN762" s="1096"/>
      <c r="AO762" s="1096"/>
      <c r="AP762" s="1096"/>
      <c r="AQ762" s="1096"/>
      <c r="AR762" s="1096"/>
      <c r="AS762" s="1096"/>
      <c r="AT762" s="1096"/>
      <c r="AU762" s="1096"/>
      <c r="AV762" s="1096"/>
      <c r="AW762" s="1096"/>
      <c r="AX762" s="1096"/>
      <c r="AY762" s="1096"/>
    </row>
    <row r="763" spans="1:51" x14ac:dyDescent="0.45">
      <c r="A763" s="1096">
        <v>2002</v>
      </c>
      <c r="B763" s="1096" t="s">
        <v>1375</v>
      </c>
      <c r="C763" s="1113">
        <f>[7]LRAll!C754</f>
        <v>176.4</v>
      </c>
      <c r="D763" s="1113">
        <f>[7]LRAll!I754</f>
        <v>128.5</v>
      </c>
      <c r="E763" s="1096"/>
      <c r="F763" s="1114">
        <f t="shared" si="28"/>
        <v>72.845804988662138</v>
      </c>
      <c r="G763" s="1112">
        <f t="shared" si="24"/>
        <v>82.426303854875286</v>
      </c>
      <c r="H763" s="1112">
        <f t="shared" si="25"/>
        <v>79.195011337868465</v>
      </c>
      <c r="I763" s="1112">
        <f t="shared" si="26"/>
        <v>71.541950113378689</v>
      </c>
      <c r="J763" s="1112">
        <f t="shared" si="27"/>
        <v>73.015873015873026</v>
      </c>
      <c r="K763" s="1096"/>
      <c r="L763" s="1096"/>
      <c r="M763" s="1096"/>
      <c r="N763" s="1096"/>
      <c r="O763" s="1096"/>
      <c r="P763" s="1114">
        <v>128.5</v>
      </c>
      <c r="Q763" s="1096" t="s">
        <v>1618</v>
      </c>
      <c r="R763" s="1114">
        <v>145.4</v>
      </c>
      <c r="S763" s="1096" t="s">
        <v>1618</v>
      </c>
      <c r="T763" s="1114">
        <v>139.69999999999999</v>
      </c>
      <c r="U763" s="1096" t="s">
        <v>1618</v>
      </c>
      <c r="V763" s="1114">
        <v>126.2</v>
      </c>
      <c r="W763" s="1096" t="s">
        <v>1618</v>
      </c>
      <c r="X763" s="1114">
        <v>128.80000000000001</v>
      </c>
      <c r="Y763" s="1096" t="s">
        <v>1618</v>
      </c>
      <c r="Z763" s="1114">
        <v>176.4</v>
      </c>
      <c r="AA763" s="1096"/>
      <c r="AB763" s="1096"/>
      <c r="AC763" s="1096"/>
      <c r="AD763" s="1096"/>
      <c r="AE763" s="1096"/>
      <c r="AF763" s="1096"/>
      <c r="AG763" s="1096"/>
      <c r="AH763" s="1096"/>
      <c r="AI763" s="1096"/>
      <c r="AJ763" s="1096"/>
      <c r="AK763" s="1096"/>
      <c r="AL763" s="1096"/>
      <c r="AM763" s="1096"/>
      <c r="AN763" s="1096"/>
      <c r="AO763" s="1096"/>
      <c r="AP763" s="1096"/>
      <c r="AQ763" s="1096"/>
      <c r="AR763" s="1096"/>
      <c r="AS763" s="1096"/>
      <c r="AT763" s="1096"/>
      <c r="AU763" s="1096"/>
      <c r="AV763" s="1096"/>
      <c r="AW763" s="1096"/>
      <c r="AX763" s="1096"/>
      <c r="AY763" s="1096"/>
    </row>
    <row r="764" spans="1:51" x14ac:dyDescent="0.45">
      <c r="A764" s="1096">
        <v>2002</v>
      </c>
      <c r="B764" s="1096" t="s">
        <v>1377</v>
      </c>
      <c r="C764" s="1113">
        <f>[7]LRAll!C755</f>
        <v>177.6</v>
      </c>
      <c r="D764" s="1113">
        <f>[7]LRAll!I755</f>
        <v>129.6</v>
      </c>
      <c r="E764" s="1096"/>
      <c r="F764" s="1114">
        <f t="shared" si="28"/>
        <v>72.972972972972968</v>
      </c>
      <c r="G764" s="1112">
        <f t="shared" si="24"/>
        <v>83.502252252252262</v>
      </c>
      <c r="H764" s="1112">
        <f t="shared" si="25"/>
        <v>87.387387387387378</v>
      </c>
      <c r="I764" s="1112">
        <f t="shared" si="26"/>
        <v>71.11486486486487</v>
      </c>
      <c r="J764" s="1112">
        <f t="shared" si="27"/>
        <v>72.522522522522536</v>
      </c>
      <c r="K764" s="1096"/>
      <c r="L764" s="1096"/>
      <c r="M764" s="1096"/>
      <c r="N764" s="1096"/>
      <c r="O764" s="1096"/>
      <c r="P764" s="1114">
        <v>129.6</v>
      </c>
      <c r="Q764" s="1096" t="s">
        <v>1619</v>
      </c>
      <c r="R764" s="1114">
        <v>148.30000000000001</v>
      </c>
      <c r="S764" s="1096" t="s">
        <v>1619</v>
      </c>
      <c r="T764" s="1114">
        <v>155.19999999999999</v>
      </c>
      <c r="U764" s="1096" t="s">
        <v>1619</v>
      </c>
      <c r="V764" s="1114">
        <v>126.3</v>
      </c>
      <c r="W764" s="1096" t="s">
        <v>1619</v>
      </c>
      <c r="X764" s="1114">
        <v>128.80000000000001</v>
      </c>
      <c r="Y764" s="1096" t="s">
        <v>1619</v>
      </c>
      <c r="Z764" s="1114">
        <v>177.6</v>
      </c>
      <c r="AA764" s="1096"/>
      <c r="AB764" s="1096"/>
      <c r="AC764" s="1096"/>
      <c r="AD764" s="1096"/>
      <c r="AE764" s="1096"/>
      <c r="AF764" s="1096"/>
      <c r="AG764" s="1096"/>
      <c r="AH764" s="1096"/>
      <c r="AI764" s="1096"/>
      <c r="AJ764" s="1096"/>
      <c r="AK764" s="1096"/>
      <c r="AL764" s="1096"/>
      <c r="AM764" s="1096"/>
      <c r="AN764" s="1096"/>
      <c r="AO764" s="1096"/>
      <c r="AP764" s="1096"/>
      <c r="AQ764" s="1096"/>
      <c r="AR764" s="1096"/>
      <c r="AS764" s="1096"/>
      <c r="AT764" s="1096"/>
      <c r="AU764" s="1096"/>
      <c r="AV764" s="1096"/>
      <c r="AW764" s="1096"/>
      <c r="AX764" s="1096"/>
      <c r="AY764" s="1096"/>
    </row>
    <row r="765" spans="1:51" x14ac:dyDescent="0.45">
      <c r="A765" s="1096">
        <v>2002</v>
      </c>
      <c r="B765" s="1096" t="s">
        <v>1379</v>
      </c>
      <c r="C765" s="1113">
        <f>[7]LRAll!C756</f>
        <v>177.9</v>
      </c>
      <c r="D765" s="1113">
        <f>[7]LRAll!I756</f>
        <v>129.80000000000001</v>
      </c>
      <c r="E765" s="1096"/>
      <c r="F765" s="1114">
        <f t="shared" si="28"/>
        <v>72.962338392355264</v>
      </c>
      <c r="G765" s="1112">
        <f t="shared" si="24"/>
        <v>84.935356942102302</v>
      </c>
      <c r="H765" s="1112">
        <f t="shared" si="25"/>
        <v>88.58909499718942</v>
      </c>
      <c r="I765" s="1112">
        <f t="shared" si="26"/>
        <v>70.994940978077565</v>
      </c>
      <c r="J765" s="1112">
        <f t="shared" si="27"/>
        <v>72.400224845418776</v>
      </c>
      <c r="K765" s="1096"/>
      <c r="L765" s="1096"/>
      <c r="M765" s="1096"/>
      <c r="N765" s="1096"/>
      <c r="O765" s="1096"/>
      <c r="P765" s="1114">
        <v>129.80000000000001</v>
      </c>
      <c r="Q765" s="1096" t="s">
        <v>1620</v>
      </c>
      <c r="R765" s="1114">
        <v>151.1</v>
      </c>
      <c r="S765" s="1096" t="s">
        <v>1620</v>
      </c>
      <c r="T765" s="1114">
        <v>157.6</v>
      </c>
      <c r="U765" s="1096" t="s">
        <v>1620</v>
      </c>
      <c r="V765" s="1114">
        <v>126.3</v>
      </c>
      <c r="W765" s="1096" t="s">
        <v>1620</v>
      </c>
      <c r="X765" s="1114">
        <v>128.80000000000001</v>
      </c>
      <c r="Y765" s="1096" t="s">
        <v>1620</v>
      </c>
      <c r="Z765" s="1114">
        <v>177.9</v>
      </c>
      <c r="AA765" s="1096"/>
      <c r="AB765" s="1096"/>
      <c r="AC765" s="1096"/>
      <c r="AD765" s="1096"/>
      <c r="AE765" s="1096"/>
      <c r="AF765" s="1096"/>
      <c r="AG765" s="1096"/>
      <c r="AH765" s="1096"/>
      <c r="AI765" s="1096"/>
      <c r="AJ765" s="1096"/>
      <c r="AK765" s="1096"/>
      <c r="AL765" s="1096"/>
      <c r="AM765" s="1096"/>
      <c r="AN765" s="1096"/>
      <c r="AO765" s="1096"/>
      <c r="AP765" s="1096"/>
      <c r="AQ765" s="1096"/>
      <c r="AR765" s="1096"/>
      <c r="AS765" s="1096"/>
      <c r="AT765" s="1096"/>
      <c r="AU765" s="1096"/>
      <c r="AV765" s="1096"/>
      <c r="AW765" s="1096"/>
      <c r="AX765" s="1096"/>
      <c r="AY765" s="1096"/>
    </row>
    <row r="766" spans="1:51" x14ac:dyDescent="0.45">
      <c r="A766" s="1096">
        <v>2002</v>
      </c>
      <c r="B766" s="1096" t="s">
        <v>1381</v>
      </c>
      <c r="C766" s="1113">
        <f>[7]LRAll!C757</f>
        <v>178.2</v>
      </c>
      <c r="D766" s="1113">
        <f>[7]LRAll!I757</f>
        <v>129.1</v>
      </c>
      <c r="E766" s="1096"/>
      <c r="F766" s="1114">
        <f t="shared" si="28"/>
        <v>72.446689113355774</v>
      </c>
      <c r="G766" s="1112">
        <f t="shared" si="24"/>
        <v>85.46576879910215</v>
      </c>
      <c r="H766" s="1112">
        <f t="shared" si="25"/>
        <v>81.313131313131322</v>
      </c>
      <c r="I766" s="1112">
        <f t="shared" si="26"/>
        <v>70.875420875420886</v>
      </c>
      <c r="J766" s="1112">
        <f t="shared" si="27"/>
        <v>72.278338945005629</v>
      </c>
      <c r="K766" s="1096"/>
      <c r="L766" s="1096"/>
      <c r="M766" s="1096"/>
      <c r="N766" s="1096"/>
      <c r="O766" s="1096"/>
      <c r="P766" s="1114">
        <v>129.1</v>
      </c>
      <c r="Q766" s="1096" t="s">
        <v>1621</v>
      </c>
      <c r="R766" s="1114">
        <v>152.30000000000001</v>
      </c>
      <c r="S766" s="1096" t="s">
        <v>1621</v>
      </c>
      <c r="T766" s="1114">
        <v>144.9</v>
      </c>
      <c r="U766" s="1096" t="s">
        <v>1621</v>
      </c>
      <c r="V766" s="1114">
        <v>126.3</v>
      </c>
      <c r="W766" s="1096" t="s">
        <v>1621</v>
      </c>
      <c r="X766" s="1114">
        <v>128.80000000000001</v>
      </c>
      <c r="Y766" s="1096" t="s">
        <v>1621</v>
      </c>
      <c r="Z766" s="1114">
        <v>178.2</v>
      </c>
      <c r="AA766" s="1096"/>
      <c r="AB766" s="1096"/>
      <c r="AC766" s="1096"/>
      <c r="AD766" s="1096"/>
      <c r="AE766" s="1096"/>
      <c r="AF766" s="1096"/>
      <c r="AG766" s="1096"/>
      <c r="AH766" s="1096"/>
      <c r="AI766" s="1096"/>
      <c r="AJ766" s="1096"/>
      <c r="AK766" s="1096"/>
      <c r="AL766" s="1096"/>
      <c r="AM766" s="1096"/>
      <c r="AN766" s="1096"/>
      <c r="AO766" s="1096"/>
      <c r="AP766" s="1096"/>
      <c r="AQ766" s="1096"/>
      <c r="AR766" s="1096"/>
      <c r="AS766" s="1096"/>
      <c r="AT766" s="1096"/>
      <c r="AU766" s="1096"/>
      <c r="AV766" s="1096"/>
      <c r="AW766" s="1096"/>
      <c r="AX766" s="1096"/>
      <c r="AY766" s="1096"/>
    </row>
    <row r="767" spans="1:51" x14ac:dyDescent="0.45">
      <c r="A767" s="1096">
        <v>2002</v>
      </c>
      <c r="B767" s="1096" t="s">
        <v>1383</v>
      </c>
      <c r="C767" s="1113">
        <f>[7]LRAll!C758</f>
        <v>178.5</v>
      </c>
      <c r="D767" s="1113">
        <f>[7]LRAll!I758</f>
        <v>129.9</v>
      </c>
      <c r="E767" s="1096"/>
      <c r="F767" s="1114">
        <f t="shared" si="28"/>
        <v>72.77310924369749</v>
      </c>
      <c r="G767" s="1112">
        <f t="shared" si="24"/>
        <v>85.210084033613441</v>
      </c>
      <c r="H767" s="1112">
        <f t="shared" si="25"/>
        <v>88.683473389355754</v>
      </c>
      <c r="I767" s="1112">
        <f t="shared" si="26"/>
        <v>70.812324929971993</v>
      </c>
      <c r="J767" s="1112">
        <f t="shared" si="27"/>
        <v>72.156862745098053</v>
      </c>
      <c r="K767" s="1096"/>
      <c r="L767" s="1096"/>
      <c r="M767" s="1096"/>
      <c r="N767" s="1096"/>
      <c r="O767" s="1096"/>
      <c r="P767" s="1114">
        <v>129.9</v>
      </c>
      <c r="Q767" s="1096" t="s">
        <v>1622</v>
      </c>
      <c r="R767" s="1114">
        <v>152.1</v>
      </c>
      <c r="S767" s="1096" t="s">
        <v>1622</v>
      </c>
      <c r="T767" s="1114">
        <v>158.30000000000001</v>
      </c>
      <c r="U767" s="1096" t="s">
        <v>1622</v>
      </c>
      <c r="V767" s="1114">
        <v>126.4</v>
      </c>
      <c r="W767" s="1096" t="s">
        <v>1622</v>
      </c>
      <c r="X767" s="1114">
        <v>128.80000000000001</v>
      </c>
      <c r="Y767" s="1096" t="s">
        <v>1622</v>
      </c>
      <c r="Z767" s="1114">
        <v>178.5</v>
      </c>
      <c r="AA767" s="1096"/>
      <c r="AB767" s="1096"/>
      <c r="AC767" s="1096"/>
      <c r="AD767" s="1096"/>
      <c r="AE767" s="1096"/>
      <c r="AF767" s="1096"/>
      <c r="AG767" s="1096"/>
      <c r="AH767" s="1096"/>
      <c r="AI767" s="1096"/>
      <c r="AJ767" s="1096"/>
      <c r="AK767" s="1096"/>
      <c r="AL767" s="1096"/>
      <c r="AM767" s="1096"/>
      <c r="AN767" s="1096"/>
      <c r="AO767" s="1096"/>
      <c r="AP767" s="1096"/>
      <c r="AQ767" s="1096"/>
      <c r="AR767" s="1096"/>
      <c r="AS767" s="1096"/>
      <c r="AT767" s="1096"/>
      <c r="AU767" s="1096"/>
      <c r="AV767" s="1096"/>
      <c r="AW767" s="1096"/>
      <c r="AX767" s="1096"/>
      <c r="AY767" s="1096"/>
    </row>
    <row r="768" spans="1:51" x14ac:dyDescent="0.45">
      <c r="A768" s="1096">
        <v>2003</v>
      </c>
      <c r="B768" s="1096" t="s">
        <v>1385</v>
      </c>
      <c r="C768" s="1113">
        <f>[7]LRAll!C759</f>
        <v>178.4</v>
      </c>
      <c r="D768" s="1113">
        <f>[7]LRAll!I759</f>
        <v>130.30000000000001</v>
      </c>
      <c r="E768" s="1096"/>
      <c r="F768" s="1114">
        <f t="shared" si="28"/>
        <v>73.038116591928258</v>
      </c>
      <c r="G768" s="1112">
        <f t="shared" si="24"/>
        <v>85.08968609865471</v>
      </c>
      <c r="H768" s="1112">
        <f t="shared" si="25"/>
        <v>92.488789237668158</v>
      </c>
      <c r="I768" s="1112">
        <f t="shared" si="26"/>
        <v>70.852017937219742</v>
      </c>
      <c r="J768" s="1112">
        <f t="shared" si="27"/>
        <v>72.253363228699556</v>
      </c>
      <c r="K768" s="1096"/>
      <c r="L768" s="1096"/>
      <c r="M768" s="1096"/>
      <c r="N768" s="1096"/>
      <c r="O768" s="1096"/>
      <c r="P768" s="1114">
        <v>130.30000000000001</v>
      </c>
      <c r="Q768" s="1096" t="s">
        <v>1623</v>
      </c>
      <c r="R768" s="1114">
        <v>151.80000000000001</v>
      </c>
      <c r="S768" s="1096" t="s">
        <v>1623</v>
      </c>
      <c r="T768" s="1114">
        <v>165</v>
      </c>
      <c r="U768" s="1096" t="s">
        <v>1623</v>
      </c>
      <c r="V768" s="1114">
        <v>126.4</v>
      </c>
      <c r="W768" s="1096" t="s">
        <v>1623</v>
      </c>
      <c r="X768" s="1114">
        <v>128.9</v>
      </c>
      <c r="Y768" s="1096" t="s">
        <v>1623</v>
      </c>
      <c r="Z768" s="1114">
        <v>178.4</v>
      </c>
      <c r="AA768" s="1096"/>
      <c r="AB768" s="1096"/>
      <c r="AC768" s="1096"/>
      <c r="AD768" s="1096"/>
      <c r="AE768" s="1096"/>
      <c r="AF768" s="1096"/>
      <c r="AG768" s="1096"/>
      <c r="AH768" s="1096"/>
      <c r="AI768" s="1096"/>
      <c r="AJ768" s="1096"/>
      <c r="AK768" s="1096"/>
      <c r="AL768" s="1096"/>
      <c r="AM768" s="1096"/>
      <c r="AN768" s="1096"/>
      <c r="AO768" s="1096"/>
      <c r="AP768" s="1096"/>
      <c r="AQ768" s="1096"/>
      <c r="AR768" s="1096"/>
      <c r="AS768" s="1096"/>
      <c r="AT768" s="1096"/>
      <c r="AU768" s="1096"/>
      <c r="AV768" s="1096"/>
      <c r="AW768" s="1096"/>
      <c r="AX768" s="1096"/>
      <c r="AY768" s="1096"/>
    </row>
    <row r="769" spans="1:51" x14ac:dyDescent="0.45">
      <c r="A769" s="1096">
        <v>2003</v>
      </c>
      <c r="B769" s="1096" t="s">
        <v>1387</v>
      </c>
      <c r="C769" s="1113">
        <f>[7]LRAll!C760</f>
        <v>179.3</v>
      </c>
      <c r="D769" s="1113">
        <f>[7]LRAll!I760</f>
        <v>131.5</v>
      </c>
      <c r="E769" s="1096"/>
      <c r="F769" s="1114">
        <f t="shared" si="28"/>
        <v>73.340769659788066</v>
      </c>
      <c r="G769" s="1112">
        <f t="shared" ref="G769:G832" si="29">R769/$Z769*100</f>
        <v>84.718349135527049</v>
      </c>
      <c r="H769" s="1112">
        <f t="shared" ref="H769:H832" si="30">T769/$Z769*100</f>
        <v>104.01561628555494</v>
      </c>
      <c r="I769" s="1112">
        <f t="shared" ref="I769:I832" si="31">V769/$Z769*100</f>
        <v>70.496374790853324</v>
      </c>
      <c r="J769" s="1112">
        <f t="shared" ref="J769:J832" si="32">X769/$Z769*100</f>
        <v>71.890686001115441</v>
      </c>
      <c r="K769" s="1096"/>
      <c r="L769" s="1096"/>
      <c r="M769" s="1096"/>
      <c r="N769" s="1096"/>
      <c r="O769" s="1096"/>
      <c r="P769" s="1114">
        <v>131.5</v>
      </c>
      <c r="Q769" s="1096" t="s">
        <v>1624</v>
      </c>
      <c r="R769" s="1114">
        <v>151.9</v>
      </c>
      <c r="S769" s="1096" t="s">
        <v>1624</v>
      </c>
      <c r="T769" s="1114">
        <v>186.5</v>
      </c>
      <c r="U769" s="1096" t="s">
        <v>1624</v>
      </c>
      <c r="V769" s="1114">
        <v>126.4</v>
      </c>
      <c r="W769" s="1096" t="s">
        <v>1624</v>
      </c>
      <c r="X769" s="1114">
        <v>128.9</v>
      </c>
      <c r="Y769" s="1096" t="s">
        <v>1624</v>
      </c>
      <c r="Z769" s="1114">
        <v>179.3</v>
      </c>
      <c r="AA769" s="1096"/>
      <c r="AB769" s="1096"/>
      <c r="AC769" s="1096"/>
      <c r="AD769" s="1096"/>
      <c r="AE769" s="1096"/>
      <c r="AF769" s="1096"/>
      <c r="AG769" s="1096"/>
      <c r="AH769" s="1096"/>
      <c r="AI769" s="1096"/>
      <c r="AJ769" s="1096"/>
      <c r="AK769" s="1096"/>
      <c r="AL769" s="1096"/>
      <c r="AM769" s="1096"/>
      <c r="AN769" s="1096"/>
      <c r="AO769" s="1096"/>
      <c r="AP769" s="1096"/>
      <c r="AQ769" s="1096"/>
      <c r="AR769" s="1096"/>
      <c r="AS769" s="1096"/>
      <c r="AT769" s="1096"/>
      <c r="AU769" s="1096"/>
      <c r="AV769" s="1096"/>
      <c r="AW769" s="1096"/>
      <c r="AX769" s="1096"/>
      <c r="AY769" s="1096"/>
    </row>
    <row r="770" spans="1:51" x14ac:dyDescent="0.45">
      <c r="A770" s="1096">
        <v>2003</v>
      </c>
      <c r="B770" s="1096" t="s">
        <v>1389</v>
      </c>
      <c r="C770" s="1113">
        <f>[7]LRAll!C761</f>
        <v>179.9</v>
      </c>
      <c r="D770" s="1113">
        <f>[7]LRAll!I761</f>
        <v>131.69999999999999</v>
      </c>
      <c r="E770" s="1096"/>
      <c r="F770" s="1114">
        <f t="shared" si="28"/>
        <v>73.207337409672036</v>
      </c>
      <c r="G770" s="1112">
        <f t="shared" si="29"/>
        <v>84.491384102279042</v>
      </c>
      <c r="H770" s="1112">
        <f t="shared" si="30"/>
        <v>106.05892162312396</v>
      </c>
      <c r="I770" s="1112">
        <f t="shared" si="31"/>
        <v>70.261256253474158</v>
      </c>
      <c r="J770" s="1112">
        <f t="shared" si="32"/>
        <v>71.650917176209006</v>
      </c>
      <c r="K770" s="1096"/>
      <c r="L770" s="1096"/>
      <c r="M770" s="1096"/>
      <c r="N770" s="1096"/>
      <c r="O770" s="1096"/>
      <c r="P770" s="1114">
        <v>131.69999999999999</v>
      </c>
      <c r="Q770" s="1096" t="s">
        <v>1625</v>
      </c>
      <c r="R770" s="1114">
        <v>152</v>
      </c>
      <c r="S770" s="1096" t="s">
        <v>1625</v>
      </c>
      <c r="T770" s="1114">
        <v>190.8</v>
      </c>
      <c r="U770" s="1096" t="s">
        <v>1625</v>
      </c>
      <c r="V770" s="1114">
        <v>126.4</v>
      </c>
      <c r="W770" s="1096" t="s">
        <v>1625</v>
      </c>
      <c r="X770" s="1114">
        <v>128.9</v>
      </c>
      <c r="Y770" s="1096" t="s">
        <v>1625</v>
      </c>
      <c r="Z770" s="1114">
        <v>179.9</v>
      </c>
      <c r="AA770" s="1096"/>
      <c r="AB770" s="1096"/>
      <c r="AC770" s="1096"/>
      <c r="AD770" s="1096"/>
      <c r="AE770" s="1096"/>
      <c r="AF770" s="1096"/>
      <c r="AG770" s="1096"/>
      <c r="AH770" s="1096"/>
      <c r="AI770" s="1096"/>
      <c r="AJ770" s="1096"/>
      <c r="AK770" s="1096"/>
      <c r="AL770" s="1096"/>
      <c r="AM770" s="1096"/>
      <c r="AN770" s="1096"/>
      <c r="AO770" s="1096"/>
      <c r="AP770" s="1096"/>
      <c r="AQ770" s="1096"/>
      <c r="AR770" s="1096"/>
      <c r="AS770" s="1096"/>
      <c r="AT770" s="1096"/>
      <c r="AU770" s="1096"/>
      <c r="AV770" s="1096"/>
      <c r="AW770" s="1096"/>
      <c r="AX770" s="1096"/>
      <c r="AY770" s="1096"/>
    </row>
    <row r="771" spans="1:51" x14ac:dyDescent="0.45">
      <c r="A771" s="1096">
        <v>2003</v>
      </c>
      <c r="B771" s="1096" t="s">
        <v>1391</v>
      </c>
      <c r="C771" s="1113">
        <f>[7]LRAll!C762</f>
        <v>181.2</v>
      </c>
      <c r="D771" s="1113">
        <f>[7]LRAll!I762</f>
        <v>130</v>
      </c>
      <c r="E771" s="1096"/>
      <c r="F771" s="1114">
        <f t="shared" si="28"/>
        <v>71.743929359823397</v>
      </c>
      <c r="G771" s="1112">
        <f t="shared" si="29"/>
        <v>83.388520971302427</v>
      </c>
      <c r="H771" s="1112">
        <f t="shared" si="30"/>
        <v>85.264900662251662</v>
      </c>
      <c r="I771" s="1112">
        <f t="shared" si="31"/>
        <v>69.922737306843274</v>
      </c>
      <c r="J771" s="1112">
        <f t="shared" si="32"/>
        <v>71.192052980132459</v>
      </c>
      <c r="K771" s="1096"/>
      <c r="L771" s="1096"/>
      <c r="M771" s="1096"/>
      <c r="N771" s="1096"/>
      <c r="O771" s="1096"/>
      <c r="P771" s="1114">
        <v>130</v>
      </c>
      <c r="Q771" s="1096" t="s">
        <v>1626</v>
      </c>
      <c r="R771" s="1114">
        <v>151.1</v>
      </c>
      <c r="S771" s="1096" t="s">
        <v>1626</v>
      </c>
      <c r="T771" s="1114">
        <v>154.5</v>
      </c>
      <c r="U771" s="1096" t="s">
        <v>1626</v>
      </c>
      <c r="V771" s="1114">
        <v>126.7</v>
      </c>
      <c r="W771" s="1096" t="s">
        <v>1626</v>
      </c>
      <c r="X771" s="1114">
        <v>129</v>
      </c>
      <c r="Y771" s="1096" t="s">
        <v>1626</v>
      </c>
      <c r="Z771" s="1114">
        <v>181.2</v>
      </c>
      <c r="AA771" s="1096"/>
      <c r="AB771" s="1096"/>
      <c r="AC771" s="1096"/>
      <c r="AD771" s="1096"/>
      <c r="AE771" s="1096"/>
      <c r="AF771" s="1096"/>
      <c r="AG771" s="1096"/>
      <c r="AH771" s="1096"/>
      <c r="AI771" s="1096"/>
      <c r="AJ771" s="1096"/>
      <c r="AK771" s="1096"/>
      <c r="AL771" s="1096"/>
      <c r="AM771" s="1096"/>
      <c r="AN771" s="1096"/>
      <c r="AO771" s="1096"/>
      <c r="AP771" s="1096"/>
      <c r="AQ771" s="1096"/>
      <c r="AR771" s="1096"/>
      <c r="AS771" s="1096"/>
      <c r="AT771" s="1096"/>
      <c r="AU771" s="1096"/>
      <c r="AV771" s="1096"/>
      <c r="AW771" s="1096"/>
      <c r="AX771" s="1096"/>
      <c r="AY771" s="1096"/>
    </row>
    <row r="772" spans="1:51" x14ac:dyDescent="0.45">
      <c r="A772" s="1096">
        <v>2003</v>
      </c>
      <c r="B772" s="1096" t="s">
        <v>1393</v>
      </c>
      <c r="C772" s="1113">
        <f>[7]LRAll!C763</f>
        <v>181.5</v>
      </c>
      <c r="D772" s="1113">
        <f>[7]LRAll!I763</f>
        <v>130</v>
      </c>
      <c r="E772" s="1096"/>
      <c r="F772" s="1114">
        <f t="shared" si="28"/>
        <v>71.625344352617077</v>
      </c>
      <c r="G772" s="1112">
        <f t="shared" si="29"/>
        <v>82.369146005509634</v>
      </c>
      <c r="H772" s="1112">
        <f t="shared" si="30"/>
        <v>81.542699724517902</v>
      </c>
      <c r="I772" s="1112">
        <f t="shared" si="31"/>
        <v>70.247933884297524</v>
      </c>
      <c r="J772" s="1112">
        <f t="shared" si="32"/>
        <v>71.294765840220393</v>
      </c>
      <c r="K772" s="1096"/>
      <c r="L772" s="1096"/>
      <c r="M772" s="1096"/>
      <c r="N772" s="1096"/>
      <c r="O772" s="1096"/>
      <c r="P772" s="1114">
        <v>130</v>
      </c>
      <c r="Q772" s="1096" t="s">
        <v>1627</v>
      </c>
      <c r="R772" s="1114">
        <v>149.5</v>
      </c>
      <c r="S772" s="1096" t="s">
        <v>1627</v>
      </c>
      <c r="T772" s="1114">
        <v>148</v>
      </c>
      <c r="U772" s="1096" t="s">
        <v>1627</v>
      </c>
      <c r="V772" s="1114">
        <v>127.5</v>
      </c>
      <c r="W772" s="1096" t="s">
        <v>1627</v>
      </c>
      <c r="X772" s="1114">
        <v>129.4</v>
      </c>
      <c r="Y772" s="1096" t="s">
        <v>1627</v>
      </c>
      <c r="Z772" s="1114">
        <v>181.5</v>
      </c>
      <c r="AA772" s="1096"/>
      <c r="AB772" s="1096"/>
      <c r="AC772" s="1096"/>
      <c r="AD772" s="1096"/>
      <c r="AE772" s="1096"/>
      <c r="AF772" s="1096"/>
      <c r="AG772" s="1096"/>
      <c r="AH772" s="1096"/>
      <c r="AI772" s="1096"/>
      <c r="AJ772" s="1096"/>
      <c r="AK772" s="1096"/>
      <c r="AL772" s="1096"/>
      <c r="AM772" s="1096"/>
      <c r="AN772" s="1096"/>
      <c r="AO772" s="1096"/>
      <c r="AP772" s="1096"/>
      <c r="AQ772" s="1096"/>
      <c r="AR772" s="1096"/>
      <c r="AS772" s="1096"/>
      <c r="AT772" s="1096"/>
      <c r="AU772" s="1096"/>
      <c r="AV772" s="1096"/>
      <c r="AW772" s="1096"/>
      <c r="AX772" s="1096"/>
      <c r="AY772" s="1096"/>
    </row>
    <row r="773" spans="1:51" x14ac:dyDescent="0.45">
      <c r="A773" s="1096">
        <v>2003</v>
      </c>
      <c r="B773" s="1096" t="s">
        <v>1371</v>
      </c>
      <c r="C773" s="1113">
        <f>[7]LRAll!C764</f>
        <v>181.3</v>
      </c>
      <c r="D773" s="1113">
        <f>[7]LRAll!I764</f>
        <v>130.5</v>
      </c>
      <c r="E773" s="1096"/>
      <c r="F773" s="1114">
        <f t="shared" si="28"/>
        <v>71.980143408714838</v>
      </c>
      <c r="G773" s="1112">
        <f t="shared" si="29"/>
        <v>82.294539437396566</v>
      </c>
      <c r="H773" s="1112">
        <f t="shared" si="30"/>
        <v>80.584666298952001</v>
      </c>
      <c r="I773" s="1112">
        <f t="shared" si="31"/>
        <v>70.766685052399339</v>
      </c>
      <c r="J773" s="1112">
        <f t="shared" si="32"/>
        <v>71.538885824600101</v>
      </c>
      <c r="K773" s="1096"/>
      <c r="L773" s="1096"/>
      <c r="M773" s="1096"/>
      <c r="N773" s="1096"/>
      <c r="O773" s="1096"/>
      <c r="P773" s="1114">
        <v>130.5</v>
      </c>
      <c r="Q773" s="1096" t="s">
        <v>1628</v>
      </c>
      <c r="R773" s="1114">
        <v>149.19999999999999</v>
      </c>
      <c r="S773" s="1096" t="s">
        <v>1628</v>
      </c>
      <c r="T773" s="1114">
        <v>146.1</v>
      </c>
      <c r="U773" s="1096" t="s">
        <v>1628</v>
      </c>
      <c r="V773" s="1114">
        <v>128.30000000000001</v>
      </c>
      <c r="W773" s="1096" t="s">
        <v>1628</v>
      </c>
      <c r="X773" s="1114">
        <v>129.69999999999999</v>
      </c>
      <c r="Y773" s="1096" t="s">
        <v>1628</v>
      </c>
      <c r="Z773" s="1114">
        <v>181.3</v>
      </c>
      <c r="AA773" s="1096"/>
      <c r="AB773" s="1096"/>
      <c r="AC773" s="1096"/>
      <c r="AD773" s="1096"/>
      <c r="AE773" s="1096"/>
      <c r="AF773" s="1096"/>
      <c r="AG773" s="1096"/>
      <c r="AH773" s="1096"/>
      <c r="AI773" s="1096"/>
      <c r="AJ773" s="1096"/>
      <c r="AK773" s="1096"/>
      <c r="AL773" s="1096"/>
      <c r="AM773" s="1096"/>
      <c r="AN773" s="1096"/>
      <c r="AO773" s="1096"/>
      <c r="AP773" s="1096"/>
      <c r="AQ773" s="1096"/>
      <c r="AR773" s="1096"/>
      <c r="AS773" s="1096"/>
      <c r="AT773" s="1096"/>
      <c r="AU773" s="1096"/>
      <c r="AV773" s="1096"/>
      <c r="AW773" s="1096"/>
      <c r="AX773" s="1096"/>
      <c r="AY773" s="1096"/>
    </row>
    <row r="774" spans="1:51" x14ac:dyDescent="0.45">
      <c r="A774" s="1096">
        <v>2003</v>
      </c>
      <c r="B774" s="1096" t="s">
        <v>1373</v>
      </c>
      <c r="C774" s="1113">
        <f>[7]LRAll!C765</f>
        <v>181.3</v>
      </c>
      <c r="D774" s="1113">
        <f>[7]LRAll!I765</f>
        <v>131</v>
      </c>
      <c r="E774" s="1096"/>
      <c r="F774" s="1114">
        <f t="shared" si="28"/>
        <v>72.255929398786535</v>
      </c>
      <c r="G774" s="1112">
        <f t="shared" si="29"/>
        <v>82.239382239382223</v>
      </c>
      <c r="H774" s="1112">
        <f t="shared" si="30"/>
        <v>82.294539437396566</v>
      </c>
      <c r="I774" s="1112">
        <f t="shared" si="31"/>
        <v>71.097628240485378</v>
      </c>
      <c r="J774" s="1112">
        <f t="shared" si="32"/>
        <v>71.704357418643127</v>
      </c>
      <c r="K774" s="1096"/>
      <c r="L774" s="1096"/>
      <c r="M774" s="1096"/>
      <c r="N774" s="1096"/>
      <c r="O774" s="1096"/>
      <c r="P774" s="1114">
        <v>131</v>
      </c>
      <c r="Q774" s="1096" t="s">
        <v>1629</v>
      </c>
      <c r="R774" s="1114">
        <v>149.1</v>
      </c>
      <c r="S774" s="1096" t="s">
        <v>1629</v>
      </c>
      <c r="T774" s="1114">
        <v>149.19999999999999</v>
      </c>
      <c r="U774" s="1096" t="s">
        <v>1629</v>
      </c>
      <c r="V774" s="1114">
        <v>128.9</v>
      </c>
      <c r="W774" s="1096" t="s">
        <v>1629</v>
      </c>
      <c r="X774" s="1114">
        <v>130</v>
      </c>
      <c r="Y774" s="1096" t="s">
        <v>1629</v>
      </c>
      <c r="Z774" s="1114">
        <v>181.3</v>
      </c>
      <c r="AA774" s="1096"/>
      <c r="AB774" s="1096"/>
      <c r="AC774" s="1096"/>
      <c r="AD774" s="1096"/>
      <c r="AE774" s="1096"/>
      <c r="AF774" s="1096"/>
      <c r="AG774" s="1096"/>
      <c r="AH774" s="1096"/>
      <c r="AI774" s="1096"/>
      <c r="AJ774" s="1096"/>
      <c r="AK774" s="1096"/>
      <c r="AL774" s="1096"/>
      <c r="AM774" s="1096"/>
      <c r="AN774" s="1096"/>
      <c r="AO774" s="1096"/>
      <c r="AP774" s="1096"/>
      <c r="AQ774" s="1096"/>
      <c r="AR774" s="1096"/>
      <c r="AS774" s="1096"/>
      <c r="AT774" s="1096"/>
      <c r="AU774" s="1096"/>
      <c r="AV774" s="1096"/>
      <c r="AW774" s="1096"/>
      <c r="AX774" s="1096"/>
      <c r="AY774" s="1096"/>
    </row>
    <row r="775" spans="1:51" x14ac:dyDescent="0.45">
      <c r="A775" s="1096">
        <v>2003</v>
      </c>
      <c r="B775" s="1096" t="s">
        <v>1375</v>
      </c>
      <c r="C775" s="1113">
        <f>[7]LRAll!C766</f>
        <v>181.6</v>
      </c>
      <c r="D775" s="1113">
        <f>[7]LRAll!I766</f>
        <v>131.5</v>
      </c>
      <c r="E775" s="1096"/>
      <c r="F775" s="1114">
        <f t="shared" si="28"/>
        <v>72.411894273127757</v>
      </c>
      <c r="G775" s="1112">
        <f t="shared" si="29"/>
        <v>82.048458149779734</v>
      </c>
      <c r="H775" s="1112">
        <f t="shared" si="30"/>
        <v>84.581497797356832</v>
      </c>
      <c r="I775" s="1112">
        <f t="shared" si="31"/>
        <v>71.090308370044056</v>
      </c>
      <c r="J775" s="1112">
        <f t="shared" si="32"/>
        <v>71.806167400881066</v>
      </c>
      <c r="K775" s="1096"/>
      <c r="L775" s="1096"/>
      <c r="M775" s="1096"/>
      <c r="N775" s="1096"/>
      <c r="O775" s="1096"/>
      <c r="P775" s="1114">
        <v>131.5</v>
      </c>
      <c r="Q775" s="1096" t="s">
        <v>1630</v>
      </c>
      <c r="R775" s="1114">
        <v>149</v>
      </c>
      <c r="S775" s="1096" t="s">
        <v>1630</v>
      </c>
      <c r="T775" s="1114">
        <v>153.6</v>
      </c>
      <c r="U775" s="1096" t="s">
        <v>1630</v>
      </c>
      <c r="V775" s="1114">
        <v>129.1</v>
      </c>
      <c r="W775" s="1096" t="s">
        <v>1630</v>
      </c>
      <c r="X775" s="1114">
        <v>130.4</v>
      </c>
      <c r="Y775" s="1096" t="s">
        <v>1630</v>
      </c>
      <c r="Z775" s="1114">
        <v>181.6</v>
      </c>
      <c r="AA775" s="1096"/>
      <c r="AB775" s="1096"/>
      <c r="AC775" s="1096"/>
      <c r="AD775" s="1096"/>
      <c r="AE775" s="1096"/>
      <c r="AF775" s="1096"/>
      <c r="AG775" s="1096"/>
      <c r="AH775" s="1096"/>
      <c r="AI775" s="1096"/>
      <c r="AJ775" s="1096"/>
      <c r="AK775" s="1096"/>
      <c r="AL775" s="1096"/>
      <c r="AM775" s="1096"/>
      <c r="AN775" s="1096"/>
      <c r="AO775" s="1096"/>
      <c r="AP775" s="1096"/>
      <c r="AQ775" s="1096"/>
      <c r="AR775" s="1096"/>
      <c r="AS775" s="1096"/>
      <c r="AT775" s="1096"/>
      <c r="AU775" s="1096"/>
      <c r="AV775" s="1096"/>
      <c r="AW775" s="1096"/>
      <c r="AX775" s="1096"/>
      <c r="AY775" s="1096"/>
    </row>
    <row r="776" spans="1:51" x14ac:dyDescent="0.45">
      <c r="A776" s="1096">
        <v>2003</v>
      </c>
      <c r="B776" s="1096" t="s">
        <v>1377</v>
      </c>
      <c r="C776" s="1113">
        <f>[7]LRAll!C767</f>
        <v>182.5</v>
      </c>
      <c r="D776" s="1113">
        <f>[7]LRAll!I767</f>
        <v>131.80000000000001</v>
      </c>
      <c r="E776" s="1096"/>
      <c r="F776" s="1114">
        <f t="shared" si="28"/>
        <v>72.219178082191775</v>
      </c>
      <c r="G776" s="1112">
        <f t="shared" si="29"/>
        <v>83.123287671232873</v>
      </c>
      <c r="H776" s="1112">
        <f t="shared" si="30"/>
        <v>83.397260273972591</v>
      </c>
      <c r="I776" s="1112">
        <f t="shared" si="31"/>
        <v>70.904109589041099</v>
      </c>
      <c r="J776" s="1112">
        <f t="shared" si="32"/>
        <v>71.671232876712338</v>
      </c>
      <c r="K776" s="1096"/>
      <c r="L776" s="1096"/>
      <c r="M776" s="1096"/>
      <c r="N776" s="1096"/>
      <c r="O776" s="1096"/>
      <c r="P776" s="1114">
        <v>131.80000000000001</v>
      </c>
      <c r="Q776" s="1096" t="s">
        <v>1631</v>
      </c>
      <c r="R776" s="1114">
        <v>151.69999999999999</v>
      </c>
      <c r="S776" s="1096" t="s">
        <v>1631</v>
      </c>
      <c r="T776" s="1114">
        <v>152.19999999999999</v>
      </c>
      <c r="U776" s="1096" t="s">
        <v>1631</v>
      </c>
      <c r="V776" s="1114">
        <v>129.4</v>
      </c>
      <c r="W776" s="1096" t="s">
        <v>1631</v>
      </c>
      <c r="X776" s="1114">
        <v>130.80000000000001</v>
      </c>
      <c r="Y776" s="1096" t="s">
        <v>1631</v>
      </c>
      <c r="Z776" s="1114">
        <v>182.5</v>
      </c>
      <c r="AA776" s="1096"/>
      <c r="AB776" s="1096"/>
      <c r="AC776" s="1096"/>
      <c r="AD776" s="1096"/>
      <c r="AE776" s="1096"/>
      <c r="AF776" s="1096"/>
      <c r="AG776" s="1096"/>
      <c r="AH776" s="1096"/>
      <c r="AI776" s="1096"/>
      <c r="AJ776" s="1096"/>
      <c r="AK776" s="1096"/>
      <c r="AL776" s="1096"/>
      <c r="AM776" s="1096"/>
      <c r="AN776" s="1096"/>
      <c r="AO776" s="1096"/>
      <c r="AP776" s="1096"/>
      <c r="AQ776" s="1096"/>
      <c r="AR776" s="1096"/>
      <c r="AS776" s="1096"/>
      <c r="AT776" s="1096"/>
      <c r="AU776" s="1096"/>
      <c r="AV776" s="1096"/>
      <c r="AW776" s="1096"/>
      <c r="AX776" s="1096"/>
      <c r="AY776" s="1096"/>
    </row>
    <row r="777" spans="1:51" x14ac:dyDescent="0.45">
      <c r="A777" s="1096">
        <v>2003</v>
      </c>
      <c r="B777" s="1096" t="s">
        <v>1379</v>
      </c>
      <c r="C777" s="1113">
        <f>[7]LRAll!C768</f>
        <v>182.6</v>
      </c>
      <c r="D777" s="1113">
        <f>[7]LRAll!I768</f>
        <v>132.6</v>
      </c>
      <c r="E777" s="1096"/>
      <c r="F777" s="1114">
        <f t="shared" si="28"/>
        <v>72.617743702081043</v>
      </c>
      <c r="G777" s="1112">
        <f t="shared" si="29"/>
        <v>84.446878422782035</v>
      </c>
      <c r="H777" s="1112">
        <f t="shared" si="30"/>
        <v>88.335158817086537</v>
      </c>
      <c r="I777" s="1112">
        <f t="shared" si="31"/>
        <v>70.974808324205924</v>
      </c>
      <c r="J777" s="1112">
        <f t="shared" si="32"/>
        <v>71.686746987951807</v>
      </c>
      <c r="K777" s="1096"/>
      <c r="L777" s="1096"/>
      <c r="M777" s="1096"/>
      <c r="N777" s="1096"/>
      <c r="O777" s="1096"/>
      <c r="P777" s="1114">
        <v>132.6</v>
      </c>
      <c r="Q777" s="1096" t="s">
        <v>1632</v>
      </c>
      <c r="R777" s="1114">
        <v>154.19999999999999</v>
      </c>
      <c r="S777" s="1096" t="s">
        <v>1632</v>
      </c>
      <c r="T777" s="1114">
        <v>161.30000000000001</v>
      </c>
      <c r="U777" s="1096" t="s">
        <v>1632</v>
      </c>
      <c r="V777" s="1114">
        <v>129.6</v>
      </c>
      <c r="W777" s="1096" t="s">
        <v>1632</v>
      </c>
      <c r="X777" s="1114">
        <v>130.9</v>
      </c>
      <c r="Y777" s="1096" t="s">
        <v>1632</v>
      </c>
      <c r="Z777" s="1114">
        <v>182.6</v>
      </c>
      <c r="AA777" s="1096"/>
      <c r="AB777" s="1096"/>
      <c r="AC777" s="1096"/>
      <c r="AD777" s="1096"/>
      <c r="AE777" s="1096"/>
      <c r="AF777" s="1096"/>
      <c r="AG777" s="1096"/>
      <c r="AH777" s="1096"/>
      <c r="AI777" s="1096"/>
      <c r="AJ777" s="1096"/>
      <c r="AK777" s="1096"/>
      <c r="AL777" s="1096"/>
      <c r="AM777" s="1096"/>
      <c r="AN777" s="1096"/>
      <c r="AO777" s="1096"/>
      <c r="AP777" s="1096"/>
      <c r="AQ777" s="1096"/>
      <c r="AR777" s="1096"/>
      <c r="AS777" s="1096"/>
      <c r="AT777" s="1096"/>
      <c r="AU777" s="1096"/>
      <c r="AV777" s="1096"/>
      <c r="AW777" s="1096"/>
      <c r="AX777" s="1096"/>
      <c r="AY777" s="1096"/>
    </row>
    <row r="778" spans="1:51" x14ac:dyDescent="0.45">
      <c r="A778" s="1096">
        <v>2003</v>
      </c>
      <c r="B778" s="1096" t="s">
        <v>1381</v>
      </c>
      <c r="C778" s="1113">
        <f>[7]LRAll!C769</f>
        <v>182.7</v>
      </c>
      <c r="D778" s="1113">
        <f>[7]LRAll!I769</f>
        <v>132.80000000000001</v>
      </c>
      <c r="E778" s="1096"/>
      <c r="F778" s="1114">
        <f t="shared" si="28"/>
        <v>72.687465790914075</v>
      </c>
      <c r="G778" s="1112">
        <f t="shared" si="29"/>
        <v>84.5648604269294</v>
      </c>
      <c r="H778" s="1112">
        <f t="shared" si="30"/>
        <v>87.958401751505193</v>
      </c>
      <c r="I778" s="1112">
        <f t="shared" si="31"/>
        <v>71.100164203612479</v>
      </c>
      <c r="J778" s="1112">
        <f t="shared" si="32"/>
        <v>71.756978653530382</v>
      </c>
      <c r="K778" s="1096"/>
      <c r="L778" s="1096"/>
      <c r="M778" s="1096"/>
      <c r="N778" s="1096"/>
      <c r="O778" s="1096"/>
      <c r="P778" s="1114">
        <v>132.80000000000001</v>
      </c>
      <c r="Q778" s="1096" t="s">
        <v>1633</v>
      </c>
      <c r="R778" s="1114">
        <v>154.5</v>
      </c>
      <c r="S778" s="1096" t="s">
        <v>1633</v>
      </c>
      <c r="T778" s="1114">
        <v>160.69999999999999</v>
      </c>
      <c r="U778" s="1096" t="s">
        <v>1633</v>
      </c>
      <c r="V778" s="1114">
        <v>129.9</v>
      </c>
      <c r="W778" s="1096" t="s">
        <v>1633</v>
      </c>
      <c r="X778" s="1114">
        <v>131.1</v>
      </c>
      <c r="Y778" s="1096" t="s">
        <v>1633</v>
      </c>
      <c r="Z778" s="1114">
        <v>182.7</v>
      </c>
      <c r="AA778" s="1096"/>
      <c r="AB778" s="1096"/>
      <c r="AC778" s="1096"/>
      <c r="AD778" s="1096"/>
      <c r="AE778" s="1096"/>
      <c r="AF778" s="1096"/>
      <c r="AG778" s="1096"/>
      <c r="AH778" s="1096"/>
      <c r="AI778" s="1096"/>
      <c r="AJ778" s="1096"/>
      <c r="AK778" s="1096"/>
      <c r="AL778" s="1096"/>
      <c r="AM778" s="1096"/>
      <c r="AN778" s="1096"/>
      <c r="AO778" s="1096"/>
      <c r="AP778" s="1096"/>
      <c r="AQ778" s="1096"/>
      <c r="AR778" s="1096"/>
      <c r="AS778" s="1096"/>
      <c r="AT778" s="1096"/>
      <c r="AU778" s="1096"/>
      <c r="AV778" s="1096"/>
      <c r="AW778" s="1096"/>
      <c r="AX778" s="1096"/>
      <c r="AY778" s="1096"/>
    </row>
    <row r="779" spans="1:51" x14ac:dyDescent="0.45">
      <c r="A779" s="1096">
        <v>2003</v>
      </c>
      <c r="B779" s="1096" t="s">
        <v>1383</v>
      </c>
      <c r="C779" s="1113">
        <f>[7]LRAll!C770</f>
        <v>183.5</v>
      </c>
      <c r="D779" s="1113">
        <f>[7]LRAll!I770</f>
        <v>133.4</v>
      </c>
      <c r="E779" s="1096"/>
      <c r="F779" s="1114">
        <f t="shared" si="28"/>
        <v>72.697547683923716</v>
      </c>
      <c r="G779" s="1112">
        <f t="shared" si="29"/>
        <v>84.250681198910087</v>
      </c>
      <c r="H779" s="1112">
        <f t="shared" si="30"/>
        <v>90.626702997275217</v>
      </c>
      <c r="I779" s="1112">
        <f t="shared" si="31"/>
        <v>71.008174386920984</v>
      </c>
      <c r="J779" s="1112">
        <f t="shared" si="32"/>
        <v>71.662125340599459</v>
      </c>
      <c r="K779" s="1096"/>
      <c r="L779" s="1096"/>
      <c r="M779" s="1096"/>
      <c r="N779" s="1096"/>
      <c r="O779" s="1096"/>
      <c r="P779" s="1114">
        <v>133.4</v>
      </c>
      <c r="Q779" s="1096" t="s">
        <v>1634</v>
      </c>
      <c r="R779" s="1114">
        <v>154.6</v>
      </c>
      <c r="S779" s="1096" t="s">
        <v>1634</v>
      </c>
      <c r="T779" s="1114">
        <v>166.3</v>
      </c>
      <c r="U779" s="1096" t="s">
        <v>1634</v>
      </c>
      <c r="V779" s="1114">
        <v>130.30000000000001</v>
      </c>
      <c r="W779" s="1096" t="s">
        <v>1634</v>
      </c>
      <c r="X779" s="1114">
        <v>131.5</v>
      </c>
      <c r="Y779" s="1096" t="s">
        <v>1634</v>
      </c>
      <c r="Z779" s="1114">
        <v>183.5</v>
      </c>
      <c r="AA779" s="1096"/>
      <c r="AB779" s="1096"/>
      <c r="AC779" s="1096"/>
      <c r="AD779" s="1096"/>
      <c r="AE779" s="1096"/>
      <c r="AF779" s="1096"/>
      <c r="AG779" s="1096"/>
      <c r="AH779" s="1096"/>
      <c r="AI779" s="1096"/>
      <c r="AJ779" s="1096"/>
      <c r="AK779" s="1096"/>
      <c r="AL779" s="1096"/>
      <c r="AM779" s="1096"/>
      <c r="AN779" s="1096"/>
      <c r="AO779" s="1096"/>
      <c r="AP779" s="1096"/>
      <c r="AQ779" s="1096"/>
      <c r="AR779" s="1096"/>
      <c r="AS779" s="1096"/>
      <c r="AT779" s="1096"/>
      <c r="AU779" s="1096"/>
      <c r="AV779" s="1096"/>
      <c r="AW779" s="1096"/>
      <c r="AX779" s="1096"/>
      <c r="AY779" s="1096"/>
    </row>
    <row r="780" spans="1:51" x14ac:dyDescent="0.45">
      <c r="A780" s="1096">
        <v>2004</v>
      </c>
      <c r="B780" s="1096" t="s">
        <v>1385</v>
      </c>
      <c r="C780" s="1113">
        <f>[7]LRAll!C771</f>
        <v>183.1</v>
      </c>
      <c r="D780" s="1113">
        <f>[7]LRAll!I771</f>
        <v>134</v>
      </c>
      <c r="E780" s="1096"/>
      <c r="F780" s="1114">
        <f t="shared" si="28"/>
        <v>73.184052430365924</v>
      </c>
      <c r="G780" s="1112">
        <f t="shared" si="29"/>
        <v>84.76242490442381</v>
      </c>
      <c r="H780" s="1112">
        <f t="shared" si="30"/>
        <v>89.787001638448942</v>
      </c>
      <c r="I780" s="1112">
        <f t="shared" si="31"/>
        <v>71.600218459857999</v>
      </c>
      <c r="J780" s="1112">
        <f t="shared" si="32"/>
        <v>72.146368104860741</v>
      </c>
      <c r="K780" s="1096"/>
      <c r="L780" s="1096"/>
      <c r="M780" s="1096"/>
      <c r="N780" s="1096"/>
      <c r="O780" s="1096"/>
      <c r="P780" s="1114">
        <v>134</v>
      </c>
      <c r="Q780" s="1096" t="s">
        <v>1635</v>
      </c>
      <c r="R780" s="1114">
        <v>155.19999999999999</v>
      </c>
      <c r="S780" s="1096" t="s">
        <v>1635</v>
      </c>
      <c r="T780" s="1114">
        <v>164.4</v>
      </c>
      <c r="U780" s="1096" t="s">
        <v>1635</v>
      </c>
      <c r="V780" s="1114">
        <v>131.1</v>
      </c>
      <c r="W780" s="1096" t="s">
        <v>1635</v>
      </c>
      <c r="X780" s="1114">
        <v>132.1</v>
      </c>
      <c r="Y780" s="1096" t="s">
        <v>1635</v>
      </c>
      <c r="Z780" s="1114">
        <v>183.1</v>
      </c>
      <c r="AA780" s="1096"/>
      <c r="AB780" s="1096"/>
      <c r="AC780" s="1096"/>
      <c r="AD780" s="1096"/>
      <c r="AE780" s="1096"/>
      <c r="AF780" s="1096"/>
      <c r="AG780" s="1096"/>
      <c r="AH780" s="1096"/>
      <c r="AI780" s="1096"/>
      <c r="AJ780" s="1096"/>
      <c r="AK780" s="1096"/>
      <c r="AL780" s="1096"/>
      <c r="AM780" s="1096"/>
      <c r="AN780" s="1096"/>
      <c r="AO780" s="1096"/>
      <c r="AP780" s="1096"/>
      <c r="AQ780" s="1096"/>
      <c r="AR780" s="1096"/>
      <c r="AS780" s="1096"/>
      <c r="AT780" s="1096"/>
      <c r="AU780" s="1096"/>
      <c r="AV780" s="1096"/>
      <c r="AW780" s="1096"/>
      <c r="AX780" s="1096"/>
      <c r="AY780" s="1096"/>
    </row>
    <row r="781" spans="1:51" x14ac:dyDescent="0.45">
      <c r="A781" s="1096">
        <v>2004</v>
      </c>
      <c r="B781" s="1096" t="s">
        <v>1387</v>
      </c>
      <c r="C781" s="1113">
        <f>[7]LRAll!C772</f>
        <v>183.8</v>
      </c>
      <c r="D781" s="1113">
        <f>[7]LRAll!I772</f>
        <v>134.9</v>
      </c>
      <c r="E781" s="1096"/>
      <c r="F781" s="1114">
        <f t="shared" si="28"/>
        <v>73.394994559303598</v>
      </c>
      <c r="G781" s="1112">
        <f t="shared" si="29"/>
        <v>84.766050054406961</v>
      </c>
      <c r="H781" s="1112">
        <f t="shared" si="30"/>
        <v>87.867247007616967</v>
      </c>
      <c r="I781" s="1112">
        <f t="shared" si="31"/>
        <v>72.089227421109896</v>
      </c>
      <c r="J781" s="1112">
        <f t="shared" si="32"/>
        <v>72.415669205658318</v>
      </c>
      <c r="K781" s="1096"/>
      <c r="L781" s="1096"/>
      <c r="M781" s="1096"/>
      <c r="N781" s="1096"/>
      <c r="O781" s="1096"/>
      <c r="P781" s="1114">
        <v>134.9</v>
      </c>
      <c r="Q781" s="1096" t="s">
        <v>1636</v>
      </c>
      <c r="R781" s="1114">
        <v>155.80000000000001</v>
      </c>
      <c r="S781" s="1096" t="s">
        <v>1636</v>
      </c>
      <c r="T781" s="1114">
        <v>161.5</v>
      </c>
      <c r="U781" s="1096" t="s">
        <v>1636</v>
      </c>
      <c r="V781" s="1114">
        <v>132.5</v>
      </c>
      <c r="W781" s="1096" t="s">
        <v>1636</v>
      </c>
      <c r="X781" s="1114">
        <v>133.1</v>
      </c>
      <c r="Y781" s="1096" t="s">
        <v>1636</v>
      </c>
      <c r="Z781" s="1114">
        <v>183.8</v>
      </c>
      <c r="AA781" s="1096"/>
      <c r="AB781" s="1096"/>
      <c r="AC781" s="1096"/>
      <c r="AD781" s="1096"/>
      <c r="AE781" s="1096"/>
      <c r="AF781" s="1096"/>
      <c r="AG781" s="1096"/>
      <c r="AH781" s="1096"/>
      <c r="AI781" s="1096"/>
      <c r="AJ781" s="1096"/>
      <c r="AK781" s="1096"/>
      <c r="AL781" s="1096"/>
      <c r="AM781" s="1096"/>
      <c r="AN781" s="1096"/>
      <c r="AO781" s="1096"/>
      <c r="AP781" s="1096"/>
      <c r="AQ781" s="1096"/>
      <c r="AR781" s="1096"/>
      <c r="AS781" s="1096"/>
      <c r="AT781" s="1096"/>
      <c r="AU781" s="1096"/>
      <c r="AV781" s="1096"/>
      <c r="AW781" s="1096"/>
      <c r="AX781" s="1096"/>
      <c r="AY781" s="1096"/>
    </row>
    <row r="782" spans="1:51" x14ac:dyDescent="0.45">
      <c r="A782" s="1096">
        <v>2004</v>
      </c>
      <c r="B782" s="1096" t="s">
        <v>1389</v>
      </c>
      <c r="C782" s="1113">
        <f>[7]LRAll!C773</f>
        <v>184.6</v>
      </c>
      <c r="D782" s="1113">
        <f>[7]LRAll!I773</f>
        <v>136.4</v>
      </c>
      <c r="E782" s="1096"/>
      <c r="F782" s="1114">
        <f t="shared" si="28"/>
        <v>73.889490790899245</v>
      </c>
      <c r="G782" s="1112">
        <f t="shared" si="29"/>
        <v>84.29035752979415</v>
      </c>
      <c r="H782" s="1112">
        <f t="shared" si="30"/>
        <v>88.244853737811496</v>
      </c>
      <c r="I782" s="1112">
        <f t="shared" si="31"/>
        <v>72.806067172264363</v>
      </c>
      <c r="J782" s="1112">
        <f t="shared" si="32"/>
        <v>72.806067172264363</v>
      </c>
      <c r="K782" s="1096"/>
      <c r="L782" s="1096"/>
      <c r="M782" s="1096"/>
      <c r="N782" s="1096"/>
      <c r="O782" s="1096"/>
      <c r="P782" s="1114">
        <v>136.4</v>
      </c>
      <c r="Q782" s="1096" t="s">
        <v>1637</v>
      </c>
      <c r="R782" s="1114">
        <v>155.6</v>
      </c>
      <c r="S782" s="1096" t="s">
        <v>1637</v>
      </c>
      <c r="T782" s="1114">
        <v>162.9</v>
      </c>
      <c r="U782" s="1096" t="s">
        <v>1637</v>
      </c>
      <c r="V782" s="1114">
        <v>134.4</v>
      </c>
      <c r="W782" s="1096" t="s">
        <v>1637</v>
      </c>
      <c r="X782" s="1114">
        <v>134.4</v>
      </c>
      <c r="Y782" s="1096" t="s">
        <v>1637</v>
      </c>
      <c r="Z782" s="1114">
        <v>184.6</v>
      </c>
      <c r="AA782" s="1096"/>
      <c r="AB782" s="1096"/>
      <c r="AC782" s="1096"/>
      <c r="AD782" s="1096"/>
      <c r="AE782" s="1096"/>
      <c r="AF782" s="1096"/>
      <c r="AG782" s="1096"/>
      <c r="AH782" s="1096"/>
      <c r="AI782" s="1096"/>
      <c r="AJ782" s="1096"/>
      <c r="AK782" s="1096"/>
      <c r="AL782" s="1096"/>
      <c r="AM782" s="1096"/>
      <c r="AN782" s="1096"/>
      <c r="AO782" s="1096"/>
      <c r="AP782" s="1096"/>
      <c r="AQ782" s="1096"/>
      <c r="AR782" s="1096"/>
      <c r="AS782" s="1096"/>
      <c r="AT782" s="1096"/>
      <c r="AU782" s="1096"/>
      <c r="AV782" s="1096"/>
      <c r="AW782" s="1096"/>
      <c r="AX782" s="1096"/>
      <c r="AY782" s="1096"/>
    </row>
    <row r="783" spans="1:51" x14ac:dyDescent="0.45">
      <c r="A783" s="1096">
        <v>2004</v>
      </c>
      <c r="B783" s="1096" t="s">
        <v>1391</v>
      </c>
      <c r="C783" s="1113">
        <f>[7]LRAll!C774</f>
        <v>185.7</v>
      </c>
      <c r="D783" s="1113">
        <f>[7]LRAll!I774</f>
        <v>138.30000000000001</v>
      </c>
      <c r="E783" s="1096"/>
      <c r="F783" s="1114">
        <f t="shared" si="28"/>
        <v>74.474959612277885</v>
      </c>
      <c r="G783" s="1112">
        <f t="shared" si="29"/>
        <v>83.791060850834683</v>
      </c>
      <c r="H783" s="1112">
        <f t="shared" si="30"/>
        <v>92.891760904684986</v>
      </c>
      <c r="I783" s="1112">
        <f t="shared" si="31"/>
        <v>73.182552504038782</v>
      </c>
      <c r="J783" s="1112">
        <f t="shared" si="32"/>
        <v>73.182552504038782</v>
      </c>
      <c r="K783" s="1096"/>
      <c r="L783" s="1096"/>
      <c r="M783" s="1096"/>
      <c r="N783" s="1096"/>
      <c r="O783" s="1096"/>
      <c r="P783" s="1114">
        <v>138.30000000000001</v>
      </c>
      <c r="Q783" s="1096" t="s">
        <v>1638</v>
      </c>
      <c r="R783" s="1114">
        <v>155.6</v>
      </c>
      <c r="S783" s="1096" t="s">
        <v>1638</v>
      </c>
      <c r="T783" s="1114">
        <v>172.5</v>
      </c>
      <c r="U783" s="1096" t="s">
        <v>1638</v>
      </c>
      <c r="V783" s="1114">
        <v>135.9</v>
      </c>
      <c r="W783" s="1096" t="s">
        <v>1638</v>
      </c>
      <c r="X783" s="1114">
        <v>135.9</v>
      </c>
      <c r="Y783" s="1096" t="s">
        <v>1638</v>
      </c>
      <c r="Z783" s="1114">
        <v>185.7</v>
      </c>
      <c r="AA783" s="1096"/>
      <c r="AB783" s="1096"/>
      <c r="AC783" s="1096"/>
      <c r="AD783" s="1096"/>
      <c r="AE783" s="1096"/>
      <c r="AF783" s="1096"/>
      <c r="AG783" s="1096"/>
      <c r="AH783" s="1096"/>
      <c r="AI783" s="1096"/>
      <c r="AJ783" s="1096"/>
      <c r="AK783" s="1096"/>
      <c r="AL783" s="1096"/>
      <c r="AM783" s="1096"/>
      <c r="AN783" s="1096"/>
      <c r="AO783" s="1096"/>
      <c r="AP783" s="1096"/>
      <c r="AQ783" s="1096"/>
      <c r="AR783" s="1096"/>
      <c r="AS783" s="1096"/>
      <c r="AT783" s="1096"/>
      <c r="AU783" s="1096"/>
      <c r="AV783" s="1096"/>
      <c r="AW783" s="1096"/>
      <c r="AX783" s="1096"/>
      <c r="AY783" s="1096"/>
    </row>
    <row r="784" spans="1:51" x14ac:dyDescent="0.45">
      <c r="A784" s="1096">
        <v>2004</v>
      </c>
      <c r="B784" s="1096" t="s">
        <v>1393</v>
      </c>
      <c r="C784" s="1113">
        <f>[7]LRAll!C775</f>
        <v>186.5</v>
      </c>
      <c r="D784" s="1113">
        <f>[7]LRAll!I775</f>
        <v>139.4</v>
      </c>
      <c r="E784" s="1096"/>
      <c r="F784" s="1114">
        <f t="shared" si="28"/>
        <v>74.745308310991959</v>
      </c>
      <c r="G784" s="1112">
        <f t="shared" si="29"/>
        <v>82.627345844504021</v>
      </c>
      <c r="H784" s="1112">
        <f t="shared" si="30"/>
        <v>97.801608579088466</v>
      </c>
      <c r="I784" s="1112">
        <f t="shared" si="31"/>
        <v>73.083109919571058</v>
      </c>
      <c r="J784" s="1112">
        <f t="shared" si="32"/>
        <v>73.29758713136728</v>
      </c>
      <c r="K784" s="1096"/>
      <c r="L784" s="1096"/>
      <c r="M784" s="1096"/>
      <c r="N784" s="1096"/>
      <c r="O784" s="1096"/>
      <c r="P784" s="1114">
        <v>139.4</v>
      </c>
      <c r="Q784" s="1096" t="s">
        <v>1639</v>
      </c>
      <c r="R784" s="1114">
        <v>154.1</v>
      </c>
      <c r="S784" s="1096" t="s">
        <v>1639</v>
      </c>
      <c r="T784" s="1114">
        <v>182.4</v>
      </c>
      <c r="U784" s="1096" t="s">
        <v>1639</v>
      </c>
      <c r="V784" s="1114">
        <v>136.30000000000001</v>
      </c>
      <c r="W784" s="1096" t="s">
        <v>1639</v>
      </c>
      <c r="X784" s="1114">
        <v>136.69999999999999</v>
      </c>
      <c r="Y784" s="1096" t="s">
        <v>1639</v>
      </c>
      <c r="Z784" s="1114">
        <v>186.5</v>
      </c>
      <c r="AA784" s="1096"/>
      <c r="AB784" s="1096"/>
      <c r="AC784" s="1096"/>
      <c r="AD784" s="1096"/>
      <c r="AE784" s="1096"/>
      <c r="AF784" s="1096"/>
      <c r="AG784" s="1096"/>
      <c r="AH784" s="1096"/>
      <c r="AI784" s="1096"/>
      <c r="AJ784" s="1096"/>
      <c r="AK784" s="1096"/>
      <c r="AL784" s="1096"/>
      <c r="AM784" s="1096"/>
      <c r="AN784" s="1096"/>
      <c r="AO784" s="1096"/>
      <c r="AP784" s="1096"/>
      <c r="AQ784" s="1096"/>
      <c r="AR784" s="1096"/>
      <c r="AS784" s="1096"/>
      <c r="AT784" s="1096"/>
      <c r="AU784" s="1096"/>
      <c r="AV784" s="1096"/>
      <c r="AW784" s="1096"/>
      <c r="AX784" s="1096"/>
      <c r="AY784" s="1096"/>
    </row>
    <row r="785" spans="1:51" x14ac:dyDescent="0.45">
      <c r="A785" s="1096">
        <v>2004</v>
      </c>
      <c r="B785" s="1096" t="s">
        <v>1371</v>
      </c>
      <c r="C785" s="1113">
        <f>[7]LRAll!C776</f>
        <v>186.8</v>
      </c>
      <c r="D785" s="1113">
        <f>[7]LRAll!I776</f>
        <v>139.5</v>
      </c>
      <c r="E785" s="1096"/>
      <c r="F785" s="1114">
        <f t="shared" si="28"/>
        <v>74.678800856531041</v>
      </c>
      <c r="G785" s="1112">
        <f t="shared" si="29"/>
        <v>82.441113490364017</v>
      </c>
      <c r="H785" s="1112">
        <f t="shared" si="30"/>
        <v>93.361884368308353</v>
      </c>
      <c r="I785" s="1112">
        <f t="shared" si="31"/>
        <v>73.179871520342601</v>
      </c>
      <c r="J785" s="1112">
        <f t="shared" si="32"/>
        <v>73.608137044967876</v>
      </c>
      <c r="K785" s="1096"/>
      <c r="L785" s="1096"/>
      <c r="M785" s="1096"/>
      <c r="N785" s="1096"/>
      <c r="O785" s="1096"/>
      <c r="P785" s="1114">
        <v>139.5</v>
      </c>
      <c r="Q785" s="1096" t="s">
        <v>1640</v>
      </c>
      <c r="R785" s="1114">
        <v>154</v>
      </c>
      <c r="S785" s="1096" t="s">
        <v>1640</v>
      </c>
      <c r="T785" s="1114">
        <v>174.4</v>
      </c>
      <c r="U785" s="1096" t="s">
        <v>1640</v>
      </c>
      <c r="V785" s="1114">
        <v>136.69999999999999</v>
      </c>
      <c r="W785" s="1096" t="s">
        <v>1640</v>
      </c>
      <c r="X785" s="1114">
        <v>137.5</v>
      </c>
      <c r="Y785" s="1096" t="s">
        <v>1640</v>
      </c>
      <c r="Z785" s="1114">
        <v>186.8</v>
      </c>
      <c r="AA785" s="1096"/>
      <c r="AB785" s="1096"/>
      <c r="AC785" s="1096"/>
      <c r="AD785" s="1096"/>
      <c r="AE785" s="1096"/>
      <c r="AF785" s="1096"/>
      <c r="AG785" s="1096"/>
      <c r="AH785" s="1096"/>
      <c r="AI785" s="1096"/>
      <c r="AJ785" s="1096"/>
      <c r="AK785" s="1096"/>
      <c r="AL785" s="1096"/>
      <c r="AM785" s="1096"/>
      <c r="AN785" s="1096"/>
      <c r="AO785" s="1096"/>
      <c r="AP785" s="1096"/>
      <c r="AQ785" s="1096"/>
      <c r="AR785" s="1096"/>
      <c r="AS785" s="1096"/>
      <c r="AT785" s="1096"/>
      <c r="AU785" s="1096"/>
      <c r="AV785" s="1096"/>
      <c r="AW785" s="1096"/>
      <c r="AX785" s="1096"/>
      <c r="AY785" s="1096"/>
    </row>
    <row r="786" spans="1:51" x14ac:dyDescent="0.45">
      <c r="A786" s="1096">
        <v>2004</v>
      </c>
      <c r="B786" s="1096" t="s">
        <v>1373</v>
      </c>
      <c r="C786" s="1113">
        <f>[7]LRAll!C777</f>
        <v>186.8</v>
      </c>
      <c r="D786" s="1113">
        <f>[7]LRAll!I777</f>
        <v>140</v>
      </c>
      <c r="E786" s="1096"/>
      <c r="F786" s="1114">
        <f t="shared" si="28"/>
        <v>74.946466809421835</v>
      </c>
      <c r="G786" s="1112">
        <f t="shared" si="29"/>
        <v>82.922912205567442</v>
      </c>
      <c r="H786" s="1112">
        <f t="shared" si="30"/>
        <v>95.128479657387572</v>
      </c>
      <c r="I786" s="1112">
        <f t="shared" si="31"/>
        <v>73.286937901498931</v>
      </c>
      <c r="J786" s="1112">
        <f t="shared" si="32"/>
        <v>73.82226980728052</v>
      </c>
      <c r="K786" s="1096"/>
      <c r="L786" s="1096"/>
      <c r="M786" s="1096"/>
      <c r="N786" s="1096"/>
      <c r="O786" s="1096"/>
      <c r="P786" s="1114">
        <v>140</v>
      </c>
      <c r="Q786" s="1096" t="s">
        <v>1641</v>
      </c>
      <c r="R786" s="1114">
        <v>154.9</v>
      </c>
      <c r="S786" s="1096" t="s">
        <v>1641</v>
      </c>
      <c r="T786" s="1114">
        <v>177.7</v>
      </c>
      <c r="U786" s="1096" t="s">
        <v>1641</v>
      </c>
      <c r="V786" s="1114">
        <v>136.9</v>
      </c>
      <c r="W786" s="1096" t="s">
        <v>1641</v>
      </c>
      <c r="X786" s="1114">
        <v>137.9</v>
      </c>
      <c r="Y786" s="1096" t="s">
        <v>1641</v>
      </c>
      <c r="Z786" s="1114">
        <v>186.8</v>
      </c>
      <c r="AA786" s="1096"/>
      <c r="AB786" s="1096"/>
      <c r="AC786" s="1096"/>
      <c r="AD786" s="1096"/>
      <c r="AE786" s="1096"/>
      <c r="AF786" s="1096"/>
      <c r="AG786" s="1096"/>
      <c r="AH786" s="1096"/>
      <c r="AI786" s="1096"/>
      <c r="AJ786" s="1096"/>
      <c r="AK786" s="1096"/>
      <c r="AL786" s="1096"/>
      <c r="AM786" s="1096"/>
      <c r="AN786" s="1096"/>
      <c r="AO786" s="1096"/>
      <c r="AP786" s="1096"/>
      <c r="AQ786" s="1096"/>
      <c r="AR786" s="1096"/>
      <c r="AS786" s="1096"/>
      <c r="AT786" s="1096"/>
      <c r="AU786" s="1096"/>
      <c r="AV786" s="1096"/>
      <c r="AW786" s="1096"/>
      <c r="AX786" s="1096"/>
      <c r="AY786" s="1096"/>
    </row>
    <row r="787" spans="1:51" x14ac:dyDescent="0.45">
      <c r="A787" s="1096">
        <v>2004</v>
      </c>
      <c r="B787" s="1096" t="s">
        <v>1375</v>
      </c>
      <c r="C787" s="1113">
        <f>[7]LRAll!C778</f>
        <v>187.4</v>
      </c>
      <c r="D787" s="1113">
        <f>[7]LRAll!I778</f>
        <v>141.1</v>
      </c>
      <c r="E787" s="1096"/>
      <c r="F787" s="1114">
        <f t="shared" si="28"/>
        <v>75.293489861259332</v>
      </c>
      <c r="G787" s="1112">
        <f t="shared" si="29"/>
        <v>84.044823906083238</v>
      </c>
      <c r="H787" s="1112">
        <f t="shared" si="30"/>
        <v>101.6008537886873</v>
      </c>
      <c r="I787" s="1112">
        <f t="shared" si="31"/>
        <v>73.212379935965842</v>
      </c>
      <c r="J787" s="1112">
        <f t="shared" si="32"/>
        <v>73.745997865528281</v>
      </c>
      <c r="K787" s="1096"/>
      <c r="L787" s="1096"/>
      <c r="M787" s="1096"/>
      <c r="N787" s="1096"/>
      <c r="O787" s="1096"/>
      <c r="P787" s="1114">
        <v>141.1</v>
      </c>
      <c r="Q787" s="1096" t="s">
        <v>1642</v>
      </c>
      <c r="R787" s="1114">
        <v>157.5</v>
      </c>
      <c r="S787" s="1096" t="s">
        <v>1642</v>
      </c>
      <c r="T787" s="1114">
        <v>190.4</v>
      </c>
      <c r="U787" s="1096" t="s">
        <v>1642</v>
      </c>
      <c r="V787" s="1114">
        <v>137.19999999999999</v>
      </c>
      <c r="W787" s="1096" t="s">
        <v>1642</v>
      </c>
      <c r="X787" s="1114">
        <v>138.19999999999999</v>
      </c>
      <c r="Y787" s="1096" t="s">
        <v>1642</v>
      </c>
      <c r="Z787" s="1114">
        <v>187.4</v>
      </c>
      <c r="AA787" s="1096"/>
      <c r="AB787" s="1096"/>
      <c r="AC787" s="1096"/>
      <c r="AD787" s="1096"/>
      <c r="AE787" s="1096"/>
      <c r="AF787" s="1096"/>
      <c r="AG787" s="1096"/>
      <c r="AH787" s="1096"/>
      <c r="AI787" s="1096"/>
      <c r="AJ787" s="1096"/>
      <c r="AK787" s="1096"/>
      <c r="AL787" s="1096"/>
      <c r="AM787" s="1096"/>
      <c r="AN787" s="1096"/>
      <c r="AO787" s="1096"/>
      <c r="AP787" s="1096"/>
      <c r="AQ787" s="1096"/>
      <c r="AR787" s="1096"/>
      <c r="AS787" s="1096"/>
      <c r="AT787" s="1096"/>
      <c r="AU787" s="1096"/>
      <c r="AV787" s="1096"/>
      <c r="AW787" s="1096"/>
      <c r="AX787" s="1096"/>
      <c r="AY787" s="1096"/>
    </row>
    <row r="788" spans="1:51" x14ac:dyDescent="0.45">
      <c r="A788" s="1096">
        <v>2004</v>
      </c>
      <c r="B788" s="1096" t="s">
        <v>1377</v>
      </c>
      <c r="C788" s="1113">
        <f>[7]LRAll!C779</f>
        <v>188.1</v>
      </c>
      <c r="D788" s="1113">
        <f>[7]LRAll!I779</f>
        <v>142</v>
      </c>
      <c r="E788" s="1096"/>
      <c r="F788" s="1114">
        <f t="shared" si="28"/>
        <v>75.491759702286018</v>
      </c>
      <c r="G788" s="1112">
        <f t="shared" si="29"/>
        <v>85.911749069643804</v>
      </c>
      <c r="H788" s="1112">
        <f t="shared" si="30"/>
        <v>104.94417862838917</v>
      </c>
      <c r="I788" s="1112">
        <f t="shared" si="31"/>
        <v>73.099415204678365</v>
      </c>
      <c r="J788" s="1112">
        <f t="shared" si="32"/>
        <v>73.73737373737373</v>
      </c>
      <c r="K788" s="1096"/>
      <c r="L788" s="1096"/>
      <c r="M788" s="1096"/>
      <c r="N788" s="1096"/>
      <c r="O788" s="1096"/>
      <c r="P788" s="1114">
        <v>142</v>
      </c>
      <c r="Q788" s="1096" t="s">
        <v>1643</v>
      </c>
      <c r="R788" s="1114">
        <v>161.6</v>
      </c>
      <c r="S788" s="1096" t="s">
        <v>1643</v>
      </c>
      <c r="T788" s="1114">
        <v>197.4</v>
      </c>
      <c r="U788" s="1096" t="s">
        <v>1643</v>
      </c>
      <c r="V788" s="1114">
        <v>137.5</v>
      </c>
      <c r="W788" s="1096" t="s">
        <v>1643</v>
      </c>
      <c r="X788" s="1114">
        <v>138.69999999999999</v>
      </c>
      <c r="Y788" s="1096" t="s">
        <v>1643</v>
      </c>
      <c r="Z788" s="1114">
        <v>188.1</v>
      </c>
      <c r="AA788" s="1096"/>
      <c r="AB788" s="1096"/>
      <c r="AC788" s="1096"/>
      <c r="AD788" s="1096"/>
      <c r="AE788" s="1096"/>
      <c r="AF788" s="1096"/>
      <c r="AG788" s="1096"/>
      <c r="AH788" s="1096"/>
      <c r="AI788" s="1096"/>
      <c r="AJ788" s="1096"/>
      <c r="AK788" s="1096"/>
      <c r="AL788" s="1096"/>
      <c r="AM788" s="1096"/>
      <c r="AN788" s="1096"/>
      <c r="AO788" s="1096"/>
      <c r="AP788" s="1096"/>
      <c r="AQ788" s="1096"/>
      <c r="AR788" s="1096"/>
      <c r="AS788" s="1096"/>
      <c r="AT788" s="1096"/>
      <c r="AU788" s="1096"/>
      <c r="AV788" s="1096"/>
      <c r="AW788" s="1096"/>
      <c r="AX788" s="1096"/>
      <c r="AY788" s="1096"/>
    </row>
    <row r="789" spans="1:51" x14ac:dyDescent="0.45">
      <c r="A789" s="1096">
        <v>2004</v>
      </c>
      <c r="B789" s="1096" t="s">
        <v>1379</v>
      </c>
      <c r="C789" s="1113">
        <f>[7]LRAll!C780</f>
        <v>188.6</v>
      </c>
      <c r="D789" s="1113">
        <f>[7]LRAll!I780</f>
        <v>144.9</v>
      </c>
      <c r="E789" s="1096"/>
      <c r="F789" s="1114">
        <f t="shared" si="28"/>
        <v>76.829268292682926</v>
      </c>
      <c r="G789" s="1112">
        <f t="shared" si="29"/>
        <v>88.971367974549324</v>
      </c>
      <c r="H789" s="1112">
        <f t="shared" si="30"/>
        <v>115.37645811240722</v>
      </c>
      <c r="I789" s="1112">
        <f t="shared" si="31"/>
        <v>73.913043478260875</v>
      </c>
      <c r="J789" s="1112">
        <f t="shared" si="32"/>
        <v>74.284199363732768</v>
      </c>
      <c r="K789" s="1096"/>
      <c r="L789" s="1096"/>
      <c r="M789" s="1096"/>
      <c r="N789" s="1096"/>
      <c r="O789" s="1096"/>
      <c r="P789" s="1114">
        <v>144.9</v>
      </c>
      <c r="Q789" s="1096" t="s">
        <v>1644</v>
      </c>
      <c r="R789" s="1114">
        <v>167.8</v>
      </c>
      <c r="S789" s="1096" t="s">
        <v>1644</v>
      </c>
      <c r="T789" s="1114">
        <v>217.6</v>
      </c>
      <c r="U789" s="1096" t="s">
        <v>1644</v>
      </c>
      <c r="V789" s="1114">
        <v>139.4</v>
      </c>
      <c r="W789" s="1096" t="s">
        <v>1644</v>
      </c>
      <c r="X789" s="1114">
        <v>140.1</v>
      </c>
      <c r="Y789" s="1096" t="s">
        <v>1644</v>
      </c>
      <c r="Z789" s="1114">
        <v>188.6</v>
      </c>
      <c r="AA789" s="1096"/>
      <c r="AB789" s="1096"/>
      <c r="AC789" s="1096"/>
      <c r="AD789" s="1096"/>
      <c r="AE789" s="1096"/>
      <c r="AF789" s="1096"/>
      <c r="AG789" s="1096"/>
      <c r="AH789" s="1096"/>
      <c r="AI789" s="1096"/>
      <c r="AJ789" s="1096"/>
      <c r="AK789" s="1096"/>
      <c r="AL789" s="1096"/>
      <c r="AM789" s="1096"/>
      <c r="AN789" s="1096"/>
      <c r="AO789" s="1096"/>
      <c r="AP789" s="1096"/>
      <c r="AQ789" s="1096"/>
      <c r="AR789" s="1096"/>
      <c r="AS789" s="1096"/>
      <c r="AT789" s="1096"/>
      <c r="AU789" s="1096"/>
      <c r="AV789" s="1096"/>
      <c r="AW789" s="1096"/>
      <c r="AX789" s="1096"/>
      <c r="AY789" s="1096"/>
    </row>
    <row r="790" spans="1:51" x14ac:dyDescent="0.45">
      <c r="A790" s="1096">
        <v>2004</v>
      </c>
      <c r="B790" s="1096" t="s">
        <v>1381</v>
      </c>
      <c r="C790" s="1113">
        <f>[7]LRAll!C781</f>
        <v>189</v>
      </c>
      <c r="D790" s="1113">
        <f>[7]LRAll!I781</f>
        <v>147.6</v>
      </c>
      <c r="E790" s="1096"/>
      <c r="F790" s="1114">
        <f t="shared" si="28"/>
        <v>78.095238095238102</v>
      </c>
      <c r="G790" s="1112">
        <f t="shared" si="29"/>
        <v>89.894179894179899</v>
      </c>
      <c r="H790" s="1112">
        <f t="shared" si="30"/>
        <v>108.8888888888889</v>
      </c>
      <c r="I790" s="1112">
        <f t="shared" si="31"/>
        <v>76.296296296296291</v>
      </c>
      <c r="J790" s="1112">
        <f t="shared" si="32"/>
        <v>75.502645502645493</v>
      </c>
      <c r="K790" s="1096"/>
      <c r="L790" s="1096"/>
      <c r="M790" s="1096"/>
      <c r="N790" s="1096"/>
      <c r="O790" s="1096"/>
      <c r="P790" s="1114">
        <v>147.6</v>
      </c>
      <c r="Q790" s="1096" t="s">
        <v>1645</v>
      </c>
      <c r="R790" s="1114">
        <v>169.9</v>
      </c>
      <c r="S790" s="1096" t="s">
        <v>1645</v>
      </c>
      <c r="T790" s="1114">
        <v>205.8</v>
      </c>
      <c r="U790" s="1096" t="s">
        <v>1645</v>
      </c>
      <c r="V790" s="1114">
        <v>144.19999999999999</v>
      </c>
      <c r="W790" s="1096" t="s">
        <v>1645</v>
      </c>
      <c r="X790" s="1114">
        <v>142.69999999999999</v>
      </c>
      <c r="Y790" s="1096" t="s">
        <v>1645</v>
      </c>
      <c r="Z790" s="1114">
        <v>189</v>
      </c>
      <c r="AA790" s="1096"/>
      <c r="AB790" s="1096"/>
      <c r="AC790" s="1096"/>
      <c r="AD790" s="1096"/>
      <c r="AE790" s="1096"/>
      <c r="AF790" s="1096"/>
      <c r="AG790" s="1096"/>
      <c r="AH790" s="1096"/>
      <c r="AI790" s="1096"/>
      <c r="AJ790" s="1096"/>
      <c r="AK790" s="1096"/>
      <c r="AL790" s="1096"/>
      <c r="AM790" s="1096"/>
      <c r="AN790" s="1096"/>
      <c r="AO790" s="1096"/>
      <c r="AP790" s="1096"/>
      <c r="AQ790" s="1096"/>
      <c r="AR790" s="1096"/>
      <c r="AS790" s="1096"/>
      <c r="AT790" s="1096"/>
      <c r="AU790" s="1096"/>
      <c r="AV790" s="1096"/>
      <c r="AW790" s="1096"/>
      <c r="AX790" s="1096"/>
      <c r="AY790" s="1096"/>
    </row>
    <row r="791" spans="1:51" ht="14.65" thickBot="1" x14ac:dyDescent="0.5">
      <c r="A791" s="1103">
        <v>2004</v>
      </c>
      <c r="B791" s="1103" t="s">
        <v>1383</v>
      </c>
      <c r="C791" s="1113">
        <f>[7]LRAll!C782</f>
        <v>189.9</v>
      </c>
      <c r="D791" s="1113">
        <f>[7]LRAll!I782</f>
        <v>150.4</v>
      </c>
      <c r="E791" s="1096"/>
      <c r="F791" s="1114">
        <f t="shared" si="28"/>
        <v>79.199578725645082</v>
      </c>
      <c r="G791" s="1112">
        <f t="shared" si="29"/>
        <v>90.205371248025273</v>
      </c>
      <c r="H791" s="1112">
        <f t="shared" si="30"/>
        <v>102.36966824644549</v>
      </c>
      <c r="I791" s="1112">
        <f t="shared" si="31"/>
        <v>78.515007898894154</v>
      </c>
      <c r="J791" s="1112">
        <f t="shared" si="32"/>
        <v>76.566614007372308</v>
      </c>
      <c r="K791" s="1096"/>
      <c r="L791" s="1096"/>
      <c r="M791" s="1096"/>
      <c r="N791" s="1096"/>
      <c r="O791" s="1096"/>
      <c r="P791" s="1114">
        <v>150.4</v>
      </c>
      <c r="Q791" s="1096" t="s">
        <v>1646</v>
      </c>
      <c r="R791" s="1114">
        <v>171.3</v>
      </c>
      <c r="S791" s="1096" t="s">
        <v>1646</v>
      </c>
      <c r="T791" s="1114">
        <v>194.4</v>
      </c>
      <c r="U791" s="1096" t="s">
        <v>1646</v>
      </c>
      <c r="V791" s="1114">
        <v>149.1</v>
      </c>
      <c r="W791" s="1096" t="s">
        <v>1646</v>
      </c>
      <c r="X791" s="1114">
        <v>145.4</v>
      </c>
      <c r="Y791" s="1096" t="s">
        <v>1646</v>
      </c>
      <c r="Z791" s="1114">
        <v>189.9</v>
      </c>
      <c r="AA791" s="1096"/>
      <c r="AB791" s="1096"/>
      <c r="AC791" s="1096"/>
      <c r="AD791" s="1096"/>
      <c r="AE791" s="1096"/>
      <c r="AF791" s="1096"/>
      <c r="AG791" s="1096"/>
      <c r="AH791" s="1096"/>
      <c r="AI791" s="1096"/>
      <c r="AJ791" s="1096"/>
      <c r="AK791" s="1096"/>
      <c r="AL791" s="1096"/>
      <c r="AM791" s="1096"/>
      <c r="AN791" s="1096"/>
      <c r="AO791" s="1096"/>
      <c r="AP791" s="1096"/>
      <c r="AQ791" s="1096"/>
      <c r="AR791" s="1096"/>
      <c r="AS791" s="1096"/>
      <c r="AT791" s="1096"/>
      <c r="AU791" s="1096"/>
      <c r="AV791" s="1096"/>
      <c r="AW791" s="1096"/>
      <c r="AX791" s="1096"/>
      <c r="AY791" s="1096"/>
    </row>
    <row r="792" spans="1:51" x14ac:dyDescent="0.45">
      <c r="A792" s="1115">
        <v>2005</v>
      </c>
      <c r="B792" s="1096" t="s">
        <v>1385</v>
      </c>
      <c r="C792" s="1112">
        <f>[6]ONS!Z792</f>
        <v>188.9</v>
      </c>
      <c r="D792" s="1112">
        <f>[6]ONS!P792</f>
        <v>152.80000000000001</v>
      </c>
      <c r="E792" s="1096"/>
      <c r="F792" s="1114">
        <f t="shared" si="28"/>
        <v>80.889359449444157</v>
      </c>
      <c r="G792" s="1112">
        <f t="shared" si="29"/>
        <v>91.053467443091591</v>
      </c>
      <c r="H792" s="1112">
        <f t="shared" si="30"/>
        <v>103.97035468501852</v>
      </c>
      <c r="I792" s="1112">
        <f t="shared" si="31"/>
        <v>80.518793012175749</v>
      </c>
      <c r="J792" s="1112">
        <f t="shared" si="32"/>
        <v>78.083642138697712</v>
      </c>
      <c r="K792" s="1096"/>
      <c r="L792" s="1096"/>
      <c r="M792" s="1096"/>
      <c r="N792" s="1096"/>
      <c r="O792" s="1096"/>
      <c r="P792" s="1114">
        <v>152.80000000000001</v>
      </c>
      <c r="Q792" s="1096" t="s">
        <v>1647</v>
      </c>
      <c r="R792" s="1114">
        <v>172</v>
      </c>
      <c r="S792" s="1096" t="s">
        <v>1647</v>
      </c>
      <c r="T792" s="1114">
        <v>196.4</v>
      </c>
      <c r="U792" s="1096" t="s">
        <v>1647</v>
      </c>
      <c r="V792" s="1114">
        <v>152.1</v>
      </c>
      <c r="W792" s="1096" t="s">
        <v>1647</v>
      </c>
      <c r="X792" s="1114">
        <v>147.5</v>
      </c>
      <c r="Y792" s="1096" t="s">
        <v>1647</v>
      </c>
      <c r="Z792" s="1114">
        <v>188.9</v>
      </c>
      <c r="AA792" s="1096"/>
      <c r="AB792" s="1096"/>
      <c r="AC792" s="1096"/>
      <c r="AD792" s="1096"/>
      <c r="AE792" s="1096"/>
      <c r="AF792" s="1096"/>
      <c r="AG792" s="1096"/>
      <c r="AH792" s="1096"/>
      <c r="AI792" s="1096"/>
      <c r="AJ792" s="1096"/>
      <c r="AK792" s="1096"/>
      <c r="AL792" s="1096"/>
      <c r="AM792" s="1096"/>
      <c r="AN792" s="1096"/>
      <c r="AO792" s="1096"/>
      <c r="AP792" s="1096"/>
      <c r="AQ792" s="1096"/>
      <c r="AR792" s="1096"/>
      <c r="AS792" s="1096"/>
      <c r="AT792" s="1096"/>
      <c r="AU792" s="1096"/>
      <c r="AV792" s="1096"/>
      <c r="AW792" s="1096"/>
      <c r="AX792" s="1096"/>
      <c r="AY792" s="1096"/>
    </row>
    <row r="793" spans="1:51" x14ac:dyDescent="0.45">
      <c r="A793" s="1115">
        <v>2005</v>
      </c>
      <c r="B793" s="1096" t="s">
        <v>1387</v>
      </c>
      <c r="C793" s="1112">
        <f>[6]ONS!Z793</f>
        <v>189.6</v>
      </c>
      <c r="D793" s="1112">
        <f>[6]ONS!P793</f>
        <v>153.69999999999999</v>
      </c>
      <c r="E793" s="1096"/>
      <c r="F793" s="1114">
        <f t="shared" si="28"/>
        <v>81.065400843881847</v>
      </c>
      <c r="G793" s="1112">
        <f t="shared" si="29"/>
        <v>91.297468354430379</v>
      </c>
      <c r="H793" s="1112">
        <f t="shared" si="30"/>
        <v>103.9029535864979</v>
      </c>
      <c r="I793" s="1112">
        <f t="shared" si="31"/>
        <v>80.537974683544306</v>
      </c>
      <c r="J793" s="1112">
        <f t="shared" si="32"/>
        <v>78.375527426160346</v>
      </c>
      <c r="K793" s="1096"/>
      <c r="L793" s="1096"/>
      <c r="M793" s="1096"/>
      <c r="N793" s="1096"/>
      <c r="O793" s="1096"/>
      <c r="P793" s="1114">
        <v>153.69999999999999</v>
      </c>
      <c r="Q793" s="1096" t="s">
        <v>1648</v>
      </c>
      <c r="R793" s="1114">
        <v>173.1</v>
      </c>
      <c r="S793" s="1096" t="s">
        <v>1648</v>
      </c>
      <c r="T793" s="1114">
        <v>197</v>
      </c>
      <c r="U793" s="1096" t="s">
        <v>1648</v>
      </c>
      <c r="V793" s="1114">
        <v>152.69999999999999</v>
      </c>
      <c r="W793" s="1096" t="s">
        <v>1648</v>
      </c>
      <c r="X793" s="1114">
        <v>148.6</v>
      </c>
      <c r="Y793" s="1096" t="s">
        <v>1648</v>
      </c>
      <c r="Z793" s="1114">
        <v>189.6</v>
      </c>
      <c r="AA793" s="1096"/>
      <c r="AB793" s="1096"/>
      <c r="AC793" s="1096"/>
      <c r="AD793" s="1096"/>
      <c r="AE793" s="1096"/>
      <c r="AF793" s="1096"/>
      <c r="AG793" s="1096"/>
      <c r="AH793" s="1096"/>
      <c r="AI793" s="1096"/>
      <c r="AJ793" s="1096"/>
      <c r="AK793" s="1096"/>
      <c r="AL793" s="1096"/>
      <c r="AM793" s="1096"/>
      <c r="AN793" s="1096"/>
      <c r="AO793" s="1096"/>
      <c r="AP793" s="1096"/>
      <c r="AQ793" s="1096"/>
      <c r="AR793" s="1096"/>
      <c r="AS793" s="1096"/>
      <c r="AT793" s="1096"/>
      <c r="AU793" s="1096"/>
      <c r="AV793" s="1096"/>
      <c r="AW793" s="1096"/>
      <c r="AX793" s="1096"/>
      <c r="AY793" s="1096"/>
    </row>
    <row r="794" spans="1:51" x14ac:dyDescent="0.45">
      <c r="A794" s="1115">
        <v>2005</v>
      </c>
      <c r="B794" s="1096" t="s">
        <v>1389</v>
      </c>
      <c r="C794" s="1112">
        <f>[6]ONS!Z794</f>
        <v>190.5</v>
      </c>
      <c r="D794" s="1112">
        <f>[6]ONS!P794</f>
        <v>155.4</v>
      </c>
      <c r="E794" s="1096"/>
      <c r="F794" s="1114">
        <f t="shared" si="28"/>
        <v>81.574803149606296</v>
      </c>
      <c r="G794" s="1112">
        <f t="shared" si="29"/>
        <v>91.076115485564301</v>
      </c>
      <c r="H794" s="1112">
        <f t="shared" si="30"/>
        <v>114.8031496062992</v>
      </c>
      <c r="I794" s="1112">
        <f t="shared" si="31"/>
        <v>80.367454068241457</v>
      </c>
      <c r="J794" s="1112">
        <f t="shared" si="32"/>
        <v>78.425196850393704</v>
      </c>
      <c r="K794" s="1096"/>
      <c r="L794" s="1096"/>
      <c r="M794" s="1096"/>
      <c r="N794" s="1096"/>
      <c r="O794" s="1096"/>
      <c r="P794" s="1114">
        <v>155.4</v>
      </c>
      <c r="Q794" s="1096" t="s">
        <v>1649</v>
      </c>
      <c r="R794" s="1114">
        <v>173.5</v>
      </c>
      <c r="S794" s="1096" t="s">
        <v>1649</v>
      </c>
      <c r="T794" s="1114">
        <v>218.7</v>
      </c>
      <c r="U794" s="1096" t="s">
        <v>1649</v>
      </c>
      <c r="V794" s="1114">
        <v>153.1</v>
      </c>
      <c r="W794" s="1096" t="s">
        <v>1649</v>
      </c>
      <c r="X794" s="1114">
        <v>149.4</v>
      </c>
      <c r="Y794" s="1096" t="s">
        <v>1649</v>
      </c>
      <c r="Z794" s="1114">
        <v>190.5</v>
      </c>
      <c r="AA794" s="1096"/>
      <c r="AB794" s="1096"/>
      <c r="AC794" s="1096"/>
      <c r="AD794" s="1096"/>
      <c r="AE794" s="1096"/>
      <c r="AF794" s="1096"/>
      <c r="AG794" s="1096"/>
      <c r="AH794" s="1096"/>
      <c r="AI794" s="1096"/>
      <c r="AJ794" s="1096"/>
      <c r="AK794" s="1096"/>
      <c r="AL794" s="1096"/>
      <c r="AM794" s="1096"/>
      <c r="AN794" s="1096"/>
      <c r="AO794" s="1096"/>
      <c r="AP794" s="1096"/>
      <c r="AQ794" s="1096"/>
      <c r="AR794" s="1096"/>
      <c r="AS794" s="1096"/>
      <c r="AT794" s="1096"/>
      <c r="AU794" s="1096"/>
      <c r="AV794" s="1096"/>
      <c r="AW794" s="1096"/>
      <c r="AX794" s="1096"/>
      <c r="AY794" s="1096"/>
    </row>
    <row r="795" spans="1:51" x14ac:dyDescent="0.45">
      <c r="A795" s="1115">
        <v>2005</v>
      </c>
      <c r="B795" s="1096" t="s">
        <v>1391</v>
      </c>
      <c r="C795" s="1112">
        <f>[6]ONS!Z795</f>
        <v>191.6</v>
      </c>
      <c r="D795" s="1112">
        <f>[6]ONS!P795</f>
        <v>156.30000000000001</v>
      </c>
      <c r="E795" s="1096"/>
      <c r="F795" s="1114">
        <f t="shared" si="28"/>
        <v>81.57620041753654</v>
      </c>
      <c r="G795" s="1112">
        <f t="shared" si="29"/>
        <v>90.553235908141957</v>
      </c>
      <c r="H795" s="1112">
        <f t="shared" si="30"/>
        <v>117.53653444676408</v>
      </c>
      <c r="I795" s="1112">
        <f t="shared" si="31"/>
        <v>80.219206680584549</v>
      </c>
      <c r="J795" s="1112">
        <f t="shared" si="32"/>
        <v>78.340292275574114</v>
      </c>
      <c r="K795" s="1096"/>
      <c r="L795" s="1096"/>
      <c r="M795" s="1096"/>
      <c r="N795" s="1096"/>
      <c r="O795" s="1096"/>
      <c r="P795" s="1114">
        <v>156.30000000000001</v>
      </c>
      <c r="Q795" s="1096" t="s">
        <v>1650</v>
      </c>
      <c r="R795" s="1114">
        <v>173.5</v>
      </c>
      <c r="S795" s="1096" t="s">
        <v>1650</v>
      </c>
      <c r="T795" s="1114">
        <v>225.2</v>
      </c>
      <c r="U795" s="1096" t="s">
        <v>1650</v>
      </c>
      <c r="V795" s="1114">
        <v>153.69999999999999</v>
      </c>
      <c r="W795" s="1096" t="s">
        <v>1650</v>
      </c>
      <c r="X795" s="1114">
        <v>150.1</v>
      </c>
      <c r="Y795" s="1096" t="s">
        <v>1650</v>
      </c>
      <c r="Z795" s="1114">
        <v>191.6</v>
      </c>
      <c r="AA795" s="1096"/>
      <c r="AB795" s="1096"/>
      <c r="AC795" s="1096"/>
      <c r="AD795" s="1096"/>
      <c r="AE795" s="1096"/>
      <c r="AF795" s="1096"/>
      <c r="AG795" s="1096"/>
      <c r="AH795" s="1096"/>
      <c r="AI795" s="1096"/>
      <c r="AJ795" s="1096"/>
      <c r="AK795" s="1096"/>
      <c r="AL795" s="1096"/>
      <c r="AM795" s="1096"/>
      <c r="AN795" s="1096"/>
      <c r="AO795" s="1096"/>
      <c r="AP795" s="1096"/>
      <c r="AQ795" s="1096"/>
      <c r="AR795" s="1096"/>
      <c r="AS795" s="1096"/>
      <c r="AT795" s="1096"/>
      <c r="AU795" s="1096"/>
      <c r="AV795" s="1096"/>
      <c r="AW795" s="1096"/>
      <c r="AX795" s="1096"/>
      <c r="AY795" s="1096"/>
    </row>
    <row r="796" spans="1:51" x14ac:dyDescent="0.45">
      <c r="A796" s="1115">
        <v>2005</v>
      </c>
      <c r="B796" s="1096" t="s">
        <v>1393</v>
      </c>
      <c r="C796" s="1112">
        <f>[6]ONS!Z796</f>
        <v>192</v>
      </c>
      <c r="D796" s="1112">
        <f>[6]ONS!P796</f>
        <v>156.19999999999999</v>
      </c>
      <c r="E796" s="1096"/>
      <c r="F796" s="1114">
        <f t="shared" si="28"/>
        <v>81.354166666666657</v>
      </c>
      <c r="G796" s="1112">
        <f t="shared" si="29"/>
        <v>89.583333333333343</v>
      </c>
      <c r="H796" s="1112">
        <f t="shared" si="30"/>
        <v>111.92708333333334</v>
      </c>
      <c r="I796" s="1112">
        <f t="shared" si="31"/>
        <v>80.364583333333343</v>
      </c>
      <c r="J796" s="1112">
        <f t="shared" si="32"/>
        <v>78.385416666666657</v>
      </c>
      <c r="K796" s="1096"/>
      <c r="L796" s="1096"/>
      <c r="M796" s="1096"/>
      <c r="N796" s="1096"/>
      <c r="O796" s="1096"/>
      <c r="P796" s="1114">
        <v>156.19999999999999</v>
      </c>
      <c r="Q796" s="1096" t="s">
        <v>1651</v>
      </c>
      <c r="R796" s="1114">
        <v>172</v>
      </c>
      <c r="S796" s="1096" t="s">
        <v>1651</v>
      </c>
      <c r="T796" s="1114">
        <v>214.9</v>
      </c>
      <c r="U796" s="1096" t="s">
        <v>1651</v>
      </c>
      <c r="V796" s="1114">
        <v>154.30000000000001</v>
      </c>
      <c r="W796" s="1096" t="s">
        <v>1651</v>
      </c>
      <c r="X796" s="1114">
        <v>150.5</v>
      </c>
      <c r="Y796" s="1096" t="s">
        <v>1651</v>
      </c>
      <c r="Z796" s="1114">
        <v>192</v>
      </c>
      <c r="AA796" s="1096"/>
      <c r="AB796" s="1096"/>
      <c r="AC796" s="1096"/>
      <c r="AD796" s="1096"/>
      <c r="AE796" s="1096"/>
      <c r="AF796" s="1096"/>
      <c r="AG796" s="1096"/>
      <c r="AH796" s="1096"/>
      <c r="AI796" s="1096"/>
      <c r="AJ796" s="1096"/>
      <c r="AK796" s="1096"/>
      <c r="AL796" s="1096"/>
      <c r="AM796" s="1096"/>
      <c r="AN796" s="1096"/>
      <c r="AO796" s="1096"/>
      <c r="AP796" s="1096"/>
      <c r="AQ796" s="1096"/>
      <c r="AR796" s="1096"/>
      <c r="AS796" s="1096"/>
      <c r="AT796" s="1096"/>
      <c r="AU796" s="1096"/>
      <c r="AV796" s="1096"/>
      <c r="AW796" s="1096"/>
      <c r="AX796" s="1096"/>
      <c r="AY796" s="1096"/>
    </row>
    <row r="797" spans="1:51" x14ac:dyDescent="0.45">
      <c r="A797" s="1115">
        <v>2005</v>
      </c>
      <c r="B797" s="1096" t="s">
        <v>1371</v>
      </c>
      <c r="C797" s="1112">
        <f>[6]ONS!Z797</f>
        <v>192.2</v>
      </c>
      <c r="D797" s="1112">
        <f>[6]ONS!P797</f>
        <v>157.4</v>
      </c>
      <c r="E797" s="1096"/>
      <c r="F797" s="1114">
        <f t="shared" si="28"/>
        <v>81.893860561914678</v>
      </c>
      <c r="G797" s="1112">
        <f t="shared" si="29"/>
        <v>89.125910509885543</v>
      </c>
      <c r="H797" s="1112">
        <f t="shared" si="30"/>
        <v>120.7075962539022</v>
      </c>
      <c r="I797" s="1112">
        <f t="shared" si="31"/>
        <v>80.593132154006256</v>
      </c>
      <c r="J797" s="1112">
        <f t="shared" si="32"/>
        <v>78.407908428720091</v>
      </c>
      <c r="K797" s="1096"/>
      <c r="L797" s="1096"/>
      <c r="M797" s="1096"/>
      <c r="N797" s="1096"/>
      <c r="O797" s="1096"/>
      <c r="P797" s="1114">
        <v>157.4</v>
      </c>
      <c r="Q797" s="1096" t="s">
        <v>1652</v>
      </c>
      <c r="R797" s="1114">
        <v>171.3</v>
      </c>
      <c r="S797" s="1096" t="s">
        <v>1652</v>
      </c>
      <c r="T797" s="1114">
        <v>232</v>
      </c>
      <c r="U797" s="1096" t="s">
        <v>1652</v>
      </c>
      <c r="V797" s="1114">
        <v>154.9</v>
      </c>
      <c r="W797" s="1096" t="s">
        <v>1652</v>
      </c>
      <c r="X797" s="1114">
        <v>150.69999999999999</v>
      </c>
      <c r="Y797" s="1096" t="s">
        <v>1652</v>
      </c>
      <c r="Z797" s="1114">
        <v>192.2</v>
      </c>
      <c r="AA797" s="1096"/>
      <c r="AB797" s="1096"/>
      <c r="AC797" s="1096"/>
      <c r="AD797" s="1096"/>
      <c r="AE797" s="1096"/>
      <c r="AF797" s="1096"/>
      <c r="AG797" s="1096"/>
      <c r="AH797" s="1096"/>
      <c r="AI797" s="1096"/>
      <c r="AJ797" s="1096"/>
      <c r="AK797" s="1096"/>
      <c r="AL797" s="1096"/>
      <c r="AM797" s="1096"/>
      <c r="AN797" s="1096"/>
      <c r="AO797" s="1096"/>
      <c r="AP797" s="1096"/>
      <c r="AQ797" s="1096"/>
      <c r="AR797" s="1096"/>
      <c r="AS797" s="1096"/>
      <c r="AT797" s="1096"/>
      <c r="AU797" s="1096"/>
      <c r="AV797" s="1096"/>
      <c r="AW797" s="1096"/>
      <c r="AX797" s="1096"/>
      <c r="AY797" s="1096"/>
    </row>
    <row r="798" spans="1:51" x14ac:dyDescent="0.45">
      <c r="A798" s="1115">
        <v>2005</v>
      </c>
      <c r="B798" s="1096" t="s">
        <v>1373</v>
      </c>
      <c r="C798" s="1112">
        <f>[6]ONS!Z798</f>
        <v>192.2</v>
      </c>
      <c r="D798" s="1112">
        <f>[6]ONS!P798</f>
        <v>158.19999999999999</v>
      </c>
      <c r="E798" s="1096"/>
      <c r="F798" s="1114">
        <f t="shared" si="28"/>
        <v>82.310093652445374</v>
      </c>
      <c r="G798" s="1112">
        <f t="shared" si="29"/>
        <v>88.969823100936523</v>
      </c>
      <c r="H798" s="1112">
        <f t="shared" si="30"/>
        <v>127.67950052029138</v>
      </c>
      <c r="I798" s="1112">
        <f t="shared" si="31"/>
        <v>80.697190426638926</v>
      </c>
      <c r="J798" s="1112">
        <f t="shared" si="32"/>
        <v>78.459937565036427</v>
      </c>
      <c r="K798" s="1096"/>
      <c r="L798" s="1096"/>
      <c r="M798" s="1096"/>
      <c r="N798" s="1096"/>
      <c r="O798" s="1096"/>
      <c r="P798" s="1114">
        <v>158.19999999999999</v>
      </c>
      <c r="Q798" s="1096" t="s">
        <v>1653</v>
      </c>
      <c r="R798" s="1114">
        <v>171</v>
      </c>
      <c r="S798" s="1096" t="s">
        <v>1653</v>
      </c>
      <c r="T798" s="1114">
        <v>245.4</v>
      </c>
      <c r="U798" s="1096" t="s">
        <v>1653</v>
      </c>
      <c r="V798" s="1114">
        <v>155.1</v>
      </c>
      <c r="W798" s="1096" t="s">
        <v>1653</v>
      </c>
      <c r="X798" s="1114">
        <v>150.80000000000001</v>
      </c>
      <c r="Y798" s="1096" t="s">
        <v>1653</v>
      </c>
      <c r="Z798" s="1114">
        <v>192.2</v>
      </c>
      <c r="AA798" s="1096"/>
      <c r="AB798" s="1096"/>
      <c r="AC798" s="1096"/>
      <c r="AD798" s="1096"/>
      <c r="AE798" s="1096"/>
      <c r="AF798" s="1096"/>
      <c r="AG798" s="1096"/>
      <c r="AH798" s="1096"/>
      <c r="AI798" s="1096"/>
      <c r="AJ798" s="1096"/>
      <c r="AK798" s="1096"/>
      <c r="AL798" s="1096"/>
      <c r="AM798" s="1096"/>
      <c r="AN798" s="1096"/>
      <c r="AO798" s="1096"/>
      <c r="AP798" s="1096"/>
      <c r="AQ798" s="1096"/>
      <c r="AR798" s="1096"/>
      <c r="AS798" s="1096"/>
      <c r="AT798" s="1096"/>
      <c r="AU798" s="1096"/>
      <c r="AV798" s="1096"/>
      <c r="AW798" s="1096"/>
      <c r="AX798" s="1096"/>
      <c r="AY798" s="1096"/>
    </row>
    <row r="799" spans="1:51" x14ac:dyDescent="0.45">
      <c r="A799" s="1115">
        <v>2005</v>
      </c>
      <c r="B799" s="1096" t="s">
        <v>1375</v>
      </c>
      <c r="C799" s="1112">
        <f>[6]ONS!Z799</f>
        <v>192.6</v>
      </c>
      <c r="D799" s="1112">
        <f>[6]ONS!P799</f>
        <v>159.1</v>
      </c>
      <c r="E799" s="1096"/>
      <c r="F799" s="1114">
        <f t="shared" si="28"/>
        <v>82.606438213914842</v>
      </c>
      <c r="G799" s="1112">
        <f t="shared" si="29"/>
        <v>89.92731048805814</v>
      </c>
      <c r="H799" s="1112">
        <f t="shared" si="30"/>
        <v>133.80062305295951</v>
      </c>
      <c r="I799" s="1112">
        <f t="shared" si="31"/>
        <v>80.633437175493256</v>
      </c>
      <c r="J799" s="1112">
        <f t="shared" si="32"/>
        <v>78.504672897196258</v>
      </c>
      <c r="K799" s="1096"/>
      <c r="L799" s="1096"/>
      <c r="M799" s="1096"/>
      <c r="N799" s="1096"/>
      <c r="O799" s="1096"/>
      <c r="P799" s="1114">
        <v>159.1</v>
      </c>
      <c r="Q799" s="1096" t="s">
        <v>1654</v>
      </c>
      <c r="R799" s="1114">
        <v>173.2</v>
      </c>
      <c r="S799" s="1096" t="s">
        <v>1654</v>
      </c>
      <c r="T799" s="1114">
        <v>257.7</v>
      </c>
      <c r="U799" s="1096" t="s">
        <v>1654</v>
      </c>
      <c r="V799" s="1114">
        <v>155.30000000000001</v>
      </c>
      <c r="W799" s="1096" t="s">
        <v>1654</v>
      </c>
      <c r="X799" s="1114">
        <v>151.19999999999999</v>
      </c>
      <c r="Y799" s="1096" t="s">
        <v>1654</v>
      </c>
      <c r="Z799" s="1114">
        <v>192.6</v>
      </c>
      <c r="AA799" s="1096"/>
      <c r="AB799" s="1096"/>
      <c r="AC799" s="1096"/>
      <c r="AD799" s="1096"/>
      <c r="AE799" s="1096"/>
      <c r="AF799" s="1096"/>
      <c r="AG799" s="1096"/>
      <c r="AH799" s="1096"/>
      <c r="AI799" s="1096"/>
      <c r="AJ799" s="1096"/>
      <c r="AK799" s="1096"/>
      <c r="AL799" s="1096"/>
      <c r="AM799" s="1096"/>
      <c r="AN799" s="1096"/>
      <c r="AO799" s="1096"/>
      <c r="AP799" s="1096"/>
      <c r="AQ799" s="1096"/>
      <c r="AR799" s="1096"/>
      <c r="AS799" s="1096"/>
      <c r="AT799" s="1096"/>
      <c r="AU799" s="1096"/>
      <c r="AV799" s="1096"/>
      <c r="AW799" s="1096"/>
      <c r="AX799" s="1096"/>
      <c r="AY799" s="1096"/>
    </row>
    <row r="800" spans="1:51" x14ac:dyDescent="0.45">
      <c r="A800" s="1115">
        <v>2005</v>
      </c>
      <c r="B800" s="1096" t="s">
        <v>1377</v>
      </c>
      <c r="C800" s="1112">
        <f>[6]ONS!Z800</f>
        <v>193.1</v>
      </c>
      <c r="D800" s="1112">
        <f>[6]ONS!P800</f>
        <v>161.19999999999999</v>
      </c>
      <c r="E800" s="1096"/>
      <c r="F800" s="1114">
        <f t="shared" si="28"/>
        <v>83.480062143966848</v>
      </c>
      <c r="G800" s="1112">
        <f t="shared" si="29"/>
        <v>90.833764888658735</v>
      </c>
      <c r="H800" s="1112">
        <f t="shared" si="30"/>
        <v>135.8363542206111</v>
      </c>
      <c r="I800" s="1112">
        <f t="shared" si="31"/>
        <v>81.563956499223195</v>
      </c>
      <c r="J800" s="1112">
        <f t="shared" si="32"/>
        <v>79.129984464008302</v>
      </c>
      <c r="K800" s="1096"/>
      <c r="L800" s="1096"/>
      <c r="M800" s="1096"/>
      <c r="N800" s="1096"/>
      <c r="O800" s="1096"/>
      <c r="P800" s="1114">
        <v>161.19999999999999</v>
      </c>
      <c r="Q800" s="1096" t="s">
        <v>1655</v>
      </c>
      <c r="R800" s="1114">
        <v>175.4</v>
      </c>
      <c r="S800" s="1096" t="s">
        <v>1655</v>
      </c>
      <c r="T800" s="1114">
        <v>262.3</v>
      </c>
      <c r="U800" s="1096" t="s">
        <v>1655</v>
      </c>
      <c r="V800" s="1114">
        <v>157.5</v>
      </c>
      <c r="W800" s="1096" t="s">
        <v>1655</v>
      </c>
      <c r="X800" s="1114">
        <v>152.80000000000001</v>
      </c>
      <c r="Y800" s="1096" t="s">
        <v>1655</v>
      </c>
      <c r="Z800" s="1114">
        <v>193.1</v>
      </c>
      <c r="AA800" s="1096"/>
      <c r="AB800" s="1096"/>
      <c r="AC800" s="1096"/>
      <c r="AD800" s="1096"/>
      <c r="AE800" s="1096"/>
      <c r="AF800" s="1096"/>
      <c r="AG800" s="1096"/>
      <c r="AH800" s="1096"/>
      <c r="AI800" s="1096"/>
      <c r="AJ800" s="1096"/>
      <c r="AK800" s="1096"/>
      <c r="AL800" s="1096"/>
      <c r="AM800" s="1096"/>
      <c r="AN800" s="1096"/>
      <c r="AO800" s="1096"/>
      <c r="AP800" s="1096"/>
      <c r="AQ800" s="1096"/>
      <c r="AR800" s="1096"/>
      <c r="AS800" s="1096"/>
      <c r="AT800" s="1096"/>
      <c r="AU800" s="1096"/>
      <c r="AV800" s="1096"/>
      <c r="AW800" s="1096"/>
      <c r="AX800" s="1096"/>
      <c r="AY800" s="1096"/>
    </row>
    <row r="801" spans="1:51" x14ac:dyDescent="0.45">
      <c r="A801" s="1115">
        <v>2005</v>
      </c>
      <c r="B801" s="1096" t="s">
        <v>1379</v>
      </c>
      <c r="C801" s="1112">
        <f>[6]ONS!Z801</f>
        <v>193.3</v>
      </c>
      <c r="D801" s="1112">
        <f>[6]ONS!P801</f>
        <v>166</v>
      </c>
      <c r="E801" s="1096"/>
      <c r="F801" s="1114">
        <f t="shared" si="28"/>
        <v>85.876875323331603</v>
      </c>
      <c r="G801" s="1112">
        <f t="shared" si="29"/>
        <v>94.619762027935849</v>
      </c>
      <c r="H801" s="1112">
        <f t="shared" si="30"/>
        <v>140.76564924987068</v>
      </c>
      <c r="I801" s="1112">
        <f t="shared" si="31"/>
        <v>84.480082772891876</v>
      </c>
      <c r="J801" s="1112">
        <f t="shared" si="32"/>
        <v>80.807035695809617</v>
      </c>
      <c r="K801" s="1096"/>
      <c r="L801" s="1096"/>
      <c r="M801" s="1096"/>
      <c r="N801" s="1096"/>
      <c r="O801" s="1096"/>
      <c r="P801" s="1114">
        <v>166</v>
      </c>
      <c r="Q801" s="1096" t="s">
        <v>1656</v>
      </c>
      <c r="R801" s="1114">
        <v>182.9</v>
      </c>
      <c r="S801" s="1096" t="s">
        <v>1656</v>
      </c>
      <c r="T801" s="1114">
        <v>272.10000000000002</v>
      </c>
      <c r="U801" s="1096" t="s">
        <v>1656</v>
      </c>
      <c r="V801" s="1114">
        <v>163.30000000000001</v>
      </c>
      <c r="W801" s="1096" t="s">
        <v>1656</v>
      </c>
      <c r="X801" s="1114">
        <v>156.19999999999999</v>
      </c>
      <c r="Y801" s="1096" t="s">
        <v>1656</v>
      </c>
      <c r="Z801" s="1114">
        <v>193.3</v>
      </c>
      <c r="AA801" s="1096"/>
      <c r="AB801" s="1096"/>
      <c r="AC801" s="1096"/>
      <c r="AD801" s="1096"/>
      <c r="AE801" s="1096"/>
      <c r="AF801" s="1096"/>
      <c r="AG801" s="1096"/>
      <c r="AH801" s="1096"/>
      <c r="AI801" s="1096"/>
      <c r="AJ801" s="1096"/>
      <c r="AK801" s="1096"/>
      <c r="AL801" s="1096"/>
      <c r="AM801" s="1096"/>
      <c r="AN801" s="1096"/>
      <c r="AO801" s="1096"/>
      <c r="AP801" s="1096"/>
      <c r="AQ801" s="1096"/>
      <c r="AR801" s="1096"/>
      <c r="AS801" s="1096"/>
      <c r="AT801" s="1096"/>
      <c r="AU801" s="1096"/>
      <c r="AV801" s="1096"/>
      <c r="AW801" s="1096"/>
      <c r="AX801" s="1096"/>
      <c r="AY801" s="1096"/>
    </row>
    <row r="802" spans="1:51" x14ac:dyDescent="0.45">
      <c r="A802" s="1115">
        <v>2005</v>
      </c>
      <c r="B802" s="1096" t="s">
        <v>1381</v>
      </c>
      <c r="C802" s="1112">
        <f>[6]ONS!Z802</f>
        <v>193.6</v>
      </c>
      <c r="D802" s="1112">
        <f>[6]ONS!P802</f>
        <v>169.1</v>
      </c>
      <c r="E802" s="1096"/>
      <c r="F802" s="1114">
        <f t="shared" si="28"/>
        <v>87.34504132231406</v>
      </c>
      <c r="G802" s="1112">
        <f t="shared" si="29"/>
        <v>95.247933884297538</v>
      </c>
      <c r="H802" s="1112">
        <f t="shared" si="30"/>
        <v>127.84090909090911</v>
      </c>
      <c r="I802" s="1112">
        <f t="shared" si="31"/>
        <v>87.551652892561975</v>
      </c>
      <c r="J802" s="1112">
        <f t="shared" si="32"/>
        <v>82.334710743801651</v>
      </c>
      <c r="K802" s="1096"/>
      <c r="L802" s="1096"/>
      <c r="M802" s="1096"/>
      <c r="N802" s="1096"/>
      <c r="O802" s="1096"/>
      <c r="P802" s="1114">
        <v>169.1</v>
      </c>
      <c r="Q802" s="1096" t="s">
        <v>1657</v>
      </c>
      <c r="R802" s="1114">
        <v>184.4</v>
      </c>
      <c r="S802" s="1096" t="s">
        <v>1657</v>
      </c>
      <c r="T802" s="1114">
        <v>247.5</v>
      </c>
      <c r="U802" s="1096" t="s">
        <v>1657</v>
      </c>
      <c r="V802" s="1114">
        <v>169.5</v>
      </c>
      <c r="W802" s="1096" t="s">
        <v>1657</v>
      </c>
      <c r="X802" s="1114">
        <v>159.4</v>
      </c>
      <c r="Y802" s="1096" t="s">
        <v>1657</v>
      </c>
      <c r="Z802" s="1114">
        <v>193.6</v>
      </c>
      <c r="AA802" s="1096"/>
      <c r="AB802" s="1096"/>
      <c r="AC802" s="1096"/>
      <c r="AD802" s="1096"/>
      <c r="AE802" s="1096"/>
      <c r="AF802" s="1096"/>
      <c r="AG802" s="1096"/>
      <c r="AH802" s="1096"/>
      <c r="AI802" s="1096"/>
      <c r="AJ802" s="1096"/>
      <c r="AK802" s="1096"/>
      <c r="AL802" s="1096"/>
      <c r="AM802" s="1096"/>
      <c r="AN802" s="1096"/>
      <c r="AO802" s="1096"/>
      <c r="AP802" s="1096"/>
      <c r="AQ802" s="1096"/>
      <c r="AR802" s="1096"/>
      <c r="AS802" s="1096"/>
      <c r="AT802" s="1096"/>
      <c r="AU802" s="1096"/>
      <c r="AV802" s="1096"/>
      <c r="AW802" s="1096"/>
      <c r="AX802" s="1096"/>
      <c r="AY802" s="1096"/>
    </row>
    <row r="803" spans="1:51" x14ac:dyDescent="0.45">
      <c r="A803" s="1115">
        <v>2005</v>
      </c>
      <c r="B803" s="1096" t="s">
        <v>1383</v>
      </c>
      <c r="C803" s="1112">
        <f>[6]ONS!Z803</f>
        <v>194.1</v>
      </c>
      <c r="D803" s="1112">
        <f>[6]ONS!P803</f>
        <v>171.7</v>
      </c>
      <c r="E803" s="1096"/>
      <c r="F803" s="1114">
        <f t="shared" si="28"/>
        <v>88.459556929417829</v>
      </c>
      <c r="G803" s="1112">
        <f t="shared" si="29"/>
        <v>95.260175167439471</v>
      </c>
      <c r="H803" s="1112">
        <f t="shared" si="30"/>
        <v>131.32405976300876</v>
      </c>
      <c r="I803" s="1112">
        <f t="shared" si="31"/>
        <v>89.12931478619268</v>
      </c>
      <c r="J803" s="1112">
        <f t="shared" si="32"/>
        <v>82.998454404945903</v>
      </c>
      <c r="K803" s="1096"/>
      <c r="L803" s="1096"/>
      <c r="M803" s="1096"/>
      <c r="N803" s="1096"/>
      <c r="O803" s="1096"/>
      <c r="P803" s="1114">
        <v>171.7</v>
      </c>
      <c r="Q803" s="1096" t="s">
        <v>1658</v>
      </c>
      <c r="R803" s="1114">
        <v>184.9</v>
      </c>
      <c r="S803" s="1096" t="s">
        <v>1658</v>
      </c>
      <c r="T803" s="1114">
        <v>254.9</v>
      </c>
      <c r="U803" s="1096" t="s">
        <v>1658</v>
      </c>
      <c r="V803" s="1114">
        <v>173</v>
      </c>
      <c r="W803" s="1096" t="s">
        <v>1658</v>
      </c>
      <c r="X803" s="1114">
        <v>161.1</v>
      </c>
      <c r="Y803" s="1096" t="s">
        <v>1658</v>
      </c>
      <c r="Z803" s="1114">
        <v>194.1</v>
      </c>
      <c r="AA803" s="1096"/>
      <c r="AB803" s="1096"/>
      <c r="AC803" s="1096"/>
      <c r="AD803" s="1096"/>
      <c r="AE803" s="1096"/>
      <c r="AF803" s="1096"/>
      <c r="AG803" s="1096"/>
      <c r="AH803" s="1096"/>
      <c r="AI803" s="1096"/>
      <c r="AJ803" s="1096"/>
      <c r="AK803" s="1096"/>
      <c r="AL803" s="1096"/>
      <c r="AM803" s="1096"/>
      <c r="AN803" s="1096"/>
      <c r="AO803" s="1096"/>
      <c r="AP803" s="1096"/>
      <c r="AQ803" s="1096"/>
      <c r="AR803" s="1096"/>
      <c r="AS803" s="1096"/>
      <c r="AT803" s="1096"/>
      <c r="AU803" s="1096"/>
      <c r="AV803" s="1096"/>
      <c r="AW803" s="1096"/>
      <c r="AX803" s="1096"/>
      <c r="AY803" s="1096"/>
    </row>
    <row r="804" spans="1:51" x14ac:dyDescent="0.45">
      <c r="A804" s="1115">
        <v>2006</v>
      </c>
      <c r="B804" s="1096" t="s">
        <v>1385</v>
      </c>
      <c r="C804" s="1112">
        <f>[6]ONS!Z804</f>
        <v>193.4</v>
      </c>
      <c r="D804" s="1112">
        <f>[6]ONS!P804</f>
        <v>173.3</v>
      </c>
      <c r="E804" s="1096"/>
      <c r="F804" s="1114">
        <f t="shared" si="28"/>
        <v>89.60703205791107</v>
      </c>
      <c r="G804" s="1112">
        <f t="shared" si="29"/>
        <v>95.656670113753876</v>
      </c>
      <c r="H804" s="1112">
        <f t="shared" si="30"/>
        <v>135.26370217166493</v>
      </c>
      <c r="I804" s="1112">
        <f t="shared" si="31"/>
        <v>90.124095139607036</v>
      </c>
      <c r="J804" s="1112">
        <f t="shared" si="32"/>
        <v>84.074457083764216</v>
      </c>
      <c r="K804" s="1096"/>
      <c r="L804" s="1096"/>
      <c r="M804" s="1096"/>
      <c r="N804" s="1096"/>
      <c r="O804" s="1096"/>
      <c r="P804" s="1114">
        <v>173.3</v>
      </c>
      <c r="Q804" s="1096" t="s">
        <v>1659</v>
      </c>
      <c r="R804" s="1114">
        <v>185</v>
      </c>
      <c r="S804" s="1096" t="s">
        <v>1659</v>
      </c>
      <c r="T804" s="1114">
        <v>261.60000000000002</v>
      </c>
      <c r="U804" s="1096" t="s">
        <v>1659</v>
      </c>
      <c r="V804" s="1114">
        <v>174.3</v>
      </c>
      <c r="W804" s="1096" t="s">
        <v>1659</v>
      </c>
      <c r="X804" s="1114">
        <v>162.6</v>
      </c>
      <c r="Y804" s="1096" t="s">
        <v>1659</v>
      </c>
      <c r="Z804" s="1114">
        <v>193.4</v>
      </c>
      <c r="AA804" s="1096"/>
      <c r="AB804" s="1096"/>
      <c r="AC804" s="1096"/>
      <c r="AD804" s="1096"/>
      <c r="AE804" s="1096"/>
      <c r="AF804" s="1096"/>
      <c r="AG804" s="1096"/>
      <c r="AH804" s="1096"/>
      <c r="AI804" s="1096"/>
      <c r="AJ804" s="1096"/>
      <c r="AK804" s="1096"/>
      <c r="AL804" s="1096"/>
      <c r="AM804" s="1096"/>
      <c r="AN804" s="1096"/>
      <c r="AO804" s="1096"/>
      <c r="AP804" s="1096"/>
      <c r="AQ804" s="1096"/>
      <c r="AR804" s="1096"/>
      <c r="AS804" s="1096"/>
      <c r="AT804" s="1096"/>
      <c r="AU804" s="1096"/>
      <c r="AV804" s="1096"/>
      <c r="AW804" s="1096"/>
      <c r="AX804" s="1096"/>
      <c r="AY804" s="1096"/>
    </row>
    <row r="805" spans="1:51" x14ac:dyDescent="0.45">
      <c r="A805" s="1115">
        <v>2006</v>
      </c>
      <c r="B805" s="1096" t="s">
        <v>1387</v>
      </c>
      <c r="C805" s="1112">
        <f>[6]ONS!Z805</f>
        <v>194.2</v>
      </c>
      <c r="D805" s="1112">
        <f>[6]ONS!P805</f>
        <v>174.9</v>
      </c>
      <c r="E805" s="1096"/>
      <c r="F805" s="1114">
        <f t="shared" si="28"/>
        <v>90.061791967044286</v>
      </c>
      <c r="G805" s="1112">
        <f t="shared" si="29"/>
        <v>95.365602471678685</v>
      </c>
      <c r="H805" s="1112">
        <f t="shared" si="30"/>
        <v>137.07518022657055</v>
      </c>
      <c r="I805" s="1112">
        <f t="shared" si="31"/>
        <v>90.164778578784762</v>
      </c>
      <c r="J805" s="1112">
        <f t="shared" si="32"/>
        <v>84.706488156539649</v>
      </c>
      <c r="K805" s="1096"/>
      <c r="L805" s="1096"/>
      <c r="M805" s="1096"/>
      <c r="N805" s="1096"/>
      <c r="O805" s="1096"/>
      <c r="P805" s="1114">
        <v>174.9</v>
      </c>
      <c r="Q805" s="1096" t="s">
        <v>1660</v>
      </c>
      <c r="R805" s="1114">
        <v>185.2</v>
      </c>
      <c r="S805" s="1096" t="s">
        <v>1660</v>
      </c>
      <c r="T805" s="1114">
        <v>266.2</v>
      </c>
      <c r="U805" s="1096" t="s">
        <v>1660</v>
      </c>
      <c r="V805" s="1114">
        <v>175.1</v>
      </c>
      <c r="W805" s="1096" t="s">
        <v>1660</v>
      </c>
      <c r="X805" s="1114">
        <v>164.5</v>
      </c>
      <c r="Y805" s="1096" t="s">
        <v>1660</v>
      </c>
      <c r="Z805" s="1114">
        <v>194.2</v>
      </c>
      <c r="AA805" s="1096"/>
      <c r="AB805" s="1096"/>
      <c r="AC805" s="1096"/>
      <c r="AD805" s="1096"/>
      <c r="AE805" s="1096"/>
      <c r="AF805" s="1096"/>
      <c r="AG805" s="1096"/>
      <c r="AH805" s="1096"/>
      <c r="AI805" s="1096"/>
      <c r="AJ805" s="1096"/>
      <c r="AK805" s="1096"/>
      <c r="AL805" s="1096"/>
      <c r="AM805" s="1096"/>
      <c r="AN805" s="1096"/>
      <c r="AO805" s="1096"/>
      <c r="AP805" s="1096"/>
      <c r="AQ805" s="1096"/>
      <c r="AR805" s="1096"/>
      <c r="AS805" s="1096"/>
      <c r="AT805" s="1096"/>
      <c r="AU805" s="1096"/>
      <c r="AV805" s="1096"/>
      <c r="AW805" s="1096"/>
      <c r="AX805" s="1096"/>
      <c r="AY805" s="1096"/>
    </row>
    <row r="806" spans="1:51" x14ac:dyDescent="0.45">
      <c r="A806" s="1115">
        <v>2006</v>
      </c>
      <c r="B806" s="1096" t="s">
        <v>1389</v>
      </c>
      <c r="C806" s="1112">
        <f>[6]ONS!Z806</f>
        <v>195</v>
      </c>
      <c r="D806" s="1112">
        <f>[6]ONS!P806</f>
        <v>179.5</v>
      </c>
      <c r="E806" s="1096"/>
      <c r="F806" s="1114">
        <f t="shared" ref="F806:F869" si="33">D806/C806*100</f>
        <v>92.051282051282044</v>
      </c>
      <c r="G806" s="1112">
        <f t="shared" si="29"/>
        <v>94.974358974358964</v>
      </c>
      <c r="H806" s="1112">
        <f t="shared" si="30"/>
        <v>137.69230769230768</v>
      </c>
      <c r="I806" s="1112">
        <f t="shared" si="31"/>
        <v>92.71794871794873</v>
      </c>
      <c r="J806" s="1112">
        <f t="shared" si="32"/>
        <v>86.564102564102569</v>
      </c>
      <c r="K806" s="1096"/>
      <c r="L806" s="1096"/>
      <c r="M806" s="1096"/>
      <c r="N806" s="1096"/>
      <c r="O806" s="1096"/>
      <c r="P806" s="1114">
        <v>179.5</v>
      </c>
      <c r="Q806" s="1096" t="s">
        <v>1661</v>
      </c>
      <c r="R806" s="1114">
        <v>185.2</v>
      </c>
      <c r="S806" s="1096" t="s">
        <v>1661</v>
      </c>
      <c r="T806" s="1114">
        <v>268.5</v>
      </c>
      <c r="U806" s="1096" t="s">
        <v>1661</v>
      </c>
      <c r="V806" s="1114">
        <v>180.8</v>
      </c>
      <c r="W806" s="1096" t="s">
        <v>1661</v>
      </c>
      <c r="X806" s="1114">
        <v>168.8</v>
      </c>
      <c r="Y806" s="1096" t="s">
        <v>1661</v>
      </c>
      <c r="Z806" s="1114">
        <v>195</v>
      </c>
      <c r="AA806" s="1096"/>
      <c r="AB806" s="1096"/>
      <c r="AC806" s="1096"/>
      <c r="AD806" s="1096"/>
      <c r="AE806" s="1096"/>
      <c r="AF806" s="1096"/>
      <c r="AG806" s="1096"/>
      <c r="AH806" s="1096"/>
      <c r="AI806" s="1096"/>
      <c r="AJ806" s="1096"/>
      <c r="AK806" s="1096"/>
      <c r="AL806" s="1096"/>
      <c r="AM806" s="1096"/>
      <c r="AN806" s="1096"/>
      <c r="AO806" s="1096"/>
      <c r="AP806" s="1096"/>
      <c r="AQ806" s="1096"/>
      <c r="AR806" s="1096"/>
      <c r="AS806" s="1096"/>
      <c r="AT806" s="1096"/>
      <c r="AU806" s="1096"/>
      <c r="AV806" s="1096"/>
      <c r="AW806" s="1096"/>
      <c r="AX806" s="1096"/>
      <c r="AY806" s="1096"/>
    </row>
    <row r="807" spans="1:51" x14ac:dyDescent="0.45">
      <c r="A807" s="1115">
        <v>2006</v>
      </c>
      <c r="B807" s="1096" t="s">
        <v>1391</v>
      </c>
      <c r="C807" s="1112">
        <f>[6]ONS!Z807</f>
        <v>196.5</v>
      </c>
      <c r="D807" s="1112">
        <f>[6]ONS!P807</f>
        <v>188.4</v>
      </c>
      <c r="E807" s="1096"/>
      <c r="F807" s="1114">
        <f t="shared" si="33"/>
        <v>95.877862595419856</v>
      </c>
      <c r="G807" s="1112">
        <f t="shared" si="29"/>
        <v>94.503816793893122</v>
      </c>
      <c r="H807" s="1112">
        <f t="shared" si="30"/>
        <v>140.15267175572518</v>
      </c>
      <c r="I807" s="1112">
        <f t="shared" si="31"/>
        <v>97.964376590330787</v>
      </c>
      <c r="J807" s="1112">
        <f t="shared" si="32"/>
        <v>89.618320610687022</v>
      </c>
      <c r="K807" s="1096"/>
      <c r="L807" s="1096"/>
      <c r="M807" s="1096"/>
      <c r="N807" s="1096"/>
      <c r="O807" s="1096"/>
      <c r="P807" s="1114">
        <v>188.4</v>
      </c>
      <c r="Q807" s="1096" t="s">
        <v>1662</v>
      </c>
      <c r="R807" s="1114">
        <v>185.7</v>
      </c>
      <c r="S807" s="1096" t="s">
        <v>1662</v>
      </c>
      <c r="T807" s="1114">
        <v>275.39999999999998</v>
      </c>
      <c r="U807" s="1096" t="s">
        <v>1662</v>
      </c>
      <c r="V807" s="1114">
        <v>192.5</v>
      </c>
      <c r="W807" s="1096" t="s">
        <v>1662</v>
      </c>
      <c r="X807" s="1114">
        <v>176.1</v>
      </c>
      <c r="Y807" s="1096" t="s">
        <v>1662</v>
      </c>
      <c r="Z807" s="1114">
        <v>196.5</v>
      </c>
      <c r="AA807" s="1096"/>
      <c r="AB807" s="1096"/>
      <c r="AC807" s="1096"/>
      <c r="AD807" s="1096"/>
      <c r="AE807" s="1096"/>
      <c r="AF807" s="1096"/>
      <c r="AG807" s="1096"/>
      <c r="AH807" s="1096"/>
      <c r="AI807" s="1096"/>
      <c r="AJ807" s="1096"/>
      <c r="AK807" s="1096"/>
      <c r="AL807" s="1096"/>
      <c r="AM807" s="1096"/>
      <c r="AN807" s="1096"/>
      <c r="AO807" s="1096"/>
      <c r="AP807" s="1096"/>
      <c r="AQ807" s="1096"/>
      <c r="AR807" s="1096"/>
      <c r="AS807" s="1096"/>
      <c r="AT807" s="1096"/>
      <c r="AU807" s="1096"/>
      <c r="AV807" s="1096"/>
      <c r="AW807" s="1096"/>
      <c r="AX807" s="1096"/>
      <c r="AY807" s="1096"/>
    </row>
    <row r="808" spans="1:51" x14ac:dyDescent="0.45">
      <c r="A808" s="1115">
        <v>2006</v>
      </c>
      <c r="B808" s="1096" t="s">
        <v>1393</v>
      </c>
      <c r="C808" s="1112">
        <f>[6]ONS!Z808</f>
        <v>197.7</v>
      </c>
      <c r="D808" s="1112">
        <f>[6]ONS!P808</f>
        <v>197.2</v>
      </c>
      <c r="E808" s="1096"/>
      <c r="F808" s="1114">
        <f t="shared" si="33"/>
        <v>99.747091552857867</v>
      </c>
      <c r="G808" s="1112">
        <f t="shared" si="29"/>
        <v>94.891249367728875</v>
      </c>
      <c r="H808" s="1112">
        <f t="shared" si="30"/>
        <v>140.11127971674256</v>
      </c>
      <c r="I808" s="1112">
        <f t="shared" si="31"/>
        <v>103.38897319170461</v>
      </c>
      <c r="J808" s="1112">
        <f t="shared" si="32"/>
        <v>92.817400101163386</v>
      </c>
      <c r="K808" s="1096"/>
      <c r="L808" s="1096"/>
      <c r="M808" s="1096"/>
      <c r="N808" s="1096"/>
      <c r="O808" s="1096"/>
      <c r="P808" s="1114">
        <v>197.2</v>
      </c>
      <c r="Q808" s="1096" t="s">
        <v>1663</v>
      </c>
      <c r="R808" s="1114">
        <v>187.6</v>
      </c>
      <c r="S808" s="1096" t="s">
        <v>1663</v>
      </c>
      <c r="T808" s="1114">
        <v>277</v>
      </c>
      <c r="U808" s="1096" t="s">
        <v>1663</v>
      </c>
      <c r="V808" s="1114">
        <v>204.4</v>
      </c>
      <c r="W808" s="1096" t="s">
        <v>1663</v>
      </c>
      <c r="X808" s="1114">
        <v>183.5</v>
      </c>
      <c r="Y808" s="1096" t="s">
        <v>1663</v>
      </c>
      <c r="Z808" s="1114">
        <v>197.7</v>
      </c>
      <c r="AA808" s="1096"/>
      <c r="AB808" s="1096"/>
      <c r="AC808" s="1096"/>
      <c r="AD808" s="1096"/>
      <c r="AE808" s="1096"/>
      <c r="AF808" s="1096"/>
      <c r="AG808" s="1096"/>
      <c r="AH808" s="1096"/>
      <c r="AI808" s="1096"/>
      <c r="AJ808" s="1096"/>
      <c r="AK808" s="1096"/>
      <c r="AL808" s="1096"/>
      <c r="AM808" s="1096"/>
      <c r="AN808" s="1096"/>
      <c r="AO808" s="1096"/>
      <c r="AP808" s="1096"/>
      <c r="AQ808" s="1096"/>
      <c r="AR808" s="1096"/>
      <c r="AS808" s="1096"/>
      <c r="AT808" s="1096"/>
      <c r="AU808" s="1096"/>
      <c r="AV808" s="1096"/>
      <c r="AW808" s="1096"/>
      <c r="AX808" s="1096"/>
      <c r="AY808" s="1096"/>
    </row>
    <row r="809" spans="1:51" x14ac:dyDescent="0.45">
      <c r="A809" s="1115">
        <v>2006</v>
      </c>
      <c r="B809" s="1096" t="s">
        <v>1371</v>
      </c>
      <c r="C809" s="1112">
        <f>[6]ONS!Z809</f>
        <v>198.5</v>
      </c>
      <c r="D809" s="1112">
        <f>[6]ONS!P809</f>
        <v>201.8</v>
      </c>
      <c r="E809" s="1096"/>
      <c r="F809" s="1114">
        <f t="shared" si="33"/>
        <v>101.66246851385392</v>
      </c>
      <c r="G809" s="1112">
        <f t="shared" si="29"/>
        <v>92.644836272040308</v>
      </c>
      <c r="H809" s="1112">
        <f t="shared" si="30"/>
        <v>139.34508816120908</v>
      </c>
      <c r="I809" s="1112">
        <f t="shared" si="31"/>
        <v>105.99496221662467</v>
      </c>
      <c r="J809" s="1112">
        <f t="shared" si="32"/>
        <v>94.659949622166252</v>
      </c>
      <c r="K809" s="1096"/>
      <c r="L809" s="1096"/>
      <c r="M809" s="1096"/>
      <c r="N809" s="1096"/>
      <c r="O809" s="1096"/>
      <c r="P809" s="1114">
        <v>201.8</v>
      </c>
      <c r="Q809" s="1096" t="s">
        <v>1664</v>
      </c>
      <c r="R809" s="1114">
        <v>183.9</v>
      </c>
      <c r="S809" s="1096" t="s">
        <v>1664</v>
      </c>
      <c r="T809" s="1114">
        <v>276.60000000000002</v>
      </c>
      <c r="U809" s="1096" t="s">
        <v>1664</v>
      </c>
      <c r="V809" s="1114">
        <v>210.4</v>
      </c>
      <c r="W809" s="1096" t="s">
        <v>1664</v>
      </c>
      <c r="X809" s="1114">
        <v>187.9</v>
      </c>
      <c r="Y809" s="1096" t="s">
        <v>1664</v>
      </c>
      <c r="Z809" s="1114">
        <v>198.5</v>
      </c>
      <c r="AA809" s="1096"/>
      <c r="AB809" s="1096"/>
      <c r="AC809" s="1096"/>
      <c r="AD809" s="1096"/>
      <c r="AE809" s="1096"/>
      <c r="AF809" s="1096"/>
      <c r="AG809" s="1096"/>
      <c r="AH809" s="1096"/>
      <c r="AI809" s="1096"/>
      <c r="AJ809" s="1096"/>
      <c r="AK809" s="1096"/>
      <c r="AL809" s="1096"/>
      <c r="AM809" s="1096"/>
      <c r="AN809" s="1096"/>
      <c r="AO809" s="1096"/>
      <c r="AP809" s="1096"/>
      <c r="AQ809" s="1096"/>
      <c r="AR809" s="1096"/>
      <c r="AS809" s="1096"/>
      <c r="AT809" s="1096"/>
      <c r="AU809" s="1096"/>
      <c r="AV809" s="1096"/>
      <c r="AW809" s="1096"/>
      <c r="AX809" s="1096"/>
      <c r="AY809" s="1096"/>
    </row>
    <row r="810" spans="1:51" x14ac:dyDescent="0.45">
      <c r="A810" s="1115">
        <v>2006</v>
      </c>
      <c r="B810" s="1096" t="s">
        <v>1373</v>
      </c>
      <c r="C810" s="1112">
        <f>[6]ONS!Z810</f>
        <v>198.5</v>
      </c>
      <c r="D810" s="1112">
        <f>[6]ONS!P810</f>
        <v>204.1</v>
      </c>
      <c r="E810" s="1096"/>
      <c r="F810" s="1114">
        <f t="shared" si="33"/>
        <v>102.82115869017632</v>
      </c>
      <c r="G810" s="1112">
        <f t="shared" si="29"/>
        <v>92.544080604534003</v>
      </c>
      <c r="H810" s="1112">
        <f t="shared" si="30"/>
        <v>143.77833753148616</v>
      </c>
      <c r="I810" s="1112">
        <f t="shared" si="31"/>
        <v>107.10327455919395</v>
      </c>
      <c r="J810" s="1112">
        <f t="shared" si="32"/>
        <v>95.667506297229224</v>
      </c>
      <c r="K810" s="1096"/>
      <c r="L810" s="1096"/>
      <c r="M810" s="1096"/>
      <c r="N810" s="1096"/>
      <c r="O810" s="1096"/>
      <c r="P810" s="1114">
        <v>204.1</v>
      </c>
      <c r="Q810" s="1096" t="s">
        <v>1665</v>
      </c>
      <c r="R810" s="1114">
        <v>183.7</v>
      </c>
      <c r="S810" s="1096" t="s">
        <v>1665</v>
      </c>
      <c r="T810" s="1114">
        <v>285.39999999999998</v>
      </c>
      <c r="U810" s="1096" t="s">
        <v>1665</v>
      </c>
      <c r="V810" s="1114">
        <v>212.6</v>
      </c>
      <c r="W810" s="1096" t="s">
        <v>1665</v>
      </c>
      <c r="X810" s="1114">
        <v>189.9</v>
      </c>
      <c r="Y810" s="1096" t="s">
        <v>1665</v>
      </c>
      <c r="Z810" s="1114">
        <v>198.5</v>
      </c>
      <c r="AA810" s="1096"/>
      <c r="AB810" s="1096"/>
      <c r="AC810" s="1096"/>
      <c r="AD810" s="1096"/>
      <c r="AE810" s="1096"/>
      <c r="AF810" s="1096"/>
      <c r="AG810" s="1096"/>
      <c r="AH810" s="1096"/>
      <c r="AI810" s="1096"/>
      <c r="AJ810" s="1096"/>
      <c r="AK810" s="1096"/>
      <c r="AL810" s="1096"/>
      <c r="AM810" s="1096"/>
      <c r="AN810" s="1096"/>
      <c r="AO810" s="1096"/>
      <c r="AP810" s="1096"/>
      <c r="AQ810" s="1096"/>
      <c r="AR810" s="1096"/>
      <c r="AS810" s="1096"/>
      <c r="AT810" s="1096"/>
      <c r="AU810" s="1096"/>
      <c r="AV810" s="1096"/>
      <c r="AW810" s="1096"/>
      <c r="AX810" s="1096"/>
      <c r="AY810" s="1096"/>
    </row>
    <row r="811" spans="1:51" x14ac:dyDescent="0.45">
      <c r="A811" s="1115">
        <v>2006</v>
      </c>
      <c r="B811" s="1096" t="s">
        <v>1375</v>
      </c>
      <c r="C811" s="1112">
        <f>[6]ONS!Z811</f>
        <v>199.2</v>
      </c>
      <c r="D811" s="1112">
        <f>[6]ONS!P811</f>
        <v>205.6</v>
      </c>
      <c r="E811" s="1096"/>
      <c r="F811" s="1114">
        <f t="shared" si="33"/>
        <v>103.21285140562249</v>
      </c>
      <c r="G811" s="1112">
        <f t="shared" si="29"/>
        <v>93.022088353413665</v>
      </c>
      <c r="H811" s="1112">
        <f t="shared" si="30"/>
        <v>140.56224899598396</v>
      </c>
      <c r="I811" s="1112">
        <f t="shared" si="31"/>
        <v>107.98192771084338</v>
      </c>
      <c r="J811" s="1112">
        <f t="shared" si="32"/>
        <v>96.03413654618474</v>
      </c>
      <c r="K811" s="1096"/>
      <c r="L811" s="1096"/>
      <c r="M811" s="1096"/>
      <c r="N811" s="1096"/>
      <c r="O811" s="1096"/>
      <c r="P811" s="1114">
        <v>205.6</v>
      </c>
      <c r="Q811" s="1096" t="s">
        <v>1666</v>
      </c>
      <c r="R811" s="1114">
        <v>185.3</v>
      </c>
      <c r="S811" s="1096" t="s">
        <v>1666</v>
      </c>
      <c r="T811" s="1114">
        <v>280</v>
      </c>
      <c r="U811" s="1096" t="s">
        <v>1666</v>
      </c>
      <c r="V811" s="1114">
        <v>215.1</v>
      </c>
      <c r="W811" s="1096" t="s">
        <v>1666</v>
      </c>
      <c r="X811" s="1114">
        <v>191.3</v>
      </c>
      <c r="Y811" s="1096" t="s">
        <v>1666</v>
      </c>
      <c r="Z811" s="1114">
        <v>199.2</v>
      </c>
      <c r="AA811" s="1096"/>
      <c r="AB811" s="1096"/>
      <c r="AC811" s="1096"/>
      <c r="AD811" s="1096"/>
      <c r="AE811" s="1096"/>
      <c r="AF811" s="1096"/>
      <c r="AG811" s="1096"/>
      <c r="AH811" s="1096"/>
      <c r="AI811" s="1096"/>
      <c r="AJ811" s="1096"/>
      <c r="AK811" s="1096"/>
      <c r="AL811" s="1096"/>
      <c r="AM811" s="1096"/>
      <c r="AN811" s="1096"/>
      <c r="AO811" s="1096"/>
      <c r="AP811" s="1096"/>
      <c r="AQ811" s="1096"/>
      <c r="AR811" s="1096"/>
      <c r="AS811" s="1096"/>
      <c r="AT811" s="1096"/>
      <c r="AU811" s="1096"/>
      <c r="AV811" s="1096"/>
      <c r="AW811" s="1096"/>
      <c r="AX811" s="1096"/>
      <c r="AY811" s="1096"/>
    </row>
    <row r="812" spans="1:51" x14ac:dyDescent="0.45">
      <c r="A812" s="1115">
        <v>2006</v>
      </c>
      <c r="B812" s="1096" t="s">
        <v>1377</v>
      </c>
      <c r="C812" s="1112">
        <f>[6]ONS!Z812</f>
        <v>200.1</v>
      </c>
      <c r="D812" s="1112">
        <f>[6]ONS!P812</f>
        <v>208.2</v>
      </c>
      <c r="E812" s="1096"/>
      <c r="F812" s="1114">
        <f t="shared" si="33"/>
        <v>104.04797601199401</v>
      </c>
      <c r="G812" s="1112">
        <f t="shared" si="29"/>
        <v>93.753123438280866</v>
      </c>
      <c r="H812" s="1112">
        <f t="shared" si="30"/>
        <v>133.5832083958021</v>
      </c>
      <c r="I812" s="1112">
        <f t="shared" si="31"/>
        <v>110.09495252373813</v>
      </c>
      <c r="J812" s="1112">
        <f t="shared" si="32"/>
        <v>96.801599200399806</v>
      </c>
      <c r="K812" s="1096"/>
      <c r="L812" s="1096"/>
      <c r="M812" s="1096"/>
      <c r="N812" s="1096"/>
      <c r="O812" s="1096"/>
      <c r="P812" s="1114">
        <v>208.2</v>
      </c>
      <c r="Q812" s="1096" t="s">
        <v>1667</v>
      </c>
      <c r="R812" s="1114">
        <v>187.6</v>
      </c>
      <c r="S812" s="1096" t="s">
        <v>1667</v>
      </c>
      <c r="T812" s="1114">
        <v>267.3</v>
      </c>
      <c r="U812" s="1096" t="s">
        <v>1667</v>
      </c>
      <c r="V812" s="1114">
        <v>220.3</v>
      </c>
      <c r="W812" s="1096" t="s">
        <v>1667</v>
      </c>
      <c r="X812" s="1114">
        <v>193.7</v>
      </c>
      <c r="Y812" s="1096" t="s">
        <v>1667</v>
      </c>
      <c r="Z812" s="1114">
        <v>200.1</v>
      </c>
      <c r="AA812" s="1096"/>
      <c r="AB812" s="1096"/>
      <c r="AC812" s="1096"/>
      <c r="AD812" s="1096"/>
      <c r="AE812" s="1096"/>
      <c r="AF812" s="1096"/>
      <c r="AG812" s="1096"/>
      <c r="AH812" s="1096"/>
      <c r="AI812" s="1096"/>
      <c r="AJ812" s="1096"/>
      <c r="AK812" s="1096"/>
      <c r="AL812" s="1096"/>
      <c r="AM812" s="1096"/>
      <c r="AN812" s="1096"/>
      <c r="AO812" s="1096"/>
      <c r="AP812" s="1096"/>
      <c r="AQ812" s="1096"/>
      <c r="AR812" s="1096"/>
      <c r="AS812" s="1096"/>
      <c r="AT812" s="1096"/>
      <c r="AU812" s="1096"/>
      <c r="AV812" s="1096"/>
      <c r="AW812" s="1096"/>
      <c r="AX812" s="1096"/>
      <c r="AY812" s="1096"/>
    </row>
    <row r="813" spans="1:51" x14ac:dyDescent="0.45">
      <c r="A813" s="1115">
        <v>2006</v>
      </c>
      <c r="B813" s="1096" t="s">
        <v>1379</v>
      </c>
      <c r="C813" s="1112">
        <f>[6]ONS!Z813</f>
        <v>200.4</v>
      </c>
      <c r="D813" s="1112">
        <f>[6]ONS!P813</f>
        <v>214.5</v>
      </c>
      <c r="E813" s="1096"/>
      <c r="F813" s="1114">
        <f t="shared" si="33"/>
        <v>107.03592814371257</v>
      </c>
      <c r="G813" s="1112">
        <f t="shared" si="29"/>
        <v>98.453093812375243</v>
      </c>
      <c r="H813" s="1112">
        <f t="shared" si="30"/>
        <v>124.40119760479043</v>
      </c>
      <c r="I813" s="1112">
        <f t="shared" si="31"/>
        <v>115.31936127744511</v>
      </c>
      <c r="J813" s="1112">
        <f t="shared" si="32"/>
        <v>99.201596806387229</v>
      </c>
      <c r="K813" s="1096"/>
      <c r="L813" s="1096"/>
      <c r="M813" s="1096"/>
      <c r="N813" s="1096"/>
      <c r="O813" s="1096"/>
      <c r="P813" s="1114">
        <v>214.5</v>
      </c>
      <c r="Q813" s="1096" t="s">
        <v>1668</v>
      </c>
      <c r="R813" s="1114">
        <v>197.3</v>
      </c>
      <c r="S813" s="1096" t="s">
        <v>1668</v>
      </c>
      <c r="T813" s="1114">
        <v>249.3</v>
      </c>
      <c r="U813" s="1096" t="s">
        <v>1668</v>
      </c>
      <c r="V813" s="1114">
        <v>231.1</v>
      </c>
      <c r="W813" s="1096" t="s">
        <v>1668</v>
      </c>
      <c r="X813" s="1114">
        <v>198.8</v>
      </c>
      <c r="Y813" s="1096" t="s">
        <v>1668</v>
      </c>
      <c r="Z813" s="1114">
        <v>200.4</v>
      </c>
      <c r="AA813" s="1096"/>
      <c r="AB813" s="1096"/>
      <c r="AC813" s="1096"/>
      <c r="AD813" s="1096"/>
      <c r="AE813" s="1096"/>
      <c r="AF813" s="1096"/>
      <c r="AG813" s="1096"/>
      <c r="AH813" s="1096"/>
      <c r="AI813" s="1096"/>
      <c r="AJ813" s="1096"/>
      <c r="AK813" s="1096"/>
      <c r="AL813" s="1096"/>
      <c r="AM813" s="1096"/>
      <c r="AN813" s="1096"/>
      <c r="AO813" s="1096"/>
      <c r="AP813" s="1096"/>
      <c r="AQ813" s="1096"/>
      <c r="AR813" s="1096"/>
      <c r="AS813" s="1096"/>
      <c r="AT813" s="1096"/>
      <c r="AU813" s="1096"/>
      <c r="AV813" s="1096"/>
      <c r="AW813" s="1096"/>
      <c r="AX813" s="1096"/>
      <c r="AY813" s="1096"/>
    </row>
    <row r="814" spans="1:51" x14ac:dyDescent="0.45">
      <c r="A814" s="1115">
        <v>2006</v>
      </c>
      <c r="B814" s="1096" t="s">
        <v>1381</v>
      </c>
      <c r="C814" s="1112">
        <f>[6]ONS!Z814</f>
        <v>201.1</v>
      </c>
      <c r="D814" s="1112">
        <f>[6]ONS!P814</f>
        <v>219</v>
      </c>
      <c r="E814" s="1096"/>
      <c r="F814" s="1114">
        <f t="shared" si="33"/>
        <v>108.90104425658878</v>
      </c>
      <c r="G814" s="1112">
        <f t="shared" si="29"/>
        <v>99.20437593237196</v>
      </c>
      <c r="H814" s="1112">
        <f t="shared" si="30"/>
        <v>119.34361014420686</v>
      </c>
      <c r="I814" s="1112">
        <f t="shared" si="31"/>
        <v>118.69716558925907</v>
      </c>
      <c r="J814" s="1112">
        <f t="shared" si="32"/>
        <v>100.74589756340129</v>
      </c>
      <c r="K814" s="1096"/>
      <c r="L814" s="1096"/>
      <c r="M814" s="1096"/>
      <c r="N814" s="1096"/>
      <c r="O814" s="1096"/>
      <c r="P814" s="1114">
        <v>219</v>
      </c>
      <c r="Q814" s="1096" t="s">
        <v>1669</v>
      </c>
      <c r="R814" s="1114">
        <v>199.5</v>
      </c>
      <c r="S814" s="1096" t="s">
        <v>1669</v>
      </c>
      <c r="T814" s="1114">
        <v>240</v>
      </c>
      <c r="U814" s="1096" t="s">
        <v>1669</v>
      </c>
      <c r="V814" s="1114">
        <v>238.7</v>
      </c>
      <c r="W814" s="1096" t="s">
        <v>1669</v>
      </c>
      <c r="X814" s="1114">
        <v>202.6</v>
      </c>
      <c r="Y814" s="1096" t="s">
        <v>1669</v>
      </c>
      <c r="Z814" s="1114">
        <v>201.1</v>
      </c>
      <c r="AA814" s="1096"/>
      <c r="AB814" s="1096"/>
      <c r="AC814" s="1096"/>
      <c r="AD814" s="1096"/>
      <c r="AE814" s="1096"/>
      <c r="AF814" s="1096"/>
      <c r="AG814" s="1096"/>
      <c r="AH814" s="1096"/>
      <c r="AI814" s="1096"/>
      <c r="AJ814" s="1096"/>
      <c r="AK814" s="1096"/>
      <c r="AL814" s="1096"/>
      <c r="AM814" s="1096"/>
      <c r="AN814" s="1096"/>
      <c r="AO814" s="1096"/>
      <c r="AP814" s="1096"/>
      <c r="AQ814" s="1096"/>
      <c r="AR814" s="1096"/>
      <c r="AS814" s="1096"/>
      <c r="AT814" s="1096"/>
      <c r="AU814" s="1096"/>
      <c r="AV814" s="1096"/>
      <c r="AW814" s="1096"/>
      <c r="AX814" s="1096"/>
      <c r="AY814" s="1096"/>
    </row>
    <row r="815" spans="1:51" x14ac:dyDescent="0.45">
      <c r="A815" s="1115">
        <v>2006</v>
      </c>
      <c r="B815" s="1096" t="s">
        <v>1383</v>
      </c>
      <c r="C815" s="1112">
        <f>[6]ONS!Z815</f>
        <v>202.7</v>
      </c>
      <c r="D815" s="1112">
        <f>[6]ONS!P815</f>
        <v>222.7</v>
      </c>
      <c r="E815" s="1096"/>
      <c r="F815" s="1114">
        <f t="shared" si="33"/>
        <v>109.86679822397632</v>
      </c>
      <c r="G815" s="1112">
        <f t="shared" si="29"/>
        <v>98.421312284163804</v>
      </c>
      <c r="H815" s="1112">
        <f t="shared" si="30"/>
        <v>123.03897385298472</v>
      </c>
      <c r="I815" s="1112">
        <f t="shared" si="31"/>
        <v>120.02960039467195</v>
      </c>
      <c r="J815" s="1112">
        <f t="shared" si="32"/>
        <v>101.13468179575729</v>
      </c>
      <c r="K815" s="1096"/>
      <c r="L815" s="1096"/>
      <c r="M815" s="1096"/>
      <c r="N815" s="1096"/>
      <c r="O815" s="1096"/>
      <c r="P815" s="1114">
        <v>222.7</v>
      </c>
      <c r="Q815" s="1096" t="s">
        <v>1670</v>
      </c>
      <c r="R815" s="1114">
        <v>199.5</v>
      </c>
      <c r="S815" s="1096" t="s">
        <v>1670</v>
      </c>
      <c r="T815" s="1114">
        <v>249.4</v>
      </c>
      <c r="U815" s="1096" t="s">
        <v>1670</v>
      </c>
      <c r="V815" s="1114">
        <v>243.3</v>
      </c>
      <c r="W815" s="1096" t="s">
        <v>1670</v>
      </c>
      <c r="X815" s="1114">
        <v>205</v>
      </c>
      <c r="Y815" s="1096" t="s">
        <v>1670</v>
      </c>
      <c r="Z815" s="1114">
        <v>202.7</v>
      </c>
      <c r="AA815" s="1096"/>
      <c r="AB815" s="1096"/>
      <c r="AC815" s="1096"/>
      <c r="AD815" s="1096"/>
      <c r="AE815" s="1096"/>
      <c r="AF815" s="1096"/>
      <c r="AG815" s="1096"/>
      <c r="AH815" s="1096"/>
      <c r="AI815" s="1096"/>
      <c r="AJ815" s="1096"/>
      <c r="AK815" s="1096"/>
      <c r="AL815" s="1096"/>
      <c r="AM815" s="1096"/>
      <c r="AN815" s="1096"/>
      <c r="AO815" s="1096"/>
      <c r="AP815" s="1096"/>
      <c r="AQ815" s="1096"/>
      <c r="AR815" s="1096"/>
      <c r="AS815" s="1096"/>
      <c r="AT815" s="1096"/>
      <c r="AU815" s="1096"/>
      <c r="AV815" s="1096"/>
      <c r="AW815" s="1096"/>
      <c r="AX815" s="1096"/>
      <c r="AY815" s="1096"/>
    </row>
    <row r="816" spans="1:51" x14ac:dyDescent="0.45">
      <c r="A816" s="1115">
        <v>2007</v>
      </c>
      <c r="B816" s="1096" t="s">
        <v>1385</v>
      </c>
      <c r="C816" s="1112">
        <f>[6]ONS!Z816</f>
        <v>201.6</v>
      </c>
      <c r="D816" s="1112">
        <f>[6]ONS!P816</f>
        <v>222.6</v>
      </c>
      <c r="E816" s="1096"/>
      <c r="F816" s="1114">
        <f t="shared" si="33"/>
        <v>110.41666666666667</v>
      </c>
      <c r="G816" s="1112">
        <f t="shared" si="29"/>
        <v>99.107142857142861</v>
      </c>
      <c r="H816" s="1112">
        <f t="shared" si="30"/>
        <v>116.66666666666667</v>
      </c>
      <c r="I816" s="1112">
        <f t="shared" si="31"/>
        <v>120.98214285714286</v>
      </c>
      <c r="J816" s="1112">
        <f t="shared" si="32"/>
        <v>102.18253968253967</v>
      </c>
      <c r="K816" s="1096"/>
      <c r="L816" s="1096"/>
      <c r="M816" s="1096"/>
      <c r="N816" s="1096"/>
      <c r="O816" s="1096"/>
      <c r="P816" s="1114">
        <v>222.6</v>
      </c>
      <c r="Q816" s="1096" t="s">
        <v>1671</v>
      </c>
      <c r="R816" s="1114">
        <v>199.8</v>
      </c>
      <c r="S816" s="1096" t="s">
        <v>1671</v>
      </c>
      <c r="T816" s="1114">
        <v>235.2</v>
      </c>
      <c r="U816" s="1096" t="s">
        <v>1671</v>
      </c>
      <c r="V816" s="1114">
        <v>243.9</v>
      </c>
      <c r="W816" s="1096" t="s">
        <v>1671</v>
      </c>
      <c r="X816" s="1114">
        <v>206</v>
      </c>
      <c r="Y816" s="1096" t="s">
        <v>1671</v>
      </c>
      <c r="Z816" s="1114">
        <v>201.6</v>
      </c>
      <c r="AA816" s="1096"/>
      <c r="AB816" s="1096"/>
      <c r="AC816" s="1096"/>
      <c r="AD816" s="1096"/>
      <c r="AE816" s="1096"/>
      <c r="AF816" s="1096"/>
      <c r="AG816" s="1096"/>
      <c r="AH816" s="1096"/>
      <c r="AI816" s="1096"/>
      <c r="AJ816" s="1096"/>
      <c r="AK816" s="1096"/>
      <c r="AL816" s="1096"/>
      <c r="AM816" s="1096"/>
      <c r="AN816" s="1096"/>
      <c r="AO816" s="1096"/>
      <c r="AP816" s="1096"/>
      <c r="AQ816" s="1096"/>
      <c r="AR816" s="1096"/>
      <c r="AS816" s="1096"/>
      <c r="AT816" s="1096"/>
      <c r="AU816" s="1096"/>
      <c r="AV816" s="1096"/>
      <c r="AW816" s="1096"/>
      <c r="AX816" s="1096"/>
      <c r="AY816" s="1096"/>
    </row>
    <row r="817" spans="1:51" x14ac:dyDescent="0.45">
      <c r="A817" s="1115">
        <v>2007</v>
      </c>
      <c r="B817" s="1096" t="s">
        <v>1387</v>
      </c>
      <c r="C817" s="1112">
        <f>[6]ONS!Z817</f>
        <v>203.1</v>
      </c>
      <c r="D817" s="1112">
        <f>[6]ONS!P817</f>
        <v>223.6</v>
      </c>
      <c r="E817" s="1096"/>
      <c r="F817" s="1114">
        <f t="shared" si="33"/>
        <v>110.09354997538159</v>
      </c>
      <c r="G817" s="1112">
        <f t="shared" si="29"/>
        <v>98.572131954702115</v>
      </c>
      <c r="H817" s="1112">
        <f t="shared" si="30"/>
        <v>118.21762678483505</v>
      </c>
      <c r="I817" s="1112">
        <f t="shared" si="31"/>
        <v>120.53175775480061</v>
      </c>
      <c r="J817" s="1112">
        <f t="shared" si="32"/>
        <v>101.7725258493353</v>
      </c>
      <c r="K817" s="1096"/>
      <c r="L817" s="1096"/>
      <c r="M817" s="1096"/>
      <c r="N817" s="1096"/>
      <c r="O817" s="1096"/>
      <c r="P817" s="1114">
        <v>223.6</v>
      </c>
      <c r="Q817" s="1096" t="s">
        <v>1672</v>
      </c>
      <c r="R817" s="1114">
        <v>200.2</v>
      </c>
      <c r="S817" s="1096" t="s">
        <v>1672</v>
      </c>
      <c r="T817" s="1114">
        <v>240.1</v>
      </c>
      <c r="U817" s="1096" t="s">
        <v>1672</v>
      </c>
      <c r="V817" s="1114">
        <v>244.8</v>
      </c>
      <c r="W817" s="1096" t="s">
        <v>1672</v>
      </c>
      <c r="X817" s="1114">
        <v>206.7</v>
      </c>
      <c r="Y817" s="1096" t="s">
        <v>1672</v>
      </c>
      <c r="Z817" s="1114">
        <v>203.1</v>
      </c>
      <c r="AA817" s="1096"/>
      <c r="AB817" s="1096"/>
      <c r="AC817" s="1096"/>
      <c r="AD817" s="1096"/>
      <c r="AE817" s="1096"/>
      <c r="AF817" s="1096"/>
      <c r="AG817" s="1096"/>
      <c r="AH817" s="1096"/>
      <c r="AI817" s="1096"/>
      <c r="AJ817" s="1096"/>
      <c r="AK817" s="1096"/>
      <c r="AL817" s="1096"/>
      <c r="AM817" s="1096"/>
      <c r="AN817" s="1096"/>
      <c r="AO817" s="1096"/>
      <c r="AP817" s="1096"/>
      <c r="AQ817" s="1096"/>
      <c r="AR817" s="1096"/>
      <c r="AS817" s="1096"/>
      <c r="AT817" s="1096"/>
      <c r="AU817" s="1096"/>
      <c r="AV817" s="1096"/>
      <c r="AW817" s="1096"/>
      <c r="AX817" s="1096"/>
      <c r="AY817" s="1096"/>
    </row>
    <row r="818" spans="1:51" x14ac:dyDescent="0.45">
      <c r="A818" s="1115">
        <v>2007</v>
      </c>
      <c r="B818" s="1096" t="s">
        <v>1389</v>
      </c>
      <c r="C818" s="1112">
        <f>[6]ONS!Z818</f>
        <v>204.4</v>
      </c>
      <c r="D818" s="1112">
        <f>[6]ONS!P818</f>
        <v>223.1</v>
      </c>
      <c r="E818" s="1096"/>
      <c r="F818" s="1114">
        <f t="shared" si="33"/>
        <v>109.1487279843444</v>
      </c>
      <c r="G818" s="1112">
        <f t="shared" si="29"/>
        <v>98.091976516634048</v>
      </c>
      <c r="H818" s="1112">
        <f t="shared" si="30"/>
        <v>120.8904109589041</v>
      </c>
      <c r="I818" s="1112">
        <f t="shared" si="31"/>
        <v>118.78669275929551</v>
      </c>
      <c r="J818" s="1112">
        <f t="shared" si="32"/>
        <v>101.1252446183953</v>
      </c>
      <c r="K818" s="1096"/>
      <c r="L818" s="1096"/>
      <c r="M818" s="1096"/>
      <c r="N818" s="1096"/>
      <c r="O818" s="1096"/>
      <c r="P818" s="1114">
        <v>223.1</v>
      </c>
      <c r="Q818" s="1096" t="s">
        <v>1673</v>
      </c>
      <c r="R818" s="1114">
        <v>200.5</v>
      </c>
      <c r="S818" s="1096" t="s">
        <v>1673</v>
      </c>
      <c r="T818" s="1114">
        <v>247.1</v>
      </c>
      <c r="U818" s="1096" t="s">
        <v>1673</v>
      </c>
      <c r="V818" s="1114">
        <v>242.8</v>
      </c>
      <c r="W818" s="1096" t="s">
        <v>1673</v>
      </c>
      <c r="X818" s="1114">
        <v>206.7</v>
      </c>
      <c r="Y818" s="1096" t="s">
        <v>1673</v>
      </c>
      <c r="Z818" s="1114">
        <v>204.4</v>
      </c>
      <c r="AA818" s="1096"/>
      <c r="AB818" s="1096"/>
      <c r="AC818" s="1096"/>
      <c r="AD818" s="1096"/>
      <c r="AE818" s="1096"/>
      <c r="AF818" s="1096"/>
      <c r="AG818" s="1096"/>
      <c r="AH818" s="1096"/>
      <c r="AI818" s="1096"/>
      <c r="AJ818" s="1096"/>
      <c r="AK818" s="1096"/>
      <c r="AL818" s="1096"/>
      <c r="AM818" s="1096"/>
      <c r="AN818" s="1096"/>
      <c r="AO818" s="1096"/>
      <c r="AP818" s="1096"/>
      <c r="AQ818" s="1096"/>
      <c r="AR818" s="1096"/>
      <c r="AS818" s="1096"/>
      <c r="AT818" s="1096"/>
      <c r="AU818" s="1096"/>
      <c r="AV818" s="1096"/>
      <c r="AW818" s="1096"/>
      <c r="AX818" s="1096"/>
      <c r="AY818" s="1096"/>
    </row>
    <row r="819" spans="1:51" x14ac:dyDescent="0.45">
      <c r="A819" s="1115">
        <v>2007</v>
      </c>
      <c r="B819" s="1096" t="s">
        <v>1391</v>
      </c>
      <c r="C819" s="1112">
        <f>[6]ONS!Z819</f>
        <v>205.4</v>
      </c>
      <c r="D819" s="1112">
        <f>[6]ONS!P819</f>
        <v>219.7</v>
      </c>
      <c r="E819" s="1096"/>
      <c r="F819" s="1114">
        <f t="shared" si="33"/>
        <v>106.96202531645569</v>
      </c>
      <c r="G819" s="1112">
        <f t="shared" si="29"/>
        <v>97.565725413826669</v>
      </c>
      <c r="H819" s="1112">
        <f t="shared" si="30"/>
        <v>124.68354430379746</v>
      </c>
      <c r="I819" s="1112">
        <f t="shared" si="31"/>
        <v>114.80038948393378</v>
      </c>
      <c r="J819" s="1112">
        <f t="shared" si="32"/>
        <v>99.756572541382667</v>
      </c>
      <c r="K819" s="1096"/>
      <c r="L819" s="1096"/>
      <c r="M819" s="1096"/>
      <c r="N819" s="1096"/>
      <c r="O819" s="1096"/>
      <c r="P819" s="1114">
        <v>219.7</v>
      </c>
      <c r="Q819" s="1096" t="s">
        <v>1674</v>
      </c>
      <c r="R819" s="1114">
        <v>200.4</v>
      </c>
      <c r="S819" s="1096" t="s">
        <v>1674</v>
      </c>
      <c r="T819" s="1114">
        <v>256.10000000000002</v>
      </c>
      <c r="U819" s="1096" t="s">
        <v>1674</v>
      </c>
      <c r="V819" s="1114">
        <v>235.8</v>
      </c>
      <c r="W819" s="1096" t="s">
        <v>1674</v>
      </c>
      <c r="X819" s="1114">
        <v>204.9</v>
      </c>
      <c r="Y819" s="1096" t="s">
        <v>1674</v>
      </c>
      <c r="Z819" s="1114">
        <v>205.4</v>
      </c>
      <c r="AA819" s="1096"/>
      <c r="AB819" s="1096"/>
      <c r="AC819" s="1096"/>
      <c r="AD819" s="1096"/>
      <c r="AE819" s="1096"/>
      <c r="AF819" s="1096"/>
      <c r="AG819" s="1096"/>
      <c r="AH819" s="1096"/>
      <c r="AI819" s="1096"/>
      <c r="AJ819" s="1096"/>
      <c r="AK819" s="1096"/>
      <c r="AL819" s="1096"/>
      <c r="AM819" s="1096"/>
      <c r="AN819" s="1096"/>
      <c r="AO819" s="1096"/>
      <c r="AP819" s="1096"/>
      <c r="AQ819" s="1096"/>
      <c r="AR819" s="1096"/>
      <c r="AS819" s="1096"/>
      <c r="AT819" s="1096"/>
      <c r="AU819" s="1096"/>
      <c r="AV819" s="1096"/>
      <c r="AW819" s="1096"/>
      <c r="AX819" s="1096"/>
      <c r="AY819" s="1096"/>
    </row>
    <row r="820" spans="1:51" x14ac:dyDescent="0.45">
      <c r="A820" s="1115">
        <v>2007</v>
      </c>
      <c r="B820" s="1096" t="s">
        <v>1393</v>
      </c>
      <c r="C820" s="1112">
        <f>[6]ONS!Z820</f>
        <v>206.2</v>
      </c>
      <c r="D820" s="1112">
        <f>[6]ONS!P820</f>
        <v>215.1</v>
      </c>
      <c r="E820" s="1096"/>
      <c r="F820" s="1114">
        <f t="shared" si="33"/>
        <v>104.31619786614937</v>
      </c>
      <c r="G820" s="1112">
        <f t="shared" si="29"/>
        <v>96.702230843840937</v>
      </c>
      <c r="H820" s="1112">
        <f t="shared" si="30"/>
        <v>123.71483996120271</v>
      </c>
      <c r="I820" s="1112">
        <f t="shared" si="31"/>
        <v>110.57225994180409</v>
      </c>
      <c r="J820" s="1112">
        <f t="shared" si="32"/>
        <v>98.205625606207576</v>
      </c>
      <c r="K820" s="1096"/>
      <c r="L820" s="1096"/>
      <c r="M820" s="1096"/>
      <c r="N820" s="1096"/>
      <c r="O820" s="1096"/>
      <c r="P820" s="1114">
        <v>215.1</v>
      </c>
      <c r="Q820" s="1096" t="s">
        <v>1675</v>
      </c>
      <c r="R820" s="1114">
        <v>199.4</v>
      </c>
      <c r="S820" s="1096" t="s">
        <v>1675</v>
      </c>
      <c r="T820" s="1114">
        <v>255.1</v>
      </c>
      <c r="U820" s="1096" t="s">
        <v>1675</v>
      </c>
      <c r="V820" s="1114">
        <v>228</v>
      </c>
      <c r="W820" s="1096" t="s">
        <v>1675</v>
      </c>
      <c r="X820" s="1114">
        <v>202.5</v>
      </c>
      <c r="Y820" s="1096" t="s">
        <v>1675</v>
      </c>
      <c r="Z820" s="1114">
        <v>206.2</v>
      </c>
      <c r="AA820" s="1096"/>
      <c r="AB820" s="1096"/>
      <c r="AC820" s="1096"/>
      <c r="AD820" s="1096"/>
      <c r="AE820" s="1096"/>
      <c r="AF820" s="1096"/>
      <c r="AG820" s="1096"/>
      <c r="AH820" s="1096"/>
      <c r="AI820" s="1096"/>
      <c r="AJ820" s="1096"/>
      <c r="AK820" s="1096"/>
      <c r="AL820" s="1096"/>
      <c r="AM820" s="1096"/>
      <c r="AN820" s="1096"/>
      <c r="AO820" s="1096"/>
      <c r="AP820" s="1096"/>
      <c r="AQ820" s="1096"/>
      <c r="AR820" s="1096"/>
      <c r="AS820" s="1096"/>
      <c r="AT820" s="1096"/>
      <c r="AU820" s="1096"/>
      <c r="AV820" s="1096"/>
      <c r="AW820" s="1096"/>
      <c r="AX820" s="1096"/>
      <c r="AY820" s="1096"/>
    </row>
    <row r="821" spans="1:51" x14ac:dyDescent="0.45">
      <c r="A821" s="1115">
        <v>2007</v>
      </c>
      <c r="B821" s="1096" t="s">
        <v>1371</v>
      </c>
      <c r="C821" s="1112">
        <f>[6]ONS!Z821</f>
        <v>207.3</v>
      </c>
      <c r="D821" s="1112">
        <f>[6]ONS!P821</f>
        <v>211.2</v>
      </c>
      <c r="E821" s="1096"/>
      <c r="F821" s="1114">
        <f t="shared" si="33"/>
        <v>101.88133140376266</v>
      </c>
      <c r="G821" s="1112">
        <f t="shared" si="29"/>
        <v>95.754944524843225</v>
      </c>
      <c r="H821" s="1112">
        <f t="shared" si="30"/>
        <v>125.61505065123009</v>
      </c>
      <c r="I821" s="1112">
        <f t="shared" si="31"/>
        <v>106.84997588036663</v>
      </c>
      <c r="J821" s="1112">
        <f t="shared" si="32"/>
        <v>96.33381572600095</v>
      </c>
      <c r="K821" s="1096"/>
      <c r="L821" s="1096"/>
      <c r="M821" s="1096"/>
      <c r="N821" s="1096"/>
      <c r="O821" s="1096"/>
      <c r="P821" s="1114">
        <v>211.2</v>
      </c>
      <c r="Q821" s="1096" t="s">
        <v>1676</v>
      </c>
      <c r="R821" s="1114">
        <v>198.5</v>
      </c>
      <c r="S821" s="1096" t="s">
        <v>1676</v>
      </c>
      <c r="T821" s="1114">
        <v>260.39999999999998</v>
      </c>
      <c r="U821" s="1096" t="s">
        <v>1676</v>
      </c>
      <c r="V821" s="1114">
        <v>221.5</v>
      </c>
      <c r="W821" s="1096" t="s">
        <v>1676</v>
      </c>
      <c r="X821" s="1114">
        <v>199.7</v>
      </c>
      <c r="Y821" s="1096" t="s">
        <v>1676</v>
      </c>
      <c r="Z821" s="1114">
        <v>207.3</v>
      </c>
      <c r="AA821" s="1096"/>
      <c r="AB821" s="1096"/>
      <c r="AC821" s="1096"/>
      <c r="AD821" s="1096"/>
      <c r="AE821" s="1096"/>
      <c r="AF821" s="1096"/>
      <c r="AG821" s="1096"/>
      <c r="AH821" s="1096"/>
      <c r="AI821" s="1096"/>
      <c r="AJ821" s="1096"/>
      <c r="AK821" s="1096"/>
      <c r="AL821" s="1096"/>
      <c r="AM821" s="1096"/>
      <c r="AN821" s="1096"/>
      <c r="AO821" s="1096"/>
      <c r="AP821" s="1096"/>
      <c r="AQ821" s="1096"/>
      <c r="AR821" s="1096"/>
      <c r="AS821" s="1096"/>
      <c r="AT821" s="1096"/>
      <c r="AU821" s="1096"/>
      <c r="AV821" s="1096"/>
      <c r="AW821" s="1096"/>
      <c r="AX821" s="1096"/>
      <c r="AY821" s="1096"/>
    </row>
    <row r="822" spans="1:51" x14ac:dyDescent="0.45">
      <c r="A822" s="1115">
        <v>2007</v>
      </c>
      <c r="B822" s="1096" t="s">
        <v>1373</v>
      </c>
      <c r="C822" s="1112">
        <f>[6]ONS!Z822</f>
        <v>206.1</v>
      </c>
      <c r="D822" s="1112">
        <f>[6]ONS!P822</f>
        <v>208.2</v>
      </c>
      <c r="E822" s="1096"/>
      <c r="F822" s="1114">
        <f t="shared" si="33"/>
        <v>101.01892285298399</v>
      </c>
      <c r="G822" s="1112">
        <f t="shared" si="29"/>
        <v>96.166909267345943</v>
      </c>
      <c r="H822" s="1112">
        <f t="shared" si="30"/>
        <v>129.59728287239204</v>
      </c>
      <c r="I822" s="1112">
        <f t="shared" si="31"/>
        <v>105.04609412906356</v>
      </c>
      <c r="J822" s="1112">
        <f t="shared" si="32"/>
        <v>95.681707908782144</v>
      </c>
      <c r="K822" s="1096"/>
      <c r="L822" s="1096"/>
      <c r="M822" s="1096"/>
      <c r="N822" s="1096"/>
      <c r="O822" s="1096"/>
      <c r="P822" s="1114">
        <v>208.2</v>
      </c>
      <c r="Q822" s="1096" t="s">
        <v>1677</v>
      </c>
      <c r="R822" s="1114">
        <v>198.2</v>
      </c>
      <c r="S822" s="1096" t="s">
        <v>1677</v>
      </c>
      <c r="T822" s="1114">
        <v>267.10000000000002</v>
      </c>
      <c r="U822" s="1096" t="s">
        <v>1677</v>
      </c>
      <c r="V822" s="1114">
        <v>216.5</v>
      </c>
      <c r="W822" s="1096" t="s">
        <v>1677</v>
      </c>
      <c r="X822" s="1114">
        <v>197.2</v>
      </c>
      <c r="Y822" s="1096" t="s">
        <v>1677</v>
      </c>
      <c r="Z822" s="1114">
        <v>206.1</v>
      </c>
      <c r="AA822" s="1096"/>
      <c r="AB822" s="1096"/>
      <c r="AC822" s="1096"/>
      <c r="AD822" s="1096"/>
      <c r="AE822" s="1096"/>
      <c r="AF822" s="1096"/>
      <c r="AG822" s="1096"/>
      <c r="AH822" s="1096"/>
      <c r="AI822" s="1096"/>
      <c r="AJ822" s="1096"/>
      <c r="AK822" s="1096"/>
      <c r="AL822" s="1096"/>
      <c r="AM822" s="1096"/>
      <c r="AN822" s="1096"/>
      <c r="AO822" s="1096"/>
      <c r="AP822" s="1096"/>
      <c r="AQ822" s="1096"/>
      <c r="AR822" s="1096"/>
      <c r="AS822" s="1096"/>
      <c r="AT822" s="1096"/>
      <c r="AU822" s="1096"/>
      <c r="AV822" s="1096"/>
      <c r="AW822" s="1096"/>
      <c r="AX822" s="1096"/>
      <c r="AY822" s="1096"/>
    </row>
    <row r="823" spans="1:51" x14ac:dyDescent="0.45">
      <c r="A823" s="1115">
        <v>2007</v>
      </c>
      <c r="B823" s="1096" t="s">
        <v>1375</v>
      </c>
      <c r="C823" s="1112">
        <f>[6]ONS!Z823</f>
        <v>207.3</v>
      </c>
      <c r="D823" s="1112">
        <f>[6]ONS!P823</f>
        <v>206.2</v>
      </c>
      <c r="E823" s="1096"/>
      <c r="F823" s="1114">
        <f t="shared" si="33"/>
        <v>99.469368065605394</v>
      </c>
      <c r="G823" s="1112">
        <f t="shared" si="29"/>
        <v>95.706705258080078</v>
      </c>
      <c r="H823" s="1112">
        <f t="shared" si="30"/>
        <v>126.57983598649298</v>
      </c>
      <c r="I823" s="1112">
        <f t="shared" si="31"/>
        <v>102.94259527255186</v>
      </c>
      <c r="J823" s="1112">
        <f t="shared" si="32"/>
        <v>94.64544138929088</v>
      </c>
      <c r="K823" s="1096"/>
      <c r="L823" s="1096"/>
      <c r="M823" s="1096"/>
      <c r="N823" s="1096"/>
      <c r="O823" s="1096"/>
      <c r="P823" s="1114">
        <v>206.2</v>
      </c>
      <c r="Q823" s="1096" t="s">
        <v>1678</v>
      </c>
      <c r="R823" s="1114">
        <v>198.4</v>
      </c>
      <c r="S823" s="1096" t="s">
        <v>1678</v>
      </c>
      <c r="T823" s="1114">
        <v>262.39999999999998</v>
      </c>
      <c r="U823" s="1096" t="s">
        <v>1678</v>
      </c>
      <c r="V823" s="1114">
        <v>213.4</v>
      </c>
      <c r="W823" s="1096" t="s">
        <v>1678</v>
      </c>
      <c r="X823" s="1114">
        <v>196.2</v>
      </c>
      <c r="Y823" s="1096" t="s">
        <v>1678</v>
      </c>
      <c r="Z823" s="1114">
        <v>207.3</v>
      </c>
      <c r="AA823" s="1096"/>
      <c r="AB823" s="1096"/>
      <c r="AC823" s="1096"/>
      <c r="AD823" s="1096"/>
      <c r="AE823" s="1096"/>
      <c r="AF823" s="1096"/>
      <c r="AG823" s="1096"/>
      <c r="AH823" s="1096"/>
      <c r="AI823" s="1096"/>
      <c r="AJ823" s="1096"/>
      <c r="AK823" s="1096"/>
      <c r="AL823" s="1096"/>
      <c r="AM823" s="1096"/>
      <c r="AN823" s="1096"/>
      <c r="AO823" s="1096"/>
      <c r="AP823" s="1096"/>
      <c r="AQ823" s="1096"/>
      <c r="AR823" s="1096"/>
      <c r="AS823" s="1096"/>
      <c r="AT823" s="1096"/>
      <c r="AU823" s="1096"/>
      <c r="AV823" s="1096"/>
      <c r="AW823" s="1096"/>
      <c r="AX823" s="1096"/>
      <c r="AY823" s="1096"/>
    </row>
    <row r="824" spans="1:51" x14ac:dyDescent="0.45">
      <c r="A824" s="1115">
        <v>2007</v>
      </c>
      <c r="B824" s="1096" t="s">
        <v>1377</v>
      </c>
      <c r="C824" s="1112">
        <f>[6]ONS!Z824</f>
        <v>208</v>
      </c>
      <c r="D824" s="1112">
        <f>[6]ONS!P824</f>
        <v>206.1</v>
      </c>
      <c r="E824" s="1096"/>
      <c r="F824" s="1114">
        <f t="shared" si="33"/>
        <v>99.086538461538453</v>
      </c>
      <c r="G824" s="1112">
        <f t="shared" si="29"/>
        <v>96.538461538461533</v>
      </c>
      <c r="H824" s="1112">
        <f t="shared" si="30"/>
        <v>132.83653846153845</v>
      </c>
      <c r="I824" s="1112">
        <f t="shared" si="31"/>
        <v>101.82692307692309</v>
      </c>
      <c r="J824" s="1112">
        <f t="shared" si="32"/>
        <v>94.182692307692307</v>
      </c>
      <c r="K824" s="1096"/>
      <c r="L824" s="1096"/>
      <c r="M824" s="1096"/>
      <c r="N824" s="1096"/>
      <c r="O824" s="1096"/>
      <c r="P824" s="1114">
        <v>206.1</v>
      </c>
      <c r="Q824" s="1096" t="s">
        <v>1679</v>
      </c>
      <c r="R824" s="1114">
        <v>200.8</v>
      </c>
      <c r="S824" s="1096" t="s">
        <v>1679</v>
      </c>
      <c r="T824" s="1114">
        <v>276.3</v>
      </c>
      <c r="U824" s="1096" t="s">
        <v>1679</v>
      </c>
      <c r="V824" s="1114">
        <v>211.8</v>
      </c>
      <c r="W824" s="1096" t="s">
        <v>1679</v>
      </c>
      <c r="X824" s="1114">
        <v>195.9</v>
      </c>
      <c r="Y824" s="1096" t="s">
        <v>1679</v>
      </c>
      <c r="Z824" s="1114">
        <v>208</v>
      </c>
      <c r="AA824" s="1096"/>
      <c r="AB824" s="1096"/>
      <c r="AC824" s="1096"/>
      <c r="AD824" s="1096"/>
      <c r="AE824" s="1096"/>
      <c r="AF824" s="1096"/>
      <c r="AG824" s="1096"/>
      <c r="AH824" s="1096"/>
      <c r="AI824" s="1096"/>
      <c r="AJ824" s="1096"/>
      <c r="AK824" s="1096"/>
      <c r="AL824" s="1096"/>
      <c r="AM824" s="1096"/>
      <c r="AN824" s="1096"/>
      <c r="AO824" s="1096"/>
      <c r="AP824" s="1096"/>
      <c r="AQ824" s="1096"/>
      <c r="AR824" s="1096"/>
      <c r="AS824" s="1096"/>
      <c r="AT824" s="1096"/>
      <c r="AU824" s="1096"/>
      <c r="AV824" s="1096"/>
      <c r="AW824" s="1096"/>
      <c r="AX824" s="1096"/>
      <c r="AY824" s="1096"/>
    </row>
    <row r="825" spans="1:51" x14ac:dyDescent="0.45">
      <c r="A825" s="1115">
        <v>2007</v>
      </c>
      <c r="B825" s="1096" t="s">
        <v>1379</v>
      </c>
      <c r="C825" s="1112">
        <f>[6]ONS!Z825</f>
        <v>208.9</v>
      </c>
      <c r="D825" s="1112">
        <f>[6]ONS!P825</f>
        <v>206.3</v>
      </c>
      <c r="E825" s="1096"/>
      <c r="F825" s="1114">
        <f t="shared" si="33"/>
        <v>98.755385351842989</v>
      </c>
      <c r="G825" s="1112">
        <f t="shared" si="29"/>
        <v>98.851124940162762</v>
      </c>
      <c r="H825" s="1112">
        <f t="shared" si="30"/>
        <v>136.57252273815223</v>
      </c>
      <c r="I825" s="1112">
        <f t="shared" si="31"/>
        <v>101.00526567735758</v>
      </c>
      <c r="J825" s="1112">
        <f t="shared" si="32"/>
        <v>93.729056965055051</v>
      </c>
      <c r="K825" s="1096"/>
      <c r="L825" s="1096"/>
      <c r="M825" s="1096"/>
      <c r="N825" s="1096"/>
      <c r="O825" s="1096"/>
      <c r="P825" s="1114">
        <v>206.3</v>
      </c>
      <c r="Q825" s="1096" t="s">
        <v>1680</v>
      </c>
      <c r="R825" s="1114">
        <v>206.5</v>
      </c>
      <c r="S825" s="1096" t="s">
        <v>1680</v>
      </c>
      <c r="T825" s="1114">
        <v>285.3</v>
      </c>
      <c r="U825" s="1096" t="s">
        <v>1680</v>
      </c>
      <c r="V825" s="1114">
        <v>211</v>
      </c>
      <c r="W825" s="1096" t="s">
        <v>1680</v>
      </c>
      <c r="X825" s="1114">
        <v>195.8</v>
      </c>
      <c r="Y825" s="1096" t="s">
        <v>1680</v>
      </c>
      <c r="Z825" s="1114">
        <v>208.9</v>
      </c>
      <c r="AA825" s="1096"/>
      <c r="AB825" s="1096"/>
      <c r="AC825" s="1096"/>
      <c r="AD825" s="1096"/>
      <c r="AE825" s="1096"/>
      <c r="AF825" s="1096"/>
      <c r="AG825" s="1096"/>
      <c r="AH825" s="1096"/>
      <c r="AI825" s="1096"/>
      <c r="AJ825" s="1096"/>
      <c r="AK825" s="1096"/>
      <c r="AL825" s="1096"/>
      <c r="AM825" s="1096"/>
      <c r="AN825" s="1096"/>
      <c r="AO825" s="1096"/>
      <c r="AP825" s="1096"/>
      <c r="AQ825" s="1096"/>
      <c r="AR825" s="1096"/>
      <c r="AS825" s="1096"/>
      <c r="AT825" s="1096"/>
      <c r="AU825" s="1096"/>
      <c r="AV825" s="1096"/>
      <c r="AW825" s="1096"/>
      <c r="AX825" s="1096"/>
      <c r="AY825" s="1096"/>
    </row>
    <row r="826" spans="1:51" x14ac:dyDescent="0.45">
      <c r="A826" s="1115">
        <v>2007</v>
      </c>
      <c r="B826" s="1096" t="s">
        <v>1381</v>
      </c>
      <c r="C826" s="1112">
        <f>[6]ONS!Z826</f>
        <v>209.7</v>
      </c>
      <c r="D826" s="1112">
        <f>[6]ONS!P826</f>
        <v>208.1</v>
      </c>
      <c r="E826" s="1096"/>
      <c r="F826" s="1114">
        <f t="shared" si="33"/>
        <v>99.237005245588932</v>
      </c>
      <c r="G826" s="1112">
        <f t="shared" si="29"/>
        <v>100.38149737720555</v>
      </c>
      <c r="H826" s="1112">
        <f t="shared" si="30"/>
        <v>152.16976633285648</v>
      </c>
      <c r="I826" s="1112">
        <f t="shared" si="31"/>
        <v>100.66762041010968</v>
      </c>
      <c r="J826" s="1112">
        <f t="shared" si="32"/>
        <v>93.371483071053902</v>
      </c>
      <c r="K826" s="1096"/>
      <c r="L826" s="1096"/>
      <c r="M826" s="1096"/>
      <c r="N826" s="1096"/>
      <c r="O826" s="1096"/>
      <c r="P826" s="1114">
        <v>208.1</v>
      </c>
      <c r="Q826" s="1096" t="s">
        <v>1681</v>
      </c>
      <c r="R826" s="1114">
        <v>210.5</v>
      </c>
      <c r="S826" s="1096" t="s">
        <v>1681</v>
      </c>
      <c r="T826" s="1114">
        <v>319.10000000000002</v>
      </c>
      <c r="U826" s="1096" t="s">
        <v>1681</v>
      </c>
      <c r="V826" s="1114">
        <v>211.1</v>
      </c>
      <c r="W826" s="1096" t="s">
        <v>1681</v>
      </c>
      <c r="X826" s="1114">
        <v>195.8</v>
      </c>
      <c r="Y826" s="1096" t="s">
        <v>1681</v>
      </c>
      <c r="Z826" s="1114">
        <v>209.7</v>
      </c>
      <c r="AA826" s="1096"/>
      <c r="AB826" s="1096"/>
      <c r="AC826" s="1096"/>
      <c r="AD826" s="1096"/>
      <c r="AE826" s="1096"/>
      <c r="AF826" s="1096"/>
      <c r="AG826" s="1096"/>
      <c r="AH826" s="1096"/>
      <c r="AI826" s="1096"/>
      <c r="AJ826" s="1096"/>
      <c r="AK826" s="1096"/>
      <c r="AL826" s="1096"/>
      <c r="AM826" s="1096"/>
      <c r="AN826" s="1096"/>
      <c r="AO826" s="1096"/>
      <c r="AP826" s="1096"/>
      <c r="AQ826" s="1096"/>
      <c r="AR826" s="1096"/>
      <c r="AS826" s="1096"/>
      <c r="AT826" s="1096"/>
      <c r="AU826" s="1096"/>
      <c r="AV826" s="1096"/>
      <c r="AW826" s="1096"/>
      <c r="AX826" s="1096"/>
      <c r="AY826" s="1096"/>
    </row>
    <row r="827" spans="1:51" x14ac:dyDescent="0.45">
      <c r="A827" s="1115">
        <v>2007</v>
      </c>
      <c r="B827" s="1096" t="s">
        <v>1383</v>
      </c>
      <c r="C827" s="1112">
        <f>[6]ONS!Z827</f>
        <v>210.9</v>
      </c>
      <c r="D827" s="1112">
        <f>[6]ONS!P827</f>
        <v>208.3</v>
      </c>
      <c r="E827" s="1096"/>
      <c r="F827" s="1114">
        <f t="shared" si="33"/>
        <v>98.767188240872457</v>
      </c>
      <c r="G827" s="1112">
        <f t="shared" si="29"/>
        <v>101.80180180180179</v>
      </c>
      <c r="H827" s="1112">
        <f t="shared" si="30"/>
        <v>151.9203413940256</v>
      </c>
      <c r="I827" s="1112">
        <f t="shared" si="31"/>
        <v>100.14224751066855</v>
      </c>
      <c r="J827" s="1112">
        <f t="shared" si="32"/>
        <v>92.840208629682323</v>
      </c>
      <c r="K827" s="1096"/>
      <c r="L827" s="1096"/>
      <c r="M827" s="1096"/>
      <c r="N827" s="1096"/>
      <c r="O827" s="1096"/>
      <c r="P827" s="1114">
        <v>208.3</v>
      </c>
      <c r="Q827" s="1096" t="s">
        <v>1682</v>
      </c>
      <c r="R827" s="1114">
        <v>214.7</v>
      </c>
      <c r="S827" s="1096" t="s">
        <v>1682</v>
      </c>
      <c r="T827" s="1114">
        <v>320.39999999999998</v>
      </c>
      <c r="U827" s="1096" t="s">
        <v>1682</v>
      </c>
      <c r="V827" s="1114">
        <v>211.2</v>
      </c>
      <c r="W827" s="1096" t="s">
        <v>1682</v>
      </c>
      <c r="X827" s="1114">
        <v>195.8</v>
      </c>
      <c r="Y827" s="1096" t="s">
        <v>1682</v>
      </c>
      <c r="Z827" s="1114">
        <v>210.9</v>
      </c>
      <c r="AA827" s="1096"/>
      <c r="AB827" s="1096"/>
      <c r="AC827" s="1096"/>
      <c r="AD827" s="1096"/>
      <c r="AE827" s="1096"/>
      <c r="AF827" s="1096"/>
      <c r="AG827" s="1096"/>
      <c r="AH827" s="1096"/>
      <c r="AI827" s="1096"/>
      <c r="AJ827" s="1096"/>
      <c r="AK827" s="1096"/>
      <c r="AL827" s="1096"/>
      <c r="AM827" s="1096"/>
      <c r="AN827" s="1096"/>
      <c r="AO827" s="1096"/>
      <c r="AP827" s="1096"/>
      <c r="AQ827" s="1096"/>
      <c r="AR827" s="1096"/>
      <c r="AS827" s="1096"/>
      <c r="AT827" s="1096"/>
      <c r="AU827" s="1096"/>
      <c r="AV827" s="1096"/>
      <c r="AW827" s="1096"/>
      <c r="AX827" s="1096"/>
      <c r="AY827" s="1096"/>
    </row>
    <row r="828" spans="1:51" x14ac:dyDescent="0.45">
      <c r="A828" s="1115">
        <v>2008</v>
      </c>
      <c r="B828" s="1096" t="s">
        <v>1385</v>
      </c>
      <c r="C828" s="1112">
        <f>[6]ONS!Z828</f>
        <v>209.8</v>
      </c>
      <c r="D828" s="1112">
        <f>[6]ONS!P828</f>
        <v>209.7</v>
      </c>
      <c r="E828" s="1096"/>
      <c r="F828" s="1114">
        <f t="shared" si="33"/>
        <v>99.952335557673962</v>
      </c>
      <c r="G828" s="1112">
        <f t="shared" si="29"/>
        <v>103.57483317445187</v>
      </c>
      <c r="H828" s="1112">
        <f t="shared" si="30"/>
        <v>159.86653956148712</v>
      </c>
      <c r="I828" s="1112">
        <f t="shared" si="31"/>
        <v>100.90562440419446</v>
      </c>
      <c r="J828" s="1112">
        <f t="shared" si="32"/>
        <v>93.708293612964724</v>
      </c>
      <c r="K828" s="1096"/>
      <c r="L828" s="1096"/>
      <c r="M828" s="1096"/>
      <c r="N828" s="1096"/>
      <c r="O828" s="1096"/>
      <c r="P828" s="1114">
        <v>209.7</v>
      </c>
      <c r="Q828" s="1096" t="s">
        <v>1683</v>
      </c>
      <c r="R828" s="1114">
        <v>217.3</v>
      </c>
      <c r="S828" s="1096" t="s">
        <v>1683</v>
      </c>
      <c r="T828" s="1114">
        <v>335.4</v>
      </c>
      <c r="U828" s="1096" t="s">
        <v>1683</v>
      </c>
      <c r="V828" s="1114">
        <v>211.7</v>
      </c>
      <c r="W828" s="1096" t="s">
        <v>1683</v>
      </c>
      <c r="X828" s="1114">
        <v>196.6</v>
      </c>
      <c r="Y828" s="1096" t="s">
        <v>1683</v>
      </c>
      <c r="Z828" s="1114">
        <v>209.8</v>
      </c>
      <c r="AA828" s="1096"/>
      <c r="AB828" s="1096"/>
      <c r="AC828" s="1096"/>
      <c r="AD828" s="1096"/>
      <c r="AE828" s="1096"/>
      <c r="AF828" s="1096"/>
      <c r="AG828" s="1096"/>
      <c r="AH828" s="1096"/>
      <c r="AI828" s="1096"/>
      <c r="AJ828" s="1096"/>
      <c r="AK828" s="1096"/>
      <c r="AL828" s="1096"/>
      <c r="AM828" s="1096"/>
      <c r="AN828" s="1096"/>
      <c r="AO828" s="1096"/>
      <c r="AP828" s="1096"/>
      <c r="AQ828" s="1096"/>
      <c r="AR828" s="1096"/>
      <c r="AS828" s="1096"/>
      <c r="AT828" s="1096"/>
      <c r="AU828" s="1096"/>
      <c r="AV828" s="1096"/>
      <c r="AW828" s="1096"/>
      <c r="AX828" s="1096"/>
      <c r="AY828" s="1096"/>
    </row>
    <row r="829" spans="1:51" x14ac:dyDescent="0.45">
      <c r="A829" s="1115">
        <v>2008</v>
      </c>
      <c r="B829" s="1096" t="s">
        <v>1387</v>
      </c>
      <c r="C829" s="1112">
        <f>[6]ONS!Z829</f>
        <v>211.4</v>
      </c>
      <c r="D829" s="1112">
        <f>[6]ONS!P829</f>
        <v>231.4</v>
      </c>
      <c r="E829" s="1096"/>
      <c r="F829" s="1114">
        <f t="shared" si="33"/>
        <v>109.46073793755913</v>
      </c>
      <c r="G829" s="1112">
        <f t="shared" si="29"/>
        <v>103.26395458845789</v>
      </c>
      <c r="H829" s="1112">
        <f t="shared" si="30"/>
        <v>158.98770104068117</v>
      </c>
      <c r="I829" s="1112">
        <f t="shared" si="31"/>
        <v>113.24503311258279</v>
      </c>
      <c r="J829" s="1112">
        <f t="shared" si="32"/>
        <v>102.83822138126774</v>
      </c>
      <c r="K829" s="1096"/>
      <c r="L829" s="1096"/>
      <c r="M829" s="1096"/>
      <c r="N829" s="1096"/>
      <c r="O829" s="1096"/>
      <c r="P829" s="1114">
        <v>231.4</v>
      </c>
      <c r="Q829" s="1096" t="s">
        <v>1684</v>
      </c>
      <c r="R829" s="1114">
        <v>218.3</v>
      </c>
      <c r="S829" s="1096" t="s">
        <v>1684</v>
      </c>
      <c r="T829" s="1114">
        <v>336.1</v>
      </c>
      <c r="U829" s="1096" t="s">
        <v>1684</v>
      </c>
      <c r="V829" s="1114">
        <v>239.4</v>
      </c>
      <c r="W829" s="1096" t="s">
        <v>1684</v>
      </c>
      <c r="X829" s="1114">
        <v>217.4</v>
      </c>
      <c r="Y829" s="1096" t="s">
        <v>1684</v>
      </c>
      <c r="Z829" s="1114">
        <v>211.4</v>
      </c>
      <c r="AA829" s="1096"/>
      <c r="AB829" s="1096"/>
      <c r="AC829" s="1096"/>
      <c r="AD829" s="1096"/>
      <c r="AE829" s="1096"/>
      <c r="AF829" s="1096"/>
      <c r="AG829" s="1096"/>
      <c r="AH829" s="1096"/>
      <c r="AI829" s="1096"/>
      <c r="AJ829" s="1096"/>
      <c r="AK829" s="1096"/>
      <c r="AL829" s="1096"/>
      <c r="AM829" s="1096"/>
      <c r="AN829" s="1096"/>
      <c r="AO829" s="1096"/>
      <c r="AP829" s="1096"/>
      <c r="AQ829" s="1096"/>
      <c r="AR829" s="1096"/>
      <c r="AS829" s="1096"/>
      <c r="AT829" s="1096"/>
      <c r="AU829" s="1096"/>
      <c r="AV829" s="1096"/>
      <c r="AW829" s="1096"/>
      <c r="AX829" s="1096"/>
      <c r="AY829" s="1096"/>
    </row>
    <row r="830" spans="1:51" x14ac:dyDescent="0.45">
      <c r="A830" s="1115">
        <v>2008</v>
      </c>
      <c r="B830" s="1096" t="s">
        <v>1389</v>
      </c>
      <c r="C830" s="1112">
        <f>[6]ONS!Z830</f>
        <v>212.1</v>
      </c>
      <c r="D830" s="1112">
        <f>[6]ONS!P830</f>
        <v>233.6</v>
      </c>
      <c r="E830" s="1096"/>
      <c r="F830" s="1114">
        <f t="shared" si="33"/>
        <v>110.13672795851012</v>
      </c>
      <c r="G830" s="1112">
        <f t="shared" si="29"/>
        <v>103.25318246110326</v>
      </c>
      <c r="H830" s="1112">
        <f t="shared" si="30"/>
        <v>176.70909948137671</v>
      </c>
      <c r="I830" s="1112">
        <f t="shared" si="31"/>
        <v>112.87128712871288</v>
      </c>
      <c r="J830" s="1112">
        <f t="shared" si="32"/>
        <v>102.49882131070251</v>
      </c>
      <c r="K830" s="1096"/>
      <c r="L830" s="1096"/>
      <c r="M830" s="1096"/>
      <c r="N830" s="1096"/>
      <c r="O830" s="1096"/>
      <c r="P830" s="1114">
        <v>233.6</v>
      </c>
      <c r="Q830" s="1096" t="s">
        <v>1685</v>
      </c>
      <c r="R830" s="1114">
        <v>219</v>
      </c>
      <c r="S830" s="1096" t="s">
        <v>1685</v>
      </c>
      <c r="T830" s="1114">
        <v>374.8</v>
      </c>
      <c r="U830" s="1096" t="s">
        <v>1685</v>
      </c>
      <c r="V830" s="1114">
        <v>239.4</v>
      </c>
      <c r="W830" s="1096" t="s">
        <v>1685</v>
      </c>
      <c r="X830" s="1114">
        <v>217.4</v>
      </c>
      <c r="Y830" s="1096" t="s">
        <v>1685</v>
      </c>
      <c r="Z830" s="1114">
        <v>212.1</v>
      </c>
      <c r="AA830" s="1096"/>
      <c r="AB830" s="1096"/>
      <c r="AC830" s="1096"/>
      <c r="AD830" s="1096"/>
      <c r="AE830" s="1096"/>
      <c r="AF830" s="1096"/>
      <c r="AG830" s="1096"/>
      <c r="AH830" s="1096"/>
      <c r="AI830" s="1096"/>
      <c r="AJ830" s="1096"/>
      <c r="AK830" s="1096"/>
      <c r="AL830" s="1096"/>
      <c r="AM830" s="1096"/>
      <c r="AN830" s="1096"/>
      <c r="AO830" s="1096"/>
      <c r="AP830" s="1096"/>
      <c r="AQ830" s="1096"/>
      <c r="AR830" s="1096"/>
      <c r="AS830" s="1096"/>
      <c r="AT830" s="1096"/>
      <c r="AU830" s="1096"/>
      <c r="AV830" s="1096"/>
      <c r="AW830" s="1096"/>
      <c r="AX830" s="1096"/>
      <c r="AY830" s="1096"/>
    </row>
    <row r="831" spans="1:51" x14ac:dyDescent="0.45">
      <c r="A831" s="1115">
        <v>2008</v>
      </c>
      <c r="B831" s="1096" t="s">
        <v>1391</v>
      </c>
      <c r="C831" s="1112">
        <f>[6]ONS!Z831</f>
        <v>214</v>
      </c>
      <c r="D831" s="1112">
        <f>[6]ONS!P831</f>
        <v>239.8</v>
      </c>
      <c r="E831" s="1096"/>
      <c r="F831" s="1114">
        <f t="shared" si="33"/>
        <v>112.05607476635515</v>
      </c>
      <c r="G831" s="1112">
        <f t="shared" si="29"/>
        <v>102.66355140186916</v>
      </c>
      <c r="H831" s="1112">
        <f t="shared" si="30"/>
        <v>190.70093457943926</v>
      </c>
      <c r="I831" s="1112">
        <f t="shared" si="31"/>
        <v>114.20560747663551</v>
      </c>
      <c r="J831" s="1112">
        <f t="shared" si="32"/>
        <v>103.73831775700934</v>
      </c>
      <c r="K831" s="1096"/>
      <c r="L831" s="1096"/>
      <c r="M831" s="1096"/>
      <c r="N831" s="1096"/>
      <c r="O831" s="1096"/>
      <c r="P831" s="1114">
        <v>239.8</v>
      </c>
      <c r="Q831" s="1096" t="s">
        <v>1686</v>
      </c>
      <c r="R831" s="1114">
        <v>219.7</v>
      </c>
      <c r="S831" s="1096" t="s">
        <v>1686</v>
      </c>
      <c r="T831" s="1114">
        <v>408.1</v>
      </c>
      <c r="U831" s="1096" t="s">
        <v>1686</v>
      </c>
      <c r="V831" s="1114">
        <v>244.4</v>
      </c>
      <c r="W831" s="1096" t="s">
        <v>1686</v>
      </c>
      <c r="X831" s="1114">
        <v>222</v>
      </c>
      <c r="Y831" s="1096" t="s">
        <v>1686</v>
      </c>
      <c r="Z831" s="1114">
        <v>214</v>
      </c>
      <c r="AA831" s="1096"/>
      <c r="AB831" s="1096"/>
      <c r="AC831" s="1096"/>
      <c r="AD831" s="1096"/>
      <c r="AE831" s="1096"/>
      <c r="AF831" s="1096"/>
      <c r="AG831" s="1096"/>
      <c r="AH831" s="1096"/>
      <c r="AI831" s="1096"/>
      <c r="AJ831" s="1096"/>
      <c r="AK831" s="1096"/>
      <c r="AL831" s="1096"/>
      <c r="AM831" s="1096"/>
      <c r="AN831" s="1096"/>
      <c r="AO831" s="1096"/>
      <c r="AP831" s="1096"/>
      <c r="AQ831" s="1096"/>
      <c r="AR831" s="1096"/>
      <c r="AS831" s="1096"/>
      <c r="AT831" s="1096"/>
      <c r="AU831" s="1096"/>
      <c r="AV831" s="1096"/>
      <c r="AW831" s="1096"/>
      <c r="AX831" s="1096"/>
      <c r="AY831" s="1096"/>
    </row>
    <row r="832" spans="1:51" x14ac:dyDescent="0.45">
      <c r="A832" s="1115">
        <v>2008</v>
      </c>
      <c r="B832" s="1096" t="s">
        <v>1393</v>
      </c>
      <c r="C832" s="1112">
        <f>[6]ONS!Z832</f>
        <v>215.1</v>
      </c>
      <c r="D832" s="1112">
        <f>[6]ONS!P832</f>
        <v>241.6</v>
      </c>
      <c r="E832" s="1096"/>
      <c r="F832" s="1114">
        <f t="shared" si="33"/>
        <v>112.31985123198511</v>
      </c>
      <c r="G832" s="1112">
        <f t="shared" si="29"/>
        <v>104.23059042305904</v>
      </c>
      <c r="H832" s="1112">
        <f t="shared" si="30"/>
        <v>203.44026034402606</v>
      </c>
      <c r="I832" s="1112">
        <f t="shared" si="31"/>
        <v>113.62157136215714</v>
      </c>
      <c r="J832" s="1112">
        <f t="shared" si="32"/>
        <v>103.20781032078104</v>
      </c>
      <c r="K832" s="1096"/>
      <c r="L832" s="1096"/>
      <c r="M832" s="1096"/>
      <c r="N832" s="1096"/>
      <c r="O832" s="1096"/>
      <c r="P832" s="1114">
        <v>241.6</v>
      </c>
      <c r="Q832" s="1096" t="s">
        <v>1687</v>
      </c>
      <c r="R832" s="1114">
        <v>224.2</v>
      </c>
      <c r="S832" s="1096" t="s">
        <v>1687</v>
      </c>
      <c r="T832" s="1114">
        <v>437.6</v>
      </c>
      <c r="U832" s="1096" t="s">
        <v>1687</v>
      </c>
      <c r="V832" s="1114">
        <v>244.4</v>
      </c>
      <c r="W832" s="1096" t="s">
        <v>1687</v>
      </c>
      <c r="X832" s="1114">
        <v>222</v>
      </c>
      <c r="Y832" s="1096" t="s">
        <v>1687</v>
      </c>
      <c r="Z832" s="1114">
        <v>215.1</v>
      </c>
      <c r="AA832" s="1096"/>
      <c r="AB832" s="1096"/>
      <c r="AC832" s="1096"/>
      <c r="AD832" s="1096"/>
      <c r="AE832" s="1096"/>
      <c r="AF832" s="1096"/>
      <c r="AG832" s="1096"/>
      <c r="AH832" s="1096"/>
      <c r="AI832" s="1096"/>
      <c r="AJ832" s="1096"/>
      <c r="AK832" s="1096"/>
      <c r="AL832" s="1096"/>
      <c r="AM832" s="1096"/>
      <c r="AN832" s="1096"/>
      <c r="AO832" s="1096"/>
      <c r="AP832" s="1096"/>
      <c r="AQ832" s="1096"/>
      <c r="AR832" s="1096"/>
      <c r="AS832" s="1096"/>
      <c r="AT832" s="1096"/>
      <c r="AU832" s="1096"/>
      <c r="AV832" s="1096"/>
      <c r="AW832" s="1096"/>
      <c r="AX832" s="1096"/>
      <c r="AY832" s="1096"/>
    </row>
    <row r="833" spans="1:51" x14ac:dyDescent="0.45">
      <c r="A833" s="1115">
        <v>2008</v>
      </c>
      <c r="B833" s="1096" t="s">
        <v>1371</v>
      </c>
      <c r="C833" s="1112">
        <f>[6]ONS!Z833</f>
        <v>216.8</v>
      </c>
      <c r="D833" s="1112">
        <f>[6]ONS!P833</f>
        <v>242.6</v>
      </c>
      <c r="E833" s="1096"/>
      <c r="F833" s="1114">
        <f t="shared" si="33"/>
        <v>111.90036900369003</v>
      </c>
      <c r="G833" s="1112">
        <f t="shared" ref="G833:G896" si="34">R833/$Z833*100</f>
        <v>105.53505535055349</v>
      </c>
      <c r="H833" s="1112">
        <f t="shared" ref="H833:H896" si="35">T833/$Z833*100</f>
        <v>209.2712177121771</v>
      </c>
      <c r="I833" s="1112">
        <f t="shared" ref="I833:I896" si="36">V833/$Z833*100</f>
        <v>112.73062730627305</v>
      </c>
      <c r="J833" s="1112">
        <f t="shared" ref="J833:J896" si="37">X833/$Z833*100</f>
        <v>102.39852398523985</v>
      </c>
      <c r="K833" s="1096"/>
      <c r="L833" s="1096"/>
      <c r="M833" s="1096"/>
      <c r="N833" s="1096"/>
      <c r="O833" s="1096"/>
      <c r="P833" s="1114">
        <v>242.6</v>
      </c>
      <c r="Q833" s="1096" t="s">
        <v>1688</v>
      </c>
      <c r="R833" s="1114">
        <v>228.8</v>
      </c>
      <c r="S833" s="1096" t="s">
        <v>1688</v>
      </c>
      <c r="T833" s="1114">
        <v>453.7</v>
      </c>
      <c r="U833" s="1096" t="s">
        <v>1688</v>
      </c>
      <c r="V833" s="1114">
        <v>244.4</v>
      </c>
      <c r="W833" s="1096" t="s">
        <v>1688</v>
      </c>
      <c r="X833" s="1114">
        <v>222</v>
      </c>
      <c r="Y833" s="1096" t="s">
        <v>1688</v>
      </c>
      <c r="Z833" s="1114">
        <v>216.8</v>
      </c>
      <c r="AA833" s="1096"/>
      <c r="AB833" s="1096"/>
      <c r="AC833" s="1096"/>
      <c r="AD833" s="1096"/>
      <c r="AE833" s="1096"/>
      <c r="AF833" s="1096"/>
      <c r="AG833" s="1096"/>
      <c r="AH833" s="1096"/>
      <c r="AI833" s="1096"/>
      <c r="AJ833" s="1096"/>
      <c r="AK833" s="1096"/>
      <c r="AL833" s="1096"/>
      <c r="AM833" s="1096"/>
      <c r="AN833" s="1096"/>
      <c r="AO833" s="1096"/>
      <c r="AP833" s="1096"/>
      <c r="AQ833" s="1096"/>
      <c r="AR833" s="1096"/>
      <c r="AS833" s="1096"/>
      <c r="AT833" s="1096"/>
      <c r="AU833" s="1096"/>
      <c r="AV833" s="1096"/>
      <c r="AW833" s="1096"/>
      <c r="AX833" s="1096"/>
      <c r="AY833" s="1096"/>
    </row>
    <row r="834" spans="1:51" x14ac:dyDescent="0.45">
      <c r="A834" s="1115">
        <v>2008</v>
      </c>
      <c r="B834" s="1096" t="s">
        <v>1373</v>
      </c>
      <c r="C834" s="1112">
        <f>[6]ONS!Z834</f>
        <v>216.5</v>
      </c>
      <c r="D834" s="1112">
        <f>[6]ONS!P834</f>
        <v>244.1</v>
      </c>
      <c r="E834" s="1096"/>
      <c r="F834" s="1114">
        <f t="shared" si="33"/>
        <v>112.74826789838338</v>
      </c>
      <c r="G834" s="1112">
        <f t="shared" si="34"/>
        <v>106.83602771362588</v>
      </c>
      <c r="H834" s="1112">
        <f t="shared" si="35"/>
        <v>220.69284064665129</v>
      </c>
      <c r="I834" s="1112">
        <f t="shared" si="36"/>
        <v>112.88683602771363</v>
      </c>
      <c r="J834" s="1112">
        <f t="shared" si="37"/>
        <v>102.54041570438798</v>
      </c>
      <c r="K834" s="1096"/>
      <c r="L834" s="1096"/>
      <c r="M834" s="1096"/>
      <c r="N834" s="1096"/>
      <c r="O834" s="1096"/>
      <c r="P834" s="1114">
        <v>244.1</v>
      </c>
      <c r="Q834" s="1096" t="s">
        <v>1689</v>
      </c>
      <c r="R834" s="1114">
        <v>231.3</v>
      </c>
      <c r="S834" s="1096" t="s">
        <v>1689</v>
      </c>
      <c r="T834" s="1114">
        <v>477.8</v>
      </c>
      <c r="U834" s="1096" t="s">
        <v>1689</v>
      </c>
      <c r="V834" s="1114">
        <v>244.4</v>
      </c>
      <c r="W834" s="1096" t="s">
        <v>1689</v>
      </c>
      <c r="X834" s="1114">
        <v>222</v>
      </c>
      <c r="Y834" s="1096" t="s">
        <v>1689</v>
      </c>
      <c r="Z834" s="1114">
        <v>216.5</v>
      </c>
      <c r="AA834" s="1096"/>
      <c r="AB834" s="1096"/>
      <c r="AC834" s="1096"/>
      <c r="AD834" s="1096"/>
      <c r="AE834" s="1096"/>
      <c r="AF834" s="1096"/>
      <c r="AG834" s="1096"/>
      <c r="AH834" s="1096"/>
      <c r="AI834" s="1096"/>
      <c r="AJ834" s="1096"/>
      <c r="AK834" s="1096"/>
      <c r="AL834" s="1096"/>
      <c r="AM834" s="1096"/>
      <c r="AN834" s="1096"/>
      <c r="AO834" s="1096"/>
      <c r="AP834" s="1096"/>
      <c r="AQ834" s="1096"/>
      <c r="AR834" s="1096"/>
      <c r="AS834" s="1096"/>
      <c r="AT834" s="1096"/>
      <c r="AU834" s="1096"/>
      <c r="AV834" s="1096"/>
      <c r="AW834" s="1096"/>
      <c r="AX834" s="1096"/>
      <c r="AY834" s="1096"/>
    </row>
    <row r="835" spans="1:51" x14ac:dyDescent="0.45">
      <c r="A835" s="1115">
        <v>2008</v>
      </c>
      <c r="B835" s="1096" t="s">
        <v>1375</v>
      </c>
      <c r="C835" s="1112">
        <f>[6]ONS!Z835</f>
        <v>217.2</v>
      </c>
      <c r="D835" s="1112">
        <f>[6]ONS!P835</f>
        <v>256.89999999999998</v>
      </c>
      <c r="E835" s="1096"/>
      <c r="F835" s="1114">
        <f t="shared" si="33"/>
        <v>118.2780847145488</v>
      </c>
      <c r="G835" s="1112">
        <f t="shared" si="34"/>
        <v>107.59668508287292</v>
      </c>
      <c r="H835" s="1112">
        <f t="shared" si="35"/>
        <v>191.39042357274403</v>
      </c>
      <c r="I835" s="1112">
        <f t="shared" si="36"/>
        <v>125.92081031307552</v>
      </c>
      <c r="J835" s="1112">
        <f t="shared" si="37"/>
        <v>106.58379373848987</v>
      </c>
      <c r="K835" s="1096"/>
      <c r="L835" s="1096"/>
      <c r="M835" s="1096"/>
      <c r="N835" s="1096"/>
      <c r="O835" s="1096"/>
      <c r="P835" s="1114">
        <v>256.89999999999998</v>
      </c>
      <c r="Q835" s="1096" t="s">
        <v>1690</v>
      </c>
      <c r="R835" s="1114">
        <v>233.7</v>
      </c>
      <c r="S835" s="1096" t="s">
        <v>1690</v>
      </c>
      <c r="T835" s="1114">
        <v>415.7</v>
      </c>
      <c r="U835" s="1096" t="s">
        <v>1690</v>
      </c>
      <c r="V835" s="1114">
        <v>273.5</v>
      </c>
      <c r="W835" s="1096" t="s">
        <v>1690</v>
      </c>
      <c r="X835" s="1114">
        <v>231.5</v>
      </c>
      <c r="Y835" s="1096" t="s">
        <v>1690</v>
      </c>
      <c r="Z835" s="1114">
        <v>217.2</v>
      </c>
      <c r="AA835" s="1096"/>
      <c r="AB835" s="1096"/>
      <c r="AC835" s="1096"/>
      <c r="AD835" s="1096"/>
      <c r="AE835" s="1096"/>
      <c r="AF835" s="1096"/>
      <c r="AG835" s="1096"/>
      <c r="AH835" s="1096"/>
      <c r="AI835" s="1096"/>
      <c r="AJ835" s="1096"/>
      <c r="AK835" s="1096"/>
      <c r="AL835" s="1096"/>
      <c r="AM835" s="1096"/>
      <c r="AN835" s="1096"/>
      <c r="AO835" s="1096"/>
      <c r="AP835" s="1096"/>
      <c r="AQ835" s="1096"/>
      <c r="AR835" s="1096"/>
      <c r="AS835" s="1096"/>
      <c r="AT835" s="1096"/>
      <c r="AU835" s="1096"/>
      <c r="AV835" s="1096"/>
      <c r="AW835" s="1096"/>
      <c r="AX835" s="1096"/>
      <c r="AY835" s="1096"/>
    </row>
    <row r="836" spans="1:51" x14ac:dyDescent="0.45">
      <c r="A836" s="1115">
        <v>2008</v>
      </c>
      <c r="B836" s="1096" t="s">
        <v>1377</v>
      </c>
      <c r="C836" s="1112">
        <f>[6]ONS!Z836</f>
        <v>218.4</v>
      </c>
      <c r="D836" s="1112">
        <f>[6]ONS!P836</f>
        <v>287.7</v>
      </c>
      <c r="E836" s="1096"/>
      <c r="F836" s="1114">
        <f t="shared" si="33"/>
        <v>131.73076923076923</v>
      </c>
      <c r="G836" s="1112">
        <f t="shared" si="34"/>
        <v>117.03296703296702</v>
      </c>
      <c r="H836" s="1112">
        <f t="shared" si="35"/>
        <v>186.17216117216117</v>
      </c>
      <c r="I836" s="1112">
        <f t="shared" si="36"/>
        <v>146.74908424908423</v>
      </c>
      <c r="J836" s="1112">
        <f t="shared" si="37"/>
        <v>116.89560439560441</v>
      </c>
      <c r="K836" s="1096"/>
      <c r="L836" s="1096"/>
      <c r="M836" s="1096"/>
      <c r="N836" s="1096"/>
      <c r="O836" s="1096"/>
      <c r="P836" s="1114">
        <v>287.7</v>
      </c>
      <c r="Q836" s="1096" t="s">
        <v>1691</v>
      </c>
      <c r="R836" s="1114">
        <v>255.6</v>
      </c>
      <c r="S836" s="1096" t="s">
        <v>1691</v>
      </c>
      <c r="T836" s="1114">
        <v>406.6</v>
      </c>
      <c r="U836" s="1096" t="s">
        <v>1691</v>
      </c>
      <c r="V836" s="1114">
        <v>320.5</v>
      </c>
      <c r="W836" s="1096" t="s">
        <v>1691</v>
      </c>
      <c r="X836" s="1114">
        <v>255.3</v>
      </c>
      <c r="Y836" s="1096" t="s">
        <v>1691</v>
      </c>
      <c r="Z836" s="1114">
        <v>218.4</v>
      </c>
      <c r="AA836" s="1096"/>
      <c r="AB836" s="1096"/>
      <c r="AC836" s="1096"/>
      <c r="AD836" s="1096"/>
      <c r="AE836" s="1096"/>
      <c r="AF836" s="1096"/>
      <c r="AG836" s="1096"/>
      <c r="AH836" s="1096"/>
      <c r="AI836" s="1096"/>
      <c r="AJ836" s="1096"/>
      <c r="AK836" s="1096"/>
      <c r="AL836" s="1096"/>
      <c r="AM836" s="1096"/>
      <c r="AN836" s="1096"/>
      <c r="AO836" s="1096"/>
      <c r="AP836" s="1096"/>
      <c r="AQ836" s="1096"/>
      <c r="AR836" s="1096"/>
      <c r="AS836" s="1096"/>
      <c r="AT836" s="1096"/>
      <c r="AU836" s="1096"/>
      <c r="AV836" s="1096"/>
      <c r="AW836" s="1096"/>
      <c r="AX836" s="1096"/>
      <c r="AY836" s="1096"/>
    </row>
    <row r="837" spans="1:51" x14ac:dyDescent="0.45">
      <c r="A837" s="1115">
        <v>2008</v>
      </c>
      <c r="B837" s="1096" t="s">
        <v>1379</v>
      </c>
      <c r="C837" s="1112">
        <f>[6]ONS!Z837</f>
        <v>217.7</v>
      </c>
      <c r="D837" s="1112">
        <f>[6]ONS!P837</f>
        <v>286.8</v>
      </c>
      <c r="E837" s="1096"/>
      <c r="F837" s="1114">
        <f t="shared" si="33"/>
        <v>131.74092788240699</v>
      </c>
      <c r="G837" s="1112">
        <f t="shared" si="34"/>
        <v>128.06614607257697</v>
      </c>
      <c r="H837" s="1112">
        <f t="shared" si="35"/>
        <v>166.10013780431788</v>
      </c>
      <c r="I837" s="1112">
        <f t="shared" si="36"/>
        <v>147.22094625631604</v>
      </c>
      <c r="J837" s="1112">
        <f t="shared" si="37"/>
        <v>118.14423518603583</v>
      </c>
      <c r="K837" s="1096"/>
      <c r="L837" s="1096"/>
      <c r="M837" s="1096"/>
      <c r="N837" s="1096"/>
      <c r="O837" s="1096"/>
      <c r="P837" s="1114">
        <v>286.8</v>
      </c>
      <c r="Q837" s="1096" t="s">
        <v>1692</v>
      </c>
      <c r="R837" s="1114">
        <v>278.8</v>
      </c>
      <c r="S837" s="1096" t="s">
        <v>1692</v>
      </c>
      <c r="T837" s="1114">
        <v>361.6</v>
      </c>
      <c r="U837" s="1096" t="s">
        <v>1692</v>
      </c>
      <c r="V837" s="1114">
        <v>320.5</v>
      </c>
      <c r="W837" s="1096" t="s">
        <v>1692</v>
      </c>
      <c r="X837" s="1114">
        <v>257.2</v>
      </c>
      <c r="Y837" s="1096" t="s">
        <v>1692</v>
      </c>
      <c r="Z837" s="1114">
        <v>217.7</v>
      </c>
      <c r="AA837" s="1096"/>
      <c r="AB837" s="1096"/>
      <c r="AC837" s="1096"/>
      <c r="AD837" s="1096"/>
      <c r="AE837" s="1096"/>
      <c r="AF837" s="1096"/>
      <c r="AG837" s="1096"/>
      <c r="AH837" s="1096"/>
      <c r="AI837" s="1096"/>
      <c r="AJ837" s="1096"/>
      <c r="AK837" s="1096"/>
      <c r="AL837" s="1096"/>
      <c r="AM837" s="1096"/>
      <c r="AN837" s="1096"/>
      <c r="AO837" s="1096"/>
      <c r="AP837" s="1096"/>
      <c r="AQ837" s="1096"/>
      <c r="AR837" s="1096"/>
      <c r="AS837" s="1096"/>
      <c r="AT837" s="1096"/>
      <c r="AU837" s="1096"/>
      <c r="AV837" s="1096"/>
      <c r="AW837" s="1096"/>
      <c r="AX837" s="1096"/>
      <c r="AY837" s="1096"/>
    </row>
    <row r="838" spans="1:51" x14ac:dyDescent="0.45">
      <c r="A838" s="1115">
        <v>2008</v>
      </c>
      <c r="B838" s="1096" t="s">
        <v>1381</v>
      </c>
      <c r="C838" s="1112">
        <f>[6]ONS!Z838</f>
        <v>216</v>
      </c>
      <c r="D838" s="1112">
        <f>[6]ONS!P838</f>
        <v>285.5</v>
      </c>
      <c r="E838" s="1096"/>
      <c r="F838" s="1114">
        <f t="shared" si="33"/>
        <v>132.17592592592592</v>
      </c>
      <c r="G838" s="1112">
        <f t="shared" si="34"/>
        <v>130.0462962962963</v>
      </c>
      <c r="H838" s="1112">
        <f t="shared" si="35"/>
        <v>156.5277777777778</v>
      </c>
      <c r="I838" s="1112">
        <f t="shared" si="36"/>
        <v>148.33333333333331</v>
      </c>
      <c r="J838" s="1112">
        <f t="shared" si="37"/>
        <v>119.07407407407406</v>
      </c>
      <c r="K838" s="1096"/>
      <c r="L838" s="1096"/>
      <c r="M838" s="1096"/>
      <c r="N838" s="1096"/>
      <c r="O838" s="1096"/>
      <c r="P838" s="1114">
        <v>285.5</v>
      </c>
      <c r="Q838" s="1096" t="s">
        <v>1693</v>
      </c>
      <c r="R838" s="1114">
        <v>280.89999999999998</v>
      </c>
      <c r="S838" s="1096" t="s">
        <v>1693</v>
      </c>
      <c r="T838" s="1114">
        <v>338.1</v>
      </c>
      <c r="U838" s="1096" t="s">
        <v>1693</v>
      </c>
      <c r="V838" s="1114">
        <v>320.39999999999998</v>
      </c>
      <c r="W838" s="1096" t="s">
        <v>1693</v>
      </c>
      <c r="X838" s="1114">
        <v>257.2</v>
      </c>
      <c r="Y838" s="1096" t="s">
        <v>1693</v>
      </c>
      <c r="Z838" s="1114">
        <v>216</v>
      </c>
      <c r="AA838" s="1096"/>
      <c r="AB838" s="1096"/>
      <c r="AC838" s="1096"/>
      <c r="AD838" s="1096"/>
      <c r="AE838" s="1096"/>
      <c r="AF838" s="1096"/>
      <c r="AG838" s="1096"/>
      <c r="AH838" s="1096"/>
      <c r="AI838" s="1096"/>
      <c r="AJ838" s="1096"/>
      <c r="AK838" s="1096"/>
      <c r="AL838" s="1096"/>
      <c r="AM838" s="1096"/>
      <c r="AN838" s="1096"/>
      <c r="AO838" s="1096"/>
      <c r="AP838" s="1096"/>
      <c r="AQ838" s="1096"/>
      <c r="AR838" s="1096"/>
      <c r="AS838" s="1096"/>
      <c r="AT838" s="1096"/>
      <c r="AU838" s="1096"/>
      <c r="AV838" s="1096"/>
      <c r="AW838" s="1096"/>
      <c r="AX838" s="1096"/>
      <c r="AY838" s="1096"/>
    </row>
    <row r="839" spans="1:51" x14ac:dyDescent="0.45">
      <c r="A839" s="1115">
        <v>2008</v>
      </c>
      <c r="B839" s="1096" t="s">
        <v>1383</v>
      </c>
      <c r="C839" s="1112">
        <f>[6]ONS!Z839</f>
        <v>212.9</v>
      </c>
      <c r="D839" s="1112">
        <f>[6]ONS!P839</f>
        <v>283.89999999999998</v>
      </c>
      <c r="E839" s="1096"/>
      <c r="F839" s="1114">
        <f t="shared" si="33"/>
        <v>133.34899013621418</v>
      </c>
      <c r="G839" s="1112">
        <f t="shared" si="34"/>
        <v>133.0201972757163</v>
      </c>
      <c r="H839" s="1112">
        <f t="shared" si="35"/>
        <v>145.13856270549553</v>
      </c>
      <c r="I839" s="1112">
        <f t="shared" si="36"/>
        <v>150.44621888210429</v>
      </c>
      <c r="J839" s="1112">
        <f t="shared" si="37"/>
        <v>120.80789102865195</v>
      </c>
      <c r="K839" s="1096"/>
      <c r="L839" s="1096"/>
      <c r="M839" s="1096"/>
      <c r="N839" s="1096"/>
      <c r="O839" s="1096"/>
      <c r="P839" s="1114">
        <v>283.89999999999998</v>
      </c>
      <c r="Q839" s="1096" t="s">
        <v>1694</v>
      </c>
      <c r="R839" s="1114">
        <v>283.2</v>
      </c>
      <c r="S839" s="1096" t="s">
        <v>1694</v>
      </c>
      <c r="T839" s="1114">
        <v>309</v>
      </c>
      <c r="U839" s="1096" t="s">
        <v>1694</v>
      </c>
      <c r="V839" s="1114">
        <v>320.3</v>
      </c>
      <c r="W839" s="1096" t="s">
        <v>1694</v>
      </c>
      <c r="X839" s="1114">
        <v>257.2</v>
      </c>
      <c r="Y839" s="1096" t="s">
        <v>1694</v>
      </c>
      <c r="Z839" s="1114">
        <v>212.9</v>
      </c>
      <c r="AA839" s="1096"/>
      <c r="AB839" s="1096"/>
      <c r="AC839" s="1096"/>
      <c r="AD839" s="1096"/>
      <c r="AE839" s="1096"/>
      <c r="AF839" s="1096"/>
      <c r="AG839" s="1096"/>
      <c r="AH839" s="1096"/>
      <c r="AI839" s="1096"/>
      <c r="AJ839" s="1096"/>
      <c r="AK839" s="1096"/>
      <c r="AL839" s="1096"/>
      <c r="AM839" s="1096"/>
      <c r="AN839" s="1096"/>
      <c r="AO839" s="1096"/>
      <c r="AP839" s="1096"/>
      <c r="AQ839" s="1096"/>
      <c r="AR839" s="1096"/>
      <c r="AS839" s="1096"/>
      <c r="AT839" s="1096"/>
      <c r="AU839" s="1096"/>
      <c r="AV839" s="1096"/>
      <c r="AW839" s="1096"/>
      <c r="AX839" s="1096"/>
      <c r="AY839" s="1096"/>
    </row>
    <row r="840" spans="1:51" x14ac:dyDescent="0.45">
      <c r="A840" s="1115">
        <v>2009</v>
      </c>
      <c r="B840" s="1096" t="s">
        <v>1385</v>
      </c>
      <c r="C840" s="1112">
        <f>[6]ONS!Z840</f>
        <v>210.1</v>
      </c>
      <c r="D840" s="1112">
        <f>[6]ONS!P840</f>
        <v>283.39999999999998</v>
      </c>
      <c r="E840" s="1096"/>
      <c r="F840" s="1114">
        <f t="shared" si="33"/>
        <v>134.88814850071392</v>
      </c>
      <c r="G840" s="1112">
        <f t="shared" si="34"/>
        <v>136.12565445026178</v>
      </c>
      <c r="H840" s="1112">
        <f t="shared" si="35"/>
        <v>145.2641599238458</v>
      </c>
      <c r="I840" s="1112">
        <f t="shared" si="36"/>
        <v>152.45121370775823</v>
      </c>
      <c r="J840" s="1112">
        <f t="shared" si="37"/>
        <v>122.13231794383628</v>
      </c>
      <c r="K840" s="1096"/>
      <c r="L840" s="1096"/>
      <c r="M840" s="1096"/>
      <c r="N840" s="1096"/>
      <c r="O840" s="1096"/>
      <c r="P840" s="1114">
        <v>283.39999999999998</v>
      </c>
      <c r="Q840" s="1096" t="s">
        <v>1695</v>
      </c>
      <c r="R840" s="1114">
        <v>286</v>
      </c>
      <c r="S840" s="1096" t="s">
        <v>1695</v>
      </c>
      <c r="T840" s="1114">
        <v>305.2</v>
      </c>
      <c r="U840" s="1096" t="s">
        <v>1695</v>
      </c>
      <c r="V840" s="1114">
        <v>320.3</v>
      </c>
      <c r="W840" s="1096" t="s">
        <v>1695</v>
      </c>
      <c r="X840" s="1114">
        <v>256.60000000000002</v>
      </c>
      <c r="Y840" s="1096" t="s">
        <v>1695</v>
      </c>
      <c r="Z840" s="1114">
        <v>210.1</v>
      </c>
      <c r="AA840" s="1096"/>
      <c r="AB840" s="1096"/>
      <c r="AC840" s="1096"/>
      <c r="AD840" s="1096"/>
      <c r="AE840" s="1096"/>
      <c r="AF840" s="1096"/>
      <c r="AG840" s="1096"/>
      <c r="AH840" s="1096"/>
      <c r="AI840" s="1096"/>
      <c r="AJ840" s="1096"/>
      <c r="AK840" s="1096"/>
      <c r="AL840" s="1096"/>
      <c r="AM840" s="1096"/>
      <c r="AN840" s="1096"/>
      <c r="AO840" s="1096"/>
      <c r="AP840" s="1096"/>
      <c r="AQ840" s="1096"/>
      <c r="AR840" s="1096"/>
      <c r="AS840" s="1096"/>
      <c r="AT840" s="1096"/>
      <c r="AU840" s="1096"/>
      <c r="AV840" s="1096"/>
      <c r="AW840" s="1096"/>
      <c r="AX840" s="1096"/>
      <c r="AY840" s="1096"/>
    </row>
    <row r="841" spans="1:51" x14ac:dyDescent="0.45">
      <c r="A841" s="1115">
        <v>2009</v>
      </c>
      <c r="B841" s="1096" t="s">
        <v>1387</v>
      </c>
      <c r="C841" s="1112">
        <f>[6]ONS!Z841</f>
        <v>211.4</v>
      </c>
      <c r="D841" s="1112">
        <f>[6]ONS!P841</f>
        <v>282.89999999999998</v>
      </c>
      <c r="E841" s="1096"/>
      <c r="F841" s="1114">
        <f t="shared" si="33"/>
        <v>133.82213812677389</v>
      </c>
      <c r="G841" s="1112">
        <f t="shared" si="34"/>
        <v>135.38315988647113</v>
      </c>
      <c r="H841" s="1112">
        <f t="shared" si="35"/>
        <v>137.74834437086093</v>
      </c>
      <c r="I841" s="1112">
        <f t="shared" si="36"/>
        <v>151.51371807000947</v>
      </c>
      <c r="J841" s="1112">
        <f t="shared" si="37"/>
        <v>121.38126773888365</v>
      </c>
      <c r="K841" s="1096"/>
      <c r="L841" s="1096"/>
      <c r="M841" s="1096"/>
      <c r="N841" s="1096"/>
      <c r="O841" s="1096"/>
      <c r="P841" s="1114">
        <v>282.89999999999998</v>
      </c>
      <c r="Q841" s="1096" t="s">
        <v>1696</v>
      </c>
      <c r="R841" s="1114">
        <v>286.2</v>
      </c>
      <c r="S841" s="1096" t="s">
        <v>1696</v>
      </c>
      <c r="T841" s="1114">
        <v>291.2</v>
      </c>
      <c r="U841" s="1096" t="s">
        <v>1696</v>
      </c>
      <c r="V841" s="1114">
        <v>320.3</v>
      </c>
      <c r="W841" s="1096" t="s">
        <v>1696</v>
      </c>
      <c r="X841" s="1114">
        <v>256.60000000000002</v>
      </c>
      <c r="Y841" s="1096" t="s">
        <v>1696</v>
      </c>
      <c r="Z841" s="1114">
        <v>211.4</v>
      </c>
      <c r="AA841" s="1096"/>
      <c r="AB841" s="1096"/>
      <c r="AC841" s="1096"/>
      <c r="AD841" s="1096"/>
      <c r="AE841" s="1096"/>
      <c r="AF841" s="1096"/>
      <c r="AG841" s="1096"/>
      <c r="AH841" s="1096"/>
      <c r="AI841" s="1096"/>
      <c r="AJ841" s="1096"/>
      <c r="AK841" s="1096"/>
      <c r="AL841" s="1096"/>
      <c r="AM841" s="1096"/>
      <c r="AN841" s="1096"/>
      <c r="AO841" s="1096"/>
      <c r="AP841" s="1096"/>
      <c r="AQ841" s="1096"/>
      <c r="AR841" s="1096"/>
      <c r="AS841" s="1096"/>
      <c r="AT841" s="1096"/>
      <c r="AU841" s="1096"/>
      <c r="AV841" s="1096"/>
      <c r="AW841" s="1096"/>
      <c r="AX841" s="1096"/>
      <c r="AY841" s="1096"/>
    </row>
    <row r="842" spans="1:51" x14ac:dyDescent="0.45">
      <c r="A842" s="1115">
        <v>2009</v>
      </c>
      <c r="B842" s="1096" t="s">
        <v>1389</v>
      </c>
      <c r="C842" s="1112">
        <f>[6]ONS!Z842</f>
        <v>211.3</v>
      </c>
      <c r="D842" s="1112">
        <f>[6]ONS!P842</f>
        <v>275.5</v>
      </c>
      <c r="E842" s="1096"/>
      <c r="F842" s="1114">
        <f t="shared" si="33"/>
        <v>130.38334122101276</v>
      </c>
      <c r="G842" s="1112">
        <f t="shared" si="34"/>
        <v>135.30525319451016</v>
      </c>
      <c r="H842" s="1112">
        <f t="shared" si="35"/>
        <v>126.31329862754377</v>
      </c>
      <c r="I842" s="1112">
        <f t="shared" si="36"/>
        <v>144.91244675816372</v>
      </c>
      <c r="J842" s="1112">
        <f t="shared" si="37"/>
        <v>120.87079981069569</v>
      </c>
      <c r="K842" s="1096"/>
      <c r="L842" s="1096"/>
      <c r="M842" s="1096"/>
      <c r="N842" s="1096"/>
      <c r="O842" s="1096"/>
      <c r="P842" s="1114">
        <v>275.5</v>
      </c>
      <c r="Q842" s="1096" t="s">
        <v>1697</v>
      </c>
      <c r="R842" s="1114">
        <v>285.89999999999998</v>
      </c>
      <c r="S842" s="1096" t="s">
        <v>1697</v>
      </c>
      <c r="T842" s="1114">
        <v>266.89999999999998</v>
      </c>
      <c r="U842" s="1096" t="s">
        <v>1697</v>
      </c>
      <c r="V842" s="1114">
        <v>306.2</v>
      </c>
      <c r="W842" s="1096" t="s">
        <v>1697</v>
      </c>
      <c r="X842" s="1114">
        <v>255.4</v>
      </c>
      <c r="Y842" s="1096" t="s">
        <v>1697</v>
      </c>
      <c r="Z842" s="1114">
        <v>211.3</v>
      </c>
      <c r="AA842" s="1096"/>
      <c r="AB842" s="1096"/>
      <c r="AC842" s="1096"/>
      <c r="AD842" s="1096"/>
      <c r="AE842" s="1096"/>
      <c r="AF842" s="1096"/>
      <c r="AG842" s="1096"/>
      <c r="AH842" s="1096"/>
      <c r="AI842" s="1096"/>
      <c r="AJ842" s="1096"/>
      <c r="AK842" s="1096"/>
      <c r="AL842" s="1096"/>
      <c r="AM842" s="1096"/>
      <c r="AN842" s="1096"/>
      <c r="AO842" s="1096"/>
      <c r="AP842" s="1096"/>
      <c r="AQ842" s="1096"/>
      <c r="AR842" s="1096"/>
      <c r="AS842" s="1096"/>
      <c r="AT842" s="1096"/>
      <c r="AU842" s="1096"/>
      <c r="AV842" s="1096"/>
      <c r="AW842" s="1096"/>
      <c r="AX842" s="1096"/>
      <c r="AY842" s="1096"/>
    </row>
    <row r="843" spans="1:51" x14ac:dyDescent="0.45">
      <c r="A843" s="1115">
        <v>2009</v>
      </c>
      <c r="B843" s="1096" t="s">
        <v>1391</v>
      </c>
      <c r="C843" s="1112">
        <f>[6]ONS!Z843</f>
        <v>211.5</v>
      </c>
      <c r="D843" s="1112">
        <f>[6]ONS!P843</f>
        <v>267.89999999999998</v>
      </c>
      <c r="E843" s="1096"/>
      <c r="F843" s="1114">
        <f t="shared" si="33"/>
        <v>126.66666666666666</v>
      </c>
      <c r="G843" s="1112">
        <f t="shared" si="34"/>
        <v>135.22458628841608</v>
      </c>
      <c r="H843" s="1112">
        <f t="shared" si="35"/>
        <v>132.15130023640663</v>
      </c>
      <c r="I843" s="1112">
        <f t="shared" si="36"/>
        <v>143.30969267139483</v>
      </c>
      <c r="J843" s="1112">
        <f t="shared" si="37"/>
        <v>114.56264775413712</v>
      </c>
      <c r="K843" s="1096"/>
      <c r="L843" s="1096"/>
      <c r="M843" s="1096"/>
      <c r="N843" s="1096"/>
      <c r="O843" s="1096"/>
      <c r="P843" s="1114">
        <v>267.89999999999998</v>
      </c>
      <c r="Q843" s="1096" t="s">
        <v>1698</v>
      </c>
      <c r="R843" s="1114">
        <v>286</v>
      </c>
      <c r="S843" s="1096" t="s">
        <v>1698</v>
      </c>
      <c r="T843" s="1114">
        <v>279.5</v>
      </c>
      <c r="U843" s="1096" t="s">
        <v>1698</v>
      </c>
      <c r="V843" s="1114">
        <v>303.10000000000002</v>
      </c>
      <c r="W843" s="1096" t="s">
        <v>1698</v>
      </c>
      <c r="X843" s="1114">
        <v>242.3</v>
      </c>
      <c r="Y843" s="1096" t="s">
        <v>1698</v>
      </c>
      <c r="Z843" s="1114">
        <v>211.5</v>
      </c>
      <c r="AA843" s="1096"/>
      <c r="AB843" s="1096"/>
      <c r="AC843" s="1096"/>
      <c r="AD843" s="1096"/>
      <c r="AE843" s="1096"/>
      <c r="AF843" s="1096"/>
      <c r="AG843" s="1096"/>
      <c r="AH843" s="1096"/>
      <c r="AI843" s="1096"/>
      <c r="AJ843" s="1096"/>
      <c r="AK843" s="1096"/>
      <c r="AL843" s="1096"/>
      <c r="AM843" s="1096"/>
      <c r="AN843" s="1096"/>
      <c r="AO843" s="1096"/>
      <c r="AP843" s="1096"/>
      <c r="AQ843" s="1096"/>
      <c r="AR843" s="1096"/>
      <c r="AS843" s="1096"/>
      <c r="AT843" s="1096"/>
      <c r="AU843" s="1096"/>
      <c r="AV843" s="1096"/>
      <c r="AW843" s="1096"/>
      <c r="AX843" s="1096"/>
      <c r="AY843" s="1096"/>
    </row>
    <row r="844" spans="1:51" x14ac:dyDescent="0.45">
      <c r="A844" s="1115">
        <v>2009</v>
      </c>
      <c r="B844" s="1096" t="s">
        <v>1393</v>
      </c>
      <c r="C844" s="1112">
        <f>[6]ONS!Z844</f>
        <v>212.8</v>
      </c>
      <c r="D844" s="1112">
        <f>[6]ONS!P844</f>
        <v>265.10000000000002</v>
      </c>
      <c r="E844" s="1096"/>
      <c r="F844" s="1114">
        <f t="shared" si="33"/>
        <v>124.57706766917293</v>
      </c>
      <c r="G844" s="1112">
        <f t="shared" si="34"/>
        <v>132.23684210526315</v>
      </c>
      <c r="H844" s="1112">
        <f t="shared" si="35"/>
        <v>131.57894736842104</v>
      </c>
      <c r="I844" s="1112">
        <f t="shared" si="36"/>
        <v>142.43421052631581</v>
      </c>
      <c r="J844" s="1112">
        <f t="shared" si="37"/>
        <v>111.37218045112782</v>
      </c>
      <c r="K844" s="1096"/>
      <c r="L844" s="1096"/>
      <c r="M844" s="1096"/>
      <c r="N844" s="1096"/>
      <c r="O844" s="1096"/>
      <c r="P844" s="1114">
        <v>265.10000000000002</v>
      </c>
      <c r="Q844" s="1096" t="s">
        <v>1699</v>
      </c>
      <c r="R844" s="1114">
        <v>281.39999999999998</v>
      </c>
      <c r="S844" s="1096" t="s">
        <v>1699</v>
      </c>
      <c r="T844" s="1114">
        <v>280</v>
      </c>
      <c r="U844" s="1096" t="s">
        <v>1699</v>
      </c>
      <c r="V844" s="1114">
        <v>303.10000000000002</v>
      </c>
      <c r="W844" s="1096" t="s">
        <v>1699</v>
      </c>
      <c r="X844" s="1114">
        <v>237</v>
      </c>
      <c r="Y844" s="1096" t="s">
        <v>1699</v>
      </c>
      <c r="Z844" s="1114">
        <v>212.8</v>
      </c>
      <c r="AA844" s="1096"/>
      <c r="AB844" s="1096"/>
      <c r="AC844" s="1096"/>
      <c r="AD844" s="1096"/>
      <c r="AE844" s="1096"/>
      <c r="AF844" s="1096"/>
      <c r="AG844" s="1096"/>
      <c r="AH844" s="1096"/>
      <c r="AI844" s="1096"/>
      <c r="AJ844" s="1096"/>
      <c r="AK844" s="1096"/>
      <c r="AL844" s="1096"/>
      <c r="AM844" s="1096"/>
      <c r="AN844" s="1096"/>
      <c r="AO844" s="1096"/>
      <c r="AP844" s="1096"/>
      <c r="AQ844" s="1096"/>
      <c r="AR844" s="1096"/>
      <c r="AS844" s="1096"/>
      <c r="AT844" s="1096"/>
      <c r="AU844" s="1096"/>
      <c r="AV844" s="1096"/>
      <c r="AW844" s="1096"/>
      <c r="AX844" s="1096"/>
      <c r="AY844" s="1096"/>
    </row>
    <row r="845" spans="1:51" x14ac:dyDescent="0.45">
      <c r="A845" s="1115">
        <v>2009</v>
      </c>
      <c r="B845" s="1096" t="s">
        <v>1371</v>
      </c>
      <c r="C845" s="1112">
        <f>[6]ONS!Z845</f>
        <v>213.4</v>
      </c>
      <c r="D845" s="1112">
        <f>[6]ONS!P845</f>
        <v>266</v>
      </c>
      <c r="E845" s="1096"/>
      <c r="F845" s="1114">
        <f t="shared" si="33"/>
        <v>124.64854732895969</v>
      </c>
      <c r="G845" s="1112">
        <f t="shared" si="34"/>
        <v>130.74039362699156</v>
      </c>
      <c r="H845" s="1112">
        <f t="shared" si="35"/>
        <v>142.97094657919399</v>
      </c>
      <c r="I845" s="1112">
        <f t="shared" si="36"/>
        <v>142.03373945641988</v>
      </c>
      <c r="J845" s="1112">
        <f t="shared" si="37"/>
        <v>111.05904404873476</v>
      </c>
      <c r="K845" s="1096"/>
      <c r="L845" s="1096"/>
      <c r="M845" s="1096"/>
      <c r="N845" s="1096"/>
      <c r="O845" s="1096"/>
      <c r="P845" s="1114">
        <v>266</v>
      </c>
      <c r="Q845" s="1096" t="s">
        <v>1700</v>
      </c>
      <c r="R845" s="1114">
        <v>279</v>
      </c>
      <c r="S845" s="1096" t="s">
        <v>1700</v>
      </c>
      <c r="T845" s="1114">
        <v>305.10000000000002</v>
      </c>
      <c r="U845" s="1096" t="s">
        <v>1700</v>
      </c>
      <c r="V845" s="1114">
        <v>303.10000000000002</v>
      </c>
      <c r="W845" s="1096" t="s">
        <v>1700</v>
      </c>
      <c r="X845" s="1114">
        <v>237</v>
      </c>
      <c r="Y845" s="1096" t="s">
        <v>1700</v>
      </c>
      <c r="Z845" s="1114">
        <v>213.4</v>
      </c>
      <c r="AA845" s="1096"/>
      <c r="AB845" s="1096"/>
      <c r="AC845" s="1096"/>
      <c r="AD845" s="1096"/>
      <c r="AE845" s="1096"/>
      <c r="AF845" s="1096"/>
      <c r="AG845" s="1096"/>
      <c r="AH845" s="1096"/>
      <c r="AI845" s="1096"/>
      <c r="AJ845" s="1096"/>
      <c r="AK845" s="1096"/>
      <c r="AL845" s="1096"/>
      <c r="AM845" s="1096"/>
      <c r="AN845" s="1096"/>
      <c r="AO845" s="1096"/>
      <c r="AP845" s="1096"/>
      <c r="AQ845" s="1096"/>
      <c r="AR845" s="1096"/>
      <c r="AS845" s="1096"/>
      <c r="AT845" s="1096"/>
      <c r="AU845" s="1096"/>
      <c r="AV845" s="1096"/>
      <c r="AW845" s="1096"/>
      <c r="AX845" s="1096"/>
      <c r="AY845" s="1096"/>
    </row>
    <row r="846" spans="1:51" x14ac:dyDescent="0.45">
      <c r="A846" s="1115">
        <v>2009</v>
      </c>
      <c r="B846" s="1096" t="s">
        <v>1373</v>
      </c>
      <c r="C846" s="1112">
        <f>[6]ONS!Z846</f>
        <v>213.4</v>
      </c>
      <c r="D846" s="1112">
        <f>[6]ONS!P846</f>
        <v>264.39999999999998</v>
      </c>
      <c r="E846" s="1096"/>
      <c r="F846" s="1114">
        <f t="shared" si="33"/>
        <v>123.89878163074037</v>
      </c>
      <c r="G846" s="1112">
        <f t="shared" si="34"/>
        <v>129.7563261480787</v>
      </c>
      <c r="H846" s="1112">
        <f t="shared" si="35"/>
        <v>129.80318650421742</v>
      </c>
      <c r="I846" s="1112">
        <f t="shared" si="36"/>
        <v>141.47141518275538</v>
      </c>
      <c r="J846" s="1112">
        <f t="shared" si="37"/>
        <v>111.05904404873476</v>
      </c>
      <c r="K846" s="1096"/>
      <c r="L846" s="1096"/>
      <c r="M846" s="1096"/>
      <c r="N846" s="1096"/>
      <c r="O846" s="1096"/>
      <c r="P846" s="1114">
        <v>264.39999999999998</v>
      </c>
      <c r="Q846" s="1096" t="s">
        <v>1701</v>
      </c>
      <c r="R846" s="1114">
        <v>276.89999999999998</v>
      </c>
      <c r="S846" s="1096" t="s">
        <v>1701</v>
      </c>
      <c r="T846" s="1114">
        <v>277</v>
      </c>
      <c r="U846" s="1096" t="s">
        <v>1701</v>
      </c>
      <c r="V846" s="1114">
        <v>301.89999999999998</v>
      </c>
      <c r="W846" s="1096" t="s">
        <v>1701</v>
      </c>
      <c r="X846" s="1114">
        <v>237</v>
      </c>
      <c r="Y846" s="1096" t="s">
        <v>1701</v>
      </c>
      <c r="Z846" s="1114">
        <v>213.4</v>
      </c>
      <c r="AA846" s="1096"/>
      <c r="AB846" s="1096"/>
      <c r="AC846" s="1096"/>
      <c r="AD846" s="1096"/>
      <c r="AE846" s="1096"/>
      <c r="AF846" s="1096"/>
      <c r="AG846" s="1096"/>
      <c r="AH846" s="1096"/>
      <c r="AI846" s="1096"/>
      <c r="AJ846" s="1096"/>
      <c r="AK846" s="1096"/>
      <c r="AL846" s="1096"/>
      <c r="AM846" s="1096"/>
      <c r="AN846" s="1096"/>
      <c r="AO846" s="1096"/>
      <c r="AP846" s="1096"/>
      <c r="AQ846" s="1096"/>
      <c r="AR846" s="1096"/>
      <c r="AS846" s="1096"/>
      <c r="AT846" s="1096"/>
      <c r="AU846" s="1096"/>
      <c r="AV846" s="1096"/>
      <c r="AW846" s="1096"/>
      <c r="AX846" s="1096"/>
      <c r="AY846" s="1096"/>
    </row>
    <row r="847" spans="1:51" x14ac:dyDescent="0.45">
      <c r="A847" s="1115">
        <v>2009</v>
      </c>
      <c r="B847" s="1096" t="s">
        <v>1375</v>
      </c>
      <c r="C847" s="1112">
        <f>[6]ONS!Z847</f>
        <v>214.4</v>
      </c>
      <c r="D847" s="1112">
        <f>[6]ONS!P847</f>
        <v>265.39999999999998</v>
      </c>
      <c r="E847" s="1096"/>
      <c r="F847" s="1114">
        <f t="shared" si="33"/>
        <v>123.7873134328358</v>
      </c>
      <c r="G847" s="1112">
        <f t="shared" si="34"/>
        <v>129.80410447761196</v>
      </c>
      <c r="H847" s="1112">
        <f t="shared" si="35"/>
        <v>141.6044776119403</v>
      </c>
      <c r="I847" s="1112">
        <f t="shared" si="36"/>
        <v>140.76492537313433</v>
      </c>
      <c r="J847" s="1112">
        <f t="shared" si="37"/>
        <v>110.54104477611939</v>
      </c>
      <c r="K847" s="1096"/>
      <c r="L847" s="1096"/>
      <c r="M847" s="1096"/>
      <c r="N847" s="1096"/>
      <c r="O847" s="1096"/>
      <c r="P847" s="1114">
        <v>265.39999999999998</v>
      </c>
      <c r="Q847" s="1096" t="s">
        <v>1702</v>
      </c>
      <c r="R847" s="1114">
        <v>278.3</v>
      </c>
      <c r="S847" s="1096" t="s">
        <v>1702</v>
      </c>
      <c r="T847" s="1114">
        <v>303.60000000000002</v>
      </c>
      <c r="U847" s="1096" t="s">
        <v>1702</v>
      </c>
      <c r="V847" s="1114">
        <v>301.8</v>
      </c>
      <c r="W847" s="1096" t="s">
        <v>1702</v>
      </c>
      <c r="X847" s="1114">
        <v>237</v>
      </c>
      <c r="Y847" s="1096" t="s">
        <v>1702</v>
      </c>
      <c r="Z847" s="1114">
        <v>214.4</v>
      </c>
      <c r="AA847" s="1096"/>
      <c r="AB847" s="1096"/>
      <c r="AC847" s="1096"/>
      <c r="AD847" s="1096"/>
      <c r="AE847" s="1096"/>
      <c r="AF847" s="1096"/>
      <c r="AG847" s="1096"/>
      <c r="AH847" s="1096"/>
      <c r="AI847" s="1096"/>
      <c r="AJ847" s="1096"/>
      <c r="AK847" s="1096"/>
      <c r="AL847" s="1096"/>
      <c r="AM847" s="1096"/>
      <c r="AN847" s="1096"/>
      <c r="AO847" s="1096"/>
      <c r="AP847" s="1096"/>
      <c r="AQ847" s="1096"/>
      <c r="AR847" s="1096"/>
      <c r="AS847" s="1096"/>
      <c r="AT847" s="1096"/>
      <c r="AU847" s="1096"/>
      <c r="AV847" s="1096"/>
      <c r="AW847" s="1096"/>
      <c r="AX847" s="1096"/>
      <c r="AY847" s="1096"/>
    </row>
    <row r="848" spans="1:51" x14ac:dyDescent="0.45">
      <c r="A848" s="1115">
        <v>2009</v>
      </c>
      <c r="B848" s="1096" t="s">
        <v>1377</v>
      </c>
      <c r="C848" s="1112">
        <f>[6]ONS!Z848</f>
        <v>215.3</v>
      </c>
      <c r="D848" s="1112">
        <f>[6]ONS!P848</f>
        <v>265.10000000000002</v>
      </c>
      <c r="E848" s="1096"/>
      <c r="F848" s="1114">
        <f t="shared" si="33"/>
        <v>123.13051555968417</v>
      </c>
      <c r="G848" s="1112">
        <f t="shared" si="34"/>
        <v>129.63307013469577</v>
      </c>
      <c r="H848" s="1112">
        <f t="shared" si="35"/>
        <v>138.08639108221087</v>
      </c>
      <c r="I848" s="1112">
        <f t="shared" si="36"/>
        <v>140.17649790989316</v>
      </c>
      <c r="J848" s="1112">
        <f t="shared" si="37"/>
        <v>110.07895959126799</v>
      </c>
      <c r="K848" s="1096"/>
      <c r="L848" s="1096"/>
      <c r="M848" s="1096"/>
      <c r="N848" s="1096"/>
      <c r="O848" s="1096"/>
      <c r="P848" s="1114">
        <v>265.10000000000002</v>
      </c>
      <c r="Q848" s="1096" t="s">
        <v>1703</v>
      </c>
      <c r="R848" s="1114">
        <v>279.10000000000002</v>
      </c>
      <c r="S848" s="1096" t="s">
        <v>1703</v>
      </c>
      <c r="T848" s="1114">
        <v>297.3</v>
      </c>
      <c r="U848" s="1096" t="s">
        <v>1703</v>
      </c>
      <c r="V848" s="1114">
        <v>301.8</v>
      </c>
      <c r="W848" s="1096" t="s">
        <v>1703</v>
      </c>
      <c r="X848" s="1114">
        <v>237</v>
      </c>
      <c r="Y848" s="1096" t="s">
        <v>1703</v>
      </c>
      <c r="Z848" s="1114">
        <v>215.3</v>
      </c>
      <c r="AA848" s="1096"/>
      <c r="AB848" s="1096"/>
      <c r="AC848" s="1096"/>
      <c r="AD848" s="1096"/>
      <c r="AE848" s="1096"/>
      <c r="AF848" s="1096"/>
      <c r="AG848" s="1096"/>
      <c r="AH848" s="1096"/>
      <c r="AI848" s="1096"/>
      <c r="AJ848" s="1096"/>
      <c r="AK848" s="1096"/>
      <c r="AL848" s="1096"/>
      <c r="AM848" s="1096"/>
      <c r="AN848" s="1096"/>
      <c r="AO848" s="1096"/>
      <c r="AP848" s="1096"/>
      <c r="AQ848" s="1096"/>
      <c r="AR848" s="1096"/>
      <c r="AS848" s="1096"/>
      <c r="AT848" s="1096"/>
      <c r="AU848" s="1096"/>
      <c r="AV848" s="1096"/>
      <c r="AW848" s="1096"/>
      <c r="AX848" s="1096"/>
      <c r="AY848" s="1096"/>
    </row>
    <row r="849" spans="1:51" x14ac:dyDescent="0.45">
      <c r="A849" s="1115">
        <v>2009</v>
      </c>
      <c r="B849" s="1096" t="s">
        <v>1379</v>
      </c>
      <c r="C849" s="1112">
        <f>[6]ONS!Z849</f>
        <v>216</v>
      </c>
      <c r="D849" s="1112">
        <f>[6]ONS!P849</f>
        <v>265.2</v>
      </c>
      <c r="E849" s="1096"/>
      <c r="F849" s="1114">
        <f t="shared" si="33"/>
        <v>122.77777777777776</v>
      </c>
      <c r="G849" s="1112">
        <f t="shared" si="34"/>
        <v>131.75925925925927</v>
      </c>
      <c r="H849" s="1112">
        <f t="shared" si="35"/>
        <v>145.37037037037038</v>
      </c>
      <c r="I849" s="1112">
        <f t="shared" si="36"/>
        <v>139.49074074074076</v>
      </c>
      <c r="J849" s="1112">
        <f t="shared" si="37"/>
        <v>109.35185185185186</v>
      </c>
      <c r="K849" s="1096"/>
      <c r="L849" s="1096"/>
      <c r="M849" s="1096"/>
      <c r="N849" s="1096"/>
      <c r="O849" s="1096"/>
      <c r="P849" s="1114">
        <v>265.2</v>
      </c>
      <c r="Q849" s="1096" t="s">
        <v>1704</v>
      </c>
      <c r="R849" s="1114">
        <v>284.60000000000002</v>
      </c>
      <c r="S849" s="1096" t="s">
        <v>1704</v>
      </c>
      <c r="T849" s="1114">
        <v>314</v>
      </c>
      <c r="U849" s="1096" t="s">
        <v>1704</v>
      </c>
      <c r="V849" s="1114">
        <v>301.3</v>
      </c>
      <c r="W849" s="1096" t="s">
        <v>1704</v>
      </c>
      <c r="X849" s="1114">
        <v>236.2</v>
      </c>
      <c r="Y849" s="1096" t="s">
        <v>1704</v>
      </c>
      <c r="Z849" s="1114">
        <v>216</v>
      </c>
      <c r="AA849" s="1096"/>
      <c r="AB849" s="1096"/>
      <c r="AC849" s="1096"/>
      <c r="AD849" s="1096"/>
      <c r="AE849" s="1096"/>
      <c r="AF849" s="1096"/>
      <c r="AG849" s="1096"/>
      <c r="AH849" s="1096"/>
      <c r="AI849" s="1096"/>
      <c r="AJ849" s="1096"/>
      <c r="AK849" s="1096"/>
      <c r="AL849" s="1096"/>
      <c r="AM849" s="1096"/>
      <c r="AN849" s="1096"/>
      <c r="AO849" s="1096"/>
      <c r="AP849" s="1096"/>
      <c r="AQ849" s="1096"/>
      <c r="AR849" s="1096"/>
      <c r="AS849" s="1096"/>
      <c r="AT849" s="1096"/>
      <c r="AU849" s="1096"/>
      <c r="AV849" s="1096"/>
      <c r="AW849" s="1096"/>
      <c r="AX849" s="1096"/>
      <c r="AY849" s="1096"/>
    </row>
    <row r="850" spans="1:51" x14ac:dyDescent="0.45">
      <c r="A850" s="1115">
        <v>2009</v>
      </c>
      <c r="B850" s="1096" t="s">
        <v>1381</v>
      </c>
      <c r="C850" s="1112">
        <f>[6]ONS!Z850</f>
        <v>216.6</v>
      </c>
      <c r="D850" s="1112">
        <f>[6]ONS!P850</f>
        <v>265.60000000000002</v>
      </c>
      <c r="E850" s="1096"/>
      <c r="F850" s="1114">
        <f t="shared" si="33"/>
        <v>122.62234533702679</v>
      </c>
      <c r="G850" s="1112">
        <f t="shared" si="34"/>
        <v>132.50230840258541</v>
      </c>
      <c r="H850" s="1112">
        <f t="shared" si="35"/>
        <v>148.43028624192061</v>
      </c>
      <c r="I850" s="1112">
        <f t="shared" si="36"/>
        <v>139.10433979686059</v>
      </c>
      <c r="J850" s="1112">
        <f t="shared" si="37"/>
        <v>109.04893813481071</v>
      </c>
      <c r="K850" s="1096"/>
      <c r="L850" s="1096"/>
      <c r="M850" s="1096"/>
      <c r="N850" s="1096"/>
      <c r="O850" s="1096"/>
      <c r="P850" s="1114">
        <v>265.60000000000002</v>
      </c>
      <c r="Q850" s="1096" t="s">
        <v>1705</v>
      </c>
      <c r="R850" s="1114">
        <v>287</v>
      </c>
      <c r="S850" s="1096" t="s">
        <v>1705</v>
      </c>
      <c r="T850" s="1114">
        <v>321.5</v>
      </c>
      <c r="U850" s="1096" t="s">
        <v>1705</v>
      </c>
      <c r="V850" s="1114">
        <v>301.3</v>
      </c>
      <c r="W850" s="1096" t="s">
        <v>1705</v>
      </c>
      <c r="X850" s="1114">
        <v>236.2</v>
      </c>
      <c r="Y850" s="1096" t="s">
        <v>1705</v>
      </c>
      <c r="Z850" s="1114">
        <v>216.6</v>
      </c>
      <c r="AA850" s="1096"/>
      <c r="AB850" s="1096"/>
      <c r="AC850" s="1096"/>
      <c r="AD850" s="1096"/>
      <c r="AE850" s="1096"/>
      <c r="AF850" s="1096"/>
      <c r="AG850" s="1096"/>
      <c r="AH850" s="1096"/>
      <c r="AI850" s="1096"/>
      <c r="AJ850" s="1096"/>
      <c r="AK850" s="1096"/>
      <c r="AL850" s="1096"/>
      <c r="AM850" s="1096"/>
      <c r="AN850" s="1096"/>
      <c r="AO850" s="1096"/>
      <c r="AP850" s="1096"/>
      <c r="AQ850" s="1096"/>
      <c r="AR850" s="1096"/>
      <c r="AS850" s="1096"/>
      <c r="AT850" s="1096"/>
      <c r="AU850" s="1096"/>
      <c r="AV850" s="1096"/>
      <c r="AW850" s="1096"/>
      <c r="AX850" s="1096"/>
      <c r="AY850" s="1096"/>
    </row>
    <row r="851" spans="1:51" x14ac:dyDescent="0.45">
      <c r="A851" s="1115">
        <v>2009</v>
      </c>
      <c r="B851" s="1096" t="s">
        <v>1383</v>
      </c>
      <c r="C851" s="1112">
        <f>[6]ONS!Z851</f>
        <v>218</v>
      </c>
      <c r="D851" s="1112">
        <f>[6]ONS!P851</f>
        <v>265.8</v>
      </c>
      <c r="E851" s="1096"/>
      <c r="F851" s="1114">
        <f t="shared" si="33"/>
        <v>121.92660550458716</v>
      </c>
      <c r="G851" s="1112">
        <f t="shared" si="34"/>
        <v>131.83486238532109</v>
      </c>
      <c r="H851" s="1112">
        <f t="shared" si="35"/>
        <v>150.22935779816513</v>
      </c>
      <c r="I851" s="1112">
        <f t="shared" si="36"/>
        <v>138.21100917431193</v>
      </c>
      <c r="J851" s="1112">
        <f t="shared" si="37"/>
        <v>108.348623853211</v>
      </c>
      <c r="K851" s="1096"/>
      <c r="L851" s="1096"/>
      <c r="M851" s="1096"/>
      <c r="N851" s="1096"/>
      <c r="O851" s="1096"/>
      <c r="P851" s="1114">
        <v>265.8</v>
      </c>
      <c r="Q851" s="1096" t="s">
        <v>1706</v>
      </c>
      <c r="R851" s="1114">
        <v>287.39999999999998</v>
      </c>
      <c r="S851" s="1096" t="s">
        <v>1706</v>
      </c>
      <c r="T851" s="1114">
        <v>327.5</v>
      </c>
      <c r="U851" s="1096" t="s">
        <v>1706</v>
      </c>
      <c r="V851" s="1114">
        <v>301.3</v>
      </c>
      <c r="W851" s="1096" t="s">
        <v>1706</v>
      </c>
      <c r="X851" s="1114">
        <v>236.2</v>
      </c>
      <c r="Y851" s="1096" t="s">
        <v>1706</v>
      </c>
      <c r="Z851" s="1114">
        <v>218</v>
      </c>
      <c r="AA851" s="1096"/>
      <c r="AB851" s="1096"/>
      <c r="AC851" s="1096"/>
      <c r="AD851" s="1096"/>
      <c r="AE851" s="1096"/>
      <c r="AF851" s="1096"/>
      <c r="AG851" s="1096"/>
      <c r="AH851" s="1096"/>
      <c r="AI851" s="1096"/>
      <c r="AJ851" s="1096"/>
      <c r="AK851" s="1096"/>
      <c r="AL851" s="1096"/>
      <c r="AM851" s="1096"/>
      <c r="AN851" s="1096"/>
      <c r="AO851" s="1096"/>
      <c r="AP851" s="1096"/>
      <c r="AQ851" s="1096"/>
      <c r="AR851" s="1096"/>
      <c r="AS851" s="1096"/>
      <c r="AT851" s="1096"/>
      <c r="AU851" s="1096"/>
      <c r="AV851" s="1096"/>
      <c r="AW851" s="1096"/>
      <c r="AX851" s="1096"/>
      <c r="AY851" s="1096"/>
    </row>
    <row r="852" spans="1:51" x14ac:dyDescent="0.45">
      <c r="A852" s="1115">
        <v>2010</v>
      </c>
      <c r="B852" s="1096" t="s">
        <v>1385</v>
      </c>
      <c r="C852" s="1112">
        <f>[6]ONS!Z852</f>
        <v>217.9</v>
      </c>
      <c r="D852" s="1112">
        <f>[6]ONS!P852</f>
        <v>268.10000000000002</v>
      </c>
      <c r="E852" s="1096"/>
      <c r="F852" s="1114">
        <f t="shared" si="33"/>
        <v>123.03809086737036</v>
      </c>
      <c r="G852" s="1112">
        <f t="shared" si="34"/>
        <v>131.66590178981184</v>
      </c>
      <c r="H852" s="1112">
        <f t="shared" si="35"/>
        <v>177.83386874713173</v>
      </c>
      <c r="I852" s="1112">
        <f t="shared" si="36"/>
        <v>138.2744378155117</v>
      </c>
      <c r="J852" s="1112">
        <f t="shared" si="37"/>
        <v>108.39834786599356</v>
      </c>
      <c r="K852" s="1096"/>
      <c r="L852" s="1096"/>
      <c r="M852" s="1096"/>
      <c r="N852" s="1096"/>
      <c r="O852" s="1096"/>
      <c r="P852" s="1114">
        <v>268.10000000000002</v>
      </c>
      <c r="Q852" s="1096" t="s">
        <v>1707</v>
      </c>
      <c r="R852" s="1114">
        <v>286.89999999999998</v>
      </c>
      <c r="S852" s="1096" t="s">
        <v>1707</v>
      </c>
      <c r="T852" s="1114">
        <v>387.5</v>
      </c>
      <c r="U852" s="1096" t="s">
        <v>1707</v>
      </c>
      <c r="V852" s="1114">
        <v>301.3</v>
      </c>
      <c r="W852" s="1096" t="s">
        <v>1707</v>
      </c>
      <c r="X852" s="1114">
        <v>236.2</v>
      </c>
      <c r="Y852" s="1096" t="s">
        <v>1707</v>
      </c>
      <c r="Z852" s="1114">
        <v>217.9</v>
      </c>
      <c r="AA852" s="1096"/>
      <c r="AB852" s="1096"/>
      <c r="AC852" s="1096"/>
      <c r="AD852" s="1096"/>
      <c r="AE852" s="1096"/>
      <c r="AF852" s="1096"/>
      <c r="AG852" s="1096"/>
      <c r="AH852" s="1096"/>
      <c r="AI852" s="1096"/>
      <c r="AJ852" s="1096"/>
      <c r="AK852" s="1096"/>
      <c r="AL852" s="1096"/>
      <c r="AM852" s="1096"/>
      <c r="AN852" s="1096"/>
      <c r="AO852" s="1096"/>
      <c r="AP852" s="1096"/>
      <c r="AQ852" s="1096"/>
      <c r="AR852" s="1096"/>
      <c r="AS852" s="1096"/>
      <c r="AT852" s="1096"/>
      <c r="AU852" s="1096"/>
      <c r="AV852" s="1096"/>
      <c r="AW852" s="1096"/>
      <c r="AX852" s="1096"/>
      <c r="AY852" s="1096"/>
    </row>
    <row r="853" spans="1:51" x14ac:dyDescent="0.45">
      <c r="A853" s="1115">
        <v>2010</v>
      </c>
      <c r="B853" s="1096" t="s">
        <v>1387</v>
      </c>
      <c r="C853" s="1112">
        <f>[6]ONS!Z853</f>
        <v>219.2</v>
      </c>
      <c r="D853" s="1112">
        <f>[6]ONS!P853</f>
        <v>261.89999999999998</v>
      </c>
      <c r="E853" s="1096"/>
      <c r="F853" s="1114">
        <f t="shared" si="33"/>
        <v>119.47992700729925</v>
      </c>
      <c r="G853" s="1112">
        <f t="shared" si="34"/>
        <v>131.02189781021897</v>
      </c>
      <c r="H853" s="1112">
        <f t="shared" si="35"/>
        <v>157.93795620437956</v>
      </c>
      <c r="I853" s="1112">
        <f t="shared" si="36"/>
        <v>133.48540145985405</v>
      </c>
      <c r="J853" s="1112">
        <f t="shared" si="37"/>
        <v>107.75547445255475</v>
      </c>
      <c r="K853" s="1096"/>
      <c r="L853" s="1096"/>
      <c r="M853" s="1096"/>
      <c r="N853" s="1096"/>
      <c r="O853" s="1096"/>
      <c r="P853" s="1114">
        <v>261.89999999999998</v>
      </c>
      <c r="Q853" s="1096" t="s">
        <v>1708</v>
      </c>
      <c r="R853" s="1114">
        <v>287.2</v>
      </c>
      <c r="S853" s="1096" t="s">
        <v>1708</v>
      </c>
      <c r="T853" s="1114">
        <v>346.2</v>
      </c>
      <c r="U853" s="1096" t="s">
        <v>1708</v>
      </c>
      <c r="V853" s="1114">
        <v>292.60000000000002</v>
      </c>
      <c r="W853" s="1096" t="s">
        <v>1708</v>
      </c>
      <c r="X853" s="1114">
        <v>236.2</v>
      </c>
      <c r="Y853" s="1096" t="s">
        <v>1708</v>
      </c>
      <c r="Z853" s="1114">
        <v>219.2</v>
      </c>
      <c r="AA853" s="1096"/>
      <c r="AB853" s="1096"/>
      <c r="AC853" s="1096"/>
      <c r="AD853" s="1096"/>
      <c r="AE853" s="1096"/>
      <c r="AF853" s="1096"/>
      <c r="AG853" s="1096"/>
      <c r="AH853" s="1096"/>
      <c r="AI853" s="1096"/>
      <c r="AJ853" s="1096"/>
      <c r="AK853" s="1096"/>
      <c r="AL853" s="1096"/>
      <c r="AM853" s="1096"/>
      <c r="AN853" s="1096"/>
      <c r="AO853" s="1096"/>
      <c r="AP853" s="1096"/>
      <c r="AQ853" s="1096"/>
      <c r="AR853" s="1096"/>
      <c r="AS853" s="1096"/>
      <c r="AT853" s="1096"/>
      <c r="AU853" s="1096"/>
      <c r="AV853" s="1096"/>
      <c r="AW853" s="1096"/>
      <c r="AX853" s="1096"/>
      <c r="AY853" s="1096"/>
    </row>
    <row r="854" spans="1:51" x14ac:dyDescent="0.45">
      <c r="A854" s="1115">
        <v>2010</v>
      </c>
      <c r="B854" s="1096" t="s">
        <v>1389</v>
      </c>
      <c r="C854" s="1112">
        <f>[6]ONS!Z854</f>
        <v>220.7</v>
      </c>
      <c r="D854" s="1112">
        <f>[6]ONS!P854</f>
        <v>263.3</v>
      </c>
      <c r="E854" s="1096"/>
      <c r="F854" s="1114">
        <f t="shared" si="33"/>
        <v>119.30222020842774</v>
      </c>
      <c r="G854" s="1112">
        <f t="shared" si="34"/>
        <v>130.13140009062076</v>
      </c>
      <c r="H854" s="1112">
        <f t="shared" si="35"/>
        <v>166.19845944721342</v>
      </c>
      <c r="I854" s="1112">
        <f t="shared" si="36"/>
        <v>132.57816039873134</v>
      </c>
      <c r="J854" s="1112">
        <f t="shared" si="37"/>
        <v>107.02310829179882</v>
      </c>
      <c r="K854" s="1096"/>
      <c r="L854" s="1096"/>
      <c r="M854" s="1096"/>
      <c r="N854" s="1096"/>
      <c r="O854" s="1096"/>
      <c r="P854" s="1114">
        <v>263.3</v>
      </c>
      <c r="Q854" s="1096" t="s">
        <v>1709</v>
      </c>
      <c r="R854" s="1114">
        <v>287.2</v>
      </c>
      <c r="S854" s="1096" t="s">
        <v>1709</v>
      </c>
      <c r="T854" s="1114">
        <v>366.8</v>
      </c>
      <c r="U854" s="1096" t="s">
        <v>1709</v>
      </c>
      <c r="V854" s="1114">
        <v>292.60000000000002</v>
      </c>
      <c r="W854" s="1096" t="s">
        <v>1709</v>
      </c>
      <c r="X854" s="1114">
        <v>236.2</v>
      </c>
      <c r="Y854" s="1096" t="s">
        <v>1709</v>
      </c>
      <c r="Z854" s="1114">
        <v>220.7</v>
      </c>
      <c r="AA854" s="1096"/>
      <c r="AB854" s="1096"/>
      <c r="AC854" s="1096"/>
      <c r="AD854" s="1096"/>
      <c r="AE854" s="1096"/>
      <c r="AF854" s="1096"/>
      <c r="AG854" s="1096"/>
      <c r="AH854" s="1096"/>
      <c r="AI854" s="1096"/>
      <c r="AJ854" s="1096"/>
      <c r="AK854" s="1096"/>
      <c r="AL854" s="1096"/>
      <c r="AM854" s="1096"/>
      <c r="AN854" s="1096"/>
      <c r="AO854" s="1096"/>
      <c r="AP854" s="1096"/>
      <c r="AQ854" s="1096"/>
      <c r="AR854" s="1096"/>
      <c r="AS854" s="1096"/>
      <c r="AT854" s="1096"/>
      <c r="AU854" s="1096"/>
      <c r="AV854" s="1096"/>
      <c r="AW854" s="1096"/>
      <c r="AX854" s="1096"/>
      <c r="AY854" s="1096"/>
    </row>
    <row r="855" spans="1:51" x14ac:dyDescent="0.45">
      <c r="A855" s="1115">
        <v>2010</v>
      </c>
      <c r="B855" s="1096" t="s">
        <v>1391</v>
      </c>
      <c r="C855" s="1112">
        <f>[6]ONS!Z855</f>
        <v>222.8</v>
      </c>
      <c r="D855" s="1112">
        <f>[6]ONS!P855</f>
        <v>260.5</v>
      </c>
      <c r="E855" s="1096"/>
      <c r="F855" s="1114">
        <f t="shared" si="33"/>
        <v>116.92100538599641</v>
      </c>
      <c r="G855" s="1112">
        <f t="shared" si="34"/>
        <v>128.90484739676839</v>
      </c>
      <c r="H855" s="1112">
        <f t="shared" si="35"/>
        <v>170.51166965888686</v>
      </c>
      <c r="I855" s="1112">
        <f t="shared" si="36"/>
        <v>127.10951526032315</v>
      </c>
      <c r="J855" s="1112">
        <f t="shared" si="37"/>
        <v>105.83482944344705</v>
      </c>
      <c r="K855" s="1096"/>
      <c r="L855" s="1096"/>
      <c r="M855" s="1096"/>
      <c r="N855" s="1096"/>
      <c r="O855" s="1096"/>
      <c r="P855" s="1114">
        <v>260.5</v>
      </c>
      <c r="Q855" s="1096" t="s">
        <v>1710</v>
      </c>
      <c r="R855" s="1114">
        <v>287.2</v>
      </c>
      <c r="S855" s="1096" t="s">
        <v>1710</v>
      </c>
      <c r="T855" s="1114">
        <v>379.9</v>
      </c>
      <c r="U855" s="1096" t="s">
        <v>1710</v>
      </c>
      <c r="V855" s="1114">
        <v>283.2</v>
      </c>
      <c r="W855" s="1096" t="s">
        <v>1710</v>
      </c>
      <c r="X855" s="1114">
        <v>235.8</v>
      </c>
      <c r="Y855" s="1096" t="s">
        <v>1710</v>
      </c>
      <c r="Z855" s="1114">
        <v>222.8</v>
      </c>
      <c r="AA855" s="1096"/>
      <c r="AB855" s="1096"/>
      <c r="AC855" s="1096"/>
      <c r="AD855" s="1096"/>
      <c r="AE855" s="1096"/>
      <c r="AF855" s="1096"/>
      <c r="AG855" s="1096"/>
      <c r="AH855" s="1096"/>
      <c r="AI855" s="1096"/>
      <c r="AJ855" s="1096"/>
      <c r="AK855" s="1096"/>
      <c r="AL855" s="1096"/>
      <c r="AM855" s="1096"/>
      <c r="AN855" s="1096"/>
      <c r="AO855" s="1096"/>
      <c r="AP855" s="1096"/>
      <c r="AQ855" s="1096"/>
      <c r="AR855" s="1096"/>
      <c r="AS855" s="1096"/>
      <c r="AT855" s="1096"/>
      <c r="AU855" s="1096"/>
      <c r="AV855" s="1096"/>
      <c r="AW855" s="1096"/>
      <c r="AX855" s="1096"/>
      <c r="AY855" s="1096"/>
    </row>
    <row r="856" spans="1:51" x14ac:dyDescent="0.45">
      <c r="A856" s="1115">
        <v>2010</v>
      </c>
      <c r="B856" s="1096" t="s">
        <v>1393</v>
      </c>
      <c r="C856" s="1112">
        <f>[6]ONS!Z856</f>
        <v>223.6</v>
      </c>
      <c r="D856" s="1112">
        <f>[6]ONS!P856</f>
        <v>260.39999999999998</v>
      </c>
      <c r="E856" s="1096"/>
      <c r="F856" s="1114">
        <f t="shared" si="33"/>
        <v>116.45796064400716</v>
      </c>
      <c r="G856" s="1112">
        <f t="shared" si="34"/>
        <v>125.44722719141323</v>
      </c>
      <c r="H856" s="1112">
        <f t="shared" si="35"/>
        <v>169.94633273703042</v>
      </c>
      <c r="I856" s="1112">
        <f t="shared" si="36"/>
        <v>126.65474060822899</v>
      </c>
      <c r="J856" s="1112">
        <f t="shared" si="37"/>
        <v>105.45617173524151</v>
      </c>
      <c r="K856" s="1096"/>
      <c r="L856" s="1096"/>
      <c r="M856" s="1096"/>
      <c r="N856" s="1096"/>
      <c r="O856" s="1096"/>
      <c r="P856" s="1114">
        <v>260.39999999999998</v>
      </c>
      <c r="Q856" s="1096" t="s">
        <v>1711</v>
      </c>
      <c r="R856" s="1114">
        <v>280.5</v>
      </c>
      <c r="S856" s="1096" t="s">
        <v>1711</v>
      </c>
      <c r="T856" s="1114">
        <v>380</v>
      </c>
      <c r="U856" s="1096" t="s">
        <v>1711</v>
      </c>
      <c r="V856" s="1114">
        <v>283.2</v>
      </c>
      <c r="W856" s="1096" t="s">
        <v>1711</v>
      </c>
      <c r="X856" s="1114">
        <v>235.8</v>
      </c>
      <c r="Y856" s="1096" t="s">
        <v>1711</v>
      </c>
      <c r="Z856" s="1114">
        <v>223.6</v>
      </c>
      <c r="AA856" s="1096"/>
      <c r="AB856" s="1096"/>
      <c r="AC856" s="1096"/>
      <c r="AD856" s="1096"/>
      <c r="AE856" s="1096"/>
      <c r="AF856" s="1096"/>
      <c r="AG856" s="1096"/>
      <c r="AH856" s="1096"/>
      <c r="AI856" s="1096"/>
      <c r="AJ856" s="1096"/>
      <c r="AK856" s="1096"/>
      <c r="AL856" s="1096"/>
      <c r="AM856" s="1096"/>
      <c r="AN856" s="1096"/>
      <c r="AO856" s="1096"/>
      <c r="AP856" s="1096"/>
      <c r="AQ856" s="1096"/>
      <c r="AR856" s="1096"/>
      <c r="AS856" s="1096"/>
      <c r="AT856" s="1096"/>
      <c r="AU856" s="1096"/>
      <c r="AV856" s="1096"/>
      <c r="AW856" s="1096"/>
      <c r="AX856" s="1096"/>
      <c r="AY856" s="1096"/>
    </row>
    <row r="857" spans="1:51" x14ac:dyDescent="0.45">
      <c r="A857" s="1115">
        <v>2010</v>
      </c>
      <c r="B857" s="1096" t="s">
        <v>1371</v>
      </c>
      <c r="C857" s="1112">
        <f>[6]ONS!Z857</f>
        <v>224.1</v>
      </c>
      <c r="D857" s="1112">
        <f>[6]ONS!P857</f>
        <v>259.5</v>
      </c>
      <c r="E857" s="1096"/>
      <c r="F857" s="1114">
        <f t="shared" si="33"/>
        <v>115.79651941097724</v>
      </c>
      <c r="G857" s="1112">
        <f t="shared" si="34"/>
        <v>123.69477911646587</v>
      </c>
      <c r="H857" s="1112">
        <f t="shared" si="35"/>
        <v>164.74788041053102</v>
      </c>
      <c r="I857" s="1112">
        <f t="shared" si="36"/>
        <v>126.37215528781793</v>
      </c>
      <c r="J857" s="1112">
        <f t="shared" si="37"/>
        <v>105.22088353413655</v>
      </c>
      <c r="K857" s="1096"/>
      <c r="L857" s="1096"/>
      <c r="M857" s="1096"/>
      <c r="N857" s="1096"/>
      <c r="O857" s="1096"/>
      <c r="P857" s="1114">
        <v>259.5</v>
      </c>
      <c r="Q857" s="1096" t="s">
        <v>1712</v>
      </c>
      <c r="R857" s="1114">
        <v>277.2</v>
      </c>
      <c r="S857" s="1096" t="s">
        <v>1712</v>
      </c>
      <c r="T857" s="1114">
        <v>369.2</v>
      </c>
      <c r="U857" s="1096" t="s">
        <v>1712</v>
      </c>
      <c r="V857" s="1114">
        <v>283.2</v>
      </c>
      <c r="W857" s="1096" t="s">
        <v>1712</v>
      </c>
      <c r="X857" s="1114">
        <v>235.8</v>
      </c>
      <c r="Y857" s="1096" t="s">
        <v>1712</v>
      </c>
      <c r="Z857" s="1114">
        <v>224.1</v>
      </c>
      <c r="AA857" s="1096"/>
      <c r="AB857" s="1096"/>
      <c r="AC857" s="1096"/>
      <c r="AD857" s="1096"/>
      <c r="AE857" s="1096"/>
      <c r="AF857" s="1096"/>
      <c r="AG857" s="1096"/>
      <c r="AH857" s="1096"/>
      <c r="AI857" s="1096"/>
      <c r="AJ857" s="1096"/>
      <c r="AK857" s="1096"/>
      <c r="AL857" s="1096"/>
      <c r="AM857" s="1096"/>
      <c r="AN857" s="1096"/>
      <c r="AO857" s="1096"/>
      <c r="AP857" s="1096"/>
      <c r="AQ857" s="1096"/>
      <c r="AR857" s="1096"/>
      <c r="AS857" s="1096"/>
      <c r="AT857" s="1096"/>
      <c r="AU857" s="1096"/>
      <c r="AV857" s="1096"/>
      <c r="AW857" s="1096"/>
      <c r="AX857" s="1096"/>
      <c r="AY857" s="1096"/>
    </row>
    <row r="858" spans="1:51" x14ac:dyDescent="0.45">
      <c r="A858" s="1115">
        <v>2010</v>
      </c>
      <c r="B858" s="1096" t="s">
        <v>1373</v>
      </c>
      <c r="C858" s="1112">
        <f>[6]ONS!Z858</f>
        <v>223.6</v>
      </c>
      <c r="D858" s="1112">
        <f>[6]ONS!P858</f>
        <v>259.10000000000002</v>
      </c>
      <c r="E858" s="1096"/>
      <c r="F858" s="1114">
        <f t="shared" si="33"/>
        <v>115.87656529516997</v>
      </c>
      <c r="G858" s="1112">
        <f t="shared" si="34"/>
        <v>122.76386404293382</v>
      </c>
      <c r="H858" s="1112">
        <f t="shared" si="35"/>
        <v>162.83542039355993</v>
      </c>
      <c r="I858" s="1112">
        <f t="shared" si="36"/>
        <v>126.65474060822899</v>
      </c>
      <c r="J858" s="1112">
        <f t="shared" si="37"/>
        <v>105.45617173524151</v>
      </c>
      <c r="K858" s="1096"/>
      <c r="L858" s="1096"/>
      <c r="M858" s="1096"/>
      <c r="N858" s="1096"/>
      <c r="O858" s="1096"/>
      <c r="P858" s="1114">
        <v>259.10000000000002</v>
      </c>
      <c r="Q858" s="1096" t="s">
        <v>1713</v>
      </c>
      <c r="R858" s="1114">
        <v>274.5</v>
      </c>
      <c r="S858" s="1096" t="s">
        <v>1713</v>
      </c>
      <c r="T858" s="1114">
        <v>364.1</v>
      </c>
      <c r="U858" s="1096" t="s">
        <v>1713</v>
      </c>
      <c r="V858" s="1114">
        <v>283.2</v>
      </c>
      <c r="W858" s="1096" t="s">
        <v>1713</v>
      </c>
      <c r="X858" s="1114">
        <v>235.8</v>
      </c>
      <c r="Y858" s="1096" t="s">
        <v>1713</v>
      </c>
      <c r="Z858" s="1114">
        <v>223.6</v>
      </c>
      <c r="AA858" s="1096"/>
      <c r="AB858" s="1096"/>
      <c r="AC858" s="1096"/>
      <c r="AD858" s="1096"/>
      <c r="AE858" s="1096"/>
      <c r="AF858" s="1096"/>
      <c r="AG858" s="1096"/>
      <c r="AH858" s="1096"/>
      <c r="AI858" s="1096"/>
      <c r="AJ858" s="1096"/>
      <c r="AK858" s="1096"/>
      <c r="AL858" s="1096"/>
      <c r="AM858" s="1096"/>
      <c r="AN858" s="1096"/>
      <c r="AO858" s="1096"/>
      <c r="AP858" s="1096"/>
      <c r="AQ858" s="1096"/>
      <c r="AR858" s="1096"/>
      <c r="AS858" s="1096"/>
      <c r="AT858" s="1096"/>
      <c r="AU858" s="1096"/>
      <c r="AV858" s="1096"/>
      <c r="AW858" s="1096"/>
      <c r="AX858" s="1096"/>
      <c r="AY858" s="1096"/>
    </row>
    <row r="859" spans="1:51" x14ac:dyDescent="0.45">
      <c r="A859" s="1115">
        <v>2010</v>
      </c>
      <c r="B859" s="1096" t="s">
        <v>1375</v>
      </c>
      <c r="C859" s="1112">
        <f>[6]ONS!Z859</f>
        <v>224.5</v>
      </c>
      <c r="D859" s="1112">
        <f>[6]ONS!P859</f>
        <v>259.10000000000002</v>
      </c>
      <c r="E859" s="1096"/>
      <c r="F859" s="1114">
        <f t="shared" si="33"/>
        <v>115.41202672605793</v>
      </c>
      <c r="G859" s="1112">
        <f t="shared" si="34"/>
        <v>123.16258351893097</v>
      </c>
      <c r="H859" s="1112">
        <f t="shared" si="35"/>
        <v>161.82628062360803</v>
      </c>
      <c r="I859" s="1112">
        <f t="shared" si="36"/>
        <v>126.14699331848551</v>
      </c>
      <c r="J859" s="1112">
        <f t="shared" si="37"/>
        <v>105.03340757238308</v>
      </c>
      <c r="K859" s="1096"/>
      <c r="L859" s="1096"/>
      <c r="M859" s="1096"/>
      <c r="N859" s="1096"/>
      <c r="O859" s="1096"/>
      <c r="P859" s="1114">
        <v>259.10000000000002</v>
      </c>
      <c r="Q859" s="1096" t="s">
        <v>1714</v>
      </c>
      <c r="R859" s="1114">
        <v>276.5</v>
      </c>
      <c r="S859" s="1096" t="s">
        <v>1714</v>
      </c>
      <c r="T859" s="1114">
        <v>363.3</v>
      </c>
      <c r="U859" s="1096" t="s">
        <v>1714</v>
      </c>
      <c r="V859" s="1114">
        <v>283.2</v>
      </c>
      <c r="W859" s="1096" t="s">
        <v>1714</v>
      </c>
      <c r="X859" s="1114">
        <v>235.8</v>
      </c>
      <c r="Y859" s="1096" t="s">
        <v>1714</v>
      </c>
      <c r="Z859" s="1114">
        <v>224.5</v>
      </c>
      <c r="AA859" s="1096"/>
      <c r="AB859" s="1096"/>
      <c r="AC859" s="1096"/>
      <c r="AD859" s="1096"/>
      <c r="AE859" s="1096"/>
      <c r="AF859" s="1096"/>
      <c r="AG859" s="1096"/>
      <c r="AH859" s="1096"/>
      <c r="AI859" s="1096"/>
      <c r="AJ859" s="1096"/>
      <c r="AK859" s="1096"/>
      <c r="AL859" s="1096"/>
      <c r="AM859" s="1096"/>
      <c r="AN859" s="1096"/>
      <c r="AO859" s="1096"/>
      <c r="AP859" s="1096"/>
      <c r="AQ859" s="1096"/>
      <c r="AR859" s="1096"/>
      <c r="AS859" s="1096"/>
      <c r="AT859" s="1096"/>
      <c r="AU859" s="1096"/>
      <c r="AV859" s="1096"/>
      <c r="AW859" s="1096"/>
      <c r="AX859" s="1096"/>
      <c r="AY859" s="1096"/>
    </row>
    <row r="860" spans="1:51" x14ac:dyDescent="0.45">
      <c r="A860" s="1115">
        <v>2010</v>
      </c>
      <c r="B860" s="1096" t="s">
        <v>1377</v>
      </c>
      <c r="C860" s="1112">
        <f>[6]ONS!Z860</f>
        <v>225.3</v>
      </c>
      <c r="D860" s="1112">
        <f>[6]ONS!P860</f>
        <v>259.10000000000002</v>
      </c>
      <c r="E860" s="1096"/>
      <c r="F860" s="1114">
        <f t="shared" si="33"/>
        <v>115.00221926320462</v>
      </c>
      <c r="G860" s="1112">
        <f t="shared" si="34"/>
        <v>123.34664891256102</v>
      </c>
      <c r="H860" s="1112">
        <f t="shared" si="35"/>
        <v>160.89658233466488</v>
      </c>
      <c r="I860" s="1112">
        <f t="shared" si="36"/>
        <v>125.69906790945404</v>
      </c>
      <c r="J860" s="1112">
        <f t="shared" si="37"/>
        <v>104.66045272969373</v>
      </c>
      <c r="K860" s="1096"/>
      <c r="L860" s="1096"/>
      <c r="M860" s="1096"/>
      <c r="N860" s="1096"/>
      <c r="O860" s="1096"/>
      <c r="P860" s="1114">
        <v>259.10000000000002</v>
      </c>
      <c r="Q860" s="1096" t="s">
        <v>1715</v>
      </c>
      <c r="R860" s="1114">
        <v>277.89999999999998</v>
      </c>
      <c r="S860" s="1096" t="s">
        <v>1715</v>
      </c>
      <c r="T860" s="1114">
        <v>362.5</v>
      </c>
      <c r="U860" s="1096" t="s">
        <v>1715</v>
      </c>
      <c r="V860" s="1114">
        <v>283.2</v>
      </c>
      <c r="W860" s="1096" t="s">
        <v>1715</v>
      </c>
      <c r="X860" s="1114">
        <v>235.8</v>
      </c>
      <c r="Y860" s="1096" t="s">
        <v>1715</v>
      </c>
      <c r="Z860" s="1114">
        <v>225.3</v>
      </c>
      <c r="AA860" s="1096"/>
      <c r="AB860" s="1096"/>
      <c r="AC860" s="1096"/>
      <c r="AD860" s="1096"/>
      <c r="AE860" s="1096"/>
      <c r="AF860" s="1096"/>
      <c r="AG860" s="1096"/>
      <c r="AH860" s="1096"/>
      <c r="AI860" s="1096"/>
      <c r="AJ860" s="1096"/>
      <c r="AK860" s="1096"/>
      <c r="AL860" s="1096"/>
      <c r="AM860" s="1096"/>
      <c r="AN860" s="1096"/>
      <c r="AO860" s="1096"/>
      <c r="AP860" s="1096"/>
      <c r="AQ860" s="1096"/>
      <c r="AR860" s="1096"/>
      <c r="AS860" s="1096"/>
      <c r="AT860" s="1096"/>
      <c r="AU860" s="1096"/>
      <c r="AV860" s="1096"/>
      <c r="AW860" s="1096"/>
      <c r="AX860" s="1096"/>
      <c r="AY860" s="1096"/>
    </row>
    <row r="861" spans="1:51" x14ac:dyDescent="0.45">
      <c r="A861" s="1115">
        <v>2010</v>
      </c>
      <c r="B861" s="1096" t="s">
        <v>1379</v>
      </c>
      <c r="C861" s="1112">
        <f>[6]ONS!Z861</f>
        <v>225.8</v>
      </c>
      <c r="D861" s="1112">
        <f>[6]ONS!P861</f>
        <v>259.8</v>
      </c>
      <c r="E861" s="1096"/>
      <c r="F861" s="1114">
        <f t="shared" si="33"/>
        <v>115.05757307351638</v>
      </c>
      <c r="G861" s="1112">
        <f t="shared" si="34"/>
        <v>126.74933569530558</v>
      </c>
      <c r="H861" s="1112">
        <f t="shared" si="35"/>
        <v>165.72187776793621</v>
      </c>
      <c r="I861" s="1112">
        <f t="shared" si="36"/>
        <v>125.42072630646588</v>
      </c>
      <c r="J861" s="1112">
        <f t="shared" si="37"/>
        <v>104.162976085031</v>
      </c>
      <c r="K861" s="1096"/>
      <c r="L861" s="1096"/>
      <c r="M861" s="1096"/>
      <c r="N861" s="1096"/>
      <c r="O861" s="1096"/>
      <c r="P861" s="1114">
        <v>259.8</v>
      </c>
      <c r="Q861" s="1096" t="s">
        <v>1716</v>
      </c>
      <c r="R861" s="1114">
        <v>286.2</v>
      </c>
      <c r="S861" s="1096" t="s">
        <v>1716</v>
      </c>
      <c r="T861" s="1114">
        <v>374.2</v>
      </c>
      <c r="U861" s="1096" t="s">
        <v>1716</v>
      </c>
      <c r="V861" s="1114">
        <v>283.2</v>
      </c>
      <c r="W861" s="1096" t="s">
        <v>1716</v>
      </c>
      <c r="X861" s="1114">
        <v>235.2</v>
      </c>
      <c r="Y861" s="1096" t="s">
        <v>1716</v>
      </c>
      <c r="Z861" s="1114">
        <v>225.8</v>
      </c>
      <c r="AA861" s="1096"/>
      <c r="AB861" s="1096"/>
      <c r="AC861" s="1096"/>
      <c r="AD861" s="1096"/>
      <c r="AE861" s="1096"/>
      <c r="AF861" s="1096"/>
      <c r="AG861" s="1096"/>
      <c r="AH861" s="1096"/>
      <c r="AI861" s="1096"/>
      <c r="AJ861" s="1096"/>
      <c r="AK861" s="1096"/>
      <c r="AL861" s="1096"/>
      <c r="AM861" s="1096"/>
      <c r="AN861" s="1096"/>
      <c r="AO861" s="1096"/>
      <c r="AP861" s="1096"/>
      <c r="AQ861" s="1096"/>
      <c r="AR861" s="1096"/>
      <c r="AS861" s="1096"/>
      <c r="AT861" s="1096"/>
      <c r="AU861" s="1096"/>
      <c r="AV861" s="1096"/>
      <c r="AW861" s="1096"/>
      <c r="AX861" s="1096"/>
      <c r="AY861" s="1096"/>
    </row>
    <row r="862" spans="1:51" x14ac:dyDescent="0.45">
      <c r="A862" s="1115">
        <v>2010</v>
      </c>
      <c r="B862" s="1096" t="s">
        <v>1381</v>
      </c>
      <c r="C862" s="1112">
        <f>[6]ONS!Z862</f>
        <v>226.8</v>
      </c>
      <c r="D862" s="1112">
        <f>[6]ONS!P862</f>
        <v>260.60000000000002</v>
      </c>
      <c r="E862" s="1096"/>
      <c r="F862" s="1114">
        <f t="shared" si="33"/>
        <v>114.90299823633157</v>
      </c>
      <c r="G862" s="1112">
        <f t="shared" si="34"/>
        <v>126.85185185185183</v>
      </c>
      <c r="H862" s="1112">
        <f t="shared" si="35"/>
        <v>169.66490299823633</v>
      </c>
      <c r="I862" s="1112">
        <f t="shared" si="36"/>
        <v>124.86772486772486</v>
      </c>
      <c r="J862" s="1112">
        <f t="shared" si="37"/>
        <v>103.7037037037037</v>
      </c>
      <c r="K862" s="1096"/>
      <c r="L862" s="1096"/>
      <c r="M862" s="1096"/>
      <c r="N862" s="1096"/>
      <c r="O862" s="1096"/>
      <c r="P862" s="1114">
        <v>260.60000000000002</v>
      </c>
      <c r="Q862" s="1096" t="s">
        <v>1717</v>
      </c>
      <c r="R862" s="1114">
        <v>287.7</v>
      </c>
      <c r="S862" s="1096" t="s">
        <v>1717</v>
      </c>
      <c r="T862" s="1114">
        <v>384.8</v>
      </c>
      <c r="U862" s="1096" t="s">
        <v>1717</v>
      </c>
      <c r="V862" s="1114">
        <v>283.2</v>
      </c>
      <c r="W862" s="1096" t="s">
        <v>1717</v>
      </c>
      <c r="X862" s="1114">
        <v>235.2</v>
      </c>
      <c r="Y862" s="1096" t="s">
        <v>1717</v>
      </c>
      <c r="Z862" s="1114">
        <v>226.8</v>
      </c>
      <c r="AA862" s="1096"/>
      <c r="AB862" s="1096"/>
      <c r="AC862" s="1096"/>
      <c r="AD862" s="1096"/>
      <c r="AE862" s="1096"/>
      <c r="AF862" s="1096"/>
      <c r="AG862" s="1096"/>
      <c r="AH862" s="1096"/>
      <c r="AI862" s="1096"/>
      <c r="AJ862" s="1096"/>
      <c r="AK862" s="1096"/>
      <c r="AL862" s="1096"/>
      <c r="AM862" s="1096"/>
      <c r="AN862" s="1096"/>
      <c r="AO862" s="1096"/>
      <c r="AP862" s="1096"/>
      <c r="AQ862" s="1096"/>
      <c r="AR862" s="1096"/>
      <c r="AS862" s="1096"/>
      <c r="AT862" s="1096"/>
      <c r="AU862" s="1096"/>
      <c r="AV862" s="1096"/>
      <c r="AW862" s="1096"/>
      <c r="AX862" s="1096"/>
      <c r="AY862" s="1096"/>
    </row>
    <row r="863" spans="1:51" x14ac:dyDescent="0.45">
      <c r="A863" s="1115">
        <v>2010</v>
      </c>
      <c r="B863" s="1096" t="s">
        <v>1383</v>
      </c>
      <c r="C863" s="1112">
        <f>[6]ONS!Z863</f>
        <v>228.4</v>
      </c>
      <c r="D863" s="1112">
        <f>[6]ONS!P863</f>
        <v>273.2</v>
      </c>
      <c r="E863" s="1096"/>
      <c r="F863" s="1114">
        <f t="shared" si="33"/>
        <v>119.61471103327494</v>
      </c>
      <c r="G863" s="1112">
        <f t="shared" si="34"/>
        <v>126.66374781085814</v>
      </c>
      <c r="H863" s="1112">
        <f t="shared" si="35"/>
        <v>206.43607705779331</v>
      </c>
      <c r="I863" s="1112">
        <f t="shared" si="36"/>
        <v>129.94746059544659</v>
      </c>
      <c r="J863" s="1112">
        <f t="shared" si="37"/>
        <v>104.24693520140104</v>
      </c>
      <c r="K863" s="1096"/>
      <c r="L863" s="1096"/>
      <c r="M863" s="1096"/>
      <c r="N863" s="1096"/>
      <c r="O863" s="1096"/>
      <c r="P863" s="1114">
        <v>273.2</v>
      </c>
      <c r="Q863" s="1096" t="s">
        <v>1718</v>
      </c>
      <c r="R863" s="1114">
        <v>289.3</v>
      </c>
      <c r="S863" s="1096" t="s">
        <v>1718</v>
      </c>
      <c r="T863" s="1114">
        <v>471.5</v>
      </c>
      <c r="U863" s="1096" t="s">
        <v>1718</v>
      </c>
      <c r="V863" s="1114">
        <v>296.8</v>
      </c>
      <c r="W863" s="1096" t="s">
        <v>1718</v>
      </c>
      <c r="X863" s="1114">
        <v>238.1</v>
      </c>
      <c r="Y863" s="1096" t="s">
        <v>1718</v>
      </c>
      <c r="Z863" s="1114">
        <v>228.4</v>
      </c>
      <c r="AA863" s="1096"/>
      <c r="AB863" s="1096"/>
      <c r="AC863" s="1096"/>
      <c r="AD863" s="1096"/>
      <c r="AE863" s="1096"/>
      <c r="AF863" s="1096"/>
      <c r="AG863" s="1096"/>
      <c r="AH863" s="1096"/>
      <c r="AI863" s="1096"/>
      <c r="AJ863" s="1096"/>
      <c r="AK863" s="1096"/>
      <c r="AL863" s="1096"/>
      <c r="AM863" s="1096"/>
      <c r="AN863" s="1096"/>
      <c r="AO863" s="1096"/>
      <c r="AP863" s="1096"/>
      <c r="AQ863" s="1096"/>
      <c r="AR863" s="1096"/>
      <c r="AS863" s="1096"/>
      <c r="AT863" s="1096"/>
      <c r="AU863" s="1096"/>
      <c r="AV863" s="1096"/>
      <c r="AW863" s="1096"/>
      <c r="AX863" s="1096"/>
      <c r="AY863" s="1096"/>
    </row>
    <row r="864" spans="1:51" x14ac:dyDescent="0.45">
      <c r="A864" s="1115">
        <v>2011</v>
      </c>
      <c r="B864" s="1096" t="s">
        <v>1385</v>
      </c>
      <c r="C864" s="1112">
        <f>[6]ONS!Z864</f>
        <v>229</v>
      </c>
      <c r="D864" s="1112">
        <f>[6]ONS!P864</f>
        <v>274.60000000000002</v>
      </c>
      <c r="E864" s="1096"/>
      <c r="F864" s="1114">
        <f t="shared" si="33"/>
        <v>119.91266375545852</v>
      </c>
      <c r="G864" s="1112">
        <f t="shared" si="34"/>
        <v>127.46724890829692</v>
      </c>
      <c r="H864" s="1112">
        <f t="shared" si="35"/>
        <v>205.10917030567683</v>
      </c>
      <c r="I864" s="1112">
        <f t="shared" si="36"/>
        <v>130.21834061135371</v>
      </c>
      <c r="J864" s="1112">
        <f t="shared" si="37"/>
        <v>104.80349344978166</v>
      </c>
      <c r="K864" s="1096"/>
      <c r="L864" s="1096"/>
      <c r="M864" s="1096"/>
      <c r="N864" s="1096"/>
      <c r="O864" s="1096"/>
      <c r="P864" s="1114">
        <v>274.60000000000002</v>
      </c>
      <c r="Q864" s="1096" t="s">
        <v>1719</v>
      </c>
      <c r="R864" s="1114">
        <v>291.89999999999998</v>
      </c>
      <c r="S864" s="1096" t="s">
        <v>1719</v>
      </c>
      <c r="T864" s="1114">
        <v>469.7</v>
      </c>
      <c r="U864" s="1096" t="s">
        <v>1719</v>
      </c>
      <c r="V864" s="1114">
        <v>298.2</v>
      </c>
      <c r="W864" s="1096" t="s">
        <v>1719</v>
      </c>
      <c r="X864" s="1114">
        <v>240</v>
      </c>
      <c r="Y864" s="1096" t="s">
        <v>1719</v>
      </c>
      <c r="Z864" s="1114">
        <v>229</v>
      </c>
      <c r="AA864" s="1096"/>
      <c r="AB864" s="1096"/>
      <c r="AC864" s="1096"/>
      <c r="AD864" s="1096"/>
      <c r="AE864" s="1096"/>
      <c r="AF864" s="1096"/>
      <c r="AG864" s="1096"/>
      <c r="AH864" s="1096"/>
      <c r="AI864" s="1096"/>
      <c r="AJ864" s="1096"/>
      <c r="AK864" s="1096"/>
      <c r="AL864" s="1096"/>
      <c r="AM864" s="1096"/>
      <c r="AN864" s="1096"/>
      <c r="AO864" s="1096"/>
      <c r="AP864" s="1096"/>
      <c r="AQ864" s="1096"/>
      <c r="AR864" s="1096"/>
      <c r="AS864" s="1096"/>
      <c r="AT864" s="1096"/>
      <c r="AU864" s="1096"/>
      <c r="AV864" s="1096"/>
      <c r="AW864" s="1096"/>
      <c r="AX864" s="1096"/>
      <c r="AY864" s="1096"/>
    </row>
    <row r="865" spans="1:51" x14ac:dyDescent="0.45">
      <c r="A865" s="1115">
        <v>2011</v>
      </c>
      <c r="B865" s="1096" t="s">
        <v>1387</v>
      </c>
      <c r="C865" s="1112">
        <f>[6]ONS!Z865</f>
        <v>231.3</v>
      </c>
      <c r="D865" s="1112">
        <f>[6]ONS!P865</f>
        <v>276.39999999999998</v>
      </c>
      <c r="E865" s="1096"/>
      <c r="F865" s="1114">
        <f t="shared" si="33"/>
        <v>119.49848681366188</v>
      </c>
      <c r="G865" s="1112">
        <f t="shared" si="34"/>
        <v>127.28058798097707</v>
      </c>
      <c r="H865" s="1112">
        <f t="shared" si="35"/>
        <v>195.41720709035883</v>
      </c>
      <c r="I865" s="1112">
        <f t="shared" si="36"/>
        <v>129.39904885430178</v>
      </c>
      <c r="J865" s="1112">
        <f t="shared" si="37"/>
        <v>105.31776913099871</v>
      </c>
      <c r="K865" s="1096"/>
      <c r="L865" s="1096"/>
      <c r="M865" s="1096"/>
      <c r="N865" s="1096"/>
      <c r="O865" s="1096"/>
      <c r="P865" s="1114">
        <v>276.39999999999998</v>
      </c>
      <c r="Q865" s="1096" t="s">
        <v>1720</v>
      </c>
      <c r="R865" s="1114">
        <v>294.39999999999998</v>
      </c>
      <c r="S865" s="1096" t="s">
        <v>1720</v>
      </c>
      <c r="T865" s="1114">
        <v>452</v>
      </c>
      <c r="U865" s="1096" t="s">
        <v>1720</v>
      </c>
      <c r="V865" s="1114">
        <v>299.3</v>
      </c>
      <c r="W865" s="1096" t="s">
        <v>1720</v>
      </c>
      <c r="X865" s="1114">
        <v>243.6</v>
      </c>
      <c r="Y865" s="1096" t="s">
        <v>1720</v>
      </c>
      <c r="Z865" s="1114">
        <v>231.3</v>
      </c>
      <c r="AA865" s="1096"/>
      <c r="AB865" s="1096"/>
      <c r="AC865" s="1096"/>
      <c r="AD865" s="1096"/>
      <c r="AE865" s="1096"/>
      <c r="AF865" s="1096"/>
      <c r="AG865" s="1096"/>
      <c r="AH865" s="1096"/>
      <c r="AI865" s="1096"/>
      <c r="AJ865" s="1096"/>
      <c r="AK865" s="1096"/>
      <c r="AL865" s="1096"/>
      <c r="AM865" s="1096"/>
      <c r="AN865" s="1096"/>
      <c r="AO865" s="1096"/>
      <c r="AP865" s="1096"/>
      <c r="AQ865" s="1096"/>
      <c r="AR865" s="1096"/>
      <c r="AS865" s="1096"/>
      <c r="AT865" s="1096"/>
      <c r="AU865" s="1096"/>
      <c r="AV865" s="1096"/>
      <c r="AW865" s="1096"/>
      <c r="AX865" s="1096"/>
      <c r="AY865" s="1096"/>
    </row>
    <row r="866" spans="1:51" x14ac:dyDescent="0.45">
      <c r="A866" s="1115">
        <v>2011</v>
      </c>
      <c r="B866" s="1096" t="s">
        <v>1389</v>
      </c>
      <c r="C866" s="1112">
        <f>[6]ONS!Z866</f>
        <v>232.5</v>
      </c>
      <c r="D866" s="1112">
        <f>[6]ONS!P866</f>
        <v>279.3</v>
      </c>
      <c r="E866" s="1096"/>
      <c r="F866" s="1114">
        <f t="shared" si="33"/>
        <v>120.12903225806453</v>
      </c>
      <c r="G866" s="1112">
        <f t="shared" si="34"/>
        <v>126.40860215053762</v>
      </c>
      <c r="H866" s="1112">
        <f t="shared" si="35"/>
        <v>208.98924731182797</v>
      </c>
      <c r="I866" s="1112">
        <f t="shared" si="36"/>
        <v>129.33333333333331</v>
      </c>
      <c r="J866" s="1112">
        <f t="shared" si="37"/>
        <v>105.50537634408603</v>
      </c>
      <c r="K866" s="1096"/>
      <c r="L866" s="1096"/>
      <c r="M866" s="1096"/>
      <c r="N866" s="1096"/>
      <c r="O866" s="1096"/>
      <c r="P866" s="1114">
        <v>279.3</v>
      </c>
      <c r="Q866" s="1096" t="s">
        <v>1721</v>
      </c>
      <c r="R866" s="1114">
        <v>293.89999999999998</v>
      </c>
      <c r="S866" s="1096" t="s">
        <v>1721</v>
      </c>
      <c r="T866" s="1114">
        <v>485.9</v>
      </c>
      <c r="U866" s="1096" t="s">
        <v>1721</v>
      </c>
      <c r="V866" s="1114">
        <v>300.7</v>
      </c>
      <c r="W866" s="1096" t="s">
        <v>1721</v>
      </c>
      <c r="X866" s="1114">
        <v>245.3</v>
      </c>
      <c r="Y866" s="1096" t="s">
        <v>1721</v>
      </c>
      <c r="Z866" s="1114">
        <v>232.5</v>
      </c>
      <c r="AA866" s="1096"/>
      <c r="AB866" s="1096"/>
      <c r="AC866" s="1096"/>
      <c r="AD866" s="1096"/>
      <c r="AE866" s="1096"/>
      <c r="AF866" s="1096"/>
      <c r="AG866" s="1096"/>
      <c r="AH866" s="1096"/>
      <c r="AI866" s="1096"/>
      <c r="AJ866" s="1096"/>
      <c r="AK866" s="1096"/>
      <c r="AL866" s="1096"/>
      <c r="AM866" s="1096"/>
      <c r="AN866" s="1096"/>
      <c r="AO866" s="1096"/>
      <c r="AP866" s="1096"/>
      <c r="AQ866" s="1096"/>
      <c r="AR866" s="1096"/>
      <c r="AS866" s="1096"/>
      <c r="AT866" s="1096"/>
      <c r="AU866" s="1096"/>
      <c r="AV866" s="1096"/>
      <c r="AW866" s="1096"/>
      <c r="AX866" s="1096"/>
      <c r="AY866" s="1096"/>
    </row>
    <row r="867" spans="1:51" x14ac:dyDescent="0.45">
      <c r="A867" s="1115">
        <v>2011</v>
      </c>
      <c r="B867" s="1096" t="s">
        <v>1391</v>
      </c>
      <c r="C867" s="1112">
        <f>[6]ONS!Z867</f>
        <v>234.4</v>
      </c>
      <c r="D867" s="1112">
        <f>[6]ONS!P867</f>
        <v>280</v>
      </c>
      <c r="E867" s="1096"/>
      <c r="F867" s="1114">
        <f t="shared" si="33"/>
        <v>119.45392491467577</v>
      </c>
      <c r="G867" s="1112">
        <f t="shared" si="34"/>
        <v>125.81058020477815</v>
      </c>
      <c r="H867" s="1112">
        <f t="shared" si="35"/>
        <v>214.54778156996585</v>
      </c>
      <c r="I867" s="1112">
        <f t="shared" si="36"/>
        <v>128.28498293515358</v>
      </c>
      <c r="J867" s="1112">
        <f t="shared" si="37"/>
        <v>104.65017064846415</v>
      </c>
      <c r="K867" s="1096"/>
      <c r="L867" s="1096"/>
      <c r="M867" s="1096"/>
      <c r="N867" s="1096"/>
      <c r="O867" s="1096"/>
      <c r="P867" s="1114">
        <v>280</v>
      </c>
      <c r="Q867" s="1096" t="s">
        <v>1722</v>
      </c>
      <c r="R867" s="1114">
        <v>294.89999999999998</v>
      </c>
      <c r="S867" s="1096" t="s">
        <v>1722</v>
      </c>
      <c r="T867" s="1114">
        <v>502.9</v>
      </c>
      <c r="U867" s="1096" t="s">
        <v>1722</v>
      </c>
      <c r="V867" s="1114">
        <v>300.7</v>
      </c>
      <c r="W867" s="1096" t="s">
        <v>1722</v>
      </c>
      <c r="X867" s="1114">
        <v>245.3</v>
      </c>
      <c r="Y867" s="1096" t="s">
        <v>1722</v>
      </c>
      <c r="Z867" s="1114">
        <v>234.4</v>
      </c>
      <c r="AA867" s="1096"/>
      <c r="AB867" s="1096"/>
      <c r="AC867" s="1096"/>
      <c r="AD867" s="1096"/>
      <c r="AE867" s="1096"/>
      <c r="AF867" s="1096"/>
      <c r="AG867" s="1096"/>
      <c r="AH867" s="1096"/>
      <c r="AI867" s="1096"/>
      <c r="AJ867" s="1096"/>
      <c r="AK867" s="1096"/>
      <c r="AL867" s="1096"/>
      <c r="AM867" s="1096"/>
      <c r="AN867" s="1096"/>
      <c r="AO867" s="1096"/>
      <c r="AP867" s="1096"/>
      <c r="AQ867" s="1096"/>
      <c r="AR867" s="1096"/>
      <c r="AS867" s="1096"/>
      <c r="AT867" s="1096"/>
      <c r="AU867" s="1096"/>
      <c r="AV867" s="1096"/>
      <c r="AW867" s="1096"/>
      <c r="AX867" s="1096"/>
      <c r="AY867" s="1096"/>
    </row>
    <row r="868" spans="1:51" x14ac:dyDescent="0.45">
      <c r="A868" s="1115">
        <v>2011</v>
      </c>
      <c r="B868" s="1096" t="s">
        <v>1393</v>
      </c>
      <c r="C868" s="1112">
        <f>[6]ONS!Z868</f>
        <v>235.2</v>
      </c>
      <c r="D868" s="1112">
        <f>[6]ONS!P868</f>
        <v>278.5</v>
      </c>
      <c r="E868" s="1096"/>
      <c r="F868" s="1114">
        <f t="shared" si="33"/>
        <v>118.40986394557824</v>
      </c>
      <c r="G868" s="1112">
        <f t="shared" si="34"/>
        <v>123.7670068027211</v>
      </c>
      <c r="H868" s="1112">
        <f t="shared" si="35"/>
        <v>199.91496598639455</v>
      </c>
      <c r="I868" s="1112">
        <f t="shared" si="36"/>
        <v>127.8486394557823</v>
      </c>
      <c r="J868" s="1112">
        <f t="shared" si="37"/>
        <v>104.29421768707483</v>
      </c>
      <c r="K868" s="1096"/>
      <c r="L868" s="1096"/>
      <c r="M868" s="1096"/>
      <c r="N868" s="1096"/>
      <c r="O868" s="1096"/>
      <c r="P868" s="1114">
        <v>278.5</v>
      </c>
      <c r="Q868" s="1096" t="s">
        <v>1723</v>
      </c>
      <c r="R868" s="1114">
        <v>291.10000000000002</v>
      </c>
      <c r="S868" s="1096" t="s">
        <v>1723</v>
      </c>
      <c r="T868" s="1114">
        <v>470.2</v>
      </c>
      <c r="U868" s="1096" t="s">
        <v>1723</v>
      </c>
      <c r="V868" s="1114">
        <v>300.7</v>
      </c>
      <c r="W868" s="1096" t="s">
        <v>1723</v>
      </c>
      <c r="X868" s="1114">
        <v>245.3</v>
      </c>
      <c r="Y868" s="1096" t="s">
        <v>1723</v>
      </c>
      <c r="Z868" s="1114">
        <v>235.2</v>
      </c>
      <c r="AA868" s="1096"/>
      <c r="AB868" s="1096"/>
      <c r="AC868" s="1096"/>
      <c r="AD868" s="1096"/>
      <c r="AE868" s="1096"/>
      <c r="AF868" s="1096"/>
      <c r="AG868" s="1096"/>
      <c r="AH868" s="1096"/>
      <c r="AI868" s="1096"/>
      <c r="AJ868" s="1096"/>
      <c r="AK868" s="1096"/>
      <c r="AL868" s="1096"/>
      <c r="AM868" s="1096"/>
      <c r="AN868" s="1096"/>
      <c r="AO868" s="1096"/>
      <c r="AP868" s="1096"/>
      <c r="AQ868" s="1096"/>
      <c r="AR868" s="1096"/>
      <c r="AS868" s="1096"/>
      <c r="AT868" s="1096"/>
      <c r="AU868" s="1096"/>
      <c r="AV868" s="1096"/>
      <c r="AW868" s="1096"/>
      <c r="AX868" s="1096"/>
      <c r="AY868" s="1096"/>
    </row>
    <row r="869" spans="1:51" x14ac:dyDescent="0.45">
      <c r="A869" s="1115">
        <v>2011</v>
      </c>
      <c r="B869" s="1096" t="s">
        <v>1371</v>
      </c>
      <c r="C869" s="1112">
        <f>[6]ONS!Z869</f>
        <v>235.2</v>
      </c>
      <c r="D869" s="1112">
        <f>[6]ONS!P869</f>
        <v>279</v>
      </c>
      <c r="E869" s="1096"/>
      <c r="F869" s="1114">
        <f t="shared" si="33"/>
        <v>118.62244897959184</v>
      </c>
      <c r="G869" s="1112">
        <f t="shared" si="34"/>
        <v>123.51190476190477</v>
      </c>
      <c r="H869" s="1112">
        <f t="shared" si="35"/>
        <v>204.42176870748301</v>
      </c>
      <c r="I869" s="1112">
        <f t="shared" si="36"/>
        <v>127.8486394557823</v>
      </c>
      <c r="J869" s="1112">
        <f t="shared" si="37"/>
        <v>104.29421768707483</v>
      </c>
      <c r="K869" s="1096"/>
      <c r="L869" s="1096"/>
      <c r="M869" s="1096"/>
      <c r="N869" s="1096"/>
      <c r="O869" s="1096"/>
      <c r="P869" s="1114">
        <v>279</v>
      </c>
      <c r="Q869" s="1096" t="s">
        <v>1724</v>
      </c>
      <c r="R869" s="1114">
        <v>290.5</v>
      </c>
      <c r="S869" s="1096" t="s">
        <v>1724</v>
      </c>
      <c r="T869" s="1114">
        <v>480.8</v>
      </c>
      <c r="U869" s="1096" t="s">
        <v>1724</v>
      </c>
      <c r="V869" s="1114">
        <v>300.7</v>
      </c>
      <c r="W869" s="1096" t="s">
        <v>1724</v>
      </c>
      <c r="X869" s="1114">
        <v>245.3</v>
      </c>
      <c r="Y869" s="1096" t="s">
        <v>1724</v>
      </c>
      <c r="Z869" s="1114">
        <v>235.2</v>
      </c>
      <c r="AA869" s="1096"/>
      <c r="AB869" s="1096"/>
      <c r="AC869" s="1096"/>
      <c r="AD869" s="1096"/>
      <c r="AE869" s="1096"/>
      <c r="AF869" s="1096"/>
      <c r="AG869" s="1096"/>
      <c r="AH869" s="1096"/>
      <c r="AI869" s="1096"/>
      <c r="AJ869" s="1096"/>
      <c r="AK869" s="1096"/>
      <c r="AL869" s="1096"/>
      <c r="AM869" s="1096"/>
      <c r="AN869" s="1096"/>
      <c r="AO869" s="1096"/>
      <c r="AP869" s="1096"/>
      <c r="AQ869" s="1096"/>
      <c r="AR869" s="1096"/>
      <c r="AS869" s="1096"/>
      <c r="AT869" s="1096"/>
      <c r="AU869" s="1096"/>
      <c r="AV869" s="1096"/>
      <c r="AW869" s="1096"/>
      <c r="AX869" s="1096"/>
      <c r="AY869" s="1096"/>
    </row>
    <row r="870" spans="1:51" x14ac:dyDescent="0.45">
      <c r="A870" s="1115">
        <v>2011</v>
      </c>
      <c r="B870" s="1096" t="s">
        <v>1373</v>
      </c>
      <c r="C870" s="1112">
        <f>[6]ONS!Z870</f>
        <v>234.7</v>
      </c>
      <c r="D870" s="1112">
        <f>[6]ONS!P870</f>
        <v>278.39999999999998</v>
      </c>
      <c r="E870" s="1096"/>
      <c r="F870" s="1114">
        <f t="shared" ref="F870:F933" si="38">D870/C870*100</f>
        <v>118.61951427354069</v>
      </c>
      <c r="G870" s="1112">
        <f t="shared" si="34"/>
        <v>123.94546229228803</v>
      </c>
      <c r="H870" s="1112">
        <f t="shared" si="35"/>
        <v>199.4034938219003</v>
      </c>
      <c r="I870" s="1112">
        <f t="shared" si="36"/>
        <v>128.12100553898594</v>
      </c>
      <c r="J870" s="1112">
        <f t="shared" si="37"/>
        <v>104.51640391989775</v>
      </c>
      <c r="K870" s="1096"/>
      <c r="L870" s="1096"/>
      <c r="M870" s="1096"/>
      <c r="N870" s="1096"/>
      <c r="O870" s="1096"/>
      <c r="P870" s="1114">
        <v>278.39999999999998</v>
      </c>
      <c r="Q870" s="1096" t="s">
        <v>1725</v>
      </c>
      <c r="R870" s="1114">
        <v>290.89999999999998</v>
      </c>
      <c r="S870" s="1096" t="s">
        <v>1725</v>
      </c>
      <c r="T870" s="1114">
        <v>468</v>
      </c>
      <c r="U870" s="1096" t="s">
        <v>1725</v>
      </c>
      <c r="V870" s="1114">
        <v>300.7</v>
      </c>
      <c r="W870" s="1096" t="s">
        <v>1725</v>
      </c>
      <c r="X870" s="1114">
        <v>245.3</v>
      </c>
      <c r="Y870" s="1096" t="s">
        <v>1725</v>
      </c>
      <c r="Z870" s="1114">
        <v>234.7</v>
      </c>
      <c r="AA870" s="1096"/>
      <c r="AB870" s="1096"/>
      <c r="AC870" s="1096"/>
      <c r="AD870" s="1096"/>
      <c r="AE870" s="1096"/>
      <c r="AF870" s="1096"/>
      <c r="AG870" s="1096"/>
      <c r="AH870" s="1096"/>
      <c r="AI870" s="1096"/>
      <c r="AJ870" s="1096"/>
      <c r="AK870" s="1096"/>
      <c r="AL870" s="1096"/>
      <c r="AM870" s="1096"/>
      <c r="AN870" s="1096"/>
      <c r="AO870" s="1096"/>
      <c r="AP870" s="1096"/>
      <c r="AQ870" s="1096"/>
      <c r="AR870" s="1096"/>
      <c r="AS870" s="1096"/>
      <c r="AT870" s="1096"/>
      <c r="AU870" s="1096"/>
      <c r="AV870" s="1096"/>
      <c r="AW870" s="1096"/>
      <c r="AX870" s="1096"/>
      <c r="AY870" s="1096"/>
    </row>
    <row r="871" spans="1:51" x14ac:dyDescent="0.45">
      <c r="A871" s="1115">
        <v>2011</v>
      </c>
      <c r="B871" s="1096" t="s">
        <v>1375</v>
      </c>
      <c r="C871" s="1112">
        <f>[6]ONS!Z871</f>
        <v>236.1</v>
      </c>
      <c r="D871" s="1112">
        <f>[6]ONS!P871</f>
        <v>281.3</v>
      </c>
      <c r="E871" s="1096"/>
      <c r="F871" s="1114">
        <f t="shared" si="38"/>
        <v>119.144430326133</v>
      </c>
      <c r="G871" s="1112">
        <f t="shared" si="34"/>
        <v>123.33756882676832</v>
      </c>
      <c r="H871" s="1112">
        <f t="shared" si="35"/>
        <v>191.91020753917834</v>
      </c>
      <c r="I871" s="1112">
        <f t="shared" si="36"/>
        <v>129.64845404489625</v>
      </c>
      <c r="J871" s="1112">
        <f t="shared" si="37"/>
        <v>104.91317238458279</v>
      </c>
      <c r="K871" s="1096"/>
      <c r="L871" s="1096"/>
      <c r="M871" s="1096"/>
      <c r="N871" s="1096"/>
      <c r="O871" s="1096"/>
      <c r="P871" s="1114">
        <v>281.3</v>
      </c>
      <c r="Q871" s="1096" t="s">
        <v>1726</v>
      </c>
      <c r="R871" s="1114">
        <v>291.2</v>
      </c>
      <c r="S871" s="1096" t="s">
        <v>1726</v>
      </c>
      <c r="T871" s="1114">
        <v>453.1</v>
      </c>
      <c r="U871" s="1096" t="s">
        <v>1726</v>
      </c>
      <c r="V871" s="1114">
        <v>306.10000000000002</v>
      </c>
      <c r="W871" s="1096" t="s">
        <v>1726</v>
      </c>
      <c r="X871" s="1114">
        <v>247.7</v>
      </c>
      <c r="Y871" s="1096" t="s">
        <v>1726</v>
      </c>
      <c r="Z871" s="1114">
        <v>236.1</v>
      </c>
      <c r="AA871" s="1096"/>
      <c r="AB871" s="1096"/>
      <c r="AC871" s="1096"/>
      <c r="AD871" s="1096"/>
      <c r="AE871" s="1096"/>
      <c r="AF871" s="1096"/>
      <c r="AG871" s="1096"/>
      <c r="AH871" s="1096"/>
      <c r="AI871" s="1096"/>
      <c r="AJ871" s="1096"/>
      <c r="AK871" s="1096"/>
      <c r="AL871" s="1096"/>
      <c r="AM871" s="1096"/>
      <c r="AN871" s="1096"/>
      <c r="AO871" s="1096"/>
      <c r="AP871" s="1096"/>
      <c r="AQ871" s="1096"/>
      <c r="AR871" s="1096"/>
      <c r="AS871" s="1096"/>
      <c r="AT871" s="1096"/>
      <c r="AU871" s="1096"/>
      <c r="AV871" s="1096"/>
      <c r="AW871" s="1096"/>
      <c r="AX871" s="1096"/>
      <c r="AY871" s="1096"/>
    </row>
    <row r="872" spans="1:51" x14ac:dyDescent="0.45">
      <c r="A872" s="1115">
        <v>2011</v>
      </c>
      <c r="B872" s="1096" t="s">
        <v>1377</v>
      </c>
      <c r="C872" s="1112">
        <f>[6]ONS!Z872</f>
        <v>237.9</v>
      </c>
      <c r="D872" s="1112">
        <f>[6]ONS!P872</f>
        <v>307.89999999999998</v>
      </c>
      <c r="E872" s="1096"/>
      <c r="F872" s="1114">
        <f t="shared" si="38"/>
        <v>129.42412778478351</v>
      </c>
      <c r="G872" s="1112">
        <f t="shared" si="34"/>
        <v>123.16099201345104</v>
      </c>
      <c r="H872" s="1112">
        <f t="shared" si="35"/>
        <v>195.3762084909626</v>
      </c>
      <c r="I872" s="1112">
        <f t="shared" si="36"/>
        <v>145.69146700294243</v>
      </c>
      <c r="J872" s="1112">
        <f t="shared" si="37"/>
        <v>111.89575451870533</v>
      </c>
      <c r="K872" s="1096"/>
      <c r="L872" s="1096"/>
      <c r="M872" s="1096"/>
      <c r="N872" s="1096"/>
      <c r="O872" s="1096"/>
      <c r="P872" s="1114">
        <v>307.89999999999998</v>
      </c>
      <c r="Q872" s="1096" t="s">
        <v>1727</v>
      </c>
      <c r="R872" s="1114">
        <v>293</v>
      </c>
      <c r="S872" s="1096" t="s">
        <v>1727</v>
      </c>
      <c r="T872" s="1114">
        <v>464.8</v>
      </c>
      <c r="U872" s="1096" t="s">
        <v>1727</v>
      </c>
      <c r="V872" s="1114">
        <v>346.6</v>
      </c>
      <c r="W872" s="1096" t="s">
        <v>1727</v>
      </c>
      <c r="X872" s="1114">
        <v>266.2</v>
      </c>
      <c r="Y872" s="1096" t="s">
        <v>1727</v>
      </c>
      <c r="Z872" s="1114">
        <v>237.9</v>
      </c>
      <c r="AA872" s="1096"/>
      <c r="AB872" s="1096"/>
      <c r="AC872" s="1096"/>
      <c r="AD872" s="1096"/>
      <c r="AE872" s="1096"/>
      <c r="AF872" s="1096"/>
      <c r="AG872" s="1096"/>
      <c r="AH872" s="1096"/>
      <c r="AI872" s="1096"/>
      <c r="AJ872" s="1096"/>
      <c r="AK872" s="1096"/>
      <c r="AL872" s="1096"/>
      <c r="AM872" s="1096"/>
      <c r="AN872" s="1096"/>
      <c r="AO872" s="1096"/>
      <c r="AP872" s="1096"/>
      <c r="AQ872" s="1096"/>
      <c r="AR872" s="1096"/>
      <c r="AS872" s="1096"/>
      <c r="AT872" s="1096"/>
      <c r="AU872" s="1096"/>
      <c r="AV872" s="1096"/>
      <c r="AW872" s="1096"/>
      <c r="AX872" s="1096"/>
      <c r="AY872" s="1096"/>
    </row>
    <row r="873" spans="1:51" x14ac:dyDescent="0.45">
      <c r="A873" s="1115">
        <v>2011</v>
      </c>
      <c r="B873" s="1096" t="s">
        <v>1379</v>
      </c>
      <c r="C873" s="1112">
        <f>[6]ONS!Z873</f>
        <v>238</v>
      </c>
      <c r="D873" s="1112">
        <f>[6]ONS!P873</f>
        <v>312.3</v>
      </c>
      <c r="E873" s="1096"/>
      <c r="F873" s="1114">
        <f t="shared" si="38"/>
        <v>131.21848739495798</v>
      </c>
      <c r="G873" s="1112">
        <f t="shared" si="34"/>
        <v>129.83193277310926</v>
      </c>
      <c r="H873" s="1112">
        <f t="shared" si="35"/>
        <v>194.57983193277312</v>
      </c>
      <c r="I873" s="1112">
        <f t="shared" si="36"/>
        <v>147.73109243697479</v>
      </c>
      <c r="J873" s="1112">
        <f t="shared" si="37"/>
        <v>113.52941176470588</v>
      </c>
      <c r="K873" s="1096"/>
      <c r="L873" s="1096"/>
      <c r="M873" s="1096"/>
      <c r="N873" s="1096"/>
      <c r="O873" s="1096"/>
      <c r="P873" s="1114">
        <v>312.3</v>
      </c>
      <c r="Q873" s="1096" t="s">
        <v>1728</v>
      </c>
      <c r="R873" s="1114">
        <v>309</v>
      </c>
      <c r="S873" s="1096" t="s">
        <v>1728</v>
      </c>
      <c r="T873" s="1114">
        <v>463.1</v>
      </c>
      <c r="U873" s="1096" t="s">
        <v>1728</v>
      </c>
      <c r="V873" s="1114">
        <v>351.6</v>
      </c>
      <c r="W873" s="1096" t="s">
        <v>1728</v>
      </c>
      <c r="X873" s="1114">
        <v>270.2</v>
      </c>
      <c r="Y873" s="1096" t="s">
        <v>1728</v>
      </c>
      <c r="Z873" s="1114">
        <v>238</v>
      </c>
      <c r="AA873" s="1096"/>
      <c r="AB873" s="1096"/>
      <c r="AC873" s="1096"/>
      <c r="AD873" s="1096"/>
      <c r="AE873" s="1096"/>
      <c r="AF873" s="1096"/>
      <c r="AG873" s="1096"/>
      <c r="AH873" s="1096"/>
      <c r="AI873" s="1096"/>
      <c r="AJ873" s="1096"/>
      <c r="AK873" s="1096"/>
      <c r="AL873" s="1096"/>
      <c r="AM873" s="1096"/>
      <c r="AN873" s="1096"/>
      <c r="AO873" s="1096"/>
      <c r="AP873" s="1096"/>
      <c r="AQ873" s="1096"/>
      <c r="AR873" s="1096"/>
      <c r="AS873" s="1096"/>
      <c r="AT873" s="1096"/>
      <c r="AU873" s="1096"/>
      <c r="AV873" s="1096"/>
      <c r="AW873" s="1096"/>
      <c r="AX873" s="1096"/>
      <c r="AY873" s="1096"/>
    </row>
    <row r="874" spans="1:51" x14ac:dyDescent="0.45">
      <c r="A874" s="1115">
        <v>2011</v>
      </c>
      <c r="B874" s="1096" t="s">
        <v>1381</v>
      </c>
      <c r="C874" s="1112">
        <f>[6]ONS!Z874</f>
        <v>238.5</v>
      </c>
      <c r="D874" s="1112">
        <f>[6]ONS!P874</f>
        <v>315.5</v>
      </c>
      <c r="E874" s="1096"/>
      <c r="F874" s="1114">
        <f t="shared" si="38"/>
        <v>132.28511530398325</v>
      </c>
      <c r="G874" s="1112">
        <f t="shared" si="34"/>
        <v>130.56603773584905</v>
      </c>
      <c r="H874" s="1112">
        <f t="shared" si="35"/>
        <v>204.44444444444449</v>
      </c>
      <c r="I874" s="1112">
        <f t="shared" si="36"/>
        <v>148.88888888888889</v>
      </c>
      <c r="J874" s="1112">
        <f t="shared" si="37"/>
        <v>113.87840670859539</v>
      </c>
      <c r="K874" s="1096"/>
      <c r="L874" s="1096"/>
      <c r="M874" s="1096"/>
      <c r="N874" s="1096"/>
      <c r="O874" s="1096"/>
      <c r="P874" s="1114">
        <v>315.5</v>
      </c>
      <c r="Q874" s="1096" t="s">
        <v>1729</v>
      </c>
      <c r="R874" s="1114">
        <v>311.39999999999998</v>
      </c>
      <c r="S874" s="1096" t="s">
        <v>1729</v>
      </c>
      <c r="T874" s="1114">
        <v>487.6</v>
      </c>
      <c r="U874" s="1096" t="s">
        <v>1729</v>
      </c>
      <c r="V874" s="1114">
        <v>355.1</v>
      </c>
      <c r="W874" s="1096" t="s">
        <v>1729</v>
      </c>
      <c r="X874" s="1114">
        <v>271.60000000000002</v>
      </c>
      <c r="Y874" s="1096" t="s">
        <v>1729</v>
      </c>
      <c r="Z874" s="1114">
        <v>238.5</v>
      </c>
      <c r="AA874" s="1096"/>
      <c r="AB874" s="1096"/>
      <c r="AC874" s="1096"/>
      <c r="AD874" s="1096"/>
      <c r="AE874" s="1096"/>
      <c r="AF874" s="1096"/>
      <c r="AG874" s="1096"/>
      <c r="AH874" s="1096"/>
      <c r="AI874" s="1096"/>
      <c r="AJ874" s="1096"/>
      <c r="AK874" s="1096"/>
      <c r="AL874" s="1096"/>
      <c r="AM874" s="1096"/>
      <c r="AN874" s="1096"/>
      <c r="AO874" s="1096"/>
      <c r="AP874" s="1096"/>
      <c r="AQ874" s="1096"/>
      <c r="AR874" s="1096"/>
      <c r="AS874" s="1096"/>
      <c r="AT874" s="1096"/>
      <c r="AU874" s="1096"/>
      <c r="AV874" s="1096"/>
      <c r="AW874" s="1096"/>
      <c r="AX874" s="1096"/>
      <c r="AY874" s="1096"/>
    </row>
    <row r="875" spans="1:51" x14ac:dyDescent="0.45">
      <c r="A875" s="1115">
        <v>2011</v>
      </c>
      <c r="B875" s="1096" t="s">
        <v>1383</v>
      </c>
      <c r="C875" s="1112">
        <f>[6]ONS!Z875</f>
        <v>239.4</v>
      </c>
      <c r="D875" s="1112">
        <f>[6]ONS!P875</f>
        <v>315.60000000000002</v>
      </c>
      <c r="E875" s="1096"/>
      <c r="F875" s="1114">
        <f t="shared" si="38"/>
        <v>131.8295739348371</v>
      </c>
      <c r="G875" s="1112">
        <f t="shared" si="34"/>
        <v>130.32581453634086</v>
      </c>
      <c r="H875" s="1112">
        <f t="shared" si="35"/>
        <v>204.38596491228068</v>
      </c>
      <c r="I875" s="1112">
        <f t="shared" si="36"/>
        <v>148.32915622389308</v>
      </c>
      <c r="J875" s="1112">
        <f t="shared" si="37"/>
        <v>113.45029239766082</v>
      </c>
      <c r="K875" s="1096"/>
      <c r="L875" s="1096"/>
      <c r="M875" s="1096"/>
      <c r="N875" s="1096"/>
      <c r="O875" s="1096"/>
      <c r="P875" s="1114">
        <v>315.60000000000002</v>
      </c>
      <c r="Q875" s="1096" t="s">
        <v>1730</v>
      </c>
      <c r="R875" s="1114">
        <v>312</v>
      </c>
      <c r="S875" s="1096" t="s">
        <v>1730</v>
      </c>
      <c r="T875" s="1114">
        <v>489.3</v>
      </c>
      <c r="U875" s="1096" t="s">
        <v>1730</v>
      </c>
      <c r="V875" s="1114">
        <v>355.1</v>
      </c>
      <c r="W875" s="1096" t="s">
        <v>1730</v>
      </c>
      <c r="X875" s="1114">
        <v>271.60000000000002</v>
      </c>
      <c r="Y875" s="1096" t="s">
        <v>1730</v>
      </c>
      <c r="Z875" s="1114">
        <v>239.4</v>
      </c>
      <c r="AA875" s="1096"/>
      <c r="AB875" s="1096"/>
      <c r="AC875" s="1096"/>
      <c r="AD875" s="1096"/>
      <c r="AE875" s="1096"/>
      <c r="AF875" s="1096"/>
      <c r="AG875" s="1096"/>
      <c r="AH875" s="1096"/>
      <c r="AI875" s="1096"/>
      <c r="AJ875" s="1096"/>
      <c r="AK875" s="1096"/>
      <c r="AL875" s="1096"/>
      <c r="AM875" s="1096"/>
      <c r="AN875" s="1096"/>
      <c r="AO875" s="1096"/>
      <c r="AP875" s="1096"/>
      <c r="AQ875" s="1096"/>
      <c r="AR875" s="1096"/>
      <c r="AS875" s="1096"/>
      <c r="AT875" s="1096"/>
      <c r="AU875" s="1096"/>
      <c r="AV875" s="1096"/>
      <c r="AW875" s="1096"/>
      <c r="AX875" s="1096"/>
      <c r="AY875" s="1096"/>
    </row>
    <row r="876" spans="1:51" x14ac:dyDescent="0.45">
      <c r="A876" s="1115">
        <v>2012</v>
      </c>
      <c r="B876" s="1096" t="s">
        <v>1385</v>
      </c>
      <c r="C876" s="1112">
        <f>[6]ONS!Z876</f>
        <v>238</v>
      </c>
      <c r="D876" s="1112">
        <f>[6]ONS!P876</f>
        <v>315.60000000000002</v>
      </c>
      <c r="E876" s="1096"/>
      <c r="F876" s="1114">
        <f t="shared" si="38"/>
        <v>132.60504201680675</v>
      </c>
      <c r="G876" s="1112">
        <f t="shared" si="34"/>
        <v>131.1764705882353</v>
      </c>
      <c r="H876" s="1112">
        <f t="shared" si="35"/>
        <v>205.92436974789919</v>
      </c>
      <c r="I876" s="1112">
        <f t="shared" si="36"/>
        <v>149.20168067226891</v>
      </c>
      <c r="J876" s="1112">
        <f t="shared" si="37"/>
        <v>114.11764705882355</v>
      </c>
      <c r="K876" s="1096"/>
      <c r="L876" s="1096"/>
      <c r="M876" s="1096"/>
      <c r="N876" s="1096"/>
      <c r="O876" s="1096"/>
      <c r="P876" s="1114">
        <v>315.60000000000002</v>
      </c>
      <c r="Q876" s="1096" t="s">
        <v>1731</v>
      </c>
      <c r="R876" s="1114">
        <v>312.2</v>
      </c>
      <c r="S876" s="1096" t="s">
        <v>1731</v>
      </c>
      <c r="T876" s="1114">
        <v>490.1</v>
      </c>
      <c r="U876" s="1096" t="s">
        <v>1731</v>
      </c>
      <c r="V876" s="1114">
        <v>355.1</v>
      </c>
      <c r="W876" s="1096" t="s">
        <v>1731</v>
      </c>
      <c r="X876" s="1114">
        <v>271.60000000000002</v>
      </c>
      <c r="Y876" s="1096" t="s">
        <v>1731</v>
      </c>
      <c r="Z876" s="1114">
        <v>238</v>
      </c>
      <c r="AA876" s="1096"/>
      <c r="AB876" s="1096"/>
      <c r="AC876" s="1096"/>
      <c r="AD876" s="1096"/>
      <c r="AE876" s="1096"/>
      <c r="AF876" s="1096"/>
      <c r="AG876" s="1096"/>
      <c r="AH876" s="1096"/>
      <c r="AI876" s="1096"/>
      <c r="AJ876" s="1096"/>
      <c r="AK876" s="1096"/>
      <c r="AL876" s="1096"/>
      <c r="AM876" s="1096"/>
      <c r="AN876" s="1096"/>
      <c r="AO876" s="1096"/>
      <c r="AP876" s="1096"/>
      <c r="AQ876" s="1096"/>
      <c r="AR876" s="1096"/>
      <c r="AS876" s="1096"/>
      <c r="AT876" s="1096"/>
      <c r="AU876" s="1096"/>
      <c r="AV876" s="1096"/>
      <c r="AW876" s="1096"/>
      <c r="AX876" s="1096"/>
      <c r="AY876" s="1096"/>
    </row>
    <row r="877" spans="1:51" x14ac:dyDescent="0.45">
      <c r="A877" s="1115">
        <v>2012</v>
      </c>
      <c r="B877" s="1096" t="s">
        <v>1387</v>
      </c>
      <c r="C877" s="1112">
        <f>[6]ONS!Z877</f>
        <v>239.9</v>
      </c>
      <c r="D877" s="1112">
        <f>[6]ONS!P877</f>
        <v>312.8</v>
      </c>
      <c r="E877" s="1096"/>
      <c r="F877" s="1114">
        <f t="shared" si="38"/>
        <v>130.38766152563568</v>
      </c>
      <c r="G877" s="1112">
        <f t="shared" si="34"/>
        <v>129.38724468528554</v>
      </c>
      <c r="H877" s="1112">
        <f t="shared" si="35"/>
        <v>207.71154647769902</v>
      </c>
      <c r="I877" s="1112">
        <f t="shared" si="36"/>
        <v>146.64443518132555</v>
      </c>
      <c r="J877" s="1112">
        <f t="shared" si="37"/>
        <v>111.7965819091288</v>
      </c>
      <c r="K877" s="1096"/>
      <c r="L877" s="1096"/>
      <c r="M877" s="1096"/>
      <c r="N877" s="1096"/>
      <c r="O877" s="1096"/>
      <c r="P877" s="1114">
        <v>312.8</v>
      </c>
      <c r="Q877" s="1096" t="s">
        <v>1732</v>
      </c>
      <c r="R877" s="1114">
        <v>310.39999999999998</v>
      </c>
      <c r="S877" s="1096" t="s">
        <v>1732</v>
      </c>
      <c r="T877" s="1114">
        <v>498.3</v>
      </c>
      <c r="U877" s="1096" t="s">
        <v>1732</v>
      </c>
      <c r="V877" s="1114">
        <v>351.8</v>
      </c>
      <c r="W877" s="1096" t="s">
        <v>1732</v>
      </c>
      <c r="X877" s="1114">
        <v>268.2</v>
      </c>
      <c r="Y877" s="1096" t="s">
        <v>1732</v>
      </c>
      <c r="Z877" s="1114">
        <v>239.9</v>
      </c>
      <c r="AA877" s="1096"/>
      <c r="AB877" s="1096"/>
      <c r="AC877" s="1096"/>
      <c r="AD877" s="1096"/>
      <c r="AE877" s="1096"/>
      <c r="AF877" s="1096"/>
      <c r="AG877" s="1096"/>
      <c r="AH877" s="1096"/>
      <c r="AI877" s="1096"/>
      <c r="AJ877" s="1096"/>
      <c r="AK877" s="1096"/>
      <c r="AL877" s="1096"/>
      <c r="AM877" s="1096"/>
      <c r="AN877" s="1096"/>
      <c r="AO877" s="1096"/>
      <c r="AP877" s="1096"/>
      <c r="AQ877" s="1096"/>
      <c r="AR877" s="1096"/>
      <c r="AS877" s="1096"/>
      <c r="AT877" s="1096"/>
      <c r="AU877" s="1096"/>
      <c r="AV877" s="1096"/>
      <c r="AW877" s="1096"/>
      <c r="AX877" s="1096"/>
      <c r="AY877" s="1096"/>
    </row>
    <row r="878" spans="1:51" x14ac:dyDescent="0.45">
      <c r="A878" s="1115">
        <v>2012</v>
      </c>
      <c r="B878" s="1096" t="s">
        <v>1389</v>
      </c>
      <c r="C878" s="1112">
        <f>[6]ONS!Z878</f>
        <v>240.8</v>
      </c>
      <c r="D878" s="1112">
        <f>[6]ONS!P878</f>
        <v>310.89999999999998</v>
      </c>
      <c r="E878" s="1096"/>
      <c r="F878" s="1114">
        <f t="shared" si="38"/>
        <v>129.1112956810631</v>
      </c>
      <c r="G878" s="1112">
        <f t="shared" si="34"/>
        <v>129.36046511627904</v>
      </c>
      <c r="H878" s="1112">
        <f t="shared" si="35"/>
        <v>209.88372093023253</v>
      </c>
      <c r="I878" s="1112">
        <f t="shared" si="36"/>
        <v>145.43189368770763</v>
      </c>
      <c r="J878" s="1112">
        <f t="shared" si="37"/>
        <v>110.13289036544849</v>
      </c>
      <c r="K878" s="1096"/>
      <c r="L878" s="1096"/>
      <c r="M878" s="1096"/>
      <c r="N878" s="1096"/>
      <c r="O878" s="1096"/>
      <c r="P878" s="1114">
        <v>310.89999999999998</v>
      </c>
      <c r="Q878" s="1096" t="s">
        <v>1733</v>
      </c>
      <c r="R878" s="1114">
        <v>311.5</v>
      </c>
      <c r="S878" s="1096" t="s">
        <v>1733</v>
      </c>
      <c r="T878" s="1114">
        <v>505.4</v>
      </c>
      <c r="U878" s="1096" t="s">
        <v>1733</v>
      </c>
      <c r="V878" s="1114">
        <v>350.2</v>
      </c>
      <c r="W878" s="1096" t="s">
        <v>1733</v>
      </c>
      <c r="X878" s="1114">
        <v>265.2</v>
      </c>
      <c r="Y878" s="1096" t="s">
        <v>1733</v>
      </c>
      <c r="Z878" s="1114">
        <v>240.8</v>
      </c>
      <c r="AA878" s="1096"/>
      <c r="AB878" s="1096"/>
      <c r="AC878" s="1096"/>
      <c r="AD878" s="1096"/>
      <c r="AE878" s="1096"/>
      <c r="AF878" s="1096"/>
      <c r="AG878" s="1096"/>
      <c r="AH878" s="1096"/>
      <c r="AI878" s="1096"/>
      <c r="AJ878" s="1096"/>
      <c r="AK878" s="1096"/>
      <c r="AL878" s="1096"/>
      <c r="AM878" s="1096"/>
      <c r="AN878" s="1096"/>
      <c r="AO878" s="1096"/>
      <c r="AP878" s="1096"/>
      <c r="AQ878" s="1096"/>
      <c r="AR878" s="1096"/>
      <c r="AS878" s="1096"/>
      <c r="AT878" s="1096"/>
      <c r="AU878" s="1096"/>
      <c r="AV878" s="1096"/>
      <c r="AW878" s="1096"/>
      <c r="AX878" s="1096"/>
      <c r="AY878" s="1096"/>
    </row>
    <row r="879" spans="1:51" x14ac:dyDescent="0.45">
      <c r="A879" s="1115">
        <v>2012</v>
      </c>
      <c r="B879" s="1096" t="s">
        <v>1391</v>
      </c>
      <c r="C879" s="1112">
        <f>[6]ONS!Z879</f>
        <v>242.5</v>
      </c>
      <c r="D879" s="1112">
        <f>[6]ONS!P879</f>
        <v>309.8</v>
      </c>
      <c r="E879" s="1096"/>
      <c r="F879" s="1114">
        <f t="shared" si="38"/>
        <v>127.75257731958763</v>
      </c>
      <c r="G879" s="1112">
        <f t="shared" si="34"/>
        <v>128.49484536082477</v>
      </c>
      <c r="H879" s="1112">
        <f t="shared" si="35"/>
        <v>206.22680412371136</v>
      </c>
      <c r="I879" s="1112">
        <f t="shared" si="36"/>
        <v>143.50515463917526</v>
      </c>
      <c r="J879" s="1112">
        <f t="shared" si="37"/>
        <v>109.36082474226802</v>
      </c>
      <c r="K879" s="1096"/>
      <c r="L879" s="1096"/>
      <c r="M879" s="1096"/>
      <c r="N879" s="1096"/>
      <c r="O879" s="1096"/>
      <c r="P879" s="1114">
        <v>309.8</v>
      </c>
      <c r="Q879" s="1096" t="s">
        <v>1734</v>
      </c>
      <c r="R879" s="1114">
        <v>311.60000000000002</v>
      </c>
      <c r="S879" s="1096" t="s">
        <v>1734</v>
      </c>
      <c r="T879" s="1114">
        <v>500.1</v>
      </c>
      <c r="U879" s="1096" t="s">
        <v>1734</v>
      </c>
      <c r="V879" s="1114">
        <v>348</v>
      </c>
      <c r="W879" s="1096" t="s">
        <v>1734</v>
      </c>
      <c r="X879" s="1114">
        <v>265.2</v>
      </c>
      <c r="Y879" s="1096" t="s">
        <v>1734</v>
      </c>
      <c r="Z879" s="1114">
        <v>242.5</v>
      </c>
      <c r="AA879" s="1096"/>
      <c r="AB879" s="1096"/>
      <c r="AC879" s="1096"/>
      <c r="AD879" s="1096"/>
      <c r="AE879" s="1096"/>
      <c r="AF879" s="1096"/>
      <c r="AG879" s="1096"/>
      <c r="AH879" s="1096"/>
      <c r="AI879" s="1096"/>
      <c r="AJ879" s="1096"/>
      <c r="AK879" s="1096"/>
      <c r="AL879" s="1096"/>
      <c r="AM879" s="1096"/>
      <c r="AN879" s="1096"/>
      <c r="AO879" s="1096"/>
      <c r="AP879" s="1096"/>
      <c r="AQ879" s="1096"/>
      <c r="AR879" s="1096"/>
      <c r="AS879" s="1096"/>
      <c r="AT879" s="1096"/>
      <c r="AU879" s="1096"/>
      <c r="AV879" s="1096"/>
      <c r="AW879" s="1096"/>
      <c r="AX879" s="1096"/>
      <c r="AY879" s="1096"/>
    </row>
    <row r="880" spans="1:51" x14ac:dyDescent="0.45">
      <c r="A880" s="1115">
        <v>2012</v>
      </c>
      <c r="B880" s="1096" t="s">
        <v>1393</v>
      </c>
      <c r="C880" s="1112">
        <f>[6]ONS!Z880</f>
        <v>242.4</v>
      </c>
      <c r="D880" s="1112">
        <f>[6]ONS!P880</f>
        <v>308.60000000000002</v>
      </c>
      <c r="E880" s="1096"/>
      <c r="F880" s="1114">
        <f t="shared" si="38"/>
        <v>127.31023102310233</v>
      </c>
      <c r="G880" s="1112">
        <f t="shared" si="34"/>
        <v>125.90759075907589</v>
      </c>
      <c r="H880" s="1112">
        <f t="shared" si="35"/>
        <v>196.53465346534654</v>
      </c>
      <c r="I880" s="1112">
        <f t="shared" si="36"/>
        <v>143.56435643564356</v>
      </c>
      <c r="J880" s="1112">
        <f t="shared" si="37"/>
        <v>109.32343234323432</v>
      </c>
      <c r="K880" s="1096"/>
      <c r="L880" s="1096"/>
      <c r="M880" s="1096"/>
      <c r="N880" s="1096"/>
      <c r="O880" s="1096"/>
      <c r="P880" s="1114">
        <v>308.60000000000002</v>
      </c>
      <c r="Q880" s="1096" t="s">
        <v>1735</v>
      </c>
      <c r="R880" s="1114">
        <v>305.2</v>
      </c>
      <c r="S880" s="1096" t="s">
        <v>1735</v>
      </c>
      <c r="T880" s="1114">
        <v>476.4</v>
      </c>
      <c r="U880" s="1096" t="s">
        <v>1735</v>
      </c>
      <c r="V880" s="1114">
        <v>348</v>
      </c>
      <c r="W880" s="1096" t="s">
        <v>1735</v>
      </c>
      <c r="X880" s="1114">
        <v>265</v>
      </c>
      <c r="Y880" s="1096" t="s">
        <v>1735</v>
      </c>
      <c r="Z880" s="1114">
        <v>242.4</v>
      </c>
      <c r="AA880" s="1096"/>
      <c r="AB880" s="1096"/>
      <c r="AC880" s="1096"/>
      <c r="AD880" s="1096"/>
      <c r="AE880" s="1096"/>
      <c r="AF880" s="1096"/>
      <c r="AG880" s="1096"/>
      <c r="AH880" s="1096"/>
      <c r="AI880" s="1096"/>
      <c r="AJ880" s="1096"/>
      <c r="AK880" s="1096"/>
      <c r="AL880" s="1096"/>
      <c r="AM880" s="1096"/>
      <c r="AN880" s="1096"/>
      <c r="AO880" s="1096"/>
      <c r="AP880" s="1096"/>
      <c r="AQ880" s="1096"/>
      <c r="AR880" s="1096"/>
      <c r="AS880" s="1096"/>
      <c r="AT880" s="1096"/>
      <c r="AU880" s="1096"/>
      <c r="AV880" s="1096"/>
      <c r="AW880" s="1096"/>
      <c r="AX880" s="1096"/>
      <c r="AY880" s="1096"/>
    </row>
    <row r="881" spans="1:51" x14ac:dyDescent="0.45">
      <c r="A881" s="1115">
        <v>2012</v>
      </c>
      <c r="B881" s="1096" t="s">
        <v>1371</v>
      </c>
      <c r="C881" s="1112">
        <f>[6]ONS!Z881</f>
        <v>241.8</v>
      </c>
      <c r="D881" s="1112">
        <f>[6]ONS!P881</f>
        <v>307.2</v>
      </c>
      <c r="E881" s="1096"/>
      <c r="F881" s="1114">
        <f t="shared" si="38"/>
        <v>127.04714640198512</v>
      </c>
      <c r="G881" s="1112">
        <f t="shared" si="34"/>
        <v>125.18610421836227</v>
      </c>
      <c r="H881" s="1112">
        <f t="shared" si="35"/>
        <v>184.16046319272127</v>
      </c>
      <c r="I881" s="1112">
        <f t="shared" si="36"/>
        <v>143.92059553349876</v>
      </c>
      <c r="J881" s="1112">
        <f t="shared" si="37"/>
        <v>109.59470636889992</v>
      </c>
      <c r="K881" s="1096"/>
      <c r="L881" s="1096"/>
      <c r="M881" s="1096"/>
      <c r="N881" s="1096"/>
      <c r="O881" s="1096"/>
      <c r="P881" s="1114">
        <v>307.2</v>
      </c>
      <c r="Q881" s="1096" t="s">
        <v>1736</v>
      </c>
      <c r="R881" s="1114">
        <v>302.7</v>
      </c>
      <c r="S881" s="1096" t="s">
        <v>1736</v>
      </c>
      <c r="T881" s="1114">
        <v>445.3</v>
      </c>
      <c r="U881" s="1096" t="s">
        <v>1736</v>
      </c>
      <c r="V881" s="1114">
        <v>348</v>
      </c>
      <c r="W881" s="1096" t="s">
        <v>1736</v>
      </c>
      <c r="X881" s="1114">
        <v>265</v>
      </c>
      <c r="Y881" s="1096" t="s">
        <v>1736</v>
      </c>
      <c r="Z881" s="1114">
        <v>241.8</v>
      </c>
      <c r="AA881" s="1096"/>
      <c r="AB881" s="1096"/>
      <c r="AC881" s="1096"/>
      <c r="AD881" s="1096"/>
      <c r="AE881" s="1096"/>
      <c r="AF881" s="1096"/>
      <c r="AG881" s="1096"/>
      <c r="AH881" s="1096"/>
      <c r="AI881" s="1096"/>
      <c r="AJ881" s="1096"/>
      <c r="AK881" s="1096"/>
      <c r="AL881" s="1096"/>
      <c r="AM881" s="1096"/>
      <c r="AN881" s="1096"/>
      <c r="AO881" s="1096"/>
      <c r="AP881" s="1096"/>
      <c r="AQ881" s="1096"/>
      <c r="AR881" s="1096"/>
      <c r="AS881" s="1096"/>
      <c r="AT881" s="1096"/>
      <c r="AU881" s="1096"/>
      <c r="AV881" s="1096"/>
      <c r="AW881" s="1096"/>
      <c r="AX881" s="1096"/>
      <c r="AY881" s="1096"/>
    </row>
    <row r="882" spans="1:51" x14ac:dyDescent="0.45">
      <c r="A882" s="1115">
        <v>2012</v>
      </c>
      <c r="B882" s="1096" t="s">
        <v>1373</v>
      </c>
      <c r="C882" s="1112">
        <f>[6]ONS!Z882</f>
        <v>242.1</v>
      </c>
      <c r="D882" s="1112">
        <f>[6]ONS!P882</f>
        <v>307.60000000000002</v>
      </c>
      <c r="E882" s="1096"/>
      <c r="F882" s="1114">
        <f t="shared" si="38"/>
        <v>127.05493597686907</v>
      </c>
      <c r="G882" s="1112">
        <f t="shared" si="34"/>
        <v>125.32011565468815</v>
      </c>
      <c r="H882" s="1112">
        <f t="shared" si="35"/>
        <v>187.64973151590252</v>
      </c>
      <c r="I882" s="1112">
        <f t="shared" si="36"/>
        <v>143.74225526641885</v>
      </c>
      <c r="J882" s="1112">
        <f t="shared" si="37"/>
        <v>109.45890128046263</v>
      </c>
      <c r="K882" s="1096"/>
      <c r="L882" s="1096"/>
      <c r="M882" s="1096"/>
      <c r="N882" s="1096"/>
      <c r="O882" s="1096"/>
      <c r="P882" s="1114">
        <v>307.60000000000002</v>
      </c>
      <c r="Q882" s="1096" t="s">
        <v>1737</v>
      </c>
      <c r="R882" s="1114">
        <v>303.39999999999998</v>
      </c>
      <c r="S882" s="1096" t="s">
        <v>1737</v>
      </c>
      <c r="T882" s="1114">
        <v>454.3</v>
      </c>
      <c r="U882" s="1096" t="s">
        <v>1737</v>
      </c>
      <c r="V882" s="1114">
        <v>348</v>
      </c>
      <c r="W882" s="1096" t="s">
        <v>1737</v>
      </c>
      <c r="X882" s="1114">
        <v>265</v>
      </c>
      <c r="Y882" s="1096" t="s">
        <v>1737</v>
      </c>
      <c r="Z882" s="1114">
        <v>242.1</v>
      </c>
      <c r="AA882" s="1096"/>
      <c r="AB882" s="1096"/>
      <c r="AC882" s="1096"/>
      <c r="AD882" s="1096"/>
      <c r="AE882" s="1096"/>
      <c r="AF882" s="1096"/>
      <c r="AG882" s="1096"/>
      <c r="AH882" s="1096"/>
      <c r="AI882" s="1096"/>
      <c r="AJ882" s="1096"/>
      <c r="AK882" s="1096"/>
      <c r="AL882" s="1096"/>
      <c r="AM882" s="1096"/>
      <c r="AN882" s="1096"/>
      <c r="AO882" s="1096"/>
      <c r="AP882" s="1096"/>
      <c r="AQ882" s="1096"/>
      <c r="AR882" s="1096"/>
      <c r="AS882" s="1096"/>
      <c r="AT882" s="1096"/>
      <c r="AU882" s="1096"/>
      <c r="AV882" s="1096"/>
      <c r="AW882" s="1096"/>
      <c r="AX882" s="1096"/>
      <c r="AY882" s="1096"/>
    </row>
    <row r="883" spans="1:51" x14ac:dyDescent="0.45">
      <c r="A883" s="1115">
        <v>2012</v>
      </c>
      <c r="B883" s="1096" t="s">
        <v>1375</v>
      </c>
      <c r="C883" s="1112">
        <f>[6]ONS!Z883</f>
        <v>243</v>
      </c>
      <c r="D883" s="1112">
        <f>[6]ONS!P883</f>
        <v>308.7</v>
      </c>
      <c r="E883" s="1096"/>
      <c r="F883" s="1114">
        <f t="shared" si="38"/>
        <v>127.03703703703704</v>
      </c>
      <c r="G883" s="1112">
        <f t="shared" si="34"/>
        <v>124.85596707818929</v>
      </c>
      <c r="H883" s="1112">
        <f t="shared" si="35"/>
        <v>198.06584362139918</v>
      </c>
      <c r="I883" s="1112">
        <f t="shared" si="36"/>
        <v>143.20987654320987</v>
      </c>
      <c r="J883" s="1112">
        <f t="shared" si="37"/>
        <v>109.05349794238684</v>
      </c>
      <c r="K883" s="1096"/>
      <c r="L883" s="1096"/>
      <c r="M883" s="1096"/>
      <c r="N883" s="1096"/>
      <c r="O883" s="1096"/>
      <c r="P883" s="1114">
        <v>308.7</v>
      </c>
      <c r="Q883" s="1096" t="s">
        <v>1738</v>
      </c>
      <c r="R883" s="1114">
        <v>303.39999999999998</v>
      </c>
      <c r="S883" s="1096" t="s">
        <v>1738</v>
      </c>
      <c r="T883" s="1114">
        <v>481.3</v>
      </c>
      <c r="U883" s="1096" t="s">
        <v>1738</v>
      </c>
      <c r="V883" s="1114">
        <v>348</v>
      </c>
      <c r="W883" s="1096" t="s">
        <v>1738</v>
      </c>
      <c r="X883" s="1114">
        <v>265</v>
      </c>
      <c r="Y883" s="1096" t="s">
        <v>1738</v>
      </c>
      <c r="Z883" s="1114">
        <v>243</v>
      </c>
      <c r="AA883" s="1096"/>
      <c r="AB883" s="1096"/>
      <c r="AC883" s="1096"/>
      <c r="AD883" s="1096"/>
      <c r="AE883" s="1096"/>
      <c r="AF883" s="1096"/>
      <c r="AG883" s="1096"/>
      <c r="AH883" s="1096"/>
      <c r="AI883" s="1096"/>
      <c r="AJ883" s="1096"/>
      <c r="AK883" s="1096"/>
      <c r="AL883" s="1096"/>
      <c r="AM883" s="1096"/>
      <c r="AN883" s="1096"/>
      <c r="AO883" s="1096"/>
      <c r="AP883" s="1096"/>
      <c r="AQ883" s="1096"/>
      <c r="AR883" s="1096"/>
      <c r="AS883" s="1096"/>
      <c r="AT883" s="1096"/>
      <c r="AU883" s="1096"/>
      <c r="AV883" s="1096"/>
      <c r="AW883" s="1096"/>
      <c r="AX883" s="1096"/>
      <c r="AY883" s="1096"/>
    </row>
    <row r="884" spans="1:51" x14ac:dyDescent="0.45">
      <c r="A884" s="1115">
        <v>2012</v>
      </c>
      <c r="B884" s="1096" t="s">
        <v>1377</v>
      </c>
      <c r="C884" s="1112">
        <f>[6]ONS!Z884</f>
        <v>244.2</v>
      </c>
      <c r="D884" s="1112">
        <f>[6]ONS!P884</f>
        <v>309.2</v>
      </c>
      <c r="E884" s="1096"/>
      <c r="F884" s="1114">
        <f t="shared" si="38"/>
        <v>126.61752661752661</v>
      </c>
      <c r="G884" s="1112">
        <f t="shared" si="34"/>
        <v>124.65192465192465</v>
      </c>
      <c r="H884" s="1112">
        <f t="shared" si="35"/>
        <v>201.76085176085175</v>
      </c>
      <c r="I884" s="1112">
        <f t="shared" si="36"/>
        <v>142.50614250614251</v>
      </c>
      <c r="J884" s="1112">
        <f t="shared" si="37"/>
        <v>108.51760851760852</v>
      </c>
      <c r="K884" s="1096"/>
      <c r="L884" s="1096"/>
      <c r="M884" s="1096"/>
      <c r="N884" s="1096"/>
      <c r="O884" s="1096"/>
      <c r="P884" s="1114">
        <v>309.2</v>
      </c>
      <c r="Q884" s="1096" t="s">
        <v>1739</v>
      </c>
      <c r="R884" s="1114">
        <v>304.39999999999998</v>
      </c>
      <c r="S884" s="1096" t="s">
        <v>1739</v>
      </c>
      <c r="T884" s="1114">
        <v>492.7</v>
      </c>
      <c r="U884" s="1096" t="s">
        <v>1739</v>
      </c>
      <c r="V884" s="1114">
        <v>348</v>
      </c>
      <c r="W884" s="1096" t="s">
        <v>1739</v>
      </c>
      <c r="X884" s="1114">
        <v>265</v>
      </c>
      <c r="Y884" s="1096" t="s">
        <v>1739</v>
      </c>
      <c r="Z884" s="1114">
        <v>244.2</v>
      </c>
      <c r="AA884" s="1096"/>
      <c r="AB884" s="1096"/>
      <c r="AC884" s="1096"/>
      <c r="AD884" s="1096"/>
      <c r="AE884" s="1096"/>
      <c r="AF884" s="1096"/>
      <c r="AG884" s="1096"/>
      <c r="AH884" s="1096"/>
      <c r="AI884" s="1096"/>
      <c r="AJ884" s="1096"/>
      <c r="AK884" s="1096"/>
      <c r="AL884" s="1096"/>
      <c r="AM884" s="1096"/>
      <c r="AN884" s="1096"/>
      <c r="AO884" s="1096"/>
      <c r="AP884" s="1096"/>
      <c r="AQ884" s="1096"/>
      <c r="AR884" s="1096"/>
      <c r="AS884" s="1096"/>
      <c r="AT884" s="1096"/>
      <c r="AU884" s="1096"/>
      <c r="AV884" s="1096"/>
      <c r="AW884" s="1096"/>
      <c r="AX884" s="1096"/>
      <c r="AY884" s="1096"/>
    </row>
    <row r="885" spans="1:51" x14ac:dyDescent="0.45">
      <c r="A885" s="1115">
        <v>2012</v>
      </c>
      <c r="B885" s="1096" t="s">
        <v>1379</v>
      </c>
      <c r="C885" s="1112">
        <f>[6]ONS!Z885</f>
        <v>245.6</v>
      </c>
      <c r="D885" s="1112">
        <f>[6]ONS!P885</f>
        <v>308.8</v>
      </c>
      <c r="E885" s="1096"/>
      <c r="F885" s="1114">
        <f t="shared" si="38"/>
        <v>125.73289902280132</v>
      </c>
      <c r="G885" s="1112">
        <f t="shared" si="34"/>
        <v>125</v>
      </c>
      <c r="H885" s="1112">
        <f t="shared" si="35"/>
        <v>202.48371335504888</v>
      </c>
      <c r="I885" s="1112">
        <f t="shared" si="36"/>
        <v>141.69381107491856</v>
      </c>
      <c r="J885" s="1112">
        <f t="shared" si="37"/>
        <v>107.41042345276874</v>
      </c>
      <c r="K885" s="1096"/>
      <c r="L885" s="1096"/>
      <c r="M885" s="1096"/>
      <c r="N885" s="1096"/>
      <c r="O885" s="1096"/>
      <c r="P885" s="1114">
        <v>308.8</v>
      </c>
      <c r="Q885" s="1096" t="s">
        <v>1740</v>
      </c>
      <c r="R885" s="1114">
        <v>307</v>
      </c>
      <c r="S885" s="1096" t="s">
        <v>1740</v>
      </c>
      <c r="T885" s="1114">
        <v>497.3</v>
      </c>
      <c r="U885" s="1096" t="s">
        <v>1740</v>
      </c>
      <c r="V885" s="1114">
        <v>348</v>
      </c>
      <c r="W885" s="1096" t="s">
        <v>1740</v>
      </c>
      <c r="X885" s="1114">
        <v>263.8</v>
      </c>
      <c r="Y885" s="1096" t="s">
        <v>1740</v>
      </c>
      <c r="Z885" s="1114">
        <v>245.6</v>
      </c>
      <c r="AA885" s="1096"/>
      <c r="AB885" s="1096"/>
      <c r="AC885" s="1096"/>
      <c r="AD885" s="1096"/>
      <c r="AE885" s="1096"/>
      <c r="AF885" s="1096"/>
      <c r="AG885" s="1096"/>
      <c r="AH885" s="1096"/>
      <c r="AI885" s="1096"/>
      <c r="AJ885" s="1096"/>
      <c r="AK885" s="1096"/>
      <c r="AL885" s="1096"/>
      <c r="AM885" s="1096"/>
      <c r="AN885" s="1096"/>
      <c r="AO885" s="1096"/>
      <c r="AP885" s="1096"/>
      <c r="AQ885" s="1096"/>
      <c r="AR885" s="1096"/>
      <c r="AS885" s="1096"/>
      <c r="AT885" s="1096"/>
      <c r="AU885" s="1096"/>
      <c r="AV885" s="1096"/>
      <c r="AW885" s="1096"/>
      <c r="AX885" s="1096"/>
      <c r="AY885" s="1096"/>
    </row>
    <row r="886" spans="1:51" x14ac:dyDescent="0.45">
      <c r="A886" s="1115">
        <v>2012</v>
      </c>
      <c r="B886" s="1096" t="s">
        <v>1381</v>
      </c>
      <c r="C886" s="1112">
        <f>[6]ONS!Z886</f>
        <v>245.6</v>
      </c>
      <c r="D886" s="1112">
        <f>[6]ONS!P886</f>
        <v>313.7</v>
      </c>
      <c r="E886" s="1096"/>
      <c r="F886" s="1114">
        <f t="shared" si="38"/>
        <v>127.72801302931596</v>
      </c>
      <c r="G886" s="1112">
        <f t="shared" si="34"/>
        <v>125.48859934853421</v>
      </c>
      <c r="H886" s="1112">
        <f t="shared" si="35"/>
        <v>198.53420195439742</v>
      </c>
      <c r="I886" s="1112">
        <f t="shared" si="36"/>
        <v>144.38110749185668</v>
      </c>
      <c r="J886" s="1112">
        <f t="shared" si="37"/>
        <v>109.36482084690556</v>
      </c>
      <c r="K886" s="1096"/>
      <c r="L886" s="1096"/>
      <c r="M886" s="1096"/>
      <c r="N886" s="1096"/>
      <c r="O886" s="1096"/>
      <c r="P886" s="1114">
        <v>313.7</v>
      </c>
      <c r="Q886" s="1096" t="s">
        <v>1741</v>
      </c>
      <c r="R886" s="1114">
        <v>308.2</v>
      </c>
      <c r="S886" s="1096" t="s">
        <v>1741</v>
      </c>
      <c r="T886" s="1114">
        <v>487.6</v>
      </c>
      <c r="U886" s="1096" t="s">
        <v>1741</v>
      </c>
      <c r="V886" s="1114">
        <v>354.6</v>
      </c>
      <c r="W886" s="1096" t="s">
        <v>1741</v>
      </c>
      <c r="X886" s="1114">
        <v>268.60000000000002</v>
      </c>
      <c r="Y886" s="1096" t="s">
        <v>1741</v>
      </c>
      <c r="Z886" s="1114">
        <v>245.6</v>
      </c>
      <c r="AA886" s="1096"/>
      <c r="AB886" s="1096"/>
      <c r="AC886" s="1096"/>
      <c r="AD886" s="1096"/>
      <c r="AE886" s="1096"/>
      <c r="AF886" s="1096"/>
      <c r="AG886" s="1096"/>
      <c r="AH886" s="1096"/>
      <c r="AI886" s="1096"/>
      <c r="AJ886" s="1096"/>
      <c r="AK886" s="1096"/>
      <c r="AL886" s="1096"/>
      <c r="AM886" s="1096"/>
      <c r="AN886" s="1096"/>
      <c r="AO886" s="1096"/>
      <c r="AP886" s="1096"/>
      <c r="AQ886" s="1096"/>
      <c r="AR886" s="1096"/>
      <c r="AS886" s="1096"/>
      <c r="AT886" s="1096"/>
      <c r="AU886" s="1096"/>
      <c r="AV886" s="1096"/>
      <c r="AW886" s="1096"/>
      <c r="AX886" s="1096"/>
      <c r="AY886" s="1096"/>
    </row>
    <row r="887" spans="1:51" x14ac:dyDescent="0.45">
      <c r="A887" s="1115">
        <v>2012</v>
      </c>
      <c r="B887" s="1096" t="s">
        <v>1383</v>
      </c>
      <c r="C887" s="1112">
        <f>[6]ONS!Z887</f>
        <v>246.8</v>
      </c>
      <c r="D887" s="1112">
        <f>[6]ONS!P887</f>
        <v>329.6</v>
      </c>
      <c r="E887" s="1096"/>
      <c r="F887" s="1114">
        <f t="shared" si="38"/>
        <v>133.54943273905997</v>
      </c>
      <c r="G887" s="1112">
        <f t="shared" si="34"/>
        <v>125.52674230145865</v>
      </c>
      <c r="H887" s="1112">
        <f t="shared" si="35"/>
        <v>206.28038897893032</v>
      </c>
      <c r="I887" s="1112">
        <f t="shared" si="36"/>
        <v>151.45867098865477</v>
      </c>
      <c r="J887" s="1112">
        <f t="shared" si="37"/>
        <v>114.30307941653162</v>
      </c>
      <c r="K887" s="1096"/>
      <c r="L887" s="1096"/>
      <c r="M887" s="1096"/>
      <c r="N887" s="1096"/>
      <c r="O887" s="1096"/>
      <c r="P887" s="1114">
        <v>329.6</v>
      </c>
      <c r="Q887" s="1096" t="s">
        <v>1742</v>
      </c>
      <c r="R887" s="1114">
        <v>309.8</v>
      </c>
      <c r="S887" s="1096" t="s">
        <v>1742</v>
      </c>
      <c r="T887" s="1114">
        <v>509.1</v>
      </c>
      <c r="U887" s="1096" t="s">
        <v>1742</v>
      </c>
      <c r="V887" s="1114">
        <v>373.8</v>
      </c>
      <c r="W887" s="1096" t="s">
        <v>1742</v>
      </c>
      <c r="X887" s="1114">
        <v>282.10000000000002</v>
      </c>
      <c r="Y887" s="1096" t="s">
        <v>1742</v>
      </c>
      <c r="Z887" s="1114">
        <v>246.8</v>
      </c>
      <c r="AA887" s="1096"/>
      <c r="AB887" s="1096"/>
      <c r="AC887" s="1096"/>
      <c r="AD887" s="1096"/>
      <c r="AE887" s="1096"/>
      <c r="AF887" s="1096"/>
      <c r="AG887" s="1096"/>
      <c r="AH887" s="1096"/>
      <c r="AI887" s="1096"/>
      <c r="AJ887" s="1096"/>
      <c r="AK887" s="1096"/>
      <c r="AL887" s="1096"/>
      <c r="AM887" s="1096"/>
      <c r="AN887" s="1096"/>
      <c r="AO887" s="1096"/>
      <c r="AP887" s="1096"/>
      <c r="AQ887" s="1096"/>
      <c r="AR887" s="1096"/>
      <c r="AS887" s="1096"/>
      <c r="AT887" s="1096"/>
      <c r="AU887" s="1096"/>
      <c r="AV887" s="1096"/>
      <c r="AW887" s="1096"/>
      <c r="AX887" s="1096"/>
      <c r="AY887" s="1096"/>
    </row>
    <row r="888" spans="1:51" x14ac:dyDescent="0.45">
      <c r="A888" s="1115">
        <v>2013</v>
      </c>
      <c r="B888" s="1096" t="s">
        <v>1385</v>
      </c>
      <c r="C888" s="1112">
        <f>[6]ONS!Z888</f>
        <v>245.8</v>
      </c>
      <c r="D888" s="1112">
        <f>[6]ONS!P888</f>
        <v>329.2</v>
      </c>
      <c r="E888" s="1096"/>
      <c r="F888" s="1114">
        <f t="shared" si="38"/>
        <v>133.93002441008949</v>
      </c>
      <c r="G888" s="1112">
        <f t="shared" si="34"/>
        <v>126.15947925142392</v>
      </c>
      <c r="H888" s="1112">
        <f t="shared" si="35"/>
        <v>203.21399511798211</v>
      </c>
      <c r="I888" s="1112">
        <f t="shared" si="36"/>
        <v>152.07485760781123</v>
      </c>
      <c r="J888" s="1112">
        <f t="shared" si="37"/>
        <v>114.76810414971521</v>
      </c>
      <c r="K888" s="1096"/>
      <c r="L888" s="1096"/>
      <c r="M888" s="1096"/>
      <c r="N888" s="1096"/>
      <c r="O888" s="1096"/>
      <c r="P888" s="1114">
        <v>329.2</v>
      </c>
      <c r="Q888" s="1096" t="s">
        <v>1743</v>
      </c>
      <c r="R888" s="1114">
        <v>310.10000000000002</v>
      </c>
      <c r="S888" s="1096" t="s">
        <v>1743</v>
      </c>
      <c r="T888" s="1114">
        <v>499.5</v>
      </c>
      <c r="U888" s="1096" t="s">
        <v>1743</v>
      </c>
      <c r="V888" s="1114">
        <v>373.8</v>
      </c>
      <c r="W888" s="1096" t="s">
        <v>1743</v>
      </c>
      <c r="X888" s="1114">
        <v>282.10000000000002</v>
      </c>
      <c r="Y888" s="1096" t="s">
        <v>1743</v>
      </c>
      <c r="Z888" s="1114">
        <v>245.8</v>
      </c>
      <c r="AA888" s="1096"/>
      <c r="AB888" s="1096"/>
      <c r="AC888" s="1096"/>
      <c r="AD888" s="1096"/>
      <c r="AE888" s="1096"/>
      <c r="AF888" s="1096"/>
      <c r="AG888" s="1096"/>
      <c r="AH888" s="1096"/>
      <c r="AI888" s="1096"/>
      <c r="AJ888" s="1096"/>
      <c r="AK888" s="1096"/>
      <c r="AL888" s="1096"/>
      <c r="AM888" s="1096"/>
      <c r="AN888" s="1096"/>
      <c r="AO888" s="1096"/>
      <c r="AP888" s="1096"/>
      <c r="AQ888" s="1096"/>
      <c r="AR888" s="1096"/>
      <c r="AS888" s="1096"/>
      <c r="AT888" s="1096"/>
      <c r="AU888" s="1096"/>
      <c r="AV888" s="1096"/>
      <c r="AW888" s="1096"/>
      <c r="AX888" s="1096"/>
      <c r="AY888" s="1096"/>
    </row>
    <row r="889" spans="1:51" x14ac:dyDescent="0.45">
      <c r="A889" s="1115">
        <v>2013</v>
      </c>
      <c r="B889" s="1096" t="s">
        <v>1387</v>
      </c>
      <c r="C889" s="1112">
        <f>[6]ONS!Z889</f>
        <v>247.6</v>
      </c>
      <c r="D889" s="1112">
        <f>[6]ONS!P889</f>
        <v>333.7</v>
      </c>
      <c r="E889" s="1096"/>
      <c r="F889" s="1114">
        <f t="shared" si="38"/>
        <v>134.77382875605818</v>
      </c>
      <c r="G889" s="1112">
        <f t="shared" si="34"/>
        <v>125.56542810985461</v>
      </c>
      <c r="H889" s="1112">
        <f t="shared" si="35"/>
        <v>212.64135702746367</v>
      </c>
      <c r="I889" s="1112">
        <f t="shared" si="36"/>
        <v>152.50403877221325</v>
      </c>
      <c r="J889" s="1112">
        <f t="shared" si="37"/>
        <v>115.26655896607431</v>
      </c>
      <c r="K889" s="1096"/>
      <c r="L889" s="1096"/>
      <c r="M889" s="1096"/>
      <c r="N889" s="1096"/>
      <c r="O889" s="1096"/>
      <c r="P889" s="1114">
        <v>333.7</v>
      </c>
      <c r="Q889" s="1096" t="s">
        <v>1744</v>
      </c>
      <c r="R889" s="1114">
        <v>310.89999999999998</v>
      </c>
      <c r="S889" s="1096" t="s">
        <v>1744</v>
      </c>
      <c r="T889" s="1114">
        <v>526.5</v>
      </c>
      <c r="U889" s="1096" t="s">
        <v>1744</v>
      </c>
      <c r="V889" s="1114">
        <v>377.6</v>
      </c>
      <c r="W889" s="1096" t="s">
        <v>1744</v>
      </c>
      <c r="X889" s="1114">
        <v>285.39999999999998</v>
      </c>
      <c r="Y889" s="1096" t="s">
        <v>1744</v>
      </c>
      <c r="Z889" s="1114">
        <v>247.6</v>
      </c>
      <c r="AA889" s="1096"/>
      <c r="AB889" s="1096"/>
      <c r="AC889" s="1096"/>
      <c r="AD889" s="1096"/>
      <c r="AE889" s="1096"/>
      <c r="AF889" s="1096"/>
      <c r="AG889" s="1096"/>
      <c r="AH889" s="1096"/>
      <c r="AI889" s="1096"/>
      <c r="AJ889" s="1096"/>
      <c r="AK889" s="1096"/>
      <c r="AL889" s="1096"/>
      <c r="AM889" s="1096"/>
      <c r="AN889" s="1096"/>
      <c r="AO889" s="1096"/>
      <c r="AP889" s="1096"/>
      <c r="AQ889" s="1096"/>
      <c r="AR889" s="1096"/>
      <c r="AS889" s="1096"/>
      <c r="AT889" s="1096"/>
      <c r="AU889" s="1096"/>
      <c r="AV889" s="1096"/>
      <c r="AW889" s="1096"/>
      <c r="AX889" s="1096"/>
      <c r="AY889" s="1096"/>
    </row>
    <row r="890" spans="1:51" x14ac:dyDescent="0.45">
      <c r="A890" s="1115">
        <v>2013</v>
      </c>
      <c r="B890" s="1096" t="s">
        <v>1389</v>
      </c>
      <c r="C890" s="1112">
        <f>[6]ONS!Z890</f>
        <v>248.7</v>
      </c>
      <c r="D890" s="1112">
        <f>[6]ONS!P890</f>
        <v>333.4</v>
      </c>
      <c r="E890" s="1096"/>
      <c r="F890" s="1114">
        <f t="shared" si="38"/>
        <v>134.05709690390029</v>
      </c>
      <c r="G890" s="1112">
        <f t="shared" si="34"/>
        <v>124.40691596300763</v>
      </c>
      <c r="H890" s="1112">
        <f t="shared" si="35"/>
        <v>209.52955367913151</v>
      </c>
      <c r="I890" s="1112">
        <f t="shared" si="36"/>
        <v>151.82951347004425</v>
      </c>
      <c r="J890" s="1112">
        <f t="shared" si="37"/>
        <v>114.75673502211498</v>
      </c>
      <c r="K890" s="1096"/>
      <c r="L890" s="1096"/>
      <c r="M890" s="1096"/>
      <c r="N890" s="1096"/>
      <c r="O890" s="1096"/>
      <c r="P890" s="1114">
        <v>333.4</v>
      </c>
      <c r="Q890" s="1096" t="s">
        <v>1745</v>
      </c>
      <c r="R890" s="1114">
        <v>309.39999999999998</v>
      </c>
      <c r="S890" s="1096" t="s">
        <v>1745</v>
      </c>
      <c r="T890" s="1114">
        <v>521.1</v>
      </c>
      <c r="U890" s="1096" t="s">
        <v>1745</v>
      </c>
      <c r="V890" s="1114">
        <v>377.6</v>
      </c>
      <c r="W890" s="1096" t="s">
        <v>1745</v>
      </c>
      <c r="X890" s="1114">
        <v>285.39999999999998</v>
      </c>
      <c r="Y890" s="1096" t="s">
        <v>1745</v>
      </c>
      <c r="Z890" s="1114">
        <v>248.7</v>
      </c>
      <c r="AA890" s="1096"/>
      <c r="AB890" s="1096"/>
      <c r="AC890" s="1096"/>
      <c r="AD890" s="1096"/>
      <c r="AE890" s="1096"/>
      <c r="AF890" s="1096"/>
      <c r="AG890" s="1096"/>
      <c r="AH890" s="1096"/>
      <c r="AI890" s="1096"/>
      <c r="AJ890" s="1096"/>
      <c r="AK890" s="1096"/>
      <c r="AL890" s="1096"/>
      <c r="AM890" s="1096"/>
      <c r="AN890" s="1096"/>
      <c r="AO890" s="1096"/>
      <c r="AP890" s="1096"/>
      <c r="AQ890" s="1096"/>
      <c r="AR890" s="1096"/>
      <c r="AS890" s="1096"/>
      <c r="AT890" s="1096"/>
      <c r="AU890" s="1096"/>
      <c r="AV890" s="1096"/>
      <c r="AW890" s="1096"/>
      <c r="AX890" s="1096"/>
      <c r="AY890" s="1096"/>
    </row>
    <row r="891" spans="1:51" x14ac:dyDescent="0.45">
      <c r="A891" s="1115">
        <v>2013</v>
      </c>
      <c r="B891" s="1096" t="s">
        <v>1391</v>
      </c>
      <c r="C891" s="1112">
        <f>[6]ONS!Z891</f>
        <v>249.5</v>
      </c>
      <c r="D891" s="1112">
        <f>[6]ONS!P891</f>
        <v>332.3</v>
      </c>
      <c r="E891" s="1096"/>
      <c r="F891" s="1114">
        <f t="shared" si="38"/>
        <v>133.18637274549098</v>
      </c>
      <c r="G891" s="1112">
        <f t="shared" si="34"/>
        <v>123.88777555110222</v>
      </c>
      <c r="H891" s="1112">
        <f t="shared" si="35"/>
        <v>199.27855711422845</v>
      </c>
      <c r="I891" s="1112">
        <f t="shared" si="36"/>
        <v>151.34268537074149</v>
      </c>
      <c r="J891" s="1112">
        <f t="shared" si="37"/>
        <v>114.38877755511021</v>
      </c>
      <c r="K891" s="1096"/>
      <c r="L891" s="1096"/>
      <c r="M891" s="1096"/>
      <c r="N891" s="1096"/>
      <c r="O891" s="1096"/>
      <c r="P891" s="1114">
        <v>332.3</v>
      </c>
      <c r="Q891" s="1096" t="s">
        <v>1746</v>
      </c>
      <c r="R891" s="1114">
        <v>309.10000000000002</v>
      </c>
      <c r="S891" s="1096" t="s">
        <v>1746</v>
      </c>
      <c r="T891" s="1114">
        <v>497.2</v>
      </c>
      <c r="U891" s="1096" t="s">
        <v>1746</v>
      </c>
      <c r="V891" s="1114">
        <v>377.6</v>
      </c>
      <c r="W891" s="1096" t="s">
        <v>1746</v>
      </c>
      <c r="X891" s="1114">
        <v>285.39999999999998</v>
      </c>
      <c r="Y891" s="1096" t="s">
        <v>1746</v>
      </c>
      <c r="Z891" s="1114">
        <v>249.5</v>
      </c>
      <c r="AA891" s="1096"/>
      <c r="AB891" s="1096"/>
      <c r="AC891" s="1096"/>
      <c r="AD891" s="1096"/>
      <c r="AE891" s="1096"/>
      <c r="AF891" s="1096"/>
      <c r="AG891" s="1096"/>
      <c r="AH891" s="1096"/>
      <c r="AI891" s="1096"/>
      <c r="AJ891" s="1096"/>
      <c r="AK891" s="1096"/>
      <c r="AL891" s="1096"/>
      <c r="AM891" s="1096"/>
      <c r="AN891" s="1096"/>
      <c r="AO891" s="1096"/>
      <c r="AP891" s="1096"/>
      <c r="AQ891" s="1096"/>
      <c r="AR891" s="1096"/>
      <c r="AS891" s="1096"/>
      <c r="AT891" s="1096"/>
      <c r="AU891" s="1096"/>
      <c r="AV891" s="1096"/>
      <c r="AW891" s="1096"/>
      <c r="AX891" s="1096"/>
      <c r="AY891" s="1096"/>
    </row>
    <row r="892" spans="1:51" x14ac:dyDescent="0.45">
      <c r="A892" s="1115">
        <v>2013</v>
      </c>
      <c r="B892" s="1096" t="s">
        <v>1393</v>
      </c>
      <c r="C892" s="1112">
        <f>[6]ONS!Z892</f>
        <v>250</v>
      </c>
      <c r="D892" s="1112">
        <f>[6]ONS!P892</f>
        <v>331.1</v>
      </c>
      <c r="E892" s="1096"/>
      <c r="F892" s="1114">
        <f t="shared" si="38"/>
        <v>132.44</v>
      </c>
      <c r="G892" s="1112">
        <f t="shared" si="34"/>
        <v>123.92</v>
      </c>
      <c r="H892" s="1112">
        <f t="shared" si="35"/>
        <v>188</v>
      </c>
      <c r="I892" s="1112">
        <f t="shared" si="36"/>
        <v>151.04000000000002</v>
      </c>
      <c r="J892" s="1112">
        <f t="shared" si="37"/>
        <v>114.16</v>
      </c>
      <c r="K892" s="1096"/>
      <c r="L892" s="1096"/>
      <c r="M892" s="1096"/>
      <c r="N892" s="1096"/>
      <c r="O892" s="1096"/>
      <c r="P892" s="1114">
        <v>331.1</v>
      </c>
      <c r="Q892" s="1096" t="s">
        <v>1747</v>
      </c>
      <c r="R892" s="1114">
        <v>309.8</v>
      </c>
      <c r="S892" s="1096" t="s">
        <v>1747</v>
      </c>
      <c r="T892" s="1114">
        <v>470</v>
      </c>
      <c r="U892" s="1096" t="s">
        <v>1747</v>
      </c>
      <c r="V892" s="1114">
        <v>377.6</v>
      </c>
      <c r="W892" s="1096" t="s">
        <v>1747</v>
      </c>
      <c r="X892" s="1114">
        <v>285.39999999999998</v>
      </c>
      <c r="Y892" s="1096" t="s">
        <v>1747</v>
      </c>
      <c r="Z892" s="1114">
        <v>250</v>
      </c>
      <c r="AA892" s="1096"/>
      <c r="AB892" s="1096"/>
      <c r="AC892" s="1096"/>
      <c r="AD892" s="1096"/>
      <c r="AE892" s="1096"/>
      <c r="AF892" s="1096"/>
      <c r="AG892" s="1096"/>
      <c r="AH892" s="1096"/>
      <c r="AI892" s="1096"/>
      <c r="AJ892" s="1096"/>
      <c r="AK892" s="1096"/>
      <c r="AL892" s="1096"/>
      <c r="AM892" s="1096"/>
      <c r="AN892" s="1096"/>
      <c r="AO892" s="1096"/>
      <c r="AP892" s="1096"/>
      <c r="AQ892" s="1096"/>
      <c r="AR892" s="1096"/>
      <c r="AS892" s="1096"/>
      <c r="AT892" s="1096"/>
      <c r="AU892" s="1096"/>
      <c r="AV892" s="1096"/>
      <c r="AW892" s="1096"/>
      <c r="AX892" s="1096"/>
      <c r="AY892" s="1096"/>
    </row>
    <row r="893" spans="1:51" x14ac:dyDescent="0.45">
      <c r="A893" s="1115">
        <v>2013</v>
      </c>
      <c r="B893" s="1096" t="s">
        <v>1371</v>
      </c>
      <c r="C893" s="1112">
        <f>[6]ONS!Z893</f>
        <v>249.7</v>
      </c>
      <c r="D893" s="1112">
        <f>[6]ONS!P893</f>
        <v>331</v>
      </c>
      <c r="E893" s="1096"/>
      <c r="F893" s="1114">
        <f t="shared" si="38"/>
        <v>132.55907088506208</v>
      </c>
      <c r="G893" s="1112">
        <f t="shared" si="34"/>
        <v>124.02883460152184</v>
      </c>
      <c r="H893" s="1112">
        <f t="shared" si="35"/>
        <v>187.82539046856229</v>
      </c>
      <c r="I893" s="1112">
        <f t="shared" si="36"/>
        <v>151.22146575891071</v>
      </c>
      <c r="J893" s="1112">
        <f t="shared" si="37"/>
        <v>114.29715658790549</v>
      </c>
      <c r="K893" s="1096"/>
      <c r="L893" s="1096"/>
      <c r="M893" s="1096"/>
      <c r="N893" s="1096"/>
      <c r="O893" s="1096"/>
      <c r="P893" s="1114">
        <v>331</v>
      </c>
      <c r="Q893" s="1096" t="s">
        <v>1748</v>
      </c>
      <c r="R893" s="1114">
        <v>309.7</v>
      </c>
      <c r="S893" s="1096" t="s">
        <v>1748</v>
      </c>
      <c r="T893" s="1114">
        <v>469</v>
      </c>
      <c r="U893" s="1096" t="s">
        <v>1748</v>
      </c>
      <c r="V893" s="1114">
        <v>377.6</v>
      </c>
      <c r="W893" s="1096" t="s">
        <v>1748</v>
      </c>
      <c r="X893" s="1114">
        <v>285.39999999999998</v>
      </c>
      <c r="Y893" s="1096" t="s">
        <v>1748</v>
      </c>
      <c r="Z893" s="1114">
        <v>249.7</v>
      </c>
      <c r="AA893" s="1096"/>
      <c r="AB893" s="1096"/>
      <c r="AC893" s="1096"/>
      <c r="AD893" s="1096"/>
      <c r="AE893" s="1096"/>
      <c r="AF893" s="1096"/>
      <c r="AG893" s="1096"/>
      <c r="AH893" s="1096"/>
      <c r="AI893" s="1096"/>
      <c r="AJ893" s="1096"/>
      <c r="AK893" s="1096"/>
      <c r="AL893" s="1096"/>
      <c r="AM893" s="1096"/>
      <c r="AN893" s="1096"/>
      <c r="AO893" s="1096"/>
      <c r="AP893" s="1096"/>
      <c r="AQ893" s="1096"/>
      <c r="AR893" s="1096"/>
      <c r="AS893" s="1096"/>
      <c r="AT893" s="1096"/>
      <c r="AU893" s="1096"/>
      <c r="AV893" s="1096"/>
      <c r="AW893" s="1096"/>
      <c r="AX893" s="1096"/>
      <c r="AY893" s="1096"/>
    </row>
    <row r="894" spans="1:51" x14ac:dyDescent="0.45">
      <c r="A894" s="1115">
        <v>2013</v>
      </c>
      <c r="B894" s="1096" t="s">
        <v>1373</v>
      </c>
      <c r="C894" s="1112">
        <f>[6]ONS!Z894</f>
        <v>249.7</v>
      </c>
      <c r="D894" s="1112">
        <f>[6]ONS!P894</f>
        <v>332.1</v>
      </c>
      <c r="E894" s="1096"/>
      <c r="F894" s="1114">
        <f t="shared" si="38"/>
        <v>132.99959951942333</v>
      </c>
      <c r="G894" s="1112">
        <f t="shared" si="34"/>
        <v>124.34921906287546</v>
      </c>
      <c r="H894" s="1112">
        <f t="shared" si="35"/>
        <v>191.79014817781336</v>
      </c>
      <c r="I894" s="1112">
        <f t="shared" si="36"/>
        <v>151.22146575891071</v>
      </c>
      <c r="J894" s="1112">
        <f t="shared" si="37"/>
        <v>114.73768522226673</v>
      </c>
      <c r="K894" s="1096"/>
      <c r="L894" s="1096"/>
      <c r="M894" s="1096"/>
      <c r="N894" s="1096"/>
      <c r="O894" s="1096"/>
      <c r="P894" s="1114">
        <v>332.1</v>
      </c>
      <c r="Q894" s="1096" t="s">
        <v>1749</v>
      </c>
      <c r="R894" s="1114">
        <v>310.5</v>
      </c>
      <c r="S894" s="1096" t="s">
        <v>1749</v>
      </c>
      <c r="T894" s="1114">
        <v>478.9</v>
      </c>
      <c r="U894" s="1096" t="s">
        <v>1749</v>
      </c>
      <c r="V894" s="1114">
        <v>377.6</v>
      </c>
      <c r="W894" s="1096" t="s">
        <v>1749</v>
      </c>
      <c r="X894" s="1114">
        <v>286.5</v>
      </c>
      <c r="Y894" s="1096" t="s">
        <v>1749</v>
      </c>
      <c r="Z894" s="1114">
        <v>249.7</v>
      </c>
      <c r="AA894" s="1096"/>
      <c r="AB894" s="1096"/>
      <c r="AC894" s="1096"/>
      <c r="AD894" s="1096"/>
      <c r="AE894" s="1096"/>
      <c r="AF894" s="1096"/>
      <c r="AG894" s="1096"/>
      <c r="AH894" s="1096"/>
      <c r="AI894" s="1096"/>
      <c r="AJ894" s="1096"/>
      <c r="AK894" s="1096"/>
      <c r="AL894" s="1096"/>
      <c r="AM894" s="1096"/>
      <c r="AN894" s="1096"/>
      <c r="AO894" s="1096"/>
      <c r="AP894" s="1096"/>
      <c r="AQ894" s="1096"/>
      <c r="AR894" s="1096"/>
      <c r="AS894" s="1096"/>
      <c r="AT894" s="1096"/>
      <c r="AU894" s="1096"/>
      <c r="AV894" s="1096"/>
      <c r="AW894" s="1096"/>
      <c r="AX894" s="1096"/>
      <c r="AY894" s="1096"/>
    </row>
    <row r="895" spans="1:51" x14ac:dyDescent="0.45">
      <c r="A895" s="1115">
        <v>2013</v>
      </c>
      <c r="B895" s="1096" t="s">
        <v>1375</v>
      </c>
      <c r="C895" s="1112">
        <f>[6]ONS!Z895</f>
        <v>251</v>
      </c>
      <c r="D895" s="1112">
        <f>[6]ONS!P895</f>
        <v>332.1</v>
      </c>
      <c r="E895" s="1096"/>
      <c r="F895" s="1114">
        <f t="shared" si="38"/>
        <v>132.31075697211156</v>
      </c>
      <c r="G895" s="1112">
        <f t="shared" si="34"/>
        <v>123.62549800796813</v>
      </c>
      <c r="H895" s="1112">
        <f t="shared" si="35"/>
        <v>190.91633466135457</v>
      </c>
      <c r="I895" s="1112">
        <f t="shared" si="36"/>
        <v>150.4382470119522</v>
      </c>
      <c r="J895" s="1112">
        <f t="shared" si="37"/>
        <v>114.14342629482073</v>
      </c>
      <c r="K895" s="1096"/>
      <c r="L895" s="1096"/>
      <c r="M895" s="1096"/>
      <c r="N895" s="1096"/>
      <c r="O895" s="1096"/>
      <c r="P895" s="1114">
        <v>332.1</v>
      </c>
      <c r="Q895" s="1096" t="s">
        <v>1750</v>
      </c>
      <c r="R895" s="1114">
        <v>310.3</v>
      </c>
      <c r="S895" s="1096" t="s">
        <v>1750</v>
      </c>
      <c r="T895" s="1114">
        <v>479.2</v>
      </c>
      <c r="U895" s="1096" t="s">
        <v>1750</v>
      </c>
      <c r="V895" s="1114">
        <v>377.6</v>
      </c>
      <c r="W895" s="1096" t="s">
        <v>1750</v>
      </c>
      <c r="X895" s="1114">
        <v>286.5</v>
      </c>
      <c r="Y895" s="1096" t="s">
        <v>1750</v>
      </c>
      <c r="Z895" s="1114">
        <v>251</v>
      </c>
      <c r="AA895" s="1096"/>
      <c r="AB895" s="1096"/>
      <c r="AC895" s="1096"/>
      <c r="AD895" s="1096"/>
      <c r="AE895" s="1096"/>
      <c r="AF895" s="1096"/>
      <c r="AG895" s="1096"/>
      <c r="AH895" s="1096"/>
      <c r="AI895" s="1096"/>
      <c r="AJ895" s="1096"/>
      <c r="AK895" s="1096"/>
      <c r="AL895" s="1096"/>
      <c r="AM895" s="1096"/>
      <c r="AN895" s="1096"/>
      <c r="AO895" s="1096"/>
      <c r="AP895" s="1096"/>
      <c r="AQ895" s="1096"/>
      <c r="AR895" s="1096"/>
      <c r="AS895" s="1096"/>
      <c r="AT895" s="1096"/>
      <c r="AU895" s="1096"/>
      <c r="AV895" s="1096"/>
      <c r="AW895" s="1096"/>
      <c r="AX895" s="1096"/>
      <c r="AY895" s="1096"/>
    </row>
    <row r="896" spans="1:51" x14ac:dyDescent="0.45">
      <c r="A896" s="1115">
        <v>2013</v>
      </c>
      <c r="B896" s="1096" t="s">
        <v>1377</v>
      </c>
      <c r="C896" s="1112">
        <f>[6]ONS!Z896</f>
        <v>251.9</v>
      </c>
      <c r="D896" s="1112">
        <f>[6]ONS!P896</f>
        <v>332.6</v>
      </c>
      <c r="E896" s="1096"/>
      <c r="F896" s="1114">
        <f t="shared" si="38"/>
        <v>132.03652242953555</v>
      </c>
      <c r="G896" s="1112">
        <f t="shared" si="34"/>
        <v>123.7792774910679</v>
      </c>
      <c r="H896" s="1112">
        <f t="shared" si="35"/>
        <v>194.00555776101626</v>
      </c>
      <c r="I896" s="1112">
        <f t="shared" si="36"/>
        <v>149.9007542675665</v>
      </c>
      <c r="J896" s="1112">
        <f t="shared" si="37"/>
        <v>113.73560936879714</v>
      </c>
      <c r="K896" s="1096"/>
      <c r="L896" s="1096"/>
      <c r="M896" s="1096"/>
      <c r="N896" s="1096"/>
      <c r="O896" s="1096"/>
      <c r="P896" s="1114">
        <v>332.6</v>
      </c>
      <c r="Q896" s="1096" t="s">
        <v>1751</v>
      </c>
      <c r="R896" s="1114">
        <v>311.8</v>
      </c>
      <c r="S896" s="1096" t="s">
        <v>1751</v>
      </c>
      <c r="T896" s="1114">
        <v>488.7</v>
      </c>
      <c r="U896" s="1096" t="s">
        <v>1751</v>
      </c>
      <c r="V896" s="1114">
        <v>377.6</v>
      </c>
      <c r="W896" s="1096" t="s">
        <v>1751</v>
      </c>
      <c r="X896" s="1114">
        <v>286.5</v>
      </c>
      <c r="Y896" s="1096" t="s">
        <v>1751</v>
      </c>
      <c r="Z896" s="1114">
        <v>251.9</v>
      </c>
      <c r="AA896" s="1096"/>
      <c r="AB896" s="1096"/>
      <c r="AC896" s="1096"/>
      <c r="AD896" s="1096"/>
      <c r="AE896" s="1096"/>
      <c r="AF896" s="1096"/>
      <c r="AG896" s="1096"/>
      <c r="AH896" s="1096"/>
      <c r="AI896" s="1096"/>
      <c r="AJ896" s="1096"/>
      <c r="AK896" s="1096"/>
      <c r="AL896" s="1096"/>
      <c r="AM896" s="1096"/>
      <c r="AN896" s="1096"/>
      <c r="AO896" s="1096"/>
      <c r="AP896" s="1096"/>
      <c r="AQ896" s="1096"/>
      <c r="AR896" s="1096"/>
      <c r="AS896" s="1096"/>
      <c r="AT896" s="1096"/>
      <c r="AU896" s="1096"/>
      <c r="AV896" s="1096"/>
      <c r="AW896" s="1096"/>
      <c r="AX896" s="1096"/>
      <c r="AY896" s="1096"/>
    </row>
    <row r="897" spans="1:51" x14ac:dyDescent="0.45">
      <c r="A897" s="1115">
        <v>2013</v>
      </c>
      <c r="B897" s="1096" t="s">
        <v>1379</v>
      </c>
      <c r="C897" s="1112">
        <f>[6]ONS!Z897</f>
        <v>251.9</v>
      </c>
      <c r="D897" s="1112">
        <f>[6]ONS!P897</f>
        <v>332.1</v>
      </c>
      <c r="E897" s="1096"/>
      <c r="F897" s="1114">
        <f t="shared" si="38"/>
        <v>131.83803096466852</v>
      </c>
      <c r="G897" s="1112">
        <f t="shared" ref="G897:G960" si="39">R897/$Z897*100</f>
        <v>125.16871774513696</v>
      </c>
      <c r="H897" s="1112">
        <f t="shared" ref="H897:H960" si="40">T897/$Z897*100</f>
        <v>189.12266772528781</v>
      </c>
      <c r="I897" s="1112">
        <f t="shared" ref="I897:I960" si="41">V897/$Z897*100</f>
        <v>149.9007542675665</v>
      </c>
      <c r="J897" s="1112">
        <f t="shared" ref="J897:J960" si="42">X897/$Z897*100</f>
        <v>113.73560936879714</v>
      </c>
      <c r="K897" s="1096"/>
      <c r="L897" s="1096"/>
      <c r="M897" s="1096"/>
      <c r="N897" s="1096"/>
      <c r="O897" s="1096"/>
      <c r="P897" s="1114">
        <v>332.1</v>
      </c>
      <c r="Q897" s="1096" t="s">
        <v>1752</v>
      </c>
      <c r="R897" s="1114">
        <v>315.3</v>
      </c>
      <c r="S897" s="1096" t="s">
        <v>1752</v>
      </c>
      <c r="T897" s="1114">
        <v>476.4</v>
      </c>
      <c r="U897" s="1096" t="s">
        <v>1752</v>
      </c>
      <c r="V897" s="1114">
        <v>377.6</v>
      </c>
      <c r="W897" s="1096" t="s">
        <v>1752</v>
      </c>
      <c r="X897" s="1114">
        <v>286.5</v>
      </c>
      <c r="Y897" s="1096" t="s">
        <v>1752</v>
      </c>
      <c r="Z897" s="1114">
        <v>251.9</v>
      </c>
      <c r="AA897" s="1096"/>
      <c r="AB897" s="1096"/>
      <c r="AC897" s="1096"/>
      <c r="AD897" s="1096"/>
      <c r="AE897" s="1096"/>
      <c r="AF897" s="1096"/>
      <c r="AG897" s="1096"/>
      <c r="AH897" s="1096"/>
      <c r="AI897" s="1096"/>
      <c r="AJ897" s="1096"/>
      <c r="AK897" s="1096"/>
      <c r="AL897" s="1096"/>
      <c r="AM897" s="1096"/>
      <c r="AN897" s="1096"/>
      <c r="AO897" s="1096"/>
      <c r="AP897" s="1096"/>
      <c r="AQ897" s="1096"/>
      <c r="AR897" s="1096"/>
      <c r="AS897" s="1096"/>
      <c r="AT897" s="1096"/>
      <c r="AU897" s="1096"/>
      <c r="AV897" s="1096"/>
      <c r="AW897" s="1096"/>
      <c r="AX897" s="1096"/>
      <c r="AY897" s="1096"/>
    </row>
    <row r="898" spans="1:51" x14ac:dyDescent="0.45">
      <c r="A898" s="1115">
        <v>2013</v>
      </c>
      <c r="B898" s="1096" t="s">
        <v>1381</v>
      </c>
      <c r="C898" s="1112">
        <f>[6]ONS!Z898</f>
        <v>252.1</v>
      </c>
      <c r="D898" s="1112">
        <f>[6]ONS!P898</f>
        <v>331.9</v>
      </c>
      <c r="E898" s="1096"/>
      <c r="F898" s="1114">
        <f t="shared" si="38"/>
        <v>131.65410551368504</v>
      </c>
      <c r="G898" s="1112">
        <f t="shared" si="39"/>
        <v>126.33875446251488</v>
      </c>
      <c r="H898" s="1112">
        <f t="shared" si="40"/>
        <v>186.03728679095596</v>
      </c>
      <c r="I898" s="1112">
        <f t="shared" si="41"/>
        <v>149.78183260610868</v>
      </c>
      <c r="J898" s="1112">
        <f t="shared" si="42"/>
        <v>113.6453788179294</v>
      </c>
      <c r="K898" s="1096"/>
      <c r="L898" s="1096"/>
      <c r="M898" s="1096"/>
      <c r="N898" s="1096"/>
      <c r="O898" s="1096"/>
      <c r="P898" s="1114">
        <v>331.9</v>
      </c>
      <c r="Q898" s="1096" t="s">
        <v>1753</v>
      </c>
      <c r="R898" s="1114">
        <v>318.5</v>
      </c>
      <c r="S898" s="1096" t="s">
        <v>1753</v>
      </c>
      <c r="T898" s="1114">
        <v>469</v>
      </c>
      <c r="U898" s="1096" t="s">
        <v>1753</v>
      </c>
      <c r="V898" s="1114">
        <v>377.6</v>
      </c>
      <c r="W898" s="1096" t="s">
        <v>1753</v>
      </c>
      <c r="X898" s="1114">
        <v>286.5</v>
      </c>
      <c r="Y898" s="1096" t="s">
        <v>1753</v>
      </c>
      <c r="Z898" s="1114">
        <v>252.1</v>
      </c>
      <c r="AA898" s="1096"/>
      <c r="AB898" s="1096"/>
      <c r="AC898" s="1096"/>
      <c r="AD898" s="1096"/>
      <c r="AE898" s="1096"/>
      <c r="AF898" s="1096"/>
      <c r="AG898" s="1096"/>
      <c r="AH898" s="1096"/>
      <c r="AI898" s="1096"/>
      <c r="AJ898" s="1096"/>
      <c r="AK898" s="1096"/>
      <c r="AL898" s="1096"/>
      <c r="AM898" s="1096"/>
      <c r="AN898" s="1096"/>
      <c r="AO898" s="1096"/>
      <c r="AP898" s="1096"/>
      <c r="AQ898" s="1096"/>
      <c r="AR898" s="1096"/>
      <c r="AS898" s="1096"/>
      <c r="AT898" s="1096"/>
      <c r="AU898" s="1096"/>
      <c r="AV898" s="1096"/>
      <c r="AW898" s="1096"/>
      <c r="AX898" s="1096"/>
      <c r="AY898" s="1096"/>
    </row>
    <row r="899" spans="1:51" x14ac:dyDescent="0.45">
      <c r="A899" s="1115">
        <v>2013</v>
      </c>
      <c r="B899" s="1096" t="s">
        <v>1383</v>
      </c>
      <c r="C899" s="1112">
        <f>[6]ONS!Z899</f>
        <v>253.4</v>
      </c>
      <c r="D899" s="1112">
        <f>[6]ONS!P899</f>
        <v>352.6</v>
      </c>
      <c r="E899" s="1096"/>
      <c r="F899" s="1114">
        <f t="shared" si="38"/>
        <v>139.14759273875296</v>
      </c>
      <c r="G899" s="1112">
        <f t="shared" si="39"/>
        <v>125.9273875295975</v>
      </c>
      <c r="H899" s="1112">
        <f t="shared" si="40"/>
        <v>189.46329913180742</v>
      </c>
      <c r="I899" s="1112">
        <f t="shared" si="41"/>
        <v>159.27387529597473</v>
      </c>
      <c r="J899" s="1112">
        <f t="shared" si="42"/>
        <v>120.40252565114444</v>
      </c>
      <c r="K899" s="1096"/>
      <c r="L899" s="1096"/>
      <c r="M899" s="1096"/>
      <c r="N899" s="1096"/>
      <c r="O899" s="1096"/>
      <c r="P899" s="1114">
        <v>352.6</v>
      </c>
      <c r="Q899" s="1096" t="s">
        <v>1754</v>
      </c>
      <c r="R899" s="1114">
        <v>319.10000000000002</v>
      </c>
      <c r="S899" s="1096" t="s">
        <v>1754</v>
      </c>
      <c r="T899" s="1114">
        <v>480.1</v>
      </c>
      <c r="U899" s="1096" t="s">
        <v>1754</v>
      </c>
      <c r="V899" s="1114">
        <v>403.6</v>
      </c>
      <c r="W899" s="1096" t="s">
        <v>1754</v>
      </c>
      <c r="X899" s="1114">
        <v>305.10000000000002</v>
      </c>
      <c r="Y899" s="1096" t="s">
        <v>1754</v>
      </c>
      <c r="Z899" s="1114">
        <v>253.4</v>
      </c>
      <c r="AA899" s="1096"/>
      <c r="AB899" s="1096"/>
      <c r="AC899" s="1096"/>
      <c r="AD899" s="1096"/>
      <c r="AE899" s="1096"/>
      <c r="AF899" s="1096"/>
      <c r="AG899" s="1096"/>
      <c r="AH899" s="1096"/>
      <c r="AI899" s="1096"/>
      <c r="AJ899" s="1096"/>
      <c r="AK899" s="1096"/>
      <c r="AL899" s="1096"/>
      <c r="AM899" s="1096"/>
      <c r="AN899" s="1096"/>
      <c r="AO899" s="1096"/>
      <c r="AP899" s="1096"/>
      <c r="AQ899" s="1096"/>
      <c r="AR899" s="1096"/>
      <c r="AS899" s="1096"/>
      <c r="AT899" s="1096"/>
      <c r="AU899" s="1096"/>
      <c r="AV899" s="1096"/>
      <c r="AW899" s="1096"/>
      <c r="AX899" s="1096"/>
      <c r="AY899" s="1096"/>
    </row>
    <row r="900" spans="1:51" x14ac:dyDescent="0.45">
      <c r="A900" s="1115">
        <v>2014</v>
      </c>
      <c r="B900" s="1096" t="s">
        <v>1385</v>
      </c>
      <c r="C900" s="1112">
        <f>[6]ONS!Z900</f>
        <v>252.6</v>
      </c>
      <c r="D900" s="1112">
        <f>[6]ONS!P900</f>
        <v>350.3</v>
      </c>
      <c r="E900" s="1096"/>
      <c r="F900" s="1114">
        <f t="shared" si="38"/>
        <v>138.67775138558986</v>
      </c>
      <c r="G900" s="1112">
        <f t="shared" si="39"/>
        <v>127.11797307996835</v>
      </c>
      <c r="H900" s="1112">
        <f t="shared" si="40"/>
        <v>187.88598574821853</v>
      </c>
      <c r="I900" s="1112">
        <f t="shared" si="41"/>
        <v>157.95724465558195</v>
      </c>
      <c r="J900" s="1112">
        <f t="shared" si="42"/>
        <v>120.5859065716548</v>
      </c>
      <c r="K900" s="1096"/>
      <c r="L900" s="1096"/>
      <c r="M900" s="1096"/>
      <c r="N900" s="1096"/>
      <c r="O900" s="1096"/>
      <c r="P900" s="1114">
        <v>350.3</v>
      </c>
      <c r="Q900" s="1096" t="s">
        <v>1755</v>
      </c>
      <c r="R900" s="1114">
        <v>321.10000000000002</v>
      </c>
      <c r="S900" s="1096" t="s">
        <v>1755</v>
      </c>
      <c r="T900" s="1114">
        <v>474.6</v>
      </c>
      <c r="U900" s="1096" t="s">
        <v>1755</v>
      </c>
      <c r="V900" s="1114">
        <v>399</v>
      </c>
      <c r="W900" s="1096" t="s">
        <v>1755</v>
      </c>
      <c r="X900" s="1114">
        <v>304.60000000000002</v>
      </c>
      <c r="Y900" s="1096" t="s">
        <v>1755</v>
      </c>
      <c r="Z900" s="1114">
        <v>252.6</v>
      </c>
      <c r="AA900" s="1096"/>
      <c r="AB900" s="1096"/>
      <c r="AC900" s="1096"/>
      <c r="AD900" s="1096"/>
      <c r="AE900" s="1096"/>
      <c r="AF900" s="1096"/>
      <c r="AG900" s="1096"/>
      <c r="AH900" s="1096"/>
      <c r="AI900" s="1096"/>
      <c r="AJ900" s="1096"/>
      <c r="AK900" s="1096"/>
      <c r="AL900" s="1096"/>
      <c r="AM900" s="1096"/>
      <c r="AN900" s="1096"/>
      <c r="AO900" s="1096"/>
      <c r="AP900" s="1096"/>
      <c r="AQ900" s="1096"/>
      <c r="AR900" s="1096"/>
      <c r="AS900" s="1096"/>
      <c r="AT900" s="1096"/>
      <c r="AU900" s="1096"/>
      <c r="AV900" s="1096"/>
      <c r="AW900" s="1096"/>
      <c r="AX900" s="1096"/>
      <c r="AY900" s="1096"/>
    </row>
    <row r="901" spans="1:51" x14ac:dyDescent="0.45">
      <c r="A901" s="1115">
        <v>2014</v>
      </c>
      <c r="B901" s="1096" t="s">
        <v>1387</v>
      </c>
      <c r="C901" s="1112">
        <f>[6]ONS!Z901</f>
        <v>254.2</v>
      </c>
      <c r="D901" s="1112">
        <f>[6]ONS!P901</f>
        <v>351.1</v>
      </c>
      <c r="E901" s="1096"/>
      <c r="F901" s="1114">
        <f t="shared" si="38"/>
        <v>138.11959087332809</v>
      </c>
      <c r="G901" s="1112">
        <f t="shared" si="39"/>
        <v>126.19984264358774</v>
      </c>
      <c r="H901" s="1112">
        <f t="shared" si="40"/>
        <v>186.93941778127459</v>
      </c>
      <c r="I901" s="1112">
        <f t="shared" si="41"/>
        <v>157.3170731707317</v>
      </c>
      <c r="J901" s="1112">
        <f t="shared" si="42"/>
        <v>120.10228166797799</v>
      </c>
      <c r="K901" s="1096"/>
      <c r="L901" s="1096"/>
      <c r="M901" s="1096"/>
      <c r="N901" s="1096"/>
      <c r="O901" s="1096"/>
      <c r="P901" s="1114">
        <v>351.1</v>
      </c>
      <c r="Q901" s="1096" t="s">
        <v>1756</v>
      </c>
      <c r="R901" s="1114">
        <v>320.8</v>
      </c>
      <c r="S901" s="1096" t="s">
        <v>1756</v>
      </c>
      <c r="T901" s="1114">
        <v>475.2</v>
      </c>
      <c r="U901" s="1096" t="s">
        <v>1756</v>
      </c>
      <c r="V901" s="1114">
        <v>399.9</v>
      </c>
      <c r="W901" s="1096" t="s">
        <v>1756</v>
      </c>
      <c r="X901" s="1114">
        <v>305.3</v>
      </c>
      <c r="Y901" s="1096" t="s">
        <v>1756</v>
      </c>
      <c r="Z901" s="1114">
        <v>254.2</v>
      </c>
      <c r="AA901" s="1096"/>
      <c r="AB901" s="1096"/>
      <c r="AC901" s="1096"/>
      <c r="AD901" s="1096"/>
      <c r="AE901" s="1096"/>
      <c r="AF901" s="1096"/>
      <c r="AG901" s="1096"/>
      <c r="AH901" s="1096"/>
      <c r="AI901" s="1096"/>
      <c r="AJ901" s="1096"/>
      <c r="AK901" s="1096"/>
      <c r="AL901" s="1096"/>
      <c r="AM901" s="1096"/>
      <c r="AN901" s="1096"/>
      <c r="AO901" s="1096"/>
      <c r="AP901" s="1096"/>
      <c r="AQ901" s="1096"/>
      <c r="AR901" s="1096"/>
      <c r="AS901" s="1096"/>
      <c r="AT901" s="1096"/>
      <c r="AU901" s="1096"/>
      <c r="AV901" s="1096"/>
      <c r="AW901" s="1096"/>
      <c r="AX901" s="1096"/>
      <c r="AY901" s="1096"/>
    </row>
    <row r="902" spans="1:51" x14ac:dyDescent="0.45">
      <c r="A902" s="1115">
        <v>2014</v>
      </c>
      <c r="B902" s="1096" t="s">
        <v>1389</v>
      </c>
      <c r="C902" s="1112">
        <f>[6]ONS!Z902</f>
        <v>254.8</v>
      </c>
      <c r="D902" s="1112">
        <f>[6]ONS!P902</f>
        <v>349.4</v>
      </c>
      <c r="E902" s="1096"/>
      <c r="F902" s="1114">
        <f t="shared" si="38"/>
        <v>137.12715855572998</v>
      </c>
      <c r="G902" s="1112">
        <f t="shared" si="39"/>
        <v>125.90266875981162</v>
      </c>
      <c r="H902" s="1112">
        <f t="shared" si="40"/>
        <v>181.90737833594977</v>
      </c>
      <c r="I902" s="1112">
        <f t="shared" si="41"/>
        <v>156.4756671899529</v>
      </c>
      <c r="J902" s="1112">
        <f t="shared" si="42"/>
        <v>119.46624803767661</v>
      </c>
      <c r="K902" s="1096"/>
      <c r="L902" s="1096"/>
      <c r="M902" s="1096"/>
      <c r="N902" s="1096"/>
      <c r="O902" s="1096"/>
      <c r="P902" s="1114">
        <v>349.4</v>
      </c>
      <c r="Q902" s="1096" t="s">
        <v>1757</v>
      </c>
      <c r="R902" s="1114">
        <v>320.8</v>
      </c>
      <c r="S902" s="1096" t="s">
        <v>1757</v>
      </c>
      <c r="T902" s="1114">
        <v>463.5</v>
      </c>
      <c r="U902" s="1096" t="s">
        <v>1757</v>
      </c>
      <c r="V902" s="1114">
        <v>398.7</v>
      </c>
      <c r="W902" s="1096" t="s">
        <v>1757</v>
      </c>
      <c r="X902" s="1114">
        <v>304.39999999999998</v>
      </c>
      <c r="Y902" s="1096" t="s">
        <v>1757</v>
      </c>
      <c r="Z902" s="1114">
        <v>254.8</v>
      </c>
      <c r="AA902" s="1096"/>
      <c r="AB902" s="1096"/>
      <c r="AC902" s="1096"/>
      <c r="AD902" s="1096"/>
      <c r="AE902" s="1096"/>
      <c r="AF902" s="1096"/>
      <c r="AG902" s="1096"/>
      <c r="AH902" s="1096"/>
      <c r="AI902" s="1096"/>
      <c r="AJ902" s="1096"/>
      <c r="AK902" s="1096"/>
      <c r="AL902" s="1096"/>
      <c r="AM902" s="1096"/>
      <c r="AN902" s="1096"/>
      <c r="AO902" s="1096"/>
      <c r="AP902" s="1096"/>
      <c r="AQ902" s="1096"/>
      <c r="AR902" s="1096"/>
      <c r="AS902" s="1096"/>
      <c r="AT902" s="1096"/>
      <c r="AU902" s="1096"/>
      <c r="AV902" s="1096"/>
      <c r="AW902" s="1096"/>
      <c r="AX902" s="1096"/>
      <c r="AY902" s="1096"/>
    </row>
    <row r="903" spans="1:51" x14ac:dyDescent="0.45">
      <c r="A903" s="1115">
        <v>2014</v>
      </c>
      <c r="B903" s="1096" t="s">
        <v>1391</v>
      </c>
      <c r="C903" s="1112">
        <f>[6]ONS!Z903</f>
        <v>255.7</v>
      </c>
      <c r="D903" s="1112">
        <f>[6]ONS!P903</f>
        <v>347.3</v>
      </c>
      <c r="E903" s="1096"/>
      <c r="F903" s="1114">
        <f t="shared" si="38"/>
        <v>135.82323034806413</v>
      </c>
      <c r="G903" s="1112">
        <f t="shared" si="39"/>
        <v>125.69417285881892</v>
      </c>
      <c r="H903" s="1112">
        <f t="shared" si="40"/>
        <v>178.76417676965195</v>
      </c>
      <c r="I903" s="1112">
        <f t="shared" si="41"/>
        <v>155.18185373484553</v>
      </c>
      <c r="J903" s="1112">
        <f t="shared" si="42"/>
        <v>118.34180680484945</v>
      </c>
      <c r="K903" s="1096"/>
      <c r="L903" s="1096"/>
      <c r="M903" s="1096"/>
      <c r="N903" s="1096"/>
      <c r="O903" s="1096"/>
      <c r="P903" s="1114">
        <v>347.3</v>
      </c>
      <c r="Q903" s="1096" t="s">
        <v>1758</v>
      </c>
      <c r="R903" s="1114">
        <v>321.39999999999998</v>
      </c>
      <c r="S903" s="1096" t="s">
        <v>1758</v>
      </c>
      <c r="T903" s="1114">
        <v>457.1</v>
      </c>
      <c r="U903" s="1096" t="s">
        <v>1758</v>
      </c>
      <c r="V903" s="1114">
        <v>396.8</v>
      </c>
      <c r="W903" s="1096" t="s">
        <v>1758</v>
      </c>
      <c r="X903" s="1114">
        <v>302.60000000000002</v>
      </c>
      <c r="Y903" s="1096" t="s">
        <v>1758</v>
      </c>
      <c r="Z903" s="1114">
        <v>255.7</v>
      </c>
      <c r="AA903" s="1096"/>
      <c r="AB903" s="1096"/>
      <c r="AC903" s="1096"/>
      <c r="AD903" s="1096"/>
      <c r="AE903" s="1096"/>
      <c r="AF903" s="1096"/>
      <c r="AG903" s="1096"/>
      <c r="AH903" s="1096"/>
      <c r="AI903" s="1096"/>
      <c r="AJ903" s="1096"/>
      <c r="AK903" s="1096"/>
      <c r="AL903" s="1096"/>
      <c r="AM903" s="1096"/>
      <c r="AN903" s="1096"/>
      <c r="AO903" s="1096"/>
      <c r="AP903" s="1096"/>
      <c r="AQ903" s="1096"/>
      <c r="AR903" s="1096"/>
      <c r="AS903" s="1096"/>
      <c r="AT903" s="1096"/>
      <c r="AU903" s="1096"/>
      <c r="AV903" s="1096"/>
      <c r="AW903" s="1096"/>
      <c r="AX903" s="1096"/>
      <c r="AY903" s="1096"/>
    </row>
    <row r="904" spans="1:51" x14ac:dyDescent="0.45">
      <c r="A904" s="1115">
        <v>2014</v>
      </c>
      <c r="B904" s="1096" t="s">
        <v>1393</v>
      </c>
      <c r="C904" s="1112">
        <f>[6]ONS!Z904</f>
        <v>255.9</v>
      </c>
      <c r="D904" s="1112">
        <f>[6]ONS!P904</f>
        <v>347</v>
      </c>
      <c r="E904" s="1096"/>
      <c r="F904" s="1114">
        <f t="shared" si="38"/>
        <v>135.59984368894098</v>
      </c>
      <c r="G904" s="1112">
        <f t="shared" si="39"/>
        <v>124.54083626416568</v>
      </c>
      <c r="H904" s="1112">
        <f t="shared" si="40"/>
        <v>176.82688550214925</v>
      </c>
      <c r="I904" s="1112">
        <f t="shared" si="41"/>
        <v>155.06057053536537</v>
      </c>
      <c r="J904" s="1112">
        <f t="shared" si="42"/>
        <v>118.24931613911684</v>
      </c>
      <c r="K904" s="1096"/>
      <c r="L904" s="1096"/>
      <c r="M904" s="1096"/>
      <c r="N904" s="1096"/>
      <c r="O904" s="1096"/>
      <c r="P904" s="1114">
        <v>347</v>
      </c>
      <c r="Q904" s="1096" t="s">
        <v>1759</v>
      </c>
      <c r="R904" s="1114">
        <v>318.7</v>
      </c>
      <c r="S904" s="1096" t="s">
        <v>1759</v>
      </c>
      <c r="T904" s="1114">
        <v>452.5</v>
      </c>
      <c r="U904" s="1096" t="s">
        <v>1759</v>
      </c>
      <c r="V904" s="1114">
        <v>396.8</v>
      </c>
      <c r="W904" s="1096" t="s">
        <v>1759</v>
      </c>
      <c r="X904" s="1114">
        <v>302.60000000000002</v>
      </c>
      <c r="Y904" s="1096" t="s">
        <v>1759</v>
      </c>
      <c r="Z904" s="1114">
        <v>255.9</v>
      </c>
      <c r="AA904" s="1096"/>
      <c r="AB904" s="1096"/>
      <c r="AC904" s="1096"/>
      <c r="AD904" s="1096"/>
      <c r="AE904" s="1096"/>
      <c r="AF904" s="1096"/>
      <c r="AG904" s="1096"/>
      <c r="AH904" s="1096"/>
      <c r="AI904" s="1096"/>
      <c r="AJ904" s="1096"/>
      <c r="AK904" s="1096"/>
      <c r="AL904" s="1096"/>
      <c r="AM904" s="1096"/>
      <c r="AN904" s="1096"/>
      <c r="AO904" s="1096"/>
      <c r="AP904" s="1096"/>
      <c r="AQ904" s="1096"/>
      <c r="AR904" s="1096"/>
      <c r="AS904" s="1096"/>
      <c r="AT904" s="1096"/>
      <c r="AU904" s="1096"/>
      <c r="AV904" s="1096"/>
      <c r="AW904" s="1096"/>
      <c r="AX904" s="1096"/>
      <c r="AY904" s="1096"/>
    </row>
    <row r="905" spans="1:51" x14ac:dyDescent="0.45">
      <c r="A905" s="1115">
        <v>2014</v>
      </c>
      <c r="B905" s="1096" t="s">
        <v>1371</v>
      </c>
      <c r="C905" s="1112">
        <f>[6]ONS!Z905</f>
        <v>256.3</v>
      </c>
      <c r="D905" s="1112">
        <f>[6]ONS!P905</f>
        <v>346.8</v>
      </c>
      <c r="E905" s="1096"/>
      <c r="F905" s="1114">
        <f t="shared" si="38"/>
        <v>135.31018337885291</v>
      </c>
      <c r="G905" s="1112">
        <f t="shared" si="39"/>
        <v>124.1513850955911</v>
      </c>
      <c r="H905" s="1112">
        <f t="shared" si="40"/>
        <v>175.53648068669528</v>
      </c>
      <c r="I905" s="1112">
        <f t="shared" si="41"/>
        <v>154.81857198595398</v>
      </c>
      <c r="J905" s="1112">
        <f t="shared" si="42"/>
        <v>118.06476785017558</v>
      </c>
      <c r="K905" s="1096"/>
      <c r="L905" s="1096"/>
      <c r="M905" s="1096"/>
      <c r="N905" s="1096"/>
      <c r="O905" s="1096"/>
      <c r="P905" s="1114">
        <v>346.8</v>
      </c>
      <c r="Q905" s="1096" t="s">
        <v>1760</v>
      </c>
      <c r="R905" s="1114">
        <v>318.2</v>
      </c>
      <c r="S905" s="1096" t="s">
        <v>1760</v>
      </c>
      <c r="T905" s="1114">
        <v>449.9</v>
      </c>
      <c r="U905" s="1096" t="s">
        <v>1760</v>
      </c>
      <c r="V905" s="1114">
        <v>396.8</v>
      </c>
      <c r="W905" s="1096" t="s">
        <v>1760</v>
      </c>
      <c r="X905" s="1114">
        <v>302.60000000000002</v>
      </c>
      <c r="Y905" s="1096" t="s">
        <v>1760</v>
      </c>
      <c r="Z905" s="1114">
        <v>256.3</v>
      </c>
      <c r="AA905" s="1096"/>
      <c r="AB905" s="1096"/>
      <c r="AC905" s="1096"/>
      <c r="AD905" s="1096"/>
      <c r="AE905" s="1096"/>
      <c r="AF905" s="1096"/>
      <c r="AG905" s="1096"/>
      <c r="AH905" s="1096"/>
      <c r="AI905" s="1096"/>
      <c r="AJ905" s="1096"/>
      <c r="AK905" s="1096"/>
      <c r="AL905" s="1096"/>
      <c r="AM905" s="1096"/>
      <c r="AN905" s="1096"/>
      <c r="AO905" s="1096"/>
      <c r="AP905" s="1096"/>
      <c r="AQ905" s="1096"/>
      <c r="AR905" s="1096"/>
      <c r="AS905" s="1096"/>
      <c r="AT905" s="1096"/>
      <c r="AU905" s="1096"/>
      <c r="AV905" s="1096"/>
      <c r="AW905" s="1096"/>
      <c r="AX905" s="1096"/>
      <c r="AY905" s="1096"/>
    </row>
    <row r="906" spans="1:51" x14ac:dyDescent="0.45">
      <c r="A906" s="1115">
        <v>2014</v>
      </c>
      <c r="B906" s="1096" t="s">
        <v>1373</v>
      </c>
      <c r="C906" s="1112">
        <f>[6]ONS!Z906</f>
        <v>256</v>
      </c>
      <c r="D906" s="1112">
        <f>[6]ONS!P906</f>
        <v>346.6</v>
      </c>
      <c r="E906" s="1096"/>
      <c r="F906" s="1114">
        <f t="shared" si="38"/>
        <v>135.390625</v>
      </c>
      <c r="G906" s="1112">
        <f t="shared" si="39"/>
        <v>124.17968749999999</v>
      </c>
      <c r="H906" s="1112">
        <f t="shared" si="40"/>
        <v>174.4140625</v>
      </c>
      <c r="I906" s="1112">
        <f t="shared" si="41"/>
        <v>155</v>
      </c>
      <c r="J906" s="1112">
        <f t="shared" si="42"/>
        <v>118.20312500000001</v>
      </c>
      <c r="K906" s="1096"/>
      <c r="L906" s="1096"/>
      <c r="M906" s="1096"/>
      <c r="N906" s="1096"/>
      <c r="O906" s="1096"/>
      <c r="P906" s="1114">
        <v>346.6</v>
      </c>
      <c r="Q906" s="1096" t="s">
        <v>1761</v>
      </c>
      <c r="R906" s="1114">
        <v>317.89999999999998</v>
      </c>
      <c r="S906" s="1096" t="s">
        <v>1761</v>
      </c>
      <c r="T906" s="1114">
        <v>446.5</v>
      </c>
      <c r="U906" s="1096" t="s">
        <v>1761</v>
      </c>
      <c r="V906" s="1114">
        <v>396.8</v>
      </c>
      <c r="W906" s="1096" t="s">
        <v>1761</v>
      </c>
      <c r="X906" s="1114">
        <v>302.60000000000002</v>
      </c>
      <c r="Y906" s="1096" t="s">
        <v>1761</v>
      </c>
      <c r="Z906" s="1114">
        <v>256</v>
      </c>
      <c r="AA906" s="1096"/>
      <c r="AB906" s="1096"/>
      <c r="AC906" s="1096"/>
      <c r="AD906" s="1096"/>
      <c r="AE906" s="1096"/>
      <c r="AF906" s="1096"/>
      <c r="AG906" s="1096"/>
      <c r="AH906" s="1096"/>
      <c r="AI906" s="1096"/>
      <c r="AJ906" s="1096"/>
      <c r="AK906" s="1096"/>
      <c r="AL906" s="1096"/>
      <c r="AM906" s="1096"/>
      <c r="AN906" s="1096"/>
      <c r="AO906" s="1096"/>
      <c r="AP906" s="1096"/>
      <c r="AQ906" s="1096"/>
      <c r="AR906" s="1096"/>
      <c r="AS906" s="1096"/>
      <c r="AT906" s="1096"/>
      <c r="AU906" s="1096"/>
      <c r="AV906" s="1096"/>
      <c r="AW906" s="1096"/>
      <c r="AX906" s="1096"/>
      <c r="AY906" s="1096"/>
    </row>
    <row r="907" spans="1:51" x14ac:dyDescent="0.45">
      <c r="A907" s="1115">
        <v>2014</v>
      </c>
      <c r="B907" s="1096" t="s">
        <v>1375</v>
      </c>
      <c r="C907" s="1112">
        <f>[6]ONS!Z907</f>
        <v>257</v>
      </c>
      <c r="D907" s="1112">
        <f>[6]ONS!P907</f>
        <v>346.6</v>
      </c>
      <c r="E907" s="1096"/>
      <c r="F907" s="1114">
        <f t="shared" si="38"/>
        <v>134.863813229572</v>
      </c>
      <c r="G907" s="1112">
        <f t="shared" si="39"/>
        <v>123.46303501945526</v>
      </c>
      <c r="H907" s="1112">
        <f t="shared" si="40"/>
        <v>173.92996108949416</v>
      </c>
      <c r="I907" s="1112">
        <f t="shared" si="41"/>
        <v>154.39688715953309</v>
      </c>
      <c r="J907" s="1112">
        <f t="shared" si="42"/>
        <v>117.74319066147861</v>
      </c>
      <c r="K907" s="1096"/>
      <c r="L907" s="1096"/>
      <c r="M907" s="1096"/>
      <c r="N907" s="1096"/>
      <c r="O907" s="1096"/>
      <c r="P907" s="1114">
        <v>346.6</v>
      </c>
      <c r="Q907" s="1096" t="s">
        <v>1762</v>
      </c>
      <c r="R907" s="1114">
        <v>317.3</v>
      </c>
      <c r="S907" s="1096" t="s">
        <v>1762</v>
      </c>
      <c r="T907" s="1114">
        <v>447</v>
      </c>
      <c r="U907" s="1096" t="s">
        <v>1762</v>
      </c>
      <c r="V907" s="1114">
        <v>396.8</v>
      </c>
      <c r="W907" s="1096" t="s">
        <v>1762</v>
      </c>
      <c r="X907" s="1114">
        <v>302.60000000000002</v>
      </c>
      <c r="Y907" s="1096" t="s">
        <v>1762</v>
      </c>
      <c r="Z907" s="1114">
        <v>257</v>
      </c>
      <c r="AA907" s="1096"/>
      <c r="AB907" s="1096"/>
      <c r="AC907" s="1096"/>
      <c r="AD907" s="1096"/>
      <c r="AE907" s="1096"/>
      <c r="AF907" s="1096"/>
      <c r="AG907" s="1096"/>
      <c r="AH907" s="1096"/>
      <c r="AI907" s="1096"/>
      <c r="AJ907" s="1096"/>
      <c r="AK907" s="1096"/>
      <c r="AL907" s="1096"/>
      <c r="AM907" s="1096"/>
      <c r="AN907" s="1096"/>
      <c r="AO907" s="1096"/>
      <c r="AP907" s="1096"/>
      <c r="AQ907" s="1096"/>
      <c r="AR907" s="1096"/>
      <c r="AS907" s="1096"/>
      <c r="AT907" s="1096"/>
      <c r="AU907" s="1096"/>
      <c r="AV907" s="1096"/>
      <c r="AW907" s="1096"/>
      <c r="AX907" s="1096"/>
      <c r="AY907" s="1096"/>
    </row>
    <row r="908" spans="1:51" x14ac:dyDescent="0.45">
      <c r="A908" s="1115">
        <v>2014</v>
      </c>
      <c r="B908" s="1096" t="s">
        <v>1377</v>
      </c>
      <c r="C908" s="1112">
        <f>[6]ONS!Z908</f>
        <v>257.60000000000002</v>
      </c>
      <c r="D908" s="1112">
        <f>[6]ONS!P908</f>
        <v>346.3</v>
      </c>
      <c r="E908" s="1096"/>
      <c r="F908" s="1114">
        <f t="shared" si="38"/>
        <v>134.43322981366458</v>
      </c>
      <c r="G908" s="1112">
        <f t="shared" si="39"/>
        <v>123.71894409937887</v>
      </c>
      <c r="H908" s="1112">
        <f t="shared" si="40"/>
        <v>171.35093167701859</v>
      </c>
      <c r="I908" s="1112">
        <f t="shared" si="41"/>
        <v>154.03726708074532</v>
      </c>
      <c r="J908" s="1112">
        <f t="shared" si="42"/>
        <v>117.46894409937889</v>
      </c>
      <c r="K908" s="1096"/>
      <c r="L908" s="1096"/>
      <c r="M908" s="1096"/>
      <c r="N908" s="1096"/>
      <c r="O908" s="1096"/>
      <c r="P908" s="1114">
        <v>346.3</v>
      </c>
      <c r="Q908" s="1096" t="s">
        <v>1763</v>
      </c>
      <c r="R908" s="1114">
        <v>318.7</v>
      </c>
      <c r="S908" s="1096" t="s">
        <v>1763</v>
      </c>
      <c r="T908" s="1114">
        <v>441.4</v>
      </c>
      <c r="U908" s="1096" t="s">
        <v>1763</v>
      </c>
      <c r="V908" s="1114">
        <v>396.8</v>
      </c>
      <c r="W908" s="1096" t="s">
        <v>1763</v>
      </c>
      <c r="X908" s="1114">
        <v>302.60000000000002</v>
      </c>
      <c r="Y908" s="1096" t="s">
        <v>1763</v>
      </c>
      <c r="Z908" s="1114">
        <v>257.60000000000002</v>
      </c>
      <c r="AA908" s="1096"/>
      <c r="AB908" s="1096"/>
      <c r="AC908" s="1096"/>
      <c r="AD908" s="1096"/>
      <c r="AE908" s="1096"/>
      <c r="AF908" s="1096"/>
      <c r="AG908" s="1096"/>
      <c r="AH908" s="1096"/>
      <c r="AI908" s="1096"/>
      <c r="AJ908" s="1096"/>
      <c r="AK908" s="1096"/>
      <c r="AL908" s="1096"/>
      <c r="AM908" s="1096"/>
      <c r="AN908" s="1096"/>
      <c r="AO908" s="1096"/>
      <c r="AP908" s="1096"/>
      <c r="AQ908" s="1096"/>
      <c r="AR908" s="1096"/>
      <c r="AS908" s="1096"/>
      <c r="AT908" s="1096"/>
      <c r="AU908" s="1096"/>
      <c r="AV908" s="1096"/>
      <c r="AW908" s="1096"/>
      <c r="AX908" s="1096"/>
      <c r="AY908" s="1096"/>
    </row>
    <row r="909" spans="1:51" x14ac:dyDescent="0.45">
      <c r="A909" s="1115">
        <v>2014</v>
      </c>
      <c r="B909" s="1096" t="s">
        <v>1379</v>
      </c>
      <c r="C909" s="1112">
        <f>[6]ONS!Z909</f>
        <v>257.7</v>
      </c>
      <c r="D909" s="1112">
        <f>[6]ONS!P909</f>
        <v>345.3</v>
      </c>
      <c r="E909" s="1096"/>
      <c r="F909" s="1114">
        <f t="shared" si="38"/>
        <v>133.99301513387661</v>
      </c>
      <c r="G909" s="1112">
        <f t="shared" si="39"/>
        <v>126.15444315095073</v>
      </c>
      <c r="H909" s="1112">
        <f t="shared" si="40"/>
        <v>164.14435389988361</v>
      </c>
      <c r="I909" s="1112">
        <f t="shared" si="41"/>
        <v>153.97749320915796</v>
      </c>
      <c r="J909" s="1112">
        <f t="shared" si="42"/>
        <v>117.4233604967016</v>
      </c>
      <c r="K909" s="1096"/>
      <c r="L909" s="1096"/>
      <c r="M909" s="1096"/>
      <c r="N909" s="1096"/>
      <c r="O909" s="1096"/>
      <c r="P909" s="1114">
        <v>345.3</v>
      </c>
      <c r="Q909" s="1096" t="s">
        <v>1764</v>
      </c>
      <c r="R909" s="1114">
        <v>325.10000000000002</v>
      </c>
      <c r="S909" s="1096" t="s">
        <v>1764</v>
      </c>
      <c r="T909" s="1114">
        <v>423</v>
      </c>
      <c r="U909" s="1096" t="s">
        <v>1764</v>
      </c>
      <c r="V909" s="1114">
        <v>396.8</v>
      </c>
      <c r="W909" s="1096" t="s">
        <v>1764</v>
      </c>
      <c r="X909" s="1114">
        <v>302.60000000000002</v>
      </c>
      <c r="Y909" s="1096" t="s">
        <v>1764</v>
      </c>
      <c r="Z909" s="1114">
        <v>257.7</v>
      </c>
      <c r="AA909" s="1096"/>
      <c r="AB909" s="1096"/>
      <c r="AC909" s="1096"/>
      <c r="AD909" s="1096"/>
      <c r="AE909" s="1096"/>
      <c r="AF909" s="1096"/>
      <c r="AG909" s="1096"/>
      <c r="AH909" s="1096"/>
      <c r="AI909" s="1096"/>
      <c r="AJ909" s="1096"/>
      <c r="AK909" s="1096"/>
      <c r="AL909" s="1096"/>
      <c r="AM909" s="1096"/>
      <c r="AN909" s="1096"/>
      <c r="AO909" s="1096"/>
      <c r="AP909" s="1096"/>
      <c r="AQ909" s="1096"/>
      <c r="AR909" s="1096"/>
      <c r="AS909" s="1096"/>
      <c r="AT909" s="1096"/>
      <c r="AU909" s="1096"/>
      <c r="AV909" s="1096"/>
      <c r="AW909" s="1096"/>
      <c r="AX909" s="1096"/>
      <c r="AY909" s="1096"/>
    </row>
    <row r="910" spans="1:51" x14ac:dyDescent="0.45">
      <c r="A910" s="1115">
        <v>2014</v>
      </c>
      <c r="B910" s="1096" t="s">
        <v>1381</v>
      </c>
      <c r="C910" s="1112">
        <f>[6]ONS!Z910</f>
        <v>257.10000000000002</v>
      </c>
      <c r="D910" s="1112">
        <f>[6]ONS!P910</f>
        <v>345.1</v>
      </c>
      <c r="E910" s="1096"/>
      <c r="F910" s="1114">
        <f t="shared" si="38"/>
        <v>134.22792687670167</v>
      </c>
      <c r="G910" s="1112">
        <f t="shared" si="39"/>
        <v>126.44885258654219</v>
      </c>
      <c r="H910" s="1112">
        <f t="shared" si="40"/>
        <v>162.81602489303773</v>
      </c>
      <c r="I910" s="1112">
        <f t="shared" si="41"/>
        <v>154.33683391676391</v>
      </c>
      <c r="J910" s="1112">
        <f t="shared" si="42"/>
        <v>117.69739401011279</v>
      </c>
      <c r="K910" s="1096"/>
      <c r="L910" s="1096"/>
      <c r="M910" s="1096"/>
      <c r="N910" s="1096"/>
      <c r="O910" s="1096"/>
      <c r="P910" s="1114">
        <v>345.1</v>
      </c>
      <c r="Q910" s="1096" t="s">
        <v>1765</v>
      </c>
      <c r="R910" s="1114">
        <v>325.10000000000002</v>
      </c>
      <c r="S910" s="1096" t="s">
        <v>1765</v>
      </c>
      <c r="T910" s="1114">
        <v>418.6</v>
      </c>
      <c r="U910" s="1096" t="s">
        <v>1765</v>
      </c>
      <c r="V910" s="1114">
        <v>396.8</v>
      </c>
      <c r="W910" s="1096" t="s">
        <v>1765</v>
      </c>
      <c r="X910" s="1114">
        <v>302.60000000000002</v>
      </c>
      <c r="Y910" s="1096" t="s">
        <v>1765</v>
      </c>
      <c r="Z910" s="1114">
        <v>257.10000000000002</v>
      </c>
      <c r="AA910" s="1096"/>
      <c r="AB910" s="1096"/>
      <c r="AC910" s="1096"/>
      <c r="AD910" s="1096"/>
      <c r="AE910" s="1096"/>
      <c r="AF910" s="1096"/>
      <c r="AG910" s="1096"/>
      <c r="AH910" s="1096"/>
      <c r="AI910" s="1096"/>
      <c r="AJ910" s="1096"/>
      <c r="AK910" s="1096"/>
      <c r="AL910" s="1096"/>
      <c r="AM910" s="1096"/>
      <c r="AN910" s="1096"/>
      <c r="AO910" s="1096"/>
      <c r="AP910" s="1096"/>
      <c r="AQ910" s="1096"/>
      <c r="AR910" s="1096"/>
      <c r="AS910" s="1096"/>
      <c r="AT910" s="1096"/>
      <c r="AU910" s="1096"/>
      <c r="AV910" s="1096"/>
      <c r="AW910" s="1096"/>
      <c r="AX910" s="1096"/>
      <c r="AY910" s="1096"/>
    </row>
    <row r="911" spans="1:51" x14ac:dyDescent="0.45">
      <c r="A911" s="1115">
        <v>2014</v>
      </c>
      <c r="B911" s="1096" t="s">
        <v>1383</v>
      </c>
      <c r="C911" s="1112">
        <f>[6]ONS!Z911</f>
        <v>257.5</v>
      </c>
      <c r="D911" s="1112">
        <f>[6]ONS!P911</f>
        <v>343.3</v>
      </c>
      <c r="E911" s="1096"/>
      <c r="F911" s="1114">
        <f t="shared" si="38"/>
        <v>133.32038834951456</v>
      </c>
      <c r="G911" s="1112">
        <f t="shared" si="39"/>
        <v>126.25242718446603</v>
      </c>
      <c r="H911" s="1112">
        <f t="shared" si="40"/>
        <v>151.45631067961165</v>
      </c>
      <c r="I911" s="1112">
        <f t="shared" si="41"/>
        <v>154.09708737864079</v>
      </c>
      <c r="J911" s="1112">
        <f t="shared" si="42"/>
        <v>117.51456310679613</v>
      </c>
      <c r="K911" s="1096"/>
      <c r="L911" s="1096"/>
      <c r="M911" s="1096"/>
      <c r="N911" s="1096"/>
      <c r="O911" s="1096"/>
      <c r="P911" s="1114">
        <v>343.3</v>
      </c>
      <c r="Q911" s="1096" t="s">
        <v>1766</v>
      </c>
      <c r="R911" s="1114">
        <v>325.10000000000002</v>
      </c>
      <c r="S911" s="1096" t="s">
        <v>1766</v>
      </c>
      <c r="T911" s="1114">
        <v>390</v>
      </c>
      <c r="U911" s="1096" t="s">
        <v>1766</v>
      </c>
      <c r="V911" s="1114">
        <v>396.8</v>
      </c>
      <c r="W911" s="1096" t="s">
        <v>1766</v>
      </c>
      <c r="X911" s="1114">
        <v>302.60000000000002</v>
      </c>
      <c r="Y911" s="1096" t="s">
        <v>1766</v>
      </c>
      <c r="Z911" s="1114">
        <v>257.5</v>
      </c>
      <c r="AA911" s="1096"/>
      <c r="AB911" s="1096"/>
      <c r="AC911" s="1096"/>
      <c r="AD911" s="1096"/>
      <c r="AE911" s="1096"/>
      <c r="AF911" s="1096"/>
      <c r="AG911" s="1096"/>
      <c r="AH911" s="1096"/>
      <c r="AI911" s="1096"/>
      <c r="AJ911" s="1096"/>
      <c r="AK911" s="1096"/>
      <c r="AL911" s="1096"/>
      <c r="AM911" s="1096"/>
      <c r="AN911" s="1096"/>
      <c r="AO911" s="1096"/>
      <c r="AP911" s="1096"/>
      <c r="AQ911" s="1096"/>
      <c r="AR911" s="1096"/>
      <c r="AS911" s="1096"/>
      <c r="AT911" s="1096"/>
      <c r="AU911" s="1096"/>
      <c r="AV911" s="1096"/>
      <c r="AW911" s="1096"/>
      <c r="AX911" s="1096"/>
      <c r="AY911" s="1096"/>
    </row>
    <row r="912" spans="1:51" x14ac:dyDescent="0.45">
      <c r="A912" s="1115">
        <v>2015</v>
      </c>
      <c r="B912" s="1096" t="s">
        <v>1385</v>
      </c>
      <c r="C912" s="1112">
        <f>[6]ONS!Z912</f>
        <v>255.4</v>
      </c>
      <c r="D912" s="1112">
        <f>[6]ONS!P912</f>
        <v>340</v>
      </c>
      <c r="E912" s="1096"/>
      <c r="F912" s="1114">
        <f t="shared" si="38"/>
        <v>133.12451057165231</v>
      </c>
      <c r="G912" s="1112">
        <f t="shared" si="39"/>
        <v>127.01644479248237</v>
      </c>
      <c r="H912" s="1112">
        <f t="shared" si="40"/>
        <v>136.4526233359436</v>
      </c>
      <c r="I912" s="1112">
        <f t="shared" si="41"/>
        <v>154.62020360219262</v>
      </c>
      <c r="J912" s="1112">
        <f t="shared" si="42"/>
        <v>118.48081440877056</v>
      </c>
      <c r="K912" s="1096"/>
      <c r="L912" s="1096"/>
      <c r="M912" s="1096"/>
      <c r="N912" s="1096"/>
      <c r="O912" s="1096"/>
      <c r="P912" s="1114">
        <v>340</v>
      </c>
      <c r="Q912" s="1096" t="s">
        <v>1767</v>
      </c>
      <c r="R912" s="1114">
        <v>324.39999999999998</v>
      </c>
      <c r="S912" s="1096" t="s">
        <v>1767</v>
      </c>
      <c r="T912" s="1114">
        <v>348.5</v>
      </c>
      <c r="U912" s="1096" t="s">
        <v>1767</v>
      </c>
      <c r="V912" s="1114">
        <v>394.9</v>
      </c>
      <c r="W912" s="1096" t="s">
        <v>1767</v>
      </c>
      <c r="X912" s="1114">
        <v>302.60000000000002</v>
      </c>
      <c r="Y912" s="1096" t="s">
        <v>1767</v>
      </c>
      <c r="Z912" s="1114">
        <v>255.4</v>
      </c>
      <c r="AA912" s="1096"/>
      <c r="AB912" s="1096"/>
      <c r="AC912" s="1096"/>
      <c r="AD912" s="1096"/>
      <c r="AE912" s="1096"/>
      <c r="AF912" s="1096"/>
      <c r="AG912" s="1096"/>
      <c r="AH912" s="1096"/>
      <c r="AI912" s="1096"/>
      <c r="AJ912" s="1096"/>
      <c r="AK912" s="1096"/>
      <c r="AL912" s="1096"/>
      <c r="AM912" s="1096"/>
      <c r="AN912" s="1096"/>
      <c r="AO912" s="1096"/>
      <c r="AP912" s="1096"/>
      <c r="AQ912" s="1096"/>
      <c r="AR912" s="1096"/>
      <c r="AS912" s="1096"/>
      <c r="AT912" s="1096"/>
      <c r="AU912" s="1096"/>
      <c r="AV912" s="1096"/>
      <c r="AW912" s="1096"/>
      <c r="AX912" s="1096"/>
      <c r="AY912" s="1096"/>
    </row>
    <row r="913" spans="1:51" x14ac:dyDescent="0.45">
      <c r="A913" s="1115">
        <v>2015</v>
      </c>
      <c r="B913" s="1096" t="s">
        <v>1387</v>
      </c>
      <c r="C913" s="1112">
        <f>[6]ONS!Z913</f>
        <v>256.7</v>
      </c>
      <c r="D913" s="1112">
        <f>[6]ONS!P913</f>
        <v>339.6</v>
      </c>
      <c r="E913" s="1096"/>
      <c r="F913" s="1114">
        <f t="shared" si="38"/>
        <v>132.29450720685628</v>
      </c>
      <c r="G913" s="1112">
        <f t="shared" si="39"/>
        <v>126.41215426567977</v>
      </c>
      <c r="H913" s="1112">
        <f t="shared" si="40"/>
        <v>141.72185430463577</v>
      </c>
      <c r="I913" s="1112">
        <f t="shared" si="41"/>
        <v>152.78535255161668</v>
      </c>
      <c r="J913" s="1112">
        <f t="shared" si="42"/>
        <v>117.88079470198679</v>
      </c>
      <c r="K913" s="1096"/>
      <c r="L913" s="1096"/>
      <c r="M913" s="1096"/>
      <c r="N913" s="1096"/>
      <c r="O913" s="1096"/>
      <c r="P913" s="1114">
        <v>339.6</v>
      </c>
      <c r="Q913" s="1096" t="s">
        <v>1768</v>
      </c>
      <c r="R913" s="1114">
        <v>324.5</v>
      </c>
      <c r="S913" s="1096" t="s">
        <v>1768</v>
      </c>
      <c r="T913" s="1114">
        <v>363.8</v>
      </c>
      <c r="U913" s="1096" t="s">
        <v>1768</v>
      </c>
      <c r="V913" s="1114">
        <v>392.2</v>
      </c>
      <c r="W913" s="1096" t="s">
        <v>1768</v>
      </c>
      <c r="X913" s="1114">
        <v>302.60000000000002</v>
      </c>
      <c r="Y913" s="1096" t="s">
        <v>1768</v>
      </c>
      <c r="Z913" s="1114">
        <v>256.7</v>
      </c>
      <c r="AA913" s="1096"/>
      <c r="AB913" s="1096"/>
      <c r="AC913" s="1096"/>
      <c r="AD913" s="1096"/>
      <c r="AE913" s="1096"/>
      <c r="AF913" s="1096"/>
      <c r="AG913" s="1096"/>
      <c r="AH913" s="1096"/>
      <c r="AI913" s="1096"/>
      <c r="AJ913" s="1096"/>
      <c r="AK913" s="1096"/>
      <c r="AL913" s="1096"/>
      <c r="AM913" s="1096"/>
      <c r="AN913" s="1096"/>
      <c r="AO913" s="1096"/>
      <c r="AP913" s="1096"/>
      <c r="AQ913" s="1096"/>
      <c r="AR913" s="1096"/>
      <c r="AS913" s="1096"/>
      <c r="AT913" s="1096"/>
      <c r="AU913" s="1096"/>
      <c r="AV913" s="1096"/>
      <c r="AW913" s="1096"/>
      <c r="AX913" s="1096"/>
      <c r="AY913" s="1096"/>
    </row>
    <row r="914" spans="1:51" x14ac:dyDescent="0.45">
      <c r="A914" s="1115">
        <v>2015</v>
      </c>
      <c r="B914" s="1096" t="s">
        <v>1389</v>
      </c>
      <c r="C914" s="1112">
        <f>[6]ONS!Z914</f>
        <v>257.10000000000002</v>
      </c>
      <c r="D914" s="1112">
        <f>[6]ONS!P914</f>
        <v>335</v>
      </c>
      <c r="E914" s="1096"/>
      <c r="F914" s="1114">
        <f t="shared" si="38"/>
        <v>130.29949436017111</v>
      </c>
      <c r="G914" s="1112">
        <f t="shared" si="39"/>
        <v>126.40995721509138</v>
      </c>
      <c r="H914" s="1112">
        <f t="shared" si="40"/>
        <v>137.92298716452743</v>
      </c>
      <c r="I914" s="1112">
        <f t="shared" si="41"/>
        <v>148.46363282769349</v>
      </c>
      <c r="J914" s="1112">
        <f t="shared" si="42"/>
        <v>117.69739401011279</v>
      </c>
      <c r="K914" s="1096"/>
      <c r="L914" s="1096"/>
      <c r="M914" s="1096"/>
      <c r="N914" s="1096"/>
      <c r="O914" s="1096"/>
      <c r="P914" s="1114">
        <v>335</v>
      </c>
      <c r="Q914" s="1096" t="s">
        <v>1769</v>
      </c>
      <c r="R914" s="1114">
        <v>325</v>
      </c>
      <c r="S914" s="1096" t="s">
        <v>1769</v>
      </c>
      <c r="T914" s="1114">
        <v>354.6</v>
      </c>
      <c r="U914" s="1096" t="s">
        <v>1769</v>
      </c>
      <c r="V914" s="1114">
        <v>381.7</v>
      </c>
      <c r="W914" s="1096" t="s">
        <v>1769</v>
      </c>
      <c r="X914" s="1114">
        <v>302.60000000000002</v>
      </c>
      <c r="Y914" s="1096" t="s">
        <v>1769</v>
      </c>
      <c r="Z914" s="1114">
        <v>257.10000000000002</v>
      </c>
      <c r="AA914" s="1096"/>
      <c r="AB914" s="1096"/>
      <c r="AC914" s="1096"/>
      <c r="AD914" s="1096"/>
      <c r="AE914" s="1096"/>
      <c r="AF914" s="1096"/>
      <c r="AG914" s="1096"/>
      <c r="AH914" s="1096"/>
      <c r="AI914" s="1096"/>
      <c r="AJ914" s="1096"/>
      <c r="AK914" s="1096"/>
      <c r="AL914" s="1096"/>
      <c r="AM914" s="1096"/>
      <c r="AN914" s="1096"/>
      <c r="AO914" s="1096"/>
      <c r="AP914" s="1096"/>
      <c r="AQ914" s="1096"/>
      <c r="AR914" s="1096"/>
      <c r="AS914" s="1096"/>
      <c r="AT914" s="1096"/>
      <c r="AU914" s="1096"/>
      <c r="AV914" s="1096"/>
      <c r="AW914" s="1096"/>
      <c r="AX914" s="1096"/>
      <c r="AY914" s="1096"/>
    </row>
    <row r="915" spans="1:51" x14ac:dyDescent="0.45">
      <c r="A915" s="1115">
        <v>2015</v>
      </c>
      <c r="B915" s="1096" t="s">
        <v>1391</v>
      </c>
      <c r="C915" s="1112">
        <f>[6]ONS!Z915</f>
        <v>258</v>
      </c>
      <c r="D915" s="1112">
        <f>[6]ONS!P915</f>
        <v>334.6</v>
      </c>
      <c r="E915" s="1096"/>
      <c r="F915" s="1114">
        <f t="shared" si="38"/>
        <v>129.68992248062017</v>
      </c>
      <c r="G915" s="1112">
        <f t="shared" si="39"/>
        <v>126.12403100775194</v>
      </c>
      <c r="H915" s="1112">
        <f t="shared" si="40"/>
        <v>137.09302325581393</v>
      </c>
      <c r="I915" s="1112">
        <f t="shared" si="41"/>
        <v>147.94573643410854</v>
      </c>
      <c r="J915" s="1112">
        <f t="shared" si="42"/>
        <v>117.05426356589147</v>
      </c>
      <c r="K915" s="1096"/>
      <c r="L915" s="1096"/>
      <c r="M915" s="1096"/>
      <c r="N915" s="1096"/>
      <c r="O915" s="1096"/>
      <c r="P915" s="1114">
        <v>334.6</v>
      </c>
      <c r="Q915" s="1096" t="s">
        <v>1770</v>
      </c>
      <c r="R915" s="1114">
        <v>325.39999999999998</v>
      </c>
      <c r="S915" s="1096" t="s">
        <v>1770</v>
      </c>
      <c r="T915" s="1114">
        <v>353.7</v>
      </c>
      <c r="U915" s="1096" t="s">
        <v>1770</v>
      </c>
      <c r="V915" s="1114">
        <v>381.7</v>
      </c>
      <c r="W915" s="1096" t="s">
        <v>1770</v>
      </c>
      <c r="X915" s="1114">
        <v>302</v>
      </c>
      <c r="Y915" s="1096" t="s">
        <v>1770</v>
      </c>
      <c r="Z915" s="1114">
        <v>258</v>
      </c>
      <c r="AA915" s="1096"/>
      <c r="AB915" s="1096"/>
      <c r="AC915" s="1096"/>
      <c r="AD915" s="1096"/>
      <c r="AE915" s="1096"/>
      <c r="AF915" s="1096"/>
      <c r="AG915" s="1096"/>
      <c r="AH915" s="1096"/>
      <c r="AI915" s="1096"/>
      <c r="AJ915" s="1096"/>
      <c r="AK915" s="1096"/>
      <c r="AL915" s="1096"/>
      <c r="AM915" s="1096"/>
      <c r="AN915" s="1096"/>
      <c r="AO915" s="1096"/>
      <c r="AP915" s="1096"/>
      <c r="AQ915" s="1096"/>
      <c r="AR915" s="1096"/>
      <c r="AS915" s="1096"/>
      <c r="AT915" s="1096"/>
      <c r="AU915" s="1096"/>
      <c r="AV915" s="1096"/>
      <c r="AW915" s="1096"/>
      <c r="AX915" s="1096"/>
      <c r="AY915" s="1096"/>
    </row>
    <row r="916" spans="1:51" x14ac:dyDescent="0.45">
      <c r="A916" s="1115">
        <v>2015</v>
      </c>
      <c r="B916" s="1096" t="s">
        <v>1393</v>
      </c>
      <c r="C916" s="1112">
        <f>[6]ONS!Z916</f>
        <v>258.5</v>
      </c>
      <c r="D916" s="1112">
        <f>[6]ONS!P916</f>
        <v>333.6</v>
      </c>
      <c r="E916" s="1096"/>
      <c r="F916" s="1114">
        <f t="shared" si="38"/>
        <v>129.05222437137331</v>
      </c>
      <c r="G916" s="1112">
        <f t="shared" si="39"/>
        <v>123.28820116054158</v>
      </c>
      <c r="H916" s="1112">
        <f t="shared" si="40"/>
        <v>138.6073500967118</v>
      </c>
      <c r="I916" s="1112">
        <f t="shared" si="41"/>
        <v>146.69245647969052</v>
      </c>
      <c r="J916" s="1112">
        <f t="shared" si="42"/>
        <v>116.82785299806578</v>
      </c>
      <c r="K916" s="1096"/>
      <c r="L916" s="1096"/>
      <c r="M916" s="1096"/>
      <c r="N916" s="1096"/>
      <c r="O916" s="1096"/>
      <c r="P916" s="1114">
        <v>333.6</v>
      </c>
      <c r="Q916" s="1096" t="s">
        <v>1771</v>
      </c>
      <c r="R916" s="1114">
        <v>318.7</v>
      </c>
      <c r="S916" s="1096" t="s">
        <v>1771</v>
      </c>
      <c r="T916" s="1114">
        <v>358.3</v>
      </c>
      <c r="U916" s="1096" t="s">
        <v>1771</v>
      </c>
      <c r="V916" s="1114">
        <v>379.2</v>
      </c>
      <c r="W916" s="1096" t="s">
        <v>1771</v>
      </c>
      <c r="X916" s="1114">
        <v>302</v>
      </c>
      <c r="Y916" s="1096" t="s">
        <v>1771</v>
      </c>
      <c r="Z916" s="1114">
        <v>258.5</v>
      </c>
      <c r="AA916" s="1096"/>
      <c r="AB916" s="1096"/>
      <c r="AC916" s="1096"/>
      <c r="AD916" s="1096"/>
      <c r="AE916" s="1096"/>
      <c r="AF916" s="1096"/>
      <c r="AG916" s="1096"/>
      <c r="AH916" s="1096"/>
      <c r="AI916" s="1096"/>
      <c r="AJ916" s="1096"/>
      <c r="AK916" s="1096"/>
      <c r="AL916" s="1096"/>
      <c r="AM916" s="1096"/>
      <c r="AN916" s="1096"/>
      <c r="AO916" s="1096"/>
      <c r="AP916" s="1096"/>
      <c r="AQ916" s="1096"/>
      <c r="AR916" s="1096"/>
      <c r="AS916" s="1096"/>
      <c r="AT916" s="1096"/>
      <c r="AU916" s="1096"/>
      <c r="AV916" s="1096"/>
      <c r="AW916" s="1096"/>
      <c r="AX916" s="1096"/>
      <c r="AY916" s="1096"/>
    </row>
    <row r="917" spans="1:51" x14ac:dyDescent="0.45">
      <c r="A917" s="1115">
        <v>2015</v>
      </c>
      <c r="B917" s="1096" t="s">
        <v>1371</v>
      </c>
      <c r="C917" s="1112">
        <f>[6]ONS!Z917</f>
        <v>258.89999999999998</v>
      </c>
      <c r="D917" s="1112">
        <f>[6]ONS!P917</f>
        <v>333.3</v>
      </c>
      <c r="E917" s="1096"/>
      <c r="F917" s="1114">
        <f t="shared" si="38"/>
        <v>128.73696407879493</v>
      </c>
      <c r="G917" s="1112">
        <f t="shared" si="39"/>
        <v>122.63422170722286</v>
      </c>
      <c r="H917" s="1112">
        <f t="shared" si="40"/>
        <v>135.45770567786789</v>
      </c>
      <c r="I917" s="1112">
        <f t="shared" si="41"/>
        <v>146.46581691772886</v>
      </c>
      <c r="J917" s="1112">
        <f t="shared" si="42"/>
        <v>116.60872923908845</v>
      </c>
      <c r="K917" s="1096"/>
      <c r="L917" s="1096"/>
      <c r="M917" s="1096"/>
      <c r="N917" s="1096"/>
      <c r="O917" s="1096"/>
      <c r="P917" s="1114">
        <v>333.3</v>
      </c>
      <c r="Q917" s="1096" t="s">
        <v>1772</v>
      </c>
      <c r="R917" s="1114">
        <v>317.5</v>
      </c>
      <c r="S917" s="1096" t="s">
        <v>1772</v>
      </c>
      <c r="T917" s="1114">
        <v>350.7</v>
      </c>
      <c r="U917" s="1096" t="s">
        <v>1772</v>
      </c>
      <c r="V917" s="1114">
        <v>379.2</v>
      </c>
      <c r="W917" s="1096" t="s">
        <v>1772</v>
      </c>
      <c r="X917" s="1114">
        <v>301.89999999999998</v>
      </c>
      <c r="Y917" s="1096" t="s">
        <v>1772</v>
      </c>
      <c r="Z917" s="1114">
        <v>258.89999999999998</v>
      </c>
      <c r="AA917" s="1096"/>
      <c r="AB917" s="1096"/>
      <c r="AC917" s="1096"/>
      <c r="AD917" s="1096"/>
      <c r="AE917" s="1096"/>
      <c r="AF917" s="1096"/>
      <c r="AG917" s="1096"/>
      <c r="AH917" s="1096"/>
      <c r="AI917" s="1096"/>
      <c r="AJ917" s="1096"/>
      <c r="AK917" s="1096"/>
      <c r="AL917" s="1096"/>
      <c r="AM917" s="1096"/>
      <c r="AN917" s="1096"/>
      <c r="AO917" s="1096"/>
      <c r="AP917" s="1096"/>
      <c r="AQ917" s="1096"/>
      <c r="AR917" s="1096"/>
      <c r="AS917" s="1096"/>
      <c r="AT917" s="1096"/>
      <c r="AU917" s="1096"/>
      <c r="AV917" s="1096"/>
      <c r="AW917" s="1096"/>
      <c r="AX917" s="1096"/>
      <c r="AY917" s="1096"/>
    </row>
    <row r="918" spans="1:51" x14ac:dyDescent="0.45">
      <c r="A918" s="1115">
        <v>2015</v>
      </c>
      <c r="B918" s="1096" t="s">
        <v>1373</v>
      </c>
      <c r="C918" s="1112">
        <f>[6]ONS!Z918</f>
        <v>258.60000000000002</v>
      </c>
      <c r="D918" s="1112">
        <f>[6]ONS!P918</f>
        <v>332.7</v>
      </c>
      <c r="E918" s="1096"/>
      <c r="F918" s="1114">
        <f t="shared" si="38"/>
        <v>128.65429234338745</v>
      </c>
      <c r="G918" s="1112">
        <f t="shared" si="39"/>
        <v>122.77648878576952</v>
      </c>
      <c r="H918" s="1112">
        <f t="shared" si="40"/>
        <v>130.89713843774166</v>
      </c>
      <c r="I918" s="1112">
        <f t="shared" si="41"/>
        <v>146.63573085846866</v>
      </c>
      <c r="J918" s="1112">
        <f t="shared" si="42"/>
        <v>116.74400618716163</v>
      </c>
      <c r="K918" s="1096"/>
      <c r="L918" s="1096"/>
      <c r="M918" s="1096"/>
      <c r="N918" s="1096"/>
      <c r="O918" s="1096"/>
      <c r="P918" s="1114">
        <v>332.7</v>
      </c>
      <c r="Q918" s="1096" t="s">
        <v>1773</v>
      </c>
      <c r="R918" s="1114">
        <v>317.5</v>
      </c>
      <c r="S918" s="1096" t="s">
        <v>1773</v>
      </c>
      <c r="T918" s="1114">
        <v>338.5</v>
      </c>
      <c r="U918" s="1096" t="s">
        <v>1773</v>
      </c>
      <c r="V918" s="1114">
        <v>379.2</v>
      </c>
      <c r="W918" s="1096" t="s">
        <v>1773</v>
      </c>
      <c r="X918" s="1114">
        <v>301.89999999999998</v>
      </c>
      <c r="Y918" s="1096" t="s">
        <v>1773</v>
      </c>
      <c r="Z918" s="1114">
        <v>258.60000000000002</v>
      </c>
      <c r="AA918" s="1096"/>
      <c r="AB918" s="1096"/>
      <c r="AC918" s="1096"/>
      <c r="AD918" s="1096"/>
      <c r="AE918" s="1096"/>
      <c r="AF918" s="1096"/>
      <c r="AG918" s="1096"/>
      <c r="AH918" s="1096"/>
      <c r="AI918" s="1096"/>
      <c r="AJ918" s="1096"/>
      <c r="AK918" s="1096"/>
      <c r="AL918" s="1096"/>
      <c r="AM918" s="1096"/>
      <c r="AN918" s="1096"/>
      <c r="AO918" s="1096"/>
      <c r="AP918" s="1096"/>
      <c r="AQ918" s="1096"/>
      <c r="AR918" s="1096"/>
      <c r="AS918" s="1096"/>
      <c r="AT918" s="1096"/>
      <c r="AU918" s="1096"/>
      <c r="AV918" s="1096"/>
      <c r="AW918" s="1096"/>
      <c r="AX918" s="1096"/>
      <c r="AY918" s="1096"/>
    </row>
    <row r="919" spans="1:51" x14ac:dyDescent="0.45">
      <c r="A919" s="1115">
        <v>2015</v>
      </c>
      <c r="B919" s="1096" t="s">
        <v>1375</v>
      </c>
      <c r="C919" s="1112">
        <f>[6]ONS!Z919</f>
        <v>259.8</v>
      </c>
      <c r="D919" s="1112">
        <f>[6]ONS!P919</f>
        <v>331.4</v>
      </c>
      <c r="E919" s="1096"/>
      <c r="F919" s="1114">
        <f t="shared" si="38"/>
        <v>127.55966127790607</v>
      </c>
      <c r="G919" s="1112">
        <f t="shared" si="39"/>
        <v>122.17090069284062</v>
      </c>
      <c r="H919" s="1112">
        <f t="shared" si="40"/>
        <v>118.12933025404155</v>
      </c>
      <c r="I919" s="1112">
        <f t="shared" si="41"/>
        <v>145.95842956120092</v>
      </c>
      <c r="J919" s="1112">
        <f t="shared" si="42"/>
        <v>116.20477290223248</v>
      </c>
      <c r="K919" s="1096"/>
      <c r="L919" s="1096"/>
      <c r="M919" s="1096"/>
      <c r="N919" s="1096"/>
      <c r="O919" s="1096"/>
      <c r="P919" s="1114">
        <v>331.4</v>
      </c>
      <c r="Q919" s="1096" t="s">
        <v>1774</v>
      </c>
      <c r="R919" s="1114">
        <v>317.39999999999998</v>
      </c>
      <c r="S919" s="1096" t="s">
        <v>1774</v>
      </c>
      <c r="T919" s="1114">
        <v>306.89999999999998</v>
      </c>
      <c r="U919" s="1096" t="s">
        <v>1774</v>
      </c>
      <c r="V919" s="1114">
        <v>379.2</v>
      </c>
      <c r="W919" s="1096" t="s">
        <v>1774</v>
      </c>
      <c r="X919" s="1114">
        <v>301.89999999999998</v>
      </c>
      <c r="Y919" s="1096" t="s">
        <v>1774</v>
      </c>
      <c r="Z919" s="1114">
        <v>259.8</v>
      </c>
      <c r="AA919" s="1096"/>
      <c r="AB919" s="1096"/>
      <c r="AC919" s="1096"/>
      <c r="AD919" s="1096"/>
      <c r="AE919" s="1096"/>
      <c r="AF919" s="1096"/>
      <c r="AG919" s="1096"/>
      <c r="AH919" s="1096"/>
      <c r="AI919" s="1096"/>
      <c r="AJ919" s="1096"/>
      <c r="AK919" s="1096"/>
      <c r="AL919" s="1096"/>
      <c r="AM919" s="1096"/>
      <c r="AN919" s="1096"/>
      <c r="AO919" s="1096"/>
      <c r="AP919" s="1096"/>
      <c r="AQ919" s="1096"/>
      <c r="AR919" s="1096"/>
      <c r="AS919" s="1096"/>
      <c r="AT919" s="1096"/>
      <c r="AU919" s="1096"/>
      <c r="AV919" s="1096"/>
      <c r="AW919" s="1096"/>
      <c r="AX919" s="1096"/>
      <c r="AY919" s="1096"/>
    </row>
    <row r="920" spans="1:51" x14ac:dyDescent="0.45">
      <c r="A920" s="1115">
        <v>2015</v>
      </c>
      <c r="B920" s="1096" t="s">
        <v>1377</v>
      </c>
      <c r="C920" s="1112">
        <f>[6]ONS!Z920</f>
        <v>259.60000000000002</v>
      </c>
      <c r="D920" s="1112">
        <f>[6]ONS!P920</f>
        <v>328.3</v>
      </c>
      <c r="E920" s="1096"/>
      <c r="F920" s="1114">
        <f t="shared" si="38"/>
        <v>126.46379044684129</v>
      </c>
      <c r="G920" s="1112">
        <f t="shared" si="39"/>
        <v>122.65023112480738</v>
      </c>
      <c r="H920" s="1112">
        <f t="shared" si="40"/>
        <v>119.8382126348228</v>
      </c>
      <c r="I920" s="1112">
        <f t="shared" si="41"/>
        <v>142.91217257318951</v>
      </c>
      <c r="J920" s="1112">
        <f t="shared" si="42"/>
        <v>116.29429892141754</v>
      </c>
      <c r="K920" s="1096"/>
      <c r="L920" s="1096"/>
      <c r="M920" s="1096"/>
      <c r="N920" s="1096"/>
      <c r="O920" s="1096"/>
      <c r="P920" s="1114">
        <v>328.3</v>
      </c>
      <c r="Q920" s="1096" t="s">
        <v>1775</v>
      </c>
      <c r="R920" s="1114">
        <v>318.39999999999998</v>
      </c>
      <c r="S920" s="1096" t="s">
        <v>1775</v>
      </c>
      <c r="T920" s="1114">
        <v>311.10000000000002</v>
      </c>
      <c r="U920" s="1096" t="s">
        <v>1775</v>
      </c>
      <c r="V920" s="1114">
        <v>371</v>
      </c>
      <c r="W920" s="1096" t="s">
        <v>1775</v>
      </c>
      <c r="X920" s="1114">
        <v>301.89999999999998</v>
      </c>
      <c r="Y920" s="1096" t="s">
        <v>1775</v>
      </c>
      <c r="Z920" s="1114">
        <v>259.60000000000002</v>
      </c>
      <c r="AA920" s="1096"/>
      <c r="AB920" s="1096"/>
      <c r="AC920" s="1096"/>
      <c r="AD920" s="1096"/>
      <c r="AE920" s="1096"/>
      <c r="AF920" s="1096"/>
      <c r="AG920" s="1096"/>
      <c r="AH920" s="1096"/>
      <c r="AI920" s="1096"/>
      <c r="AJ920" s="1096"/>
      <c r="AK920" s="1096"/>
      <c r="AL920" s="1096"/>
      <c r="AM920" s="1096"/>
      <c r="AN920" s="1096"/>
      <c r="AO920" s="1096"/>
      <c r="AP920" s="1096"/>
      <c r="AQ920" s="1096"/>
      <c r="AR920" s="1096"/>
      <c r="AS920" s="1096"/>
      <c r="AT920" s="1096"/>
      <c r="AU920" s="1096"/>
      <c r="AV920" s="1096"/>
      <c r="AW920" s="1096"/>
      <c r="AX920" s="1096"/>
      <c r="AY920" s="1096"/>
    </row>
    <row r="921" spans="1:51" x14ac:dyDescent="0.45">
      <c r="A921" s="1115">
        <v>2015</v>
      </c>
      <c r="B921" s="1096" t="s">
        <v>1379</v>
      </c>
      <c r="C921" s="1112">
        <f>[6]ONS!Z921</f>
        <v>259.5</v>
      </c>
      <c r="D921" s="1112">
        <f>[6]ONS!P921</f>
        <v>328.4</v>
      </c>
      <c r="E921" s="1096"/>
      <c r="F921" s="1114">
        <f t="shared" si="38"/>
        <v>126.55105973025047</v>
      </c>
      <c r="G921" s="1112">
        <f t="shared" si="39"/>
        <v>124.27745664739885</v>
      </c>
      <c r="H921" s="1112">
        <f t="shared" si="40"/>
        <v>119.84585741811176</v>
      </c>
      <c r="I921" s="1112">
        <f t="shared" si="41"/>
        <v>142.96724470134873</v>
      </c>
      <c r="J921" s="1112">
        <f t="shared" si="42"/>
        <v>116.33911368015413</v>
      </c>
      <c r="K921" s="1096"/>
      <c r="L921" s="1096"/>
      <c r="M921" s="1096"/>
      <c r="N921" s="1096"/>
      <c r="O921" s="1096"/>
      <c r="P921" s="1114">
        <v>328.4</v>
      </c>
      <c r="Q921" s="1096" t="s">
        <v>1776</v>
      </c>
      <c r="R921" s="1114">
        <v>322.5</v>
      </c>
      <c r="S921" s="1096" t="s">
        <v>1776</v>
      </c>
      <c r="T921" s="1114">
        <v>311</v>
      </c>
      <c r="U921" s="1096" t="s">
        <v>1776</v>
      </c>
      <c r="V921" s="1114">
        <v>371</v>
      </c>
      <c r="W921" s="1096" t="s">
        <v>1776</v>
      </c>
      <c r="X921" s="1114">
        <v>301.89999999999998</v>
      </c>
      <c r="Y921" s="1096" t="s">
        <v>1776</v>
      </c>
      <c r="Z921" s="1114">
        <v>259.5</v>
      </c>
      <c r="AA921" s="1096"/>
      <c r="AB921" s="1096"/>
      <c r="AC921" s="1096"/>
      <c r="AD921" s="1096"/>
      <c r="AE921" s="1096"/>
      <c r="AF921" s="1096"/>
      <c r="AG921" s="1096"/>
      <c r="AH921" s="1096"/>
      <c r="AI921" s="1096"/>
      <c r="AJ921" s="1096"/>
      <c r="AK921" s="1096"/>
      <c r="AL921" s="1096"/>
      <c r="AM921" s="1096"/>
      <c r="AN921" s="1096"/>
      <c r="AO921" s="1096"/>
      <c r="AP921" s="1096"/>
      <c r="AQ921" s="1096"/>
      <c r="AR921" s="1096"/>
      <c r="AS921" s="1096"/>
      <c r="AT921" s="1096"/>
      <c r="AU921" s="1096"/>
      <c r="AV921" s="1096"/>
      <c r="AW921" s="1096"/>
      <c r="AX921" s="1096"/>
      <c r="AY921" s="1096"/>
    </row>
    <row r="922" spans="1:51" x14ac:dyDescent="0.45">
      <c r="A922" s="1115">
        <v>2015</v>
      </c>
      <c r="B922" s="1096" t="s">
        <v>1381</v>
      </c>
      <c r="C922" s="1112">
        <f>[6]ONS!Z922</f>
        <v>259.8</v>
      </c>
      <c r="D922" s="1112">
        <f>[6]ONS!P922</f>
        <v>328</v>
      </c>
      <c r="E922" s="1096"/>
      <c r="F922" s="1114">
        <f t="shared" si="38"/>
        <v>126.2509622786759</v>
      </c>
      <c r="G922" s="1112">
        <f t="shared" si="39"/>
        <v>124.364896073903</v>
      </c>
      <c r="H922" s="1112">
        <f t="shared" si="40"/>
        <v>116.39722863741338</v>
      </c>
      <c r="I922" s="1112">
        <f t="shared" si="41"/>
        <v>142.80215550423404</v>
      </c>
      <c r="J922" s="1112">
        <f t="shared" si="42"/>
        <v>116.20477290223248</v>
      </c>
      <c r="K922" s="1096"/>
      <c r="L922" s="1096"/>
      <c r="M922" s="1096"/>
      <c r="N922" s="1096"/>
      <c r="O922" s="1096"/>
      <c r="P922" s="1114">
        <v>328</v>
      </c>
      <c r="Q922" s="1096" t="s">
        <v>1777</v>
      </c>
      <c r="R922" s="1114">
        <v>323.10000000000002</v>
      </c>
      <c r="S922" s="1096" t="s">
        <v>1777</v>
      </c>
      <c r="T922" s="1114">
        <v>302.39999999999998</v>
      </c>
      <c r="U922" s="1096" t="s">
        <v>1777</v>
      </c>
      <c r="V922" s="1114">
        <v>371</v>
      </c>
      <c r="W922" s="1096" t="s">
        <v>1777</v>
      </c>
      <c r="X922" s="1114">
        <v>301.89999999999998</v>
      </c>
      <c r="Y922" s="1096" t="s">
        <v>1777</v>
      </c>
      <c r="Z922" s="1114">
        <v>259.8</v>
      </c>
      <c r="AA922" s="1096"/>
      <c r="AB922" s="1096"/>
      <c r="AC922" s="1096"/>
      <c r="AD922" s="1096"/>
      <c r="AE922" s="1096"/>
      <c r="AF922" s="1096"/>
      <c r="AG922" s="1096"/>
      <c r="AH922" s="1096"/>
      <c r="AI922" s="1096"/>
      <c r="AJ922" s="1096"/>
      <c r="AK922" s="1096"/>
      <c r="AL922" s="1096"/>
      <c r="AM922" s="1096"/>
      <c r="AN922" s="1096"/>
      <c r="AO922" s="1096"/>
      <c r="AP922" s="1096"/>
      <c r="AQ922" s="1096"/>
      <c r="AR922" s="1096"/>
      <c r="AS922" s="1096"/>
      <c r="AT922" s="1096"/>
      <c r="AU922" s="1096"/>
      <c r="AV922" s="1096"/>
      <c r="AW922" s="1096"/>
      <c r="AX922" s="1096"/>
      <c r="AY922" s="1096"/>
    </row>
    <row r="923" spans="1:51" x14ac:dyDescent="0.45">
      <c r="A923" s="1115">
        <v>2015</v>
      </c>
      <c r="B923" s="1096" t="s">
        <v>1383</v>
      </c>
      <c r="C923" s="1112">
        <f>[6]ONS!Z923</f>
        <v>260.60000000000002</v>
      </c>
      <c r="D923" s="1112">
        <f>[6]ONS!P923</f>
        <v>327.2</v>
      </c>
      <c r="E923" s="1096"/>
      <c r="F923" s="1114">
        <f t="shared" si="38"/>
        <v>125.55640828856482</v>
      </c>
      <c r="G923" s="1112">
        <f t="shared" si="39"/>
        <v>124.02148887183422</v>
      </c>
      <c r="H923" s="1112">
        <f t="shared" si="40"/>
        <v>108.59554873369149</v>
      </c>
      <c r="I923" s="1112">
        <f t="shared" si="41"/>
        <v>142.36377590176514</v>
      </c>
      <c r="J923" s="1112">
        <f t="shared" si="42"/>
        <v>115.84804297774365</v>
      </c>
      <c r="K923" s="1096"/>
      <c r="L923" s="1096"/>
      <c r="M923" s="1096"/>
      <c r="N923" s="1096"/>
      <c r="O923" s="1096"/>
      <c r="P923" s="1114">
        <v>327.2</v>
      </c>
      <c r="Q923" s="1096" t="s">
        <v>1778</v>
      </c>
      <c r="R923" s="1114">
        <v>323.2</v>
      </c>
      <c r="S923" s="1096" t="s">
        <v>1778</v>
      </c>
      <c r="T923" s="1114">
        <v>283</v>
      </c>
      <c r="U923" s="1096" t="s">
        <v>1778</v>
      </c>
      <c r="V923" s="1114">
        <v>371</v>
      </c>
      <c r="W923" s="1096" t="s">
        <v>1778</v>
      </c>
      <c r="X923" s="1114">
        <v>301.89999999999998</v>
      </c>
      <c r="Y923" s="1096" t="s">
        <v>1778</v>
      </c>
      <c r="Z923" s="1114">
        <v>260.60000000000002</v>
      </c>
      <c r="AA923" s="1096"/>
      <c r="AB923" s="1096"/>
      <c r="AC923" s="1096"/>
      <c r="AD923" s="1096"/>
      <c r="AE923" s="1096"/>
      <c r="AF923" s="1096"/>
      <c r="AG923" s="1096"/>
      <c r="AH923" s="1096"/>
      <c r="AI923" s="1096"/>
      <c r="AJ923" s="1096"/>
      <c r="AK923" s="1096"/>
      <c r="AL923" s="1096"/>
      <c r="AM923" s="1096"/>
      <c r="AN923" s="1096"/>
      <c r="AO923" s="1096"/>
      <c r="AP923" s="1096"/>
      <c r="AQ923" s="1096"/>
      <c r="AR923" s="1096"/>
      <c r="AS923" s="1096"/>
      <c r="AT923" s="1096"/>
      <c r="AU923" s="1096"/>
      <c r="AV923" s="1096"/>
      <c r="AW923" s="1096"/>
      <c r="AX923" s="1096"/>
      <c r="AY923" s="1096"/>
    </row>
    <row r="924" spans="1:51" x14ac:dyDescent="0.45">
      <c r="A924" s="1115">
        <v>2016</v>
      </c>
      <c r="B924" s="1096" t="s">
        <v>1385</v>
      </c>
      <c r="C924" s="1112">
        <f>[6]ONS!Z924</f>
        <v>258.8</v>
      </c>
      <c r="D924" s="1112">
        <f>[6]ONS!P924</f>
        <v>326.3</v>
      </c>
      <c r="E924" s="1096"/>
      <c r="F924" s="1114">
        <f t="shared" si="38"/>
        <v>126.08191653786707</v>
      </c>
      <c r="G924" s="1112">
        <f t="shared" si="39"/>
        <v>124.76816074188561</v>
      </c>
      <c r="H924" s="1112">
        <f t="shared" si="40"/>
        <v>101.66151468315302</v>
      </c>
      <c r="I924" s="1112">
        <f t="shared" si="41"/>
        <v>143.35394126738794</v>
      </c>
      <c r="J924" s="1112">
        <f t="shared" si="42"/>
        <v>116.65378670788252</v>
      </c>
      <c r="K924" s="1096"/>
      <c r="L924" s="1096"/>
      <c r="M924" s="1096"/>
      <c r="N924" s="1096"/>
      <c r="O924" s="1096"/>
      <c r="P924" s="1114">
        <v>326.3</v>
      </c>
      <c r="Q924" s="1096" t="s">
        <v>1779</v>
      </c>
      <c r="R924" s="1114">
        <v>322.89999999999998</v>
      </c>
      <c r="S924" s="1096" t="s">
        <v>1779</v>
      </c>
      <c r="T924" s="1114">
        <v>263.10000000000002</v>
      </c>
      <c r="U924" s="1096" t="s">
        <v>1779</v>
      </c>
      <c r="V924" s="1114">
        <v>371</v>
      </c>
      <c r="W924" s="1096" t="s">
        <v>1779</v>
      </c>
      <c r="X924" s="1114">
        <v>301.89999999999998</v>
      </c>
      <c r="Y924" s="1096" t="s">
        <v>1779</v>
      </c>
      <c r="Z924" s="1114">
        <v>258.8</v>
      </c>
      <c r="AA924" s="1096"/>
      <c r="AB924" s="1096"/>
      <c r="AC924" s="1096"/>
      <c r="AD924" s="1096"/>
      <c r="AE924" s="1096"/>
      <c r="AF924" s="1096"/>
      <c r="AG924" s="1096"/>
      <c r="AH924" s="1096"/>
      <c r="AI924" s="1096"/>
      <c r="AJ924" s="1096"/>
      <c r="AK924" s="1096"/>
      <c r="AL924" s="1096"/>
      <c r="AM924" s="1096"/>
      <c r="AN924" s="1096"/>
      <c r="AO924" s="1096"/>
      <c r="AP924" s="1096"/>
      <c r="AQ924" s="1096"/>
      <c r="AR924" s="1096"/>
      <c r="AS924" s="1096"/>
      <c r="AT924" s="1096"/>
      <c r="AU924" s="1096"/>
      <c r="AV924" s="1096"/>
      <c r="AW924" s="1096"/>
      <c r="AX924" s="1096"/>
      <c r="AY924" s="1096"/>
    </row>
    <row r="925" spans="1:51" x14ac:dyDescent="0.45">
      <c r="A925" s="1115">
        <v>2016</v>
      </c>
      <c r="B925" s="1096" t="s">
        <v>1387</v>
      </c>
      <c r="C925" s="1112">
        <f>[6]ONS!Z925</f>
        <v>260</v>
      </c>
      <c r="D925" s="1112">
        <f>[6]ONS!P925</f>
        <v>324.7</v>
      </c>
      <c r="E925" s="1096"/>
      <c r="F925" s="1114">
        <f t="shared" si="38"/>
        <v>124.88461538461537</v>
      </c>
      <c r="G925" s="1112">
        <f t="shared" si="39"/>
        <v>124.30769230769229</v>
      </c>
      <c r="H925" s="1112">
        <f t="shared" si="40"/>
        <v>97.730769230769226</v>
      </c>
      <c r="I925" s="1112">
        <f t="shared" si="41"/>
        <v>141.65384615384616</v>
      </c>
      <c r="J925" s="1112">
        <f t="shared" si="42"/>
        <v>116.1153846153846</v>
      </c>
      <c r="K925" s="1096"/>
      <c r="L925" s="1096"/>
      <c r="M925" s="1096"/>
      <c r="N925" s="1096"/>
      <c r="O925" s="1096"/>
      <c r="P925" s="1114">
        <v>324.7</v>
      </c>
      <c r="Q925" s="1096" t="s">
        <v>1780</v>
      </c>
      <c r="R925" s="1114">
        <v>323.2</v>
      </c>
      <c r="S925" s="1096" t="s">
        <v>1780</v>
      </c>
      <c r="T925" s="1114">
        <v>254.1</v>
      </c>
      <c r="U925" s="1096" t="s">
        <v>1780</v>
      </c>
      <c r="V925" s="1114">
        <v>368.3</v>
      </c>
      <c r="W925" s="1096" t="s">
        <v>1780</v>
      </c>
      <c r="X925" s="1114">
        <v>301.89999999999998</v>
      </c>
      <c r="Y925" s="1096" t="s">
        <v>1780</v>
      </c>
      <c r="Z925" s="1114">
        <v>260</v>
      </c>
      <c r="AA925" s="1096"/>
      <c r="AB925" s="1096"/>
      <c r="AC925" s="1096"/>
      <c r="AD925" s="1096"/>
      <c r="AE925" s="1096"/>
      <c r="AF925" s="1096"/>
      <c r="AG925" s="1096"/>
      <c r="AH925" s="1096"/>
      <c r="AI925" s="1096"/>
      <c r="AJ925" s="1096"/>
      <c r="AK925" s="1096"/>
      <c r="AL925" s="1096"/>
      <c r="AM925" s="1096"/>
      <c r="AN925" s="1096"/>
      <c r="AO925" s="1096"/>
      <c r="AP925" s="1096"/>
      <c r="AQ925" s="1096"/>
      <c r="AR925" s="1096"/>
      <c r="AS925" s="1096"/>
      <c r="AT925" s="1096"/>
      <c r="AU925" s="1096"/>
      <c r="AV925" s="1096"/>
      <c r="AW925" s="1096"/>
      <c r="AX925" s="1096"/>
      <c r="AY925" s="1096"/>
    </row>
    <row r="926" spans="1:51" x14ac:dyDescent="0.45">
      <c r="A926" s="1115">
        <v>2016</v>
      </c>
      <c r="B926" s="1096" t="s">
        <v>1389</v>
      </c>
      <c r="C926" s="1112">
        <f>[6]ONS!Z926</f>
        <v>261.10000000000002</v>
      </c>
      <c r="D926" s="1112">
        <f>[6]ONS!P926</f>
        <v>321.89999999999998</v>
      </c>
      <c r="E926" s="1096"/>
      <c r="F926" s="1114">
        <f t="shared" si="38"/>
        <v>123.28609728073533</v>
      </c>
      <c r="G926" s="1112">
        <f t="shared" si="39"/>
        <v>123.55419379548064</v>
      </c>
      <c r="H926" s="1112">
        <f t="shared" si="40"/>
        <v>103.79165070854077</v>
      </c>
      <c r="I926" s="1112">
        <f t="shared" si="41"/>
        <v>137.26541554959783</v>
      </c>
      <c r="J926" s="1112">
        <f t="shared" si="42"/>
        <v>115.6261968594408</v>
      </c>
      <c r="K926" s="1096"/>
      <c r="L926" s="1096"/>
      <c r="M926" s="1096"/>
      <c r="N926" s="1096"/>
      <c r="O926" s="1096"/>
      <c r="P926" s="1114">
        <v>321.89999999999998</v>
      </c>
      <c r="Q926" s="1096" t="s">
        <v>1781</v>
      </c>
      <c r="R926" s="1114">
        <v>322.60000000000002</v>
      </c>
      <c r="S926" s="1096" t="s">
        <v>1781</v>
      </c>
      <c r="T926" s="1114">
        <v>271</v>
      </c>
      <c r="U926" s="1096" t="s">
        <v>1781</v>
      </c>
      <c r="V926" s="1114">
        <v>358.4</v>
      </c>
      <c r="W926" s="1096" t="s">
        <v>1781</v>
      </c>
      <c r="X926" s="1114">
        <v>301.89999999999998</v>
      </c>
      <c r="Y926" s="1096" t="s">
        <v>1781</v>
      </c>
      <c r="Z926" s="1114">
        <v>261.10000000000002</v>
      </c>
      <c r="AA926" s="1096"/>
      <c r="AB926" s="1096"/>
      <c r="AC926" s="1096"/>
      <c r="AD926" s="1096"/>
      <c r="AE926" s="1096"/>
      <c r="AF926" s="1096"/>
      <c r="AG926" s="1096"/>
      <c r="AH926" s="1096"/>
      <c r="AI926" s="1096"/>
      <c r="AJ926" s="1096"/>
      <c r="AK926" s="1096"/>
      <c r="AL926" s="1096"/>
      <c r="AM926" s="1096"/>
      <c r="AN926" s="1096"/>
      <c r="AO926" s="1096"/>
      <c r="AP926" s="1096"/>
      <c r="AQ926" s="1096"/>
      <c r="AR926" s="1096"/>
      <c r="AS926" s="1096"/>
      <c r="AT926" s="1096"/>
      <c r="AU926" s="1096"/>
      <c r="AV926" s="1096"/>
      <c r="AW926" s="1096"/>
      <c r="AX926" s="1096"/>
      <c r="AY926" s="1096"/>
    </row>
    <row r="927" spans="1:51" x14ac:dyDescent="0.45">
      <c r="A927" s="1115">
        <v>2016</v>
      </c>
      <c r="B927" s="1096" t="s">
        <v>1391</v>
      </c>
      <c r="C927" s="1112">
        <f>[6]ONS!Z927</f>
        <v>261.39999999999998</v>
      </c>
      <c r="D927" s="1112">
        <f>[6]ONS!P927</f>
        <v>320</v>
      </c>
      <c r="E927" s="1096"/>
      <c r="F927" s="1114">
        <f t="shared" si="38"/>
        <v>122.41775057383322</v>
      </c>
      <c r="G927" s="1112">
        <f t="shared" si="39"/>
        <v>123.75669472073452</v>
      </c>
      <c r="H927" s="1112">
        <f t="shared" si="40"/>
        <v>105.58530986993115</v>
      </c>
      <c r="I927" s="1112">
        <f t="shared" si="41"/>
        <v>135.23335883703137</v>
      </c>
      <c r="J927" s="1112">
        <f t="shared" si="42"/>
        <v>115.26396327467485</v>
      </c>
      <c r="K927" s="1096"/>
      <c r="L927" s="1096"/>
      <c r="M927" s="1096"/>
      <c r="N927" s="1096"/>
      <c r="O927" s="1096"/>
      <c r="P927" s="1114">
        <v>320</v>
      </c>
      <c r="Q927" s="1096" t="s">
        <v>1782</v>
      </c>
      <c r="R927" s="1114">
        <v>323.5</v>
      </c>
      <c r="S927" s="1096" t="s">
        <v>1782</v>
      </c>
      <c r="T927" s="1114">
        <v>276</v>
      </c>
      <c r="U927" s="1096" t="s">
        <v>1782</v>
      </c>
      <c r="V927" s="1114">
        <v>353.5</v>
      </c>
      <c r="W927" s="1096" t="s">
        <v>1782</v>
      </c>
      <c r="X927" s="1114">
        <v>301.3</v>
      </c>
      <c r="Y927" s="1096" t="s">
        <v>1782</v>
      </c>
      <c r="Z927" s="1114">
        <v>261.39999999999998</v>
      </c>
      <c r="AA927" s="1096"/>
      <c r="AB927" s="1096"/>
      <c r="AC927" s="1096"/>
      <c r="AD927" s="1096"/>
      <c r="AE927" s="1096"/>
      <c r="AF927" s="1096"/>
      <c r="AG927" s="1096"/>
      <c r="AH927" s="1096"/>
      <c r="AI927" s="1096"/>
      <c r="AJ927" s="1096"/>
      <c r="AK927" s="1096"/>
      <c r="AL927" s="1096"/>
      <c r="AM927" s="1096"/>
      <c r="AN927" s="1096"/>
      <c r="AO927" s="1096"/>
      <c r="AP927" s="1096"/>
      <c r="AQ927" s="1096"/>
      <c r="AR927" s="1096"/>
      <c r="AS927" s="1096"/>
      <c r="AT927" s="1096"/>
      <c r="AU927" s="1096"/>
      <c r="AV927" s="1096"/>
      <c r="AW927" s="1096"/>
      <c r="AX927" s="1096"/>
      <c r="AY927" s="1096"/>
    </row>
    <row r="928" spans="1:51" x14ac:dyDescent="0.45">
      <c r="A928" s="1115">
        <v>2016</v>
      </c>
      <c r="B928" s="1096" t="s">
        <v>1393</v>
      </c>
      <c r="C928" s="1112">
        <f>[6]ONS!Z928</f>
        <v>262.10000000000002</v>
      </c>
      <c r="D928" s="1112">
        <f>[6]ONS!P928</f>
        <v>320.8</v>
      </c>
      <c r="E928" s="1096"/>
      <c r="F928" s="1114">
        <f t="shared" si="38"/>
        <v>122.39603204883632</v>
      </c>
      <c r="G928" s="1112">
        <f t="shared" si="39"/>
        <v>121.9381915299504</v>
      </c>
      <c r="H928" s="1112">
        <f t="shared" si="40"/>
        <v>110.95001907668829</v>
      </c>
      <c r="I928" s="1112">
        <f t="shared" si="41"/>
        <v>134.87218618847768</v>
      </c>
      <c r="J928" s="1112">
        <f t="shared" si="42"/>
        <v>114.9561236169401</v>
      </c>
      <c r="K928" s="1096"/>
      <c r="L928" s="1096"/>
      <c r="M928" s="1096"/>
      <c r="N928" s="1096"/>
      <c r="O928" s="1096"/>
      <c r="P928" s="1114">
        <v>320.8</v>
      </c>
      <c r="Q928" s="1096" t="s">
        <v>1783</v>
      </c>
      <c r="R928" s="1114">
        <v>319.60000000000002</v>
      </c>
      <c r="S928" s="1096" t="s">
        <v>1783</v>
      </c>
      <c r="T928" s="1114">
        <v>290.8</v>
      </c>
      <c r="U928" s="1096" t="s">
        <v>1783</v>
      </c>
      <c r="V928" s="1114">
        <v>353.5</v>
      </c>
      <c r="W928" s="1096" t="s">
        <v>1783</v>
      </c>
      <c r="X928" s="1114">
        <v>301.3</v>
      </c>
      <c r="Y928" s="1096" t="s">
        <v>1783</v>
      </c>
      <c r="Z928" s="1114">
        <v>262.10000000000002</v>
      </c>
      <c r="AA928" s="1096"/>
      <c r="AB928" s="1096"/>
      <c r="AC928" s="1096"/>
      <c r="AD928" s="1096"/>
      <c r="AE928" s="1096"/>
      <c r="AF928" s="1096"/>
      <c r="AG928" s="1096"/>
      <c r="AH928" s="1096"/>
      <c r="AI928" s="1096"/>
      <c r="AJ928" s="1096"/>
      <c r="AK928" s="1096"/>
      <c r="AL928" s="1096"/>
      <c r="AM928" s="1096"/>
      <c r="AN928" s="1096"/>
      <c r="AO928" s="1096"/>
      <c r="AP928" s="1096"/>
      <c r="AQ928" s="1096"/>
      <c r="AR928" s="1096"/>
      <c r="AS928" s="1096"/>
      <c r="AT928" s="1096"/>
      <c r="AU928" s="1096"/>
      <c r="AV928" s="1096"/>
      <c r="AW928" s="1096"/>
      <c r="AX928" s="1096"/>
      <c r="AY928" s="1096"/>
    </row>
    <row r="929" spans="1:51" x14ac:dyDescent="0.45">
      <c r="A929" s="1115">
        <v>2016</v>
      </c>
      <c r="B929" s="1096" t="s">
        <v>1371</v>
      </c>
      <c r="C929" s="1112">
        <f>[6]ONS!Z929</f>
        <v>263.10000000000002</v>
      </c>
      <c r="D929" s="1112">
        <f>[6]ONS!P929</f>
        <v>322</v>
      </c>
      <c r="E929" s="1096"/>
      <c r="F929" s="1114">
        <f t="shared" si="38"/>
        <v>122.38692512352716</v>
      </c>
      <c r="G929" s="1112">
        <f t="shared" si="39"/>
        <v>120.52451539338654</v>
      </c>
      <c r="H929" s="1112">
        <f t="shared" si="40"/>
        <v>118.35803876852906</v>
      </c>
      <c r="I929" s="1112">
        <f t="shared" si="41"/>
        <v>134.35955910300265</v>
      </c>
      <c r="J929" s="1112">
        <f t="shared" si="42"/>
        <v>114.519194222729</v>
      </c>
      <c r="K929" s="1096"/>
      <c r="L929" s="1096"/>
      <c r="M929" s="1096"/>
      <c r="N929" s="1096"/>
      <c r="O929" s="1096"/>
      <c r="P929" s="1114">
        <v>322</v>
      </c>
      <c r="Q929" s="1096" t="s">
        <v>1784</v>
      </c>
      <c r="R929" s="1114">
        <v>317.10000000000002</v>
      </c>
      <c r="S929" s="1096" t="s">
        <v>1784</v>
      </c>
      <c r="T929" s="1114">
        <v>311.39999999999998</v>
      </c>
      <c r="U929" s="1096" t="s">
        <v>1784</v>
      </c>
      <c r="V929" s="1114">
        <v>353.5</v>
      </c>
      <c r="W929" s="1096" t="s">
        <v>1784</v>
      </c>
      <c r="X929" s="1114">
        <v>301.3</v>
      </c>
      <c r="Y929" s="1096" t="s">
        <v>1784</v>
      </c>
      <c r="Z929" s="1114">
        <v>263.10000000000002</v>
      </c>
      <c r="AA929" s="1096"/>
      <c r="AB929" s="1096"/>
      <c r="AC929" s="1096"/>
      <c r="AD929" s="1096"/>
      <c r="AE929" s="1096"/>
      <c r="AF929" s="1096"/>
      <c r="AG929" s="1096"/>
      <c r="AH929" s="1096"/>
      <c r="AI929" s="1096"/>
      <c r="AJ929" s="1096"/>
      <c r="AK929" s="1096"/>
      <c r="AL929" s="1096"/>
      <c r="AM929" s="1096"/>
      <c r="AN929" s="1096"/>
      <c r="AO929" s="1096"/>
      <c r="AP929" s="1096"/>
      <c r="AQ929" s="1096"/>
      <c r="AR929" s="1096"/>
      <c r="AS929" s="1096"/>
      <c r="AT929" s="1096"/>
      <c r="AU929" s="1096"/>
      <c r="AV929" s="1096"/>
      <c r="AW929" s="1096"/>
      <c r="AX929" s="1096"/>
      <c r="AY929" s="1096"/>
    </row>
    <row r="930" spans="1:51" x14ac:dyDescent="0.45">
      <c r="A930" s="1115">
        <v>2016</v>
      </c>
      <c r="B930" s="1096" t="s">
        <v>1373</v>
      </c>
      <c r="C930" s="1112">
        <f>[6]ONS!Z930</f>
        <v>263.39999999999998</v>
      </c>
      <c r="D930" s="1112">
        <f>[6]ONS!P930</f>
        <v>322</v>
      </c>
      <c r="E930" s="1096"/>
      <c r="F930" s="1114">
        <f t="shared" si="38"/>
        <v>122.24753227031132</v>
      </c>
      <c r="G930" s="1112">
        <f t="shared" si="39"/>
        <v>119.47608200455582</v>
      </c>
      <c r="H930" s="1112">
        <f t="shared" si="40"/>
        <v>118.52695520121488</v>
      </c>
      <c r="I930" s="1112">
        <f t="shared" si="41"/>
        <v>134.20652999240698</v>
      </c>
      <c r="J930" s="1112">
        <f t="shared" si="42"/>
        <v>114.38876233864845</v>
      </c>
      <c r="K930" s="1096"/>
      <c r="L930" s="1096"/>
      <c r="M930" s="1096"/>
      <c r="N930" s="1096"/>
      <c r="O930" s="1096"/>
      <c r="P930" s="1114">
        <v>322</v>
      </c>
      <c r="Q930" s="1096" t="s">
        <v>1785</v>
      </c>
      <c r="R930" s="1114">
        <v>314.7</v>
      </c>
      <c r="S930" s="1096" t="s">
        <v>1785</v>
      </c>
      <c r="T930" s="1114">
        <v>312.2</v>
      </c>
      <c r="U930" s="1096" t="s">
        <v>1785</v>
      </c>
      <c r="V930" s="1114">
        <v>353.5</v>
      </c>
      <c r="W930" s="1096" t="s">
        <v>1785</v>
      </c>
      <c r="X930" s="1114">
        <v>301.3</v>
      </c>
      <c r="Y930" s="1096" t="s">
        <v>1785</v>
      </c>
      <c r="Z930" s="1114">
        <v>263.39999999999998</v>
      </c>
      <c r="AA930" s="1096"/>
      <c r="AB930" s="1096"/>
      <c r="AC930" s="1096"/>
      <c r="AD930" s="1096"/>
      <c r="AE930" s="1096"/>
      <c r="AF930" s="1096"/>
      <c r="AG930" s="1096"/>
      <c r="AH930" s="1096"/>
      <c r="AI930" s="1096"/>
      <c r="AJ930" s="1096"/>
      <c r="AK930" s="1096"/>
      <c r="AL930" s="1096"/>
      <c r="AM930" s="1096"/>
      <c r="AN930" s="1096"/>
      <c r="AO930" s="1096"/>
      <c r="AP930" s="1096"/>
      <c r="AQ930" s="1096"/>
      <c r="AR930" s="1096"/>
      <c r="AS930" s="1096"/>
      <c r="AT930" s="1096"/>
      <c r="AU930" s="1096"/>
      <c r="AV930" s="1096"/>
      <c r="AW930" s="1096"/>
      <c r="AX930" s="1096"/>
      <c r="AY930" s="1096"/>
    </row>
    <row r="931" spans="1:51" x14ac:dyDescent="0.45">
      <c r="A931" s="1115">
        <v>2016</v>
      </c>
      <c r="B931" s="1096" t="s">
        <v>1375</v>
      </c>
      <c r="C931" s="1112">
        <f>[6]ONS!Z931</f>
        <v>264.39999999999998</v>
      </c>
      <c r="D931" s="1112">
        <f>[6]ONS!P931</f>
        <v>321.7</v>
      </c>
      <c r="E931" s="1096"/>
      <c r="F931" s="1114">
        <f t="shared" si="38"/>
        <v>121.67170953101363</v>
      </c>
      <c r="G931" s="1112">
        <f t="shared" si="39"/>
        <v>119.13767019667172</v>
      </c>
      <c r="H931" s="1112">
        <f t="shared" si="40"/>
        <v>116.1875945537065</v>
      </c>
      <c r="I931" s="1112">
        <f t="shared" si="41"/>
        <v>133.69894099848716</v>
      </c>
      <c r="J931" s="1112">
        <f t="shared" si="42"/>
        <v>113.95612708018155</v>
      </c>
      <c r="K931" s="1096"/>
      <c r="L931" s="1096"/>
      <c r="M931" s="1096"/>
      <c r="N931" s="1096"/>
      <c r="O931" s="1096"/>
      <c r="P931" s="1114">
        <v>321.7</v>
      </c>
      <c r="Q931" s="1096" t="s">
        <v>1786</v>
      </c>
      <c r="R931" s="1114">
        <v>315</v>
      </c>
      <c r="S931" s="1096" t="s">
        <v>1786</v>
      </c>
      <c r="T931" s="1114">
        <v>307.2</v>
      </c>
      <c r="U931" s="1096" t="s">
        <v>1786</v>
      </c>
      <c r="V931" s="1114">
        <v>353.5</v>
      </c>
      <c r="W931" s="1096" t="s">
        <v>1786</v>
      </c>
      <c r="X931" s="1114">
        <v>301.3</v>
      </c>
      <c r="Y931" s="1096" t="s">
        <v>1786</v>
      </c>
      <c r="Z931" s="1114">
        <v>264.39999999999998</v>
      </c>
      <c r="AA931" s="1096"/>
      <c r="AB931" s="1096"/>
      <c r="AC931" s="1096"/>
      <c r="AD931" s="1096"/>
      <c r="AE931" s="1096"/>
      <c r="AF931" s="1096"/>
      <c r="AG931" s="1096"/>
      <c r="AH931" s="1096"/>
      <c r="AI931" s="1096"/>
      <c r="AJ931" s="1096"/>
      <c r="AK931" s="1096"/>
      <c r="AL931" s="1096"/>
      <c r="AM931" s="1096"/>
      <c r="AN931" s="1096"/>
      <c r="AO931" s="1096"/>
      <c r="AP931" s="1096"/>
      <c r="AQ931" s="1096"/>
      <c r="AR931" s="1096"/>
      <c r="AS931" s="1096"/>
      <c r="AT931" s="1096"/>
      <c r="AU931" s="1096"/>
      <c r="AV931" s="1096"/>
      <c r="AW931" s="1096"/>
      <c r="AX931" s="1096"/>
      <c r="AY931" s="1096"/>
    </row>
    <row r="932" spans="1:51" x14ac:dyDescent="0.45">
      <c r="A932" s="1115">
        <v>2016</v>
      </c>
      <c r="B932" s="1096" t="s">
        <v>1377</v>
      </c>
      <c r="C932" s="1112">
        <f>[6]ONS!Z932</f>
        <v>264.89999999999998</v>
      </c>
      <c r="D932" s="1112">
        <f>[6]ONS!P932</f>
        <v>322.39999999999998</v>
      </c>
      <c r="E932" s="1096"/>
      <c r="F932" s="1114">
        <f t="shared" si="38"/>
        <v>121.70630426576065</v>
      </c>
      <c r="G932" s="1112">
        <f t="shared" si="39"/>
        <v>119.74329935824841</v>
      </c>
      <c r="H932" s="1112">
        <f t="shared" si="40"/>
        <v>120.34730086825218</v>
      </c>
      <c r="I932" s="1112">
        <f t="shared" si="41"/>
        <v>133.44658361645904</v>
      </c>
      <c r="J932" s="1112">
        <f t="shared" si="42"/>
        <v>113.74103435258588</v>
      </c>
      <c r="K932" s="1096"/>
      <c r="L932" s="1096"/>
      <c r="M932" s="1096"/>
      <c r="N932" s="1096"/>
      <c r="O932" s="1096"/>
      <c r="P932" s="1114">
        <v>322.39999999999998</v>
      </c>
      <c r="Q932" s="1096" t="s">
        <v>1787</v>
      </c>
      <c r="R932" s="1114">
        <v>317.2</v>
      </c>
      <c r="S932" s="1096" t="s">
        <v>1787</v>
      </c>
      <c r="T932" s="1114">
        <v>318.8</v>
      </c>
      <c r="U932" s="1096" t="s">
        <v>1787</v>
      </c>
      <c r="V932" s="1114">
        <v>353.5</v>
      </c>
      <c r="W932" s="1096" t="s">
        <v>1787</v>
      </c>
      <c r="X932" s="1114">
        <v>301.3</v>
      </c>
      <c r="Y932" s="1096" t="s">
        <v>1787</v>
      </c>
      <c r="Z932" s="1114">
        <v>264.89999999999998</v>
      </c>
      <c r="AA932" s="1096"/>
      <c r="AB932" s="1096"/>
      <c r="AC932" s="1096"/>
      <c r="AD932" s="1096"/>
      <c r="AE932" s="1096"/>
      <c r="AF932" s="1096"/>
      <c r="AG932" s="1096"/>
      <c r="AH932" s="1096"/>
      <c r="AI932" s="1096"/>
      <c r="AJ932" s="1096"/>
      <c r="AK932" s="1096"/>
      <c r="AL932" s="1096"/>
      <c r="AM932" s="1096"/>
      <c r="AN932" s="1096"/>
      <c r="AO932" s="1096"/>
      <c r="AP932" s="1096"/>
      <c r="AQ932" s="1096"/>
      <c r="AR932" s="1096"/>
      <c r="AS932" s="1096"/>
      <c r="AT932" s="1096"/>
      <c r="AU932" s="1096"/>
      <c r="AV932" s="1096"/>
      <c r="AW932" s="1096"/>
      <c r="AX932" s="1096"/>
      <c r="AY932" s="1096"/>
    </row>
    <row r="933" spans="1:51" x14ac:dyDescent="0.45">
      <c r="A933" s="1115">
        <v>2016</v>
      </c>
      <c r="B933" s="1096" t="s">
        <v>1379</v>
      </c>
      <c r="C933" s="1112">
        <f>[6]ONS!Z933</f>
        <v>264.8</v>
      </c>
      <c r="D933" s="1112">
        <f>[6]ONS!P933</f>
        <v>324.89999999999998</v>
      </c>
      <c r="E933" s="1096"/>
      <c r="F933" s="1114">
        <f t="shared" si="38"/>
        <v>122.69637462235647</v>
      </c>
      <c r="G933" s="1112">
        <f t="shared" si="39"/>
        <v>121.90332326283988</v>
      </c>
      <c r="H933" s="1112">
        <f t="shared" si="40"/>
        <v>135.00755287009062</v>
      </c>
      <c r="I933" s="1112">
        <f t="shared" si="41"/>
        <v>133.49697885196375</v>
      </c>
      <c r="J933" s="1112">
        <f t="shared" si="42"/>
        <v>113.78398791540785</v>
      </c>
      <c r="K933" s="1096"/>
      <c r="L933" s="1096"/>
      <c r="M933" s="1096"/>
      <c r="N933" s="1096"/>
      <c r="O933" s="1096"/>
      <c r="P933" s="1114">
        <v>324.89999999999998</v>
      </c>
      <c r="Q933" s="1096" t="s">
        <v>1788</v>
      </c>
      <c r="R933" s="1114">
        <v>322.8</v>
      </c>
      <c r="S933" s="1096" t="s">
        <v>1788</v>
      </c>
      <c r="T933" s="1114">
        <v>357.5</v>
      </c>
      <c r="U933" s="1096" t="s">
        <v>1788</v>
      </c>
      <c r="V933" s="1114">
        <v>353.5</v>
      </c>
      <c r="W933" s="1096" t="s">
        <v>1788</v>
      </c>
      <c r="X933" s="1114">
        <v>301.3</v>
      </c>
      <c r="Y933" s="1096" t="s">
        <v>1788</v>
      </c>
      <c r="Z933" s="1114">
        <v>264.8</v>
      </c>
      <c r="AA933" s="1096"/>
      <c r="AB933" s="1096"/>
      <c r="AC933" s="1096"/>
      <c r="AD933" s="1096"/>
      <c r="AE933" s="1096"/>
      <c r="AF933" s="1096"/>
      <c r="AG933" s="1096"/>
      <c r="AH933" s="1096"/>
      <c r="AI933" s="1096"/>
      <c r="AJ933" s="1096"/>
      <c r="AK933" s="1096"/>
      <c r="AL933" s="1096"/>
      <c r="AM933" s="1096"/>
      <c r="AN933" s="1096"/>
      <c r="AO933" s="1096"/>
      <c r="AP933" s="1096"/>
      <c r="AQ933" s="1096"/>
      <c r="AR933" s="1096"/>
      <c r="AS933" s="1096"/>
      <c r="AT933" s="1096"/>
      <c r="AU933" s="1096"/>
      <c r="AV933" s="1096"/>
      <c r="AW933" s="1096"/>
      <c r="AX933" s="1096"/>
      <c r="AY933" s="1096"/>
    </row>
    <row r="934" spans="1:51" x14ac:dyDescent="0.45">
      <c r="A934" s="1115">
        <v>2016</v>
      </c>
      <c r="B934" s="1096" t="s">
        <v>1381</v>
      </c>
      <c r="C934" s="1112">
        <f>[6]ONS!Z934</f>
        <v>265.5</v>
      </c>
      <c r="D934" s="1112">
        <f>[6]ONS!P934</f>
        <v>324.2</v>
      </c>
      <c r="E934" s="1096"/>
      <c r="F934" s="1114">
        <f t="shared" ref="F934:F972" si="43">D934/C934*100</f>
        <v>122.10922787193974</v>
      </c>
      <c r="G934" s="1112">
        <f t="shared" si="39"/>
        <v>122.4482109227872</v>
      </c>
      <c r="H934" s="1112">
        <f t="shared" si="40"/>
        <v>129.83050847457628</v>
      </c>
      <c r="I934" s="1112">
        <f t="shared" si="41"/>
        <v>133.14500941619585</v>
      </c>
      <c r="J934" s="1112">
        <f t="shared" si="42"/>
        <v>113.48399246704332</v>
      </c>
      <c r="K934" s="1096"/>
      <c r="L934" s="1096"/>
      <c r="M934" s="1096"/>
      <c r="N934" s="1096"/>
      <c r="O934" s="1096"/>
      <c r="P934" s="1114">
        <v>324.2</v>
      </c>
      <c r="Q934" s="1096" t="s">
        <v>1789</v>
      </c>
      <c r="R934" s="1114">
        <v>325.10000000000002</v>
      </c>
      <c r="S934" s="1096" t="s">
        <v>1789</v>
      </c>
      <c r="T934" s="1114">
        <v>344.7</v>
      </c>
      <c r="U934" s="1096" t="s">
        <v>1789</v>
      </c>
      <c r="V934" s="1114">
        <v>353.5</v>
      </c>
      <c r="W934" s="1096" t="s">
        <v>1789</v>
      </c>
      <c r="X934" s="1114">
        <v>301.3</v>
      </c>
      <c r="Y934" s="1096" t="s">
        <v>1789</v>
      </c>
      <c r="Z934" s="1114">
        <v>265.5</v>
      </c>
      <c r="AA934" s="1096"/>
      <c r="AB934" s="1096"/>
      <c r="AC934" s="1096"/>
      <c r="AD934" s="1096"/>
      <c r="AE934" s="1096"/>
      <c r="AF934" s="1096"/>
      <c r="AG934" s="1096"/>
      <c r="AH934" s="1096"/>
      <c r="AI934" s="1096"/>
      <c r="AJ934" s="1096"/>
      <c r="AK934" s="1096"/>
      <c r="AL934" s="1096"/>
      <c r="AM934" s="1096"/>
      <c r="AN934" s="1096"/>
      <c r="AO934" s="1096"/>
      <c r="AP934" s="1096"/>
      <c r="AQ934" s="1096"/>
      <c r="AR934" s="1096"/>
      <c r="AS934" s="1096"/>
      <c r="AT934" s="1096"/>
      <c r="AU934" s="1096"/>
      <c r="AV934" s="1096"/>
      <c r="AW934" s="1096"/>
      <c r="AX934" s="1096"/>
      <c r="AY934" s="1096"/>
    </row>
    <row r="935" spans="1:51" x14ac:dyDescent="0.45">
      <c r="A935" s="1115">
        <v>2016</v>
      </c>
      <c r="B935" s="1096" t="s">
        <v>1383</v>
      </c>
      <c r="C935" s="1112">
        <f>[6]ONS!Z935</f>
        <v>267.10000000000002</v>
      </c>
      <c r="D935" s="1112">
        <f>[6]ONS!P935</f>
        <v>325.8</v>
      </c>
      <c r="E935" s="1096"/>
      <c r="F935" s="1114">
        <f t="shared" si="43"/>
        <v>121.97678771995506</v>
      </c>
      <c r="G935" s="1112">
        <f t="shared" si="39"/>
        <v>122.46349681767128</v>
      </c>
      <c r="H935" s="1112">
        <f t="shared" si="40"/>
        <v>138.97416697865964</v>
      </c>
      <c r="I935" s="1112">
        <f t="shared" si="41"/>
        <v>132.34743541744663</v>
      </c>
      <c r="J935" s="1112">
        <f t="shared" si="42"/>
        <v>112.80419318607262</v>
      </c>
      <c r="K935" s="1096"/>
      <c r="L935" s="1096"/>
      <c r="M935" s="1096"/>
      <c r="N935" s="1096"/>
      <c r="O935" s="1096"/>
      <c r="P935" s="1114">
        <v>325.8</v>
      </c>
      <c r="Q935" s="1096" t="s">
        <v>1790</v>
      </c>
      <c r="R935" s="1114">
        <v>327.10000000000002</v>
      </c>
      <c r="S935" s="1096" t="s">
        <v>1790</v>
      </c>
      <c r="T935" s="1114">
        <v>371.2</v>
      </c>
      <c r="U935" s="1096" t="s">
        <v>1790</v>
      </c>
      <c r="V935" s="1114">
        <v>353.5</v>
      </c>
      <c r="W935" s="1096" t="s">
        <v>1790</v>
      </c>
      <c r="X935" s="1114">
        <v>301.3</v>
      </c>
      <c r="Y935" s="1096" t="s">
        <v>1790</v>
      </c>
      <c r="Z935" s="1114">
        <v>267.10000000000002</v>
      </c>
      <c r="AA935" s="1096"/>
      <c r="AB935" s="1096"/>
      <c r="AC935" s="1096"/>
      <c r="AD935" s="1096"/>
      <c r="AE935" s="1096"/>
      <c r="AF935" s="1096"/>
      <c r="AG935" s="1096"/>
      <c r="AH935" s="1096"/>
      <c r="AI935" s="1096"/>
      <c r="AJ935" s="1096"/>
      <c r="AK935" s="1096"/>
      <c r="AL935" s="1096"/>
      <c r="AM935" s="1096"/>
      <c r="AN935" s="1096"/>
      <c r="AO935" s="1096"/>
      <c r="AP935" s="1096"/>
      <c r="AQ935" s="1096"/>
      <c r="AR935" s="1096"/>
      <c r="AS935" s="1096"/>
      <c r="AT935" s="1096"/>
      <c r="AU935" s="1096"/>
      <c r="AV935" s="1096"/>
      <c r="AW935" s="1096"/>
      <c r="AX935" s="1096"/>
      <c r="AY935" s="1096"/>
    </row>
    <row r="936" spans="1:51" x14ac:dyDescent="0.45">
      <c r="A936" s="1115">
        <v>2017</v>
      </c>
      <c r="B936" s="1096" t="s">
        <v>1385</v>
      </c>
      <c r="C936" s="1112">
        <f>[6]ONS!Z936</f>
        <v>265.5</v>
      </c>
      <c r="D936" s="1112">
        <f>[6]ONS!P936</f>
        <v>326.39999999999998</v>
      </c>
      <c r="E936" s="1096"/>
      <c r="F936" s="1114">
        <f t="shared" si="43"/>
        <v>122.93785310734462</v>
      </c>
      <c r="G936" s="1112">
        <f t="shared" si="39"/>
        <v>123.42749529190206</v>
      </c>
      <c r="H936" s="1112">
        <f t="shared" si="40"/>
        <v>148.09792843691147</v>
      </c>
      <c r="I936" s="1112">
        <f t="shared" si="41"/>
        <v>132.35404896421846</v>
      </c>
      <c r="J936" s="1112">
        <f t="shared" si="42"/>
        <v>113.48399246704332</v>
      </c>
      <c r="K936" s="1096"/>
      <c r="L936" s="1096"/>
      <c r="M936" s="1096"/>
      <c r="N936" s="1096"/>
      <c r="O936" s="1096"/>
      <c r="P936" s="1114">
        <v>326.39999999999998</v>
      </c>
      <c r="Q936" s="1096" t="s">
        <v>1791</v>
      </c>
      <c r="R936" s="1114">
        <v>327.7</v>
      </c>
      <c r="S936" s="1096" t="s">
        <v>1791</v>
      </c>
      <c r="T936" s="1114">
        <v>393.2</v>
      </c>
      <c r="U936" s="1096" t="s">
        <v>1791</v>
      </c>
      <c r="V936" s="1114">
        <v>351.4</v>
      </c>
      <c r="W936" s="1096" t="s">
        <v>1791</v>
      </c>
      <c r="X936" s="1114">
        <v>301.3</v>
      </c>
      <c r="Y936" s="1096" t="s">
        <v>1791</v>
      </c>
      <c r="Z936" s="1114">
        <v>265.5</v>
      </c>
      <c r="AA936" s="1096"/>
      <c r="AB936" s="1096"/>
      <c r="AC936" s="1096"/>
      <c r="AD936" s="1096"/>
      <c r="AE936" s="1096"/>
      <c r="AF936" s="1096"/>
      <c r="AG936" s="1096"/>
      <c r="AH936" s="1096"/>
      <c r="AI936" s="1096"/>
      <c r="AJ936" s="1096"/>
      <c r="AK936" s="1096"/>
      <c r="AL936" s="1096"/>
      <c r="AM936" s="1096"/>
      <c r="AN936" s="1096"/>
      <c r="AO936" s="1096"/>
      <c r="AP936" s="1096"/>
      <c r="AQ936" s="1096"/>
      <c r="AR936" s="1096"/>
      <c r="AS936" s="1096"/>
      <c r="AT936" s="1096"/>
      <c r="AU936" s="1096"/>
      <c r="AV936" s="1096"/>
      <c r="AW936" s="1096"/>
      <c r="AX936" s="1096"/>
      <c r="AY936" s="1096"/>
    </row>
    <row r="937" spans="1:51" x14ac:dyDescent="0.45">
      <c r="A937" s="1115">
        <v>2017</v>
      </c>
      <c r="B937" s="1096" t="s">
        <v>1387</v>
      </c>
      <c r="C937" s="1112">
        <f>[6]ONS!Z937</f>
        <v>268.39999999999998</v>
      </c>
      <c r="D937" s="1112">
        <f>[6]ONS!P937</f>
        <v>326.2</v>
      </c>
      <c r="E937" s="1096"/>
      <c r="F937" s="1114">
        <f t="shared" si="43"/>
        <v>121.53502235469449</v>
      </c>
      <c r="G937" s="1112">
        <f t="shared" si="39"/>
        <v>122.6527570789866</v>
      </c>
      <c r="H937" s="1112">
        <f t="shared" si="40"/>
        <v>144.74664679582713</v>
      </c>
      <c r="I937" s="1112">
        <f t="shared" si="41"/>
        <v>130.92399403874816</v>
      </c>
      <c r="J937" s="1112">
        <f t="shared" si="42"/>
        <v>112.25782414307007</v>
      </c>
      <c r="K937" s="1096"/>
      <c r="L937" s="1096"/>
      <c r="M937" s="1096"/>
      <c r="N937" s="1096"/>
      <c r="O937" s="1096"/>
      <c r="P937" s="1114">
        <v>326.2</v>
      </c>
      <c r="Q937" s="1096" t="s">
        <v>1792</v>
      </c>
      <c r="R937" s="1114">
        <v>329.2</v>
      </c>
      <c r="S937" s="1096" t="s">
        <v>1792</v>
      </c>
      <c r="T937" s="1114">
        <v>388.5</v>
      </c>
      <c r="U937" s="1096" t="s">
        <v>1792</v>
      </c>
      <c r="V937" s="1114">
        <v>351.4</v>
      </c>
      <c r="W937" s="1096" t="s">
        <v>1792</v>
      </c>
      <c r="X937" s="1114">
        <v>301.3</v>
      </c>
      <c r="Y937" s="1096" t="s">
        <v>1792</v>
      </c>
      <c r="Z937" s="1114">
        <v>268.39999999999998</v>
      </c>
      <c r="AA937" s="1096"/>
      <c r="AB937" s="1096"/>
      <c r="AC937" s="1096"/>
      <c r="AD937" s="1096"/>
      <c r="AE937" s="1096"/>
      <c r="AF937" s="1096"/>
      <c r="AG937" s="1096"/>
      <c r="AH937" s="1096"/>
      <c r="AI937" s="1096"/>
      <c r="AJ937" s="1096"/>
      <c r="AK937" s="1096"/>
      <c r="AL937" s="1096"/>
      <c r="AM937" s="1096"/>
      <c r="AN937" s="1096"/>
      <c r="AO937" s="1096"/>
      <c r="AP937" s="1096"/>
      <c r="AQ937" s="1096"/>
      <c r="AR937" s="1096"/>
      <c r="AS937" s="1096"/>
      <c r="AT937" s="1096"/>
      <c r="AU937" s="1096"/>
      <c r="AV937" s="1096"/>
      <c r="AW937" s="1096"/>
      <c r="AX937" s="1096"/>
      <c r="AY937" s="1096"/>
    </row>
    <row r="938" spans="1:51" x14ac:dyDescent="0.45">
      <c r="A938" s="1115">
        <v>2017</v>
      </c>
      <c r="B938" s="1096" t="s">
        <v>1389</v>
      </c>
      <c r="C938" s="1112">
        <f>[6]ONS!Z938</f>
        <v>269.3</v>
      </c>
      <c r="D938" s="1112">
        <f>[6]ONS!P938</f>
        <v>327.10000000000002</v>
      </c>
      <c r="E938" s="1096"/>
      <c r="F938" s="1114">
        <f t="shared" si="43"/>
        <v>121.46305235796511</v>
      </c>
      <c r="G938" s="1112">
        <f t="shared" si="39"/>
        <v>122.31711845525435</v>
      </c>
      <c r="H938" s="1112">
        <f t="shared" si="40"/>
        <v>138.61864092090605</v>
      </c>
      <c r="I938" s="1112">
        <f t="shared" si="41"/>
        <v>130.48644634236911</v>
      </c>
      <c r="J938" s="1112">
        <f t="shared" si="42"/>
        <v>112.95952469365021</v>
      </c>
      <c r="K938" s="1096"/>
      <c r="L938" s="1096"/>
      <c r="M938" s="1096"/>
      <c r="N938" s="1096"/>
      <c r="O938" s="1096"/>
      <c r="P938" s="1114">
        <v>327.10000000000002</v>
      </c>
      <c r="Q938" s="1096" t="s">
        <v>1793</v>
      </c>
      <c r="R938" s="1114">
        <v>329.4</v>
      </c>
      <c r="S938" s="1096" t="s">
        <v>1793</v>
      </c>
      <c r="T938" s="1114">
        <v>373.3</v>
      </c>
      <c r="U938" s="1096" t="s">
        <v>1793</v>
      </c>
      <c r="V938" s="1114">
        <v>351.4</v>
      </c>
      <c r="W938" s="1096" t="s">
        <v>1793</v>
      </c>
      <c r="X938" s="1114">
        <v>304.2</v>
      </c>
      <c r="Y938" s="1096" t="s">
        <v>1793</v>
      </c>
      <c r="Z938" s="1114">
        <v>269.3</v>
      </c>
      <c r="AA938" s="1096"/>
      <c r="AB938" s="1096"/>
      <c r="AC938" s="1096"/>
      <c r="AD938" s="1096"/>
      <c r="AE938" s="1096"/>
      <c r="AF938" s="1096"/>
      <c r="AG938" s="1096"/>
      <c r="AH938" s="1096"/>
      <c r="AI938" s="1096"/>
      <c r="AJ938" s="1096"/>
      <c r="AK938" s="1096"/>
      <c r="AL938" s="1096"/>
      <c r="AM938" s="1096"/>
      <c r="AN938" s="1096"/>
      <c r="AO938" s="1096"/>
      <c r="AP938" s="1096"/>
      <c r="AQ938" s="1096"/>
      <c r="AR938" s="1096"/>
      <c r="AS938" s="1096"/>
      <c r="AT938" s="1096"/>
      <c r="AU938" s="1096"/>
      <c r="AV938" s="1096"/>
      <c r="AW938" s="1096"/>
      <c r="AX938" s="1096"/>
      <c r="AY938" s="1096"/>
    </row>
    <row r="939" spans="1:51" x14ac:dyDescent="0.45">
      <c r="A939" s="1115">
        <v>2017</v>
      </c>
      <c r="B939" s="1096" t="s">
        <v>1391</v>
      </c>
      <c r="C939" s="1112">
        <f>[6]ONS!Z939</f>
        <v>270.60000000000002</v>
      </c>
      <c r="D939" s="1112">
        <f>[6]ONS!P939</f>
        <v>330.5</v>
      </c>
      <c r="E939" s="1096"/>
      <c r="F939" s="1114">
        <f t="shared" si="43"/>
        <v>122.13599408721359</v>
      </c>
      <c r="G939" s="1112">
        <f t="shared" si="39"/>
        <v>121.80339985218033</v>
      </c>
      <c r="H939" s="1112">
        <f t="shared" si="40"/>
        <v>138.17442719881743</v>
      </c>
      <c r="I939" s="1112">
        <f t="shared" si="41"/>
        <v>129.08351810790833</v>
      </c>
      <c r="J939" s="1112">
        <f t="shared" si="42"/>
        <v>115.26237989652621</v>
      </c>
      <c r="K939" s="1096"/>
      <c r="L939" s="1096"/>
      <c r="M939" s="1096"/>
      <c r="N939" s="1096"/>
      <c r="O939" s="1096"/>
      <c r="P939" s="1114">
        <v>330.5</v>
      </c>
      <c r="Q939" s="1096" t="s">
        <v>1794</v>
      </c>
      <c r="R939" s="1114">
        <v>329.6</v>
      </c>
      <c r="S939" s="1096" t="s">
        <v>1794</v>
      </c>
      <c r="T939" s="1114">
        <v>373.9</v>
      </c>
      <c r="U939" s="1096" t="s">
        <v>1794</v>
      </c>
      <c r="V939" s="1114">
        <v>349.3</v>
      </c>
      <c r="W939" s="1096" t="s">
        <v>1794</v>
      </c>
      <c r="X939" s="1114">
        <v>311.89999999999998</v>
      </c>
      <c r="Y939" s="1096" t="s">
        <v>1794</v>
      </c>
      <c r="Z939" s="1114">
        <v>270.60000000000002</v>
      </c>
      <c r="AA939" s="1096"/>
      <c r="AB939" s="1096"/>
      <c r="AC939" s="1096"/>
      <c r="AD939" s="1096"/>
      <c r="AE939" s="1096"/>
      <c r="AF939" s="1096"/>
      <c r="AG939" s="1096"/>
      <c r="AH939" s="1096"/>
      <c r="AI939" s="1096"/>
      <c r="AJ939" s="1096"/>
      <c r="AK939" s="1096"/>
      <c r="AL939" s="1096"/>
      <c r="AM939" s="1096"/>
      <c r="AN939" s="1096"/>
      <c r="AO939" s="1096"/>
      <c r="AP939" s="1096"/>
      <c r="AQ939" s="1096"/>
      <c r="AR939" s="1096"/>
      <c r="AS939" s="1096"/>
      <c r="AT939" s="1096"/>
      <c r="AU939" s="1096"/>
      <c r="AV939" s="1096"/>
      <c r="AW939" s="1096"/>
      <c r="AX939" s="1096"/>
      <c r="AY939" s="1096"/>
    </row>
    <row r="940" spans="1:51" x14ac:dyDescent="0.45">
      <c r="A940" s="1115">
        <v>2017</v>
      </c>
      <c r="B940" s="1096" t="s">
        <v>1393</v>
      </c>
      <c r="C940" s="1112">
        <f>[6]ONS!Z940</f>
        <v>271.7</v>
      </c>
      <c r="D940" s="1112">
        <f>[6]ONS!P940</f>
        <v>337</v>
      </c>
      <c r="E940" s="1096"/>
      <c r="F940" s="1114">
        <f t="shared" si="43"/>
        <v>124.03386087596616</v>
      </c>
      <c r="G940" s="1112">
        <f t="shared" si="39"/>
        <v>119.61722488038278</v>
      </c>
      <c r="H940" s="1112">
        <f t="shared" si="40"/>
        <v>130.14354066985646</v>
      </c>
      <c r="I940" s="1112">
        <f t="shared" si="41"/>
        <v>129.26021347073979</v>
      </c>
      <c r="J940" s="1112">
        <f t="shared" si="42"/>
        <v>119.43319838056681</v>
      </c>
      <c r="K940" s="1096"/>
      <c r="L940" s="1096"/>
      <c r="M940" s="1096"/>
      <c r="N940" s="1096"/>
      <c r="O940" s="1096"/>
      <c r="P940" s="1114">
        <v>337</v>
      </c>
      <c r="Q940" s="1096" t="s">
        <v>1795</v>
      </c>
      <c r="R940" s="1114">
        <v>325</v>
      </c>
      <c r="S940" s="1096" t="s">
        <v>1795</v>
      </c>
      <c r="T940" s="1114">
        <v>353.6</v>
      </c>
      <c r="U940" s="1096" t="s">
        <v>1795</v>
      </c>
      <c r="V940" s="1114">
        <v>351.2</v>
      </c>
      <c r="W940" s="1096" t="s">
        <v>1795</v>
      </c>
      <c r="X940" s="1114">
        <v>324.5</v>
      </c>
      <c r="Y940" s="1096" t="s">
        <v>1795</v>
      </c>
      <c r="Z940" s="1114">
        <v>271.7</v>
      </c>
      <c r="AA940" s="1096"/>
      <c r="AB940" s="1096"/>
      <c r="AC940" s="1096"/>
      <c r="AD940" s="1096"/>
      <c r="AE940" s="1096"/>
      <c r="AF940" s="1096"/>
      <c r="AG940" s="1096"/>
      <c r="AH940" s="1096"/>
      <c r="AI940" s="1096"/>
      <c r="AJ940" s="1096"/>
      <c r="AK940" s="1096"/>
      <c r="AL940" s="1096"/>
      <c r="AM940" s="1096"/>
      <c r="AN940" s="1096"/>
      <c r="AO940" s="1096"/>
      <c r="AP940" s="1096"/>
      <c r="AQ940" s="1096"/>
      <c r="AR940" s="1096"/>
      <c r="AS940" s="1096"/>
      <c r="AT940" s="1096"/>
      <c r="AU940" s="1096"/>
      <c r="AV940" s="1096"/>
      <c r="AW940" s="1096"/>
      <c r="AX940" s="1096"/>
      <c r="AY940" s="1096"/>
    </row>
    <row r="941" spans="1:51" x14ac:dyDescent="0.45">
      <c r="A941" s="1115">
        <v>2017</v>
      </c>
      <c r="B941" s="1096" t="s">
        <v>1371</v>
      </c>
      <c r="C941" s="1112">
        <f>[6]ONS!Z941</f>
        <v>272.3</v>
      </c>
      <c r="D941" s="1112">
        <f>[6]ONS!P941</f>
        <v>336.8</v>
      </c>
      <c r="E941" s="1096"/>
      <c r="F941" s="1114">
        <f t="shared" si="43"/>
        <v>123.68710980536173</v>
      </c>
      <c r="G941" s="1112">
        <f t="shared" si="39"/>
        <v>119.09658464928387</v>
      </c>
      <c r="H941" s="1112">
        <f t="shared" si="40"/>
        <v>128.05728975394783</v>
      </c>
      <c r="I941" s="1112">
        <f t="shared" si="41"/>
        <v>128.97539478516342</v>
      </c>
      <c r="J941" s="1112">
        <f t="shared" si="42"/>
        <v>119.1700330517811</v>
      </c>
      <c r="K941" s="1096"/>
      <c r="L941" s="1096"/>
      <c r="M941" s="1096"/>
      <c r="N941" s="1096"/>
      <c r="O941" s="1096"/>
      <c r="P941" s="1114">
        <v>336.8</v>
      </c>
      <c r="Q941" s="1096" t="s">
        <v>1796</v>
      </c>
      <c r="R941" s="1114">
        <v>324.3</v>
      </c>
      <c r="S941" s="1096" t="s">
        <v>1796</v>
      </c>
      <c r="T941" s="1114">
        <v>348.7</v>
      </c>
      <c r="U941" s="1096" t="s">
        <v>1796</v>
      </c>
      <c r="V941" s="1114">
        <v>351.2</v>
      </c>
      <c r="W941" s="1096" t="s">
        <v>1796</v>
      </c>
      <c r="X941" s="1114">
        <v>324.5</v>
      </c>
      <c r="Y941" s="1096" t="s">
        <v>1796</v>
      </c>
      <c r="Z941" s="1114">
        <v>272.3</v>
      </c>
      <c r="AA941" s="1096"/>
      <c r="AB941" s="1096"/>
      <c r="AC941" s="1096"/>
      <c r="AD941" s="1096"/>
      <c r="AE941" s="1096"/>
      <c r="AF941" s="1096"/>
      <c r="AG941" s="1096"/>
      <c r="AH941" s="1096"/>
      <c r="AI941" s="1096"/>
      <c r="AJ941" s="1096"/>
      <c r="AK941" s="1096"/>
      <c r="AL941" s="1096"/>
      <c r="AM941" s="1096"/>
      <c r="AN941" s="1096"/>
      <c r="AO941" s="1096"/>
      <c r="AP941" s="1096"/>
      <c r="AQ941" s="1096"/>
      <c r="AR941" s="1096"/>
      <c r="AS941" s="1096"/>
      <c r="AT941" s="1096"/>
      <c r="AU941" s="1096"/>
      <c r="AV941" s="1096"/>
      <c r="AW941" s="1096"/>
      <c r="AX941" s="1096"/>
      <c r="AY941" s="1096"/>
    </row>
    <row r="942" spans="1:51" x14ac:dyDescent="0.45">
      <c r="A942" s="1115">
        <v>2017</v>
      </c>
      <c r="B942" s="1096" t="s">
        <v>1373</v>
      </c>
      <c r="C942" s="1112">
        <f>[6]ONS!Z942</f>
        <v>272.89999999999998</v>
      </c>
      <c r="D942" s="1112">
        <f>[6]ONS!P942</f>
        <v>339.6</v>
      </c>
      <c r="E942" s="1096"/>
      <c r="F942" s="1114">
        <f t="shared" si="43"/>
        <v>124.44118724807625</v>
      </c>
      <c r="G942" s="1112">
        <f t="shared" si="39"/>
        <v>118.7248076218395</v>
      </c>
      <c r="H942" s="1112">
        <f t="shared" si="40"/>
        <v>127.18944668376697</v>
      </c>
      <c r="I942" s="1112">
        <f t="shared" si="41"/>
        <v>129.31476731403444</v>
      </c>
      <c r="J942" s="1112">
        <f t="shared" si="42"/>
        <v>120.3371198241114</v>
      </c>
      <c r="K942" s="1096"/>
      <c r="L942" s="1096"/>
      <c r="M942" s="1096"/>
      <c r="N942" s="1096"/>
      <c r="O942" s="1096"/>
      <c r="P942" s="1114">
        <v>339.6</v>
      </c>
      <c r="Q942" s="1096" t="s">
        <v>1797</v>
      </c>
      <c r="R942" s="1114">
        <v>324</v>
      </c>
      <c r="S942" s="1096" t="s">
        <v>1797</v>
      </c>
      <c r="T942" s="1114">
        <v>347.1</v>
      </c>
      <c r="U942" s="1096" t="s">
        <v>1797</v>
      </c>
      <c r="V942" s="1114">
        <v>352.9</v>
      </c>
      <c r="W942" s="1096" t="s">
        <v>1797</v>
      </c>
      <c r="X942" s="1114">
        <v>328.4</v>
      </c>
      <c r="Y942" s="1096" t="s">
        <v>1797</v>
      </c>
      <c r="Z942" s="1114">
        <v>272.89999999999998</v>
      </c>
      <c r="AA942" s="1096"/>
      <c r="AB942" s="1096"/>
      <c r="AC942" s="1096"/>
      <c r="AD942" s="1096"/>
      <c r="AE942" s="1096"/>
      <c r="AF942" s="1096"/>
      <c r="AG942" s="1096"/>
      <c r="AH942" s="1096"/>
      <c r="AI942" s="1096"/>
      <c r="AJ942" s="1096"/>
      <c r="AK942" s="1096"/>
      <c r="AL942" s="1096"/>
      <c r="AM942" s="1096"/>
      <c r="AN942" s="1096"/>
      <c r="AO942" s="1096"/>
      <c r="AP942" s="1096"/>
      <c r="AQ942" s="1096"/>
      <c r="AR942" s="1096"/>
      <c r="AS942" s="1096"/>
      <c r="AT942" s="1096"/>
      <c r="AU942" s="1096"/>
      <c r="AV942" s="1096"/>
      <c r="AW942" s="1096"/>
      <c r="AX942" s="1096"/>
      <c r="AY942" s="1096"/>
    </row>
    <row r="943" spans="1:51" x14ac:dyDescent="0.45">
      <c r="A943" s="1115">
        <v>2017</v>
      </c>
      <c r="B943" s="1096" t="s">
        <v>1375</v>
      </c>
      <c r="C943" s="1112">
        <f>[6]ONS!Z943</f>
        <v>274.7</v>
      </c>
      <c r="D943" s="1112">
        <f>[6]ONS!P943</f>
        <v>340.1</v>
      </c>
      <c r="E943" s="1096"/>
      <c r="F943" s="1114">
        <f t="shared" si="43"/>
        <v>123.80779031670914</v>
      </c>
      <c r="G943" s="1112">
        <f t="shared" si="39"/>
        <v>117.98325445941028</v>
      </c>
      <c r="H943" s="1112">
        <f t="shared" si="40"/>
        <v>130.72442664725156</v>
      </c>
      <c r="I943" s="1112">
        <f t="shared" si="41"/>
        <v>128.46741900254824</v>
      </c>
      <c r="J943" s="1112">
        <f t="shared" si="42"/>
        <v>119.54859847105934</v>
      </c>
      <c r="K943" s="1096"/>
      <c r="L943" s="1096"/>
      <c r="M943" s="1096"/>
      <c r="N943" s="1096"/>
      <c r="O943" s="1096"/>
      <c r="P943" s="1114">
        <v>340.1</v>
      </c>
      <c r="Q943" s="1096" t="s">
        <v>1798</v>
      </c>
      <c r="R943" s="1114">
        <v>324.10000000000002</v>
      </c>
      <c r="S943" s="1096" t="s">
        <v>1798</v>
      </c>
      <c r="T943" s="1114">
        <v>359.1</v>
      </c>
      <c r="U943" s="1096" t="s">
        <v>1798</v>
      </c>
      <c r="V943" s="1114">
        <v>352.9</v>
      </c>
      <c r="W943" s="1096" t="s">
        <v>1798</v>
      </c>
      <c r="X943" s="1114">
        <v>328.4</v>
      </c>
      <c r="Y943" s="1096" t="s">
        <v>1798</v>
      </c>
      <c r="Z943" s="1114">
        <v>274.7</v>
      </c>
      <c r="AA943" s="1096"/>
      <c r="AB943" s="1096"/>
      <c r="AC943" s="1096"/>
      <c r="AD943" s="1096"/>
      <c r="AE943" s="1096"/>
      <c r="AF943" s="1096"/>
      <c r="AG943" s="1096"/>
      <c r="AH943" s="1096"/>
      <c r="AI943" s="1096"/>
      <c r="AJ943" s="1096"/>
      <c r="AK943" s="1096"/>
      <c r="AL943" s="1096"/>
      <c r="AM943" s="1096"/>
      <c r="AN943" s="1096"/>
      <c r="AO943" s="1096"/>
      <c r="AP943" s="1096"/>
      <c r="AQ943" s="1096"/>
      <c r="AR943" s="1096"/>
      <c r="AS943" s="1096"/>
      <c r="AT943" s="1096"/>
      <c r="AU943" s="1096"/>
      <c r="AV943" s="1096"/>
      <c r="AW943" s="1096"/>
      <c r="AX943" s="1096"/>
      <c r="AY943" s="1096"/>
    </row>
    <row r="944" spans="1:51" x14ac:dyDescent="0.45">
      <c r="A944" s="1115">
        <v>2017</v>
      </c>
      <c r="B944" s="1096" t="s">
        <v>1377</v>
      </c>
      <c r="C944" s="1112">
        <f>[6]ONS!Z944</f>
        <v>275.10000000000002</v>
      </c>
      <c r="D944" s="1112">
        <f>[6]ONS!P944</f>
        <v>340.6</v>
      </c>
      <c r="E944" s="1096"/>
      <c r="F944" s="1114">
        <f t="shared" si="43"/>
        <v>123.80952380952381</v>
      </c>
      <c r="G944" s="1112">
        <f t="shared" si="39"/>
        <v>117.84805525263539</v>
      </c>
      <c r="H944" s="1112">
        <f t="shared" si="40"/>
        <v>134.67829880043621</v>
      </c>
      <c r="I944" s="1112">
        <f t="shared" si="41"/>
        <v>128.28062522719011</v>
      </c>
      <c r="J944" s="1112">
        <f t="shared" si="42"/>
        <v>119.37477280988729</v>
      </c>
      <c r="K944" s="1096"/>
      <c r="L944" s="1096"/>
      <c r="M944" s="1096"/>
      <c r="N944" s="1096"/>
      <c r="O944" s="1096"/>
      <c r="P944" s="1114">
        <v>340.6</v>
      </c>
      <c r="Q944" s="1096" t="s">
        <v>1799</v>
      </c>
      <c r="R944" s="1114">
        <v>324.2</v>
      </c>
      <c r="S944" s="1096" t="s">
        <v>1799</v>
      </c>
      <c r="T944" s="1114">
        <v>370.5</v>
      </c>
      <c r="U944" s="1096" t="s">
        <v>1799</v>
      </c>
      <c r="V944" s="1114">
        <v>352.9</v>
      </c>
      <c r="W944" s="1096" t="s">
        <v>1799</v>
      </c>
      <c r="X944" s="1114">
        <v>328.4</v>
      </c>
      <c r="Y944" s="1096" t="s">
        <v>1799</v>
      </c>
      <c r="Z944" s="1114">
        <v>275.10000000000002</v>
      </c>
      <c r="AA944" s="1096"/>
      <c r="AB944" s="1096"/>
      <c r="AC944" s="1096"/>
      <c r="AD944" s="1096"/>
      <c r="AE944" s="1096"/>
      <c r="AF944" s="1096"/>
      <c r="AG944" s="1096"/>
      <c r="AH944" s="1096"/>
      <c r="AI944" s="1096"/>
      <c r="AJ944" s="1096"/>
      <c r="AK944" s="1096"/>
      <c r="AL944" s="1096"/>
      <c r="AM944" s="1096"/>
      <c r="AN944" s="1096"/>
      <c r="AO944" s="1096"/>
      <c r="AP944" s="1096"/>
      <c r="AQ944" s="1096"/>
      <c r="AR944" s="1096"/>
      <c r="AS944" s="1096"/>
      <c r="AT944" s="1096"/>
      <c r="AU944" s="1096"/>
      <c r="AV944" s="1096"/>
      <c r="AW944" s="1096"/>
      <c r="AX944" s="1096"/>
      <c r="AY944" s="1096"/>
    </row>
    <row r="945" spans="1:51" x14ac:dyDescent="0.45">
      <c r="A945" s="1115">
        <v>2017</v>
      </c>
      <c r="B945" s="1096" t="s">
        <v>1379</v>
      </c>
      <c r="C945" s="1112">
        <f>[6]ONS!Z945</f>
        <v>275.3</v>
      </c>
      <c r="D945" s="1112">
        <f>[6]ONS!P945</f>
        <v>344.9</v>
      </c>
      <c r="E945" s="1096"/>
      <c r="F945" s="1114">
        <f t="shared" si="43"/>
        <v>125.28151107882309</v>
      </c>
      <c r="G945" s="1112">
        <f t="shared" si="39"/>
        <v>120.23247366509263</v>
      </c>
      <c r="H945" s="1112">
        <f t="shared" si="40"/>
        <v>135.74282600799128</v>
      </c>
      <c r="I945" s="1112">
        <f t="shared" si="41"/>
        <v>128.26007991282239</v>
      </c>
      <c r="J945" s="1112">
        <f t="shared" si="42"/>
        <v>121.93970214311661</v>
      </c>
      <c r="K945" s="1096"/>
      <c r="L945" s="1096"/>
      <c r="M945" s="1096"/>
      <c r="N945" s="1096"/>
      <c r="O945" s="1096"/>
      <c r="P945" s="1114">
        <v>344.9</v>
      </c>
      <c r="Q945" s="1096" t="s">
        <v>1800</v>
      </c>
      <c r="R945" s="1114">
        <v>331</v>
      </c>
      <c r="S945" s="1096" t="s">
        <v>1800</v>
      </c>
      <c r="T945" s="1114">
        <v>373.7</v>
      </c>
      <c r="U945" s="1096" t="s">
        <v>1800</v>
      </c>
      <c r="V945" s="1114">
        <v>353.1</v>
      </c>
      <c r="W945" s="1096" t="s">
        <v>1800</v>
      </c>
      <c r="X945" s="1114">
        <v>335.7</v>
      </c>
      <c r="Y945" s="1096" t="s">
        <v>1800</v>
      </c>
      <c r="Z945" s="1114">
        <v>275.3</v>
      </c>
      <c r="AA945" s="1096"/>
      <c r="AB945" s="1096"/>
      <c r="AC945" s="1096"/>
      <c r="AD945" s="1096"/>
      <c r="AE945" s="1096"/>
      <c r="AF945" s="1096"/>
      <c r="AG945" s="1096"/>
      <c r="AH945" s="1096"/>
      <c r="AI945" s="1096"/>
      <c r="AJ945" s="1096"/>
      <c r="AK945" s="1096"/>
      <c r="AL945" s="1096"/>
      <c r="AM945" s="1096"/>
      <c r="AN945" s="1096"/>
      <c r="AO945" s="1096"/>
      <c r="AP945" s="1096"/>
      <c r="AQ945" s="1096"/>
      <c r="AR945" s="1096"/>
      <c r="AS945" s="1096"/>
      <c r="AT945" s="1096"/>
      <c r="AU945" s="1096"/>
      <c r="AV945" s="1096"/>
      <c r="AW945" s="1096"/>
      <c r="AX945" s="1096"/>
      <c r="AY945" s="1096"/>
    </row>
    <row r="946" spans="1:51" x14ac:dyDescent="0.45">
      <c r="A946" s="1115">
        <v>2017</v>
      </c>
      <c r="B946" s="1096" t="s">
        <v>1381</v>
      </c>
      <c r="C946" s="1112">
        <f>[6]ONS!Z946</f>
        <v>275.8</v>
      </c>
      <c r="D946" s="1112">
        <f>[6]ONS!P946</f>
        <v>346.2</v>
      </c>
      <c r="E946" s="1096"/>
      <c r="F946" s="1114">
        <f t="shared" si="43"/>
        <v>125.52574329224075</v>
      </c>
      <c r="G946" s="1112">
        <f t="shared" si="39"/>
        <v>121.28353879622915</v>
      </c>
      <c r="H946" s="1112">
        <f t="shared" si="40"/>
        <v>145.25018129079044</v>
      </c>
      <c r="I946" s="1112">
        <f t="shared" si="41"/>
        <v>128.06381435823059</v>
      </c>
      <c r="J946" s="1112">
        <f t="shared" si="42"/>
        <v>121.71863669325597</v>
      </c>
      <c r="K946" s="1096"/>
      <c r="L946" s="1096"/>
      <c r="M946" s="1096"/>
      <c r="N946" s="1096"/>
      <c r="O946" s="1096"/>
      <c r="P946" s="1114">
        <v>346.2</v>
      </c>
      <c r="Q946" s="1096" t="s">
        <v>1801</v>
      </c>
      <c r="R946" s="1114">
        <v>334.5</v>
      </c>
      <c r="S946" s="1096" t="s">
        <v>1801</v>
      </c>
      <c r="T946" s="1114">
        <v>400.6</v>
      </c>
      <c r="U946" s="1096" t="s">
        <v>1801</v>
      </c>
      <c r="V946" s="1114">
        <v>353.2</v>
      </c>
      <c r="W946" s="1096" t="s">
        <v>1801</v>
      </c>
      <c r="X946" s="1114">
        <v>335.7</v>
      </c>
      <c r="Y946" s="1096" t="s">
        <v>1801</v>
      </c>
      <c r="Z946" s="1114">
        <v>275.8</v>
      </c>
      <c r="AA946" s="1096"/>
      <c r="AB946" s="1096"/>
      <c r="AC946" s="1096"/>
      <c r="AD946" s="1096"/>
      <c r="AE946" s="1096"/>
      <c r="AF946" s="1096"/>
      <c r="AG946" s="1096"/>
      <c r="AH946" s="1096"/>
      <c r="AI946" s="1096"/>
      <c r="AJ946" s="1096"/>
      <c r="AK946" s="1096"/>
      <c r="AL946" s="1096"/>
      <c r="AM946" s="1096"/>
      <c r="AN946" s="1096"/>
      <c r="AO946" s="1096"/>
      <c r="AP946" s="1096"/>
      <c r="AQ946" s="1096"/>
      <c r="AR946" s="1096"/>
      <c r="AS946" s="1096"/>
      <c r="AT946" s="1096"/>
      <c r="AU946" s="1096"/>
      <c r="AV946" s="1096"/>
      <c r="AW946" s="1096"/>
      <c r="AX946" s="1096"/>
      <c r="AY946" s="1096"/>
    </row>
    <row r="947" spans="1:51" x14ac:dyDescent="0.45">
      <c r="A947" s="1115">
        <v>2017</v>
      </c>
      <c r="B947" s="1096" t="s">
        <v>1383</v>
      </c>
      <c r="C947" s="1112">
        <f>[6]ONS!Z947</f>
        <v>278.10000000000002</v>
      </c>
      <c r="D947" s="1112">
        <f>[6]ONS!P947</f>
        <v>347.3</v>
      </c>
      <c r="E947" s="1096"/>
      <c r="F947" s="1114">
        <f t="shared" si="43"/>
        <v>124.88313556274721</v>
      </c>
      <c r="G947" s="1112">
        <f t="shared" si="39"/>
        <v>120.67601582164689</v>
      </c>
      <c r="H947" s="1112">
        <f t="shared" si="40"/>
        <v>153.07443365695792</v>
      </c>
      <c r="I947" s="1112">
        <f t="shared" si="41"/>
        <v>127.00467457749009</v>
      </c>
      <c r="J947" s="1112">
        <f t="shared" si="42"/>
        <v>120.71197411003234</v>
      </c>
      <c r="K947" s="1096"/>
      <c r="L947" s="1096"/>
      <c r="M947" s="1096"/>
      <c r="N947" s="1096"/>
      <c r="O947" s="1096"/>
      <c r="P947" s="1114">
        <v>347.3</v>
      </c>
      <c r="Q947" s="1096" t="s">
        <v>1802</v>
      </c>
      <c r="R947" s="1114">
        <v>335.6</v>
      </c>
      <c r="S947" s="1096" t="s">
        <v>1802</v>
      </c>
      <c r="T947" s="1114">
        <v>425.7</v>
      </c>
      <c r="U947" s="1096" t="s">
        <v>1802</v>
      </c>
      <c r="V947" s="1114">
        <v>353.2</v>
      </c>
      <c r="W947" s="1096" t="s">
        <v>1802</v>
      </c>
      <c r="X947" s="1114">
        <v>335.7</v>
      </c>
      <c r="Y947" s="1096" t="s">
        <v>1802</v>
      </c>
      <c r="Z947" s="1114">
        <v>278.10000000000002</v>
      </c>
      <c r="AA947" s="1096"/>
      <c r="AB947" s="1096"/>
      <c r="AC947" s="1096"/>
      <c r="AD947" s="1096"/>
      <c r="AE947" s="1096"/>
      <c r="AF947" s="1096"/>
      <c r="AG947" s="1096"/>
      <c r="AH947" s="1096"/>
      <c r="AI947" s="1096"/>
      <c r="AJ947" s="1096"/>
      <c r="AK947" s="1096"/>
      <c r="AL947" s="1096"/>
      <c r="AM947" s="1096"/>
      <c r="AN947" s="1096"/>
      <c r="AO947" s="1096"/>
      <c r="AP947" s="1096"/>
      <c r="AQ947" s="1096"/>
      <c r="AR947" s="1096"/>
      <c r="AS947" s="1096"/>
      <c r="AT947" s="1096"/>
      <c r="AU947" s="1096"/>
      <c r="AV947" s="1096"/>
      <c r="AW947" s="1096"/>
      <c r="AX947" s="1096"/>
      <c r="AY947" s="1096"/>
    </row>
    <row r="948" spans="1:51" x14ac:dyDescent="0.45">
      <c r="A948" s="1115">
        <v>2018</v>
      </c>
      <c r="B948" s="1096" t="s">
        <v>1385</v>
      </c>
      <c r="C948" s="1112">
        <f>[6]ONS!Z948</f>
        <v>276</v>
      </c>
      <c r="D948" s="1112">
        <f>[6]ONS!P948</f>
        <v>347.7</v>
      </c>
      <c r="E948" s="1096"/>
      <c r="F948" s="1114">
        <f t="shared" si="43"/>
        <v>125.9782608695652</v>
      </c>
      <c r="G948" s="1112">
        <f t="shared" si="39"/>
        <v>121.81159420289856</v>
      </c>
      <c r="H948" s="1112">
        <f t="shared" si="40"/>
        <v>157.42753623188406</v>
      </c>
      <c r="I948" s="1112">
        <f t="shared" si="41"/>
        <v>127.97101449275361</v>
      </c>
      <c r="J948" s="1112">
        <f t="shared" si="42"/>
        <v>121.63043478260869</v>
      </c>
      <c r="K948" s="1096"/>
      <c r="L948" s="1096"/>
      <c r="M948" s="1096"/>
      <c r="N948" s="1096"/>
      <c r="O948" s="1096"/>
      <c r="P948" s="1114">
        <v>347.7</v>
      </c>
      <c r="Q948" s="1096" t="s">
        <v>1803</v>
      </c>
      <c r="R948" s="1114">
        <v>336.2</v>
      </c>
      <c r="S948" s="1096" t="s">
        <v>1803</v>
      </c>
      <c r="T948" s="1114">
        <v>434.5</v>
      </c>
      <c r="U948" s="1096" t="s">
        <v>1803</v>
      </c>
      <c r="V948" s="1114">
        <v>353.2</v>
      </c>
      <c r="W948" s="1096" t="s">
        <v>1803</v>
      </c>
      <c r="X948" s="1114">
        <v>335.7</v>
      </c>
      <c r="Y948" s="1096" t="s">
        <v>1803</v>
      </c>
      <c r="Z948" s="1114">
        <v>276</v>
      </c>
      <c r="AA948" s="1096"/>
      <c r="AB948" s="1096"/>
      <c r="AC948" s="1096"/>
      <c r="AD948" s="1096"/>
      <c r="AE948" s="1096"/>
      <c r="AF948" s="1096"/>
      <c r="AG948" s="1096"/>
      <c r="AH948" s="1096"/>
      <c r="AI948" s="1096"/>
      <c r="AJ948" s="1096"/>
      <c r="AK948" s="1096"/>
      <c r="AL948" s="1096"/>
      <c r="AM948" s="1096"/>
      <c r="AN948" s="1096"/>
      <c r="AO948" s="1096"/>
      <c r="AP948" s="1096"/>
      <c r="AQ948" s="1096"/>
      <c r="AR948" s="1096"/>
      <c r="AS948" s="1096"/>
      <c r="AT948" s="1096"/>
      <c r="AU948" s="1096"/>
      <c r="AV948" s="1096"/>
      <c r="AW948" s="1096"/>
      <c r="AX948" s="1096"/>
      <c r="AY948" s="1096"/>
    </row>
    <row r="949" spans="1:51" x14ac:dyDescent="0.45">
      <c r="A949" s="1115">
        <v>2018</v>
      </c>
      <c r="B949" s="1096" t="s">
        <v>1387</v>
      </c>
      <c r="C949" s="1112">
        <f>[6]ONS!Z949</f>
        <v>278.10000000000002</v>
      </c>
      <c r="D949" s="1112">
        <f>[6]ONS!P949</f>
        <v>347.6</v>
      </c>
      <c r="E949" s="1096"/>
      <c r="F949" s="1114">
        <f t="shared" si="43"/>
        <v>124.99101042790363</v>
      </c>
      <c r="G949" s="1112">
        <f t="shared" si="39"/>
        <v>120.89176555195971</v>
      </c>
      <c r="H949" s="1112">
        <f t="shared" si="40"/>
        <v>154.33297375044944</v>
      </c>
      <c r="I949" s="1112">
        <f t="shared" si="41"/>
        <v>127.00467457749009</v>
      </c>
      <c r="J949" s="1112">
        <f t="shared" si="42"/>
        <v>120.71197411003234</v>
      </c>
      <c r="K949" s="1096"/>
      <c r="L949" s="1096"/>
      <c r="M949" s="1096"/>
      <c r="N949" s="1096"/>
      <c r="O949" s="1096"/>
      <c r="P949" s="1114">
        <v>347.6</v>
      </c>
      <c r="Q949" s="1096" t="s">
        <v>1804</v>
      </c>
      <c r="R949" s="1114">
        <v>336.2</v>
      </c>
      <c r="S949" s="1096" t="s">
        <v>1804</v>
      </c>
      <c r="T949" s="1114">
        <v>429.2</v>
      </c>
      <c r="U949" s="1096" t="s">
        <v>1804</v>
      </c>
      <c r="V949" s="1114">
        <v>353.2</v>
      </c>
      <c r="W949" s="1096" t="s">
        <v>1804</v>
      </c>
      <c r="X949" s="1114">
        <v>335.7</v>
      </c>
      <c r="Y949" s="1096" t="s">
        <v>1804</v>
      </c>
      <c r="Z949" s="1114">
        <v>278.10000000000002</v>
      </c>
      <c r="AA949" s="1096"/>
      <c r="AB949" s="1096"/>
      <c r="AC949" s="1096"/>
      <c r="AD949" s="1096"/>
      <c r="AE949" s="1096"/>
      <c r="AF949" s="1096"/>
      <c r="AG949" s="1096"/>
      <c r="AH949" s="1096"/>
      <c r="AI949" s="1096"/>
      <c r="AJ949" s="1096"/>
      <c r="AK949" s="1096"/>
      <c r="AL949" s="1096"/>
      <c r="AM949" s="1096"/>
      <c r="AN949" s="1096"/>
      <c r="AO949" s="1096"/>
      <c r="AP949" s="1096"/>
      <c r="AQ949" s="1096"/>
      <c r="AR949" s="1096"/>
      <c r="AS949" s="1096"/>
      <c r="AT949" s="1096"/>
      <c r="AU949" s="1096"/>
      <c r="AV949" s="1096"/>
      <c r="AW949" s="1096"/>
      <c r="AX949" s="1096"/>
      <c r="AY949" s="1096"/>
    </row>
    <row r="950" spans="1:51" x14ac:dyDescent="0.45">
      <c r="A950" s="1115">
        <v>2018</v>
      </c>
      <c r="B950" s="1096" t="s">
        <v>1389</v>
      </c>
      <c r="C950" s="1112">
        <f>[6]ONS!Z950</f>
        <v>278.3</v>
      </c>
      <c r="D950" s="1112">
        <f>[6]ONS!P950</f>
        <v>348.1</v>
      </c>
      <c r="E950" s="1096"/>
      <c r="F950" s="1114">
        <f t="shared" si="43"/>
        <v>125.08084800574919</v>
      </c>
      <c r="G950" s="1112">
        <f t="shared" si="39"/>
        <v>121.16421128278836</v>
      </c>
      <c r="H950" s="1112">
        <f t="shared" si="40"/>
        <v>160.76176787639235</v>
      </c>
      <c r="I950" s="1112">
        <f t="shared" si="41"/>
        <v>126.91340280273084</v>
      </c>
      <c r="J950" s="1112">
        <f t="shared" si="42"/>
        <v>120.62522457779374</v>
      </c>
      <c r="K950" s="1096"/>
      <c r="L950" s="1096"/>
      <c r="M950" s="1096"/>
      <c r="N950" s="1096"/>
      <c r="O950" s="1096"/>
      <c r="P950" s="1114">
        <v>348.1</v>
      </c>
      <c r="Q950" s="1096" t="s">
        <v>1805</v>
      </c>
      <c r="R950" s="1114">
        <v>337.2</v>
      </c>
      <c r="S950" s="1096" t="s">
        <v>1805</v>
      </c>
      <c r="T950" s="1114">
        <v>447.4</v>
      </c>
      <c r="U950" s="1096" t="s">
        <v>1805</v>
      </c>
      <c r="V950" s="1114">
        <v>353.2</v>
      </c>
      <c r="W950" s="1096" t="s">
        <v>1805</v>
      </c>
      <c r="X950" s="1114">
        <v>335.7</v>
      </c>
      <c r="Y950" s="1096" t="s">
        <v>1805</v>
      </c>
      <c r="Z950" s="1114">
        <v>278.3</v>
      </c>
      <c r="AA950" s="1096"/>
      <c r="AB950" s="1096"/>
      <c r="AC950" s="1096"/>
      <c r="AD950" s="1096"/>
      <c r="AE950" s="1096"/>
      <c r="AF950" s="1096"/>
      <c r="AG950" s="1096"/>
      <c r="AH950" s="1096"/>
      <c r="AI950" s="1096"/>
      <c r="AJ950" s="1096"/>
      <c r="AK950" s="1096"/>
      <c r="AL950" s="1096"/>
      <c r="AM950" s="1096"/>
      <c r="AN950" s="1096"/>
      <c r="AO950" s="1096"/>
      <c r="AP950" s="1096"/>
      <c r="AQ950" s="1096"/>
      <c r="AR950" s="1096"/>
      <c r="AS950" s="1096"/>
      <c r="AT950" s="1096"/>
      <c r="AU950" s="1096"/>
      <c r="AV950" s="1096"/>
      <c r="AW950" s="1096"/>
      <c r="AX950" s="1096"/>
      <c r="AY950" s="1096"/>
    </row>
    <row r="951" spans="1:51" x14ac:dyDescent="0.45">
      <c r="A951" s="1115">
        <v>2018</v>
      </c>
      <c r="B951" s="1096" t="s">
        <v>1391</v>
      </c>
      <c r="C951" s="1112">
        <f>[6]ONS!Z951</f>
        <v>279.7</v>
      </c>
      <c r="D951" s="1112">
        <f>[6]ONS!P951</f>
        <v>350.2</v>
      </c>
      <c r="E951" s="1096"/>
      <c r="F951" s="1114">
        <f t="shared" si="43"/>
        <v>125.20557740436182</v>
      </c>
      <c r="G951" s="1112">
        <f t="shared" si="39"/>
        <v>120.41473006792994</v>
      </c>
      <c r="H951" s="1112">
        <f t="shared" si="40"/>
        <v>160.45763317840544</v>
      </c>
      <c r="I951" s="1112">
        <f t="shared" si="41"/>
        <v>126.74293886306758</v>
      </c>
      <c r="J951" s="1112">
        <f t="shared" si="42"/>
        <v>121.05827672506257</v>
      </c>
      <c r="K951" s="1096"/>
      <c r="L951" s="1096"/>
      <c r="M951" s="1096"/>
      <c r="N951" s="1096"/>
      <c r="O951" s="1096"/>
      <c r="P951" s="1114">
        <v>350.2</v>
      </c>
      <c r="Q951" s="1096" t="s">
        <v>1806</v>
      </c>
      <c r="R951" s="1114">
        <v>336.8</v>
      </c>
      <c r="S951" s="1096" t="s">
        <v>1806</v>
      </c>
      <c r="T951" s="1114">
        <v>448.8</v>
      </c>
      <c r="U951" s="1096" t="s">
        <v>1806</v>
      </c>
      <c r="V951" s="1114">
        <v>354.5</v>
      </c>
      <c r="W951" s="1096" t="s">
        <v>1806</v>
      </c>
      <c r="X951" s="1114">
        <v>338.6</v>
      </c>
      <c r="Y951" s="1096" t="s">
        <v>1806</v>
      </c>
      <c r="Z951" s="1114">
        <v>279.7</v>
      </c>
      <c r="AA951" s="1096"/>
      <c r="AB951" s="1096"/>
      <c r="AC951" s="1096"/>
      <c r="AD951" s="1096"/>
      <c r="AE951" s="1096"/>
      <c r="AF951" s="1096"/>
      <c r="AG951" s="1096"/>
      <c r="AH951" s="1096"/>
      <c r="AI951" s="1096"/>
      <c r="AJ951" s="1096"/>
      <c r="AK951" s="1096"/>
      <c r="AL951" s="1096"/>
      <c r="AM951" s="1096"/>
      <c r="AN951" s="1096"/>
      <c r="AO951" s="1096"/>
      <c r="AP951" s="1096"/>
      <c r="AQ951" s="1096"/>
      <c r="AR951" s="1096"/>
      <c r="AS951" s="1096"/>
      <c r="AT951" s="1096"/>
      <c r="AU951" s="1096"/>
      <c r="AV951" s="1096"/>
      <c r="AW951" s="1096"/>
      <c r="AX951" s="1096"/>
      <c r="AY951" s="1096"/>
    </row>
    <row r="952" spans="1:51" x14ac:dyDescent="0.45">
      <c r="A952" s="1115">
        <v>2018</v>
      </c>
      <c r="B952" s="1096" t="s">
        <v>1393</v>
      </c>
      <c r="C952" s="1112">
        <f>[6]ONS!Z952</f>
        <v>280.7</v>
      </c>
      <c r="D952" s="1112">
        <f>[6]ONS!P952</f>
        <v>350.5</v>
      </c>
      <c r="E952" s="1096"/>
      <c r="F952" s="1114">
        <f t="shared" si="43"/>
        <v>124.86640541503384</v>
      </c>
      <c r="G952" s="1112">
        <f t="shared" si="39"/>
        <v>116.60135375846099</v>
      </c>
      <c r="H952" s="1112">
        <f t="shared" si="40"/>
        <v>164.58852867830424</v>
      </c>
      <c r="I952" s="1112">
        <f t="shared" si="41"/>
        <v>126.36266476665479</v>
      </c>
      <c r="J952" s="1112">
        <f t="shared" si="42"/>
        <v>120.73387958674742</v>
      </c>
      <c r="K952" s="1096"/>
      <c r="L952" s="1096"/>
      <c r="M952" s="1096"/>
      <c r="N952" s="1096"/>
      <c r="O952" s="1096"/>
      <c r="P952" s="1114">
        <v>350.5</v>
      </c>
      <c r="Q952" s="1096" t="s">
        <v>1807</v>
      </c>
      <c r="R952" s="1114">
        <v>327.3</v>
      </c>
      <c r="S952" s="1096" t="s">
        <v>1807</v>
      </c>
      <c r="T952" s="1114">
        <v>462</v>
      </c>
      <c r="U952" s="1096" t="s">
        <v>1807</v>
      </c>
      <c r="V952" s="1114">
        <v>354.7</v>
      </c>
      <c r="W952" s="1096" t="s">
        <v>1807</v>
      </c>
      <c r="X952" s="1114">
        <v>338.9</v>
      </c>
      <c r="Y952" s="1096" t="s">
        <v>1807</v>
      </c>
      <c r="Z952" s="1114">
        <v>280.7</v>
      </c>
      <c r="AA952" s="1096"/>
      <c r="AB952" s="1096"/>
      <c r="AC952" s="1096"/>
      <c r="AD952" s="1096"/>
      <c r="AE952" s="1096"/>
      <c r="AF952" s="1096"/>
      <c r="AG952" s="1096"/>
      <c r="AH952" s="1096"/>
      <c r="AI952" s="1096"/>
      <c r="AJ952" s="1096"/>
      <c r="AK952" s="1096"/>
      <c r="AL952" s="1096"/>
      <c r="AM952" s="1096"/>
      <c r="AN952" s="1096"/>
      <c r="AO952" s="1096"/>
      <c r="AP952" s="1096"/>
      <c r="AQ952" s="1096"/>
      <c r="AR952" s="1096"/>
      <c r="AS952" s="1096"/>
      <c r="AT952" s="1096"/>
      <c r="AU952" s="1096"/>
      <c r="AV952" s="1096"/>
      <c r="AW952" s="1096"/>
      <c r="AX952" s="1096"/>
      <c r="AY952" s="1096"/>
    </row>
    <row r="953" spans="1:51" x14ac:dyDescent="0.45">
      <c r="A953" s="1115">
        <v>2018</v>
      </c>
      <c r="B953" s="1096" t="s">
        <v>1371</v>
      </c>
      <c r="C953" s="1112">
        <f>[6]ONS!Z953</f>
        <v>281.5</v>
      </c>
      <c r="D953" s="1112">
        <f>[6]ONS!P953</f>
        <v>358.3</v>
      </c>
      <c r="E953" s="1096"/>
      <c r="F953" s="1114">
        <f t="shared" si="43"/>
        <v>127.28241563055063</v>
      </c>
      <c r="G953" s="1112">
        <f t="shared" si="39"/>
        <v>116.1278863232682</v>
      </c>
      <c r="H953" s="1112">
        <f t="shared" si="40"/>
        <v>162.80639431616342</v>
      </c>
      <c r="I953" s="1112">
        <f t="shared" si="41"/>
        <v>129.27175843694494</v>
      </c>
      <c r="J953" s="1112">
        <f t="shared" si="42"/>
        <v>123.09058614564832</v>
      </c>
      <c r="K953" s="1096"/>
      <c r="L953" s="1096"/>
      <c r="M953" s="1096"/>
      <c r="N953" s="1096"/>
      <c r="O953" s="1096"/>
      <c r="P953" s="1114">
        <v>358.3</v>
      </c>
      <c r="Q953" s="1096" t="s">
        <v>1808</v>
      </c>
      <c r="R953" s="1114">
        <v>326.89999999999998</v>
      </c>
      <c r="S953" s="1096" t="s">
        <v>1808</v>
      </c>
      <c r="T953" s="1114">
        <v>458.3</v>
      </c>
      <c r="U953" s="1096" t="s">
        <v>1808</v>
      </c>
      <c r="V953" s="1114">
        <v>363.9</v>
      </c>
      <c r="W953" s="1096" t="s">
        <v>1808</v>
      </c>
      <c r="X953" s="1114">
        <v>346.5</v>
      </c>
      <c r="Y953" s="1096" t="s">
        <v>1808</v>
      </c>
      <c r="Z953" s="1114">
        <v>281.5</v>
      </c>
      <c r="AA953" s="1096"/>
      <c r="AB953" s="1096"/>
      <c r="AC953" s="1096"/>
      <c r="AD953" s="1096"/>
      <c r="AE953" s="1096"/>
      <c r="AF953" s="1096"/>
      <c r="AG953" s="1096"/>
      <c r="AH953" s="1096"/>
      <c r="AI953" s="1096"/>
      <c r="AJ953" s="1096"/>
      <c r="AK953" s="1096"/>
      <c r="AL953" s="1096"/>
      <c r="AM953" s="1096"/>
      <c r="AN953" s="1096"/>
      <c r="AO953" s="1096"/>
      <c r="AP953" s="1096"/>
      <c r="AQ953" s="1096"/>
      <c r="AR953" s="1096"/>
      <c r="AS953" s="1096"/>
      <c r="AT953" s="1096"/>
      <c r="AU953" s="1096"/>
      <c r="AV953" s="1096"/>
      <c r="AW953" s="1096"/>
      <c r="AX953" s="1096"/>
      <c r="AY953" s="1096"/>
    </row>
    <row r="954" spans="1:51" x14ac:dyDescent="0.45">
      <c r="A954" s="1115">
        <v>2018</v>
      </c>
      <c r="B954" s="1096" t="s">
        <v>1373</v>
      </c>
      <c r="C954" s="1112">
        <f>[6]ONS!Z954</f>
        <v>281.7</v>
      </c>
      <c r="D954" s="1112">
        <f>[6]ONS!P954</f>
        <v>363.2</v>
      </c>
      <c r="E954" s="1096"/>
      <c r="F954" s="1114">
        <f t="shared" si="43"/>
        <v>128.93148739794105</v>
      </c>
      <c r="G954" s="1112">
        <f t="shared" si="39"/>
        <v>116.64891728789493</v>
      </c>
      <c r="H954" s="1112">
        <f t="shared" si="40"/>
        <v>160.17039403620873</v>
      </c>
      <c r="I954" s="1112">
        <f t="shared" si="41"/>
        <v>130.56443024494143</v>
      </c>
      <c r="J954" s="1112">
        <f t="shared" si="42"/>
        <v>125.20411785587504</v>
      </c>
      <c r="K954" s="1096"/>
      <c r="L954" s="1096"/>
      <c r="M954" s="1096"/>
      <c r="N954" s="1096"/>
      <c r="O954" s="1096"/>
      <c r="P954" s="1114">
        <v>363.2</v>
      </c>
      <c r="Q954" s="1096" t="s">
        <v>1809</v>
      </c>
      <c r="R954" s="1114">
        <v>328.6</v>
      </c>
      <c r="S954" s="1096" t="s">
        <v>1809</v>
      </c>
      <c r="T954" s="1114">
        <v>451.2</v>
      </c>
      <c r="U954" s="1096" t="s">
        <v>1809</v>
      </c>
      <c r="V954" s="1114">
        <v>367.8</v>
      </c>
      <c r="W954" s="1096" t="s">
        <v>1809</v>
      </c>
      <c r="X954" s="1114">
        <v>352.7</v>
      </c>
      <c r="Y954" s="1096" t="s">
        <v>1809</v>
      </c>
      <c r="Z954" s="1114">
        <v>281.7</v>
      </c>
      <c r="AA954" s="1096"/>
      <c r="AB954" s="1096"/>
      <c r="AC954" s="1096"/>
      <c r="AD954" s="1096"/>
      <c r="AE954" s="1096"/>
      <c r="AF954" s="1096"/>
      <c r="AG954" s="1096"/>
      <c r="AH954" s="1096"/>
      <c r="AI954" s="1096"/>
      <c r="AJ954" s="1096"/>
      <c r="AK954" s="1096"/>
      <c r="AL954" s="1096"/>
      <c r="AM954" s="1096"/>
      <c r="AN954" s="1096"/>
      <c r="AO954" s="1096"/>
      <c r="AP954" s="1096"/>
      <c r="AQ954" s="1096"/>
      <c r="AR954" s="1096"/>
      <c r="AS954" s="1096"/>
      <c r="AT954" s="1096"/>
      <c r="AU954" s="1096"/>
      <c r="AV954" s="1096"/>
      <c r="AW954" s="1096"/>
      <c r="AX954" s="1096"/>
      <c r="AY954" s="1096"/>
    </row>
    <row r="955" spans="1:51" x14ac:dyDescent="0.45">
      <c r="A955" s="1115">
        <v>2018</v>
      </c>
      <c r="B955" s="1096" t="s">
        <v>1375</v>
      </c>
      <c r="C955" s="1112">
        <f>[6]ONS!Z955</f>
        <v>284.2</v>
      </c>
      <c r="D955" s="1112">
        <f>[6]ONS!P955</f>
        <v>363.3</v>
      </c>
      <c r="E955" s="1096"/>
      <c r="F955" s="1114">
        <f t="shared" si="43"/>
        <v>127.83251231527095</v>
      </c>
      <c r="G955" s="1112">
        <f t="shared" si="39"/>
        <v>115.83391977480647</v>
      </c>
      <c r="H955" s="1112">
        <f t="shared" si="40"/>
        <v>160.30964109781846</v>
      </c>
      <c r="I955" s="1112">
        <f t="shared" si="41"/>
        <v>129.41590429275158</v>
      </c>
      <c r="J955" s="1112">
        <f t="shared" si="42"/>
        <v>124.10274454609429</v>
      </c>
      <c r="K955" s="1096"/>
      <c r="L955" s="1096"/>
      <c r="M955" s="1096"/>
      <c r="N955" s="1096"/>
      <c r="O955" s="1096"/>
      <c r="P955" s="1114">
        <v>363.3</v>
      </c>
      <c r="Q955" s="1096" t="s">
        <v>1810</v>
      </c>
      <c r="R955" s="1114">
        <v>329.2</v>
      </c>
      <c r="S955" s="1096" t="s">
        <v>1810</v>
      </c>
      <c r="T955" s="1114">
        <v>455.6</v>
      </c>
      <c r="U955" s="1096" t="s">
        <v>1810</v>
      </c>
      <c r="V955" s="1114">
        <v>367.8</v>
      </c>
      <c r="W955" s="1096" t="s">
        <v>1810</v>
      </c>
      <c r="X955" s="1114">
        <v>352.7</v>
      </c>
      <c r="Y955" s="1096" t="s">
        <v>1810</v>
      </c>
      <c r="Z955" s="1114">
        <v>284.2</v>
      </c>
      <c r="AA955" s="1096"/>
      <c r="AB955" s="1096"/>
      <c r="AC955" s="1096"/>
      <c r="AD955" s="1096"/>
      <c r="AE955" s="1096"/>
      <c r="AF955" s="1096"/>
      <c r="AG955" s="1096"/>
      <c r="AH955" s="1096"/>
      <c r="AI955" s="1096"/>
      <c r="AJ955" s="1096"/>
      <c r="AK955" s="1096"/>
      <c r="AL955" s="1096"/>
      <c r="AM955" s="1096"/>
      <c r="AN955" s="1096"/>
      <c r="AO955" s="1096"/>
      <c r="AP955" s="1096"/>
      <c r="AQ955" s="1096"/>
      <c r="AR955" s="1096"/>
      <c r="AS955" s="1096"/>
      <c r="AT955" s="1096"/>
      <c r="AU955" s="1096"/>
      <c r="AV955" s="1096"/>
      <c r="AW955" s="1096"/>
      <c r="AX955" s="1096"/>
      <c r="AY955" s="1096"/>
    </row>
    <row r="956" spans="1:51" x14ac:dyDescent="0.45">
      <c r="A956" s="1115">
        <v>2018</v>
      </c>
      <c r="B956" s="1096" t="s">
        <v>1377</v>
      </c>
      <c r="C956" s="1112">
        <f>[6]ONS!Z956</f>
        <v>284.10000000000002</v>
      </c>
      <c r="D956" s="1112">
        <f>[6]ONS!P956</f>
        <v>369</v>
      </c>
      <c r="E956" s="1096"/>
      <c r="F956" s="1114">
        <f t="shared" si="43"/>
        <v>129.88384371700104</v>
      </c>
      <c r="G956" s="1112">
        <f t="shared" si="39"/>
        <v>115.45230552622314</v>
      </c>
      <c r="H956" s="1112">
        <f t="shared" si="40"/>
        <v>166.91305878211895</v>
      </c>
      <c r="I956" s="1112">
        <f t="shared" si="41"/>
        <v>131.01020767335442</v>
      </c>
      <c r="J956" s="1112">
        <f t="shared" si="42"/>
        <v>126.36395635339667</v>
      </c>
      <c r="K956" s="1096"/>
      <c r="L956" s="1096"/>
      <c r="M956" s="1096"/>
      <c r="N956" s="1096"/>
      <c r="O956" s="1096"/>
      <c r="P956" s="1114">
        <v>369</v>
      </c>
      <c r="Q956" s="1096" t="s">
        <v>1811</v>
      </c>
      <c r="R956" s="1114">
        <v>328</v>
      </c>
      <c r="S956" s="1096" t="s">
        <v>1811</v>
      </c>
      <c r="T956" s="1114">
        <v>474.2</v>
      </c>
      <c r="U956" s="1096" t="s">
        <v>1811</v>
      </c>
      <c r="V956" s="1114">
        <v>372.2</v>
      </c>
      <c r="W956" s="1096" t="s">
        <v>1811</v>
      </c>
      <c r="X956" s="1114">
        <v>359</v>
      </c>
      <c r="Y956" s="1096" t="s">
        <v>1811</v>
      </c>
      <c r="Z956" s="1114">
        <v>284.10000000000002</v>
      </c>
      <c r="AA956" s="1096"/>
      <c r="AB956" s="1096"/>
      <c r="AC956" s="1096"/>
      <c r="AD956" s="1096"/>
      <c r="AE956" s="1096"/>
      <c r="AF956" s="1096"/>
      <c r="AG956" s="1096"/>
      <c r="AH956" s="1096"/>
      <c r="AI956" s="1096"/>
      <c r="AJ956" s="1096"/>
      <c r="AK956" s="1096"/>
      <c r="AL956" s="1096"/>
      <c r="AM956" s="1096"/>
      <c r="AN956" s="1096"/>
      <c r="AO956" s="1096"/>
      <c r="AP956" s="1096"/>
      <c r="AQ956" s="1096"/>
      <c r="AR956" s="1096"/>
      <c r="AS956" s="1096"/>
      <c r="AT956" s="1096"/>
      <c r="AU956" s="1096"/>
      <c r="AV956" s="1096"/>
      <c r="AW956" s="1096"/>
      <c r="AX956" s="1096"/>
      <c r="AY956" s="1096"/>
    </row>
    <row r="957" spans="1:51" x14ac:dyDescent="0.45">
      <c r="A957" s="1115">
        <v>2018</v>
      </c>
      <c r="B957" s="1096" t="s">
        <v>1379</v>
      </c>
      <c r="C957" s="1112">
        <f>[6]ONS!Z957</f>
        <v>284.5</v>
      </c>
      <c r="D957" s="1112">
        <f>[6]ONS!P957</f>
        <v>377</v>
      </c>
      <c r="E957" s="1096"/>
      <c r="F957" s="1114">
        <f t="shared" si="43"/>
        <v>132.51318101933217</v>
      </c>
      <c r="G957" s="1112">
        <f t="shared" si="39"/>
        <v>119.6133567662566</v>
      </c>
      <c r="H957" s="1112">
        <f t="shared" si="40"/>
        <v>177.60984182776804</v>
      </c>
      <c r="I957" s="1112">
        <f t="shared" si="41"/>
        <v>133.4622144112478</v>
      </c>
      <c r="J957" s="1112">
        <f t="shared" si="42"/>
        <v>128.64674868189806</v>
      </c>
      <c r="K957" s="1096"/>
      <c r="L957" s="1096"/>
      <c r="M957" s="1096"/>
      <c r="N957" s="1096"/>
      <c r="O957" s="1096"/>
      <c r="P957" s="1114">
        <v>377</v>
      </c>
      <c r="Q957" s="1096" t="s">
        <v>1812</v>
      </c>
      <c r="R957" s="1114">
        <v>340.3</v>
      </c>
      <c r="S957" s="1096" t="s">
        <v>1812</v>
      </c>
      <c r="T957" s="1114">
        <v>505.3</v>
      </c>
      <c r="U957" s="1096" t="s">
        <v>1812</v>
      </c>
      <c r="V957" s="1114">
        <v>379.7</v>
      </c>
      <c r="W957" s="1096" t="s">
        <v>1812</v>
      </c>
      <c r="X957" s="1114">
        <v>366</v>
      </c>
      <c r="Y957" s="1096" t="s">
        <v>1812</v>
      </c>
      <c r="Z957" s="1114">
        <v>284.5</v>
      </c>
      <c r="AA957" s="1096"/>
      <c r="AB957" s="1096"/>
      <c r="AC957" s="1096"/>
      <c r="AD957" s="1096"/>
      <c r="AE957" s="1096"/>
      <c r="AF957" s="1096"/>
      <c r="AG957" s="1096"/>
      <c r="AH957" s="1096"/>
      <c r="AI957" s="1096"/>
      <c r="AJ957" s="1096"/>
      <c r="AK957" s="1096"/>
      <c r="AL957" s="1096"/>
      <c r="AM957" s="1096"/>
      <c r="AN957" s="1096"/>
      <c r="AO957" s="1096"/>
      <c r="AP957" s="1096"/>
      <c r="AQ957" s="1096"/>
      <c r="AR957" s="1096"/>
      <c r="AS957" s="1096"/>
      <c r="AT957" s="1096"/>
      <c r="AU957" s="1096"/>
      <c r="AV957" s="1096"/>
      <c r="AW957" s="1096"/>
      <c r="AX957" s="1096"/>
      <c r="AY957" s="1096"/>
    </row>
    <row r="958" spans="1:51" x14ac:dyDescent="0.45">
      <c r="A958" s="1115">
        <v>2018</v>
      </c>
      <c r="B958" s="1096" t="s">
        <v>1381</v>
      </c>
      <c r="C958" s="1112">
        <f>[6]ONS!Z958</f>
        <v>284.60000000000002</v>
      </c>
      <c r="D958" s="1112">
        <f>[6]ONS!P958</f>
        <v>376.4</v>
      </c>
      <c r="E958" s="1096"/>
      <c r="F958" s="1114">
        <f t="shared" si="43"/>
        <v>132.25579761068164</v>
      </c>
      <c r="G958" s="1112">
        <f t="shared" si="39"/>
        <v>118.55235418130707</v>
      </c>
      <c r="H958" s="1112">
        <f t="shared" si="40"/>
        <v>169.11454673225577</v>
      </c>
      <c r="I958" s="1112">
        <f t="shared" si="41"/>
        <v>133.41531974701331</v>
      </c>
      <c r="J958" s="1112">
        <f t="shared" si="42"/>
        <v>128.60154602951511</v>
      </c>
      <c r="K958" s="1096"/>
      <c r="L958" s="1096"/>
      <c r="M958" s="1096"/>
      <c r="N958" s="1096"/>
      <c r="O958" s="1096"/>
      <c r="P958" s="1114">
        <v>376.4</v>
      </c>
      <c r="Q958" s="1096" t="s">
        <v>1813</v>
      </c>
      <c r="R958" s="1114">
        <v>337.4</v>
      </c>
      <c r="S958" s="1096" t="s">
        <v>1813</v>
      </c>
      <c r="T958" s="1114">
        <v>481.3</v>
      </c>
      <c r="U958" s="1096" t="s">
        <v>1813</v>
      </c>
      <c r="V958" s="1114">
        <v>379.7</v>
      </c>
      <c r="W958" s="1096" t="s">
        <v>1813</v>
      </c>
      <c r="X958" s="1114">
        <v>366</v>
      </c>
      <c r="Y958" s="1096" t="s">
        <v>1813</v>
      </c>
      <c r="Z958" s="1114">
        <v>284.60000000000002</v>
      </c>
      <c r="AA958" s="1096"/>
      <c r="AB958" s="1096"/>
      <c r="AC958" s="1096"/>
      <c r="AD958" s="1096"/>
      <c r="AE958" s="1096"/>
      <c r="AF958" s="1096"/>
      <c r="AG958" s="1096"/>
      <c r="AH958" s="1096"/>
      <c r="AI958" s="1096"/>
      <c r="AJ958" s="1096"/>
      <c r="AK958" s="1096"/>
      <c r="AL958" s="1096"/>
      <c r="AM958" s="1096"/>
      <c r="AN958" s="1096"/>
      <c r="AO958" s="1096"/>
      <c r="AP958" s="1096"/>
      <c r="AQ958" s="1096"/>
      <c r="AR958" s="1096"/>
      <c r="AS958" s="1096"/>
      <c r="AT958" s="1096"/>
      <c r="AU958" s="1096"/>
      <c r="AV958" s="1096"/>
      <c r="AW958" s="1096"/>
      <c r="AX958" s="1096"/>
      <c r="AY958" s="1096"/>
    </row>
    <row r="959" spans="1:51" x14ac:dyDescent="0.45">
      <c r="A959" s="1115">
        <v>2018</v>
      </c>
      <c r="B959" s="1096" t="s">
        <v>1383</v>
      </c>
      <c r="C959" s="1112">
        <f>[6]ONS!Z959</f>
        <v>285.60000000000002</v>
      </c>
      <c r="D959" s="1112">
        <f>[6]ONS!P959</f>
        <v>376</v>
      </c>
      <c r="E959" s="1096"/>
      <c r="F959" s="1114">
        <f t="shared" si="43"/>
        <v>131.65266106442576</v>
      </c>
      <c r="G959" s="1112">
        <f t="shared" si="39"/>
        <v>120.58823529411764</v>
      </c>
      <c r="H959" s="1112">
        <f t="shared" si="40"/>
        <v>159.69887955182071</v>
      </c>
      <c r="I959" s="1112">
        <f t="shared" si="41"/>
        <v>132.94817927170868</v>
      </c>
      <c r="J959" s="1112">
        <f t="shared" si="42"/>
        <v>128.15126050420167</v>
      </c>
      <c r="K959" s="1096"/>
      <c r="L959" s="1096"/>
      <c r="M959" s="1096"/>
      <c r="N959" s="1096"/>
      <c r="O959" s="1096"/>
      <c r="P959" s="1114">
        <v>376</v>
      </c>
      <c r="Q959" s="1096" t="s">
        <v>1814</v>
      </c>
      <c r="R959" s="1114">
        <v>344.4</v>
      </c>
      <c r="S959" s="1096" t="s">
        <v>1814</v>
      </c>
      <c r="T959" s="1114">
        <v>456.1</v>
      </c>
      <c r="U959" s="1096" t="s">
        <v>1814</v>
      </c>
      <c r="V959" s="1114">
        <v>379.7</v>
      </c>
      <c r="W959" s="1096" t="s">
        <v>1814</v>
      </c>
      <c r="X959" s="1114">
        <v>366</v>
      </c>
      <c r="Y959" s="1096" t="s">
        <v>1814</v>
      </c>
      <c r="Z959" s="1114">
        <v>285.60000000000002</v>
      </c>
      <c r="AA959" s="1096"/>
      <c r="AB959" s="1096"/>
      <c r="AC959" s="1096"/>
      <c r="AD959" s="1096"/>
      <c r="AE959" s="1096"/>
      <c r="AF959" s="1096"/>
      <c r="AG959" s="1096"/>
      <c r="AH959" s="1096"/>
      <c r="AI959" s="1096"/>
      <c r="AJ959" s="1096"/>
      <c r="AK959" s="1096"/>
      <c r="AL959" s="1096"/>
      <c r="AM959" s="1096"/>
      <c r="AN959" s="1096"/>
      <c r="AO959" s="1096"/>
      <c r="AP959" s="1096"/>
      <c r="AQ959" s="1096"/>
      <c r="AR959" s="1096"/>
      <c r="AS959" s="1096"/>
      <c r="AT959" s="1096"/>
      <c r="AU959" s="1096"/>
      <c r="AV959" s="1096"/>
      <c r="AW959" s="1096"/>
      <c r="AX959" s="1096"/>
      <c r="AY959" s="1096"/>
    </row>
    <row r="960" spans="1:51" x14ac:dyDescent="0.45">
      <c r="A960" s="1115">
        <v>2019</v>
      </c>
      <c r="B960" s="1096" t="s">
        <v>1385</v>
      </c>
      <c r="C960" s="1112">
        <f>[6]ONS!Z960</f>
        <v>283</v>
      </c>
      <c r="D960" s="1112">
        <f>[6]ONS!P960</f>
        <v>352.6</v>
      </c>
      <c r="E960" s="1096"/>
      <c r="F960" s="1114">
        <f t="shared" si="43"/>
        <v>124.59363957597174</v>
      </c>
      <c r="G960" s="1112">
        <f t="shared" si="39"/>
        <v>121.76678445229683</v>
      </c>
      <c r="H960" s="1112">
        <f t="shared" si="40"/>
        <v>156.36042402826854</v>
      </c>
      <c r="I960" s="1112">
        <f t="shared" si="41"/>
        <v>122.50883392226149</v>
      </c>
      <c r="J960" s="1112">
        <f t="shared" si="42"/>
        <v>123.03886925795054</v>
      </c>
      <c r="K960" s="1096"/>
      <c r="L960" s="1096"/>
      <c r="M960" s="1096"/>
      <c r="N960" s="1096"/>
      <c r="O960" s="1096"/>
      <c r="P960" s="1114">
        <v>352.6</v>
      </c>
      <c r="Q960" s="1096" t="s">
        <v>1815</v>
      </c>
      <c r="R960" s="1114">
        <v>344.6</v>
      </c>
      <c r="S960" s="1096" t="s">
        <v>1815</v>
      </c>
      <c r="T960" s="1114">
        <v>442.5</v>
      </c>
      <c r="U960" s="1096" t="s">
        <v>1815</v>
      </c>
      <c r="V960" s="1114">
        <v>346.7</v>
      </c>
      <c r="W960" s="1096" t="s">
        <v>1815</v>
      </c>
      <c r="X960" s="1114">
        <v>348.2</v>
      </c>
      <c r="Y960" s="1096" t="s">
        <v>1815</v>
      </c>
      <c r="Z960" s="1114">
        <v>283</v>
      </c>
      <c r="AA960" s="1096"/>
      <c r="AB960" s="1096"/>
      <c r="AC960" s="1096"/>
      <c r="AD960" s="1096"/>
      <c r="AE960" s="1096"/>
      <c r="AF960" s="1096"/>
      <c r="AG960" s="1096"/>
      <c r="AH960" s="1096"/>
      <c r="AI960" s="1096"/>
      <c r="AJ960" s="1096"/>
      <c r="AK960" s="1096"/>
      <c r="AL960" s="1096"/>
      <c r="AM960" s="1096"/>
      <c r="AN960" s="1096"/>
      <c r="AO960" s="1096"/>
      <c r="AP960" s="1096"/>
      <c r="AQ960" s="1096"/>
      <c r="AR960" s="1096"/>
      <c r="AS960" s="1096"/>
      <c r="AT960" s="1096"/>
      <c r="AU960" s="1096"/>
      <c r="AV960" s="1096"/>
      <c r="AW960" s="1096"/>
      <c r="AX960" s="1096"/>
      <c r="AY960" s="1096"/>
    </row>
    <row r="961" spans="1:51" x14ac:dyDescent="0.45">
      <c r="A961" s="1115">
        <v>2019</v>
      </c>
      <c r="B961" s="1096" t="s">
        <v>1387</v>
      </c>
      <c r="C961" s="1112">
        <f>[6]ONS!Z961</f>
        <v>285</v>
      </c>
      <c r="D961" s="1112">
        <f>[6]ONS!P961</f>
        <v>353.4</v>
      </c>
      <c r="E961" s="1096"/>
      <c r="F961" s="1114">
        <f t="shared" si="43"/>
        <v>124</v>
      </c>
      <c r="G961" s="1112">
        <f t="shared" ref="G961:G972" si="44">R961/$Z961*100</f>
        <v>120.94736842105263</v>
      </c>
      <c r="H961" s="1112">
        <f t="shared" ref="H961:H972" si="45">T961/$Z961*100</f>
        <v>158.17543859649123</v>
      </c>
      <c r="I961" s="1112">
        <f t="shared" ref="I961:I972" si="46">V961/$Z961*100</f>
        <v>121.75438596491229</v>
      </c>
      <c r="J961" s="1112">
        <f t="shared" ref="J961:J972" si="47">X961/$Z961*100</f>
        <v>122.31578947368422</v>
      </c>
      <c r="K961" s="1096"/>
      <c r="L961" s="1096"/>
      <c r="M961" s="1096"/>
      <c r="N961" s="1096"/>
      <c r="O961" s="1096"/>
      <c r="P961" s="1114">
        <v>353.4</v>
      </c>
      <c r="Q961" s="1096" t="s">
        <v>1816</v>
      </c>
      <c r="R961" s="1114">
        <v>344.7</v>
      </c>
      <c r="S961" s="1096" t="s">
        <v>1816</v>
      </c>
      <c r="T961" s="1114">
        <v>450.8</v>
      </c>
      <c r="U961" s="1096" t="s">
        <v>1816</v>
      </c>
      <c r="V961" s="1114">
        <v>347</v>
      </c>
      <c r="W961" s="1096" t="s">
        <v>1816</v>
      </c>
      <c r="X961" s="1114">
        <v>348.6</v>
      </c>
      <c r="Y961" s="1096" t="s">
        <v>1816</v>
      </c>
      <c r="Z961" s="1114">
        <v>285</v>
      </c>
      <c r="AA961" s="1096"/>
      <c r="AB961" s="1096"/>
      <c r="AC961" s="1096"/>
      <c r="AD961" s="1096"/>
      <c r="AE961" s="1096"/>
      <c r="AF961" s="1096"/>
      <c r="AG961" s="1096"/>
      <c r="AH961" s="1096"/>
      <c r="AI961" s="1096"/>
      <c r="AJ961" s="1096"/>
      <c r="AK961" s="1096"/>
      <c r="AL961" s="1096"/>
      <c r="AM961" s="1096"/>
      <c r="AN961" s="1096"/>
      <c r="AO961" s="1096"/>
      <c r="AP961" s="1096"/>
      <c r="AQ961" s="1096"/>
      <c r="AR961" s="1096"/>
      <c r="AS961" s="1096"/>
      <c r="AT961" s="1096"/>
      <c r="AU961" s="1096"/>
      <c r="AV961" s="1096"/>
      <c r="AW961" s="1096"/>
      <c r="AX961" s="1096"/>
      <c r="AY961" s="1096"/>
    </row>
    <row r="962" spans="1:51" x14ac:dyDescent="0.45">
      <c r="A962" s="1115">
        <v>2019</v>
      </c>
      <c r="B962" s="1096" t="s">
        <v>1389</v>
      </c>
      <c r="C962" s="1112">
        <f>[6]ONS!Z962</f>
        <v>285.10000000000002</v>
      </c>
      <c r="D962" s="1112">
        <f>[6]ONS!P962</f>
        <v>353.6</v>
      </c>
      <c r="E962" s="1096"/>
      <c r="F962" s="1114">
        <f t="shared" si="43"/>
        <v>124.02665731322342</v>
      </c>
      <c r="G962" s="1112">
        <f t="shared" si="44"/>
        <v>121.22062434233602</v>
      </c>
      <c r="H962" s="1112">
        <f t="shared" si="45"/>
        <v>158.96176780077164</v>
      </c>
      <c r="I962" s="1112">
        <f t="shared" si="46"/>
        <v>121.71168011224131</v>
      </c>
      <c r="J962" s="1112">
        <f t="shared" si="47"/>
        <v>122.2728867064188</v>
      </c>
      <c r="K962" s="1096"/>
      <c r="L962" s="1096"/>
      <c r="M962" s="1096"/>
      <c r="N962" s="1096"/>
      <c r="O962" s="1096"/>
      <c r="P962" s="1114">
        <v>353.6</v>
      </c>
      <c r="Q962" s="1096" t="s">
        <v>1817</v>
      </c>
      <c r="R962" s="1114">
        <v>345.6</v>
      </c>
      <c r="S962" s="1096" t="s">
        <v>1817</v>
      </c>
      <c r="T962" s="1114">
        <v>453.2</v>
      </c>
      <c r="U962" s="1096" t="s">
        <v>1817</v>
      </c>
      <c r="V962" s="1114">
        <v>347</v>
      </c>
      <c r="W962" s="1096" t="s">
        <v>1817</v>
      </c>
      <c r="X962" s="1114">
        <v>348.6</v>
      </c>
      <c r="Y962" s="1096" t="s">
        <v>1817</v>
      </c>
      <c r="Z962" s="1114">
        <v>285.10000000000002</v>
      </c>
      <c r="AA962" s="1096"/>
      <c r="AB962" s="1096"/>
      <c r="AC962" s="1096"/>
      <c r="AD962" s="1096"/>
      <c r="AE962" s="1096"/>
      <c r="AF962" s="1096"/>
      <c r="AG962" s="1096"/>
      <c r="AH962" s="1096"/>
      <c r="AI962" s="1096"/>
      <c r="AJ962" s="1096"/>
      <c r="AK962" s="1096"/>
      <c r="AL962" s="1096"/>
      <c r="AM962" s="1096"/>
      <c r="AN962" s="1096"/>
      <c r="AO962" s="1096"/>
      <c r="AP962" s="1096"/>
      <c r="AQ962" s="1096"/>
      <c r="AR962" s="1096"/>
      <c r="AS962" s="1096"/>
      <c r="AT962" s="1096"/>
      <c r="AU962" s="1096"/>
      <c r="AV962" s="1096"/>
      <c r="AW962" s="1096"/>
      <c r="AX962" s="1096"/>
      <c r="AY962" s="1096"/>
    </row>
    <row r="963" spans="1:51" x14ac:dyDescent="0.45">
      <c r="A963" s="1115">
        <v>2019</v>
      </c>
      <c r="B963" s="1096" t="s">
        <v>1391</v>
      </c>
      <c r="C963" s="1112">
        <f>[6]ONS!Z963</f>
        <v>288.2</v>
      </c>
      <c r="D963" s="1112">
        <f>[6]ONS!P963</f>
        <v>386</v>
      </c>
      <c r="E963" s="1096"/>
      <c r="F963" s="1114">
        <f t="shared" si="43"/>
        <v>133.93476752255378</v>
      </c>
      <c r="G963" s="1112">
        <f t="shared" si="44"/>
        <v>117.93893129770991</v>
      </c>
      <c r="H963" s="1112">
        <f t="shared" si="45"/>
        <v>158.95211658570437</v>
      </c>
      <c r="I963" s="1112">
        <f t="shared" si="46"/>
        <v>131.67938931297712</v>
      </c>
      <c r="J963" s="1112">
        <f t="shared" si="47"/>
        <v>134.0735600277585</v>
      </c>
      <c r="K963" s="1096"/>
      <c r="L963" s="1096"/>
      <c r="M963" s="1096"/>
      <c r="N963" s="1096"/>
      <c r="O963" s="1096"/>
      <c r="P963" s="1114">
        <v>386</v>
      </c>
      <c r="Q963" s="1096" t="s">
        <v>1818</v>
      </c>
      <c r="R963" s="1114">
        <v>339.9</v>
      </c>
      <c r="S963" s="1096" t="s">
        <v>1818</v>
      </c>
      <c r="T963" s="1114">
        <v>458.1</v>
      </c>
      <c r="U963" s="1096" t="s">
        <v>1818</v>
      </c>
      <c r="V963" s="1114">
        <v>379.5</v>
      </c>
      <c r="W963" s="1096" t="s">
        <v>1818</v>
      </c>
      <c r="X963" s="1114">
        <v>386.4</v>
      </c>
      <c r="Y963" s="1096" t="s">
        <v>1818</v>
      </c>
      <c r="Z963" s="1114">
        <v>288.2</v>
      </c>
      <c r="AA963" s="1096"/>
      <c r="AB963" s="1096"/>
      <c r="AC963" s="1096"/>
      <c r="AD963" s="1096"/>
      <c r="AE963" s="1096"/>
      <c r="AF963" s="1096"/>
      <c r="AG963" s="1096"/>
      <c r="AH963" s="1096"/>
      <c r="AI963" s="1096"/>
      <c r="AJ963" s="1096"/>
      <c r="AK963" s="1096"/>
      <c r="AL963" s="1096"/>
      <c r="AM963" s="1096"/>
      <c r="AN963" s="1096"/>
      <c r="AO963" s="1096"/>
      <c r="AP963" s="1096"/>
      <c r="AQ963" s="1096"/>
      <c r="AR963" s="1096"/>
      <c r="AS963" s="1096"/>
      <c r="AT963" s="1096"/>
      <c r="AU963" s="1096"/>
      <c r="AV963" s="1096"/>
      <c r="AW963" s="1096"/>
      <c r="AX963" s="1096"/>
      <c r="AY963" s="1096"/>
    </row>
    <row r="964" spans="1:51" x14ac:dyDescent="0.45">
      <c r="A964" s="1115">
        <v>2019</v>
      </c>
      <c r="B964" s="1096" t="s">
        <v>1393</v>
      </c>
      <c r="C964" s="1112">
        <f>[6]ONS!Z964</f>
        <v>289.2</v>
      </c>
      <c r="D964" s="1112">
        <f>[6]ONS!P964</f>
        <v>386.4</v>
      </c>
      <c r="E964" s="1096"/>
      <c r="F964" s="1114">
        <f t="shared" si="43"/>
        <v>133.60995850622405</v>
      </c>
      <c r="G964" s="1112">
        <f t="shared" si="44"/>
        <v>118.53388658367912</v>
      </c>
      <c r="H964" s="1112">
        <f t="shared" si="45"/>
        <v>160.40802213001385</v>
      </c>
      <c r="I964" s="1112">
        <f t="shared" si="46"/>
        <v>131.22406639004149</v>
      </c>
      <c r="J964" s="1112">
        <f t="shared" si="47"/>
        <v>133.60995850622405</v>
      </c>
      <c r="K964" s="1096"/>
      <c r="L964" s="1096"/>
      <c r="M964" s="1096"/>
      <c r="N964" s="1096"/>
      <c r="O964" s="1096"/>
      <c r="P964" s="1114">
        <v>386.4</v>
      </c>
      <c r="Q964" s="1096" t="s">
        <v>1819</v>
      </c>
      <c r="R964" s="1114">
        <v>342.8</v>
      </c>
      <c r="S964" s="1096" t="s">
        <v>1819</v>
      </c>
      <c r="T964" s="1114">
        <v>463.9</v>
      </c>
      <c r="U964" s="1096" t="s">
        <v>1819</v>
      </c>
      <c r="V964" s="1114">
        <v>379.5</v>
      </c>
      <c r="W964" s="1096" t="s">
        <v>1819</v>
      </c>
      <c r="X964" s="1114">
        <v>386.4</v>
      </c>
      <c r="Y964" s="1096" t="s">
        <v>1819</v>
      </c>
      <c r="Z964" s="1114">
        <v>289.2</v>
      </c>
      <c r="AA964" s="1096"/>
      <c r="AB964" s="1096"/>
      <c r="AC964" s="1096"/>
      <c r="AD964" s="1096"/>
      <c r="AE964" s="1096"/>
      <c r="AF964" s="1096"/>
      <c r="AG964" s="1096"/>
      <c r="AH964" s="1096"/>
      <c r="AI964" s="1096"/>
      <c r="AJ964" s="1096"/>
      <c r="AK964" s="1096"/>
      <c r="AL964" s="1096"/>
      <c r="AM964" s="1096"/>
      <c r="AN964" s="1096"/>
      <c r="AO964" s="1096"/>
      <c r="AP964" s="1096"/>
      <c r="AQ964" s="1096"/>
      <c r="AR964" s="1096"/>
      <c r="AS964" s="1096"/>
      <c r="AT964" s="1096"/>
      <c r="AU964" s="1096"/>
      <c r="AV964" s="1096"/>
      <c r="AW964" s="1096"/>
      <c r="AX964" s="1096"/>
      <c r="AY964" s="1096"/>
    </row>
    <row r="965" spans="1:51" x14ac:dyDescent="0.45">
      <c r="A965" s="1115">
        <v>2019</v>
      </c>
      <c r="B965" s="1096" t="s">
        <v>1371</v>
      </c>
      <c r="C965" s="1112">
        <f>[6]ONS!Z965</f>
        <v>289.60000000000002</v>
      </c>
      <c r="D965" s="1112">
        <f>[6]ONS!P965</f>
        <v>385.5</v>
      </c>
      <c r="E965" s="1096"/>
      <c r="F965" s="1114">
        <f t="shared" si="43"/>
        <v>133.1146408839779</v>
      </c>
      <c r="G965" s="1112">
        <f t="shared" si="44"/>
        <v>119.06077348066297</v>
      </c>
      <c r="H965" s="1112">
        <f t="shared" si="45"/>
        <v>155.17955801104969</v>
      </c>
      <c r="I965" s="1112">
        <f t="shared" si="46"/>
        <v>131.042817679558</v>
      </c>
      <c r="J965" s="1112">
        <f t="shared" si="47"/>
        <v>133.42541436464086</v>
      </c>
      <c r="K965" s="1096"/>
      <c r="L965" s="1096"/>
      <c r="M965" s="1096"/>
      <c r="N965" s="1096"/>
      <c r="O965" s="1096"/>
      <c r="P965" s="1114">
        <v>385.5</v>
      </c>
      <c r="Q965" s="1096" t="s">
        <v>1820</v>
      </c>
      <c r="R965" s="1114">
        <v>344.8</v>
      </c>
      <c r="S965" s="1096" t="s">
        <v>1820</v>
      </c>
      <c r="T965" s="1114">
        <v>449.4</v>
      </c>
      <c r="U965" s="1096" t="s">
        <v>1820</v>
      </c>
      <c r="V965" s="1114">
        <v>379.5</v>
      </c>
      <c r="W965" s="1096" t="s">
        <v>1820</v>
      </c>
      <c r="X965" s="1114">
        <v>386.4</v>
      </c>
      <c r="Y965" s="1096" t="s">
        <v>1820</v>
      </c>
      <c r="Z965" s="1114">
        <v>289.60000000000002</v>
      </c>
      <c r="AA965" s="1096"/>
      <c r="AB965" s="1096"/>
      <c r="AC965" s="1096"/>
      <c r="AD965" s="1096"/>
      <c r="AE965" s="1096"/>
      <c r="AF965" s="1096"/>
      <c r="AG965" s="1096"/>
      <c r="AH965" s="1096"/>
      <c r="AI965" s="1096"/>
      <c r="AJ965" s="1096"/>
      <c r="AK965" s="1096"/>
      <c r="AL965" s="1096"/>
      <c r="AM965" s="1096"/>
      <c r="AN965" s="1096"/>
      <c r="AO965" s="1096"/>
      <c r="AP965" s="1096"/>
      <c r="AQ965" s="1096"/>
      <c r="AR965" s="1096"/>
      <c r="AS965" s="1096"/>
      <c r="AT965" s="1096"/>
      <c r="AU965" s="1096"/>
      <c r="AV965" s="1096"/>
      <c r="AW965" s="1096"/>
      <c r="AX965" s="1096"/>
      <c r="AY965" s="1096"/>
    </row>
    <row r="966" spans="1:51" x14ac:dyDescent="0.45">
      <c r="A966" s="1115">
        <v>2019</v>
      </c>
      <c r="B966" s="1096" t="s">
        <v>1373</v>
      </c>
      <c r="C966" s="1112">
        <f>[6]ONS!Z966</f>
        <v>289.5</v>
      </c>
      <c r="D966" s="1112">
        <f>[6]ONS!P966</f>
        <v>385.1</v>
      </c>
      <c r="E966" s="1096"/>
      <c r="F966" s="1114">
        <f t="shared" si="43"/>
        <v>133.02245250431778</v>
      </c>
      <c r="G966" s="1112">
        <f t="shared" si="44"/>
        <v>118.89464594127806</v>
      </c>
      <c r="H966" s="1112">
        <f t="shared" si="45"/>
        <v>154.61139896373058</v>
      </c>
      <c r="I966" s="1112">
        <f t="shared" si="46"/>
        <v>131.0880829015544</v>
      </c>
      <c r="J966" s="1112">
        <f t="shared" si="47"/>
        <v>133.47150259067357</v>
      </c>
      <c r="K966" s="1096"/>
      <c r="L966" s="1096"/>
      <c r="M966" s="1096"/>
      <c r="N966" s="1096"/>
      <c r="O966" s="1096"/>
      <c r="P966" s="1114">
        <v>385.1</v>
      </c>
      <c r="Q966" s="1096" t="s">
        <v>1821</v>
      </c>
      <c r="R966" s="1114">
        <v>344.2</v>
      </c>
      <c r="S966" s="1096" t="s">
        <v>1821</v>
      </c>
      <c r="T966" s="1114">
        <v>447.6</v>
      </c>
      <c r="U966" s="1096" t="s">
        <v>1821</v>
      </c>
      <c r="V966" s="1114">
        <v>379.5</v>
      </c>
      <c r="W966" s="1096" t="s">
        <v>1821</v>
      </c>
      <c r="X966" s="1114">
        <v>386.4</v>
      </c>
      <c r="Y966" s="1096" t="s">
        <v>1821</v>
      </c>
      <c r="Z966" s="1114">
        <v>289.5</v>
      </c>
      <c r="AA966" s="1096"/>
      <c r="AB966" s="1096"/>
      <c r="AC966" s="1096"/>
      <c r="AD966" s="1096"/>
      <c r="AE966" s="1096"/>
      <c r="AF966" s="1096"/>
      <c r="AG966" s="1096"/>
      <c r="AH966" s="1096"/>
      <c r="AI966" s="1096"/>
      <c r="AJ966" s="1096"/>
      <c r="AK966" s="1096"/>
      <c r="AL966" s="1096"/>
      <c r="AM966" s="1096"/>
      <c r="AN966" s="1096"/>
      <c r="AO966" s="1096"/>
      <c r="AP966" s="1096"/>
      <c r="AQ966" s="1096"/>
      <c r="AR966" s="1096"/>
      <c r="AS966" s="1096"/>
      <c r="AT966" s="1096"/>
      <c r="AU966" s="1096"/>
      <c r="AV966" s="1096"/>
      <c r="AW966" s="1096"/>
      <c r="AX966" s="1096"/>
      <c r="AY966" s="1096"/>
    </row>
    <row r="967" spans="1:51" x14ac:dyDescent="0.45">
      <c r="A967" s="1115">
        <v>2019</v>
      </c>
      <c r="B967" s="1096" t="s">
        <v>1375</v>
      </c>
      <c r="C967" s="1112">
        <f>[6]ONS!Z967</f>
        <v>291.7</v>
      </c>
      <c r="D967" s="1112">
        <f>[6]ONS!P967</f>
        <v>385.4</v>
      </c>
      <c r="E967" s="1096"/>
      <c r="F967" s="1114">
        <f t="shared" si="43"/>
        <v>132.12204319506341</v>
      </c>
      <c r="G967" s="1112">
        <f t="shared" si="44"/>
        <v>117.20946177579705</v>
      </c>
      <c r="H967" s="1112">
        <f t="shared" si="45"/>
        <v>155.33081933493315</v>
      </c>
      <c r="I967" s="1112">
        <f t="shared" si="46"/>
        <v>130.09941720946179</v>
      </c>
      <c r="J967" s="1112">
        <f t="shared" si="47"/>
        <v>132.46486115872472</v>
      </c>
      <c r="K967" s="1096"/>
      <c r="L967" s="1096"/>
      <c r="M967" s="1096"/>
      <c r="N967" s="1096"/>
      <c r="O967" s="1096"/>
      <c r="P967" s="1114">
        <v>385.4</v>
      </c>
      <c r="Q967" s="1096" t="s">
        <v>1822</v>
      </c>
      <c r="R967" s="1114">
        <v>341.9</v>
      </c>
      <c r="S967" s="1096" t="s">
        <v>1822</v>
      </c>
      <c r="T967" s="1114">
        <v>453.1</v>
      </c>
      <c r="U967" s="1096" t="s">
        <v>1822</v>
      </c>
      <c r="V967" s="1114">
        <v>379.5</v>
      </c>
      <c r="W967" s="1096" t="s">
        <v>1822</v>
      </c>
      <c r="X967" s="1114">
        <v>386.4</v>
      </c>
      <c r="Y967" s="1096" t="s">
        <v>1822</v>
      </c>
      <c r="Z967" s="1114">
        <v>291.7</v>
      </c>
      <c r="AA967" s="1096"/>
      <c r="AB967" s="1096"/>
      <c r="AC967" s="1096"/>
      <c r="AD967" s="1096"/>
      <c r="AE967" s="1096"/>
      <c r="AF967" s="1096"/>
      <c r="AG967" s="1096"/>
      <c r="AH967" s="1096"/>
      <c r="AI967" s="1096"/>
      <c r="AJ967" s="1096"/>
      <c r="AK967" s="1096"/>
      <c r="AL967" s="1096"/>
      <c r="AM967" s="1096"/>
      <c r="AN967" s="1096"/>
      <c r="AO967" s="1096"/>
      <c r="AP967" s="1096"/>
      <c r="AQ967" s="1096"/>
      <c r="AR967" s="1096"/>
      <c r="AS967" s="1096"/>
      <c r="AT967" s="1096"/>
      <c r="AU967" s="1096"/>
      <c r="AV967" s="1096"/>
      <c r="AW967" s="1096"/>
      <c r="AX967" s="1096"/>
      <c r="AY967" s="1096"/>
    </row>
    <row r="968" spans="1:51" x14ac:dyDescent="0.45">
      <c r="A968" s="1115">
        <v>2019</v>
      </c>
      <c r="B968" s="1096" t="s">
        <v>1377</v>
      </c>
      <c r="C968" s="1112">
        <f>[6]ONS!Z968</f>
        <v>291</v>
      </c>
      <c r="D968" s="1112">
        <f>[6]ONS!P968</f>
        <v>385.4</v>
      </c>
      <c r="E968" s="1096"/>
      <c r="F968" s="1114">
        <f t="shared" si="43"/>
        <v>132.43986254295532</v>
      </c>
      <c r="G968" s="1112">
        <f t="shared" si="44"/>
        <v>117.93814432989691</v>
      </c>
      <c r="H968" s="1112">
        <f t="shared" si="45"/>
        <v>155.73883161512029</v>
      </c>
      <c r="I968" s="1112">
        <f t="shared" si="46"/>
        <v>130.41237113402062</v>
      </c>
      <c r="J968" s="1112">
        <f t="shared" si="47"/>
        <v>132.78350515463916</v>
      </c>
      <c r="K968" s="1096"/>
      <c r="L968" s="1096"/>
      <c r="M968" s="1096"/>
      <c r="N968" s="1096"/>
      <c r="O968" s="1096"/>
      <c r="P968" s="1114">
        <v>385.4</v>
      </c>
      <c r="Q968" s="1096" t="s">
        <v>1823</v>
      </c>
      <c r="R968" s="1114">
        <v>343.2</v>
      </c>
      <c r="S968" s="1096" t="s">
        <v>1823</v>
      </c>
      <c r="T968" s="1114">
        <v>453.2</v>
      </c>
      <c r="U968" s="1096" t="s">
        <v>1823</v>
      </c>
      <c r="V968" s="1114">
        <v>379.5</v>
      </c>
      <c r="W968" s="1096" t="s">
        <v>1823</v>
      </c>
      <c r="X968" s="1114">
        <v>386.4</v>
      </c>
      <c r="Y968" s="1096" t="s">
        <v>1823</v>
      </c>
      <c r="Z968" s="1114">
        <v>291</v>
      </c>
      <c r="AA968" s="1096"/>
      <c r="AB968" s="1096"/>
      <c r="AC968" s="1096"/>
      <c r="AD968" s="1096"/>
      <c r="AE968" s="1096"/>
      <c r="AF968" s="1096"/>
      <c r="AG968" s="1096"/>
      <c r="AH968" s="1096"/>
      <c r="AI968" s="1096"/>
      <c r="AJ968" s="1096"/>
      <c r="AK968" s="1096"/>
      <c r="AL968" s="1096"/>
      <c r="AM968" s="1096"/>
      <c r="AN968" s="1096"/>
      <c r="AO968" s="1096"/>
      <c r="AP968" s="1096"/>
      <c r="AQ968" s="1096"/>
      <c r="AR968" s="1096"/>
      <c r="AS968" s="1096"/>
      <c r="AT968" s="1096"/>
      <c r="AU968" s="1096"/>
      <c r="AV968" s="1096"/>
      <c r="AW968" s="1096"/>
      <c r="AX968" s="1096"/>
      <c r="AY968" s="1096"/>
    </row>
    <row r="969" spans="1:51" x14ac:dyDescent="0.45">
      <c r="A969" s="1115">
        <v>2019</v>
      </c>
      <c r="B969" s="1096" t="s">
        <v>1379</v>
      </c>
      <c r="C969" s="1112">
        <f>[6]ONS!Z969</f>
        <v>290.39999999999998</v>
      </c>
      <c r="D969" s="1112">
        <f>[6]ONS!P969</f>
        <v>368.6</v>
      </c>
      <c r="E969" s="1096"/>
      <c r="F969" s="1114">
        <f t="shared" si="43"/>
        <v>126.92837465564739</v>
      </c>
      <c r="G969" s="1112">
        <f t="shared" si="44"/>
        <v>119.90358126721763</v>
      </c>
      <c r="H969" s="1112">
        <f t="shared" si="45"/>
        <v>160.43388429752065</v>
      </c>
      <c r="I969" s="1112">
        <f t="shared" si="46"/>
        <v>119.0426997245179</v>
      </c>
      <c r="J969" s="1112">
        <f t="shared" si="47"/>
        <v>130.19972451790636</v>
      </c>
      <c r="K969" s="1096"/>
      <c r="L969" s="1096"/>
      <c r="M969" s="1096"/>
      <c r="N969" s="1096"/>
      <c r="O969" s="1096"/>
      <c r="P969" s="1114">
        <v>368.6</v>
      </c>
      <c r="Q969" s="1096" t="s">
        <v>1824</v>
      </c>
      <c r="R969" s="1114">
        <v>348.2</v>
      </c>
      <c r="S969" s="1096" t="s">
        <v>1824</v>
      </c>
      <c r="T969" s="1114">
        <v>465.9</v>
      </c>
      <c r="U969" s="1096" t="s">
        <v>1824</v>
      </c>
      <c r="V969" s="1114">
        <v>345.7</v>
      </c>
      <c r="W969" s="1096" t="s">
        <v>1824</v>
      </c>
      <c r="X969" s="1114">
        <v>378.1</v>
      </c>
      <c r="Y969" s="1096" t="s">
        <v>1824</v>
      </c>
      <c r="Z969" s="1114">
        <v>290.39999999999998</v>
      </c>
      <c r="AA969" s="1096"/>
      <c r="AB969" s="1096"/>
      <c r="AC969" s="1096"/>
      <c r="AD969" s="1096"/>
      <c r="AE969" s="1096"/>
      <c r="AF969" s="1096"/>
      <c r="AG969" s="1096"/>
      <c r="AH969" s="1096"/>
      <c r="AI969" s="1096"/>
      <c r="AJ969" s="1096"/>
      <c r="AK969" s="1096"/>
      <c r="AL969" s="1096"/>
      <c r="AM969" s="1096"/>
      <c r="AN969" s="1096"/>
      <c r="AO969" s="1096"/>
      <c r="AP969" s="1096"/>
      <c r="AQ969" s="1096"/>
      <c r="AR969" s="1096"/>
      <c r="AS969" s="1096"/>
      <c r="AT969" s="1096"/>
      <c r="AU969" s="1096"/>
      <c r="AV969" s="1096"/>
      <c r="AW969" s="1096"/>
      <c r="AX969" s="1096"/>
      <c r="AY969" s="1096"/>
    </row>
    <row r="970" spans="1:51" x14ac:dyDescent="0.45">
      <c r="A970" s="1115">
        <v>2019</v>
      </c>
      <c r="B970" s="1096" t="s">
        <v>1381</v>
      </c>
      <c r="C970" s="1112">
        <f>[6]ONS!Z970</f>
        <v>291</v>
      </c>
      <c r="D970" s="1112">
        <f>[6]ONS!P970</f>
        <v>368.1</v>
      </c>
      <c r="E970" s="1096"/>
      <c r="F970" s="1114">
        <f t="shared" si="43"/>
        <v>126.49484536082475</v>
      </c>
      <c r="G970" s="1112">
        <f t="shared" si="44"/>
        <v>122.43986254295534</v>
      </c>
      <c r="H970" s="1112">
        <f t="shared" si="45"/>
        <v>156.42611683848799</v>
      </c>
      <c r="I970" s="1112">
        <f t="shared" si="46"/>
        <v>118.79725085910653</v>
      </c>
      <c r="J970" s="1112">
        <f t="shared" si="47"/>
        <v>129.93127147766324</v>
      </c>
      <c r="K970" s="1096"/>
      <c r="L970" s="1096"/>
      <c r="M970" s="1096"/>
      <c r="N970" s="1096"/>
      <c r="O970" s="1096"/>
      <c r="P970" s="1114">
        <v>368.1</v>
      </c>
      <c r="Q970" s="1096" t="s">
        <v>1825</v>
      </c>
      <c r="R970" s="1114">
        <v>356.3</v>
      </c>
      <c r="S970" s="1096" t="s">
        <v>1825</v>
      </c>
      <c r="T970" s="1114">
        <v>455.2</v>
      </c>
      <c r="U970" s="1096" t="s">
        <v>1825</v>
      </c>
      <c r="V970" s="1114">
        <v>345.7</v>
      </c>
      <c r="W970" s="1096" t="s">
        <v>1825</v>
      </c>
      <c r="X970" s="1114">
        <v>378.1</v>
      </c>
      <c r="Y970" s="1096" t="s">
        <v>1825</v>
      </c>
      <c r="Z970" s="1114">
        <v>291</v>
      </c>
      <c r="AA970" s="1096"/>
      <c r="AB970" s="1096"/>
      <c r="AC970" s="1096"/>
      <c r="AD970" s="1096"/>
      <c r="AE970" s="1096"/>
      <c r="AF970" s="1096"/>
      <c r="AG970" s="1096"/>
      <c r="AH970" s="1096"/>
      <c r="AI970" s="1096"/>
      <c r="AJ970" s="1096"/>
      <c r="AK970" s="1096"/>
      <c r="AL970" s="1096"/>
      <c r="AM970" s="1096"/>
      <c r="AN970" s="1096"/>
      <c r="AO970" s="1096"/>
      <c r="AP970" s="1096"/>
      <c r="AQ970" s="1096"/>
      <c r="AR970" s="1096"/>
      <c r="AS970" s="1096"/>
      <c r="AT970" s="1096"/>
      <c r="AU970" s="1096"/>
      <c r="AV970" s="1096"/>
      <c r="AW970" s="1096"/>
      <c r="AX970" s="1096"/>
      <c r="AY970" s="1096"/>
    </row>
    <row r="971" spans="1:51" x14ac:dyDescent="0.45">
      <c r="A971" s="1115">
        <v>2019</v>
      </c>
      <c r="B971" s="1096" t="s">
        <v>1383</v>
      </c>
      <c r="C971" s="1112">
        <f>[6]ONS!Z971</f>
        <v>291.89999999999998</v>
      </c>
      <c r="D971" s="1112">
        <f>[6]ONS!P971</f>
        <v>368.1</v>
      </c>
      <c r="E971" s="1096"/>
      <c r="F971" s="1114">
        <f t="shared" si="43"/>
        <v>126.10483042137722</v>
      </c>
      <c r="G971" s="1112">
        <f t="shared" si="44"/>
        <v>122.74751627269613</v>
      </c>
      <c r="H971" s="1112">
        <f t="shared" si="45"/>
        <v>155.94381637547104</v>
      </c>
      <c r="I971" s="1112">
        <f t="shared" si="46"/>
        <v>118.43096951010621</v>
      </c>
      <c r="J971" s="1112">
        <f t="shared" si="47"/>
        <v>129.53066118533746</v>
      </c>
      <c r="K971" s="1096"/>
      <c r="L971" s="1096"/>
      <c r="M971" s="1096"/>
      <c r="N971" s="1096"/>
      <c r="O971" s="1096"/>
      <c r="P971" s="1114">
        <v>368.1</v>
      </c>
      <c r="Q971" s="1096" t="s">
        <v>1826</v>
      </c>
      <c r="R971" s="1114">
        <v>358.3</v>
      </c>
      <c r="S971" s="1096" t="s">
        <v>1826</v>
      </c>
      <c r="T971" s="1114">
        <v>455.2</v>
      </c>
      <c r="U971" s="1096" t="s">
        <v>1826</v>
      </c>
      <c r="V971" s="1114">
        <v>345.7</v>
      </c>
      <c r="W971" s="1096" t="s">
        <v>1826</v>
      </c>
      <c r="X971" s="1114">
        <v>378.1</v>
      </c>
      <c r="Y971" s="1096" t="s">
        <v>1826</v>
      </c>
      <c r="Z971" s="1114">
        <v>291.89999999999998</v>
      </c>
      <c r="AA971" s="1096"/>
      <c r="AB971" s="1096"/>
      <c r="AC971" s="1096"/>
      <c r="AD971" s="1096"/>
      <c r="AE971" s="1096"/>
      <c r="AF971" s="1096"/>
      <c r="AG971" s="1096"/>
      <c r="AH971" s="1096"/>
      <c r="AI971" s="1096"/>
      <c r="AJ971" s="1096"/>
      <c r="AK971" s="1096"/>
      <c r="AL971" s="1096"/>
      <c r="AM971" s="1096"/>
      <c r="AN971" s="1096"/>
      <c r="AO971" s="1096"/>
      <c r="AP971" s="1096"/>
      <c r="AQ971" s="1096"/>
      <c r="AR971" s="1096"/>
      <c r="AS971" s="1096"/>
      <c r="AT971" s="1096"/>
      <c r="AU971" s="1096"/>
      <c r="AV971" s="1096"/>
      <c r="AW971" s="1096"/>
      <c r="AX971" s="1096"/>
      <c r="AY971" s="1096"/>
    </row>
    <row r="972" spans="1:51" x14ac:dyDescent="0.45">
      <c r="A972" s="1115">
        <v>2020</v>
      </c>
      <c r="B972" s="1096" t="s">
        <v>1385</v>
      </c>
      <c r="C972" s="1112">
        <f>[6]ONS!Z972</f>
        <v>290.60000000000002</v>
      </c>
      <c r="D972" s="1112">
        <f>[6]ONS!P972</f>
        <v>368.9</v>
      </c>
      <c r="E972" s="1096"/>
      <c r="F972" s="1114">
        <f t="shared" si="43"/>
        <v>126.9442532690984</v>
      </c>
      <c r="G972" s="1112">
        <f t="shared" si="44"/>
        <v>122.16104611149345</v>
      </c>
      <c r="H972" s="1112">
        <f t="shared" si="45"/>
        <v>160.8052305574673</v>
      </c>
      <c r="I972" s="1112">
        <f t="shared" si="46"/>
        <v>118.96077081899517</v>
      </c>
      <c r="J972" s="1112">
        <f t="shared" si="47"/>
        <v>130.11011699931177</v>
      </c>
      <c r="K972" s="1096"/>
      <c r="L972" s="1096"/>
      <c r="M972" s="1096"/>
      <c r="N972" s="1096"/>
      <c r="O972" s="1096"/>
      <c r="P972" s="1114">
        <v>368.9</v>
      </c>
      <c r="Q972" s="1096" t="s">
        <v>1827</v>
      </c>
      <c r="R972" s="1114">
        <v>355</v>
      </c>
      <c r="S972" s="1096" t="s">
        <v>1827</v>
      </c>
      <c r="T972" s="1114">
        <v>467.3</v>
      </c>
      <c r="U972" s="1096" t="s">
        <v>1827</v>
      </c>
      <c r="V972" s="1114">
        <v>345.7</v>
      </c>
      <c r="W972" s="1096" t="s">
        <v>1827</v>
      </c>
      <c r="X972" s="1114">
        <v>378.1</v>
      </c>
      <c r="Y972" s="1096" t="s">
        <v>1827</v>
      </c>
      <c r="Z972" s="1114">
        <v>290.60000000000002</v>
      </c>
      <c r="AA972" s="1096"/>
      <c r="AB972" s="1096"/>
      <c r="AC972" s="1096"/>
      <c r="AD972" s="1096"/>
      <c r="AE972" s="1096"/>
      <c r="AF972" s="1096"/>
      <c r="AG972" s="1096"/>
      <c r="AH972" s="1096"/>
      <c r="AI972" s="1096"/>
      <c r="AJ972" s="1096"/>
      <c r="AK972" s="1096"/>
      <c r="AL972" s="1096"/>
      <c r="AM972" s="1096"/>
      <c r="AN972" s="1096"/>
      <c r="AO972" s="1096"/>
      <c r="AP972" s="1096"/>
      <c r="AQ972" s="1096"/>
      <c r="AR972" s="1096"/>
      <c r="AS972" s="1096"/>
      <c r="AT972" s="1096"/>
      <c r="AU972" s="1096"/>
      <c r="AV972" s="1096"/>
      <c r="AW972" s="1096"/>
      <c r="AX972" s="1096"/>
      <c r="AY972" s="1096"/>
    </row>
    <row r="973" spans="1:51" x14ac:dyDescent="0.45">
      <c r="A973" s="1115">
        <v>2020</v>
      </c>
      <c r="B973" s="1096" t="s">
        <v>1387</v>
      </c>
      <c r="C973" s="1096"/>
      <c r="D973" s="1096"/>
      <c r="E973" s="1096"/>
      <c r="F973" s="1096"/>
      <c r="G973" s="1096"/>
      <c r="H973" s="1096"/>
      <c r="I973" s="1096"/>
      <c r="J973" s="1096"/>
      <c r="K973" s="1096"/>
      <c r="L973" s="1096"/>
      <c r="M973" s="1096"/>
      <c r="N973" s="1096"/>
      <c r="O973" s="1096"/>
      <c r="P973" s="1096"/>
      <c r="Q973" s="1096"/>
      <c r="R973" s="1096"/>
      <c r="S973" s="1096"/>
      <c r="T973" s="1096"/>
      <c r="U973" s="1096"/>
      <c r="V973" s="1096"/>
      <c r="W973" s="1096"/>
      <c r="X973" s="1096"/>
      <c r="Y973" s="1096"/>
      <c r="Z973" s="1096"/>
      <c r="AA973" s="1096"/>
      <c r="AB973" s="1096"/>
      <c r="AC973" s="1096"/>
      <c r="AD973" s="1096"/>
      <c r="AE973" s="1096"/>
      <c r="AF973" s="1096"/>
      <c r="AG973" s="1096"/>
      <c r="AH973" s="1096"/>
      <c r="AI973" s="1096"/>
      <c r="AJ973" s="1096"/>
      <c r="AK973" s="1096"/>
      <c r="AL973" s="1096"/>
      <c r="AM973" s="1096"/>
      <c r="AN973" s="1096"/>
      <c r="AO973" s="1096"/>
      <c r="AP973" s="1096"/>
      <c r="AQ973" s="1096"/>
      <c r="AR973" s="1096"/>
      <c r="AS973" s="1096"/>
      <c r="AT973" s="1096"/>
      <c r="AU973" s="1096"/>
      <c r="AV973" s="1096"/>
      <c r="AW973" s="1096"/>
      <c r="AX973" s="1096"/>
      <c r="AY973" s="1096"/>
    </row>
    <row r="974" spans="1:51" x14ac:dyDescent="0.45">
      <c r="A974" s="1115">
        <v>2020</v>
      </c>
      <c r="B974" s="1096" t="s">
        <v>1389</v>
      </c>
      <c r="C974" s="1096"/>
      <c r="D974" s="1096"/>
      <c r="E974" s="1096"/>
      <c r="F974" s="1096"/>
      <c r="G974" s="1096"/>
      <c r="H974" s="1096"/>
      <c r="I974" s="1096"/>
      <c r="J974" s="1096"/>
      <c r="K974" s="1096"/>
      <c r="L974" s="1096"/>
      <c r="M974" s="1096"/>
      <c r="N974" s="1096"/>
      <c r="O974" s="1096"/>
      <c r="P974" s="1096"/>
      <c r="Q974" s="1096"/>
      <c r="R974" s="1096"/>
      <c r="S974" s="1096"/>
      <c r="T974" s="1096"/>
      <c r="U974" s="1096"/>
      <c r="V974" s="1096"/>
      <c r="W974" s="1096"/>
      <c r="X974" s="1096"/>
      <c r="Y974" s="1096"/>
      <c r="Z974" s="1096"/>
      <c r="AA974" s="1096"/>
      <c r="AB974" s="1096"/>
      <c r="AC974" s="1096"/>
      <c r="AD974" s="1096"/>
      <c r="AE974" s="1096"/>
      <c r="AF974" s="1096"/>
      <c r="AG974" s="1096"/>
      <c r="AH974" s="1096"/>
      <c r="AI974" s="1096"/>
      <c r="AJ974" s="1096"/>
      <c r="AK974" s="1096"/>
      <c r="AL974" s="1096"/>
      <c r="AM974" s="1096"/>
      <c r="AN974" s="1096"/>
      <c r="AO974" s="1096"/>
      <c r="AP974" s="1096"/>
      <c r="AQ974" s="1096"/>
      <c r="AR974" s="1096"/>
      <c r="AS974" s="1096"/>
      <c r="AT974" s="1096"/>
      <c r="AU974" s="1096"/>
      <c r="AV974" s="1096"/>
      <c r="AW974" s="1096"/>
      <c r="AX974" s="1096"/>
      <c r="AY974" s="1096"/>
    </row>
    <row r="975" spans="1:51" x14ac:dyDescent="0.45">
      <c r="A975" s="1115">
        <v>2020</v>
      </c>
      <c r="B975" s="1096" t="s">
        <v>1391</v>
      </c>
      <c r="C975" s="1096"/>
      <c r="D975" s="1096"/>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6"/>
      <c r="AF975" s="1096"/>
      <c r="AG975" s="1096"/>
      <c r="AH975" s="1096"/>
      <c r="AI975" s="1096"/>
      <c r="AJ975" s="1096"/>
      <c r="AK975" s="1096"/>
      <c r="AL975" s="1096"/>
      <c r="AM975" s="1096"/>
      <c r="AN975" s="1096"/>
      <c r="AO975" s="1096"/>
      <c r="AP975" s="1096"/>
      <c r="AQ975" s="1096"/>
      <c r="AR975" s="1096"/>
      <c r="AS975" s="1096"/>
      <c r="AT975" s="1096"/>
      <c r="AU975" s="1096"/>
      <c r="AV975" s="1096"/>
      <c r="AW975" s="1096"/>
      <c r="AX975" s="1096"/>
      <c r="AY975" s="1096"/>
    </row>
    <row r="976" spans="1:51" x14ac:dyDescent="0.45">
      <c r="A976" s="1115">
        <v>2020</v>
      </c>
      <c r="B976" s="1096" t="s">
        <v>1393</v>
      </c>
      <c r="C976" s="1096"/>
      <c r="D976" s="1096"/>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6"/>
      <c r="Z976" s="1096"/>
      <c r="AA976" s="1096"/>
      <c r="AB976" s="1096"/>
      <c r="AC976" s="1096"/>
      <c r="AD976" s="1096"/>
      <c r="AE976" s="1096"/>
      <c r="AF976" s="1096"/>
      <c r="AG976" s="1096"/>
      <c r="AH976" s="1096"/>
      <c r="AI976" s="1096"/>
      <c r="AJ976" s="1096"/>
      <c r="AK976" s="1096"/>
      <c r="AL976" s="1096"/>
      <c r="AM976" s="1096"/>
      <c r="AN976" s="1096"/>
      <c r="AO976" s="1096"/>
      <c r="AP976" s="1096"/>
      <c r="AQ976" s="1096"/>
      <c r="AR976" s="1096"/>
      <c r="AS976" s="1096"/>
      <c r="AT976" s="1096"/>
      <c r="AU976" s="1096"/>
      <c r="AV976" s="1096"/>
      <c r="AW976" s="1096"/>
      <c r="AX976" s="1096"/>
      <c r="AY976" s="1096"/>
    </row>
    <row r="977" spans="1:51" x14ac:dyDescent="0.45">
      <c r="A977" s="1115">
        <v>2020</v>
      </c>
      <c r="B977" s="1096" t="s">
        <v>1371</v>
      </c>
      <c r="C977" s="1096"/>
      <c r="D977" s="1096"/>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6"/>
      <c r="Z977" s="1096"/>
      <c r="AA977" s="1096"/>
      <c r="AB977" s="1096"/>
      <c r="AC977" s="1096"/>
      <c r="AD977" s="1096"/>
      <c r="AE977" s="1096"/>
      <c r="AF977" s="1096"/>
      <c r="AG977" s="1096"/>
      <c r="AH977" s="1096"/>
      <c r="AI977" s="1096"/>
      <c r="AJ977" s="1096"/>
      <c r="AK977" s="1096"/>
      <c r="AL977" s="1096"/>
      <c r="AM977" s="1096"/>
      <c r="AN977" s="1096"/>
      <c r="AO977" s="1096"/>
      <c r="AP977" s="1096"/>
      <c r="AQ977" s="1096"/>
      <c r="AR977" s="1096"/>
      <c r="AS977" s="1096"/>
      <c r="AT977" s="1096"/>
      <c r="AU977" s="1096"/>
      <c r="AV977" s="1096"/>
      <c r="AW977" s="1096"/>
      <c r="AX977" s="1096"/>
      <c r="AY977" s="1096"/>
    </row>
    <row r="978" spans="1:51" x14ac:dyDescent="0.45">
      <c r="A978" s="1115">
        <v>2020</v>
      </c>
      <c r="B978" s="1096" t="s">
        <v>1373</v>
      </c>
      <c r="C978" s="1096"/>
      <c r="D978" s="1096"/>
      <c r="E978" s="1096"/>
      <c r="F978" s="1096"/>
      <c r="G978" s="1096"/>
      <c r="H978" s="1096"/>
      <c r="I978" s="1096"/>
      <c r="J978" s="1096"/>
      <c r="K978" s="1096"/>
      <c r="L978" s="1096"/>
      <c r="M978" s="1096"/>
      <c r="N978" s="1096"/>
      <c r="O978" s="1096"/>
      <c r="P978" s="1096"/>
      <c r="Q978" s="1096"/>
      <c r="R978" s="1096"/>
      <c r="S978" s="1096"/>
      <c r="T978" s="1096"/>
      <c r="U978" s="1096"/>
      <c r="V978" s="1096"/>
      <c r="W978" s="1096"/>
      <c r="X978" s="1096"/>
      <c r="Y978" s="1096"/>
      <c r="Z978" s="1096"/>
      <c r="AA978" s="1096"/>
      <c r="AB978" s="1096"/>
      <c r="AC978" s="1096"/>
      <c r="AD978" s="1096"/>
      <c r="AE978" s="1096"/>
      <c r="AF978" s="1096"/>
      <c r="AG978" s="1096"/>
      <c r="AH978" s="1096"/>
      <c r="AI978" s="1096"/>
      <c r="AJ978" s="1096"/>
      <c r="AK978" s="1096"/>
      <c r="AL978" s="1096"/>
      <c r="AM978" s="1096"/>
      <c r="AN978" s="1096"/>
      <c r="AO978" s="1096"/>
      <c r="AP978" s="1096"/>
      <c r="AQ978" s="1096"/>
      <c r="AR978" s="1096"/>
      <c r="AS978" s="1096"/>
      <c r="AT978" s="1096"/>
      <c r="AU978" s="1096"/>
      <c r="AV978" s="1096"/>
      <c r="AW978" s="1096"/>
      <c r="AX978" s="1096"/>
      <c r="AY978" s="1096"/>
    </row>
    <row r="979" spans="1:51" x14ac:dyDescent="0.45">
      <c r="A979" s="1115">
        <v>2020</v>
      </c>
      <c r="B979" s="1096" t="s">
        <v>1375</v>
      </c>
      <c r="C979" s="1096"/>
      <c r="D979" s="1096"/>
      <c r="E979" s="1096"/>
      <c r="F979" s="1096"/>
      <c r="G979" s="1096"/>
      <c r="H979" s="1096"/>
      <c r="I979" s="1096"/>
      <c r="J979" s="1096"/>
      <c r="K979" s="1096"/>
      <c r="L979" s="1096"/>
      <c r="M979" s="1096"/>
      <c r="N979" s="1096"/>
      <c r="O979" s="1096"/>
      <c r="P979" s="1096"/>
      <c r="Q979" s="1096"/>
      <c r="R979" s="1096"/>
      <c r="S979" s="1096"/>
      <c r="T979" s="1096"/>
      <c r="U979" s="1096"/>
      <c r="V979" s="1096"/>
      <c r="W979" s="1096"/>
      <c r="X979" s="1096"/>
      <c r="Y979" s="1096"/>
      <c r="Z979" s="1096"/>
      <c r="AA979" s="1096"/>
      <c r="AB979" s="1096"/>
      <c r="AC979" s="1096"/>
      <c r="AD979" s="1096"/>
      <c r="AE979" s="1096"/>
      <c r="AF979" s="1096"/>
      <c r="AG979" s="1096"/>
      <c r="AH979" s="1096"/>
      <c r="AI979" s="1096"/>
      <c r="AJ979" s="1096"/>
      <c r="AK979" s="1096"/>
      <c r="AL979" s="1096"/>
      <c r="AM979" s="1096"/>
      <c r="AN979" s="1096"/>
      <c r="AO979" s="1096"/>
      <c r="AP979" s="1096"/>
      <c r="AQ979" s="1096"/>
      <c r="AR979" s="1096"/>
      <c r="AS979" s="1096"/>
      <c r="AT979" s="1096"/>
      <c r="AU979" s="1096"/>
      <c r="AV979" s="1096"/>
      <c r="AW979" s="1096"/>
      <c r="AX979" s="1096"/>
      <c r="AY979" s="1096"/>
    </row>
    <row r="980" spans="1:51" x14ac:dyDescent="0.45">
      <c r="A980" s="1115">
        <v>2020</v>
      </c>
      <c r="B980" s="1096" t="s">
        <v>1377</v>
      </c>
      <c r="C980" s="1096"/>
      <c r="D980" s="1096"/>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6"/>
      <c r="Z980" s="1096"/>
      <c r="AA980" s="1096"/>
      <c r="AB980" s="1096"/>
      <c r="AC980" s="1096"/>
      <c r="AD980" s="1096"/>
      <c r="AE980" s="1096"/>
      <c r="AF980" s="1096"/>
      <c r="AG980" s="1096"/>
      <c r="AH980" s="1096"/>
      <c r="AI980" s="1096"/>
      <c r="AJ980" s="1096"/>
      <c r="AK980" s="1096"/>
      <c r="AL980" s="1096"/>
      <c r="AM980" s="1096"/>
      <c r="AN980" s="1096"/>
      <c r="AO980" s="1096"/>
      <c r="AP980" s="1096"/>
      <c r="AQ980" s="1096"/>
      <c r="AR980" s="1096"/>
      <c r="AS980" s="1096"/>
      <c r="AT980" s="1096"/>
      <c r="AU980" s="1096"/>
      <c r="AV980" s="1096"/>
      <c r="AW980" s="1096"/>
      <c r="AX980" s="1096"/>
      <c r="AY980" s="1096"/>
    </row>
    <row r="981" spans="1:51" x14ac:dyDescent="0.45">
      <c r="A981" s="1115">
        <v>2020</v>
      </c>
      <c r="B981" s="1096" t="s">
        <v>1379</v>
      </c>
      <c r="C981" s="1096"/>
      <c r="D981" s="1096"/>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6"/>
      <c r="Z981" s="1096"/>
      <c r="AA981" s="1096"/>
      <c r="AB981" s="1096"/>
      <c r="AC981" s="1096"/>
      <c r="AD981" s="1096"/>
      <c r="AE981" s="1096"/>
      <c r="AF981" s="1096"/>
      <c r="AG981" s="1096"/>
      <c r="AH981" s="1096"/>
      <c r="AI981" s="1096"/>
      <c r="AJ981" s="1096"/>
      <c r="AK981" s="1096"/>
      <c r="AL981" s="1096"/>
      <c r="AM981" s="1096"/>
      <c r="AN981" s="1096"/>
      <c r="AO981" s="1096"/>
      <c r="AP981" s="1096"/>
      <c r="AQ981" s="1096"/>
      <c r="AR981" s="1096"/>
      <c r="AS981" s="1096"/>
      <c r="AT981" s="1096"/>
      <c r="AU981" s="1096"/>
      <c r="AV981" s="1096"/>
      <c r="AW981" s="1096"/>
      <c r="AX981" s="1096"/>
      <c r="AY981" s="1096"/>
    </row>
    <row r="982" spans="1:51" x14ac:dyDescent="0.45">
      <c r="A982" s="1115">
        <v>2020</v>
      </c>
      <c r="B982" s="1096" t="s">
        <v>1381</v>
      </c>
      <c r="C982" s="1096"/>
      <c r="D982" s="1096"/>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6"/>
      <c r="Z982" s="1096"/>
      <c r="AA982" s="1096"/>
      <c r="AB982" s="1096"/>
      <c r="AC982" s="1096"/>
      <c r="AD982" s="1096"/>
      <c r="AE982" s="1096"/>
      <c r="AF982" s="1096"/>
      <c r="AG982" s="1096"/>
      <c r="AH982" s="1096"/>
      <c r="AI982" s="1096"/>
      <c r="AJ982" s="1096"/>
      <c r="AK982" s="1096"/>
      <c r="AL982" s="1096"/>
      <c r="AM982" s="1096"/>
      <c r="AN982" s="1096"/>
      <c r="AO982" s="1096"/>
      <c r="AP982" s="1096"/>
      <c r="AQ982" s="1096"/>
      <c r="AR982" s="1096"/>
      <c r="AS982" s="1096"/>
      <c r="AT982" s="1096"/>
      <c r="AU982" s="1096"/>
      <c r="AV982" s="1096"/>
      <c r="AW982" s="1096"/>
      <c r="AX982" s="1096"/>
      <c r="AY982" s="1096"/>
    </row>
    <row r="983" spans="1:51" x14ac:dyDescent="0.45">
      <c r="A983" s="1115">
        <v>2020</v>
      </c>
      <c r="B983" s="1096" t="s">
        <v>1383</v>
      </c>
      <c r="C983" s="1096"/>
      <c r="D983" s="1096"/>
      <c r="E983" s="1096"/>
      <c r="F983" s="1096"/>
      <c r="G983" s="1096"/>
      <c r="H983" s="1096"/>
      <c r="I983" s="1096"/>
      <c r="J983" s="1096"/>
      <c r="K983" s="1096"/>
      <c r="L983" s="1096"/>
      <c r="M983" s="1096"/>
      <c r="N983" s="1096"/>
      <c r="O983" s="1096"/>
      <c r="P983" s="1096"/>
      <c r="Q983" s="1096"/>
      <c r="R983" s="1096"/>
      <c r="S983" s="1096"/>
      <c r="T983" s="1096"/>
      <c r="U983" s="1096"/>
      <c r="V983" s="1096"/>
      <c r="W983" s="1096"/>
      <c r="X983" s="1096"/>
      <c r="Y983" s="1096"/>
      <c r="Z983" s="1096"/>
      <c r="AA983" s="1096"/>
      <c r="AB983" s="1096"/>
      <c r="AC983" s="1096"/>
      <c r="AD983" s="1096"/>
      <c r="AE983" s="1096"/>
      <c r="AF983" s="1096"/>
      <c r="AG983" s="1096"/>
      <c r="AH983" s="1096"/>
      <c r="AI983" s="1096"/>
      <c r="AJ983" s="1096"/>
      <c r="AK983" s="1096"/>
      <c r="AL983" s="1096"/>
      <c r="AM983" s="1096"/>
      <c r="AN983" s="1096"/>
      <c r="AO983" s="1096"/>
      <c r="AP983" s="1096"/>
      <c r="AQ983" s="1096"/>
      <c r="AR983" s="1096"/>
      <c r="AS983" s="1096"/>
      <c r="AT983" s="1096"/>
      <c r="AU983" s="1096"/>
      <c r="AV983" s="1096"/>
      <c r="AW983" s="1096"/>
      <c r="AX983" s="1096"/>
      <c r="AY983" s="1096"/>
    </row>
    <row r="984" spans="1:51" x14ac:dyDescent="0.45">
      <c r="A984" s="1096"/>
      <c r="B984" s="1096"/>
      <c r="C984" s="1096"/>
      <c r="D984" s="1096"/>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6"/>
      <c r="AF984" s="1096"/>
      <c r="AG984" s="1096"/>
      <c r="AH984" s="1096"/>
      <c r="AI984" s="1096"/>
      <c r="AJ984" s="1096"/>
      <c r="AK984" s="1096"/>
      <c r="AL984" s="1096"/>
      <c r="AM984" s="1096"/>
      <c r="AN984" s="1096"/>
      <c r="AO984" s="1096"/>
      <c r="AP984" s="1096"/>
      <c r="AQ984" s="1096"/>
      <c r="AR984" s="1096"/>
      <c r="AS984" s="1096"/>
      <c r="AT984" s="1096"/>
      <c r="AU984" s="1096"/>
      <c r="AV984" s="1096"/>
      <c r="AW984" s="1096"/>
      <c r="AX984" s="1096"/>
      <c r="AY984" s="1096"/>
    </row>
    <row r="985" spans="1:51" x14ac:dyDescent="0.45">
      <c r="A985" s="1096"/>
      <c r="B985" s="1096"/>
      <c r="C985" s="1096"/>
      <c r="D985" s="1096"/>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6"/>
      <c r="Z985" s="1096"/>
      <c r="AA985" s="1096"/>
      <c r="AB985" s="1096"/>
      <c r="AC985" s="1096"/>
      <c r="AD985" s="1096"/>
      <c r="AE985" s="1096"/>
      <c r="AF985" s="1096"/>
      <c r="AG985" s="1096"/>
      <c r="AH985" s="1096"/>
      <c r="AI985" s="1096"/>
      <c r="AJ985" s="1096"/>
      <c r="AK985" s="1096"/>
      <c r="AL985" s="1096"/>
      <c r="AM985" s="1096"/>
      <c r="AN985" s="1096"/>
      <c r="AO985" s="1096"/>
      <c r="AP985" s="1096"/>
      <c r="AQ985" s="1096"/>
      <c r="AR985" s="1096"/>
      <c r="AS985" s="1096"/>
      <c r="AT985" s="1096"/>
      <c r="AU985" s="1096"/>
      <c r="AV985" s="1096"/>
      <c r="AW985" s="1096"/>
      <c r="AX985" s="1096"/>
      <c r="AY985" s="1096"/>
    </row>
    <row r="986" spans="1:51" x14ac:dyDescent="0.45">
      <c r="A986" s="1096"/>
      <c r="B986" s="1096"/>
      <c r="C986" s="1096"/>
      <c r="D986" s="1096"/>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6"/>
      <c r="Z986" s="1096"/>
      <c r="AA986" s="1096"/>
      <c r="AB986" s="1096"/>
      <c r="AC986" s="1096"/>
      <c r="AD986" s="1096"/>
      <c r="AE986" s="1096"/>
      <c r="AF986" s="1096"/>
      <c r="AG986" s="1096"/>
      <c r="AH986" s="1096"/>
      <c r="AI986" s="1096"/>
      <c r="AJ986" s="1096"/>
      <c r="AK986" s="1096"/>
      <c r="AL986" s="1096"/>
      <c r="AM986" s="1096"/>
      <c r="AN986" s="1096"/>
      <c r="AO986" s="1096"/>
      <c r="AP986" s="1096"/>
      <c r="AQ986" s="1096"/>
      <c r="AR986" s="1096"/>
      <c r="AS986" s="1096"/>
      <c r="AT986" s="1096"/>
      <c r="AU986" s="1096"/>
      <c r="AV986" s="1096"/>
      <c r="AW986" s="1096"/>
      <c r="AX986" s="1096"/>
      <c r="AY986" s="1096"/>
    </row>
    <row r="987" spans="1:51" x14ac:dyDescent="0.45">
      <c r="A987" s="1096"/>
      <c r="B987" s="1096"/>
      <c r="C987" s="1096"/>
      <c r="D987" s="1096"/>
      <c r="E987" s="1096"/>
      <c r="F987" s="1096"/>
      <c r="G987" s="1096"/>
      <c r="H987" s="1096"/>
      <c r="I987" s="1096"/>
      <c r="J987" s="1096"/>
      <c r="K987" s="1096"/>
      <c r="L987" s="1096"/>
      <c r="M987" s="1096"/>
      <c r="N987" s="1096"/>
      <c r="O987" s="1096"/>
      <c r="P987" s="1096"/>
      <c r="Q987" s="1096"/>
      <c r="R987" s="1096"/>
      <c r="S987" s="1096"/>
      <c r="T987" s="1096"/>
      <c r="U987" s="1096"/>
      <c r="V987" s="1096"/>
      <c r="W987" s="1096"/>
      <c r="X987" s="1096"/>
      <c r="Y987" s="1096"/>
      <c r="Z987" s="1096"/>
      <c r="AA987" s="1096"/>
      <c r="AB987" s="1096"/>
      <c r="AC987" s="1096"/>
      <c r="AD987" s="1096"/>
      <c r="AE987" s="1096"/>
      <c r="AF987" s="1096"/>
      <c r="AG987" s="1096"/>
      <c r="AH987" s="1096"/>
      <c r="AI987" s="1096"/>
      <c r="AJ987" s="1096"/>
      <c r="AK987" s="1096"/>
      <c r="AL987" s="1096"/>
      <c r="AM987" s="1096"/>
      <c r="AN987" s="1096"/>
      <c r="AO987" s="1096"/>
      <c r="AP987" s="1096"/>
      <c r="AQ987" s="1096"/>
      <c r="AR987" s="1096"/>
      <c r="AS987" s="1096"/>
      <c r="AT987" s="1096"/>
      <c r="AU987" s="1096"/>
      <c r="AV987" s="1096"/>
      <c r="AW987" s="1096"/>
      <c r="AX987" s="1096"/>
      <c r="AY987" s="1096"/>
    </row>
    <row r="988" spans="1:51" x14ac:dyDescent="0.45">
      <c r="A988" s="1096"/>
      <c r="B988" s="1096"/>
      <c r="C988" s="1096"/>
      <c r="D988" s="1096"/>
      <c r="E988" s="1096"/>
      <c r="F988" s="1096"/>
      <c r="G988" s="1096"/>
      <c r="H988" s="1096"/>
      <c r="I988" s="1096"/>
      <c r="J988" s="1096"/>
      <c r="K988" s="1096"/>
      <c r="L988" s="1096"/>
      <c r="M988" s="1096"/>
      <c r="N988" s="1096"/>
      <c r="O988" s="1096"/>
      <c r="P988" s="1096"/>
      <c r="Q988" s="1096"/>
      <c r="R988" s="1096"/>
      <c r="S988" s="1096"/>
      <c r="T988" s="1096"/>
      <c r="U988" s="1096"/>
      <c r="V988" s="1096"/>
      <c r="W988" s="1096"/>
      <c r="X988" s="1096"/>
      <c r="Y988" s="1096"/>
      <c r="Z988" s="1096"/>
      <c r="AA988" s="1096"/>
      <c r="AB988" s="1096"/>
      <c r="AC988" s="1096"/>
      <c r="AD988" s="1096"/>
      <c r="AE988" s="1096"/>
      <c r="AF988" s="1096"/>
      <c r="AG988" s="1096"/>
      <c r="AH988" s="1096"/>
      <c r="AI988" s="1096"/>
      <c r="AJ988" s="1096"/>
      <c r="AK988" s="1096"/>
      <c r="AL988" s="1096"/>
      <c r="AM988" s="1096"/>
      <c r="AN988" s="1096"/>
      <c r="AO988" s="1096"/>
      <c r="AP988" s="1096"/>
      <c r="AQ988" s="1096"/>
      <c r="AR988" s="1096"/>
      <c r="AS988" s="1096"/>
      <c r="AT988" s="1096"/>
      <c r="AU988" s="1096"/>
      <c r="AV988" s="1096"/>
      <c r="AW988" s="1096"/>
      <c r="AX988" s="1096"/>
      <c r="AY988" s="1096"/>
    </row>
    <row r="989" spans="1:51" x14ac:dyDescent="0.45">
      <c r="A989" s="1096"/>
      <c r="B989" s="1096"/>
      <c r="C989" s="1096"/>
      <c r="D989" s="1096"/>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6"/>
      <c r="Z989" s="1096"/>
      <c r="AA989" s="1096"/>
      <c r="AB989" s="1096"/>
      <c r="AC989" s="1096"/>
      <c r="AD989" s="1096"/>
      <c r="AE989" s="1096"/>
      <c r="AF989" s="1096"/>
      <c r="AG989" s="1096"/>
      <c r="AH989" s="1096"/>
      <c r="AI989" s="1096"/>
      <c r="AJ989" s="1096"/>
      <c r="AK989" s="1096"/>
      <c r="AL989" s="1096"/>
      <c r="AM989" s="1096"/>
      <c r="AN989" s="1096"/>
      <c r="AO989" s="1096"/>
      <c r="AP989" s="1096"/>
      <c r="AQ989" s="1096"/>
      <c r="AR989" s="1096"/>
      <c r="AS989" s="1096"/>
      <c r="AT989" s="1096"/>
      <c r="AU989" s="1096"/>
      <c r="AV989" s="1096"/>
      <c r="AW989" s="1096"/>
      <c r="AX989" s="1096"/>
      <c r="AY989" s="1096"/>
    </row>
    <row r="990" spans="1:51" x14ac:dyDescent="0.45">
      <c r="A990" s="1096"/>
      <c r="B990" s="1096"/>
      <c r="C990" s="1096"/>
      <c r="D990" s="1096"/>
      <c r="E990" s="1096"/>
      <c r="F990" s="1096"/>
      <c r="G990" s="1096"/>
      <c r="H990" s="1096"/>
      <c r="I990" s="1096"/>
      <c r="J990" s="1096"/>
      <c r="K990" s="1096"/>
      <c r="L990" s="1096"/>
      <c r="M990" s="1096"/>
      <c r="N990" s="1096"/>
      <c r="O990" s="1096"/>
      <c r="P990" s="1096"/>
      <c r="Q990" s="1096"/>
      <c r="R990" s="1096"/>
      <c r="S990" s="1096"/>
      <c r="T990" s="1096"/>
      <c r="U990" s="1096"/>
      <c r="V990" s="1096"/>
      <c r="W990" s="1096"/>
      <c r="X990" s="1096"/>
      <c r="Y990" s="1096"/>
      <c r="Z990" s="1096"/>
      <c r="AA990" s="1096"/>
      <c r="AB990" s="1096"/>
      <c r="AC990" s="1096"/>
      <c r="AD990" s="1096"/>
      <c r="AE990" s="1096"/>
      <c r="AF990" s="1096"/>
      <c r="AG990" s="1096"/>
      <c r="AH990" s="1096"/>
      <c r="AI990" s="1096"/>
      <c r="AJ990" s="1096"/>
      <c r="AK990" s="1096"/>
      <c r="AL990" s="1096"/>
      <c r="AM990" s="1096"/>
      <c r="AN990" s="1096"/>
      <c r="AO990" s="1096"/>
      <c r="AP990" s="1096"/>
      <c r="AQ990" s="1096"/>
      <c r="AR990" s="1096"/>
      <c r="AS990" s="1096"/>
      <c r="AT990" s="1096"/>
      <c r="AU990" s="1096"/>
      <c r="AV990" s="1096"/>
      <c r="AW990" s="1096"/>
      <c r="AX990" s="1096"/>
      <c r="AY990" s="1096"/>
    </row>
    <row r="991" spans="1:51" x14ac:dyDescent="0.45">
      <c r="A991" s="1096"/>
      <c r="B991" s="1096"/>
      <c r="C991" s="1096"/>
      <c r="D991" s="1096"/>
      <c r="E991" s="1096"/>
      <c r="F991" s="1096"/>
      <c r="G991" s="1096"/>
      <c r="H991" s="1096"/>
      <c r="I991" s="1096"/>
      <c r="J991" s="1096"/>
      <c r="K991" s="1096"/>
      <c r="L991" s="1096"/>
      <c r="M991" s="1096"/>
      <c r="N991" s="1096"/>
      <c r="O991" s="1096"/>
      <c r="P991" s="1096"/>
      <c r="Q991" s="1096"/>
      <c r="R991" s="1096"/>
      <c r="S991" s="1096"/>
      <c r="T991" s="1096"/>
      <c r="U991" s="1096"/>
      <c r="V991" s="1096"/>
      <c r="W991" s="1096"/>
      <c r="X991" s="1096"/>
      <c r="Y991" s="1096"/>
      <c r="Z991" s="1096"/>
      <c r="AA991" s="1096"/>
      <c r="AB991" s="1096"/>
      <c r="AC991" s="1096"/>
      <c r="AD991" s="1096"/>
      <c r="AE991" s="1096"/>
      <c r="AF991" s="1096"/>
      <c r="AG991" s="1096"/>
      <c r="AH991" s="1096"/>
      <c r="AI991" s="1096"/>
      <c r="AJ991" s="1096"/>
      <c r="AK991" s="1096"/>
      <c r="AL991" s="1096"/>
      <c r="AM991" s="1096"/>
      <c r="AN991" s="1096"/>
      <c r="AO991" s="1096"/>
      <c r="AP991" s="1096"/>
      <c r="AQ991" s="1096"/>
      <c r="AR991" s="1096"/>
      <c r="AS991" s="1096"/>
      <c r="AT991" s="1096"/>
      <c r="AU991" s="1096"/>
      <c r="AV991" s="1096"/>
      <c r="AW991" s="1096"/>
      <c r="AX991" s="1096"/>
      <c r="AY991" s="1096"/>
    </row>
    <row r="992" spans="1:51" x14ac:dyDescent="0.45">
      <c r="A992" s="1096"/>
      <c r="B992" s="1096"/>
      <c r="C992" s="1096"/>
      <c r="D992" s="1096"/>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6"/>
      <c r="Z992" s="1096"/>
      <c r="AA992" s="1096"/>
      <c r="AB992" s="1096"/>
      <c r="AC992" s="1096"/>
      <c r="AD992" s="1096"/>
      <c r="AE992" s="1096"/>
      <c r="AF992" s="1096"/>
      <c r="AG992" s="1096"/>
      <c r="AH992" s="1096"/>
      <c r="AI992" s="1096"/>
      <c r="AJ992" s="1096"/>
      <c r="AK992" s="1096"/>
      <c r="AL992" s="1096"/>
      <c r="AM992" s="1096"/>
      <c r="AN992" s="1096"/>
      <c r="AO992" s="1096"/>
      <c r="AP992" s="1096"/>
      <c r="AQ992" s="1096"/>
      <c r="AR992" s="1096"/>
      <c r="AS992" s="1096"/>
      <c r="AT992" s="1096"/>
      <c r="AU992" s="1096"/>
      <c r="AV992" s="1096"/>
      <c r="AW992" s="1096"/>
      <c r="AX992" s="1096"/>
      <c r="AY992" s="1096"/>
    </row>
    <row r="993" spans="1:51" x14ac:dyDescent="0.45">
      <c r="A993" s="1096"/>
      <c r="B993" s="1096"/>
      <c r="C993" s="1096"/>
      <c r="D993" s="1096"/>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6"/>
      <c r="Z993" s="1096"/>
      <c r="AA993" s="1096"/>
      <c r="AB993" s="1096"/>
      <c r="AC993" s="1096"/>
      <c r="AD993" s="1096"/>
      <c r="AE993" s="1096"/>
      <c r="AF993" s="1096"/>
      <c r="AG993" s="1096"/>
      <c r="AH993" s="1096"/>
      <c r="AI993" s="1096"/>
      <c r="AJ993" s="1096"/>
      <c r="AK993" s="1096"/>
      <c r="AL993" s="1096"/>
      <c r="AM993" s="1096"/>
      <c r="AN993" s="1096"/>
      <c r="AO993" s="1096"/>
      <c r="AP993" s="1096"/>
      <c r="AQ993" s="1096"/>
      <c r="AR993" s="1096"/>
      <c r="AS993" s="1096"/>
      <c r="AT993" s="1096"/>
      <c r="AU993" s="1096"/>
      <c r="AV993" s="1096"/>
      <c r="AW993" s="1096"/>
      <c r="AX993" s="1096"/>
      <c r="AY993" s="1096"/>
    </row>
    <row r="994" spans="1:51" x14ac:dyDescent="0.45">
      <c r="A994" s="1096"/>
      <c r="B994" s="1096"/>
      <c r="C994" s="1096"/>
      <c r="D994" s="1096"/>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L994" s="1096"/>
      <c r="AM994" s="1096"/>
      <c r="AN994" s="1096"/>
      <c r="AO994" s="1096"/>
      <c r="AP994" s="1096"/>
      <c r="AQ994" s="1096"/>
      <c r="AR994" s="1096"/>
      <c r="AS994" s="1096"/>
      <c r="AT994" s="1096"/>
      <c r="AU994" s="1096"/>
      <c r="AV994" s="1096"/>
      <c r="AW994" s="1096"/>
      <c r="AX994" s="1096"/>
      <c r="AY994" s="1096"/>
    </row>
    <row r="995" spans="1:51" x14ac:dyDescent="0.45">
      <c r="A995" s="1096"/>
      <c r="B995" s="1096"/>
      <c r="C995" s="1096"/>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L995" s="1096"/>
      <c r="AM995" s="1096"/>
      <c r="AN995" s="1096"/>
      <c r="AO995" s="1096"/>
      <c r="AP995" s="1096"/>
      <c r="AQ995" s="1096"/>
      <c r="AR995" s="1096"/>
      <c r="AS995" s="1096"/>
      <c r="AT995" s="1096"/>
      <c r="AU995" s="1096"/>
      <c r="AV995" s="1096"/>
      <c r="AW995" s="1096"/>
      <c r="AX995" s="1096"/>
      <c r="AY995" s="1096"/>
    </row>
    <row r="996" spans="1:51" x14ac:dyDescent="0.45">
      <c r="A996" s="1096"/>
      <c r="B996" s="1096"/>
      <c r="C996" s="1096"/>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L996" s="1096"/>
      <c r="AM996" s="1096"/>
      <c r="AN996" s="1096"/>
      <c r="AO996" s="1096"/>
      <c r="AP996" s="1096"/>
      <c r="AQ996" s="1096"/>
      <c r="AR996" s="1096"/>
      <c r="AS996" s="1096"/>
      <c r="AT996" s="1096"/>
      <c r="AU996" s="1096"/>
      <c r="AV996" s="1096"/>
      <c r="AW996" s="1096"/>
      <c r="AX996" s="1096"/>
      <c r="AY996" s="1096"/>
    </row>
    <row r="997" spans="1:51" x14ac:dyDescent="0.45">
      <c r="A997" s="1096"/>
      <c r="B997" s="1096"/>
      <c r="C997" s="1096"/>
      <c r="D997" s="1096"/>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6"/>
      <c r="Z997" s="1096"/>
      <c r="AA997" s="1096"/>
      <c r="AB997" s="1096"/>
      <c r="AC997" s="1096"/>
      <c r="AD997" s="1096"/>
      <c r="AE997" s="1096"/>
      <c r="AF997" s="1096"/>
      <c r="AG997" s="1096"/>
      <c r="AH997" s="1096"/>
      <c r="AI997" s="1096"/>
      <c r="AJ997" s="1096"/>
      <c r="AK997" s="1096"/>
      <c r="AL997" s="1096"/>
      <c r="AM997" s="1096"/>
      <c r="AN997" s="1096"/>
      <c r="AO997" s="1096"/>
      <c r="AP997" s="1096"/>
      <c r="AQ997" s="1096"/>
      <c r="AR997" s="1096"/>
      <c r="AS997" s="1096"/>
      <c r="AT997" s="1096"/>
      <c r="AU997" s="1096"/>
      <c r="AV997" s="1096"/>
      <c r="AW997" s="1096"/>
      <c r="AX997" s="1096"/>
      <c r="AY997" s="1096"/>
    </row>
    <row r="998" spans="1:51" x14ac:dyDescent="0.45">
      <c r="A998" s="1096"/>
      <c r="B998" s="1096"/>
      <c r="C998" s="1096"/>
      <c r="D998" s="1096"/>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6"/>
      <c r="Z998" s="1096"/>
      <c r="AA998" s="1096"/>
      <c r="AB998" s="1096"/>
      <c r="AC998" s="1096"/>
      <c r="AD998" s="1096"/>
      <c r="AE998" s="1096"/>
      <c r="AF998" s="1096"/>
      <c r="AG998" s="1096"/>
      <c r="AH998" s="1096"/>
      <c r="AI998" s="1096"/>
      <c r="AJ998" s="1096"/>
      <c r="AK998" s="1096"/>
      <c r="AL998" s="1096"/>
      <c r="AM998" s="1096"/>
      <c r="AN998" s="1096"/>
      <c r="AO998" s="1096"/>
      <c r="AP998" s="1096"/>
      <c r="AQ998" s="1096"/>
      <c r="AR998" s="1096"/>
      <c r="AS998" s="1096"/>
      <c r="AT998" s="1096"/>
      <c r="AU998" s="1096"/>
      <c r="AV998" s="1096"/>
      <c r="AW998" s="1096"/>
      <c r="AX998" s="1096"/>
      <c r="AY998" s="1096"/>
    </row>
    <row r="999" spans="1:51" x14ac:dyDescent="0.45">
      <c r="A999" s="1096"/>
      <c r="B999" s="1096"/>
      <c r="C999" s="1096"/>
      <c r="D999" s="1096"/>
      <c r="E999" s="1096"/>
      <c r="F999" s="1096"/>
      <c r="G999" s="1096"/>
      <c r="H999" s="1096"/>
      <c r="I999" s="1096"/>
      <c r="J999" s="1096"/>
      <c r="K999" s="1096"/>
      <c r="L999" s="1096"/>
      <c r="M999" s="1096"/>
      <c r="N999" s="1096"/>
      <c r="O999" s="1096"/>
      <c r="P999" s="1096"/>
      <c r="Q999" s="1096"/>
      <c r="R999" s="1096"/>
      <c r="S999" s="1096"/>
      <c r="T999" s="1096"/>
      <c r="U999" s="1096"/>
      <c r="V999" s="1096"/>
      <c r="W999" s="1096"/>
      <c r="X999" s="1096"/>
      <c r="Y999" s="1096"/>
      <c r="Z999" s="1096"/>
      <c r="AA999" s="1096"/>
      <c r="AB999" s="1096"/>
      <c r="AC999" s="1096"/>
      <c r="AD999" s="1096"/>
      <c r="AE999" s="1096"/>
      <c r="AF999" s="1096"/>
      <c r="AG999" s="1096"/>
      <c r="AH999" s="1096"/>
      <c r="AI999" s="1096"/>
      <c r="AJ999" s="1096"/>
      <c r="AK999" s="1096"/>
      <c r="AL999" s="1096"/>
      <c r="AM999" s="1096"/>
      <c r="AN999" s="1096"/>
      <c r="AO999" s="1096"/>
      <c r="AP999" s="1096"/>
      <c r="AQ999" s="1096"/>
      <c r="AR999" s="1096"/>
      <c r="AS999" s="1096"/>
      <c r="AT999" s="1096"/>
      <c r="AU999" s="1096"/>
      <c r="AV999" s="1096"/>
      <c r="AW999" s="1096"/>
      <c r="AX999" s="1096"/>
      <c r="AY999" s="1096"/>
    </row>
    <row r="1000" spans="1:51" x14ac:dyDescent="0.45">
      <c r="A1000" s="1096"/>
      <c r="B1000" s="1096"/>
      <c r="C1000" s="1096"/>
      <c r="D1000" s="1096"/>
      <c r="E1000" s="1096"/>
      <c r="F1000" s="1096"/>
      <c r="G1000" s="1096"/>
      <c r="H1000" s="1096"/>
      <c r="I1000" s="1096"/>
      <c r="J1000" s="1096"/>
      <c r="K1000" s="1096"/>
      <c r="L1000" s="1096"/>
      <c r="M1000" s="1096"/>
      <c r="N1000" s="1096"/>
      <c r="O1000" s="1096"/>
      <c r="P1000" s="1096"/>
      <c r="Q1000" s="1096"/>
      <c r="R1000" s="1096"/>
      <c r="S1000" s="1096"/>
      <c r="T1000" s="1096"/>
      <c r="U1000" s="1096"/>
      <c r="V1000" s="1096"/>
      <c r="W1000" s="1096"/>
      <c r="X1000" s="1096"/>
      <c r="Y1000" s="1096"/>
      <c r="Z1000" s="1096"/>
      <c r="AA1000" s="1096"/>
      <c r="AB1000" s="1096"/>
      <c r="AC1000" s="1096"/>
      <c r="AD1000" s="1096"/>
      <c r="AE1000" s="1096"/>
      <c r="AF1000" s="1096"/>
      <c r="AG1000" s="1096"/>
      <c r="AH1000" s="1096"/>
      <c r="AI1000" s="1096"/>
      <c r="AJ1000" s="1096"/>
      <c r="AK1000" s="1096"/>
      <c r="AL1000" s="1096"/>
      <c r="AM1000" s="1096"/>
      <c r="AN1000" s="1096"/>
      <c r="AO1000" s="1096"/>
      <c r="AP1000" s="1096"/>
      <c r="AQ1000" s="1096"/>
      <c r="AR1000" s="1096"/>
      <c r="AS1000" s="1096"/>
      <c r="AT1000" s="1096"/>
      <c r="AU1000" s="1096"/>
      <c r="AV1000" s="1096"/>
      <c r="AW1000" s="1096"/>
      <c r="AX1000" s="1096"/>
      <c r="AY1000" s="1096"/>
    </row>
    <row r="1001" spans="1:51" x14ac:dyDescent="0.45">
      <c r="A1001" s="1096"/>
      <c r="B1001" s="1096"/>
      <c r="C1001" s="1096"/>
      <c r="D1001" s="1096"/>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6"/>
      <c r="Z1001" s="1096"/>
      <c r="AA1001" s="1096"/>
      <c r="AB1001" s="1096"/>
      <c r="AC1001" s="1096"/>
      <c r="AD1001" s="1096"/>
      <c r="AE1001" s="1096"/>
      <c r="AF1001" s="1096"/>
      <c r="AG1001" s="1096"/>
      <c r="AH1001" s="1096"/>
      <c r="AI1001" s="1096"/>
      <c r="AJ1001" s="1096"/>
      <c r="AK1001" s="1096"/>
      <c r="AL1001" s="1096"/>
      <c r="AM1001" s="1096"/>
      <c r="AN1001" s="1096"/>
      <c r="AO1001" s="1096"/>
      <c r="AP1001" s="1096"/>
      <c r="AQ1001" s="1096"/>
      <c r="AR1001" s="1096"/>
      <c r="AS1001" s="1096"/>
      <c r="AT1001" s="1096"/>
      <c r="AU1001" s="1096"/>
      <c r="AV1001" s="1096"/>
      <c r="AW1001" s="1096"/>
      <c r="AX1001" s="1096"/>
      <c r="AY1001" s="1096"/>
    </row>
    <row r="1002" spans="1:51" x14ac:dyDescent="0.45">
      <c r="A1002" s="1096"/>
      <c r="B1002" s="1096"/>
      <c r="C1002" s="1096"/>
      <c r="D1002" s="1096"/>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6"/>
      <c r="Z1002" s="1096"/>
      <c r="AA1002" s="1096"/>
      <c r="AB1002" s="1096"/>
      <c r="AC1002" s="1096"/>
      <c r="AD1002" s="1096"/>
      <c r="AE1002" s="1096"/>
      <c r="AF1002" s="1096"/>
      <c r="AG1002" s="1096"/>
      <c r="AH1002" s="1096"/>
      <c r="AI1002" s="1096"/>
      <c r="AJ1002" s="1096"/>
      <c r="AK1002" s="1096"/>
      <c r="AL1002" s="1096"/>
      <c r="AM1002" s="1096"/>
      <c r="AN1002" s="1096"/>
      <c r="AO1002" s="1096"/>
      <c r="AP1002" s="1096"/>
      <c r="AQ1002" s="1096"/>
      <c r="AR1002" s="1096"/>
      <c r="AS1002" s="1096"/>
      <c r="AT1002" s="1096"/>
      <c r="AU1002" s="1096"/>
      <c r="AV1002" s="1096"/>
      <c r="AW1002" s="1096"/>
      <c r="AX1002" s="1096"/>
      <c r="AY1002" s="1096"/>
    </row>
    <row r="1003" spans="1:51" x14ac:dyDescent="0.45">
      <c r="A1003" s="1096"/>
      <c r="B1003" s="1096"/>
      <c r="C1003" s="1096"/>
      <c r="D1003" s="1096"/>
      <c r="E1003" s="1096"/>
      <c r="F1003" s="1096"/>
      <c r="G1003" s="1096"/>
      <c r="H1003" s="1096"/>
      <c r="I1003" s="1096"/>
      <c r="J1003" s="1096"/>
      <c r="K1003" s="1096"/>
      <c r="L1003" s="1096"/>
      <c r="M1003" s="1096"/>
      <c r="N1003" s="1096"/>
      <c r="O1003" s="1096"/>
      <c r="P1003" s="1096"/>
      <c r="Q1003" s="1096"/>
      <c r="R1003" s="1096"/>
      <c r="S1003" s="1096"/>
      <c r="T1003" s="1096"/>
      <c r="U1003" s="1096"/>
      <c r="V1003" s="1096"/>
      <c r="W1003" s="1096"/>
      <c r="X1003" s="1096"/>
      <c r="Y1003" s="1096"/>
      <c r="Z1003" s="1096"/>
      <c r="AA1003" s="1096"/>
      <c r="AB1003" s="1096"/>
      <c r="AC1003" s="1096"/>
      <c r="AD1003" s="1096"/>
      <c r="AE1003" s="1096"/>
      <c r="AF1003" s="1096"/>
      <c r="AG1003" s="1096"/>
      <c r="AH1003" s="1096"/>
      <c r="AI1003" s="1096"/>
      <c r="AJ1003" s="1096"/>
      <c r="AK1003" s="1096"/>
      <c r="AL1003" s="1096"/>
      <c r="AM1003" s="1096"/>
      <c r="AN1003" s="1096"/>
      <c r="AO1003" s="1096"/>
      <c r="AP1003" s="1096"/>
      <c r="AQ1003" s="1096"/>
      <c r="AR1003" s="1096"/>
      <c r="AS1003" s="1096"/>
      <c r="AT1003" s="1096"/>
      <c r="AU1003" s="1096"/>
      <c r="AV1003" s="1096"/>
      <c r="AW1003" s="1096"/>
      <c r="AX1003" s="1096"/>
      <c r="AY1003" s="1096"/>
    </row>
    <row r="1004" spans="1:51" x14ac:dyDescent="0.45">
      <c r="A1004" s="1096"/>
      <c r="B1004" s="1096"/>
      <c r="C1004" s="1096"/>
      <c r="D1004" s="1096"/>
      <c r="E1004" s="1096"/>
      <c r="F1004" s="1096"/>
      <c r="G1004" s="1096"/>
      <c r="H1004" s="1096"/>
      <c r="I1004" s="1096"/>
      <c r="J1004" s="1096"/>
      <c r="K1004" s="1096"/>
      <c r="L1004" s="1096"/>
      <c r="M1004" s="1096"/>
      <c r="N1004" s="1096"/>
      <c r="O1004" s="1096"/>
      <c r="P1004" s="1096"/>
      <c r="Q1004" s="1096"/>
      <c r="R1004" s="1096"/>
      <c r="S1004" s="1096"/>
      <c r="T1004" s="1096"/>
      <c r="U1004" s="1096"/>
      <c r="V1004" s="1096"/>
      <c r="W1004" s="1096"/>
      <c r="X1004" s="1096"/>
      <c r="Y1004" s="1096"/>
      <c r="Z1004" s="1096"/>
      <c r="AA1004" s="1096"/>
      <c r="AB1004" s="1096"/>
      <c r="AC1004" s="1096"/>
      <c r="AD1004" s="1096"/>
      <c r="AE1004" s="1096"/>
      <c r="AF1004" s="1096"/>
      <c r="AG1004" s="1096"/>
      <c r="AH1004" s="1096"/>
      <c r="AI1004" s="1096"/>
      <c r="AJ1004" s="1096"/>
      <c r="AK1004" s="1096"/>
      <c r="AL1004" s="1096"/>
      <c r="AM1004" s="1096"/>
      <c r="AN1004" s="1096"/>
      <c r="AO1004" s="1096"/>
      <c r="AP1004" s="1096"/>
      <c r="AQ1004" s="1096"/>
      <c r="AR1004" s="1096"/>
      <c r="AS1004" s="1096"/>
      <c r="AT1004" s="1096"/>
      <c r="AU1004" s="1096"/>
      <c r="AV1004" s="1096"/>
      <c r="AW1004" s="1096"/>
      <c r="AX1004" s="1096"/>
      <c r="AY1004" s="1096"/>
    </row>
    <row r="1005" spans="1:51" x14ac:dyDescent="0.45">
      <c r="A1005" s="1096"/>
      <c r="B1005" s="1096"/>
      <c r="C1005" s="1096"/>
      <c r="D1005" s="1096"/>
      <c r="E1005" s="1096"/>
      <c r="F1005" s="1096"/>
      <c r="G1005" s="1096"/>
      <c r="H1005" s="1096"/>
      <c r="I1005" s="1096"/>
      <c r="J1005" s="1096"/>
      <c r="K1005" s="1096"/>
      <c r="L1005" s="1096"/>
      <c r="M1005" s="1096"/>
      <c r="N1005" s="1096"/>
      <c r="O1005" s="1096"/>
      <c r="P1005" s="1096"/>
      <c r="Q1005" s="1096"/>
      <c r="R1005" s="1096"/>
      <c r="S1005" s="1096"/>
      <c r="T1005" s="1096"/>
      <c r="U1005" s="1096"/>
      <c r="V1005" s="1096"/>
      <c r="W1005" s="1096"/>
      <c r="X1005" s="1096"/>
      <c r="Y1005" s="1096"/>
      <c r="Z1005" s="1096"/>
      <c r="AA1005" s="1096"/>
      <c r="AB1005" s="1096"/>
      <c r="AC1005" s="1096"/>
      <c r="AD1005" s="1096"/>
      <c r="AE1005" s="1096"/>
      <c r="AF1005" s="1096"/>
      <c r="AG1005" s="1096"/>
      <c r="AH1005" s="1096"/>
      <c r="AI1005" s="1096"/>
      <c r="AJ1005" s="1096"/>
      <c r="AK1005" s="1096"/>
      <c r="AL1005" s="1096"/>
      <c r="AM1005" s="1096"/>
      <c r="AN1005" s="1096"/>
      <c r="AO1005" s="1096"/>
      <c r="AP1005" s="1096"/>
      <c r="AQ1005" s="1096"/>
      <c r="AR1005" s="1096"/>
      <c r="AS1005" s="1096"/>
      <c r="AT1005" s="1096"/>
      <c r="AU1005" s="1096"/>
      <c r="AV1005" s="1096"/>
      <c r="AW1005" s="1096"/>
      <c r="AX1005" s="1096"/>
      <c r="AY1005" s="1096"/>
    </row>
    <row r="1006" spans="1:51" x14ac:dyDescent="0.45">
      <c r="A1006" s="1096"/>
      <c r="B1006" s="1096"/>
      <c r="C1006" s="1096"/>
      <c r="D1006" s="1096"/>
      <c r="E1006" s="1096"/>
      <c r="F1006" s="1096"/>
      <c r="G1006" s="1096"/>
      <c r="H1006" s="1096"/>
      <c r="I1006" s="1096"/>
      <c r="J1006" s="1096"/>
      <c r="K1006" s="1096"/>
      <c r="L1006" s="1096"/>
      <c r="M1006" s="1096"/>
      <c r="N1006" s="1096"/>
      <c r="O1006" s="1096"/>
      <c r="P1006" s="1096"/>
      <c r="Q1006" s="1096"/>
      <c r="R1006" s="1096"/>
      <c r="S1006" s="1096"/>
      <c r="T1006" s="1096"/>
      <c r="U1006" s="1096"/>
      <c r="V1006" s="1096"/>
      <c r="W1006" s="1096"/>
      <c r="X1006" s="1096"/>
      <c r="Y1006" s="1096"/>
      <c r="Z1006" s="1096"/>
      <c r="AA1006" s="1096"/>
      <c r="AB1006" s="1096"/>
      <c r="AC1006" s="1096"/>
      <c r="AD1006" s="1096"/>
      <c r="AE1006" s="1096"/>
      <c r="AF1006" s="1096"/>
      <c r="AG1006" s="1096"/>
      <c r="AH1006" s="1096"/>
      <c r="AI1006" s="1096"/>
      <c r="AJ1006" s="1096"/>
      <c r="AK1006" s="1096"/>
      <c r="AL1006" s="1096"/>
      <c r="AM1006" s="1096"/>
      <c r="AN1006" s="1096"/>
      <c r="AO1006" s="1096"/>
      <c r="AP1006" s="1096"/>
      <c r="AQ1006" s="1096"/>
      <c r="AR1006" s="1096"/>
      <c r="AS1006" s="1096"/>
      <c r="AT1006" s="1096"/>
      <c r="AU1006" s="1096"/>
      <c r="AV1006" s="1096"/>
      <c r="AW1006" s="1096"/>
      <c r="AX1006" s="1096"/>
      <c r="AY1006" s="1096"/>
    </row>
    <row r="1007" spans="1:51" x14ac:dyDescent="0.45">
      <c r="A1007" s="1096"/>
      <c r="B1007" s="1096"/>
      <c r="C1007" s="1096"/>
      <c r="D1007" s="1096"/>
      <c r="E1007" s="1096"/>
      <c r="F1007" s="1096"/>
      <c r="G1007" s="1096"/>
      <c r="H1007" s="1096"/>
      <c r="I1007" s="1096"/>
      <c r="J1007" s="1096"/>
      <c r="K1007" s="1096"/>
      <c r="L1007" s="1096"/>
      <c r="M1007" s="1096"/>
      <c r="N1007" s="1096"/>
      <c r="O1007" s="1096"/>
      <c r="P1007" s="1096"/>
      <c r="Q1007" s="1096"/>
      <c r="R1007" s="1096"/>
      <c r="S1007" s="1096"/>
      <c r="T1007" s="1096"/>
      <c r="U1007" s="1096"/>
      <c r="V1007" s="1096"/>
      <c r="W1007" s="1096"/>
      <c r="X1007" s="1096"/>
      <c r="Y1007" s="1096"/>
      <c r="Z1007" s="1096"/>
      <c r="AA1007" s="1096"/>
      <c r="AB1007" s="1096"/>
      <c r="AC1007" s="1096"/>
      <c r="AD1007" s="1096"/>
      <c r="AE1007" s="1096"/>
      <c r="AF1007" s="1096"/>
      <c r="AG1007" s="1096"/>
      <c r="AH1007" s="1096"/>
      <c r="AI1007" s="1096"/>
      <c r="AJ1007" s="1096"/>
      <c r="AK1007" s="1096"/>
      <c r="AL1007" s="1096"/>
      <c r="AM1007" s="1096"/>
      <c r="AN1007" s="1096"/>
      <c r="AO1007" s="1096"/>
      <c r="AP1007" s="1096"/>
      <c r="AQ1007" s="1096"/>
      <c r="AR1007" s="1096"/>
      <c r="AS1007" s="1096"/>
      <c r="AT1007" s="1096"/>
      <c r="AU1007" s="1096"/>
      <c r="AV1007" s="1096"/>
      <c r="AW1007" s="1096"/>
      <c r="AX1007" s="1096"/>
      <c r="AY1007" s="1096"/>
    </row>
    <row r="1008" spans="1:51" x14ac:dyDescent="0.45">
      <c r="A1008" s="1096"/>
      <c r="B1008" s="1096"/>
      <c r="C1008" s="1096"/>
      <c r="D1008" s="1096"/>
      <c r="E1008" s="1096"/>
      <c r="F1008" s="1096"/>
      <c r="G1008" s="1096"/>
      <c r="H1008" s="1096"/>
      <c r="I1008" s="1096"/>
      <c r="J1008" s="1096"/>
      <c r="K1008" s="1096"/>
      <c r="L1008" s="1096"/>
      <c r="M1008" s="1096"/>
      <c r="N1008" s="1096"/>
      <c r="O1008" s="1096"/>
      <c r="P1008" s="1096"/>
      <c r="Q1008" s="1096"/>
      <c r="R1008" s="1096"/>
      <c r="S1008" s="1096"/>
      <c r="T1008" s="1096"/>
      <c r="U1008" s="1096"/>
      <c r="V1008" s="1096"/>
      <c r="W1008" s="1096"/>
      <c r="X1008" s="1096"/>
      <c r="Y1008" s="1096"/>
      <c r="Z1008" s="1096"/>
      <c r="AA1008" s="1096"/>
      <c r="AB1008" s="1096"/>
      <c r="AC1008" s="1096"/>
      <c r="AD1008" s="1096"/>
      <c r="AE1008" s="1096"/>
      <c r="AF1008" s="1096"/>
      <c r="AG1008" s="1096"/>
      <c r="AH1008" s="1096"/>
      <c r="AI1008" s="1096"/>
      <c r="AJ1008" s="1096"/>
      <c r="AK1008" s="1096"/>
      <c r="AL1008" s="1096"/>
      <c r="AM1008" s="1096"/>
      <c r="AN1008" s="1096"/>
      <c r="AO1008" s="1096"/>
      <c r="AP1008" s="1096"/>
      <c r="AQ1008" s="1096"/>
      <c r="AR1008" s="1096"/>
      <c r="AS1008" s="1096"/>
      <c r="AT1008" s="1096"/>
      <c r="AU1008" s="1096"/>
      <c r="AV1008" s="1096"/>
      <c r="AW1008" s="1096"/>
      <c r="AX1008" s="1096"/>
      <c r="AY1008" s="1096"/>
    </row>
    <row r="1009" spans="1:51" x14ac:dyDescent="0.45">
      <c r="A1009" s="1096"/>
      <c r="B1009" s="1096"/>
      <c r="C1009" s="1096"/>
      <c r="D1009" s="1096"/>
      <c r="E1009" s="1096"/>
      <c r="F1009" s="1096"/>
      <c r="G1009" s="1096"/>
      <c r="H1009" s="1096"/>
      <c r="I1009" s="1096"/>
      <c r="J1009" s="1096"/>
      <c r="K1009" s="1096"/>
      <c r="L1009" s="1096"/>
      <c r="M1009" s="1096"/>
      <c r="N1009" s="1096"/>
      <c r="O1009" s="1096"/>
      <c r="P1009" s="1096"/>
      <c r="Q1009" s="1096"/>
      <c r="R1009" s="1096"/>
      <c r="S1009" s="1096"/>
      <c r="T1009" s="1096"/>
      <c r="U1009" s="1096"/>
      <c r="V1009" s="1096"/>
      <c r="W1009" s="1096"/>
      <c r="X1009" s="1096"/>
      <c r="Y1009" s="1096"/>
      <c r="Z1009" s="1096"/>
      <c r="AA1009" s="1096"/>
      <c r="AB1009" s="1096"/>
      <c r="AC1009" s="1096"/>
      <c r="AD1009" s="1096"/>
      <c r="AE1009" s="1096"/>
      <c r="AF1009" s="1096"/>
      <c r="AG1009" s="1096"/>
      <c r="AH1009" s="1096"/>
      <c r="AI1009" s="1096"/>
      <c r="AJ1009" s="1096"/>
      <c r="AK1009" s="1096"/>
      <c r="AL1009" s="1096"/>
      <c r="AM1009" s="1096"/>
      <c r="AN1009" s="1096"/>
      <c r="AO1009" s="1096"/>
      <c r="AP1009" s="1096"/>
      <c r="AQ1009" s="1096"/>
      <c r="AR1009" s="1096"/>
      <c r="AS1009" s="1096"/>
      <c r="AT1009" s="1096"/>
      <c r="AU1009" s="1096"/>
      <c r="AV1009" s="1096"/>
      <c r="AW1009" s="1096"/>
      <c r="AX1009" s="1096"/>
      <c r="AY1009" s="1096"/>
    </row>
    <row r="1010" spans="1:51" x14ac:dyDescent="0.45">
      <c r="A1010" s="1096"/>
      <c r="B1010" s="1096"/>
      <c r="C1010" s="1096"/>
      <c r="D1010" s="1096"/>
      <c r="E1010" s="1096"/>
      <c r="F1010" s="1096"/>
      <c r="G1010" s="1096"/>
      <c r="H1010" s="1096"/>
      <c r="I1010" s="1096"/>
      <c r="J1010" s="1096"/>
      <c r="K1010" s="1096"/>
      <c r="L1010" s="1096"/>
      <c r="M1010" s="1096"/>
      <c r="N1010" s="1096"/>
      <c r="O1010" s="1096"/>
      <c r="P1010" s="1096"/>
      <c r="Q1010" s="1096"/>
      <c r="R1010" s="1096"/>
      <c r="S1010" s="1096"/>
      <c r="T1010" s="1096"/>
      <c r="U1010" s="1096"/>
      <c r="V1010" s="1096"/>
      <c r="W1010" s="1096"/>
      <c r="X1010" s="1096"/>
      <c r="Y1010" s="1096"/>
      <c r="Z1010" s="1096"/>
      <c r="AA1010" s="1096"/>
      <c r="AB1010" s="1096"/>
      <c r="AC1010" s="1096"/>
      <c r="AD1010" s="1096"/>
      <c r="AE1010" s="1096"/>
      <c r="AF1010" s="1096"/>
      <c r="AG1010" s="1096"/>
      <c r="AH1010" s="1096"/>
      <c r="AI1010" s="1096"/>
      <c r="AJ1010" s="1096"/>
      <c r="AK1010" s="1096"/>
      <c r="AL1010" s="1096"/>
      <c r="AM1010" s="1096"/>
      <c r="AN1010" s="1096"/>
      <c r="AO1010" s="1096"/>
      <c r="AP1010" s="1096"/>
      <c r="AQ1010" s="1096"/>
      <c r="AR1010" s="1096"/>
      <c r="AS1010" s="1096"/>
      <c r="AT1010" s="1096"/>
      <c r="AU1010" s="1096"/>
      <c r="AV1010" s="1096"/>
      <c r="AW1010" s="1096"/>
      <c r="AX1010" s="1096"/>
      <c r="AY1010" s="1096"/>
    </row>
    <row r="1011" spans="1:51" x14ac:dyDescent="0.45">
      <c r="A1011" s="1096"/>
      <c r="B1011" s="1096"/>
      <c r="C1011" s="1096"/>
      <c r="D1011" s="1096"/>
      <c r="E1011" s="1096"/>
      <c r="F1011" s="1096"/>
      <c r="G1011" s="1096"/>
      <c r="H1011" s="1096"/>
      <c r="I1011" s="1096"/>
      <c r="J1011" s="1096"/>
      <c r="K1011" s="1096"/>
      <c r="L1011" s="1096"/>
      <c r="M1011" s="1096"/>
      <c r="N1011" s="1096"/>
      <c r="O1011" s="1096"/>
      <c r="P1011" s="1096"/>
      <c r="Q1011" s="1096"/>
      <c r="R1011" s="1096"/>
      <c r="S1011" s="1096"/>
      <c r="T1011" s="1096"/>
      <c r="U1011" s="1096"/>
      <c r="V1011" s="1096"/>
      <c r="W1011" s="1096"/>
      <c r="X1011" s="1096"/>
      <c r="Y1011" s="1096"/>
      <c r="Z1011" s="1096"/>
      <c r="AA1011" s="1096"/>
      <c r="AB1011" s="1096"/>
      <c r="AC1011" s="1096"/>
      <c r="AD1011" s="1096"/>
      <c r="AE1011" s="1096"/>
      <c r="AF1011" s="1096"/>
      <c r="AG1011" s="1096"/>
      <c r="AH1011" s="1096"/>
      <c r="AI1011" s="1096"/>
      <c r="AJ1011" s="1096"/>
      <c r="AK1011" s="1096"/>
      <c r="AL1011" s="1096"/>
      <c r="AM1011" s="1096"/>
      <c r="AN1011" s="1096"/>
      <c r="AO1011" s="1096"/>
      <c r="AP1011" s="1096"/>
      <c r="AQ1011" s="1096"/>
      <c r="AR1011" s="1096"/>
      <c r="AS1011" s="1096"/>
      <c r="AT1011" s="1096"/>
      <c r="AU1011" s="1096"/>
      <c r="AV1011" s="1096"/>
      <c r="AW1011" s="1096"/>
      <c r="AX1011" s="1096"/>
      <c r="AY1011" s="1096"/>
    </row>
    <row r="1012" spans="1:51" x14ac:dyDescent="0.45">
      <c r="A1012" s="1096"/>
      <c r="B1012" s="1096"/>
      <c r="C1012" s="1096"/>
      <c r="D1012" s="1096"/>
      <c r="E1012" s="1096"/>
      <c r="F1012" s="1096"/>
      <c r="G1012" s="1096"/>
      <c r="H1012" s="1096"/>
      <c r="I1012" s="1096"/>
      <c r="J1012" s="1096"/>
      <c r="K1012" s="1096"/>
      <c r="L1012" s="1096"/>
      <c r="M1012" s="1096"/>
      <c r="N1012" s="1096"/>
      <c r="O1012" s="1096"/>
      <c r="P1012" s="1096"/>
      <c r="Q1012" s="1096"/>
      <c r="R1012" s="1096"/>
      <c r="S1012" s="1096"/>
      <c r="T1012" s="1096"/>
      <c r="U1012" s="1096"/>
      <c r="V1012" s="1096"/>
      <c r="W1012" s="1096"/>
      <c r="X1012" s="1096"/>
      <c r="Y1012" s="1096"/>
      <c r="Z1012" s="1096"/>
      <c r="AA1012" s="1096"/>
      <c r="AB1012" s="1096"/>
      <c r="AC1012" s="1096"/>
      <c r="AD1012" s="1096"/>
      <c r="AE1012" s="1096"/>
      <c r="AF1012" s="1096"/>
      <c r="AG1012" s="1096"/>
      <c r="AH1012" s="1096"/>
      <c r="AI1012" s="1096"/>
      <c r="AJ1012" s="1096"/>
      <c r="AK1012" s="1096"/>
      <c r="AL1012" s="1096"/>
      <c r="AM1012" s="1096"/>
      <c r="AN1012" s="1096"/>
      <c r="AO1012" s="1096"/>
      <c r="AP1012" s="1096"/>
      <c r="AQ1012" s="1096"/>
      <c r="AR1012" s="1096"/>
      <c r="AS1012" s="1096"/>
      <c r="AT1012" s="1096"/>
      <c r="AU1012" s="1096"/>
      <c r="AV1012" s="1096"/>
      <c r="AW1012" s="1096"/>
      <c r="AX1012" s="1096"/>
      <c r="AY1012" s="1096"/>
    </row>
    <row r="1013" spans="1:51" x14ac:dyDescent="0.45">
      <c r="A1013" s="1096"/>
      <c r="B1013" s="1096"/>
      <c r="C1013" s="1096"/>
      <c r="D1013" s="1096"/>
      <c r="E1013" s="1096"/>
      <c r="F1013" s="1096"/>
      <c r="G1013" s="1096"/>
      <c r="H1013" s="1096"/>
      <c r="I1013" s="1096"/>
      <c r="J1013" s="1096"/>
      <c r="K1013" s="1096"/>
      <c r="L1013" s="1096"/>
      <c r="M1013" s="1096"/>
      <c r="N1013" s="1096"/>
      <c r="O1013" s="1096"/>
      <c r="P1013" s="1096"/>
      <c r="Q1013" s="1096"/>
      <c r="R1013" s="1096"/>
      <c r="S1013" s="1096"/>
      <c r="T1013" s="1096"/>
      <c r="U1013" s="1096"/>
      <c r="V1013" s="1096"/>
      <c r="W1013" s="1096"/>
      <c r="X1013" s="1096"/>
      <c r="Y1013" s="1096"/>
      <c r="Z1013" s="1096"/>
      <c r="AA1013" s="1096"/>
      <c r="AB1013" s="1096"/>
      <c r="AC1013" s="1096"/>
      <c r="AD1013" s="1096"/>
      <c r="AE1013" s="1096"/>
      <c r="AF1013" s="1096"/>
      <c r="AG1013" s="1096"/>
      <c r="AH1013" s="1096"/>
      <c r="AI1013" s="1096"/>
      <c r="AJ1013" s="1096"/>
      <c r="AK1013" s="1096"/>
      <c r="AL1013" s="1096"/>
      <c r="AM1013" s="1096"/>
      <c r="AN1013" s="1096"/>
      <c r="AO1013" s="1096"/>
      <c r="AP1013" s="1096"/>
      <c r="AQ1013" s="1096"/>
      <c r="AR1013" s="1096"/>
      <c r="AS1013" s="1096"/>
      <c r="AT1013" s="1096"/>
      <c r="AU1013" s="1096"/>
      <c r="AV1013" s="1096"/>
      <c r="AW1013" s="1096"/>
      <c r="AX1013" s="1096"/>
      <c r="AY1013" s="1096"/>
    </row>
    <row r="1014" spans="1:51" x14ac:dyDescent="0.45">
      <c r="A1014" s="1096"/>
      <c r="B1014" s="1096"/>
      <c r="C1014" s="1096"/>
      <c r="D1014" s="1096"/>
      <c r="E1014" s="1096"/>
      <c r="F1014" s="1096"/>
      <c r="G1014" s="1096"/>
      <c r="H1014" s="1096"/>
      <c r="I1014" s="1096"/>
      <c r="J1014" s="1096"/>
      <c r="K1014" s="1096"/>
      <c r="L1014" s="1096"/>
      <c r="M1014" s="1096"/>
      <c r="N1014" s="1096"/>
      <c r="O1014" s="1096"/>
      <c r="P1014" s="1096"/>
      <c r="Q1014" s="1096"/>
      <c r="R1014" s="1096"/>
      <c r="S1014" s="1096"/>
      <c r="T1014" s="1096"/>
      <c r="U1014" s="1096"/>
      <c r="V1014" s="1096"/>
      <c r="W1014" s="1096"/>
      <c r="X1014" s="1096"/>
      <c r="Y1014" s="1096"/>
      <c r="Z1014" s="1096"/>
      <c r="AA1014" s="1096"/>
      <c r="AB1014" s="1096"/>
      <c r="AC1014" s="1096"/>
      <c r="AD1014" s="1096"/>
      <c r="AE1014" s="1096"/>
      <c r="AF1014" s="1096"/>
      <c r="AG1014" s="1096"/>
      <c r="AH1014" s="1096"/>
      <c r="AI1014" s="1096"/>
      <c r="AJ1014" s="1096"/>
      <c r="AK1014" s="1096"/>
      <c r="AL1014" s="1096"/>
      <c r="AM1014" s="1096"/>
      <c r="AN1014" s="1096"/>
      <c r="AO1014" s="1096"/>
      <c r="AP1014" s="1096"/>
      <c r="AQ1014" s="1096"/>
      <c r="AR1014" s="1096"/>
      <c r="AS1014" s="1096"/>
      <c r="AT1014" s="1096"/>
      <c r="AU1014" s="1096"/>
      <c r="AV1014" s="1096"/>
      <c r="AW1014" s="1096"/>
      <c r="AX1014" s="1096"/>
      <c r="AY1014" s="1096"/>
    </row>
    <row r="1015" spans="1:51" x14ac:dyDescent="0.45">
      <c r="A1015" s="1096"/>
      <c r="B1015" s="1096"/>
      <c r="C1015" s="1096"/>
      <c r="D1015" s="1096"/>
      <c r="E1015" s="1096"/>
      <c r="F1015" s="1096"/>
      <c r="G1015" s="1096"/>
      <c r="H1015" s="1096"/>
      <c r="I1015" s="1096"/>
      <c r="J1015" s="1096"/>
      <c r="K1015" s="1096"/>
      <c r="L1015" s="1096"/>
      <c r="M1015" s="1096"/>
      <c r="N1015" s="1096"/>
      <c r="O1015" s="1096"/>
      <c r="P1015" s="1096"/>
      <c r="Q1015" s="1096"/>
      <c r="R1015" s="1096"/>
      <c r="S1015" s="1096"/>
      <c r="T1015" s="1096"/>
      <c r="U1015" s="1096"/>
      <c r="V1015" s="1096"/>
      <c r="W1015" s="1096"/>
      <c r="X1015" s="1096"/>
      <c r="Y1015" s="1096"/>
      <c r="Z1015" s="1096"/>
      <c r="AA1015" s="1096"/>
      <c r="AB1015" s="1096"/>
      <c r="AC1015" s="1096"/>
      <c r="AD1015" s="1096"/>
      <c r="AE1015" s="1096"/>
      <c r="AF1015" s="1096"/>
      <c r="AG1015" s="1096"/>
      <c r="AH1015" s="1096"/>
      <c r="AI1015" s="1096"/>
      <c r="AJ1015" s="1096"/>
      <c r="AK1015" s="1096"/>
      <c r="AL1015" s="1096"/>
      <c r="AM1015" s="1096"/>
      <c r="AN1015" s="1096"/>
      <c r="AO1015" s="1096"/>
      <c r="AP1015" s="1096"/>
      <c r="AQ1015" s="1096"/>
      <c r="AR1015" s="1096"/>
      <c r="AS1015" s="1096"/>
      <c r="AT1015" s="1096"/>
      <c r="AU1015" s="1096"/>
      <c r="AV1015" s="1096"/>
      <c r="AW1015" s="1096"/>
      <c r="AX1015" s="1096"/>
      <c r="AY1015" s="1096"/>
    </row>
    <row r="1016" spans="1:51" x14ac:dyDescent="0.45">
      <c r="A1016" s="1096"/>
      <c r="B1016" s="1096"/>
      <c r="C1016" s="1096"/>
      <c r="D1016" s="1096"/>
      <c r="E1016" s="1096"/>
      <c r="F1016" s="1096"/>
      <c r="G1016" s="1096"/>
      <c r="H1016" s="1096"/>
      <c r="I1016" s="1096"/>
      <c r="J1016" s="1096"/>
      <c r="K1016" s="1096"/>
      <c r="L1016" s="1096"/>
      <c r="M1016" s="1096"/>
      <c r="N1016" s="1096"/>
      <c r="O1016" s="1096"/>
      <c r="P1016" s="1096"/>
      <c r="Q1016" s="1096"/>
      <c r="R1016" s="1096"/>
      <c r="S1016" s="1096"/>
      <c r="T1016" s="1096"/>
      <c r="U1016" s="1096"/>
      <c r="V1016" s="1096"/>
      <c r="W1016" s="1096"/>
      <c r="X1016" s="1096"/>
      <c r="Y1016" s="1096"/>
      <c r="Z1016" s="1096"/>
      <c r="AA1016" s="1096"/>
      <c r="AB1016" s="1096"/>
      <c r="AC1016" s="1096"/>
      <c r="AD1016" s="1096"/>
      <c r="AE1016" s="1096"/>
      <c r="AF1016" s="1096"/>
      <c r="AG1016" s="1096"/>
      <c r="AH1016" s="1096"/>
      <c r="AI1016" s="1096"/>
      <c r="AJ1016" s="1096"/>
      <c r="AK1016" s="1096"/>
      <c r="AL1016" s="1096"/>
      <c r="AM1016" s="1096"/>
      <c r="AN1016" s="1096"/>
      <c r="AO1016" s="1096"/>
      <c r="AP1016" s="1096"/>
      <c r="AQ1016" s="1096"/>
      <c r="AR1016" s="1096"/>
      <c r="AS1016" s="1096"/>
      <c r="AT1016" s="1096"/>
      <c r="AU1016" s="1096"/>
      <c r="AV1016" s="1096"/>
      <c r="AW1016" s="1096"/>
      <c r="AX1016" s="1096"/>
      <c r="AY1016" s="1096"/>
    </row>
    <row r="1017" spans="1:51" x14ac:dyDescent="0.45">
      <c r="A1017" s="1096"/>
      <c r="B1017" s="1096"/>
      <c r="C1017" s="1096"/>
      <c r="D1017" s="1096"/>
      <c r="E1017" s="1096"/>
      <c r="F1017" s="1096"/>
      <c r="G1017" s="1096"/>
      <c r="H1017" s="1096"/>
      <c r="I1017" s="1096"/>
      <c r="J1017" s="1096"/>
      <c r="K1017" s="1096"/>
      <c r="L1017" s="1096"/>
      <c r="M1017" s="1096"/>
      <c r="N1017" s="1096"/>
      <c r="O1017" s="1096"/>
      <c r="P1017" s="1096"/>
      <c r="Q1017" s="1096"/>
      <c r="R1017" s="1096"/>
      <c r="S1017" s="1096"/>
      <c r="T1017" s="1096"/>
      <c r="U1017" s="1096"/>
      <c r="V1017" s="1096"/>
      <c r="W1017" s="1096"/>
      <c r="X1017" s="1096"/>
      <c r="Y1017" s="1096"/>
      <c r="Z1017" s="1096"/>
      <c r="AA1017" s="1096"/>
      <c r="AB1017" s="1096"/>
      <c r="AC1017" s="1096"/>
      <c r="AD1017" s="1096"/>
      <c r="AE1017" s="1096"/>
      <c r="AF1017" s="1096"/>
      <c r="AG1017" s="1096"/>
      <c r="AH1017" s="1096"/>
      <c r="AI1017" s="1096"/>
      <c r="AJ1017" s="1096"/>
      <c r="AK1017" s="1096"/>
      <c r="AL1017" s="1096"/>
      <c r="AM1017" s="1096"/>
      <c r="AN1017" s="1096"/>
      <c r="AO1017" s="1096"/>
      <c r="AP1017" s="1096"/>
      <c r="AQ1017" s="1096"/>
      <c r="AR1017" s="1096"/>
      <c r="AS1017" s="1096"/>
      <c r="AT1017" s="1096"/>
      <c r="AU1017" s="1096"/>
      <c r="AV1017" s="1096"/>
      <c r="AW1017" s="1096"/>
      <c r="AX1017" s="1096"/>
      <c r="AY1017" s="1096"/>
    </row>
    <row r="1018" spans="1:51" x14ac:dyDescent="0.45">
      <c r="A1018" s="1096"/>
      <c r="B1018" s="1096"/>
      <c r="C1018" s="1096"/>
      <c r="D1018" s="1096"/>
      <c r="E1018" s="1096"/>
      <c r="F1018" s="1096"/>
      <c r="G1018" s="1096"/>
      <c r="H1018" s="1096"/>
      <c r="I1018" s="1096"/>
      <c r="J1018" s="1096"/>
      <c r="K1018" s="1096"/>
      <c r="L1018" s="1096"/>
      <c r="M1018" s="1096"/>
      <c r="N1018" s="1096"/>
      <c r="O1018" s="1096"/>
      <c r="P1018" s="1096"/>
      <c r="Q1018" s="1096"/>
      <c r="R1018" s="1096"/>
      <c r="S1018" s="1096"/>
      <c r="T1018" s="1096"/>
      <c r="U1018" s="1096"/>
      <c r="V1018" s="1096"/>
      <c r="W1018" s="1096"/>
      <c r="X1018" s="1096"/>
      <c r="Y1018" s="1096"/>
      <c r="Z1018" s="1096"/>
      <c r="AA1018" s="1096"/>
      <c r="AB1018" s="1096"/>
      <c r="AC1018" s="1096"/>
      <c r="AD1018" s="1096"/>
      <c r="AE1018" s="1096"/>
      <c r="AF1018" s="1096"/>
      <c r="AG1018" s="1096"/>
      <c r="AH1018" s="1096"/>
      <c r="AI1018" s="1096"/>
      <c r="AJ1018" s="1096"/>
      <c r="AK1018" s="1096"/>
      <c r="AL1018" s="1096"/>
      <c r="AM1018" s="1096"/>
      <c r="AN1018" s="1096"/>
      <c r="AO1018" s="1096"/>
      <c r="AP1018" s="1096"/>
      <c r="AQ1018" s="1096"/>
      <c r="AR1018" s="1096"/>
      <c r="AS1018" s="1096"/>
      <c r="AT1018" s="1096"/>
      <c r="AU1018" s="1096"/>
      <c r="AV1018" s="1096"/>
      <c r="AW1018" s="1096"/>
      <c r="AX1018" s="1096"/>
      <c r="AY1018" s="1096"/>
    </row>
    <row r="1019" spans="1:51" x14ac:dyDescent="0.45">
      <c r="A1019" s="1096"/>
      <c r="B1019" s="1096"/>
      <c r="C1019" s="1096"/>
      <c r="D1019" s="1096"/>
      <c r="E1019" s="1096"/>
      <c r="F1019" s="1096"/>
      <c r="G1019" s="1096"/>
      <c r="H1019" s="1096"/>
      <c r="I1019" s="1096"/>
      <c r="J1019" s="1096"/>
      <c r="K1019" s="1096"/>
      <c r="L1019" s="1096"/>
      <c r="M1019" s="1096"/>
      <c r="N1019" s="1096"/>
      <c r="O1019" s="1096"/>
      <c r="P1019" s="1096"/>
      <c r="Q1019" s="1096"/>
      <c r="R1019" s="1096"/>
      <c r="S1019" s="1096"/>
      <c r="T1019" s="1096"/>
      <c r="U1019" s="1096"/>
      <c r="V1019" s="1096"/>
      <c r="W1019" s="1096"/>
      <c r="X1019" s="1096"/>
      <c r="Y1019" s="1096"/>
      <c r="Z1019" s="1096"/>
      <c r="AA1019" s="1096"/>
      <c r="AB1019" s="1096"/>
      <c r="AC1019" s="1096"/>
      <c r="AD1019" s="1096"/>
      <c r="AE1019" s="1096"/>
      <c r="AF1019" s="1096"/>
      <c r="AG1019" s="1096"/>
      <c r="AH1019" s="1096"/>
      <c r="AI1019" s="1096"/>
      <c r="AJ1019" s="1096"/>
      <c r="AK1019" s="1096"/>
      <c r="AL1019" s="1096"/>
      <c r="AM1019" s="1096"/>
      <c r="AN1019" s="1096"/>
      <c r="AO1019" s="1096"/>
      <c r="AP1019" s="1096"/>
      <c r="AQ1019" s="1096"/>
      <c r="AR1019" s="1096"/>
      <c r="AS1019" s="1096"/>
      <c r="AT1019" s="1096"/>
      <c r="AU1019" s="1096"/>
      <c r="AV1019" s="1096"/>
      <c r="AW1019" s="1096"/>
      <c r="AX1019" s="1096"/>
      <c r="AY1019" s="1096"/>
    </row>
    <row r="1020" spans="1:51" x14ac:dyDescent="0.45">
      <c r="A1020" s="1096"/>
      <c r="B1020" s="1096"/>
      <c r="C1020" s="1096"/>
      <c r="D1020" s="1096"/>
      <c r="E1020" s="1096"/>
      <c r="F1020" s="1096"/>
      <c r="G1020" s="1096"/>
      <c r="H1020" s="1096"/>
      <c r="I1020" s="1096"/>
      <c r="J1020" s="1096"/>
      <c r="K1020" s="1096"/>
      <c r="L1020" s="1096"/>
      <c r="M1020" s="1096"/>
      <c r="N1020" s="1096"/>
      <c r="O1020" s="1096"/>
      <c r="P1020" s="1096"/>
      <c r="Q1020" s="1096"/>
      <c r="R1020" s="1096"/>
      <c r="S1020" s="1096"/>
      <c r="T1020" s="1096"/>
      <c r="U1020" s="1096"/>
      <c r="V1020" s="1096"/>
      <c r="W1020" s="1096"/>
      <c r="X1020" s="1096"/>
      <c r="Y1020" s="1096"/>
      <c r="Z1020" s="1096"/>
      <c r="AA1020" s="1096"/>
      <c r="AB1020" s="1096"/>
      <c r="AC1020" s="1096"/>
      <c r="AD1020" s="1096"/>
      <c r="AE1020" s="1096"/>
      <c r="AF1020" s="1096"/>
      <c r="AG1020" s="1096"/>
      <c r="AH1020" s="1096"/>
      <c r="AI1020" s="1096"/>
      <c r="AJ1020" s="1096"/>
      <c r="AK1020" s="1096"/>
      <c r="AL1020" s="1096"/>
      <c r="AM1020" s="1096"/>
      <c r="AN1020" s="1096"/>
      <c r="AO1020" s="1096"/>
      <c r="AP1020" s="1096"/>
      <c r="AQ1020" s="1096"/>
      <c r="AR1020" s="1096"/>
      <c r="AS1020" s="1096"/>
      <c r="AT1020" s="1096"/>
      <c r="AU1020" s="1096"/>
      <c r="AV1020" s="1096"/>
      <c r="AW1020" s="1096"/>
      <c r="AX1020" s="1096"/>
      <c r="AY1020" s="1096"/>
    </row>
    <row r="1021" spans="1:51" x14ac:dyDescent="0.45">
      <c r="A1021" s="1096"/>
      <c r="B1021" s="1096"/>
      <c r="C1021" s="1096"/>
      <c r="D1021" s="1096"/>
      <c r="E1021" s="1096"/>
      <c r="F1021" s="1096"/>
      <c r="G1021" s="1096"/>
      <c r="H1021" s="1096"/>
      <c r="I1021" s="1096"/>
      <c r="J1021" s="1096"/>
      <c r="K1021" s="1096"/>
      <c r="L1021" s="1096"/>
      <c r="M1021" s="1096"/>
      <c r="N1021" s="1096"/>
      <c r="O1021" s="1096"/>
      <c r="P1021" s="1096"/>
      <c r="Q1021" s="1096"/>
      <c r="R1021" s="1096"/>
      <c r="S1021" s="1096"/>
      <c r="T1021" s="1096"/>
      <c r="U1021" s="1096"/>
      <c r="V1021" s="1096"/>
      <c r="W1021" s="1096"/>
      <c r="X1021" s="1096"/>
      <c r="Y1021" s="1096"/>
      <c r="Z1021" s="1096"/>
      <c r="AA1021" s="1096"/>
      <c r="AB1021" s="1096"/>
      <c r="AC1021" s="1096"/>
      <c r="AD1021" s="1096"/>
      <c r="AE1021" s="1096"/>
      <c r="AF1021" s="1096"/>
      <c r="AG1021" s="1096"/>
      <c r="AH1021" s="1096"/>
      <c r="AI1021" s="1096"/>
      <c r="AJ1021" s="1096"/>
      <c r="AK1021" s="1096"/>
      <c r="AL1021" s="1096"/>
      <c r="AM1021" s="1096"/>
      <c r="AN1021" s="1096"/>
      <c r="AO1021" s="1096"/>
      <c r="AP1021" s="1096"/>
      <c r="AQ1021" s="1096"/>
      <c r="AR1021" s="1096"/>
      <c r="AS1021" s="1096"/>
      <c r="AT1021" s="1096"/>
      <c r="AU1021" s="1096"/>
      <c r="AV1021" s="1096"/>
      <c r="AW1021" s="1096"/>
      <c r="AX1021" s="1096"/>
      <c r="AY1021" s="1096"/>
    </row>
    <row r="1022" spans="1:51" x14ac:dyDescent="0.45">
      <c r="A1022" s="1096"/>
      <c r="B1022" s="1096"/>
      <c r="C1022" s="1096"/>
      <c r="D1022" s="1096"/>
      <c r="E1022" s="1096"/>
      <c r="F1022" s="1096"/>
      <c r="G1022" s="1096"/>
      <c r="H1022" s="1096"/>
      <c r="I1022" s="1096"/>
      <c r="J1022" s="1096"/>
      <c r="K1022" s="1096"/>
      <c r="L1022" s="1096"/>
      <c r="M1022" s="1096"/>
      <c r="N1022" s="1096"/>
      <c r="O1022" s="1096"/>
      <c r="P1022" s="1096"/>
      <c r="Q1022" s="1096"/>
      <c r="R1022" s="1096"/>
      <c r="S1022" s="1096"/>
      <c r="T1022" s="1096"/>
      <c r="U1022" s="1096"/>
      <c r="V1022" s="1096"/>
      <c r="W1022" s="1096"/>
      <c r="X1022" s="1096"/>
      <c r="Y1022" s="1096"/>
      <c r="Z1022" s="1096"/>
      <c r="AA1022" s="1096"/>
      <c r="AB1022" s="1096"/>
      <c r="AC1022" s="1096"/>
      <c r="AD1022" s="1096"/>
      <c r="AE1022" s="1096"/>
      <c r="AF1022" s="1096"/>
      <c r="AG1022" s="1096"/>
      <c r="AH1022" s="1096"/>
      <c r="AI1022" s="1096"/>
      <c r="AJ1022" s="1096"/>
      <c r="AK1022" s="1096"/>
      <c r="AL1022" s="1096"/>
      <c r="AM1022" s="1096"/>
      <c r="AN1022" s="1096"/>
      <c r="AO1022" s="1096"/>
      <c r="AP1022" s="1096"/>
      <c r="AQ1022" s="1096"/>
      <c r="AR1022" s="1096"/>
      <c r="AS1022" s="1096"/>
      <c r="AT1022" s="1096"/>
      <c r="AU1022" s="1096"/>
      <c r="AV1022" s="1096"/>
      <c r="AW1022" s="1096"/>
      <c r="AX1022" s="1096"/>
      <c r="AY1022" s="1096"/>
    </row>
    <row r="1023" spans="1:51" x14ac:dyDescent="0.45">
      <c r="A1023" s="1096"/>
      <c r="B1023" s="1096"/>
      <c r="C1023" s="1096"/>
      <c r="D1023" s="1096"/>
      <c r="E1023" s="1096"/>
      <c r="F1023" s="1096"/>
      <c r="G1023" s="1096"/>
      <c r="H1023" s="1096"/>
      <c r="I1023" s="1096"/>
      <c r="J1023" s="1096"/>
      <c r="K1023" s="1096"/>
      <c r="L1023" s="1096"/>
      <c r="M1023" s="1096"/>
      <c r="N1023" s="1096"/>
      <c r="O1023" s="1096"/>
      <c r="P1023" s="1096"/>
      <c r="Q1023" s="1096"/>
      <c r="R1023" s="1096"/>
      <c r="S1023" s="1096"/>
      <c r="T1023" s="1096"/>
      <c r="U1023" s="1096"/>
      <c r="V1023" s="1096"/>
      <c r="W1023" s="1096"/>
      <c r="X1023" s="1096"/>
      <c r="Y1023" s="1096"/>
      <c r="Z1023" s="1096"/>
      <c r="AA1023" s="1096"/>
      <c r="AB1023" s="1096"/>
      <c r="AC1023" s="1096"/>
      <c r="AD1023" s="1096"/>
      <c r="AE1023" s="1096"/>
      <c r="AF1023" s="1096"/>
      <c r="AG1023" s="1096"/>
      <c r="AH1023" s="1096"/>
      <c r="AI1023" s="1096"/>
      <c r="AJ1023" s="1096"/>
      <c r="AK1023" s="1096"/>
      <c r="AL1023" s="1096"/>
      <c r="AM1023" s="1096"/>
      <c r="AN1023" s="1096"/>
      <c r="AO1023" s="1096"/>
      <c r="AP1023" s="1096"/>
      <c r="AQ1023" s="1096"/>
      <c r="AR1023" s="1096"/>
      <c r="AS1023" s="1096"/>
      <c r="AT1023" s="1096"/>
      <c r="AU1023" s="1096"/>
      <c r="AV1023" s="1096"/>
      <c r="AW1023" s="1096"/>
      <c r="AX1023" s="1096"/>
      <c r="AY1023" s="1096"/>
    </row>
    <row r="1024" spans="1:51" x14ac:dyDescent="0.45">
      <c r="A1024" s="1096"/>
      <c r="B1024" s="1096"/>
      <c r="C1024" s="1096"/>
      <c r="D1024" s="1096"/>
      <c r="E1024" s="1096"/>
      <c r="F1024" s="1096"/>
      <c r="G1024" s="1096"/>
      <c r="H1024" s="1096"/>
      <c r="I1024" s="1096"/>
      <c r="J1024" s="1096"/>
      <c r="K1024" s="1096"/>
      <c r="L1024" s="1096"/>
      <c r="M1024" s="1096"/>
      <c r="N1024" s="1096"/>
      <c r="O1024" s="1096"/>
      <c r="P1024" s="1096"/>
      <c r="Q1024" s="1096"/>
      <c r="R1024" s="1096"/>
      <c r="S1024" s="1096"/>
      <c r="T1024" s="1096"/>
      <c r="U1024" s="1096"/>
      <c r="V1024" s="1096"/>
      <c r="W1024" s="1096"/>
      <c r="X1024" s="1096"/>
      <c r="Y1024" s="1096"/>
      <c r="Z1024" s="1096"/>
      <c r="AA1024" s="1096"/>
      <c r="AB1024" s="1096"/>
      <c r="AC1024" s="1096"/>
      <c r="AD1024" s="1096"/>
      <c r="AE1024" s="1096"/>
      <c r="AF1024" s="1096"/>
      <c r="AG1024" s="1096"/>
      <c r="AH1024" s="1096"/>
      <c r="AI1024" s="1096"/>
      <c r="AJ1024" s="1096"/>
      <c r="AK1024" s="1096"/>
      <c r="AL1024" s="1096"/>
      <c r="AM1024" s="1096"/>
      <c r="AN1024" s="1096"/>
      <c r="AO1024" s="1096"/>
      <c r="AP1024" s="1096"/>
      <c r="AQ1024" s="1096"/>
      <c r="AR1024" s="1096"/>
      <c r="AS1024" s="1096"/>
      <c r="AT1024" s="1096"/>
      <c r="AU1024" s="1096"/>
      <c r="AV1024" s="1096"/>
      <c r="AW1024" s="1096"/>
      <c r="AX1024" s="1096"/>
      <c r="AY1024" s="1096"/>
    </row>
    <row r="1025" spans="1:51" x14ac:dyDescent="0.45">
      <c r="A1025" s="1096"/>
      <c r="B1025" s="1096"/>
      <c r="C1025" s="1096"/>
      <c r="D1025" s="1096"/>
      <c r="E1025" s="1096"/>
      <c r="F1025" s="1096"/>
      <c r="G1025" s="1096"/>
      <c r="H1025" s="1096"/>
      <c r="I1025" s="1096"/>
      <c r="J1025" s="1096"/>
      <c r="K1025" s="1096"/>
      <c r="L1025" s="1096"/>
      <c r="M1025" s="1096"/>
      <c r="N1025" s="1096"/>
      <c r="O1025" s="1096"/>
      <c r="P1025" s="1096"/>
      <c r="Q1025" s="1096"/>
      <c r="R1025" s="1096"/>
      <c r="S1025" s="1096"/>
      <c r="T1025" s="1096"/>
      <c r="U1025" s="1096"/>
      <c r="V1025" s="1096"/>
      <c r="W1025" s="1096"/>
      <c r="X1025" s="1096"/>
      <c r="Y1025" s="1096"/>
      <c r="Z1025" s="1096"/>
      <c r="AA1025" s="1096"/>
      <c r="AB1025" s="1096"/>
      <c r="AC1025" s="1096"/>
      <c r="AD1025" s="1096"/>
      <c r="AE1025" s="1096"/>
      <c r="AF1025" s="1096"/>
      <c r="AG1025" s="1096"/>
      <c r="AH1025" s="1096"/>
      <c r="AI1025" s="1096"/>
      <c r="AJ1025" s="1096"/>
      <c r="AK1025" s="1096"/>
      <c r="AL1025" s="1096"/>
      <c r="AM1025" s="1096"/>
      <c r="AN1025" s="1096"/>
      <c r="AO1025" s="1096"/>
      <c r="AP1025" s="1096"/>
      <c r="AQ1025" s="1096"/>
      <c r="AR1025" s="1096"/>
      <c r="AS1025" s="1096"/>
      <c r="AT1025" s="1096"/>
      <c r="AU1025" s="1096"/>
      <c r="AV1025" s="1096"/>
      <c r="AW1025" s="1096"/>
      <c r="AX1025" s="1096"/>
      <c r="AY1025" s="1096"/>
    </row>
    <row r="1026" spans="1:51" x14ac:dyDescent="0.45">
      <c r="A1026" s="1096"/>
      <c r="B1026" s="1096"/>
      <c r="C1026" s="1096"/>
      <c r="D1026" s="1096"/>
      <c r="E1026" s="1096"/>
      <c r="F1026" s="1096"/>
      <c r="G1026" s="1096"/>
      <c r="H1026" s="1096"/>
      <c r="I1026" s="1096"/>
      <c r="J1026" s="1096"/>
      <c r="K1026" s="1096"/>
      <c r="L1026" s="1096"/>
      <c r="M1026" s="1096"/>
      <c r="N1026" s="1096"/>
      <c r="O1026" s="1096"/>
      <c r="P1026" s="1096"/>
      <c r="Q1026" s="1096"/>
      <c r="R1026" s="1096"/>
      <c r="S1026" s="1096"/>
      <c r="T1026" s="1096"/>
      <c r="U1026" s="1096"/>
      <c r="V1026" s="1096"/>
      <c r="W1026" s="1096"/>
      <c r="X1026" s="1096"/>
      <c r="Y1026" s="1096"/>
      <c r="Z1026" s="1096"/>
      <c r="AA1026" s="1096"/>
      <c r="AB1026" s="1096"/>
      <c r="AC1026" s="1096"/>
      <c r="AD1026" s="1096"/>
      <c r="AE1026" s="1096"/>
      <c r="AF1026" s="1096"/>
      <c r="AG1026" s="1096"/>
      <c r="AH1026" s="1096"/>
      <c r="AI1026" s="1096"/>
      <c r="AJ1026" s="1096"/>
      <c r="AK1026" s="1096"/>
      <c r="AL1026" s="1096"/>
      <c r="AM1026" s="1096"/>
      <c r="AN1026" s="1096"/>
      <c r="AO1026" s="1096"/>
      <c r="AP1026" s="1096"/>
      <c r="AQ1026" s="1096"/>
      <c r="AR1026" s="1096"/>
      <c r="AS1026" s="1096"/>
      <c r="AT1026" s="1096"/>
      <c r="AU1026" s="1096"/>
      <c r="AV1026" s="1096"/>
      <c r="AW1026" s="1096"/>
      <c r="AX1026" s="1096"/>
      <c r="AY1026" s="1096"/>
    </row>
    <row r="1027" spans="1:51" x14ac:dyDescent="0.45">
      <c r="A1027" s="1096"/>
      <c r="B1027" s="1096"/>
      <c r="C1027" s="1096"/>
      <c r="D1027" s="1096"/>
      <c r="E1027" s="1096"/>
      <c r="F1027" s="1096"/>
      <c r="G1027" s="1096"/>
      <c r="H1027" s="1096"/>
      <c r="I1027" s="1096"/>
      <c r="J1027" s="1096"/>
      <c r="K1027" s="1096"/>
      <c r="L1027" s="1096"/>
      <c r="M1027" s="1096"/>
      <c r="N1027" s="1096"/>
      <c r="O1027" s="1096"/>
      <c r="P1027" s="1096"/>
      <c r="Q1027" s="1096"/>
      <c r="R1027" s="1096"/>
      <c r="S1027" s="1096"/>
      <c r="T1027" s="1096"/>
      <c r="U1027" s="1096"/>
      <c r="V1027" s="1096"/>
      <c r="W1027" s="1096"/>
      <c r="X1027" s="1096"/>
      <c r="Y1027" s="1096"/>
      <c r="Z1027" s="1096"/>
      <c r="AA1027" s="1096"/>
      <c r="AB1027" s="1096"/>
      <c r="AC1027" s="1096"/>
      <c r="AD1027" s="1096"/>
      <c r="AE1027" s="1096"/>
      <c r="AF1027" s="1096"/>
      <c r="AG1027" s="1096"/>
      <c r="AH1027" s="1096"/>
      <c r="AI1027" s="1096"/>
      <c r="AJ1027" s="1096"/>
      <c r="AK1027" s="1096"/>
      <c r="AL1027" s="1096"/>
      <c r="AM1027" s="1096"/>
      <c r="AN1027" s="1096"/>
      <c r="AO1027" s="1096"/>
      <c r="AP1027" s="1096"/>
      <c r="AQ1027" s="1096"/>
      <c r="AR1027" s="1096"/>
      <c r="AS1027" s="1096"/>
      <c r="AT1027" s="1096"/>
      <c r="AU1027" s="1096"/>
      <c r="AV1027" s="1096"/>
      <c r="AW1027" s="1096"/>
      <c r="AX1027" s="1096"/>
      <c r="AY1027" s="1096"/>
    </row>
    <row r="1028" spans="1:51" x14ac:dyDescent="0.45">
      <c r="A1028" s="1096"/>
      <c r="B1028" s="1096"/>
      <c r="C1028" s="1096"/>
      <c r="D1028" s="1096"/>
      <c r="E1028" s="1096"/>
      <c r="F1028" s="1096"/>
      <c r="G1028" s="1096"/>
      <c r="H1028" s="1096"/>
      <c r="I1028" s="1096"/>
      <c r="J1028" s="1096"/>
      <c r="K1028" s="1096"/>
      <c r="L1028" s="1096"/>
      <c r="M1028" s="1096"/>
      <c r="N1028" s="1096"/>
      <c r="O1028" s="1096"/>
      <c r="P1028" s="1096"/>
      <c r="Q1028" s="1096"/>
      <c r="R1028" s="1096"/>
      <c r="S1028" s="1096"/>
      <c r="T1028" s="1096"/>
      <c r="U1028" s="1096"/>
      <c r="V1028" s="1096"/>
      <c r="W1028" s="1096"/>
      <c r="X1028" s="1096"/>
      <c r="Y1028" s="1096"/>
      <c r="Z1028" s="1096"/>
      <c r="AA1028" s="1096"/>
      <c r="AB1028" s="1096"/>
      <c r="AC1028" s="1096"/>
      <c r="AD1028" s="1096"/>
      <c r="AE1028" s="1096"/>
      <c r="AF1028" s="1096"/>
      <c r="AG1028" s="1096"/>
      <c r="AH1028" s="1096"/>
      <c r="AI1028" s="1096"/>
      <c r="AJ1028" s="1096"/>
      <c r="AK1028" s="1096"/>
      <c r="AL1028" s="1096"/>
      <c r="AM1028" s="1096"/>
      <c r="AN1028" s="1096"/>
      <c r="AO1028" s="1096"/>
      <c r="AP1028" s="1096"/>
      <c r="AQ1028" s="1096"/>
      <c r="AR1028" s="1096"/>
      <c r="AS1028" s="1096"/>
      <c r="AT1028" s="1096"/>
      <c r="AU1028" s="1096"/>
      <c r="AV1028" s="1096"/>
      <c r="AW1028" s="1096"/>
      <c r="AX1028" s="1096"/>
      <c r="AY1028" s="1096"/>
    </row>
    <row r="1029" spans="1:51" x14ac:dyDescent="0.45">
      <c r="A1029" s="1096"/>
      <c r="B1029" s="1096"/>
      <c r="C1029" s="1096"/>
      <c r="D1029" s="1096"/>
      <c r="E1029" s="1096"/>
      <c r="F1029" s="1096"/>
      <c r="G1029" s="1096"/>
      <c r="H1029" s="1096"/>
      <c r="I1029" s="1096"/>
      <c r="J1029" s="1096"/>
      <c r="K1029" s="1096"/>
      <c r="L1029" s="1096"/>
      <c r="M1029" s="1096"/>
      <c r="N1029" s="1096"/>
      <c r="O1029" s="1096"/>
      <c r="P1029" s="1096"/>
      <c r="Q1029" s="1096"/>
      <c r="R1029" s="1096"/>
      <c r="S1029" s="1096"/>
      <c r="T1029" s="1096"/>
      <c r="U1029" s="1096"/>
      <c r="V1029" s="1096"/>
      <c r="W1029" s="1096"/>
      <c r="X1029" s="1096"/>
      <c r="Y1029" s="1096"/>
      <c r="Z1029" s="1096"/>
      <c r="AA1029" s="1096"/>
      <c r="AB1029" s="1096"/>
      <c r="AC1029" s="1096"/>
      <c r="AD1029" s="1096"/>
      <c r="AE1029" s="1096"/>
      <c r="AF1029" s="1096"/>
      <c r="AG1029" s="1096"/>
      <c r="AH1029" s="1096"/>
      <c r="AI1029" s="1096"/>
      <c r="AJ1029" s="1096"/>
      <c r="AK1029" s="1096"/>
      <c r="AL1029" s="1096"/>
      <c r="AM1029" s="1096"/>
      <c r="AN1029" s="1096"/>
      <c r="AO1029" s="1096"/>
      <c r="AP1029" s="1096"/>
      <c r="AQ1029" s="1096"/>
      <c r="AR1029" s="1096"/>
      <c r="AS1029" s="1096"/>
      <c r="AT1029" s="1096"/>
      <c r="AU1029" s="1096"/>
      <c r="AV1029" s="1096"/>
      <c r="AW1029" s="1096"/>
      <c r="AX1029" s="1096"/>
      <c r="AY1029" s="1096"/>
    </row>
    <row r="1030" spans="1:51" x14ac:dyDescent="0.45">
      <c r="A1030" s="1096"/>
      <c r="B1030" s="1096"/>
      <c r="C1030" s="1096"/>
      <c r="D1030" s="1096"/>
      <c r="E1030" s="1096"/>
      <c r="F1030" s="1096"/>
      <c r="G1030" s="1096"/>
      <c r="H1030" s="1096"/>
      <c r="I1030" s="1096"/>
      <c r="J1030" s="1096"/>
      <c r="K1030" s="1096"/>
      <c r="L1030" s="1096"/>
      <c r="M1030" s="1096"/>
      <c r="N1030" s="1096"/>
      <c r="O1030" s="1096"/>
      <c r="P1030" s="1096"/>
      <c r="Q1030" s="1096"/>
      <c r="R1030" s="1096"/>
      <c r="S1030" s="1096"/>
      <c r="T1030" s="1096"/>
      <c r="U1030" s="1096"/>
      <c r="V1030" s="1096"/>
      <c r="W1030" s="1096"/>
      <c r="X1030" s="1096"/>
      <c r="Y1030" s="1096"/>
      <c r="Z1030" s="1096"/>
      <c r="AA1030" s="1096"/>
      <c r="AB1030" s="1096"/>
      <c r="AC1030" s="1096"/>
      <c r="AD1030" s="1096"/>
      <c r="AE1030" s="1096"/>
      <c r="AF1030" s="1096"/>
      <c r="AG1030" s="1096"/>
      <c r="AH1030" s="1096"/>
      <c r="AI1030" s="1096"/>
      <c r="AJ1030" s="1096"/>
      <c r="AK1030" s="1096"/>
      <c r="AL1030" s="1096"/>
      <c r="AM1030" s="1096"/>
      <c r="AN1030" s="1096"/>
      <c r="AO1030" s="1096"/>
      <c r="AP1030" s="1096"/>
      <c r="AQ1030" s="1096"/>
      <c r="AR1030" s="1096"/>
      <c r="AS1030" s="1096"/>
      <c r="AT1030" s="1096"/>
      <c r="AU1030" s="1096"/>
      <c r="AV1030" s="1096"/>
      <c r="AW1030" s="1096"/>
      <c r="AX1030" s="1096"/>
      <c r="AY1030" s="1096"/>
    </row>
    <row r="1031" spans="1:51" x14ac:dyDescent="0.45">
      <c r="A1031" s="1096"/>
      <c r="B1031" s="1096"/>
      <c r="C1031" s="1096"/>
      <c r="D1031" s="1096"/>
      <c r="E1031" s="1096"/>
      <c r="F1031" s="1096"/>
      <c r="G1031" s="1096"/>
      <c r="H1031" s="1096"/>
      <c r="I1031" s="1096"/>
      <c r="J1031" s="1096"/>
      <c r="K1031" s="1096"/>
      <c r="L1031" s="1096"/>
      <c r="M1031" s="1096"/>
      <c r="N1031" s="1096"/>
      <c r="O1031" s="1096"/>
      <c r="P1031" s="1096"/>
      <c r="Q1031" s="1096"/>
      <c r="R1031" s="1096"/>
      <c r="S1031" s="1096"/>
      <c r="T1031" s="1096"/>
      <c r="U1031" s="1096"/>
      <c r="V1031" s="1096"/>
      <c r="W1031" s="1096"/>
      <c r="X1031" s="1096"/>
      <c r="Y1031" s="1096"/>
      <c r="Z1031" s="1096"/>
      <c r="AA1031" s="1096"/>
      <c r="AB1031" s="1096"/>
      <c r="AC1031" s="1096"/>
      <c r="AD1031" s="1096"/>
      <c r="AE1031" s="1096"/>
      <c r="AF1031" s="1096"/>
      <c r="AG1031" s="1096"/>
      <c r="AH1031" s="1096"/>
      <c r="AI1031" s="1096"/>
      <c r="AJ1031" s="1096"/>
      <c r="AK1031" s="1096"/>
      <c r="AL1031" s="1096"/>
      <c r="AM1031" s="1096"/>
      <c r="AN1031" s="1096"/>
      <c r="AO1031" s="1096"/>
      <c r="AP1031" s="1096"/>
      <c r="AQ1031" s="1096"/>
      <c r="AR1031" s="1096"/>
      <c r="AS1031" s="1096"/>
      <c r="AT1031" s="1096"/>
      <c r="AU1031" s="1096"/>
      <c r="AV1031" s="1096"/>
      <c r="AW1031" s="1096"/>
      <c r="AX1031" s="1096"/>
      <c r="AY1031" s="1096"/>
    </row>
    <row r="1032" spans="1:51" x14ac:dyDescent="0.45">
      <c r="A1032" s="1096"/>
      <c r="B1032" s="1096"/>
      <c r="C1032" s="1096"/>
      <c r="D1032" s="1096"/>
      <c r="E1032" s="1096"/>
      <c r="F1032" s="1096"/>
      <c r="G1032" s="1096"/>
      <c r="H1032" s="1096"/>
      <c r="I1032" s="1096"/>
      <c r="J1032" s="1096"/>
      <c r="K1032" s="1096"/>
      <c r="L1032" s="1096"/>
      <c r="M1032" s="1096"/>
      <c r="N1032" s="1096"/>
      <c r="O1032" s="1096"/>
      <c r="P1032" s="1096"/>
      <c r="Q1032" s="1096"/>
      <c r="R1032" s="1096"/>
      <c r="S1032" s="1096"/>
      <c r="T1032" s="1096"/>
      <c r="U1032" s="1096"/>
      <c r="V1032" s="1096"/>
      <c r="W1032" s="1096"/>
      <c r="X1032" s="1096"/>
      <c r="Y1032" s="1096"/>
      <c r="Z1032" s="1096"/>
      <c r="AA1032" s="1096"/>
      <c r="AB1032" s="1096"/>
      <c r="AC1032" s="1096"/>
      <c r="AD1032" s="1096"/>
      <c r="AE1032" s="1096"/>
      <c r="AF1032" s="1096"/>
      <c r="AG1032" s="1096"/>
      <c r="AH1032" s="1096"/>
      <c r="AI1032" s="1096"/>
      <c r="AJ1032" s="1096"/>
      <c r="AK1032" s="1096"/>
      <c r="AL1032" s="1096"/>
      <c r="AM1032" s="1096"/>
      <c r="AN1032" s="1096"/>
      <c r="AO1032" s="1096"/>
      <c r="AP1032" s="1096"/>
      <c r="AQ1032" s="1096"/>
      <c r="AR1032" s="1096"/>
      <c r="AS1032" s="1096"/>
      <c r="AT1032" s="1096"/>
      <c r="AU1032" s="1096"/>
      <c r="AV1032" s="1096"/>
      <c r="AW1032" s="1096"/>
      <c r="AX1032" s="1096"/>
      <c r="AY1032" s="1096"/>
    </row>
    <row r="1033" spans="1:51" x14ac:dyDescent="0.45">
      <c r="A1033" s="1096"/>
      <c r="B1033" s="1096"/>
      <c r="C1033" s="1096"/>
      <c r="D1033" s="1096"/>
      <c r="E1033" s="1096"/>
      <c r="F1033" s="1096"/>
      <c r="G1033" s="1096"/>
      <c r="H1033" s="1096"/>
      <c r="I1033" s="1096"/>
      <c r="J1033" s="1096"/>
      <c r="K1033" s="1096"/>
      <c r="L1033" s="1096"/>
      <c r="M1033" s="1096"/>
      <c r="N1033" s="1096"/>
      <c r="O1033" s="1096"/>
      <c r="P1033" s="1096"/>
      <c r="Q1033" s="1096"/>
      <c r="R1033" s="1096"/>
      <c r="S1033" s="1096"/>
      <c r="T1033" s="1096"/>
      <c r="U1033" s="1096"/>
      <c r="V1033" s="1096"/>
      <c r="W1033" s="1096"/>
      <c r="X1033" s="1096"/>
      <c r="Y1033" s="1096"/>
      <c r="Z1033" s="1096"/>
      <c r="AA1033" s="1096"/>
      <c r="AB1033" s="1096"/>
      <c r="AC1033" s="1096"/>
      <c r="AD1033" s="1096"/>
      <c r="AE1033" s="1096"/>
      <c r="AF1033" s="1096"/>
      <c r="AG1033" s="1096"/>
      <c r="AH1033" s="1096"/>
      <c r="AI1033" s="1096"/>
      <c r="AJ1033" s="1096"/>
      <c r="AK1033" s="1096"/>
      <c r="AL1033" s="1096"/>
      <c r="AM1033" s="1096"/>
      <c r="AN1033" s="1096"/>
      <c r="AO1033" s="1096"/>
      <c r="AP1033" s="1096"/>
      <c r="AQ1033" s="1096"/>
      <c r="AR1033" s="1096"/>
      <c r="AS1033" s="1096"/>
      <c r="AT1033" s="1096"/>
      <c r="AU1033" s="1096"/>
      <c r="AV1033" s="1096"/>
      <c r="AW1033" s="1096"/>
      <c r="AX1033" s="1096"/>
      <c r="AY1033" s="1096"/>
    </row>
    <row r="1034" spans="1:51" x14ac:dyDescent="0.45">
      <c r="A1034" s="1096"/>
      <c r="B1034" s="1096"/>
      <c r="C1034" s="1096"/>
      <c r="D1034" s="1096"/>
      <c r="E1034" s="1096"/>
      <c r="F1034" s="1096"/>
      <c r="G1034" s="1096"/>
      <c r="H1034" s="1096"/>
      <c r="I1034" s="1096"/>
      <c r="J1034" s="1096"/>
      <c r="K1034" s="1096"/>
      <c r="L1034" s="1096"/>
      <c r="M1034" s="1096"/>
      <c r="N1034" s="1096"/>
      <c r="O1034" s="1096"/>
      <c r="P1034" s="1096"/>
      <c r="Q1034" s="1096"/>
      <c r="R1034" s="1096"/>
      <c r="S1034" s="1096"/>
      <c r="T1034" s="1096"/>
      <c r="U1034" s="1096"/>
      <c r="V1034" s="1096"/>
      <c r="W1034" s="1096"/>
      <c r="X1034" s="1096"/>
      <c r="Y1034" s="1096"/>
      <c r="Z1034" s="1096"/>
      <c r="AA1034" s="1096"/>
      <c r="AB1034" s="1096"/>
      <c r="AC1034" s="1096"/>
      <c r="AD1034" s="1096"/>
      <c r="AE1034" s="1096"/>
      <c r="AF1034" s="1096"/>
      <c r="AG1034" s="1096"/>
      <c r="AH1034" s="1096"/>
      <c r="AI1034" s="1096"/>
      <c r="AJ1034" s="1096"/>
      <c r="AK1034" s="1096"/>
      <c r="AL1034" s="1096"/>
      <c r="AM1034" s="1096"/>
      <c r="AN1034" s="1096"/>
      <c r="AO1034" s="1096"/>
      <c r="AP1034" s="1096"/>
      <c r="AQ1034" s="1096"/>
      <c r="AR1034" s="1096"/>
      <c r="AS1034" s="1096"/>
      <c r="AT1034" s="1096"/>
      <c r="AU1034" s="1096"/>
      <c r="AV1034" s="1096"/>
      <c r="AW1034" s="1096"/>
      <c r="AX1034" s="1096"/>
      <c r="AY1034" s="1096"/>
    </row>
    <row r="1035" spans="1:51" x14ac:dyDescent="0.45">
      <c r="A1035" s="1096"/>
      <c r="B1035" s="1096"/>
      <c r="C1035" s="1096"/>
      <c r="D1035" s="1096"/>
      <c r="E1035" s="1096"/>
      <c r="F1035" s="1096"/>
      <c r="G1035" s="1096"/>
      <c r="H1035" s="1096"/>
      <c r="I1035" s="1096"/>
      <c r="J1035" s="1096"/>
      <c r="K1035" s="1096"/>
      <c r="L1035" s="1096"/>
      <c r="M1035" s="1096"/>
      <c r="N1035" s="1096"/>
      <c r="O1035" s="1096"/>
      <c r="P1035" s="1096"/>
      <c r="Q1035" s="1096"/>
      <c r="R1035" s="1096"/>
      <c r="S1035" s="1096"/>
      <c r="T1035" s="1096"/>
      <c r="U1035" s="1096"/>
      <c r="V1035" s="1096"/>
      <c r="W1035" s="1096"/>
      <c r="X1035" s="1096"/>
      <c r="Y1035" s="1096"/>
      <c r="Z1035" s="1096"/>
      <c r="AA1035" s="1096"/>
      <c r="AB1035" s="1096"/>
      <c r="AC1035" s="1096"/>
      <c r="AD1035" s="1096"/>
      <c r="AE1035" s="1096"/>
      <c r="AF1035" s="1096"/>
      <c r="AG1035" s="1096"/>
      <c r="AH1035" s="1096"/>
      <c r="AI1035" s="1096"/>
      <c r="AJ1035" s="1096"/>
      <c r="AK1035" s="1096"/>
      <c r="AL1035" s="1096"/>
      <c r="AM1035" s="1096"/>
      <c r="AN1035" s="1096"/>
      <c r="AO1035" s="1096"/>
      <c r="AP1035" s="1096"/>
      <c r="AQ1035" s="1096"/>
      <c r="AR1035" s="1096"/>
      <c r="AS1035" s="1096"/>
      <c r="AT1035" s="1096"/>
      <c r="AU1035" s="1096"/>
      <c r="AV1035" s="1096"/>
      <c r="AW1035" s="1096"/>
      <c r="AX1035" s="1096"/>
      <c r="AY1035" s="1096"/>
    </row>
    <row r="1036" spans="1:51" x14ac:dyDescent="0.45">
      <c r="A1036" s="1096"/>
      <c r="B1036" s="1096"/>
      <c r="C1036" s="1096"/>
      <c r="D1036" s="1096"/>
      <c r="E1036" s="1096"/>
      <c r="F1036" s="1096"/>
      <c r="G1036" s="1096"/>
      <c r="H1036" s="1096"/>
      <c r="I1036" s="1096"/>
      <c r="J1036" s="1096"/>
      <c r="K1036" s="1096"/>
      <c r="L1036" s="1096"/>
      <c r="M1036" s="1096"/>
      <c r="N1036" s="1096"/>
      <c r="O1036" s="1096"/>
      <c r="P1036" s="1096"/>
      <c r="Q1036" s="1096"/>
      <c r="R1036" s="1096"/>
      <c r="S1036" s="1096"/>
      <c r="T1036" s="1096"/>
      <c r="U1036" s="1096"/>
      <c r="V1036" s="1096"/>
      <c r="W1036" s="1096"/>
      <c r="X1036" s="1096"/>
      <c r="Y1036" s="1096"/>
      <c r="Z1036" s="1096"/>
      <c r="AA1036" s="1096"/>
      <c r="AB1036" s="1096"/>
      <c r="AC1036" s="1096"/>
      <c r="AD1036" s="1096"/>
      <c r="AE1036" s="1096"/>
      <c r="AF1036" s="1096"/>
      <c r="AG1036" s="1096"/>
      <c r="AH1036" s="1096"/>
      <c r="AI1036" s="1096"/>
      <c r="AJ1036" s="1096"/>
      <c r="AK1036" s="1096"/>
      <c r="AL1036" s="1096"/>
      <c r="AM1036" s="1096"/>
      <c r="AN1036" s="1096"/>
      <c r="AO1036" s="1096"/>
      <c r="AP1036" s="1096"/>
      <c r="AQ1036" s="1096"/>
      <c r="AR1036" s="1096"/>
      <c r="AS1036" s="1096"/>
      <c r="AT1036" s="1096"/>
      <c r="AU1036" s="1096"/>
      <c r="AV1036" s="1096"/>
      <c r="AW1036" s="1096"/>
      <c r="AX1036" s="1096"/>
      <c r="AY1036" s="1096"/>
    </row>
    <row r="1037" spans="1:51" x14ac:dyDescent="0.45">
      <c r="A1037" s="1096"/>
      <c r="B1037" s="1096"/>
      <c r="C1037" s="1096"/>
      <c r="D1037" s="1096"/>
      <c r="E1037" s="1096"/>
      <c r="F1037" s="1096"/>
      <c r="G1037" s="1096"/>
      <c r="H1037" s="1096"/>
      <c r="I1037" s="1096"/>
      <c r="J1037" s="1096"/>
      <c r="K1037" s="1096"/>
      <c r="L1037" s="1096"/>
      <c r="M1037" s="1096"/>
      <c r="N1037" s="1096"/>
      <c r="O1037" s="1096"/>
      <c r="P1037" s="1096"/>
      <c r="Q1037" s="1096"/>
      <c r="R1037" s="1096"/>
      <c r="S1037" s="1096"/>
      <c r="T1037" s="1096"/>
      <c r="U1037" s="1096"/>
      <c r="V1037" s="1096"/>
      <c r="W1037" s="1096"/>
      <c r="X1037" s="1096"/>
      <c r="Y1037" s="1096"/>
      <c r="Z1037" s="1096"/>
      <c r="AA1037" s="1096"/>
      <c r="AB1037" s="1096"/>
      <c r="AC1037" s="1096"/>
      <c r="AD1037" s="1096"/>
      <c r="AE1037" s="1096"/>
      <c r="AF1037" s="1096"/>
      <c r="AG1037" s="1096"/>
      <c r="AH1037" s="1096"/>
      <c r="AI1037" s="1096"/>
      <c r="AJ1037" s="1096"/>
      <c r="AK1037" s="1096"/>
      <c r="AL1037" s="1096"/>
      <c r="AM1037" s="1096"/>
      <c r="AN1037" s="1096"/>
      <c r="AO1037" s="1096"/>
      <c r="AP1037" s="1096"/>
      <c r="AQ1037" s="1096"/>
      <c r="AR1037" s="1096"/>
      <c r="AS1037" s="1096"/>
      <c r="AT1037" s="1096"/>
      <c r="AU1037" s="1096"/>
      <c r="AV1037" s="1096"/>
      <c r="AW1037" s="1096"/>
      <c r="AX1037" s="1096"/>
      <c r="AY1037" s="1096"/>
    </row>
    <row r="1038" spans="1:51" x14ac:dyDescent="0.45">
      <c r="A1038" s="1096"/>
      <c r="B1038" s="1096"/>
      <c r="C1038" s="1096"/>
      <c r="D1038" s="1096"/>
      <c r="E1038" s="1096"/>
      <c r="F1038" s="1096"/>
      <c r="G1038" s="1096"/>
      <c r="H1038" s="1096"/>
      <c r="I1038" s="1096"/>
      <c r="J1038" s="1096"/>
      <c r="K1038" s="1096"/>
      <c r="L1038" s="1096"/>
      <c r="M1038" s="1096"/>
      <c r="N1038" s="1096"/>
      <c r="O1038" s="1096"/>
      <c r="P1038" s="1096"/>
      <c r="Q1038" s="1096"/>
      <c r="R1038" s="1096"/>
      <c r="S1038" s="1096"/>
      <c r="T1038" s="1096"/>
      <c r="U1038" s="1096"/>
      <c r="V1038" s="1096"/>
      <c r="W1038" s="1096"/>
      <c r="X1038" s="1096"/>
      <c r="Y1038" s="1096"/>
      <c r="Z1038" s="1096"/>
      <c r="AA1038" s="1096"/>
      <c r="AB1038" s="1096"/>
      <c r="AC1038" s="1096"/>
      <c r="AD1038" s="1096"/>
      <c r="AE1038" s="1096"/>
      <c r="AF1038" s="1096"/>
      <c r="AG1038" s="1096"/>
      <c r="AH1038" s="1096"/>
      <c r="AI1038" s="1096"/>
      <c r="AJ1038" s="1096"/>
      <c r="AK1038" s="1096"/>
      <c r="AL1038" s="1096"/>
      <c r="AM1038" s="1096"/>
      <c r="AN1038" s="1096"/>
      <c r="AO1038" s="1096"/>
      <c r="AP1038" s="1096"/>
      <c r="AQ1038" s="1096"/>
      <c r="AR1038" s="1096"/>
      <c r="AS1038" s="1096"/>
      <c r="AT1038" s="1096"/>
      <c r="AU1038" s="1096"/>
      <c r="AV1038" s="1096"/>
      <c r="AW1038" s="1096"/>
      <c r="AX1038" s="1096"/>
      <c r="AY1038" s="1096"/>
    </row>
    <row r="1039" spans="1:51" x14ac:dyDescent="0.45">
      <c r="A1039" s="1096"/>
      <c r="B1039" s="1096"/>
      <c r="C1039" s="1096"/>
      <c r="D1039" s="1096"/>
      <c r="E1039" s="1096"/>
      <c r="F1039" s="1096"/>
      <c r="G1039" s="1096"/>
      <c r="H1039" s="1096"/>
      <c r="I1039" s="1096"/>
      <c r="J1039" s="1096"/>
      <c r="K1039" s="1096"/>
      <c r="L1039" s="1096"/>
      <c r="M1039" s="1096"/>
      <c r="N1039" s="1096"/>
      <c r="O1039" s="1096"/>
      <c r="P1039" s="1096"/>
      <c r="Q1039" s="1096"/>
      <c r="R1039" s="1096"/>
      <c r="S1039" s="1096"/>
      <c r="T1039" s="1096"/>
      <c r="U1039" s="1096"/>
      <c r="V1039" s="1096"/>
      <c r="W1039" s="1096"/>
      <c r="X1039" s="1096"/>
      <c r="Y1039" s="1096"/>
      <c r="Z1039" s="1096"/>
      <c r="AA1039" s="1096"/>
      <c r="AB1039" s="1096"/>
      <c r="AC1039" s="1096"/>
      <c r="AD1039" s="1096"/>
      <c r="AE1039" s="1096"/>
      <c r="AF1039" s="1096"/>
      <c r="AG1039" s="1096"/>
      <c r="AH1039" s="1096"/>
      <c r="AI1039" s="1096"/>
      <c r="AJ1039" s="1096"/>
      <c r="AK1039" s="1096"/>
      <c r="AL1039" s="1096"/>
      <c r="AM1039" s="1096"/>
      <c r="AN1039" s="1096"/>
      <c r="AO1039" s="1096"/>
      <c r="AP1039" s="1096"/>
      <c r="AQ1039" s="1096"/>
      <c r="AR1039" s="1096"/>
      <c r="AS1039" s="1096"/>
      <c r="AT1039" s="1096"/>
      <c r="AU1039" s="1096"/>
      <c r="AV1039" s="1096"/>
      <c r="AW1039" s="1096"/>
      <c r="AX1039" s="1096"/>
      <c r="AY1039" s="1096"/>
    </row>
    <row r="1040" spans="1:51" x14ac:dyDescent="0.45">
      <c r="A1040" s="1096"/>
      <c r="B1040" s="1096"/>
      <c r="C1040" s="1096"/>
      <c r="D1040" s="1096"/>
      <c r="E1040" s="1096"/>
      <c r="F1040" s="1096"/>
      <c r="G1040" s="1096"/>
      <c r="H1040" s="1096"/>
      <c r="I1040" s="1096"/>
      <c r="J1040" s="1096"/>
      <c r="K1040" s="1096"/>
      <c r="L1040" s="1096"/>
      <c r="M1040" s="1096"/>
      <c r="N1040" s="1096"/>
      <c r="O1040" s="1096"/>
      <c r="P1040" s="1096"/>
      <c r="Q1040" s="1096"/>
      <c r="R1040" s="1096"/>
      <c r="S1040" s="1096"/>
      <c r="T1040" s="1096"/>
      <c r="U1040" s="1096"/>
      <c r="V1040" s="1096"/>
      <c r="W1040" s="1096"/>
      <c r="X1040" s="1096"/>
      <c r="Y1040" s="1096"/>
      <c r="Z1040" s="1096"/>
      <c r="AA1040" s="1096"/>
      <c r="AB1040" s="1096"/>
      <c r="AC1040" s="1096"/>
      <c r="AD1040" s="1096"/>
      <c r="AE1040" s="1096"/>
      <c r="AF1040" s="1096"/>
      <c r="AG1040" s="1096"/>
      <c r="AH1040" s="1096"/>
      <c r="AI1040" s="1096"/>
      <c r="AJ1040" s="1096"/>
      <c r="AK1040" s="1096"/>
      <c r="AL1040" s="1096"/>
      <c r="AM1040" s="1096"/>
      <c r="AN1040" s="1096"/>
      <c r="AO1040" s="1096"/>
      <c r="AP1040" s="1096"/>
      <c r="AQ1040" s="1096"/>
      <c r="AR1040" s="1096"/>
      <c r="AS1040" s="1096"/>
      <c r="AT1040" s="1096"/>
      <c r="AU1040" s="1096"/>
      <c r="AV1040" s="1096"/>
      <c r="AW1040" s="1096"/>
      <c r="AX1040" s="1096"/>
      <c r="AY1040" s="1096"/>
    </row>
    <row r="1041" spans="1:51" x14ac:dyDescent="0.45">
      <c r="A1041" s="1096"/>
      <c r="B1041" s="1096"/>
      <c r="C1041" s="1096"/>
      <c r="D1041" s="1096"/>
      <c r="E1041" s="1096"/>
      <c r="F1041" s="1096"/>
      <c r="G1041" s="1096"/>
      <c r="H1041" s="1096"/>
      <c r="I1041" s="1096"/>
      <c r="J1041" s="1096"/>
      <c r="K1041" s="1096"/>
      <c r="L1041" s="1096"/>
      <c r="M1041" s="1096"/>
      <c r="N1041" s="1096"/>
      <c r="O1041" s="1096"/>
      <c r="P1041" s="1096"/>
      <c r="Q1041" s="1096"/>
      <c r="R1041" s="1096"/>
      <c r="S1041" s="1096"/>
      <c r="T1041" s="1096"/>
      <c r="U1041" s="1096"/>
      <c r="V1041" s="1096"/>
      <c r="W1041" s="1096"/>
      <c r="X1041" s="1096"/>
      <c r="Y1041" s="1096"/>
      <c r="Z1041" s="1096"/>
      <c r="AA1041" s="1096"/>
      <c r="AB1041" s="1096"/>
      <c r="AC1041" s="1096"/>
      <c r="AD1041" s="1096"/>
      <c r="AE1041" s="1096"/>
      <c r="AF1041" s="1096"/>
      <c r="AG1041" s="1096"/>
      <c r="AH1041" s="1096"/>
      <c r="AI1041" s="1096"/>
      <c r="AJ1041" s="1096"/>
      <c r="AK1041" s="1096"/>
      <c r="AL1041" s="1096"/>
      <c r="AM1041" s="1096"/>
      <c r="AN1041" s="1096"/>
      <c r="AO1041" s="1096"/>
      <c r="AP1041" s="1096"/>
      <c r="AQ1041" s="1096"/>
      <c r="AR1041" s="1096"/>
      <c r="AS1041" s="1096"/>
      <c r="AT1041" s="1096"/>
      <c r="AU1041" s="1096"/>
      <c r="AV1041" s="1096"/>
      <c r="AW1041" s="1096"/>
      <c r="AX1041" s="1096"/>
      <c r="AY1041" s="1096"/>
    </row>
    <row r="1042" spans="1:51" x14ac:dyDescent="0.45">
      <c r="A1042" s="1096"/>
      <c r="B1042" s="1096"/>
      <c r="C1042" s="1096"/>
      <c r="D1042" s="1096"/>
      <c r="E1042" s="1096"/>
      <c r="F1042" s="1096"/>
      <c r="G1042" s="1096"/>
      <c r="H1042" s="1096"/>
      <c r="I1042" s="1096"/>
      <c r="J1042" s="1096"/>
      <c r="K1042" s="1096"/>
      <c r="L1042" s="1096"/>
      <c r="M1042" s="1096"/>
      <c r="N1042" s="1096"/>
      <c r="O1042" s="1096"/>
      <c r="P1042" s="1096"/>
      <c r="Q1042" s="1096"/>
      <c r="R1042" s="1096"/>
      <c r="S1042" s="1096"/>
      <c r="T1042" s="1096"/>
      <c r="U1042" s="1096"/>
      <c r="V1042" s="1096"/>
      <c r="W1042" s="1096"/>
      <c r="X1042" s="1096"/>
      <c r="Y1042" s="1096"/>
      <c r="Z1042" s="1096"/>
      <c r="AA1042" s="1096"/>
      <c r="AB1042" s="1096"/>
      <c r="AC1042" s="1096"/>
      <c r="AD1042" s="1096"/>
      <c r="AE1042" s="1096"/>
      <c r="AF1042" s="1096"/>
      <c r="AG1042" s="1096"/>
      <c r="AH1042" s="1096"/>
      <c r="AI1042" s="1096"/>
      <c r="AJ1042" s="1096"/>
      <c r="AK1042" s="1096"/>
      <c r="AL1042" s="1096"/>
      <c r="AM1042" s="1096"/>
      <c r="AN1042" s="1096"/>
      <c r="AO1042" s="1096"/>
      <c r="AP1042" s="1096"/>
      <c r="AQ1042" s="1096"/>
      <c r="AR1042" s="1096"/>
      <c r="AS1042" s="1096"/>
      <c r="AT1042" s="1096"/>
      <c r="AU1042" s="1096"/>
      <c r="AV1042" s="1096"/>
      <c r="AW1042" s="1096"/>
      <c r="AX1042" s="1096"/>
      <c r="AY1042" s="1096"/>
    </row>
    <row r="1043" spans="1:51" x14ac:dyDescent="0.45">
      <c r="A1043" s="1096"/>
      <c r="B1043" s="1096"/>
      <c r="C1043" s="1096"/>
      <c r="D1043" s="1096"/>
      <c r="E1043" s="1096"/>
      <c r="F1043" s="1096"/>
      <c r="G1043" s="1096"/>
      <c r="H1043" s="1096"/>
      <c r="I1043" s="1096"/>
      <c r="J1043" s="1096"/>
      <c r="K1043" s="1096"/>
      <c r="L1043" s="1096"/>
      <c r="M1043" s="1096"/>
      <c r="N1043" s="1096"/>
      <c r="O1043" s="1096"/>
      <c r="P1043" s="1096"/>
      <c r="Q1043" s="1096"/>
      <c r="R1043" s="1096"/>
      <c r="S1043" s="1096"/>
      <c r="T1043" s="1096"/>
      <c r="U1043" s="1096"/>
      <c r="V1043" s="1096"/>
      <c r="W1043" s="1096"/>
      <c r="X1043" s="1096"/>
      <c r="Y1043" s="1096"/>
      <c r="Z1043" s="1096"/>
      <c r="AA1043" s="1096"/>
      <c r="AB1043" s="1096"/>
      <c r="AC1043" s="1096"/>
      <c r="AD1043" s="1096"/>
      <c r="AE1043" s="1096"/>
      <c r="AF1043" s="1096"/>
      <c r="AG1043" s="1096"/>
      <c r="AH1043" s="1096"/>
      <c r="AI1043" s="1096"/>
      <c r="AJ1043" s="1096"/>
      <c r="AK1043" s="1096"/>
      <c r="AL1043" s="1096"/>
      <c r="AM1043" s="1096"/>
      <c r="AN1043" s="1096"/>
      <c r="AO1043" s="1096"/>
      <c r="AP1043" s="1096"/>
      <c r="AQ1043" s="1096"/>
      <c r="AR1043" s="1096"/>
      <c r="AS1043" s="1096"/>
      <c r="AT1043" s="1096"/>
      <c r="AU1043" s="1096"/>
      <c r="AV1043" s="1096"/>
      <c r="AW1043" s="1096"/>
      <c r="AX1043" s="1096"/>
      <c r="AY1043" s="1096"/>
    </row>
    <row r="1044" spans="1:51" x14ac:dyDescent="0.45">
      <c r="A1044" s="1096"/>
      <c r="B1044" s="1096"/>
      <c r="C1044" s="1096"/>
      <c r="D1044" s="1096"/>
      <c r="E1044" s="1096"/>
      <c r="F1044" s="1096"/>
      <c r="G1044" s="1096"/>
      <c r="H1044" s="1096"/>
      <c r="I1044" s="1096"/>
      <c r="J1044" s="1096"/>
      <c r="K1044" s="1096"/>
      <c r="L1044" s="1096"/>
      <c r="M1044" s="1096"/>
      <c r="N1044" s="1096"/>
      <c r="O1044" s="1096"/>
      <c r="P1044" s="1096"/>
      <c r="Q1044" s="1096"/>
      <c r="R1044" s="1096"/>
      <c r="S1044" s="1096"/>
      <c r="T1044" s="1096"/>
      <c r="U1044" s="1096"/>
      <c r="V1044" s="1096"/>
      <c r="W1044" s="1096"/>
      <c r="X1044" s="1096"/>
      <c r="Y1044" s="1096"/>
      <c r="Z1044" s="1096"/>
      <c r="AA1044" s="1096"/>
      <c r="AB1044" s="1096"/>
      <c r="AC1044" s="1096"/>
      <c r="AD1044" s="1096"/>
      <c r="AE1044" s="1096"/>
      <c r="AF1044" s="1096"/>
      <c r="AG1044" s="1096"/>
      <c r="AH1044" s="1096"/>
      <c r="AI1044" s="1096"/>
      <c r="AJ1044" s="1096"/>
      <c r="AK1044" s="1096"/>
      <c r="AL1044" s="1096"/>
      <c r="AM1044" s="1096"/>
      <c r="AN1044" s="1096"/>
      <c r="AO1044" s="1096"/>
      <c r="AP1044" s="1096"/>
      <c r="AQ1044" s="1096"/>
      <c r="AR1044" s="1096"/>
      <c r="AS1044" s="1096"/>
      <c r="AT1044" s="1096"/>
      <c r="AU1044" s="1096"/>
      <c r="AV1044" s="1096"/>
      <c r="AW1044" s="1096"/>
      <c r="AX1044" s="1096"/>
      <c r="AY1044" s="1096"/>
    </row>
    <row r="1045" spans="1:51" x14ac:dyDescent="0.45">
      <c r="A1045" s="1096"/>
      <c r="B1045" s="1096"/>
      <c r="C1045" s="1096"/>
      <c r="D1045" s="1096"/>
      <c r="E1045" s="1096"/>
      <c r="F1045" s="1096"/>
      <c r="G1045" s="1096"/>
      <c r="H1045" s="1096"/>
      <c r="I1045" s="1096"/>
      <c r="J1045" s="1096"/>
      <c r="K1045" s="1096"/>
      <c r="L1045" s="1096"/>
      <c r="M1045" s="1096"/>
      <c r="N1045" s="1096"/>
      <c r="O1045" s="1096"/>
      <c r="P1045" s="1096"/>
      <c r="Q1045" s="1096"/>
      <c r="R1045" s="1096"/>
      <c r="S1045" s="1096"/>
      <c r="T1045" s="1096"/>
      <c r="U1045" s="1096"/>
      <c r="V1045" s="1096"/>
      <c r="W1045" s="1096"/>
      <c r="X1045" s="1096"/>
      <c r="Y1045" s="1096"/>
      <c r="Z1045" s="1096"/>
      <c r="AA1045" s="1096"/>
      <c r="AB1045" s="1096"/>
      <c r="AC1045" s="1096"/>
      <c r="AD1045" s="1096"/>
      <c r="AE1045" s="1096"/>
      <c r="AF1045" s="1096"/>
      <c r="AG1045" s="1096"/>
      <c r="AH1045" s="1096"/>
      <c r="AI1045" s="1096"/>
      <c r="AJ1045" s="1096"/>
      <c r="AK1045" s="1096"/>
      <c r="AL1045" s="1096"/>
      <c r="AM1045" s="1096"/>
      <c r="AN1045" s="1096"/>
      <c r="AO1045" s="1096"/>
      <c r="AP1045" s="1096"/>
      <c r="AQ1045" s="1096"/>
      <c r="AR1045" s="1096"/>
      <c r="AS1045" s="1096"/>
      <c r="AT1045" s="1096"/>
      <c r="AU1045" s="1096"/>
      <c r="AV1045" s="1096"/>
      <c r="AW1045" s="1096"/>
      <c r="AX1045" s="1096"/>
      <c r="AY1045" s="1096"/>
    </row>
    <row r="1046" spans="1:51" x14ac:dyDescent="0.45">
      <c r="A1046" s="1096"/>
      <c r="B1046" s="1096"/>
      <c r="C1046" s="1096"/>
      <c r="D1046" s="1096"/>
      <c r="E1046" s="1096"/>
      <c r="F1046" s="1096"/>
      <c r="G1046" s="1096"/>
      <c r="H1046" s="1096"/>
      <c r="I1046" s="1096"/>
      <c r="J1046" s="1096"/>
      <c r="K1046" s="1096"/>
      <c r="L1046" s="1096"/>
      <c r="M1046" s="1096"/>
      <c r="N1046" s="1096"/>
      <c r="O1046" s="1096"/>
      <c r="P1046" s="1096"/>
      <c r="Q1046" s="1096"/>
      <c r="R1046" s="1096"/>
      <c r="S1046" s="1096"/>
      <c r="T1046" s="1096"/>
      <c r="U1046" s="1096"/>
      <c r="V1046" s="1096"/>
      <c r="W1046" s="1096"/>
      <c r="X1046" s="1096"/>
      <c r="Y1046" s="1096"/>
      <c r="Z1046" s="1096"/>
      <c r="AA1046" s="1096"/>
      <c r="AB1046" s="1096"/>
      <c r="AC1046" s="1096"/>
      <c r="AD1046" s="1096"/>
      <c r="AE1046" s="1096"/>
      <c r="AF1046" s="1096"/>
      <c r="AG1046" s="1096"/>
      <c r="AH1046" s="1096"/>
      <c r="AI1046" s="1096"/>
      <c r="AJ1046" s="1096"/>
      <c r="AK1046" s="1096"/>
      <c r="AL1046" s="1096"/>
      <c r="AM1046" s="1096"/>
      <c r="AN1046" s="1096"/>
      <c r="AO1046" s="1096"/>
      <c r="AP1046" s="1096"/>
      <c r="AQ1046" s="1096"/>
      <c r="AR1046" s="1096"/>
      <c r="AS1046" s="1096"/>
      <c r="AT1046" s="1096"/>
      <c r="AU1046" s="1096"/>
      <c r="AV1046" s="1096"/>
      <c r="AW1046" s="1096"/>
      <c r="AX1046" s="1096"/>
      <c r="AY1046" s="1096"/>
    </row>
    <row r="1047" spans="1:51" x14ac:dyDescent="0.45">
      <c r="A1047" s="1096"/>
      <c r="B1047" s="1096"/>
      <c r="C1047" s="1096"/>
      <c r="D1047" s="1096"/>
      <c r="E1047" s="1096"/>
      <c r="F1047" s="1096"/>
      <c r="G1047" s="1096"/>
      <c r="H1047" s="1096"/>
      <c r="I1047" s="1096"/>
      <c r="J1047" s="1096"/>
      <c r="K1047" s="1096"/>
      <c r="L1047" s="1096"/>
      <c r="M1047" s="1096"/>
      <c r="N1047" s="1096"/>
      <c r="O1047" s="1096"/>
      <c r="P1047" s="1096"/>
      <c r="Q1047" s="1096"/>
      <c r="R1047" s="1096"/>
      <c r="S1047" s="1096"/>
      <c r="T1047" s="1096"/>
      <c r="U1047" s="1096"/>
      <c r="V1047" s="1096"/>
      <c r="W1047" s="1096"/>
      <c r="X1047" s="1096"/>
      <c r="Y1047" s="1096"/>
      <c r="Z1047" s="1096"/>
      <c r="AA1047" s="1096"/>
      <c r="AB1047" s="1096"/>
      <c r="AC1047" s="1096"/>
      <c r="AD1047" s="1096"/>
      <c r="AE1047" s="1096"/>
      <c r="AF1047" s="1096"/>
      <c r="AG1047" s="1096"/>
      <c r="AH1047" s="1096"/>
      <c r="AI1047" s="1096"/>
      <c r="AJ1047" s="1096"/>
      <c r="AK1047" s="1096"/>
      <c r="AL1047" s="1096"/>
      <c r="AM1047" s="1096"/>
      <c r="AN1047" s="1096"/>
      <c r="AO1047" s="1096"/>
      <c r="AP1047" s="1096"/>
      <c r="AQ1047" s="1096"/>
      <c r="AR1047" s="1096"/>
      <c r="AS1047" s="1096"/>
      <c r="AT1047" s="1096"/>
      <c r="AU1047" s="1096"/>
      <c r="AV1047" s="1096"/>
      <c r="AW1047" s="1096"/>
      <c r="AX1047" s="1096"/>
      <c r="AY1047" s="1096"/>
    </row>
    <row r="1048" spans="1:51" x14ac:dyDescent="0.45">
      <c r="A1048" s="1096"/>
      <c r="B1048" s="1096"/>
      <c r="C1048" s="1096"/>
      <c r="D1048" s="1096"/>
      <c r="E1048" s="1096"/>
      <c r="F1048" s="1096"/>
      <c r="G1048" s="1096"/>
      <c r="H1048" s="1096"/>
      <c r="I1048" s="1096"/>
      <c r="J1048" s="1096"/>
      <c r="K1048" s="1096"/>
      <c r="L1048" s="1096"/>
      <c r="M1048" s="1096"/>
      <c r="N1048" s="1096"/>
      <c r="O1048" s="1096"/>
      <c r="P1048" s="1096"/>
      <c r="Q1048" s="1096"/>
      <c r="R1048" s="1096"/>
      <c r="S1048" s="1096"/>
      <c r="T1048" s="1096"/>
      <c r="U1048" s="1096"/>
      <c r="V1048" s="1096"/>
      <c r="W1048" s="1096"/>
      <c r="X1048" s="1096"/>
      <c r="Y1048" s="1096"/>
      <c r="Z1048" s="1096"/>
      <c r="AA1048" s="1096"/>
      <c r="AB1048" s="1096"/>
      <c r="AC1048" s="1096"/>
      <c r="AD1048" s="1096"/>
      <c r="AE1048" s="1096"/>
      <c r="AF1048" s="1096"/>
      <c r="AG1048" s="1096"/>
      <c r="AH1048" s="1096"/>
      <c r="AI1048" s="1096"/>
      <c r="AJ1048" s="1096"/>
      <c r="AK1048" s="1096"/>
      <c r="AL1048" s="1096"/>
      <c r="AM1048" s="1096"/>
      <c r="AN1048" s="1096"/>
      <c r="AO1048" s="1096"/>
      <c r="AP1048" s="1096"/>
      <c r="AQ1048" s="1096"/>
      <c r="AR1048" s="1096"/>
      <c r="AS1048" s="1096"/>
      <c r="AT1048" s="1096"/>
      <c r="AU1048" s="1096"/>
      <c r="AV1048" s="1096"/>
      <c r="AW1048" s="1096"/>
      <c r="AX1048" s="1096"/>
      <c r="AY1048" s="1096"/>
    </row>
    <row r="1049" spans="1:51" x14ac:dyDescent="0.45">
      <c r="A1049" s="1096"/>
      <c r="B1049" s="1096"/>
      <c r="C1049" s="1096"/>
      <c r="D1049" s="1096"/>
      <c r="E1049" s="1096"/>
      <c r="F1049" s="1096"/>
      <c r="G1049" s="1096"/>
      <c r="H1049" s="1096"/>
      <c r="I1049" s="1096"/>
      <c r="J1049" s="1096"/>
      <c r="K1049" s="1096"/>
      <c r="L1049" s="1096"/>
      <c r="M1049" s="1096"/>
      <c r="N1049" s="1096"/>
      <c r="O1049" s="1096"/>
      <c r="P1049" s="1096"/>
      <c r="Q1049" s="1096"/>
      <c r="R1049" s="1096"/>
      <c r="S1049" s="1096"/>
      <c r="T1049" s="1096"/>
      <c r="U1049" s="1096"/>
      <c r="V1049" s="1096"/>
      <c r="W1049" s="1096"/>
      <c r="X1049" s="1096"/>
      <c r="Y1049" s="1096"/>
      <c r="Z1049" s="1096"/>
      <c r="AA1049" s="1096"/>
      <c r="AB1049" s="1096"/>
      <c r="AC1049" s="1096"/>
      <c r="AD1049" s="1096"/>
      <c r="AE1049" s="1096"/>
      <c r="AF1049" s="1096"/>
      <c r="AG1049" s="1096"/>
      <c r="AH1049" s="1096"/>
      <c r="AI1049" s="1096"/>
      <c r="AJ1049" s="1096"/>
      <c r="AK1049" s="1096"/>
      <c r="AL1049" s="1096"/>
      <c r="AM1049" s="1096"/>
      <c r="AN1049" s="1096"/>
      <c r="AO1049" s="1096"/>
      <c r="AP1049" s="1096"/>
      <c r="AQ1049" s="1096"/>
      <c r="AR1049" s="1096"/>
      <c r="AS1049" s="1096"/>
      <c r="AT1049" s="1096"/>
      <c r="AU1049" s="1096"/>
      <c r="AV1049" s="1096"/>
      <c r="AW1049" s="1096"/>
      <c r="AX1049" s="1096"/>
      <c r="AY1049" s="1096"/>
    </row>
    <row r="1050" spans="1:51" x14ac:dyDescent="0.45">
      <c r="A1050" s="1096"/>
      <c r="B1050" s="1096"/>
      <c r="C1050" s="1096"/>
      <c r="D1050" s="1096"/>
      <c r="E1050" s="1096"/>
      <c r="F1050" s="1096"/>
      <c r="G1050" s="1096"/>
      <c r="H1050" s="1096"/>
      <c r="I1050" s="1096"/>
      <c r="J1050" s="1096"/>
      <c r="K1050" s="1096"/>
      <c r="L1050" s="1096"/>
      <c r="M1050" s="1096"/>
      <c r="N1050" s="1096"/>
      <c r="O1050" s="1096"/>
      <c r="P1050" s="1096"/>
      <c r="Q1050" s="1096"/>
      <c r="R1050" s="1096"/>
      <c r="S1050" s="1096"/>
      <c r="T1050" s="1096"/>
      <c r="U1050" s="1096"/>
      <c r="V1050" s="1096"/>
      <c r="W1050" s="1096"/>
      <c r="X1050" s="1096"/>
      <c r="Y1050" s="1096"/>
      <c r="Z1050" s="1096"/>
      <c r="AA1050" s="1096"/>
      <c r="AB1050" s="1096"/>
      <c r="AC1050" s="1096"/>
      <c r="AD1050" s="1096"/>
      <c r="AE1050" s="1096"/>
      <c r="AF1050" s="1096"/>
      <c r="AG1050" s="1096"/>
      <c r="AH1050" s="1096"/>
      <c r="AI1050" s="1096"/>
      <c r="AJ1050" s="1096"/>
      <c r="AK1050" s="1096"/>
      <c r="AL1050" s="1096"/>
      <c r="AM1050" s="1096"/>
      <c r="AN1050" s="1096"/>
      <c r="AO1050" s="1096"/>
      <c r="AP1050" s="1096"/>
      <c r="AQ1050" s="1096"/>
      <c r="AR1050" s="1096"/>
      <c r="AS1050" s="1096"/>
      <c r="AT1050" s="1096"/>
      <c r="AU1050" s="1096"/>
      <c r="AV1050" s="1096"/>
      <c r="AW1050" s="1096"/>
      <c r="AX1050" s="1096"/>
      <c r="AY1050" s="1096"/>
    </row>
    <row r="1051" spans="1:51" x14ac:dyDescent="0.45">
      <c r="A1051" s="1096"/>
      <c r="B1051" s="1096"/>
      <c r="C1051" s="1096"/>
      <c r="D1051" s="1096"/>
      <c r="E1051" s="1096"/>
      <c r="F1051" s="1096"/>
      <c r="G1051" s="1096"/>
      <c r="H1051" s="1096"/>
      <c r="I1051" s="1096"/>
      <c r="J1051" s="1096"/>
      <c r="K1051" s="1096"/>
      <c r="L1051" s="1096"/>
      <c r="M1051" s="1096"/>
      <c r="N1051" s="1096"/>
      <c r="O1051" s="1096"/>
      <c r="P1051" s="1096"/>
      <c r="Q1051" s="1096"/>
      <c r="R1051" s="1096"/>
      <c r="S1051" s="1096"/>
      <c r="T1051" s="1096"/>
      <c r="U1051" s="1096"/>
      <c r="V1051" s="1096"/>
      <c r="W1051" s="1096"/>
      <c r="X1051" s="1096"/>
      <c r="Y1051" s="1096"/>
      <c r="Z1051" s="1096"/>
      <c r="AA1051" s="1096"/>
      <c r="AB1051" s="1096"/>
      <c r="AC1051" s="1096"/>
      <c r="AD1051" s="1096"/>
      <c r="AE1051" s="1096"/>
      <c r="AF1051" s="1096"/>
      <c r="AG1051" s="1096"/>
      <c r="AH1051" s="1096"/>
      <c r="AI1051" s="1096"/>
      <c r="AJ1051" s="1096"/>
      <c r="AK1051" s="1096"/>
      <c r="AL1051" s="1096"/>
      <c r="AM1051" s="1096"/>
      <c r="AN1051" s="1096"/>
      <c r="AO1051" s="1096"/>
      <c r="AP1051" s="1096"/>
      <c r="AQ1051" s="1096"/>
      <c r="AR1051" s="1096"/>
      <c r="AS1051" s="1096"/>
      <c r="AT1051" s="1096"/>
      <c r="AU1051" s="1096"/>
      <c r="AV1051" s="1096"/>
      <c r="AW1051" s="1096"/>
      <c r="AX1051" s="1096"/>
      <c r="AY1051" s="1096"/>
    </row>
    <row r="1052" spans="1:51" x14ac:dyDescent="0.45">
      <c r="A1052" s="1096"/>
      <c r="B1052" s="1096"/>
      <c r="C1052" s="1096"/>
      <c r="D1052" s="1096"/>
      <c r="E1052" s="1096"/>
      <c r="F1052" s="1096"/>
      <c r="G1052" s="1096"/>
      <c r="H1052" s="1096"/>
      <c r="I1052" s="1096"/>
      <c r="J1052" s="1096"/>
      <c r="K1052" s="1096"/>
      <c r="L1052" s="1096"/>
      <c r="M1052" s="1096"/>
      <c r="N1052" s="1096"/>
      <c r="O1052" s="1096"/>
      <c r="P1052" s="1096"/>
      <c r="Q1052" s="1096"/>
      <c r="R1052" s="1096"/>
      <c r="S1052" s="1096"/>
      <c r="T1052" s="1096"/>
      <c r="U1052" s="1096"/>
      <c r="V1052" s="1096"/>
      <c r="W1052" s="1096"/>
      <c r="X1052" s="1096"/>
      <c r="Y1052" s="1096"/>
      <c r="Z1052" s="1096"/>
      <c r="AA1052" s="1096"/>
      <c r="AB1052" s="1096"/>
      <c r="AC1052" s="1096"/>
      <c r="AD1052" s="1096"/>
      <c r="AE1052" s="1096"/>
      <c r="AF1052" s="1096"/>
      <c r="AG1052" s="1096"/>
      <c r="AH1052" s="1096"/>
      <c r="AI1052" s="1096"/>
      <c r="AJ1052" s="1096"/>
      <c r="AK1052" s="1096"/>
      <c r="AL1052" s="1096"/>
      <c r="AM1052" s="1096"/>
      <c r="AN1052" s="1096"/>
      <c r="AO1052" s="1096"/>
      <c r="AP1052" s="1096"/>
      <c r="AQ1052" s="1096"/>
      <c r="AR1052" s="1096"/>
      <c r="AS1052" s="1096"/>
      <c r="AT1052" s="1096"/>
      <c r="AU1052" s="1096"/>
      <c r="AV1052" s="1096"/>
      <c r="AW1052" s="1096"/>
      <c r="AX1052" s="1096"/>
      <c r="AY1052" s="1096"/>
    </row>
    <row r="1053" spans="1:51" x14ac:dyDescent="0.45">
      <c r="A1053" s="1096"/>
      <c r="B1053" s="1096"/>
      <c r="C1053" s="1096"/>
      <c r="D1053" s="1096"/>
      <c r="E1053" s="1096"/>
      <c r="F1053" s="1096"/>
      <c r="G1053" s="1096"/>
      <c r="H1053" s="1096"/>
      <c r="I1053" s="1096"/>
      <c r="J1053" s="1096"/>
      <c r="K1053" s="1096"/>
      <c r="L1053" s="1096"/>
      <c r="M1053" s="1096"/>
      <c r="N1053" s="1096"/>
      <c r="O1053" s="1096"/>
      <c r="P1053" s="1096"/>
      <c r="Q1053" s="1096"/>
      <c r="R1053" s="1096"/>
      <c r="S1053" s="1096"/>
      <c r="T1053" s="1096"/>
      <c r="U1053" s="1096"/>
      <c r="V1053" s="1096"/>
      <c r="W1053" s="1096"/>
      <c r="X1053" s="1096"/>
      <c r="Y1053" s="1096"/>
      <c r="Z1053" s="1096"/>
      <c r="AA1053" s="1096"/>
      <c r="AB1053" s="1096"/>
      <c r="AC1053" s="1096"/>
      <c r="AD1053" s="1096"/>
      <c r="AE1053" s="1096"/>
      <c r="AF1053" s="1096"/>
      <c r="AG1053" s="1096"/>
      <c r="AH1053" s="1096"/>
      <c r="AI1053" s="1096"/>
      <c r="AJ1053" s="1096"/>
      <c r="AK1053" s="1096"/>
      <c r="AL1053" s="1096"/>
      <c r="AM1053" s="1096"/>
      <c r="AN1053" s="1096"/>
      <c r="AO1053" s="1096"/>
      <c r="AP1053" s="1096"/>
      <c r="AQ1053" s="1096"/>
      <c r="AR1053" s="1096"/>
      <c r="AS1053" s="1096"/>
      <c r="AT1053" s="1096"/>
      <c r="AU1053" s="1096"/>
      <c r="AV1053" s="1096"/>
      <c r="AW1053" s="1096"/>
      <c r="AX1053" s="1096"/>
      <c r="AY1053" s="1096"/>
    </row>
    <row r="1054" spans="1:51" x14ac:dyDescent="0.45">
      <c r="A1054" s="1096"/>
      <c r="B1054" s="1096"/>
      <c r="C1054" s="1096"/>
      <c r="D1054" s="1096"/>
      <c r="E1054" s="1096"/>
      <c r="F1054" s="1096"/>
      <c r="G1054" s="1096"/>
      <c r="H1054" s="1096"/>
      <c r="I1054" s="1096"/>
      <c r="J1054" s="1096"/>
      <c r="K1054" s="1096"/>
      <c r="L1054" s="1096"/>
      <c r="M1054" s="1096"/>
      <c r="N1054" s="1096"/>
      <c r="O1054" s="1096"/>
      <c r="P1054" s="1096"/>
      <c r="Q1054" s="1096"/>
      <c r="R1054" s="1096"/>
      <c r="S1054" s="1096"/>
      <c r="T1054" s="1096"/>
      <c r="U1054" s="1096"/>
      <c r="V1054" s="1096"/>
      <c r="W1054" s="1096"/>
      <c r="X1054" s="1096"/>
      <c r="Y1054" s="1096"/>
      <c r="Z1054" s="1096"/>
      <c r="AA1054" s="1096"/>
      <c r="AB1054" s="1096"/>
      <c r="AC1054" s="1096"/>
      <c r="AD1054" s="1096"/>
      <c r="AE1054" s="1096"/>
      <c r="AF1054" s="1096"/>
      <c r="AG1054" s="1096"/>
      <c r="AH1054" s="1096"/>
      <c r="AI1054" s="1096"/>
      <c r="AJ1054" s="1096"/>
      <c r="AK1054" s="1096"/>
      <c r="AL1054" s="1096"/>
      <c r="AM1054" s="1096"/>
      <c r="AN1054" s="1096"/>
      <c r="AO1054" s="1096"/>
      <c r="AP1054" s="1096"/>
      <c r="AQ1054" s="1096"/>
      <c r="AR1054" s="1096"/>
      <c r="AS1054" s="1096"/>
      <c r="AT1054" s="1096"/>
      <c r="AU1054" s="1096"/>
      <c r="AV1054" s="1096"/>
      <c r="AW1054" s="1096"/>
      <c r="AX1054" s="1096"/>
      <c r="AY1054" s="1096"/>
    </row>
    <row r="1055" spans="1:51" x14ac:dyDescent="0.45">
      <c r="A1055" s="1096"/>
      <c r="B1055" s="1096"/>
      <c r="C1055" s="1096"/>
      <c r="D1055" s="1096"/>
      <c r="E1055" s="1096"/>
      <c r="F1055" s="1096"/>
      <c r="G1055" s="1096"/>
      <c r="H1055" s="1096"/>
      <c r="I1055" s="1096"/>
      <c r="J1055" s="1096"/>
      <c r="K1055" s="1096"/>
      <c r="L1055" s="1096"/>
      <c r="M1055" s="1096"/>
      <c r="N1055" s="1096"/>
      <c r="O1055" s="1096"/>
      <c r="P1055" s="1096"/>
      <c r="Q1055" s="1096"/>
      <c r="R1055" s="1096"/>
      <c r="S1055" s="1096"/>
      <c r="T1055" s="1096"/>
      <c r="U1055" s="1096"/>
      <c r="V1055" s="1096"/>
      <c r="W1055" s="1096"/>
      <c r="X1055" s="1096"/>
      <c r="Y1055" s="1096"/>
      <c r="Z1055" s="1096"/>
      <c r="AA1055" s="1096"/>
      <c r="AB1055" s="1096"/>
      <c r="AC1055" s="1096"/>
      <c r="AD1055" s="1096"/>
      <c r="AE1055" s="1096"/>
      <c r="AF1055" s="1096"/>
      <c r="AG1055" s="1096"/>
      <c r="AH1055" s="1096"/>
      <c r="AI1055" s="1096"/>
      <c r="AJ1055" s="1096"/>
      <c r="AK1055" s="1096"/>
      <c r="AL1055" s="1096"/>
      <c r="AM1055" s="1096"/>
      <c r="AN1055" s="1096"/>
      <c r="AO1055" s="1096"/>
      <c r="AP1055" s="1096"/>
      <c r="AQ1055" s="1096"/>
      <c r="AR1055" s="1096"/>
      <c r="AS1055" s="1096"/>
      <c r="AT1055" s="1096"/>
      <c r="AU1055" s="1096"/>
      <c r="AV1055" s="1096"/>
      <c r="AW1055" s="1096"/>
      <c r="AX1055" s="1096"/>
      <c r="AY1055" s="1096"/>
    </row>
    <row r="1056" spans="1:51" x14ac:dyDescent="0.45">
      <c r="A1056" s="1096"/>
      <c r="B1056" s="1096"/>
      <c r="C1056" s="1096"/>
      <c r="D1056" s="1096"/>
      <c r="E1056" s="1096"/>
      <c r="F1056" s="1096"/>
      <c r="G1056" s="1096"/>
      <c r="H1056" s="1096"/>
      <c r="I1056" s="1096"/>
      <c r="J1056" s="1096"/>
      <c r="K1056" s="1096"/>
      <c r="L1056" s="1096"/>
      <c r="M1056" s="1096"/>
      <c r="N1056" s="1096"/>
      <c r="O1056" s="1096"/>
      <c r="P1056" s="1096"/>
      <c r="Q1056" s="1096"/>
      <c r="R1056" s="1096"/>
      <c r="S1056" s="1096"/>
      <c r="T1056" s="1096"/>
      <c r="U1056" s="1096"/>
      <c r="V1056" s="1096"/>
      <c r="W1056" s="1096"/>
      <c r="X1056" s="1096"/>
      <c r="Y1056" s="1096"/>
      <c r="Z1056" s="1096"/>
      <c r="AA1056" s="1096"/>
      <c r="AB1056" s="1096"/>
      <c r="AC1056" s="1096"/>
      <c r="AD1056" s="1096"/>
      <c r="AE1056" s="1096"/>
      <c r="AF1056" s="1096"/>
      <c r="AG1056" s="1096"/>
      <c r="AH1056" s="1096"/>
      <c r="AI1056" s="1096"/>
      <c r="AJ1056" s="1096"/>
      <c r="AK1056" s="1096"/>
      <c r="AL1056" s="1096"/>
      <c r="AM1056" s="1096"/>
      <c r="AN1056" s="1096"/>
      <c r="AO1056" s="1096"/>
      <c r="AP1056" s="1096"/>
      <c r="AQ1056" s="1096"/>
      <c r="AR1056" s="1096"/>
      <c r="AS1056" s="1096"/>
      <c r="AT1056" s="1096"/>
      <c r="AU1056" s="1096"/>
      <c r="AV1056" s="1096"/>
      <c r="AW1056" s="1096"/>
      <c r="AX1056" s="1096"/>
      <c r="AY1056" s="1096"/>
    </row>
    <row r="1057" spans="1:51" x14ac:dyDescent="0.45">
      <c r="A1057" s="1096"/>
      <c r="B1057" s="1096"/>
      <c r="C1057" s="1096"/>
      <c r="D1057" s="1096"/>
      <c r="E1057" s="1096"/>
      <c r="F1057" s="1096"/>
      <c r="G1057" s="1096"/>
      <c r="H1057" s="1096"/>
      <c r="I1057" s="1096"/>
      <c r="J1057" s="1096"/>
      <c r="K1057" s="1096"/>
      <c r="L1057" s="1096"/>
      <c r="M1057" s="1096"/>
      <c r="N1057" s="1096"/>
      <c r="O1057" s="1096"/>
      <c r="P1057" s="1096"/>
      <c r="Q1057" s="1096"/>
      <c r="R1057" s="1096"/>
      <c r="S1057" s="1096"/>
      <c r="T1057" s="1096"/>
      <c r="U1057" s="1096"/>
      <c r="V1057" s="1096"/>
      <c r="W1057" s="1096"/>
      <c r="X1057" s="1096"/>
      <c r="Y1057" s="1096"/>
      <c r="Z1057" s="1096"/>
      <c r="AA1057" s="1096"/>
      <c r="AB1057" s="1096"/>
      <c r="AC1057" s="1096"/>
      <c r="AD1057" s="1096"/>
      <c r="AE1057" s="1096"/>
      <c r="AF1057" s="1096"/>
      <c r="AG1057" s="1096"/>
      <c r="AH1057" s="1096"/>
      <c r="AI1057" s="1096"/>
      <c r="AJ1057" s="1096"/>
      <c r="AK1057" s="1096"/>
      <c r="AL1057" s="1096"/>
      <c r="AM1057" s="1096"/>
      <c r="AN1057" s="1096"/>
      <c r="AO1057" s="1096"/>
      <c r="AP1057" s="1096"/>
      <c r="AQ1057" s="1096"/>
      <c r="AR1057" s="1096"/>
      <c r="AS1057" s="1096"/>
      <c r="AT1057" s="1096"/>
      <c r="AU1057" s="1096"/>
      <c r="AV1057" s="1096"/>
      <c r="AW1057" s="1096"/>
      <c r="AX1057" s="1096"/>
      <c r="AY1057" s="1096"/>
    </row>
    <row r="1058" spans="1:51" x14ac:dyDescent="0.45">
      <c r="A1058" s="1096"/>
      <c r="B1058" s="1096"/>
      <c r="C1058" s="1096"/>
      <c r="D1058" s="1096"/>
      <c r="E1058" s="1096"/>
      <c r="F1058" s="1096"/>
      <c r="G1058" s="1096"/>
      <c r="H1058" s="1096"/>
      <c r="I1058" s="1096"/>
      <c r="J1058" s="1096"/>
      <c r="K1058" s="1096"/>
      <c r="L1058" s="1096"/>
      <c r="M1058" s="1096"/>
      <c r="N1058" s="1096"/>
      <c r="O1058" s="1096"/>
      <c r="P1058" s="1096"/>
      <c r="Q1058" s="1096"/>
      <c r="R1058" s="1096"/>
      <c r="S1058" s="1096"/>
      <c r="T1058" s="1096"/>
      <c r="U1058" s="1096"/>
      <c r="V1058" s="1096"/>
      <c r="W1058" s="1096"/>
      <c r="X1058" s="1096"/>
      <c r="Y1058" s="1096"/>
      <c r="Z1058" s="1096"/>
      <c r="AA1058" s="1096"/>
      <c r="AB1058" s="1096"/>
      <c r="AC1058" s="1096"/>
      <c r="AD1058" s="1096"/>
      <c r="AE1058" s="1096"/>
      <c r="AF1058" s="1096"/>
      <c r="AG1058" s="1096"/>
      <c r="AH1058" s="1096"/>
      <c r="AI1058" s="1096"/>
      <c r="AJ1058" s="1096"/>
      <c r="AK1058" s="1096"/>
      <c r="AL1058" s="1096"/>
      <c r="AM1058" s="1096"/>
      <c r="AN1058" s="1096"/>
      <c r="AO1058" s="1096"/>
      <c r="AP1058" s="1096"/>
      <c r="AQ1058" s="1096"/>
      <c r="AR1058" s="1096"/>
      <c r="AS1058" s="1096"/>
      <c r="AT1058" s="1096"/>
      <c r="AU1058" s="1096"/>
      <c r="AV1058" s="1096"/>
      <c r="AW1058" s="1096"/>
      <c r="AX1058" s="1096"/>
      <c r="AY1058" s="1096"/>
    </row>
    <row r="1059" spans="1:51" x14ac:dyDescent="0.45">
      <c r="A1059" s="1096"/>
      <c r="B1059" s="1096"/>
      <c r="C1059" s="1096"/>
      <c r="D1059" s="1096"/>
      <c r="E1059" s="1096"/>
      <c r="F1059" s="1096"/>
      <c r="G1059" s="1096"/>
      <c r="H1059" s="1096"/>
      <c r="I1059" s="1096"/>
      <c r="J1059" s="1096"/>
      <c r="K1059" s="1096"/>
      <c r="L1059" s="1096"/>
      <c r="M1059" s="1096"/>
      <c r="N1059" s="1096"/>
      <c r="O1059" s="1096"/>
      <c r="P1059" s="1096"/>
      <c r="Q1059" s="1096"/>
      <c r="R1059" s="1096"/>
      <c r="S1059" s="1096"/>
      <c r="T1059" s="1096"/>
      <c r="U1059" s="1096"/>
      <c r="V1059" s="1096"/>
      <c r="W1059" s="1096"/>
      <c r="X1059" s="1096"/>
      <c r="Y1059" s="1096"/>
      <c r="Z1059" s="1096"/>
      <c r="AA1059" s="1096"/>
      <c r="AB1059" s="1096"/>
      <c r="AC1059" s="1096"/>
      <c r="AD1059" s="1096"/>
      <c r="AE1059" s="1096"/>
      <c r="AF1059" s="1096"/>
      <c r="AG1059" s="1096"/>
      <c r="AH1059" s="1096"/>
      <c r="AI1059" s="1096"/>
      <c r="AJ1059" s="1096"/>
      <c r="AK1059" s="1096"/>
      <c r="AL1059" s="1096"/>
      <c r="AM1059" s="1096"/>
      <c r="AN1059" s="1096"/>
      <c r="AO1059" s="1096"/>
      <c r="AP1059" s="1096"/>
      <c r="AQ1059" s="1096"/>
      <c r="AR1059" s="1096"/>
      <c r="AS1059" s="1096"/>
      <c r="AT1059" s="1096"/>
      <c r="AU1059" s="1096"/>
      <c r="AV1059" s="1096"/>
      <c r="AW1059" s="1096"/>
      <c r="AX1059" s="1096"/>
      <c r="AY1059" s="1096"/>
    </row>
    <row r="1060" spans="1:51" x14ac:dyDescent="0.45">
      <c r="A1060" s="1096"/>
      <c r="B1060" s="1096"/>
      <c r="C1060" s="1096"/>
      <c r="D1060" s="1096"/>
      <c r="E1060" s="1096"/>
      <c r="F1060" s="1096"/>
      <c r="G1060" s="1096"/>
      <c r="H1060" s="1096"/>
      <c r="I1060" s="1096"/>
      <c r="J1060" s="1096"/>
      <c r="K1060" s="1096"/>
      <c r="L1060" s="1096"/>
      <c r="M1060" s="1096"/>
      <c r="N1060" s="1096"/>
      <c r="O1060" s="1096"/>
      <c r="P1060" s="1096"/>
      <c r="Q1060" s="1096"/>
      <c r="R1060" s="1096"/>
      <c r="S1060" s="1096"/>
      <c r="T1060" s="1096"/>
      <c r="U1060" s="1096"/>
      <c r="V1060" s="1096"/>
      <c r="W1060" s="1096"/>
      <c r="X1060" s="1096"/>
      <c r="Y1060" s="1096"/>
      <c r="Z1060" s="1096"/>
      <c r="AA1060" s="1096"/>
      <c r="AB1060" s="1096"/>
      <c r="AC1060" s="1096"/>
      <c r="AD1060" s="1096"/>
      <c r="AE1060" s="1096"/>
      <c r="AF1060" s="1096"/>
      <c r="AG1060" s="1096"/>
      <c r="AH1060" s="1096"/>
      <c r="AI1060" s="1096"/>
      <c r="AJ1060" s="1096"/>
      <c r="AK1060" s="1096"/>
      <c r="AL1060" s="1096"/>
      <c r="AM1060" s="1096"/>
      <c r="AN1060" s="1096"/>
      <c r="AO1060" s="1096"/>
      <c r="AP1060" s="1096"/>
      <c r="AQ1060" s="1096"/>
      <c r="AR1060" s="1096"/>
      <c r="AS1060" s="1096"/>
      <c r="AT1060" s="1096"/>
      <c r="AU1060" s="1096"/>
      <c r="AV1060" s="1096"/>
      <c r="AW1060" s="1096"/>
      <c r="AX1060" s="1096"/>
      <c r="AY1060" s="1096"/>
    </row>
    <row r="1061" spans="1:51" x14ac:dyDescent="0.45">
      <c r="A1061" s="1096"/>
      <c r="B1061" s="1096"/>
      <c r="C1061" s="1096"/>
      <c r="D1061" s="1096"/>
      <c r="E1061" s="1096"/>
      <c r="F1061" s="1096"/>
      <c r="G1061" s="1096"/>
      <c r="H1061" s="1096"/>
      <c r="I1061" s="1096"/>
      <c r="J1061" s="1096"/>
      <c r="K1061" s="1096"/>
      <c r="L1061" s="1096"/>
      <c r="M1061" s="1096"/>
      <c r="N1061" s="1096"/>
      <c r="O1061" s="1096"/>
      <c r="P1061" s="1096"/>
      <c r="Q1061" s="1096"/>
      <c r="R1061" s="1096"/>
      <c r="S1061" s="1096"/>
      <c r="T1061" s="1096"/>
      <c r="U1061" s="1096"/>
      <c r="V1061" s="1096"/>
      <c r="W1061" s="1096"/>
      <c r="X1061" s="1096"/>
      <c r="Y1061" s="1096"/>
      <c r="Z1061" s="1096"/>
      <c r="AA1061" s="1096"/>
      <c r="AB1061" s="1096"/>
      <c r="AC1061" s="1096"/>
      <c r="AD1061" s="1096"/>
      <c r="AE1061" s="1096"/>
      <c r="AF1061" s="1096"/>
      <c r="AG1061" s="1096"/>
      <c r="AH1061" s="1096"/>
      <c r="AI1061" s="1096"/>
      <c r="AJ1061" s="1096"/>
      <c r="AK1061" s="1096"/>
      <c r="AL1061" s="1096"/>
      <c r="AM1061" s="1096"/>
      <c r="AN1061" s="1096"/>
      <c r="AO1061" s="1096"/>
      <c r="AP1061" s="1096"/>
      <c r="AQ1061" s="1096"/>
      <c r="AR1061" s="1096"/>
      <c r="AS1061" s="1096"/>
      <c r="AT1061" s="1096"/>
      <c r="AU1061" s="1096"/>
      <c r="AV1061" s="1096"/>
      <c r="AW1061" s="1096"/>
      <c r="AX1061" s="1096"/>
      <c r="AY1061" s="1096"/>
    </row>
    <row r="1062" spans="1:51" x14ac:dyDescent="0.45">
      <c r="A1062" s="1096"/>
      <c r="B1062" s="1096"/>
      <c r="C1062" s="1096"/>
      <c r="D1062" s="1096"/>
      <c r="E1062" s="1096"/>
      <c r="F1062" s="1096"/>
      <c r="G1062" s="1096"/>
      <c r="H1062" s="1096"/>
      <c r="I1062" s="1096"/>
      <c r="J1062" s="1096"/>
      <c r="K1062" s="1096"/>
      <c r="L1062" s="1096"/>
      <c r="M1062" s="1096"/>
      <c r="N1062" s="1096"/>
      <c r="O1062" s="1096"/>
      <c r="P1062" s="1096"/>
      <c r="Q1062" s="1096"/>
      <c r="R1062" s="1096"/>
      <c r="S1062" s="1096"/>
      <c r="T1062" s="1096"/>
      <c r="U1062" s="1096"/>
      <c r="V1062" s="1096"/>
      <c r="W1062" s="1096"/>
      <c r="X1062" s="1096"/>
      <c r="Y1062" s="1096"/>
      <c r="Z1062" s="1096"/>
      <c r="AA1062" s="1096"/>
      <c r="AB1062" s="1096"/>
      <c r="AC1062" s="1096"/>
      <c r="AD1062" s="1096"/>
      <c r="AE1062" s="1096"/>
      <c r="AF1062" s="1096"/>
      <c r="AG1062" s="1096"/>
      <c r="AH1062" s="1096"/>
      <c r="AI1062" s="1096"/>
      <c r="AJ1062" s="1096"/>
      <c r="AK1062" s="1096"/>
      <c r="AL1062" s="1096"/>
      <c r="AM1062" s="1096"/>
      <c r="AN1062" s="1096"/>
      <c r="AO1062" s="1096"/>
      <c r="AP1062" s="1096"/>
      <c r="AQ1062" s="1096"/>
      <c r="AR1062" s="1096"/>
      <c r="AS1062" s="1096"/>
      <c r="AT1062" s="1096"/>
      <c r="AU1062" s="1096"/>
      <c r="AV1062" s="1096"/>
      <c r="AW1062" s="1096"/>
      <c r="AX1062" s="1096"/>
      <c r="AY1062" s="1096"/>
    </row>
    <row r="1063" spans="1:51" x14ac:dyDescent="0.45">
      <c r="A1063" s="1096"/>
      <c r="B1063" s="1096"/>
      <c r="C1063" s="1096"/>
      <c r="D1063" s="1096"/>
      <c r="E1063" s="1096"/>
      <c r="F1063" s="1096"/>
      <c r="G1063" s="1096"/>
      <c r="H1063" s="1096"/>
      <c r="I1063" s="1096"/>
      <c r="J1063" s="1096"/>
      <c r="K1063" s="1096"/>
      <c r="L1063" s="1096"/>
      <c r="M1063" s="1096"/>
      <c r="N1063" s="1096"/>
      <c r="O1063" s="1096"/>
      <c r="P1063" s="1096"/>
      <c r="Q1063" s="1096"/>
      <c r="R1063" s="1096"/>
      <c r="S1063" s="1096"/>
      <c r="T1063" s="1096"/>
      <c r="U1063" s="1096"/>
      <c r="V1063" s="1096"/>
      <c r="W1063" s="1096"/>
      <c r="X1063" s="1096"/>
      <c r="Y1063" s="1096"/>
      <c r="Z1063" s="1096"/>
      <c r="AA1063" s="1096"/>
      <c r="AB1063" s="1096"/>
      <c r="AC1063" s="1096"/>
      <c r="AD1063" s="1096"/>
      <c r="AE1063" s="1096"/>
      <c r="AF1063" s="1096"/>
      <c r="AG1063" s="1096"/>
      <c r="AH1063" s="1096"/>
      <c r="AI1063" s="1096"/>
      <c r="AJ1063" s="1096"/>
      <c r="AK1063" s="1096"/>
      <c r="AL1063" s="1096"/>
      <c r="AM1063" s="1096"/>
      <c r="AN1063" s="1096"/>
      <c r="AO1063" s="1096"/>
      <c r="AP1063" s="1096"/>
      <c r="AQ1063" s="1096"/>
      <c r="AR1063" s="1096"/>
      <c r="AS1063" s="1096"/>
      <c r="AT1063" s="1096"/>
      <c r="AU1063" s="1096"/>
      <c r="AV1063" s="1096"/>
      <c r="AW1063" s="1096"/>
      <c r="AX1063" s="1096"/>
      <c r="AY1063" s="1096"/>
    </row>
    <row r="1064" spans="1:51" x14ac:dyDescent="0.45">
      <c r="A1064" s="1096"/>
      <c r="B1064" s="1096"/>
      <c r="C1064" s="1096"/>
      <c r="D1064" s="1096"/>
      <c r="E1064" s="1096"/>
      <c r="F1064" s="1096"/>
      <c r="G1064" s="1096"/>
      <c r="H1064" s="1096"/>
      <c r="I1064" s="1096"/>
      <c r="J1064" s="1096"/>
      <c r="K1064" s="1096"/>
      <c r="L1064" s="1096"/>
      <c r="M1064" s="1096"/>
      <c r="N1064" s="1096"/>
      <c r="O1064" s="1096"/>
      <c r="P1064" s="1096"/>
      <c r="Q1064" s="1096"/>
      <c r="R1064" s="1096"/>
      <c r="S1064" s="1096"/>
      <c r="T1064" s="1096"/>
      <c r="U1064" s="1096"/>
      <c r="V1064" s="1096"/>
      <c r="W1064" s="1096"/>
      <c r="X1064" s="1096"/>
      <c r="Y1064" s="1096"/>
      <c r="Z1064" s="1096"/>
      <c r="AA1064" s="1096"/>
      <c r="AB1064" s="1096"/>
      <c r="AC1064" s="1096"/>
      <c r="AD1064" s="1096"/>
      <c r="AE1064" s="1096"/>
      <c r="AF1064" s="1096"/>
      <c r="AG1064" s="1096"/>
      <c r="AH1064" s="1096"/>
      <c r="AI1064" s="1096"/>
      <c r="AJ1064" s="1096"/>
      <c r="AK1064" s="1096"/>
      <c r="AL1064" s="1096"/>
      <c r="AM1064" s="1096"/>
      <c r="AN1064" s="1096"/>
      <c r="AO1064" s="1096"/>
      <c r="AP1064" s="1096"/>
      <c r="AQ1064" s="1096"/>
      <c r="AR1064" s="1096"/>
      <c r="AS1064" s="1096"/>
      <c r="AT1064" s="1096"/>
      <c r="AU1064" s="1096"/>
      <c r="AV1064" s="1096"/>
      <c r="AW1064" s="1096"/>
      <c r="AX1064" s="1096"/>
      <c r="AY1064" s="1096"/>
    </row>
    <row r="1065" spans="1:51" x14ac:dyDescent="0.45">
      <c r="A1065" s="1096"/>
      <c r="B1065" s="1096"/>
      <c r="C1065" s="1096"/>
      <c r="D1065" s="1096"/>
      <c r="E1065" s="1096"/>
      <c r="F1065" s="1096"/>
      <c r="G1065" s="1096"/>
      <c r="H1065" s="1096"/>
      <c r="I1065" s="1096"/>
      <c r="J1065" s="1096"/>
      <c r="K1065" s="1096"/>
      <c r="L1065" s="1096"/>
      <c r="M1065" s="1096"/>
      <c r="N1065" s="1096"/>
      <c r="O1065" s="1096"/>
      <c r="P1065" s="1096"/>
      <c r="Q1065" s="1096"/>
      <c r="R1065" s="1096"/>
      <c r="S1065" s="1096"/>
      <c r="T1065" s="1096"/>
      <c r="U1065" s="1096"/>
      <c r="V1065" s="1096"/>
      <c r="W1065" s="1096"/>
      <c r="X1065" s="1096"/>
      <c r="Y1065" s="1096"/>
      <c r="Z1065" s="1096"/>
      <c r="AA1065" s="1096"/>
      <c r="AB1065" s="1096"/>
      <c r="AC1065" s="1096"/>
      <c r="AD1065" s="1096"/>
      <c r="AE1065" s="1096"/>
      <c r="AF1065" s="1096"/>
      <c r="AG1065" s="1096"/>
      <c r="AH1065" s="1096"/>
      <c r="AI1065" s="1096"/>
      <c r="AJ1065" s="1096"/>
      <c r="AK1065" s="1096"/>
      <c r="AL1065" s="1096"/>
      <c r="AM1065" s="1096"/>
      <c r="AN1065" s="1096"/>
      <c r="AO1065" s="1096"/>
      <c r="AP1065" s="1096"/>
      <c r="AQ1065" s="1096"/>
      <c r="AR1065" s="1096"/>
      <c r="AS1065" s="1096"/>
      <c r="AT1065" s="1096"/>
      <c r="AU1065" s="1096"/>
      <c r="AV1065" s="1096"/>
      <c r="AW1065" s="1096"/>
      <c r="AX1065" s="1096"/>
      <c r="AY1065" s="1096"/>
    </row>
    <row r="1066" spans="1:51" x14ac:dyDescent="0.45">
      <c r="A1066" s="1096"/>
      <c r="B1066" s="1096"/>
      <c r="C1066" s="1096"/>
      <c r="D1066" s="1096"/>
      <c r="E1066" s="1096"/>
      <c r="F1066" s="1096"/>
      <c r="G1066" s="1096"/>
      <c r="H1066" s="1096"/>
      <c r="I1066" s="1096"/>
      <c r="J1066" s="1096"/>
      <c r="K1066" s="1096"/>
      <c r="L1066" s="1096"/>
      <c r="M1066" s="1096"/>
      <c r="N1066" s="1096"/>
      <c r="O1066" s="1096"/>
      <c r="P1066" s="1096"/>
      <c r="Q1066" s="1096"/>
      <c r="R1066" s="1096"/>
      <c r="S1066" s="1096"/>
      <c r="T1066" s="1096"/>
      <c r="U1066" s="1096"/>
      <c r="V1066" s="1096"/>
      <c r="W1066" s="1096"/>
      <c r="X1066" s="1096"/>
      <c r="Y1066" s="1096"/>
      <c r="Z1066" s="1096"/>
      <c r="AA1066" s="1096"/>
      <c r="AB1066" s="1096"/>
      <c r="AC1066" s="1096"/>
      <c r="AD1066" s="1096"/>
      <c r="AE1066" s="1096"/>
      <c r="AF1066" s="1096"/>
      <c r="AG1066" s="1096"/>
      <c r="AH1066" s="1096"/>
      <c r="AI1066" s="1096"/>
      <c r="AJ1066" s="1096"/>
      <c r="AK1066" s="1096"/>
      <c r="AL1066" s="1096"/>
      <c r="AM1066" s="1096"/>
      <c r="AN1066" s="1096"/>
      <c r="AO1066" s="1096"/>
      <c r="AP1066" s="1096"/>
      <c r="AQ1066" s="1096"/>
      <c r="AR1066" s="1096"/>
      <c r="AS1066" s="1096"/>
      <c r="AT1066" s="1096"/>
      <c r="AU1066" s="1096"/>
      <c r="AV1066" s="1096"/>
      <c r="AW1066" s="1096"/>
      <c r="AX1066" s="1096"/>
      <c r="AY1066" s="1096"/>
    </row>
    <row r="1067" spans="1:51" x14ac:dyDescent="0.45">
      <c r="A1067" s="1096"/>
      <c r="B1067" s="1096"/>
      <c r="C1067" s="1096"/>
      <c r="D1067" s="1096"/>
      <c r="E1067" s="1096"/>
      <c r="F1067" s="1096"/>
      <c r="G1067" s="1096"/>
      <c r="H1067" s="1096"/>
      <c r="I1067" s="1096"/>
      <c r="J1067" s="1096"/>
      <c r="K1067" s="1096"/>
      <c r="L1067" s="1096"/>
      <c r="M1067" s="1096"/>
      <c r="N1067" s="1096"/>
      <c r="O1067" s="1096"/>
      <c r="P1067" s="1096"/>
      <c r="Q1067" s="1096"/>
      <c r="R1067" s="1096"/>
      <c r="S1067" s="1096"/>
      <c r="T1067" s="1096"/>
      <c r="U1067" s="1096"/>
      <c r="V1067" s="1096"/>
      <c r="W1067" s="1096"/>
      <c r="X1067" s="1096"/>
      <c r="Y1067" s="1096"/>
      <c r="Z1067" s="1096"/>
      <c r="AA1067" s="1096"/>
      <c r="AB1067" s="1096"/>
      <c r="AC1067" s="1096"/>
      <c r="AD1067" s="1096"/>
      <c r="AE1067" s="1096"/>
      <c r="AF1067" s="1096"/>
      <c r="AG1067" s="1096"/>
      <c r="AH1067" s="1096"/>
      <c r="AI1067" s="1096"/>
      <c r="AJ1067" s="1096"/>
      <c r="AK1067" s="1096"/>
      <c r="AL1067" s="1096"/>
      <c r="AM1067" s="1096"/>
      <c r="AN1067" s="1096"/>
      <c r="AO1067" s="1096"/>
      <c r="AP1067" s="1096"/>
      <c r="AQ1067" s="1096"/>
      <c r="AR1067" s="1096"/>
      <c r="AS1067" s="1096"/>
      <c r="AT1067" s="1096"/>
      <c r="AU1067" s="1096"/>
      <c r="AV1067" s="1096"/>
      <c r="AW1067" s="1096"/>
      <c r="AX1067" s="1096"/>
      <c r="AY1067" s="1096"/>
    </row>
    <row r="1068" spans="1:51" x14ac:dyDescent="0.45">
      <c r="A1068" s="1096"/>
      <c r="B1068" s="1096"/>
      <c r="C1068" s="1096"/>
      <c r="D1068" s="1096"/>
      <c r="E1068" s="1096"/>
      <c r="F1068" s="1096"/>
      <c r="G1068" s="1096"/>
      <c r="H1068" s="1096"/>
      <c r="I1068" s="1096"/>
      <c r="J1068" s="1096"/>
      <c r="K1068" s="1096"/>
      <c r="L1068" s="1096"/>
      <c r="M1068" s="1096"/>
      <c r="N1068" s="1096"/>
      <c r="O1068" s="1096"/>
      <c r="P1068" s="1096"/>
      <c r="Q1068" s="1096"/>
      <c r="R1068" s="1096"/>
      <c r="S1068" s="1096"/>
      <c r="T1068" s="1096"/>
      <c r="U1068" s="1096"/>
      <c r="V1068" s="1096"/>
      <c r="W1068" s="1096"/>
      <c r="X1068" s="1096"/>
      <c r="Y1068" s="1096"/>
      <c r="Z1068" s="1096"/>
      <c r="AA1068" s="1096"/>
      <c r="AB1068" s="1096"/>
      <c r="AC1068" s="1096"/>
      <c r="AD1068" s="1096"/>
      <c r="AE1068" s="1096"/>
      <c r="AF1068" s="1096"/>
      <c r="AG1068" s="1096"/>
      <c r="AH1068" s="1096"/>
      <c r="AI1068" s="1096"/>
      <c r="AJ1068" s="1096"/>
      <c r="AK1068" s="1096"/>
      <c r="AL1068" s="1096"/>
      <c r="AM1068" s="1096"/>
      <c r="AN1068" s="1096"/>
      <c r="AO1068" s="1096"/>
      <c r="AP1068" s="1096"/>
      <c r="AQ1068" s="1096"/>
      <c r="AR1068" s="1096"/>
      <c r="AS1068" s="1096"/>
      <c r="AT1068" s="1096"/>
      <c r="AU1068" s="1096"/>
      <c r="AV1068" s="1096"/>
      <c r="AW1068" s="1096"/>
      <c r="AX1068" s="1096"/>
      <c r="AY1068" s="1096"/>
    </row>
    <row r="1069" spans="1:51" x14ac:dyDescent="0.45">
      <c r="A1069" s="1096"/>
      <c r="B1069" s="1096"/>
      <c r="C1069" s="1096"/>
      <c r="D1069" s="1096"/>
      <c r="E1069" s="1096"/>
      <c r="F1069" s="1096"/>
      <c r="G1069" s="1096"/>
      <c r="H1069" s="1096"/>
      <c r="I1069" s="1096"/>
      <c r="J1069" s="1096"/>
      <c r="K1069" s="1096"/>
      <c r="L1069" s="1096"/>
      <c r="M1069" s="1096"/>
      <c r="N1069" s="1096"/>
      <c r="O1069" s="1096"/>
      <c r="P1069" s="1096"/>
      <c r="Q1069" s="1096"/>
      <c r="R1069" s="1096"/>
      <c r="S1069" s="1096"/>
      <c r="T1069" s="1096"/>
      <c r="U1069" s="1096"/>
      <c r="V1069" s="1096"/>
      <c r="W1069" s="1096"/>
      <c r="X1069" s="1096"/>
      <c r="Y1069" s="1096"/>
      <c r="Z1069" s="1096"/>
      <c r="AA1069" s="1096"/>
      <c r="AB1069" s="1096"/>
      <c r="AC1069" s="1096"/>
      <c r="AD1069" s="1096"/>
      <c r="AE1069" s="1096"/>
      <c r="AF1069" s="1096"/>
      <c r="AG1069" s="1096"/>
      <c r="AH1069" s="1096"/>
      <c r="AI1069" s="1096"/>
      <c r="AJ1069" s="1096"/>
      <c r="AK1069" s="1096"/>
      <c r="AL1069" s="1096"/>
      <c r="AM1069" s="1096"/>
      <c r="AN1069" s="1096"/>
      <c r="AO1069" s="1096"/>
      <c r="AP1069" s="1096"/>
      <c r="AQ1069" s="1096"/>
      <c r="AR1069" s="1096"/>
      <c r="AS1069" s="1096"/>
      <c r="AT1069" s="1096"/>
      <c r="AU1069" s="1096"/>
      <c r="AV1069" s="1096"/>
      <c r="AW1069" s="1096"/>
      <c r="AX1069" s="1096"/>
      <c r="AY1069" s="1096"/>
    </row>
    <row r="1070" spans="1:51" x14ac:dyDescent="0.45">
      <c r="A1070" s="1096"/>
      <c r="B1070" s="1096"/>
      <c r="C1070" s="1096"/>
      <c r="D1070" s="1096"/>
      <c r="E1070" s="1096"/>
      <c r="F1070" s="1096"/>
      <c r="G1070" s="1096"/>
      <c r="H1070" s="1096"/>
      <c r="I1070" s="1096"/>
      <c r="J1070" s="1096"/>
      <c r="K1070" s="1096"/>
      <c r="L1070" s="1096"/>
      <c r="M1070" s="1096"/>
      <c r="N1070" s="1096"/>
      <c r="O1070" s="1096"/>
      <c r="P1070" s="1096"/>
      <c r="Q1070" s="1096"/>
      <c r="R1070" s="1096"/>
      <c r="S1070" s="1096"/>
      <c r="T1070" s="1096"/>
      <c r="U1070" s="1096"/>
      <c r="V1070" s="1096"/>
      <c r="W1070" s="1096"/>
      <c r="X1070" s="1096"/>
      <c r="Y1070" s="1096"/>
      <c r="Z1070" s="1096"/>
      <c r="AA1070" s="1096"/>
      <c r="AB1070" s="1096"/>
      <c r="AC1070" s="1096"/>
      <c r="AD1070" s="1096"/>
      <c r="AE1070" s="1096"/>
      <c r="AF1070" s="1096"/>
      <c r="AG1070" s="1096"/>
      <c r="AH1070" s="1096"/>
      <c r="AI1070" s="1096"/>
      <c r="AJ1070" s="1096"/>
      <c r="AK1070" s="1096"/>
      <c r="AL1070" s="1096"/>
      <c r="AM1070" s="1096"/>
      <c r="AN1070" s="1096"/>
      <c r="AO1070" s="1096"/>
      <c r="AP1070" s="1096"/>
      <c r="AQ1070" s="1096"/>
      <c r="AR1070" s="1096"/>
      <c r="AS1070" s="1096"/>
      <c r="AT1070" s="1096"/>
      <c r="AU1070" s="1096"/>
      <c r="AV1070" s="1096"/>
      <c r="AW1070" s="1096"/>
      <c r="AX1070" s="1096"/>
      <c r="AY1070" s="1096"/>
    </row>
    <row r="1071" spans="1:51" x14ac:dyDescent="0.45">
      <c r="A1071" s="1096"/>
      <c r="B1071" s="1096"/>
      <c r="C1071" s="1096"/>
      <c r="D1071" s="1096"/>
      <c r="E1071" s="1096"/>
      <c r="F1071" s="1096"/>
      <c r="G1071" s="1096"/>
      <c r="H1071" s="1096"/>
      <c r="I1071" s="1096"/>
      <c r="J1071" s="1096"/>
      <c r="K1071" s="1096"/>
      <c r="L1071" s="1096"/>
      <c r="M1071" s="1096"/>
      <c r="N1071" s="1096"/>
      <c r="O1071" s="1096"/>
      <c r="P1071" s="1096"/>
      <c r="Q1071" s="1096"/>
      <c r="R1071" s="1096"/>
      <c r="S1071" s="1096"/>
      <c r="T1071" s="1096"/>
      <c r="U1071" s="1096"/>
      <c r="V1071" s="1096"/>
      <c r="W1071" s="1096"/>
      <c r="X1071" s="1096"/>
      <c r="Y1071" s="1096"/>
      <c r="Z1071" s="1096"/>
      <c r="AA1071" s="1096"/>
      <c r="AB1071" s="1096"/>
      <c r="AC1071" s="1096"/>
      <c r="AD1071" s="1096"/>
      <c r="AE1071" s="1096"/>
      <c r="AF1071" s="1096"/>
      <c r="AG1071" s="1096"/>
      <c r="AH1071" s="1096"/>
      <c r="AI1071" s="1096"/>
      <c r="AJ1071" s="1096"/>
      <c r="AK1071" s="1096"/>
      <c r="AL1071" s="1096"/>
      <c r="AM1071" s="1096"/>
      <c r="AN1071" s="1096"/>
      <c r="AO1071" s="1096"/>
      <c r="AP1071" s="1096"/>
      <c r="AQ1071" s="1096"/>
      <c r="AR1071" s="1096"/>
      <c r="AS1071" s="1096"/>
      <c r="AT1071" s="1096"/>
      <c r="AU1071" s="1096"/>
      <c r="AV1071" s="1096"/>
      <c r="AW1071" s="1096"/>
      <c r="AX1071" s="1096"/>
      <c r="AY1071" s="1096"/>
    </row>
    <row r="1072" spans="1:51" x14ac:dyDescent="0.45">
      <c r="A1072" s="1096"/>
      <c r="B1072" s="1096"/>
      <c r="C1072" s="1096"/>
      <c r="D1072" s="1096"/>
      <c r="E1072" s="1096"/>
      <c r="F1072" s="1096"/>
      <c r="G1072" s="1096"/>
      <c r="H1072" s="1096"/>
      <c r="I1072" s="1096"/>
      <c r="J1072" s="1096"/>
      <c r="K1072" s="1096"/>
      <c r="L1072" s="1096"/>
      <c r="M1072" s="1096"/>
      <c r="N1072" s="1096"/>
      <c r="O1072" s="1096"/>
      <c r="P1072" s="1096"/>
      <c r="Q1072" s="1096"/>
      <c r="R1072" s="1096"/>
      <c r="S1072" s="1096"/>
      <c r="T1072" s="1096"/>
      <c r="U1072" s="1096"/>
      <c r="V1072" s="1096"/>
      <c r="W1072" s="1096"/>
      <c r="X1072" s="1096"/>
      <c r="Y1072" s="1096"/>
      <c r="Z1072" s="1096"/>
      <c r="AA1072" s="1096"/>
      <c r="AB1072" s="1096"/>
      <c r="AC1072" s="1096"/>
      <c r="AD1072" s="1096"/>
      <c r="AE1072" s="1096"/>
      <c r="AF1072" s="1096"/>
      <c r="AG1072" s="1096"/>
      <c r="AH1072" s="1096"/>
      <c r="AI1072" s="1096"/>
      <c r="AJ1072" s="1096"/>
      <c r="AK1072" s="1096"/>
      <c r="AL1072" s="1096"/>
      <c r="AM1072" s="1096"/>
      <c r="AN1072" s="1096"/>
      <c r="AO1072" s="1096"/>
      <c r="AP1072" s="1096"/>
      <c r="AQ1072" s="1096"/>
      <c r="AR1072" s="1096"/>
      <c r="AS1072" s="1096"/>
      <c r="AT1072" s="1096"/>
      <c r="AU1072" s="1096"/>
      <c r="AV1072" s="1096"/>
      <c r="AW1072" s="1096"/>
      <c r="AX1072" s="1096"/>
      <c r="AY1072" s="1096"/>
    </row>
    <row r="1073" spans="1:51" x14ac:dyDescent="0.45">
      <c r="A1073" s="1096"/>
      <c r="B1073" s="1096"/>
      <c r="C1073" s="1096"/>
      <c r="D1073" s="1096"/>
      <c r="E1073" s="1096"/>
      <c r="F1073" s="1096"/>
      <c r="G1073" s="1096"/>
      <c r="H1073" s="1096"/>
      <c r="I1073" s="1096"/>
      <c r="J1073" s="1096"/>
      <c r="K1073" s="1096"/>
      <c r="L1073" s="1096"/>
      <c r="M1073" s="1096"/>
      <c r="N1073" s="1096"/>
      <c r="O1073" s="1096"/>
      <c r="P1073" s="1096"/>
      <c r="Q1073" s="1096"/>
      <c r="R1073" s="1096"/>
      <c r="S1073" s="1096"/>
      <c r="T1073" s="1096"/>
      <c r="U1073" s="1096"/>
      <c r="V1073" s="1096"/>
      <c r="W1073" s="1096"/>
      <c r="X1073" s="1096"/>
      <c r="Y1073" s="1096"/>
      <c r="Z1073" s="1096"/>
      <c r="AA1073" s="1096"/>
      <c r="AB1073" s="1096"/>
      <c r="AC1073" s="1096"/>
      <c r="AD1073" s="1096"/>
      <c r="AE1073" s="1096"/>
      <c r="AF1073" s="1096"/>
      <c r="AG1073" s="1096"/>
      <c r="AH1073" s="1096"/>
      <c r="AI1073" s="1096"/>
      <c r="AJ1073" s="1096"/>
      <c r="AK1073" s="1096"/>
      <c r="AL1073" s="1096"/>
      <c r="AM1073" s="1096"/>
      <c r="AN1073" s="1096"/>
      <c r="AO1073" s="1096"/>
      <c r="AP1073" s="1096"/>
      <c r="AQ1073" s="1096"/>
      <c r="AR1073" s="1096"/>
      <c r="AS1073" s="1096"/>
      <c r="AT1073" s="1096"/>
      <c r="AU1073" s="1096"/>
      <c r="AV1073" s="1096"/>
      <c r="AW1073" s="1096"/>
      <c r="AX1073" s="1096"/>
      <c r="AY1073" s="1096"/>
    </row>
    <row r="1074" spans="1:51" x14ac:dyDescent="0.45">
      <c r="A1074" s="1096"/>
      <c r="B1074" s="1096"/>
      <c r="C1074" s="1096"/>
      <c r="D1074" s="1096"/>
      <c r="E1074" s="1096"/>
      <c r="F1074" s="1096"/>
      <c r="G1074" s="1096"/>
      <c r="H1074" s="1096"/>
      <c r="I1074" s="1096"/>
      <c r="J1074" s="1096"/>
      <c r="K1074" s="1096"/>
      <c r="L1074" s="1096"/>
      <c r="M1074" s="1096"/>
      <c r="N1074" s="1096"/>
      <c r="O1074" s="1096"/>
      <c r="P1074" s="1096"/>
      <c r="Q1074" s="1096"/>
      <c r="R1074" s="1096"/>
      <c r="S1074" s="1096"/>
      <c r="T1074" s="1096"/>
      <c r="U1074" s="1096"/>
      <c r="V1074" s="1096"/>
      <c r="W1074" s="1096"/>
      <c r="X1074" s="1096"/>
      <c r="Y1074" s="1096"/>
      <c r="Z1074" s="1096"/>
      <c r="AA1074" s="1096"/>
      <c r="AB1074" s="1096"/>
      <c r="AC1074" s="1096"/>
      <c r="AD1074" s="1096"/>
      <c r="AE1074" s="1096"/>
      <c r="AF1074" s="1096"/>
      <c r="AG1074" s="1096"/>
      <c r="AH1074" s="1096"/>
      <c r="AI1074" s="1096"/>
      <c r="AJ1074" s="1096"/>
      <c r="AK1074" s="1096"/>
      <c r="AL1074" s="1096"/>
      <c r="AM1074" s="1096"/>
      <c r="AN1074" s="1096"/>
      <c r="AO1074" s="1096"/>
      <c r="AP1074" s="1096"/>
      <c r="AQ1074" s="1096"/>
      <c r="AR1074" s="1096"/>
      <c r="AS1074" s="1096"/>
      <c r="AT1074" s="1096"/>
      <c r="AU1074" s="1096"/>
      <c r="AV1074" s="1096"/>
      <c r="AW1074" s="1096"/>
      <c r="AX1074" s="1096"/>
      <c r="AY1074" s="1096"/>
    </row>
    <row r="1075" spans="1:51" x14ac:dyDescent="0.45">
      <c r="A1075" s="1096"/>
      <c r="B1075" s="1096"/>
      <c r="C1075" s="1096"/>
      <c r="D1075" s="1096"/>
      <c r="E1075" s="1096"/>
      <c r="F1075" s="1096"/>
      <c r="G1075" s="1096"/>
      <c r="H1075" s="1096"/>
      <c r="I1075" s="1096"/>
      <c r="J1075" s="1096"/>
      <c r="K1075" s="1096"/>
      <c r="L1075" s="1096"/>
      <c r="M1075" s="1096"/>
      <c r="N1075" s="1096"/>
      <c r="O1075" s="1096"/>
      <c r="P1075" s="1096"/>
      <c r="Q1075" s="1096"/>
      <c r="R1075" s="1096"/>
      <c r="S1075" s="1096"/>
      <c r="T1075" s="1096"/>
      <c r="U1075" s="1096"/>
      <c r="V1075" s="1096"/>
      <c r="W1075" s="1096"/>
      <c r="X1075" s="1096"/>
      <c r="Y1075" s="1096"/>
      <c r="Z1075" s="1096"/>
      <c r="AA1075" s="1096"/>
      <c r="AB1075" s="1096"/>
      <c r="AC1075" s="1096"/>
      <c r="AD1075" s="1096"/>
      <c r="AE1075" s="1096"/>
      <c r="AF1075" s="1096"/>
      <c r="AG1075" s="1096"/>
      <c r="AH1075" s="1096"/>
      <c r="AI1075" s="1096"/>
      <c r="AJ1075" s="1096"/>
      <c r="AK1075" s="1096"/>
      <c r="AL1075" s="1096"/>
      <c r="AM1075" s="1096"/>
      <c r="AN1075" s="1096"/>
      <c r="AO1075" s="1096"/>
      <c r="AP1075" s="1096"/>
      <c r="AQ1075" s="1096"/>
      <c r="AR1075" s="1096"/>
      <c r="AS1075" s="1096"/>
      <c r="AT1075" s="1096"/>
      <c r="AU1075" s="1096"/>
      <c r="AV1075" s="1096"/>
      <c r="AW1075" s="1096"/>
      <c r="AX1075" s="1096"/>
      <c r="AY1075" s="1096"/>
    </row>
    <row r="1076" spans="1:51" x14ac:dyDescent="0.45">
      <c r="A1076" s="1096"/>
      <c r="B1076" s="1096"/>
      <c r="C1076" s="1096"/>
      <c r="D1076" s="1096"/>
      <c r="E1076" s="1096"/>
      <c r="F1076" s="1096"/>
      <c r="G1076" s="1096"/>
      <c r="H1076" s="1096"/>
      <c r="I1076" s="1096"/>
      <c r="J1076" s="1096"/>
      <c r="K1076" s="1096"/>
      <c r="L1076" s="1096"/>
      <c r="M1076" s="1096"/>
      <c r="N1076" s="1096"/>
      <c r="O1076" s="1096"/>
      <c r="P1076" s="1096"/>
      <c r="Q1076" s="1096"/>
      <c r="R1076" s="1096"/>
      <c r="S1076" s="1096"/>
      <c r="T1076" s="1096"/>
      <c r="U1076" s="1096"/>
      <c r="V1076" s="1096"/>
      <c r="W1076" s="1096"/>
      <c r="X1076" s="1096"/>
      <c r="Y1076" s="1096"/>
      <c r="Z1076" s="1096"/>
      <c r="AA1076" s="1096"/>
      <c r="AB1076" s="1096"/>
      <c r="AC1076" s="1096"/>
      <c r="AD1076" s="1096"/>
      <c r="AE1076" s="1096"/>
      <c r="AF1076" s="1096"/>
      <c r="AG1076" s="1096"/>
      <c r="AH1076" s="1096"/>
      <c r="AI1076" s="1096"/>
      <c r="AJ1076" s="1096"/>
      <c r="AK1076" s="1096"/>
      <c r="AL1076" s="1096"/>
      <c r="AM1076" s="1096"/>
      <c r="AN1076" s="1096"/>
      <c r="AO1076" s="1096"/>
      <c r="AP1076" s="1096"/>
      <c r="AQ1076" s="1096"/>
      <c r="AR1076" s="1096"/>
      <c r="AS1076" s="1096"/>
      <c r="AT1076" s="1096"/>
      <c r="AU1076" s="1096"/>
      <c r="AV1076" s="1096"/>
      <c r="AW1076" s="1096"/>
      <c r="AX1076" s="1096"/>
      <c r="AY1076" s="1096"/>
    </row>
    <row r="1077" spans="1:51" x14ac:dyDescent="0.45">
      <c r="A1077" s="1096"/>
      <c r="B1077" s="1096"/>
      <c r="C1077" s="1096"/>
      <c r="D1077" s="1096"/>
      <c r="E1077" s="1096"/>
      <c r="F1077" s="1096"/>
      <c r="G1077" s="1096"/>
      <c r="H1077" s="1096"/>
      <c r="I1077" s="1096"/>
      <c r="J1077" s="1096"/>
      <c r="K1077" s="1096"/>
      <c r="L1077" s="1096"/>
      <c r="M1077" s="1096"/>
      <c r="N1077" s="1096"/>
      <c r="O1077" s="1096"/>
      <c r="P1077" s="1096"/>
      <c r="Q1077" s="1096"/>
      <c r="R1077" s="1096"/>
      <c r="S1077" s="1096"/>
      <c r="T1077" s="1096"/>
      <c r="U1077" s="1096"/>
      <c r="V1077" s="1096"/>
      <c r="W1077" s="1096"/>
      <c r="X1077" s="1096"/>
      <c r="Y1077" s="1096"/>
      <c r="Z1077" s="1096"/>
      <c r="AA1077" s="1096"/>
      <c r="AB1077" s="1096"/>
      <c r="AC1077" s="1096"/>
      <c r="AD1077" s="1096"/>
      <c r="AE1077" s="1096"/>
      <c r="AF1077" s="1096"/>
      <c r="AG1077" s="1096"/>
      <c r="AH1077" s="1096"/>
      <c r="AI1077" s="1096"/>
      <c r="AJ1077" s="1096"/>
      <c r="AK1077" s="1096"/>
      <c r="AL1077" s="1096"/>
      <c r="AM1077" s="1096"/>
      <c r="AN1077" s="1096"/>
      <c r="AO1077" s="1096"/>
      <c r="AP1077" s="1096"/>
      <c r="AQ1077" s="1096"/>
      <c r="AR1077" s="1096"/>
      <c r="AS1077" s="1096"/>
      <c r="AT1077" s="1096"/>
      <c r="AU1077" s="1096"/>
      <c r="AV1077" s="1096"/>
      <c r="AW1077" s="1096"/>
      <c r="AX1077" s="1096"/>
      <c r="AY1077" s="1096"/>
    </row>
    <row r="1078" spans="1:51" x14ac:dyDescent="0.45">
      <c r="A1078" s="1096"/>
      <c r="B1078" s="1096"/>
      <c r="C1078" s="1096"/>
      <c r="D1078" s="1096"/>
      <c r="E1078" s="1096"/>
      <c r="F1078" s="1096"/>
      <c r="G1078" s="1096"/>
      <c r="H1078" s="1096"/>
      <c r="I1078" s="1096"/>
      <c r="J1078" s="1096"/>
      <c r="K1078" s="1096"/>
      <c r="L1078" s="1096"/>
      <c r="M1078" s="1096"/>
      <c r="N1078" s="1096"/>
      <c r="O1078" s="1096"/>
      <c r="P1078" s="1096"/>
      <c r="Q1078" s="1096"/>
      <c r="R1078" s="1096"/>
      <c r="S1078" s="1096"/>
      <c r="T1078" s="1096"/>
      <c r="U1078" s="1096"/>
      <c r="V1078" s="1096"/>
      <c r="W1078" s="1096"/>
      <c r="X1078" s="1096"/>
      <c r="Y1078" s="1096"/>
      <c r="Z1078" s="1096"/>
      <c r="AA1078" s="1096"/>
      <c r="AB1078" s="1096"/>
      <c r="AC1078" s="1096"/>
      <c r="AD1078" s="1096"/>
      <c r="AE1078" s="1096"/>
      <c r="AF1078" s="1096"/>
      <c r="AG1078" s="1096"/>
      <c r="AH1078" s="1096"/>
      <c r="AI1078" s="1096"/>
      <c r="AJ1078" s="1096"/>
      <c r="AK1078" s="1096"/>
      <c r="AL1078" s="1096"/>
      <c r="AM1078" s="1096"/>
      <c r="AN1078" s="1096"/>
      <c r="AO1078" s="1096"/>
      <c r="AP1078" s="1096"/>
      <c r="AQ1078" s="1096"/>
      <c r="AR1078" s="1096"/>
      <c r="AS1078" s="1096"/>
      <c r="AT1078" s="1096"/>
      <c r="AU1078" s="1096"/>
      <c r="AV1078" s="1096"/>
      <c r="AW1078" s="1096"/>
      <c r="AX1078" s="1096"/>
      <c r="AY1078" s="1096"/>
    </row>
    <row r="1079" spans="1:51" x14ac:dyDescent="0.45">
      <c r="A1079" s="1096"/>
      <c r="B1079" s="1096"/>
      <c r="C1079" s="1096"/>
      <c r="D1079" s="1096"/>
      <c r="E1079" s="1096"/>
      <c r="F1079" s="1096"/>
      <c r="G1079" s="1096"/>
      <c r="H1079" s="1096"/>
      <c r="I1079" s="1096"/>
      <c r="J1079" s="1096"/>
      <c r="K1079" s="1096"/>
      <c r="L1079" s="1096"/>
      <c r="M1079" s="1096"/>
      <c r="N1079" s="1096"/>
      <c r="O1079" s="1096"/>
      <c r="P1079" s="1096"/>
      <c r="Q1079" s="1096"/>
      <c r="R1079" s="1096"/>
      <c r="S1079" s="1096"/>
      <c r="T1079" s="1096"/>
      <c r="U1079" s="1096"/>
      <c r="V1079" s="1096"/>
      <c r="W1079" s="1096"/>
      <c r="X1079" s="1096"/>
      <c r="Y1079" s="1096"/>
      <c r="Z1079" s="1096"/>
      <c r="AA1079" s="1096"/>
      <c r="AB1079" s="1096"/>
      <c r="AC1079" s="1096"/>
      <c r="AD1079" s="1096"/>
      <c r="AE1079" s="1096"/>
      <c r="AF1079" s="1096"/>
      <c r="AG1079" s="1096"/>
      <c r="AH1079" s="1096"/>
      <c r="AI1079" s="1096"/>
      <c r="AJ1079" s="1096"/>
      <c r="AK1079" s="1096"/>
      <c r="AL1079" s="1096"/>
      <c r="AM1079" s="1096"/>
      <c r="AN1079" s="1096"/>
      <c r="AO1079" s="1096"/>
      <c r="AP1079" s="1096"/>
      <c r="AQ1079" s="1096"/>
      <c r="AR1079" s="1096"/>
      <c r="AS1079" s="1096"/>
      <c r="AT1079" s="1096"/>
      <c r="AU1079" s="1096"/>
      <c r="AV1079" s="1096"/>
      <c r="AW1079" s="1096"/>
      <c r="AX1079" s="1096"/>
      <c r="AY1079" s="1096"/>
    </row>
    <row r="1080" spans="1:51" x14ac:dyDescent="0.45">
      <c r="A1080" s="1096"/>
      <c r="B1080" s="1096"/>
      <c r="C1080" s="1096"/>
      <c r="D1080" s="1096"/>
      <c r="E1080" s="1096"/>
      <c r="F1080" s="1096"/>
      <c r="G1080" s="1096"/>
      <c r="H1080" s="1096"/>
      <c r="I1080" s="1096"/>
      <c r="J1080" s="1096"/>
      <c r="K1080" s="1096"/>
      <c r="L1080" s="1096"/>
      <c r="M1080" s="1096"/>
      <c r="N1080" s="1096"/>
      <c r="O1080" s="1096"/>
      <c r="P1080" s="1096"/>
      <c r="Q1080" s="1096"/>
      <c r="R1080" s="1096"/>
      <c r="S1080" s="1096"/>
      <c r="T1080" s="1096"/>
      <c r="U1080" s="1096"/>
      <c r="V1080" s="1096"/>
      <c r="W1080" s="1096"/>
      <c r="X1080" s="1096"/>
      <c r="Y1080" s="1096"/>
      <c r="Z1080" s="1096"/>
      <c r="AA1080" s="1096"/>
      <c r="AB1080" s="1096"/>
      <c r="AC1080" s="1096"/>
      <c r="AD1080" s="1096"/>
      <c r="AE1080" s="1096"/>
      <c r="AF1080" s="1096"/>
      <c r="AG1080" s="1096"/>
      <c r="AH1080" s="1096"/>
      <c r="AI1080" s="1096"/>
      <c r="AJ1080" s="1096"/>
      <c r="AK1080" s="1096"/>
      <c r="AL1080" s="1096"/>
      <c r="AM1080" s="1096"/>
      <c r="AN1080" s="1096"/>
      <c r="AO1080" s="1096"/>
      <c r="AP1080" s="1096"/>
      <c r="AQ1080" s="1096"/>
      <c r="AR1080" s="1096"/>
      <c r="AS1080" s="1096"/>
      <c r="AT1080" s="1096"/>
      <c r="AU1080" s="1096"/>
      <c r="AV1080" s="1096"/>
      <c r="AW1080" s="1096"/>
      <c r="AX1080" s="1096"/>
      <c r="AY1080" s="1096"/>
    </row>
    <row r="1081" spans="1:51" x14ac:dyDescent="0.45">
      <c r="A1081" s="1096"/>
      <c r="B1081" s="1096"/>
      <c r="C1081" s="1096"/>
      <c r="D1081" s="1096"/>
      <c r="E1081" s="1096"/>
      <c r="F1081" s="1096"/>
      <c r="G1081" s="1096"/>
      <c r="H1081" s="1096"/>
      <c r="I1081" s="1096"/>
      <c r="J1081" s="1096"/>
      <c r="K1081" s="1096"/>
      <c r="L1081" s="1096"/>
      <c r="M1081" s="1096"/>
      <c r="N1081" s="1096"/>
      <c r="O1081" s="1096"/>
      <c r="P1081" s="1096"/>
      <c r="Q1081" s="1096"/>
      <c r="R1081" s="1096"/>
      <c r="S1081" s="1096"/>
      <c r="T1081" s="1096"/>
      <c r="U1081" s="1096"/>
      <c r="V1081" s="1096"/>
      <c r="W1081" s="1096"/>
      <c r="X1081" s="1096"/>
      <c r="Y1081" s="1096"/>
      <c r="Z1081" s="1096"/>
      <c r="AA1081" s="1096"/>
      <c r="AB1081" s="1096"/>
      <c r="AC1081" s="1096"/>
      <c r="AD1081" s="1096"/>
      <c r="AE1081" s="1096"/>
      <c r="AF1081" s="1096"/>
      <c r="AG1081" s="1096"/>
      <c r="AH1081" s="1096"/>
      <c r="AI1081" s="1096"/>
      <c r="AJ1081" s="1096"/>
      <c r="AK1081" s="1096"/>
      <c r="AL1081" s="1096"/>
      <c r="AM1081" s="1096"/>
      <c r="AN1081" s="1096"/>
      <c r="AO1081" s="1096"/>
      <c r="AP1081" s="1096"/>
      <c r="AQ1081" s="1096"/>
      <c r="AR1081" s="1096"/>
      <c r="AS1081" s="1096"/>
      <c r="AT1081" s="1096"/>
      <c r="AU1081" s="1096"/>
      <c r="AV1081" s="1096"/>
      <c r="AW1081" s="1096"/>
      <c r="AX1081" s="1096"/>
      <c r="AY1081" s="1096"/>
    </row>
    <row r="1082" spans="1:51" x14ac:dyDescent="0.45">
      <c r="A1082" s="1096"/>
      <c r="B1082" s="1096"/>
      <c r="C1082" s="1096"/>
      <c r="D1082" s="1096"/>
      <c r="E1082" s="1096"/>
      <c r="F1082" s="1096"/>
      <c r="G1082" s="1096"/>
      <c r="H1082" s="1096"/>
      <c r="I1082" s="1096"/>
      <c r="J1082" s="1096"/>
      <c r="K1082" s="1096"/>
      <c r="L1082" s="1096"/>
      <c r="M1082" s="1096"/>
      <c r="N1082" s="1096"/>
      <c r="O1082" s="1096"/>
      <c r="P1082" s="1096"/>
      <c r="Q1082" s="1096"/>
      <c r="R1082" s="1096"/>
      <c r="S1082" s="1096"/>
      <c r="T1082" s="1096"/>
      <c r="U1082" s="1096"/>
      <c r="V1082" s="1096"/>
      <c r="W1082" s="1096"/>
      <c r="X1082" s="1096"/>
      <c r="Y1082" s="1096"/>
      <c r="Z1082" s="1096"/>
      <c r="AA1082" s="1096"/>
      <c r="AB1082" s="1096"/>
      <c r="AC1082" s="1096"/>
      <c r="AD1082" s="1096"/>
      <c r="AE1082" s="1096"/>
      <c r="AF1082" s="1096"/>
      <c r="AG1082" s="1096"/>
      <c r="AH1082" s="1096"/>
      <c r="AI1082" s="1096"/>
      <c r="AJ1082" s="1096"/>
      <c r="AK1082" s="1096"/>
      <c r="AL1082" s="1096"/>
      <c r="AM1082" s="1096"/>
      <c r="AN1082" s="1096"/>
      <c r="AO1082" s="1096"/>
      <c r="AP1082" s="1096"/>
      <c r="AQ1082" s="1096"/>
      <c r="AR1082" s="1096"/>
      <c r="AS1082" s="1096"/>
      <c r="AT1082" s="1096"/>
      <c r="AU1082" s="1096"/>
      <c r="AV1082" s="1096"/>
      <c r="AW1082" s="1096"/>
      <c r="AX1082" s="1096"/>
      <c r="AY1082" s="1096"/>
    </row>
    <row r="1083" spans="1:51" x14ac:dyDescent="0.45">
      <c r="A1083" s="1096"/>
      <c r="B1083" s="1096"/>
      <c r="C1083" s="1096"/>
      <c r="D1083" s="1096"/>
      <c r="E1083" s="1096"/>
      <c r="F1083" s="1096"/>
      <c r="G1083" s="1096"/>
      <c r="H1083" s="1096"/>
      <c r="I1083" s="1096"/>
      <c r="J1083" s="1096"/>
      <c r="K1083" s="1096"/>
      <c r="L1083" s="1096"/>
      <c r="M1083" s="1096"/>
      <c r="N1083" s="1096"/>
      <c r="O1083" s="1096"/>
      <c r="P1083" s="1096"/>
      <c r="Q1083" s="1096"/>
      <c r="R1083" s="1096"/>
      <c r="S1083" s="1096"/>
      <c r="T1083" s="1096"/>
      <c r="U1083" s="1096"/>
      <c r="V1083" s="1096"/>
      <c r="W1083" s="1096"/>
      <c r="X1083" s="1096"/>
      <c r="Y1083" s="1096"/>
      <c r="Z1083" s="1096"/>
      <c r="AA1083" s="1096"/>
      <c r="AB1083" s="1096"/>
      <c r="AC1083" s="1096"/>
      <c r="AD1083" s="1096"/>
      <c r="AE1083" s="1096"/>
      <c r="AF1083" s="1096"/>
      <c r="AG1083" s="1096"/>
      <c r="AH1083" s="1096"/>
      <c r="AI1083" s="1096"/>
      <c r="AJ1083" s="1096"/>
      <c r="AK1083" s="1096"/>
      <c r="AL1083" s="1096"/>
      <c r="AM1083" s="1096"/>
      <c r="AN1083" s="1096"/>
      <c r="AO1083" s="1096"/>
      <c r="AP1083" s="1096"/>
      <c r="AQ1083" s="1096"/>
      <c r="AR1083" s="1096"/>
      <c r="AS1083" s="1096"/>
      <c r="AT1083" s="1096"/>
      <c r="AU1083" s="1096"/>
      <c r="AV1083" s="1096"/>
      <c r="AW1083" s="1096"/>
      <c r="AX1083" s="1096"/>
      <c r="AY1083" s="1096"/>
    </row>
    <row r="1084" spans="1:51" x14ac:dyDescent="0.45">
      <c r="A1084" s="1096"/>
      <c r="B1084" s="1096"/>
      <c r="C1084" s="1096"/>
      <c r="D1084" s="1096"/>
      <c r="E1084" s="1096"/>
      <c r="F1084" s="1096"/>
      <c r="G1084" s="1096"/>
      <c r="H1084" s="1096"/>
      <c r="I1084" s="1096"/>
      <c r="J1084" s="1096"/>
      <c r="K1084" s="1096"/>
      <c r="L1084" s="1096"/>
      <c r="M1084" s="1096"/>
      <c r="N1084" s="1096"/>
      <c r="O1084" s="1096"/>
      <c r="P1084" s="1096"/>
      <c r="Q1084" s="1096"/>
      <c r="R1084" s="1096"/>
      <c r="S1084" s="1096"/>
      <c r="T1084" s="1096"/>
      <c r="U1084" s="1096"/>
      <c r="V1084" s="1096"/>
      <c r="W1084" s="1096"/>
      <c r="X1084" s="1096"/>
      <c r="Y1084" s="1096"/>
      <c r="Z1084" s="1096"/>
      <c r="AA1084" s="1096"/>
      <c r="AB1084" s="1096"/>
      <c r="AC1084" s="1096"/>
      <c r="AD1084" s="1096"/>
      <c r="AE1084" s="1096"/>
      <c r="AF1084" s="1096"/>
      <c r="AG1084" s="1096"/>
      <c r="AH1084" s="1096"/>
      <c r="AI1084" s="1096"/>
      <c r="AJ1084" s="1096"/>
      <c r="AK1084" s="1096"/>
      <c r="AL1084" s="1096"/>
      <c r="AM1084" s="1096"/>
      <c r="AN1084" s="1096"/>
      <c r="AO1084" s="1096"/>
      <c r="AP1084" s="1096"/>
      <c r="AQ1084" s="1096"/>
      <c r="AR1084" s="1096"/>
      <c r="AS1084" s="1096"/>
      <c r="AT1084" s="1096"/>
      <c r="AU1084" s="1096"/>
      <c r="AV1084" s="1096"/>
      <c r="AW1084" s="1096"/>
      <c r="AX1084" s="1096"/>
      <c r="AY1084" s="1096"/>
    </row>
    <row r="1085" spans="1:51" x14ac:dyDescent="0.45">
      <c r="A1085" s="1096"/>
      <c r="B1085" s="1096"/>
      <c r="C1085" s="1096"/>
      <c r="D1085" s="1096"/>
      <c r="E1085" s="1096"/>
      <c r="F1085" s="1096"/>
      <c r="G1085" s="1096"/>
      <c r="H1085" s="1096"/>
      <c r="I1085" s="1096"/>
      <c r="J1085" s="1096"/>
      <c r="K1085" s="1096"/>
      <c r="L1085" s="1096"/>
      <c r="M1085" s="1096"/>
      <c r="N1085" s="1096"/>
      <c r="O1085" s="1096"/>
      <c r="P1085" s="1096"/>
      <c r="Q1085" s="1096"/>
      <c r="R1085" s="1096"/>
      <c r="S1085" s="1096"/>
      <c r="T1085" s="1096"/>
      <c r="U1085" s="1096"/>
      <c r="V1085" s="1096"/>
      <c r="W1085" s="1096"/>
      <c r="X1085" s="1096"/>
      <c r="Y1085" s="1096"/>
      <c r="Z1085" s="1096"/>
      <c r="AA1085" s="1096"/>
      <c r="AB1085" s="1096"/>
      <c r="AC1085" s="1096"/>
      <c r="AD1085" s="1096"/>
      <c r="AE1085" s="1096"/>
      <c r="AF1085" s="1096"/>
      <c r="AG1085" s="1096"/>
      <c r="AH1085" s="1096"/>
      <c r="AI1085" s="1096"/>
      <c r="AJ1085" s="1096"/>
      <c r="AK1085" s="1096"/>
      <c r="AL1085" s="1096"/>
      <c r="AM1085" s="1096"/>
      <c r="AN1085" s="1096"/>
      <c r="AO1085" s="1096"/>
      <c r="AP1085" s="1096"/>
      <c r="AQ1085" s="1096"/>
      <c r="AR1085" s="1096"/>
      <c r="AS1085" s="1096"/>
      <c r="AT1085" s="1096"/>
      <c r="AU1085" s="1096"/>
      <c r="AV1085" s="1096"/>
      <c r="AW1085" s="1096"/>
      <c r="AX1085" s="1096"/>
      <c r="AY1085" s="1096"/>
    </row>
    <row r="1086" spans="1:51" x14ac:dyDescent="0.45">
      <c r="A1086" s="1096"/>
      <c r="B1086" s="1096"/>
      <c r="C1086" s="1096"/>
      <c r="D1086" s="1096"/>
      <c r="E1086" s="1096"/>
      <c r="F1086" s="1096"/>
      <c r="G1086" s="1096"/>
      <c r="H1086" s="1096"/>
      <c r="I1086" s="1096"/>
      <c r="J1086" s="1096"/>
      <c r="K1086" s="1096"/>
      <c r="L1086" s="1096"/>
      <c r="M1086" s="1096"/>
      <c r="N1086" s="1096"/>
      <c r="O1086" s="1096"/>
      <c r="P1086" s="1096"/>
      <c r="Q1086" s="1096"/>
      <c r="R1086" s="1096"/>
      <c r="S1086" s="1096"/>
      <c r="T1086" s="1096"/>
      <c r="U1086" s="1096"/>
      <c r="V1086" s="1096"/>
      <c r="W1086" s="1096"/>
      <c r="X1086" s="1096"/>
      <c r="Y1086" s="1096"/>
      <c r="Z1086" s="1096"/>
      <c r="AA1086" s="1096"/>
      <c r="AB1086" s="1096"/>
      <c r="AC1086" s="1096"/>
      <c r="AD1086" s="1096"/>
      <c r="AE1086" s="1096"/>
      <c r="AF1086" s="1096"/>
      <c r="AG1086" s="1096"/>
      <c r="AH1086" s="1096"/>
      <c r="AI1086" s="1096"/>
      <c r="AJ1086" s="1096"/>
      <c r="AK1086" s="1096"/>
      <c r="AL1086" s="1096"/>
      <c r="AM1086" s="1096"/>
      <c r="AN1086" s="1096"/>
      <c r="AO1086" s="1096"/>
      <c r="AP1086" s="1096"/>
      <c r="AQ1086" s="1096"/>
      <c r="AR1086" s="1096"/>
      <c r="AS1086" s="1096"/>
      <c r="AT1086" s="1096"/>
      <c r="AU1086" s="1096"/>
      <c r="AV1086" s="1096"/>
      <c r="AW1086" s="1096"/>
      <c r="AX1086" s="1096"/>
      <c r="AY1086" s="1096"/>
    </row>
    <row r="1087" spans="1:51" x14ac:dyDescent="0.45">
      <c r="A1087" s="1096"/>
      <c r="B1087" s="1096"/>
      <c r="C1087" s="1096"/>
      <c r="D1087" s="1096"/>
      <c r="E1087" s="1096"/>
      <c r="F1087" s="1096"/>
      <c r="G1087" s="1096"/>
      <c r="H1087" s="1096"/>
      <c r="I1087" s="1096"/>
      <c r="J1087" s="1096"/>
      <c r="K1087" s="1096"/>
      <c r="L1087" s="1096"/>
      <c r="M1087" s="1096"/>
      <c r="N1087" s="1096"/>
      <c r="O1087" s="1096"/>
      <c r="P1087" s="1096"/>
      <c r="Q1087" s="1096"/>
      <c r="R1087" s="1096"/>
      <c r="S1087" s="1096"/>
      <c r="T1087" s="1096"/>
      <c r="U1087" s="1096"/>
      <c r="V1087" s="1096"/>
      <c r="W1087" s="1096"/>
      <c r="X1087" s="1096"/>
      <c r="Y1087" s="1096"/>
      <c r="Z1087" s="1096"/>
      <c r="AA1087" s="1096"/>
      <c r="AB1087" s="1096"/>
      <c r="AC1087" s="1096"/>
      <c r="AD1087" s="1096"/>
      <c r="AE1087" s="1096"/>
      <c r="AF1087" s="1096"/>
      <c r="AG1087" s="1096"/>
      <c r="AH1087" s="1096"/>
      <c r="AI1087" s="1096"/>
      <c r="AJ1087" s="1096"/>
      <c r="AK1087" s="1096"/>
      <c r="AL1087" s="1096"/>
      <c r="AM1087" s="1096"/>
      <c r="AN1087" s="1096"/>
      <c r="AO1087" s="1096"/>
      <c r="AP1087" s="1096"/>
      <c r="AQ1087" s="1096"/>
      <c r="AR1087" s="1096"/>
      <c r="AS1087" s="1096"/>
      <c r="AT1087" s="1096"/>
      <c r="AU1087" s="1096"/>
      <c r="AV1087" s="1096"/>
      <c r="AW1087" s="1096"/>
      <c r="AX1087" s="1096"/>
      <c r="AY1087" s="1096"/>
    </row>
    <row r="1088" spans="1:51" x14ac:dyDescent="0.45">
      <c r="A1088" s="1096"/>
      <c r="B1088" s="1096"/>
      <c r="C1088" s="1096"/>
      <c r="D1088" s="1096"/>
      <c r="E1088" s="1096"/>
      <c r="F1088" s="1096"/>
      <c r="G1088" s="1096"/>
      <c r="H1088" s="1096"/>
      <c r="I1088" s="1096"/>
      <c r="J1088" s="1096"/>
      <c r="K1088" s="1096"/>
      <c r="L1088" s="1096"/>
      <c r="M1088" s="1096"/>
      <c r="N1088" s="1096"/>
      <c r="O1088" s="1096"/>
      <c r="P1088" s="1096"/>
      <c r="Q1088" s="1096"/>
      <c r="R1088" s="1096"/>
      <c r="S1088" s="1096"/>
      <c r="T1088" s="1096"/>
      <c r="U1088" s="1096"/>
      <c r="V1088" s="1096"/>
      <c r="W1088" s="1096"/>
      <c r="X1088" s="1096"/>
      <c r="Y1088" s="1096"/>
      <c r="Z1088" s="1096"/>
      <c r="AA1088" s="1096"/>
      <c r="AB1088" s="1096"/>
      <c r="AC1088" s="1096"/>
      <c r="AD1088" s="1096"/>
      <c r="AE1088" s="1096"/>
      <c r="AF1088" s="1096"/>
      <c r="AG1088" s="1096"/>
      <c r="AH1088" s="1096"/>
      <c r="AI1088" s="1096"/>
      <c r="AJ1088" s="1096"/>
      <c r="AK1088" s="1096"/>
      <c r="AL1088" s="1096"/>
      <c r="AM1088" s="1096"/>
      <c r="AN1088" s="1096"/>
      <c r="AO1088" s="1096"/>
      <c r="AP1088" s="1096"/>
      <c r="AQ1088" s="1096"/>
      <c r="AR1088" s="1096"/>
      <c r="AS1088" s="1096"/>
      <c r="AT1088" s="1096"/>
      <c r="AU1088" s="1096"/>
      <c r="AV1088" s="1096"/>
      <c r="AW1088" s="1096"/>
      <c r="AX1088" s="1096"/>
      <c r="AY1088" s="1096"/>
    </row>
    <row r="1089" spans="1:51" x14ac:dyDescent="0.45">
      <c r="A1089" s="1096"/>
      <c r="B1089" s="1096"/>
      <c r="C1089" s="1096"/>
      <c r="D1089" s="1096"/>
      <c r="E1089" s="1096"/>
      <c r="F1089" s="1096"/>
      <c r="G1089" s="1096"/>
      <c r="H1089" s="1096"/>
      <c r="I1089" s="1096"/>
      <c r="J1089" s="1096"/>
      <c r="K1089" s="1096"/>
      <c r="L1089" s="1096"/>
      <c r="M1089" s="1096"/>
      <c r="N1089" s="1096"/>
      <c r="O1089" s="1096"/>
      <c r="P1089" s="1096"/>
      <c r="Q1089" s="1096"/>
      <c r="R1089" s="1096"/>
      <c r="S1089" s="1096"/>
      <c r="T1089" s="1096"/>
      <c r="U1089" s="1096"/>
      <c r="V1089" s="1096"/>
      <c r="W1089" s="1096"/>
      <c r="X1089" s="1096"/>
      <c r="Y1089" s="1096"/>
      <c r="Z1089" s="1096"/>
      <c r="AA1089" s="1096"/>
      <c r="AB1089" s="1096"/>
      <c r="AC1089" s="1096"/>
      <c r="AD1089" s="1096"/>
      <c r="AE1089" s="1096"/>
      <c r="AF1089" s="1096"/>
      <c r="AG1089" s="1096"/>
      <c r="AH1089" s="1096"/>
      <c r="AI1089" s="1096"/>
      <c r="AJ1089" s="1096"/>
      <c r="AK1089" s="1096"/>
      <c r="AL1089" s="1096"/>
      <c r="AM1089" s="1096"/>
      <c r="AN1089" s="1096"/>
      <c r="AO1089" s="1096"/>
      <c r="AP1089" s="1096"/>
      <c r="AQ1089" s="1096"/>
      <c r="AR1089" s="1096"/>
      <c r="AS1089" s="1096"/>
      <c r="AT1089" s="1096"/>
      <c r="AU1089" s="1096"/>
      <c r="AV1089" s="1096"/>
      <c r="AW1089" s="1096"/>
      <c r="AX1089" s="1096"/>
      <c r="AY1089" s="1096"/>
    </row>
    <row r="1090" spans="1:51" x14ac:dyDescent="0.45">
      <c r="A1090" s="1096"/>
      <c r="B1090" s="1096"/>
      <c r="C1090" s="1096"/>
      <c r="D1090" s="1096"/>
      <c r="E1090" s="1096"/>
      <c r="F1090" s="1096"/>
      <c r="G1090" s="1096"/>
      <c r="H1090" s="1096"/>
      <c r="I1090" s="1096"/>
      <c r="J1090" s="1096"/>
      <c r="K1090" s="1096"/>
      <c r="L1090" s="1096"/>
      <c r="M1090" s="1096"/>
      <c r="N1090" s="1096"/>
      <c r="O1090" s="1096"/>
      <c r="P1090" s="1096"/>
      <c r="Q1090" s="1096"/>
      <c r="R1090" s="1096"/>
      <c r="S1090" s="1096"/>
      <c r="T1090" s="1096"/>
      <c r="U1090" s="1096"/>
      <c r="V1090" s="1096"/>
      <c r="W1090" s="1096"/>
      <c r="X1090" s="1096"/>
      <c r="Y1090" s="1096"/>
      <c r="Z1090" s="1096"/>
      <c r="AA1090" s="1096"/>
      <c r="AB1090" s="1096"/>
      <c r="AC1090" s="1096"/>
      <c r="AD1090" s="1096"/>
      <c r="AE1090" s="1096"/>
      <c r="AF1090" s="1096"/>
      <c r="AG1090" s="1096"/>
      <c r="AH1090" s="1096"/>
      <c r="AI1090" s="1096"/>
      <c r="AJ1090" s="1096"/>
      <c r="AK1090" s="1096"/>
      <c r="AL1090" s="1096"/>
      <c r="AM1090" s="1096"/>
      <c r="AN1090" s="1096"/>
      <c r="AO1090" s="1096"/>
      <c r="AP1090" s="1096"/>
      <c r="AQ1090" s="1096"/>
      <c r="AR1090" s="1096"/>
      <c r="AS1090" s="1096"/>
      <c r="AT1090" s="1096"/>
      <c r="AU1090" s="1096"/>
      <c r="AV1090" s="1096"/>
      <c r="AW1090" s="1096"/>
      <c r="AX1090" s="1096"/>
      <c r="AY1090" s="1096"/>
    </row>
    <row r="1091" spans="1:51" x14ac:dyDescent="0.45">
      <c r="A1091" s="1096"/>
      <c r="B1091" s="1096"/>
      <c r="C1091" s="1096"/>
      <c r="D1091" s="1096"/>
      <c r="E1091" s="1096"/>
      <c r="F1091" s="1096"/>
      <c r="G1091" s="1096"/>
      <c r="H1091" s="1096"/>
      <c r="I1091" s="1096"/>
      <c r="J1091" s="1096"/>
      <c r="K1091" s="1096"/>
      <c r="L1091" s="1096"/>
      <c r="M1091" s="1096"/>
      <c r="N1091" s="1096"/>
      <c r="O1091" s="1096"/>
      <c r="P1091" s="1096"/>
      <c r="Q1091" s="1096"/>
      <c r="R1091" s="1096"/>
      <c r="S1091" s="1096"/>
      <c r="T1091" s="1096"/>
      <c r="U1091" s="1096"/>
      <c r="V1091" s="1096"/>
      <c r="W1091" s="1096"/>
      <c r="X1091" s="1096"/>
      <c r="Y1091" s="1096"/>
      <c r="Z1091" s="1096"/>
      <c r="AA1091" s="1096"/>
      <c r="AB1091" s="1096"/>
      <c r="AC1091" s="1096"/>
      <c r="AD1091" s="1096"/>
      <c r="AE1091" s="1096"/>
      <c r="AF1091" s="1096"/>
      <c r="AG1091" s="1096"/>
      <c r="AH1091" s="1096"/>
      <c r="AI1091" s="1096"/>
      <c r="AJ1091" s="1096"/>
      <c r="AK1091" s="1096"/>
      <c r="AL1091" s="1096"/>
      <c r="AM1091" s="1096"/>
      <c r="AN1091" s="1096"/>
      <c r="AO1091" s="1096"/>
      <c r="AP1091" s="1096"/>
      <c r="AQ1091" s="1096"/>
      <c r="AR1091" s="1096"/>
      <c r="AS1091" s="1096"/>
      <c r="AT1091" s="1096"/>
      <c r="AU1091" s="1096"/>
      <c r="AV1091" s="1096"/>
      <c r="AW1091" s="1096"/>
      <c r="AX1091" s="1096"/>
      <c r="AY1091" s="1096"/>
    </row>
    <row r="1092" spans="1:51" x14ac:dyDescent="0.45">
      <c r="A1092" s="1096"/>
      <c r="B1092" s="1096"/>
      <c r="C1092" s="1096"/>
      <c r="D1092" s="1096"/>
      <c r="E1092" s="1096"/>
      <c r="F1092" s="1096"/>
      <c r="G1092" s="1096"/>
      <c r="H1092" s="1096"/>
      <c r="I1092" s="1096"/>
      <c r="J1092" s="1096"/>
      <c r="K1092" s="1096"/>
      <c r="L1092" s="1096"/>
      <c r="M1092" s="1096"/>
      <c r="N1092" s="1096"/>
      <c r="O1092" s="1096"/>
      <c r="P1092" s="1096"/>
      <c r="Q1092" s="1096"/>
      <c r="R1092" s="1096"/>
      <c r="S1092" s="1096"/>
      <c r="T1092" s="1096"/>
      <c r="U1092" s="1096"/>
      <c r="V1092" s="1096"/>
      <c r="W1092" s="1096"/>
      <c r="X1092" s="1096"/>
      <c r="Y1092" s="1096"/>
      <c r="Z1092" s="1096"/>
      <c r="AA1092" s="1096"/>
      <c r="AB1092" s="1096"/>
      <c r="AC1092" s="1096"/>
      <c r="AD1092" s="1096"/>
      <c r="AE1092" s="1096"/>
      <c r="AF1092" s="1096"/>
      <c r="AG1092" s="1096"/>
      <c r="AH1092" s="1096"/>
      <c r="AI1092" s="1096"/>
      <c r="AJ1092" s="1096"/>
      <c r="AK1092" s="1096"/>
      <c r="AL1092" s="1096"/>
      <c r="AM1092" s="1096"/>
      <c r="AN1092" s="1096"/>
      <c r="AO1092" s="1096"/>
      <c r="AP1092" s="1096"/>
      <c r="AQ1092" s="1096"/>
      <c r="AR1092" s="1096"/>
      <c r="AS1092" s="1096"/>
      <c r="AT1092" s="1096"/>
      <c r="AU1092" s="1096"/>
      <c r="AV1092" s="1096"/>
      <c r="AW1092" s="1096"/>
      <c r="AX1092" s="1096"/>
      <c r="AY1092" s="1096"/>
    </row>
    <row r="1093" spans="1:51" x14ac:dyDescent="0.45">
      <c r="A1093" s="1096"/>
      <c r="B1093" s="1096"/>
      <c r="C1093" s="1096"/>
      <c r="D1093" s="1096"/>
      <c r="E1093" s="1096"/>
      <c r="F1093" s="1096"/>
      <c r="G1093" s="1096"/>
      <c r="H1093" s="1096"/>
      <c r="I1093" s="1096"/>
      <c r="J1093" s="1096"/>
      <c r="K1093" s="1096"/>
      <c r="L1093" s="1096"/>
      <c r="M1093" s="1096"/>
      <c r="N1093" s="1096"/>
      <c r="O1093" s="1096"/>
      <c r="P1093" s="1096"/>
      <c r="Q1093" s="1096"/>
      <c r="R1093" s="1096"/>
      <c r="S1093" s="1096"/>
      <c r="T1093" s="1096"/>
      <c r="U1093" s="1096"/>
      <c r="V1093" s="1096"/>
      <c r="W1093" s="1096"/>
      <c r="X1093" s="1096"/>
      <c r="Y1093" s="1096"/>
      <c r="Z1093" s="1096"/>
      <c r="AA1093" s="1096"/>
      <c r="AB1093" s="1096"/>
      <c r="AC1093" s="1096"/>
      <c r="AD1093" s="1096"/>
      <c r="AE1093" s="1096"/>
      <c r="AF1093" s="1096"/>
      <c r="AG1093" s="1096"/>
      <c r="AH1093" s="1096"/>
      <c r="AI1093" s="1096"/>
      <c r="AJ1093" s="1096"/>
      <c r="AK1093" s="1096"/>
      <c r="AL1093" s="1096"/>
      <c r="AM1093" s="1096"/>
      <c r="AN1093" s="1096"/>
      <c r="AO1093" s="1096"/>
      <c r="AP1093" s="1096"/>
      <c r="AQ1093" s="1096"/>
      <c r="AR1093" s="1096"/>
      <c r="AS1093" s="1096"/>
      <c r="AT1093" s="1096"/>
      <c r="AU1093" s="1096"/>
      <c r="AV1093" s="1096"/>
      <c r="AW1093" s="1096"/>
      <c r="AX1093" s="1096"/>
      <c r="AY1093" s="1096"/>
    </row>
    <row r="1094" spans="1:51" x14ac:dyDescent="0.45">
      <c r="A1094" s="1096"/>
      <c r="B1094" s="1096"/>
      <c r="C1094" s="1096"/>
      <c r="D1094" s="1096"/>
      <c r="E1094" s="1096"/>
      <c r="F1094" s="1096"/>
      <c r="G1094" s="1096"/>
      <c r="H1094" s="1096"/>
      <c r="I1094" s="1096"/>
      <c r="J1094" s="1096"/>
      <c r="K1094" s="1096"/>
      <c r="L1094" s="1096"/>
      <c r="M1094" s="1096"/>
      <c r="N1094" s="1096"/>
      <c r="O1094" s="1096"/>
      <c r="P1094" s="1096"/>
      <c r="Q1094" s="1096"/>
      <c r="R1094" s="1096"/>
      <c r="S1094" s="1096"/>
      <c r="T1094" s="1096"/>
      <c r="U1094" s="1096"/>
      <c r="V1094" s="1096"/>
      <c r="W1094" s="1096"/>
      <c r="X1094" s="1096"/>
      <c r="Y1094" s="1096"/>
      <c r="Z1094" s="1096"/>
      <c r="AA1094" s="1096"/>
      <c r="AB1094" s="1096"/>
      <c r="AC1094" s="1096"/>
      <c r="AD1094" s="1096"/>
      <c r="AE1094" s="1096"/>
      <c r="AF1094" s="1096"/>
      <c r="AG1094" s="1096"/>
      <c r="AH1094" s="1096"/>
      <c r="AI1094" s="1096"/>
      <c r="AJ1094" s="1096"/>
      <c r="AK1094" s="1096"/>
      <c r="AL1094" s="1096"/>
      <c r="AM1094" s="1096"/>
      <c r="AN1094" s="1096"/>
      <c r="AO1094" s="1096"/>
      <c r="AP1094" s="1096"/>
      <c r="AQ1094" s="1096"/>
      <c r="AR1094" s="1096"/>
      <c r="AS1094" s="1096"/>
      <c r="AT1094" s="1096"/>
      <c r="AU1094" s="1096"/>
      <c r="AV1094" s="1096"/>
      <c r="AW1094" s="1096"/>
      <c r="AX1094" s="1096"/>
      <c r="AY1094" s="1096"/>
    </row>
    <row r="1095" spans="1:51" x14ac:dyDescent="0.45">
      <c r="A1095" s="1096"/>
      <c r="B1095" s="1096"/>
      <c r="C1095" s="1096"/>
      <c r="D1095" s="1096"/>
      <c r="E1095" s="1096"/>
      <c r="F1095" s="1096"/>
      <c r="G1095" s="1096"/>
      <c r="H1095" s="1096"/>
      <c r="I1095" s="1096"/>
      <c r="J1095" s="1096"/>
      <c r="K1095" s="1096"/>
      <c r="L1095" s="1096"/>
      <c r="M1095" s="1096"/>
      <c r="N1095" s="1096"/>
      <c r="O1095" s="1096"/>
      <c r="P1095" s="1096"/>
      <c r="Q1095" s="1096"/>
      <c r="R1095" s="1096"/>
      <c r="S1095" s="1096"/>
      <c r="T1095" s="1096"/>
      <c r="U1095" s="1096"/>
      <c r="V1095" s="1096"/>
      <c r="W1095" s="1096"/>
      <c r="X1095" s="1096"/>
      <c r="Y1095" s="1096"/>
      <c r="Z1095" s="1096"/>
      <c r="AA1095" s="1096"/>
      <c r="AB1095" s="1096"/>
      <c r="AC1095" s="1096"/>
      <c r="AD1095" s="1096"/>
      <c r="AE1095" s="1096"/>
      <c r="AF1095" s="1096"/>
      <c r="AG1095" s="1096"/>
      <c r="AH1095" s="1096"/>
      <c r="AI1095" s="1096"/>
      <c r="AJ1095" s="1096"/>
      <c r="AK1095" s="1096"/>
      <c r="AL1095" s="1096"/>
      <c r="AM1095" s="1096"/>
      <c r="AN1095" s="1096"/>
      <c r="AO1095" s="1096"/>
      <c r="AP1095" s="1096"/>
      <c r="AQ1095" s="1096"/>
      <c r="AR1095" s="1096"/>
      <c r="AS1095" s="1096"/>
      <c r="AT1095" s="1096"/>
      <c r="AU1095" s="1096"/>
      <c r="AV1095" s="1096"/>
      <c r="AW1095" s="1096"/>
      <c r="AX1095" s="1096"/>
      <c r="AY1095" s="1096"/>
    </row>
    <row r="1096" spans="1:51" x14ac:dyDescent="0.45">
      <c r="A1096" s="1096"/>
      <c r="B1096" s="1096"/>
      <c r="C1096" s="1096"/>
      <c r="D1096" s="1096"/>
      <c r="E1096" s="1096"/>
      <c r="F1096" s="1096"/>
      <c r="G1096" s="1096"/>
      <c r="H1096" s="1096"/>
      <c r="I1096" s="1096"/>
      <c r="J1096" s="1096"/>
      <c r="K1096" s="1096"/>
      <c r="L1096" s="1096"/>
      <c r="M1096" s="1096"/>
      <c r="N1096" s="1096"/>
      <c r="O1096" s="1096"/>
      <c r="P1096" s="1096"/>
      <c r="Q1096" s="1096"/>
      <c r="R1096" s="1096"/>
      <c r="S1096" s="1096"/>
      <c r="T1096" s="1096"/>
      <c r="U1096" s="1096"/>
      <c r="V1096" s="1096"/>
      <c r="W1096" s="1096"/>
      <c r="X1096" s="1096"/>
      <c r="Y1096" s="1096"/>
      <c r="Z1096" s="1096"/>
      <c r="AA1096" s="1096"/>
      <c r="AB1096" s="1096"/>
      <c r="AC1096" s="1096"/>
      <c r="AD1096" s="1096"/>
      <c r="AE1096" s="1096"/>
      <c r="AF1096" s="1096"/>
      <c r="AG1096" s="1096"/>
      <c r="AH1096" s="1096"/>
      <c r="AI1096" s="1096"/>
      <c r="AJ1096" s="1096"/>
      <c r="AK1096" s="1096"/>
      <c r="AL1096" s="1096"/>
      <c r="AM1096" s="1096"/>
      <c r="AN1096" s="1096"/>
      <c r="AO1096" s="1096"/>
      <c r="AP1096" s="1096"/>
      <c r="AQ1096" s="1096"/>
      <c r="AR1096" s="1096"/>
      <c r="AS1096" s="1096"/>
      <c r="AT1096" s="1096"/>
      <c r="AU1096" s="1096"/>
      <c r="AV1096" s="1096"/>
      <c r="AW1096" s="1096"/>
      <c r="AX1096" s="1096"/>
      <c r="AY1096" s="1096"/>
    </row>
    <row r="1097" spans="1:51" x14ac:dyDescent="0.45">
      <c r="A1097" s="1096"/>
      <c r="B1097" s="1096"/>
      <c r="C1097" s="1096"/>
      <c r="D1097" s="1096"/>
      <c r="E1097" s="1096"/>
      <c r="F1097" s="1096"/>
      <c r="G1097" s="1096"/>
      <c r="H1097" s="1096"/>
      <c r="I1097" s="1096"/>
      <c r="J1097" s="1096"/>
      <c r="K1097" s="1096"/>
      <c r="L1097" s="1096"/>
      <c r="M1097" s="1096"/>
      <c r="N1097" s="1096"/>
      <c r="O1097" s="1096"/>
      <c r="P1097" s="1096"/>
      <c r="Q1097" s="1096"/>
      <c r="R1097" s="1096"/>
      <c r="S1097" s="1096"/>
      <c r="T1097" s="1096"/>
      <c r="U1097" s="1096"/>
      <c r="V1097" s="1096"/>
      <c r="W1097" s="1096"/>
      <c r="X1097" s="1096"/>
      <c r="Y1097" s="1096"/>
      <c r="Z1097" s="1096"/>
      <c r="AA1097" s="1096"/>
      <c r="AB1097" s="1096"/>
      <c r="AC1097" s="1096"/>
      <c r="AD1097" s="1096"/>
      <c r="AE1097" s="1096"/>
      <c r="AF1097" s="1096"/>
      <c r="AG1097" s="1096"/>
      <c r="AH1097" s="1096"/>
      <c r="AI1097" s="1096"/>
      <c r="AJ1097" s="1096"/>
      <c r="AK1097" s="1096"/>
      <c r="AL1097" s="1096"/>
      <c r="AM1097" s="1096"/>
      <c r="AN1097" s="1096"/>
      <c r="AO1097" s="1096"/>
      <c r="AP1097" s="1096"/>
      <c r="AQ1097" s="1096"/>
      <c r="AR1097" s="1096"/>
      <c r="AS1097" s="1096"/>
      <c r="AT1097" s="1096"/>
      <c r="AU1097" s="1096"/>
      <c r="AV1097" s="1096"/>
      <c r="AW1097" s="1096"/>
      <c r="AX1097" s="1096"/>
      <c r="AY1097" s="1096"/>
    </row>
    <row r="1098" spans="1:51" x14ac:dyDescent="0.45">
      <c r="A1098" s="1096"/>
      <c r="B1098" s="1096"/>
      <c r="C1098" s="1096"/>
      <c r="D1098" s="1096"/>
      <c r="E1098" s="1096"/>
      <c r="F1098" s="1096"/>
      <c r="G1098" s="1096"/>
      <c r="H1098" s="1096"/>
      <c r="I1098" s="1096"/>
      <c r="J1098" s="1096"/>
      <c r="K1098" s="1096"/>
      <c r="L1098" s="1096"/>
      <c r="M1098" s="1096"/>
      <c r="N1098" s="1096"/>
      <c r="O1098" s="1096"/>
      <c r="P1098" s="1096"/>
      <c r="Q1098" s="1096"/>
      <c r="R1098" s="1096"/>
      <c r="S1098" s="1096"/>
      <c r="T1098" s="1096"/>
      <c r="U1098" s="1096"/>
      <c r="V1098" s="1096"/>
      <c r="W1098" s="1096"/>
      <c r="X1098" s="1096"/>
      <c r="Y1098" s="1096"/>
      <c r="Z1098" s="1096"/>
      <c r="AA1098" s="1096"/>
      <c r="AB1098" s="1096"/>
      <c r="AC1098" s="1096"/>
      <c r="AD1098" s="1096"/>
      <c r="AE1098" s="1096"/>
      <c r="AF1098" s="1096"/>
      <c r="AG1098" s="1096"/>
      <c r="AH1098" s="1096"/>
      <c r="AI1098" s="1096"/>
      <c r="AJ1098" s="1096"/>
      <c r="AK1098" s="1096"/>
      <c r="AL1098" s="1096"/>
      <c r="AM1098" s="1096"/>
      <c r="AN1098" s="1096"/>
      <c r="AO1098" s="1096"/>
      <c r="AP1098" s="1096"/>
      <c r="AQ1098" s="1096"/>
      <c r="AR1098" s="1096"/>
      <c r="AS1098" s="1096"/>
      <c r="AT1098" s="1096"/>
      <c r="AU1098" s="1096"/>
      <c r="AV1098" s="1096"/>
      <c r="AW1098" s="1096"/>
      <c r="AX1098" s="1096"/>
      <c r="AY1098" s="1096"/>
    </row>
    <row r="1099" spans="1:51" x14ac:dyDescent="0.45">
      <c r="A1099" s="1096"/>
      <c r="B1099" s="1096"/>
      <c r="C1099" s="1096"/>
      <c r="D1099" s="1096"/>
      <c r="E1099" s="1096"/>
      <c r="F1099" s="1096"/>
      <c r="G1099" s="1096"/>
      <c r="H1099" s="1096"/>
      <c r="I1099" s="1096"/>
      <c r="J1099" s="1096"/>
      <c r="K1099" s="1096"/>
      <c r="L1099" s="1096"/>
      <c r="M1099" s="1096"/>
      <c r="N1099" s="1096"/>
      <c r="O1099" s="1096"/>
      <c r="P1099" s="1096"/>
      <c r="Q1099" s="1096"/>
      <c r="R1099" s="1096"/>
      <c r="S1099" s="1096"/>
      <c r="T1099" s="1096"/>
      <c r="U1099" s="1096"/>
      <c r="V1099" s="1096"/>
      <c r="W1099" s="1096"/>
      <c r="X1099" s="1096"/>
      <c r="Y1099" s="1096"/>
      <c r="Z1099" s="1096"/>
      <c r="AA1099" s="1096"/>
      <c r="AB1099" s="1096"/>
      <c r="AC1099" s="1096"/>
      <c r="AD1099" s="1096"/>
      <c r="AE1099" s="1096"/>
      <c r="AF1099" s="1096"/>
      <c r="AG1099" s="1096"/>
      <c r="AH1099" s="1096"/>
      <c r="AI1099" s="1096"/>
      <c r="AJ1099" s="1096"/>
      <c r="AK1099" s="1096"/>
      <c r="AL1099" s="1096"/>
      <c r="AM1099" s="1096"/>
      <c r="AN1099" s="1096"/>
      <c r="AO1099" s="1096"/>
      <c r="AP1099" s="1096"/>
      <c r="AQ1099" s="1096"/>
      <c r="AR1099" s="1096"/>
      <c r="AS1099" s="1096"/>
      <c r="AT1099" s="1096"/>
      <c r="AU1099" s="1096"/>
      <c r="AV1099" s="1096"/>
      <c r="AW1099" s="1096"/>
      <c r="AX1099" s="1096"/>
      <c r="AY1099" s="1096"/>
    </row>
    <row r="1100" spans="1:51" x14ac:dyDescent="0.45">
      <c r="A1100" s="1096"/>
      <c r="B1100" s="1096"/>
      <c r="C1100" s="1096"/>
      <c r="D1100" s="1096"/>
      <c r="E1100" s="1096"/>
      <c r="F1100" s="1096"/>
      <c r="G1100" s="1096"/>
      <c r="H1100" s="1096"/>
      <c r="I1100" s="1096"/>
      <c r="J1100" s="1096"/>
      <c r="K1100" s="1096"/>
      <c r="L1100" s="1096"/>
      <c r="M1100" s="1096"/>
      <c r="N1100" s="1096"/>
      <c r="O1100" s="1096"/>
      <c r="P1100" s="1096"/>
      <c r="Q1100" s="1096"/>
      <c r="R1100" s="1096"/>
      <c r="S1100" s="1096"/>
      <c r="T1100" s="1096"/>
      <c r="U1100" s="1096"/>
      <c r="V1100" s="1096"/>
      <c r="W1100" s="1096"/>
      <c r="X1100" s="1096"/>
      <c r="Y1100" s="1096"/>
      <c r="Z1100" s="1096"/>
      <c r="AA1100" s="1096"/>
      <c r="AB1100" s="1096"/>
      <c r="AC1100" s="1096"/>
      <c r="AD1100" s="1096"/>
      <c r="AE1100" s="1096"/>
      <c r="AF1100" s="1096"/>
      <c r="AG1100" s="1096"/>
      <c r="AH1100" s="1096"/>
      <c r="AI1100" s="1096"/>
      <c r="AJ1100" s="1096"/>
      <c r="AK1100" s="1096"/>
      <c r="AL1100" s="1096"/>
      <c r="AM1100" s="1096"/>
      <c r="AN1100" s="1096"/>
      <c r="AO1100" s="1096"/>
      <c r="AP1100" s="1096"/>
      <c r="AQ1100" s="1096"/>
      <c r="AR1100" s="1096"/>
      <c r="AS1100" s="1096"/>
      <c r="AT1100" s="1096"/>
      <c r="AU1100" s="1096"/>
      <c r="AV1100" s="1096"/>
      <c r="AW1100" s="1096"/>
      <c r="AX1100" s="1096"/>
      <c r="AY1100" s="1096"/>
    </row>
    <row r="1101" spans="1:51" x14ac:dyDescent="0.45">
      <c r="A1101" s="1096"/>
      <c r="B1101" s="1096"/>
      <c r="C1101" s="1096"/>
      <c r="D1101" s="1096"/>
      <c r="E1101" s="1096"/>
      <c r="F1101" s="1096"/>
      <c r="G1101" s="1096"/>
      <c r="H1101" s="1096"/>
      <c r="I1101" s="1096"/>
      <c r="J1101" s="1096"/>
      <c r="K1101" s="1096"/>
      <c r="L1101" s="1096"/>
      <c r="M1101" s="1096"/>
      <c r="N1101" s="1096"/>
      <c r="O1101" s="1096"/>
      <c r="P1101" s="1096"/>
      <c r="Q1101" s="1096"/>
      <c r="R1101" s="1096"/>
      <c r="S1101" s="1096"/>
      <c r="T1101" s="1096"/>
      <c r="U1101" s="1096"/>
      <c r="V1101" s="1096"/>
      <c r="W1101" s="1096"/>
      <c r="X1101" s="1096"/>
      <c r="Y1101" s="1096"/>
      <c r="Z1101" s="1096"/>
      <c r="AA1101" s="1096"/>
      <c r="AB1101" s="1096"/>
      <c r="AC1101" s="1096"/>
      <c r="AD1101" s="1096"/>
      <c r="AE1101" s="1096"/>
      <c r="AF1101" s="1096"/>
      <c r="AG1101" s="1096"/>
      <c r="AH1101" s="1096"/>
      <c r="AI1101" s="1096"/>
      <c r="AJ1101" s="1096"/>
      <c r="AK1101" s="1096"/>
      <c r="AL1101" s="1096"/>
      <c r="AM1101" s="1096"/>
      <c r="AN1101" s="1096"/>
      <c r="AO1101" s="1096"/>
      <c r="AP1101" s="1096"/>
      <c r="AQ1101" s="1096"/>
      <c r="AR1101" s="1096"/>
      <c r="AS1101" s="1096"/>
      <c r="AT1101" s="1096"/>
      <c r="AU1101" s="1096"/>
      <c r="AV1101" s="1096"/>
      <c r="AW1101" s="1096"/>
      <c r="AX1101" s="1096"/>
      <c r="AY1101" s="1096"/>
    </row>
    <row r="1102" spans="1:51" x14ac:dyDescent="0.45">
      <c r="A1102" s="1096"/>
      <c r="B1102" s="1096"/>
      <c r="C1102" s="1096"/>
      <c r="D1102" s="1096"/>
      <c r="E1102" s="1096"/>
      <c r="F1102" s="1096"/>
      <c r="G1102" s="1096"/>
      <c r="H1102" s="1096"/>
      <c r="I1102" s="1096"/>
      <c r="J1102" s="1096"/>
      <c r="K1102" s="1096"/>
      <c r="L1102" s="1096"/>
      <c r="M1102" s="1096"/>
      <c r="N1102" s="1096"/>
      <c r="O1102" s="1096"/>
      <c r="P1102" s="1096"/>
      <c r="Q1102" s="1096"/>
      <c r="R1102" s="1096"/>
      <c r="S1102" s="1096"/>
      <c r="T1102" s="1096"/>
      <c r="U1102" s="1096"/>
      <c r="V1102" s="1096"/>
      <c r="W1102" s="1096"/>
      <c r="X1102" s="1096"/>
      <c r="Y1102" s="1096"/>
      <c r="Z1102" s="1096"/>
      <c r="AA1102" s="1096"/>
      <c r="AB1102" s="1096"/>
      <c r="AC1102" s="1096"/>
      <c r="AD1102" s="1096"/>
      <c r="AE1102" s="1096"/>
      <c r="AF1102" s="1096"/>
      <c r="AG1102" s="1096"/>
      <c r="AH1102" s="1096"/>
      <c r="AI1102" s="1096"/>
      <c r="AJ1102" s="1096"/>
      <c r="AK1102" s="1096"/>
      <c r="AL1102" s="1096"/>
      <c r="AM1102" s="1096"/>
      <c r="AN1102" s="1096"/>
      <c r="AO1102" s="1096"/>
      <c r="AP1102" s="1096"/>
      <c r="AQ1102" s="1096"/>
      <c r="AR1102" s="1096"/>
      <c r="AS1102" s="1096"/>
      <c r="AT1102" s="1096"/>
      <c r="AU1102" s="1096"/>
      <c r="AV1102" s="1096"/>
      <c r="AW1102" s="1096"/>
      <c r="AX1102" s="1096"/>
      <c r="AY1102" s="1096"/>
    </row>
    <row r="1103" spans="1:51" x14ac:dyDescent="0.45">
      <c r="A1103" s="1096"/>
      <c r="B1103" s="1096"/>
      <c r="C1103" s="1096"/>
      <c r="D1103" s="1096"/>
      <c r="E1103" s="1096"/>
      <c r="F1103" s="1096"/>
      <c r="G1103" s="1096"/>
      <c r="H1103" s="1096"/>
      <c r="I1103" s="1096"/>
      <c r="J1103" s="1096"/>
      <c r="K1103" s="1096"/>
      <c r="L1103" s="1096"/>
      <c r="M1103" s="1096"/>
      <c r="N1103" s="1096"/>
      <c r="O1103" s="1096"/>
      <c r="P1103" s="1096"/>
      <c r="Q1103" s="1096"/>
      <c r="R1103" s="1096"/>
      <c r="S1103" s="1096"/>
      <c r="T1103" s="1096"/>
      <c r="U1103" s="1096"/>
      <c r="V1103" s="1096"/>
      <c r="W1103" s="1096"/>
      <c r="X1103" s="1096"/>
      <c r="Y1103" s="1096"/>
      <c r="Z1103" s="1096"/>
      <c r="AA1103" s="1096"/>
      <c r="AB1103" s="1096"/>
      <c r="AC1103" s="1096"/>
      <c r="AD1103" s="1096"/>
      <c r="AE1103" s="1096"/>
      <c r="AF1103" s="1096"/>
      <c r="AG1103" s="1096"/>
      <c r="AH1103" s="1096"/>
      <c r="AI1103" s="1096"/>
      <c r="AJ1103" s="1096"/>
      <c r="AK1103" s="1096"/>
      <c r="AL1103" s="1096"/>
      <c r="AM1103" s="1096"/>
      <c r="AN1103" s="1096"/>
      <c r="AO1103" s="1096"/>
      <c r="AP1103" s="1096"/>
      <c r="AQ1103" s="1096"/>
      <c r="AR1103" s="1096"/>
      <c r="AS1103" s="1096"/>
      <c r="AT1103" s="1096"/>
      <c r="AU1103" s="1096"/>
      <c r="AV1103" s="1096"/>
      <c r="AW1103" s="1096"/>
      <c r="AX1103" s="1096"/>
      <c r="AY1103" s="1096"/>
    </row>
    <row r="1104" spans="1:51" x14ac:dyDescent="0.45">
      <c r="A1104" s="1096"/>
      <c r="B1104" s="1096"/>
      <c r="C1104" s="1096"/>
      <c r="D1104" s="1096"/>
      <c r="E1104" s="1096"/>
      <c r="F1104" s="1096"/>
      <c r="G1104" s="1096"/>
      <c r="H1104" s="1096"/>
      <c r="I1104" s="1096"/>
      <c r="J1104" s="1096"/>
      <c r="K1104" s="1096"/>
      <c r="L1104" s="1096"/>
      <c r="M1104" s="1096"/>
      <c r="N1104" s="1096"/>
      <c r="O1104" s="1096"/>
      <c r="P1104" s="1096"/>
      <c r="Q1104" s="1096"/>
      <c r="R1104" s="1096"/>
      <c r="S1104" s="1096"/>
      <c r="T1104" s="1096"/>
      <c r="U1104" s="1096"/>
      <c r="V1104" s="1096"/>
      <c r="W1104" s="1096"/>
      <c r="X1104" s="1096"/>
      <c r="Y1104" s="1096"/>
      <c r="Z1104" s="1096"/>
      <c r="AA1104" s="1096"/>
      <c r="AB1104" s="1096"/>
      <c r="AC1104" s="1096"/>
      <c r="AD1104" s="1096"/>
      <c r="AE1104" s="1096"/>
      <c r="AF1104" s="1096"/>
      <c r="AG1104" s="1096"/>
      <c r="AH1104" s="1096"/>
      <c r="AI1104" s="1096"/>
      <c r="AJ1104" s="1096"/>
      <c r="AK1104" s="1096"/>
      <c r="AL1104" s="1096"/>
      <c r="AM1104" s="1096"/>
      <c r="AN1104" s="1096"/>
      <c r="AO1104" s="1096"/>
      <c r="AP1104" s="1096"/>
      <c r="AQ1104" s="1096"/>
      <c r="AR1104" s="1096"/>
      <c r="AS1104" s="1096"/>
      <c r="AT1104" s="1096"/>
      <c r="AU1104" s="1096"/>
      <c r="AV1104" s="1096"/>
      <c r="AW1104" s="1096"/>
      <c r="AX1104" s="1096"/>
      <c r="AY1104" s="1096"/>
    </row>
    <row r="1105" spans="1:51" x14ac:dyDescent="0.45">
      <c r="A1105" s="1096"/>
      <c r="B1105" s="1096"/>
      <c r="C1105" s="1096"/>
      <c r="D1105" s="1096"/>
      <c r="E1105" s="1096"/>
      <c r="F1105" s="1096"/>
      <c r="G1105" s="1096"/>
      <c r="H1105" s="1096"/>
      <c r="I1105" s="1096"/>
      <c r="J1105" s="1096"/>
      <c r="K1105" s="1096"/>
      <c r="L1105" s="1096"/>
      <c r="M1105" s="1096"/>
      <c r="N1105" s="1096"/>
      <c r="O1105" s="1096"/>
      <c r="P1105" s="1096"/>
      <c r="Q1105" s="1096"/>
      <c r="R1105" s="1096"/>
      <c r="S1105" s="1096"/>
      <c r="T1105" s="1096"/>
      <c r="U1105" s="1096"/>
      <c r="V1105" s="1096"/>
      <c r="W1105" s="1096"/>
      <c r="X1105" s="1096"/>
      <c r="Y1105" s="1096"/>
      <c r="Z1105" s="1096"/>
      <c r="AA1105" s="1096"/>
      <c r="AB1105" s="1096"/>
      <c r="AC1105" s="1096"/>
      <c r="AD1105" s="1096"/>
      <c r="AE1105" s="1096"/>
      <c r="AF1105" s="1096"/>
      <c r="AG1105" s="1096"/>
      <c r="AH1105" s="1096"/>
      <c r="AI1105" s="1096"/>
      <c r="AJ1105" s="1096"/>
      <c r="AK1105" s="1096"/>
      <c r="AL1105" s="1096"/>
      <c r="AM1105" s="1096"/>
      <c r="AN1105" s="1096"/>
      <c r="AO1105" s="1096"/>
      <c r="AP1105" s="1096"/>
      <c r="AQ1105" s="1096"/>
      <c r="AR1105" s="1096"/>
      <c r="AS1105" s="1096"/>
      <c r="AT1105" s="1096"/>
      <c r="AU1105" s="1096"/>
      <c r="AV1105" s="1096"/>
      <c r="AW1105" s="1096"/>
      <c r="AX1105" s="1096"/>
      <c r="AY1105" s="1096"/>
    </row>
    <row r="1106" spans="1:51" x14ac:dyDescent="0.45">
      <c r="A1106" s="1096"/>
      <c r="B1106" s="1096"/>
      <c r="C1106" s="1096"/>
      <c r="D1106" s="1096"/>
      <c r="E1106" s="1096"/>
      <c r="F1106" s="1096"/>
      <c r="G1106" s="1096"/>
      <c r="H1106" s="1096"/>
      <c r="I1106" s="1096"/>
      <c r="J1106" s="1096"/>
      <c r="K1106" s="1096"/>
      <c r="L1106" s="1096"/>
      <c r="M1106" s="1096"/>
      <c r="N1106" s="1096"/>
      <c r="O1106" s="1096"/>
      <c r="P1106" s="1096"/>
      <c r="Q1106" s="1096"/>
      <c r="R1106" s="1096"/>
      <c r="S1106" s="1096"/>
      <c r="T1106" s="1096"/>
      <c r="U1106" s="1096"/>
      <c r="V1106" s="1096"/>
      <c r="W1106" s="1096"/>
      <c r="X1106" s="1096"/>
      <c r="Y1106" s="1096"/>
      <c r="Z1106" s="1096"/>
      <c r="AA1106" s="1096"/>
      <c r="AB1106" s="1096"/>
      <c r="AC1106" s="1096"/>
      <c r="AD1106" s="1096"/>
      <c r="AE1106" s="1096"/>
      <c r="AF1106" s="1096"/>
      <c r="AG1106" s="1096"/>
      <c r="AH1106" s="1096"/>
      <c r="AI1106" s="1096"/>
      <c r="AJ1106" s="1096"/>
      <c r="AK1106" s="1096"/>
      <c r="AL1106" s="1096"/>
      <c r="AM1106" s="1096"/>
      <c r="AN1106" s="1096"/>
      <c r="AO1106" s="1096"/>
      <c r="AP1106" s="1096"/>
      <c r="AQ1106" s="1096"/>
      <c r="AR1106" s="1096"/>
      <c r="AS1106" s="1096"/>
      <c r="AT1106" s="1096"/>
      <c r="AU1106" s="1096"/>
      <c r="AV1106" s="1096"/>
      <c r="AW1106" s="1096"/>
      <c r="AX1106" s="1096"/>
      <c r="AY1106" s="1096"/>
    </row>
    <row r="1107" spans="1:51" x14ac:dyDescent="0.45">
      <c r="A1107" s="1096"/>
      <c r="B1107" s="1096"/>
      <c r="C1107" s="1096"/>
      <c r="D1107" s="1096"/>
      <c r="E1107" s="1096"/>
      <c r="F1107" s="1096"/>
      <c r="G1107" s="1096"/>
      <c r="H1107" s="1096"/>
      <c r="I1107" s="1096"/>
      <c r="J1107" s="1096"/>
      <c r="K1107" s="1096"/>
      <c r="L1107" s="1096"/>
      <c r="M1107" s="1096"/>
      <c r="N1107" s="1096"/>
      <c r="O1107" s="1096"/>
      <c r="P1107" s="1096"/>
      <c r="Q1107" s="1096"/>
      <c r="R1107" s="1096"/>
      <c r="S1107" s="1096"/>
      <c r="T1107" s="1096"/>
      <c r="U1107" s="1096"/>
      <c r="V1107" s="1096"/>
      <c r="W1107" s="1096"/>
      <c r="X1107" s="1096"/>
      <c r="Y1107" s="1096"/>
      <c r="Z1107" s="1096"/>
      <c r="AA1107" s="1096"/>
      <c r="AB1107" s="1096"/>
      <c r="AC1107" s="1096"/>
      <c r="AD1107" s="1096"/>
      <c r="AE1107" s="1096"/>
      <c r="AF1107" s="1096"/>
      <c r="AG1107" s="1096"/>
      <c r="AH1107" s="1096"/>
      <c r="AI1107" s="1096"/>
      <c r="AJ1107" s="1096"/>
      <c r="AK1107" s="1096"/>
      <c r="AL1107" s="1096"/>
      <c r="AM1107" s="1096"/>
      <c r="AN1107" s="1096"/>
      <c r="AO1107" s="1096"/>
      <c r="AP1107" s="1096"/>
      <c r="AQ1107" s="1096"/>
      <c r="AR1107" s="1096"/>
      <c r="AS1107" s="1096"/>
      <c r="AT1107" s="1096"/>
      <c r="AU1107" s="1096"/>
      <c r="AV1107" s="1096"/>
      <c r="AW1107" s="1096"/>
      <c r="AX1107" s="1096"/>
      <c r="AY1107" s="1096"/>
    </row>
    <row r="1108" spans="1:51" x14ac:dyDescent="0.45">
      <c r="A1108" s="1096"/>
      <c r="B1108" s="1096"/>
      <c r="C1108" s="1096"/>
      <c r="D1108" s="1096"/>
      <c r="E1108" s="1096"/>
      <c r="F1108" s="1096"/>
      <c r="G1108" s="1096"/>
      <c r="H1108" s="1096"/>
      <c r="I1108" s="1096"/>
      <c r="J1108" s="1096"/>
      <c r="K1108" s="1096"/>
      <c r="L1108" s="1096"/>
      <c r="M1108" s="1096"/>
      <c r="N1108" s="1096"/>
      <c r="O1108" s="1096"/>
      <c r="P1108" s="1096"/>
      <c r="Q1108" s="1096"/>
      <c r="R1108" s="1096"/>
      <c r="S1108" s="1096"/>
      <c r="T1108" s="1096"/>
      <c r="U1108" s="1096"/>
      <c r="V1108" s="1096"/>
      <c r="W1108" s="1096"/>
      <c r="X1108" s="1096"/>
      <c r="Y1108" s="1096"/>
      <c r="Z1108" s="1096"/>
      <c r="AA1108" s="1096"/>
      <c r="AB1108" s="1096"/>
      <c r="AC1108" s="1096"/>
      <c r="AD1108" s="1096"/>
      <c r="AE1108" s="1096"/>
      <c r="AF1108" s="1096"/>
      <c r="AG1108" s="1096"/>
      <c r="AH1108" s="1096"/>
      <c r="AI1108" s="1096"/>
      <c r="AJ1108" s="1096"/>
      <c r="AK1108" s="1096"/>
      <c r="AL1108" s="1096"/>
      <c r="AM1108" s="1096"/>
      <c r="AN1108" s="1096"/>
      <c r="AO1108" s="1096"/>
      <c r="AP1108" s="1096"/>
      <c r="AQ1108" s="1096"/>
      <c r="AR1108" s="1096"/>
      <c r="AS1108" s="1096"/>
      <c r="AT1108" s="1096"/>
      <c r="AU1108" s="1096"/>
      <c r="AV1108" s="1096"/>
      <c r="AW1108" s="1096"/>
      <c r="AX1108" s="1096"/>
      <c r="AY1108" s="1096"/>
    </row>
    <row r="1109" spans="1:51" x14ac:dyDescent="0.45">
      <c r="A1109" s="1096"/>
      <c r="B1109" s="1096"/>
      <c r="C1109" s="1096"/>
      <c r="D1109" s="1096"/>
      <c r="E1109" s="1096"/>
      <c r="F1109" s="1096"/>
      <c r="G1109" s="1096"/>
      <c r="H1109" s="1096"/>
      <c r="I1109" s="1096"/>
      <c r="J1109" s="1096"/>
      <c r="K1109" s="1096"/>
      <c r="L1109" s="1096"/>
      <c r="M1109" s="1096"/>
      <c r="N1109" s="1096"/>
      <c r="O1109" s="1096"/>
      <c r="P1109" s="1096"/>
      <c r="Q1109" s="1096"/>
      <c r="R1109" s="1096"/>
      <c r="S1109" s="1096"/>
      <c r="T1109" s="1096"/>
      <c r="U1109" s="1096"/>
      <c r="V1109" s="1096"/>
      <c r="W1109" s="1096"/>
      <c r="X1109" s="1096"/>
      <c r="Y1109" s="1096"/>
      <c r="Z1109" s="1096"/>
      <c r="AA1109" s="1096"/>
      <c r="AB1109" s="1096"/>
      <c r="AC1109" s="1096"/>
      <c r="AD1109" s="1096"/>
      <c r="AE1109" s="1096"/>
      <c r="AF1109" s="1096"/>
      <c r="AG1109" s="1096"/>
      <c r="AH1109" s="1096"/>
      <c r="AI1109" s="1096"/>
      <c r="AJ1109" s="1096"/>
      <c r="AK1109" s="1096"/>
      <c r="AL1109" s="1096"/>
      <c r="AM1109" s="1096"/>
      <c r="AN1109" s="1096"/>
      <c r="AO1109" s="1096"/>
      <c r="AP1109" s="1096"/>
      <c r="AQ1109" s="1096"/>
      <c r="AR1109" s="1096"/>
      <c r="AS1109" s="1096"/>
      <c r="AT1109" s="1096"/>
      <c r="AU1109" s="1096"/>
      <c r="AV1109" s="1096"/>
      <c r="AW1109" s="1096"/>
      <c r="AX1109" s="1096"/>
      <c r="AY1109" s="1096"/>
    </row>
    <row r="1110" spans="1:51" x14ac:dyDescent="0.45">
      <c r="A1110" s="1096"/>
      <c r="B1110" s="1096"/>
      <c r="C1110" s="1096"/>
      <c r="D1110" s="1096"/>
      <c r="E1110" s="1096"/>
      <c r="F1110" s="1096"/>
      <c r="G1110" s="1096"/>
      <c r="H1110" s="1096"/>
      <c r="I1110" s="1096"/>
      <c r="J1110" s="1096"/>
      <c r="K1110" s="1096"/>
      <c r="L1110" s="1096"/>
      <c r="M1110" s="1096"/>
      <c r="N1110" s="1096"/>
      <c r="O1110" s="1096"/>
      <c r="P1110" s="1096"/>
      <c r="Q1110" s="1096"/>
      <c r="R1110" s="1096"/>
      <c r="S1110" s="1096"/>
      <c r="T1110" s="1096"/>
      <c r="U1110" s="1096"/>
      <c r="V1110" s="1096"/>
      <c r="W1110" s="1096"/>
      <c r="X1110" s="1096"/>
      <c r="Y1110" s="1096"/>
      <c r="Z1110" s="1096"/>
      <c r="AA1110" s="1096"/>
      <c r="AB1110" s="1096"/>
      <c r="AC1110" s="1096"/>
      <c r="AD1110" s="1096"/>
      <c r="AE1110" s="1096"/>
      <c r="AF1110" s="1096"/>
      <c r="AG1110" s="1096"/>
      <c r="AH1110" s="1096"/>
      <c r="AI1110" s="1096"/>
      <c r="AJ1110" s="1096"/>
      <c r="AK1110" s="1096"/>
      <c r="AL1110" s="1096"/>
      <c r="AM1110" s="1096"/>
      <c r="AN1110" s="1096"/>
      <c r="AO1110" s="1096"/>
      <c r="AP1110" s="1096"/>
      <c r="AQ1110" s="1096"/>
      <c r="AR1110" s="1096"/>
      <c r="AS1110" s="1096"/>
      <c r="AT1110" s="1096"/>
      <c r="AU1110" s="1096"/>
      <c r="AV1110" s="1096"/>
      <c r="AW1110" s="1096"/>
      <c r="AX1110" s="1096"/>
      <c r="AY1110" s="1096"/>
    </row>
    <row r="1111" spans="1:51" x14ac:dyDescent="0.45">
      <c r="A1111" s="1096"/>
      <c r="B1111" s="1096"/>
      <c r="C1111" s="1096"/>
      <c r="D1111" s="1096"/>
      <c r="E1111" s="1096"/>
      <c r="F1111" s="1096"/>
      <c r="G1111" s="1096"/>
      <c r="H1111" s="1096"/>
      <c r="I1111" s="1096"/>
      <c r="J1111" s="1096"/>
      <c r="K1111" s="1096"/>
      <c r="L1111" s="1096"/>
      <c r="M1111" s="1096"/>
      <c r="N1111" s="1096"/>
      <c r="O1111" s="1096"/>
      <c r="P1111" s="1096"/>
      <c r="Q1111" s="1096"/>
      <c r="R1111" s="1096"/>
      <c r="S1111" s="1096"/>
      <c r="T1111" s="1096"/>
      <c r="U1111" s="1096"/>
      <c r="V1111" s="1096"/>
      <c r="W1111" s="1096"/>
      <c r="X1111" s="1096"/>
      <c r="Y1111" s="1096"/>
      <c r="Z1111" s="1096"/>
      <c r="AA1111" s="1096"/>
      <c r="AB1111" s="1096"/>
      <c r="AC1111" s="1096"/>
      <c r="AD1111" s="1096"/>
      <c r="AE1111" s="1096"/>
      <c r="AF1111" s="1096"/>
      <c r="AG1111" s="1096"/>
      <c r="AH1111" s="1096"/>
      <c r="AI1111" s="1096"/>
      <c r="AJ1111" s="1096"/>
      <c r="AK1111" s="1096"/>
      <c r="AL1111" s="1096"/>
      <c r="AM1111" s="1096"/>
      <c r="AN1111" s="1096"/>
      <c r="AO1111" s="1096"/>
      <c r="AP1111" s="1096"/>
      <c r="AQ1111" s="1096"/>
      <c r="AR1111" s="1096"/>
      <c r="AS1111" s="1096"/>
      <c r="AT1111" s="1096"/>
      <c r="AU1111" s="1096"/>
      <c r="AV1111" s="1096"/>
      <c r="AW1111" s="1096"/>
      <c r="AX1111" s="1096"/>
      <c r="AY1111" s="1096"/>
    </row>
    <row r="1112" spans="1:51" x14ac:dyDescent="0.45">
      <c r="A1112" s="1096"/>
      <c r="B1112" s="1096"/>
      <c r="C1112" s="1096"/>
      <c r="D1112" s="1096"/>
      <c r="E1112" s="1096"/>
      <c r="F1112" s="1096"/>
      <c r="G1112" s="1096"/>
      <c r="H1112" s="1096"/>
      <c r="I1112" s="1096"/>
      <c r="J1112" s="1096"/>
      <c r="K1112" s="1096"/>
      <c r="L1112" s="1096"/>
      <c r="M1112" s="1096"/>
      <c r="N1112" s="1096"/>
      <c r="O1112" s="1096"/>
      <c r="P1112" s="1096"/>
      <c r="Q1112" s="1096"/>
      <c r="R1112" s="1096"/>
      <c r="S1112" s="1096"/>
      <c r="T1112" s="1096"/>
      <c r="U1112" s="1096"/>
      <c r="V1112" s="1096"/>
      <c r="W1112" s="1096"/>
      <c r="X1112" s="1096"/>
      <c r="Y1112" s="1096"/>
      <c r="Z1112" s="1096"/>
      <c r="AA1112" s="1096"/>
      <c r="AB1112" s="1096"/>
      <c r="AC1112" s="1096"/>
      <c r="AD1112" s="1096"/>
      <c r="AE1112" s="1096"/>
      <c r="AF1112" s="1096"/>
      <c r="AG1112" s="1096"/>
      <c r="AH1112" s="1096"/>
      <c r="AI1112" s="1096"/>
      <c r="AJ1112" s="1096"/>
      <c r="AK1112" s="1096"/>
      <c r="AL1112" s="1096"/>
      <c r="AM1112" s="1096"/>
      <c r="AN1112" s="1096"/>
      <c r="AO1112" s="1096"/>
      <c r="AP1112" s="1096"/>
      <c r="AQ1112" s="1096"/>
      <c r="AR1112" s="1096"/>
      <c r="AS1112" s="1096"/>
      <c r="AT1112" s="1096"/>
      <c r="AU1112" s="1096"/>
      <c r="AV1112" s="1096"/>
      <c r="AW1112" s="1096"/>
      <c r="AX1112" s="1096"/>
      <c r="AY1112" s="1096"/>
    </row>
    <row r="1113" spans="1:51" x14ac:dyDescent="0.45">
      <c r="A1113" s="1096"/>
      <c r="B1113" s="1096"/>
      <c r="C1113" s="1096"/>
      <c r="D1113" s="1096"/>
      <c r="E1113" s="1096"/>
      <c r="F1113" s="1096"/>
      <c r="G1113" s="1096"/>
      <c r="H1113" s="1096"/>
      <c r="I1113" s="1096"/>
      <c r="J1113" s="1096"/>
      <c r="K1113" s="1096"/>
      <c r="L1113" s="1096"/>
      <c r="M1113" s="1096"/>
      <c r="N1113" s="1096"/>
      <c r="O1113" s="1096"/>
      <c r="P1113" s="1096"/>
      <c r="Q1113" s="1096"/>
      <c r="R1113" s="1096"/>
      <c r="S1113" s="1096"/>
      <c r="T1113" s="1096"/>
      <c r="U1113" s="1096"/>
      <c r="V1113" s="1096"/>
      <c r="W1113" s="1096"/>
      <c r="X1113" s="1096"/>
      <c r="Y1113" s="1096"/>
      <c r="Z1113" s="1096"/>
      <c r="AA1113" s="1096"/>
      <c r="AB1113" s="1096"/>
      <c r="AC1113" s="1096"/>
      <c r="AD1113" s="1096"/>
      <c r="AE1113" s="1096"/>
      <c r="AF1113" s="1096"/>
      <c r="AG1113" s="1096"/>
      <c r="AH1113" s="1096"/>
      <c r="AI1113" s="1096"/>
      <c r="AJ1113" s="1096"/>
      <c r="AK1113" s="1096"/>
      <c r="AL1113" s="1096"/>
      <c r="AM1113" s="1096"/>
      <c r="AN1113" s="1096"/>
      <c r="AO1113" s="1096"/>
      <c r="AP1113" s="1096"/>
      <c r="AQ1113" s="1096"/>
      <c r="AR1113" s="1096"/>
      <c r="AS1113" s="1096"/>
      <c r="AT1113" s="1096"/>
      <c r="AU1113" s="1096"/>
      <c r="AV1113" s="1096"/>
      <c r="AW1113" s="1096"/>
      <c r="AX1113" s="1096"/>
      <c r="AY1113" s="1096"/>
    </row>
    <row r="1114" spans="1:51" x14ac:dyDescent="0.45">
      <c r="A1114" s="1096"/>
      <c r="B1114" s="1096"/>
      <c r="C1114" s="1096"/>
      <c r="D1114" s="1096"/>
      <c r="E1114" s="1096"/>
      <c r="F1114" s="1096"/>
      <c r="G1114" s="1096"/>
      <c r="H1114" s="1096"/>
      <c r="I1114" s="1096"/>
      <c r="J1114" s="1096"/>
      <c r="K1114" s="1096"/>
      <c r="L1114" s="1096"/>
      <c r="M1114" s="1096"/>
      <c r="N1114" s="1096"/>
      <c r="O1114" s="1096"/>
      <c r="P1114" s="1096"/>
      <c r="Q1114" s="1096"/>
      <c r="R1114" s="1096"/>
      <c r="S1114" s="1096"/>
      <c r="T1114" s="1096"/>
      <c r="U1114" s="1096"/>
      <c r="V1114" s="1096"/>
      <c r="W1114" s="1096"/>
      <c r="X1114" s="1096"/>
      <c r="Y1114" s="1096"/>
      <c r="Z1114" s="1096"/>
      <c r="AA1114" s="1096"/>
      <c r="AB1114" s="1096"/>
      <c r="AC1114" s="1096"/>
      <c r="AD1114" s="1096"/>
      <c r="AE1114" s="1096"/>
      <c r="AF1114" s="1096"/>
      <c r="AG1114" s="1096"/>
      <c r="AH1114" s="1096"/>
      <c r="AI1114" s="1096"/>
      <c r="AJ1114" s="1096"/>
      <c r="AK1114" s="1096"/>
      <c r="AL1114" s="1096"/>
      <c r="AM1114" s="1096"/>
      <c r="AN1114" s="1096"/>
      <c r="AO1114" s="1096"/>
      <c r="AP1114" s="1096"/>
      <c r="AQ1114" s="1096"/>
      <c r="AR1114" s="1096"/>
      <c r="AS1114" s="1096"/>
      <c r="AT1114" s="1096"/>
      <c r="AU1114" s="1096"/>
      <c r="AV1114" s="1096"/>
      <c r="AW1114" s="1096"/>
      <c r="AX1114" s="1096"/>
      <c r="AY1114" s="1096"/>
    </row>
    <row r="1115" spans="1:51" x14ac:dyDescent="0.45">
      <c r="A1115" s="1096"/>
      <c r="B1115" s="1096"/>
      <c r="C1115" s="1096"/>
      <c r="D1115" s="1096"/>
      <c r="E1115" s="1096"/>
      <c r="F1115" s="1096"/>
      <c r="G1115" s="1096"/>
      <c r="H1115" s="1096"/>
      <c r="I1115" s="1096"/>
      <c r="J1115" s="1096"/>
      <c r="K1115" s="1096"/>
      <c r="L1115" s="1096"/>
      <c r="M1115" s="1096"/>
      <c r="N1115" s="1096"/>
      <c r="O1115" s="1096"/>
      <c r="P1115" s="1096"/>
      <c r="Q1115" s="1096"/>
      <c r="R1115" s="1096"/>
      <c r="S1115" s="1096"/>
      <c r="T1115" s="1096"/>
      <c r="U1115" s="1096"/>
      <c r="V1115" s="1096"/>
      <c r="W1115" s="1096"/>
      <c r="X1115" s="1096"/>
      <c r="Y1115" s="1096"/>
      <c r="Z1115" s="1096"/>
      <c r="AA1115" s="1096"/>
      <c r="AB1115" s="1096"/>
      <c r="AC1115" s="1096"/>
      <c r="AD1115" s="1096"/>
      <c r="AE1115" s="1096"/>
      <c r="AF1115" s="1096"/>
      <c r="AG1115" s="1096"/>
      <c r="AH1115" s="1096"/>
      <c r="AI1115" s="1096"/>
      <c r="AJ1115" s="1096"/>
      <c r="AK1115" s="1096"/>
      <c r="AL1115" s="1096"/>
      <c r="AM1115" s="1096"/>
      <c r="AN1115" s="1096"/>
      <c r="AO1115" s="1096"/>
      <c r="AP1115" s="1096"/>
      <c r="AQ1115" s="1096"/>
      <c r="AR1115" s="1096"/>
      <c r="AS1115" s="1096"/>
      <c r="AT1115" s="1096"/>
      <c r="AU1115" s="1096"/>
      <c r="AV1115" s="1096"/>
      <c r="AW1115" s="1096"/>
      <c r="AX1115" s="1096"/>
      <c r="AY1115" s="1096"/>
    </row>
    <row r="1116" spans="1:51" x14ac:dyDescent="0.45">
      <c r="A1116" s="1096"/>
      <c r="B1116" s="1096"/>
      <c r="C1116" s="1096"/>
      <c r="D1116" s="1096"/>
      <c r="E1116" s="1096"/>
      <c r="F1116" s="1096"/>
      <c r="G1116" s="1096"/>
      <c r="H1116" s="1096"/>
      <c r="I1116" s="1096"/>
      <c r="J1116" s="1096"/>
      <c r="K1116" s="1096"/>
      <c r="L1116" s="1096"/>
      <c r="M1116" s="1096"/>
      <c r="N1116" s="1096"/>
      <c r="O1116" s="1096"/>
      <c r="P1116" s="1096"/>
      <c r="Q1116" s="1096"/>
      <c r="R1116" s="1096"/>
      <c r="S1116" s="1096"/>
      <c r="T1116" s="1096"/>
      <c r="U1116" s="1096"/>
      <c r="V1116" s="1096"/>
      <c r="W1116" s="1096"/>
      <c r="X1116" s="1096"/>
      <c r="Y1116" s="1096"/>
      <c r="Z1116" s="1096"/>
      <c r="AA1116" s="1096"/>
      <c r="AB1116" s="1096"/>
      <c r="AC1116" s="1096"/>
      <c r="AD1116" s="1096"/>
      <c r="AE1116" s="1096"/>
      <c r="AF1116" s="1096"/>
      <c r="AG1116" s="1096"/>
      <c r="AH1116" s="1096"/>
      <c r="AI1116" s="1096"/>
      <c r="AJ1116" s="1096"/>
      <c r="AK1116" s="1096"/>
      <c r="AL1116" s="1096"/>
      <c r="AM1116" s="1096"/>
      <c r="AN1116" s="1096"/>
      <c r="AO1116" s="1096"/>
      <c r="AP1116" s="1096"/>
      <c r="AQ1116" s="1096"/>
      <c r="AR1116" s="1096"/>
      <c r="AS1116" s="1096"/>
      <c r="AT1116" s="1096"/>
      <c r="AU1116" s="1096"/>
      <c r="AV1116" s="1096"/>
      <c r="AW1116" s="1096"/>
      <c r="AX1116" s="1096"/>
      <c r="AY1116" s="1096"/>
    </row>
    <row r="1117" spans="1:51" x14ac:dyDescent="0.45">
      <c r="A1117" s="1096"/>
      <c r="B1117" s="1096"/>
      <c r="C1117" s="1096"/>
      <c r="D1117" s="1096"/>
      <c r="E1117" s="1096"/>
      <c r="F1117" s="1096"/>
      <c r="G1117" s="1096"/>
      <c r="H1117" s="1096"/>
      <c r="I1117" s="1096"/>
      <c r="J1117" s="1096"/>
      <c r="K1117" s="1096"/>
      <c r="L1117" s="1096"/>
      <c r="M1117" s="1096"/>
      <c r="N1117" s="1096"/>
      <c r="O1117" s="1096"/>
      <c r="P1117" s="1096"/>
      <c r="Q1117" s="1096"/>
      <c r="R1117" s="1096"/>
      <c r="S1117" s="1096"/>
      <c r="T1117" s="1096"/>
      <c r="U1117" s="1096"/>
      <c r="V1117" s="1096"/>
      <c r="W1117" s="1096"/>
      <c r="X1117" s="1096"/>
      <c r="Y1117" s="1096"/>
      <c r="Z1117" s="1096"/>
      <c r="AA1117" s="1096"/>
      <c r="AB1117" s="1096"/>
      <c r="AC1117" s="1096"/>
      <c r="AD1117" s="1096"/>
      <c r="AE1117" s="1096"/>
      <c r="AF1117" s="1096"/>
      <c r="AG1117" s="1096"/>
      <c r="AH1117" s="1096"/>
      <c r="AI1117" s="1096"/>
      <c r="AJ1117" s="1096"/>
      <c r="AK1117" s="1096"/>
      <c r="AL1117" s="1096"/>
      <c r="AM1117" s="1096"/>
      <c r="AN1117" s="1096"/>
      <c r="AO1117" s="1096"/>
      <c r="AP1117" s="1096"/>
      <c r="AQ1117" s="1096"/>
      <c r="AR1117" s="1096"/>
      <c r="AS1117" s="1096"/>
      <c r="AT1117" s="1096"/>
      <c r="AU1117" s="1096"/>
      <c r="AV1117" s="1096"/>
      <c r="AW1117" s="1096"/>
      <c r="AX1117" s="1096"/>
      <c r="AY1117" s="1096"/>
    </row>
    <row r="1118" spans="1:51" x14ac:dyDescent="0.45">
      <c r="A1118" s="1096"/>
      <c r="B1118" s="1096"/>
      <c r="C1118" s="1096"/>
      <c r="D1118" s="1096"/>
      <c r="E1118" s="1096"/>
      <c r="F1118" s="1096"/>
      <c r="G1118" s="1096"/>
      <c r="H1118" s="1096"/>
      <c r="I1118" s="1096"/>
      <c r="J1118" s="1096"/>
      <c r="K1118" s="1096"/>
      <c r="L1118" s="1096"/>
      <c r="M1118" s="1096"/>
      <c r="N1118" s="1096"/>
      <c r="O1118" s="1096"/>
      <c r="P1118" s="1096"/>
      <c r="Q1118" s="1096"/>
      <c r="R1118" s="1096"/>
      <c r="S1118" s="1096"/>
      <c r="T1118" s="1096"/>
      <c r="U1118" s="1096"/>
      <c r="V1118" s="1096"/>
      <c r="W1118" s="1096"/>
      <c r="X1118" s="1096"/>
      <c r="Y1118" s="1096"/>
      <c r="Z1118" s="1096"/>
      <c r="AA1118" s="1096"/>
      <c r="AB1118" s="1096"/>
      <c r="AC1118" s="1096"/>
      <c r="AD1118" s="1096"/>
      <c r="AE1118" s="1096"/>
      <c r="AF1118" s="1096"/>
      <c r="AG1118" s="1096"/>
      <c r="AH1118" s="1096"/>
      <c r="AI1118" s="1096"/>
      <c r="AJ1118" s="1096"/>
      <c r="AK1118" s="1096"/>
      <c r="AL1118" s="1096"/>
      <c r="AM1118" s="1096"/>
      <c r="AN1118" s="1096"/>
      <c r="AO1118" s="1096"/>
      <c r="AP1118" s="1096"/>
      <c r="AQ1118" s="1096"/>
      <c r="AR1118" s="1096"/>
      <c r="AS1118" s="1096"/>
      <c r="AT1118" s="1096"/>
      <c r="AU1118" s="1096"/>
      <c r="AV1118" s="1096"/>
      <c r="AW1118" s="1096"/>
      <c r="AX1118" s="1096"/>
      <c r="AY1118" s="1096"/>
    </row>
    <row r="1119" spans="1:51" x14ac:dyDescent="0.45">
      <c r="A1119" s="1096"/>
      <c r="B1119" s="1096"/>
      <c r="C1119" s="1096"/>
      <c r="D1119" s="1096"/>
      <c r="E1119" s="1096"/>
      <c r="F1119" s="1096"/>
      <c r="G1119" s="1096"/>
      <c r="H1119" s="1096"/>
      <c r="I1119" s="1096"/>
      <c r="J1119" s="1096"/>
      <c r="K1119" s="1096"/>
      <c r="L1119" s="1096"/>
      <c r="M1119" s="1096"/>
      <c r="N1119" s="1096"/>
      <c r="O1119" s="1096"/>
      <c r="P1119" s="1096"/>
      <c r="Q1119" s="1096"/>
      <c r="R1119" s="1096"/>
      <c r="S1119" s="1096"/>
      <c r="T1119" s="1096"/>
      <c r="U1119" s="1096"/>
      <c r="V1119" s="1096"/>
      <c r="W1119" s="1096"/>
      <c r="X1119" s="1096"/>
      <c r="Y1119" s="1096"/>
      <c r="Z1119" s="1096"/>
      <c r="AA1119" s="1096"/>
      <c r="AB1119" s="1096"/>
      <c r="AC1119" s="1096"/>
      <c r="AD1119" s="1096"/>
      <c r="AE1119" s="1096"/>
      <c r="AF1119" s="1096"/>
      <c r="AG1119" s="1096"/>
      <c r="AH1119" s="1096"/>
      <c r="AI1119" s="1096"/>
      <c r="AJ1119" s="1096"/>
      <c r="AK1119" s="1096"/>
      <c r="AL1119" s="1096"/>
      <c r="AM1119" s="1096"/>
      <c r="AN1119" s="1096"/>
      <c r="AO1119" s="1096"/>
      <c r="AP1119" s="1096"/>
      <c r="AQ1119" s="1096"/>
      <c r="AR1119" s="1096"/>
      <c r="AS1119" s="1096"/>
      <c r="AT1119" s="1096"/>
      <c r="AU1119" s="1096"/>
      <c r="AV1119" s="1096"/>
      <c r="AW1119" s="1096"/>
      <c r="AX1119" s="1096"/>
      <c r="AY1119" s="1096"/>
    </row>
    <row r="1120" spans="1:51" x14ac:dyDescent="0.45">
      <c r="A1120" s="1096"/>
      <c r="B1120" s="1096"/>
      <c r="C1120" s="1096"/>
      <c r="D1120" s="1096"/>
      <c r="E1120" s="1096"/>
      <c r="F1120" s="1096"/>
      <c r="G1120" s="1096"/>
      <c r="H1120" s="1096"/>
      <c r="I1120" s="1096"/>
      <c r="J1120" s="1096"/>
      <c r="K1120" s="1096"/>
      <c r="L1120" s="1096"/>
      <c r="M1120" s="1096"/>
      <c r="N1120" s="1096"/>
      <c r="O1120" s="1096"/>
      <c r="P1120" s="1096"/>
      <c r="Q1120" s="1096"/>
      <c r="R1120" s="1096"/>
      <c r="S1120" s="1096"/>
      <c r="T1120" s="1096"/>
      <c r="U1120" s="1096"/>
      <c r="V1120" s="1096"/>
      <c r="W1120" s="1096"/>
      <c r="X1120" s="1096"/>
      <c r="Y1120" s="1096"/>
      <c r="Z1120" s="1096"/>
      <c r="AA1120" s="1096"/>
      <c r="AB1120" s="1096"/>
      <c r="AC1120" s="1096"/>
      <c r="AD1120" s="1096"/>
      <c r="AE1120" s="1096"/>
      <c r="AF1120" s="1096"/>
      <c r="AG1120" s="1096"/>
      <c r="AH1120" s="1096"/>
      <c r="AI1120" s="1096"/>
      <c r="AJ1120" s="1096"/>
      <c r="AK1120" s="1096"/>
      <c r="AL1120" s="1096"/>
      <c r="AM1120" s="1096"/>
      <c r="AN1120" s="1096"/>
      <c r="AO1120" s="1096"/>
      <c r="AP1120" s="1096"/>
      <c r="AQ1120" s="1096"/>
      <c r="AR1120" s="1096"/>
      <c r="AS1120" s="1096"/>
      <c r="AT1120" s="1096"/>
      <c r="AU1120" s="1096"/>
      <c r="AV1120" s="1096"/>
      <c r="AW1120" s="1096"/>
      <c r="AX1120" s="1096"/>
      <c r="AY1120" s="1096"/>
    </row>
    <row r="1121" spans="1:51" x14ac:dyDescent="0.45">
      <c r="A1121" s="1096"/>
      <c r="B1121" s="1096"/>
      <c r="C1121" s="1096"/>
      <c r="D1121" s="1096"/>
      <c r="E1121" s="1096"/>
      <c r="F1121" s="1096"/>
      <c r="G1121" s="1096"/>
      <c r="H1121" s="1096"/>
      <c r="I1121" s="1096"/>
      <c r="J1121" s="1096"/>
      <c r="K1121" s="1096"/>
      <c r="L1121" s="1096"/>
      <c r="M1121" s="1096"/>
      <c r="N1121" s="1096"/>
      <c r="O1121" s="1096"/>
      <c r="P1121" s="1096"/>
      <c r="Q1121" s="1096"/>
      <c r="R1121" s="1096"/>
      <c r="S1121" s="1096"/>
      <c r="T1121" s="1096"/>
      <c r="U1121" s="1096"/>
      <c r="V1121" s="1096"/>
      <c r="W1121" s="1096"/>
      <c r="X1121" s="1096"/>
      <c r="Y1121" s="1096"/>
      <c r="Z1121" s="1096"/>
      <c r="AA1121" s="1096"/>
      <c r="AB1121" s="1096"/>
      <c r="AC1121" s="1096"/>
      <c r="AD1121" s="1096"/>
      <c r="AE1121" s="1096"/>
      <c r="AF1121" s="1096"/>
      <c r="AG1121" s="1096"/>
      <c r="AH1121" s="1096"/>
      <c r="AI1121" s="1096"/>
      <c r="AJ1121" s="1096"/>
      <c r="AK1121" s="1096"/>
      <c r="AL1121" s="1096"/>
      <c r="AM1121" s="1096"/>
      <c r="AN1121" s="1096"/>
      <c r="AO1121" s="1096"/>
      <c r="AP1121" s="1096"/>
      <c r="AQ1121" s="1096"/>
      <c r="AR1121" s="1096"/>
      <c r="AS1121" s="1096"/>
      <c r="AT1121" s="1096"/>
      <c r="AU1121" s="1096"/>
      <c r="AV1121" s="1096"/>
      <c r="AW1121" s="1096"/>
      <c r="AX1121" s="1096"/>
      <c r="AY1121" s="1096"/>
    </row>
    <row r="1122" spans="1:51" x14ac:dyDescent="0.45">
      <c r="A1122" s="1096"/>
      <c r="B1122" s="1096"/>
      <c r="C1122" s="1096"/>
      <c r="D1122" s="1096"/>
      <c r="E1122" s="1096"/>
      <c r="F1122" s="1096"/>
      <c r="G1122" s="1096"/>
      <c r="H1122" s="1096"/>
      <c r="I1122" s="1096"/>
      <c r="J1122" s="1096"/>
      <c r="K1122" s="1096"/>
      <c r="L1122" s="1096"/>
      <c r="M1122" s="1096"/>
      <c r="N1122" s="1096"/>
      <c r="O1122" s="1096"/>
      <c r="P1122" s="1096"/>
      <c r="Q1122" s="1096"/>
      <c r="R1122" s="1096"/>
      <c r="S1122" s="1096"/>
      <c r="T1122" s="1096"/>
      <c r="U1122" s="1096"/>
      <c r="V1122" s="1096"/>
      <c r="W1122" s="1096"/>
      <c r="X1122" s="1096"/>
      <c r="Y1122" s="1096"/>
      <c r="Z1122" s="1096"/>
      <c r="AA1122" s="1096"/>
      <c r="AB1122" s="1096"/>
      <c r="AC1122" s="1096"/>
      <c r="AD1122" s="1096"/>
      <c r="AE1122" s="1096"/>
      <c r="AF1122" s="1096"/>
      <c r="AG1122" s="1096"/>
      <c r="AH1122" s="1096"/>
      <c r="AI1122" s="1096"/>
      <c r="AJ1122" s="1096"/>
      <c r="AK1122" s="1096"/>
      <c r="AL1122" s="1096"/>
      <c r="AM1122" s="1096"/>
      <c r="AN1122" s="1096"/>
      <c r="AO1122" s="1096"/>
      <c r="AP1122" s="1096"/>
      <c r="AQ1122" s="1096"/>
      <c r="AR1122" s="1096"/>
      <c r="AS1122" s="1096"/>
      <c r="AT1122" s="1096"/>
      <c r="AU1122" s="1096"/>
      <c r="AV1122" s="1096"/>
      <c r="AW1122" s="1096"/>
      <c r="AX1122" s="1096"/>
      <c r="AY1122" s="1096"/>
    </row>
    <row r="1123" spans="1:51" x14ac:dyDescent="0.45">
      <c r="A1123" s="1096"/>
      <c r="B1123" s="1096"/>
      <c r="C1123" s="1096"/>
      <c r="D1123" s="1096"/>
      <c r="E1123" s="1096"/>
      <c r="F1123" s="1096"/>
      <c r="G1123" s="1096"/>
      <c r="H1123" s="1096"/>
      <c r="I1123" s="1096"/>
      <c r="J1123" s="1096"/>
      <c r="K1123" s="1096"/>
      <c r="L1123" s="1096"/>
      <c r="M1123" s="1096"/>
      <c r="N1123" s="1096"/>
      <c r="O1123" s="1096"/>
      <c r="P1123" s="1096"/>
      <c r="Q1123" s="1096"/>
      <c r="R1123" s="1096"/>
      <c r="S1123" s="1096"/>
      <c r="T1123" s="1096"/>
      <c r="U1123" s="1096"/>
      <c r="V1123" s="1096"/>
      <c r="W1123" s="1096"/>
      <c r="X1123" s="1096"/>
      <c r="Y1123" s="1096"/>
      <c r="Z1123" s="1096"/>
      <c r="AA1123" s="1096"/>
      <c r="AB1123" s="1096"/>
      <c r="AC1123" s="1096"/>
      <c r="AD1123" s="1096"/>
      <c r="AE1123" s="1096"/>
      <c r="AF1123" s="1096"/>
      <c r="AG1123" s="1096"/>
      <c r="AH1123" s="1096"/>
      <c r="AI1123" s="1096"/>
      <c r="AJ1123" s="1096"/>
      <c r="AK1123" s="1096"/>
      <c r="AL1123" s="1096"/>
      <c r="AM1123" s="1096"/>
      <c r="AN1123" s="1096"/>
      <c r="AO1123" s="1096"/>
      <c r="AP1123" s="1096"/>
      <c r="AQ1123" s="1096"/>
      <c r="AR1123" s="1096"/>
      <c r="AS1123" s="1096"/>
      <c r="AT1123" s="1096"/>
      <c r="AU1123" s="1096"/>
      <c r="AV1123" s="1096"/>
      <c r="AW1123" s="1096"/>
      <c r="AX1123" s="1096"/>
      <c r="AY1123" s="1096"/>
    </row>
    <row r="1124" spans="1:51" x14ac:dyDescent="0.45">
      <c r="A1124" s="1096"/>
      <c r="B1124" s="1096"/>
      <c r="C1124" s="1096"/>
      <c r="D1124" s="1096"/>
      <c r="E1124" s="1096"/>
      <c r="F1124" s="1096"/>
      <c r="G1124" s="1096"/>
      <c r="H1124" s="1096"/>
      <c r="I1124" s="1096"/>
      <c r="J1124" s="1096"/>
      <c r="K1124" s="1096"/>
      <c r="L1124" s="1096"/>
      <c r="M1124" s="1096"/>
      <c r="N1124" s="1096"/>
      <c r="O1124" s="1096"/>
      <c r="P1124" s="1096"/>
      <c r="Q1124" s="1096"/>
      <c r="R1124" s="1096"/>
      <c r="S1124" s="1096"/>
      <c r="T1124" s="1096"/>
      <c r="U1124" s="1096"/>
      <c r="V1124" s="1096"/>
      <c r="W1124" s="1096"/>
      <c r="X1124" s="1096"/>
      <c r="Y1124" s="1096"/>
      <c r="Z1124" s="1096"/>
      <c r="AA1124" s="1096"/>
      <c r="AB1124" s="1096"/>
      <c r="AC1124" s="1096"/>
      <c r="AD1124" s="1096"/>
      <c r="AE1124" s="1096"/>
      <c r="AF1124" s="1096"/>
      <c r="AG1124" s="1096"/>
      <c r="AH1124" s="1096"/>
      <c r="AI1124" s="1096"/>
      <c r="AJ1124" s="1096"/>
      <c r="AK1124" s="1096"/>
      <c r="AL1124" s="1096"/>
      <c r="AM1124" s="1096"/>
      <c r="AN1124" s="1096"/>
      <c r="AO1124" s="1096"/>
      <c r="AP1124" s="1096"/>
      <c r="AQ1124" s="1096"/>
      <c r="AR1124" s="1096"/>
      <c r="AS1124" s="1096"/>
      <c r="AT1124" s="1096"/>
      <c r="AU1124" s="1096"/>
      <c r="AV1124" s="1096"/>
      <c r="AW1124" s="1096"/>
      <c r="AX1124" s="1096"/>
      <c r="AY1124" s="1096"/>
    </row>
    <row r="1125" spans="1:51" x14ac:dyDescent="0.45">
      <c r="A1125" s="1096"/>
      <c r="B1125" s="1096"/>
      <c r="C1125" s="1096"/>
      <c r="D1125" s="1096"/>
      <c r="E1125" s="1096"/>
      <c r="F1125" s="1096"/>
      <c r="G1125" s="1096"/>
      <c r="H1125" s="1096"/>
      <c r="I1125" s="1096"/>
      <c r="J1125" s="1096"/>
      <c r="K1125" s="1096"/>
      <c r="L1125" s="1096"/>
      <c r="M1125" s="1096"/>
      <c r="N1125" s="1096"/>
      <c r="O1125" s="1096"/>
      <c r="P1125" s="1096"/>
      <c r="Q1125" s="1096"/>
      <c r="R1125" s="1096"/>
      <c r="S1125" s="1096"/>
      <c r="T1125" s="1096"/>
      <c r="U1125" s="1096"/>
      <c r="V1125" s="1096"/>
      <c r="W1125" s="1096"/>
      <c r="X1125" s="1096"/>
      <c r="Y1125" s="1096"/>
      <c r="Z1125" s="1096"/>
      <c r="AA1125" s="1096"/>
      <c r="AB1125" s="1096"/>
      <c r="AC1125" s="1096"/>
      <c r="AD1125" s="1096"/>
      <c r="AE1125" s="1096"/>
      <c r="AF1125" s="1096"/>
      <c r="AG1125" s="1096"/>
      <c r="AH1125" s="1096"/>
      <c r="AI1125" s="1096"/>
      <c r="AJ1125" s="1096"/>
      <c r="AK1125" s="1096"/>
      <c r="AL1125" s="1096"/>
      <c r="AM1125" s="1096"/>
      <c r="AN1125" s="1096"/>
      <c r="AO1125" s="1096"/>
      <c r="AP1125" s="1096"/>
      <c r="AQ1125" s="1096"/>
      <c r="AR1125" s="1096"/>
      <c r="AS1125" s="1096"/>
      <c r="AT1125" s="1096"/>
      <c r="AU1125" s="1096"/>
      <c r="AV1125" s="1096"/>
      <c r="AW1125" s="1096"/>
      <c r="AX1125" s="1096"/>
      <c r="AY1125" s="1096"/>
    </row>
    <row r="1126" spans="1:51" x14ac:dyDescent="0.45">
      <c r="A1126" s="1096"/>
      <c r="B1126" s="1096"/>
      <c r="C1126" s="1096"/>
      <c r="D1126" s="1096"/>
      <c r="E1126" s="1096"/>
      <c r="F1126" s="1096"/>
      <c r="G1126" s="1096"/>
      <c r="H1126" s="1096"/>
      <c r="I1126" s="1096"/>
      <c r="J1126" s="1096"/>
      <c r="K1126" s="1096"/>
      <c r="L1126" s="1096"/>
      <c r="M1126" s="1096"/>
      <c r="N1126" s="1096"/>
      <c r="O1126" s="1096"/>
      <c r="P1126" s="1096"/>
      <c r="Q1126" s="1096"/>
      <c r="R1126" s="1096"/>
      <c r="S1126" s="1096"/>
      <c r="T1126" s="1096"/>
      <c r="U1126" s="1096"/>
      <c r="V1126" s="1096"/>
      <c r="W1126" s="1096"/>
      <c r="X1126" s="1096"/>
      <c r="Y1126" s="1096"/>
      <c r="Z1126" s="1096"/>
      <c r="AA1126" s="1096"/>
      <c r="AB1126" s="1096"/>
      <c r="AC1126" s="1096"/>
      <c r="AD1126" s="1096"/>
      <c r="AE1126" s="1096"/>
      <c r="AF1126" s="1096"/>
      <c r="AG1126" s="1096"/>
      <c r="AH1126" s="1096"/>
      <c r="AI1126" s="1096"/>
      <c r="AJ1126" s="1096"/>
      <c r="AK1126" s="1096"/>
      <c r="AL1126" s="1096"/>
      <c r="AM1126" s="1096"/>
      <c r="AN1126" s="1096"/>
      <c r="AO1126" s="1096"/>
      <c r="AP1126" s="1096"/>
      <c r="AQ1126" s="1096"/>
      <c r="AR1126" s="1096"/>
      <c r="AS1126" s="1096"/>
      <c r="AT1126" s="1096"/>
      <c r="AU1126" s="1096"/>
      <c r="AV1126" s="1096"/>
      <c r="AW1126" s="1096"/>
      <c r="AX1126" s="1096"/>
      <c r="AY1126" s="1096"/>
    </row>
    <row r="1127" spans="1:51" x14ac:dyDescent="0.45">
      <c r="A1127" s="1096"/>
      <c r="B1127" s="1096"/>
      <c r="C1127" s="1096"/>
      <c r="D1127" s="1096"/>
      <c r="E1127" s="1096"/>
      <c r="F1127" s="1096"/>
      <c r="G1127" s="1096"/>
      <c r="H1127" s="1096"/>
      <c r="I1127" s="1096"/>
      <c r="J1127" s="1096"/>
      <c r="K1127" s="1096"/>
      <c r="L1127" s="1096"/>
      <c r="M1127" s="1096"/>
      <c r="N1127" s="1096"/>
      <c r="O1127" s="1096"/>
      <c r="P1127" s="1096"/>
      <c r="Q1127" s="1096"/>
      <c r="R1127" s="1096"/>
      <c r="S1127" s="1096"/>
      <c r="T1127" s="1096"/>
      <c r="U1127" s="1096"/>
      <c r="V1127" s="1096"/>
      <c r="W1127" s="1096"/>
      <c r="X1127" s="1096"/>
      <c r="Y1127" s="1096"/>
      <c r="Z1127" s="1096"/>
      <c r="AA1127" s="1096"/>
      <c r="AB1127" s="1096"/>
      <c r="AC1127" s="1096"/>
      <c r="AD1127" s="1096"/>
      <c r="AE1127" s="1096"/>
      <c r="AF1127" s="1096"/>
      <c r="AG1127" s="1096"/>
      <c r="AH1127" s="1096"/>
      <c r="AI1127" s="1096"/>
      <c r="AJ1127" s="1096"/>
      <c r="AK1127" s="1096"/>
      <c r="AL1127" s="1096"/>
      <c r="AM1127" s="1096"/>
      <c r="AN1127" s="1096"/>
      <c r="AO1127" s="1096"/>
      <c r="AP1127" s="1096"/>
      <c r="AQ1127" s="1096"/>
      <c r="AR1127" s="1096"/>
      <c r="AS1127" s="1096"/>
      <c r="AT1127" s="1096"/>
      <c r="AU1127" s="1096"/>
      <c r="AV1127" s="1096"/>
      <c r="AW1127" s="1096"/>
      <c r="AX1127" s="1096"/>
      <c r="AY1127" s="1096"/>
    </row>
    <row r="1128" spans="1:51" x14ac:dyDescent="0.45">
      <c r="A1128" s="1096"/>
      <c r="B1128" s="1096"/>
      <c r="C1128" s="1096"/>
      <c r="D1128" s="1096"/>
      <c r="E1128" s="1096"/>
      <c r="F1128" s="1096"/>
      <c r="G1128" s="1096"/>
      <c r="H1128" s="1096"/>
      <c r="I1128" s="1096"/>
      <c r="J1128" s="1096"/>
      <c r="K1128" s="1096"/>
      <c r="L1128" s="1096"/>
      <c r="M1128" s="1096"/>
      <c r="N1128" s="1096"/>
      <c r="O1128" s="1096"/>
      <c r="P1128" s="1096"/>
      <c r="Q1128" s="1096"/>
      <c r="R1128" s="1096"/>
      <c r="S1128" s="1096"/>
      <c r="T1128" s="1096"/>
      <c r="U1128" s="1096"/>
      <c r="V1128" s="1096"/>
      <c r="W1128" s="1096"/>
      <c r="X1128" s="1096"/>
      <c r="Y1128" s="1096"/>
      <c r="Z1128" s="1096"/>
      <c r="AA1128" s="1096"/>
      <c r="AB1128" s="1096"/>
      <c r="AC1128" s="1096"/>
      <c r="AD1128" s="1096"/>
      <c r="AE1128" s="1096"/>
      <c r="AF1128" s="1096"/>
      <c r="AG1128" s="1096"/>
      <c r="AH1128" s="1096"/>
      <c r="AI1128" s="1096"/>
      <c r="AJ1128" s="1096"/>
      <c r="AK1128" s="1096"/>
      <c r="AL1128" s="1096"/>
      <c r="AM1128" s="1096"/>
      <c r="AN1128" s="1096"/>
      <c r="AO1128" s="1096"/>
      <c r="AP1128" s="1096"/>
      <c r="AQ1128" s="1096"/>
      <c r="AR1128" s="1096"/>
      <c r="AS1128" s="1096"/>
      <c r="AT1128" s="1096"/>
      <c r="AU1128" s="1096"/>
      <c r="AV1128" s="1096"/>
      <c r="AW1128" s="1096"/>
      <c r="AX1128" s="1096"/>
      <c r="AY1128" s="1096"/>
    </row>
    <row r="1129" spans="1:51" x14ac:dyDescent="0.45">
      <c r="A1129" s="1096"/>
      <c r="B1129" s="1096"/>
      <c r="C1129" s="1096"/>
      <c r="D1129" s="1096"/>
      <c r="E1129" s="1096"/>
      <c r="F1129" s="1096"/>
      <c r="G1129" s="1096"/>
      <c r="H1129" s="1096"/>
      <c r="I1129" s="1096"/>
      <c r="J1129" s="1096"/>
      <c r="K1129" s="1096"/>
      <c r="L1129" s="1096"/>
      <c r="M1129" s="1096"/>
      <c r="N1129" s="1096"/>
      <c r="O1129" s="1096"/>
      <c r="P1129" s="1096"/>
      <c r="Q1129" s="1096"/>
      <c r="R1129" s="1096"/>
      <c r="S1129" s="1096"/>
      <c r="T1129" s="1096"/>
      <c r="U1129" s="1096"/>
      <c r="V1129" s="1096"/>
      <c r="W1129" s="1096"/>
      <c r="X1129" s="1096"/>
      <c r="Y1129" s="1096"/>
      <c r="Z1129" s="1096"/>
      <c r="AA1129" s="1096"/>
      <c r="AB1129" s="1096"/>
      <c r="AC1129" s="1096"/>
      <c r="AD1129" s="1096"/>
      <c r="AE1129" s="1096"/>
      <c r="AF1129" s="1096"/>
      <c r="AG1129" s="1096"/>
      <c r="AH1129" s="1096"/>
      <c r="AI1129" s="1096"/>
      <c r="AJ1129" s="1096"/>
      <c r="AK1129" s="1096"/>
      <c r="AL1129" s="1096"/>
      <c r="AM1129" s="1096"/>
      <c r="AN1129" s="1096"/>
      <c r="AO1129" s="1096"/>
      <c r="AP1129" s="1096"/>
      <c r="AQ1129" s="1096"/>
      <c r="AR1129" s="1096"/>
      <c r="AS1129" s="1096"/>
      <c r="AT1129" s="1096"/>
      <c r="AU1129" s="1096"/>
      <c r="AV1129" s="1096"/>
      <c r="AW1129" s="1096"/>
      <c r="AX1129" s="1096"/>
      <c r="AY1129" s="1096"/>
    </row>
    <row r="1130" spans="1:51" x14ac:dyDescent="0.45">
      <c r="A1130" s="1096"/>
      <c r="B1130" s="1096"/>
      <c r="C1130" s="1096"/>
      <c r="D1130" s="1096"/>
      <c r="E1130" s="1096"/>
      <c r="F1130" s="1096"/>
      <c r="G1130" s="1096"/>
      <c r="H1130" s="1096"/>
      <c r="I1130" s="1096"/>
      <c r="J1130" s="1096"/>
      <c r="K1130" s="1096"/>
      <c r="L1130" s="1096"/>
      <c r="M1130" s="1096"/>
      <c r="N1130" s="1096"/>
      <c r="O1130" s="1096"/>
      <c r="P1130" s="1096"/>
      <c r="Q1130" s="1096"/>
      <c r="R1130" s="1096"/>
      <c r="S1130" s="1096"/>
      <c r="T1130" s="1096"/>
      <c r="U1130" s="1096"/>
      <c r="V1130" s="1096"/>
      <c r="W1130" s="1096"/>
      <c r="X1130" s="1096"/>
      <c r="Y1130" s="1096"/>
      <c r="Z1130" s="1096"/>
      <c r="AA1130" s="1096"/>
      <c r="AB1130" s="1096"/>
      <c r="AC1130" s="1096"/>
      <c r="AD1130" s="1096"/>
      <c r="AE1130" s="1096"/>
      <c r="AF1130" s="1096"/>
      <c r="AG1130" s="1096"/>
      <c r="AH1130" s="1096"/>
      <c r="AI1130" s="1096"/>
      <c r="AJ1130" s="1096"/>
      <c r="AK1130" s="1096"/>
      <c r="AL1130" s="1096"/>
      <c r="AM1130" s="1096"/>
      <c r="AN1130" s="1096"/>
      <c r="AO1130" s="1096"/>
      <c r="AP1130" s="1096"/>
      <c r="AQ1130" s="1096"/>
      <c r="AR1130" s="1096"/>
      <c r="AS1130" s="1096"/>
      <c r="AT1130" s="1096"/>
      <c r="AU1130" s="1096"/>
      <c r="AV1130" s="1096"/>
      <c r="AW1130" s="1096"/>
      <c r="AX1130" s="1096"/>
      <c r="AY1130" s="1096"/>
    </row>
    <row r="1131" spans="1:51" x14ac:dyDescent="0.45">
      <c r="A1131" s="1096"/>
      <c r="B1131" s="1096"/>
      <c r="C1131" s="1096"/>
      <c r="D1131" s="1096"/>
      <c r="E1131" s="1096"/>
      <c r="F1131" s="1096"/>
      <c r="G1131" s="1096"/>
      <c r="H1131" s="1096"/>
      <c r="I1131" s="1096"/>
      <c r="J1131" s="1096"/>
      <c r="K1131" s="1096"/>
      <c r="L1131" s="1096"/>
      <c r="M1131" s="1096"/>
      <c r="N1131" s="1096"/>
      <c r="O1131" s="1096"/>
      <c r="P1131" s="1096"/>
      <c r="Q1131" s="1096"/>
      <c r="R1131" s="1096"/>
      <c r="S1131" s="1096"/>
      <c r="T1131" s="1096"/>
      <c r="U1131" s="1096"/>
      <c r="V1131" s="1096"/>
      <c r="W1131" s="1096"/>
      <c r="X1131" s="1096"/>
      <c r="Y1131" s="1096"/>
      <c r="Z1131" s="1096"/>
      <c r="AA1131" s="1096"/>
      <c r="AB1131" s="1096"/>
      <c r="AC1131" s="1096"/>
      <c r="AD1131" s="1096"/>
      <c r="AE1131" s="1096"/>
      <c r="AF1131" s="1096"/>
      <c r="AG1131" s="1096"/>
      <c r="AH1131" s="1096"/>
      <c r="AI1131" s="1096"/>
      <c r="AJ1131" s="1096"/>
      <c r="AK1131" s="1096"/>
      <c r="AL1131" s="1096"/>
      <c r="AM1131" s="1096"/>
      <c r="AN1131" s="1096"/>
      <c r="AO1131" s="1096"/>
      <c r="AP1131" s="1096"/>
      <c r="AQ1131" s="1096"/>
      <c r="AR1131" s="1096"/>
      <c r="AS1131" s="1096"/>
      <c r="AT1131" s="1096"/>
      <c r="AU1131" s="1096"/>
      <c r="AV1131" s="1096"/>
      <c r="AW1131" s="1096"/>
      <c r="AX1131" s="1096"/>
      <c r="AY1131" s="1096"/>
    </row>
    <row r="1132" spans="1:51" x14ac:dyDescent="0.45">
      <c r="A1132" s="1096"/>
      <c r="B1132" s="1096"/>
      <c r="C1132" s="1096"/>
      <c r="D1132" s="1096"/>
      <c r="E1132" s="1096"/>
      <c r="F1132" s="1096"/>
      <c r="G1132" s="1096"/>
      <c r="H1132" s="1096"/>
      <c r="I1132" s="1096"/>
      <c r="J1132" s="1096"/>
      <c r="K1132" s="1096"/>
      <c r="L1132" s="1096"/>
      <c r="M1132" s="1096"/>
      <c r="N1132" s="1096"/>
      <c r="O1132" s="1096"/>
      <c r="P1132" s="1096"/>
      <c r="Q1132" s="1096"/>
      <c r="R1132" s="1096"/>
      <c r="S1132" s="1096"/>
      <c r="T1132" s="1096"/>
      <c r="U1132" s="1096"/>
      <c r="V1132" s="1096"/>
      <c r="W1132" s="1096"/>
      <c r="X1132" s="1096"/>
      <c r="Y1132" s="1096"/>
      <c r="Z1132" s="1096"/>
      <c r="AA1132" s="1096"/>
      <c r="AB1132" s="1096"/>
      <c r="AC1132" s="1096"/>
      <c r="AD1132" s="1096"/>
      <c r="AE1132" s="1096"/>
      <c r="AF1132" s="1096"/>
      <c r="AG1132" s="1096"/>
      <c r="AH1132" s="1096"/>
      <c r="AI1132" s="1096"/>
      <c r="AJ1132" s="1096"/>
      <c r="AK1132" s="1096"/>
      <c r="AL1132" s="1096"/>
      <c r="AM1132" s="1096"/>
      <c r="AN1132" s="1096"/>
      <c r="AO1132" s="1096"/>
      <c r="AP1132" s="1096"/>
      <c r="AQ1132" s="1096"/>
      <c r="AR1132" s="1096"/>
      <c r="AS1132" s="1096"/>
      <c r="AT1132" s="1096"/>
      <c r="AU1132" s="1096"/>
      <c r="AV1132" s="1096"/>
      <c r="AW1132" s="1096"/>
      <c r="AX1132" s="1096"/>
      <c r="AY1132" s="1096"/>
    </row>
    <row r="1133" spans="1:51" x14ac:dyDescent="0.45">
      <c r="A1133" s="1096"/>
      <c r="B1133" s="1096"/>
      <c r="C1133" s="1096"/>
      <c r="D1133" s="1096"/>
      <c r="E1133" s="1096"/>
      <c r="F1133" s="1096"/>
      <c r="G1133" s="1096"/>
      <c r="H1133" s="1096"/>
      <c r="I1133" s="1096"/>
      <c r="J1133" s="1096"/>
      <c r="K1133" s="1096"/>
      <c r="L1133" s="1096"/>
      <c r="M1133" s="1096"/>
      <c r="N1133" s="1096"/>
      <c r="O1133" s="1096"/>
      <c r="P1133" s="1096"/>
      <c r="Q1133" s="1096"/>
      <c r="R1133" s="1096"/>
      <c r="S1133" s="1096"/>
      <c r="T1133" s="1096"/>
      <c r="U1133" s="1096"/>
      <c r="V1133" s="1096"/>
      <c r="W1133" s="1096"/>
      <c r="X1133" s="1096"/>
      <c r="Y1133" s="1096"/>
      <c r="Z1133" s="1096"/>
      <c r="AA1133" s="1096"/>
      <c r="AB1133" s="1096"/>
      <c r="AC1133" s="1096"/>
      <c r="AD1133" s="1096"/>
      <c r="AE1133" s="1096"/>
      <c r="AF1133" s="1096"/>
      <c r="AG1133" s="1096"/>
      <c r="AH1133" s="1096"/>
      <c r="AI1133" s="1096"/>
      <c r="AJ1133" s="1096"/>
      <c r="AK1133" s="1096"/>
      <c r="AL1133" s="1096"/>
      <c r="AM1133" s="1096"/>
      <c r="AN1133" s="1096"/>
      <c r="AO1133" s="1096"/>
      <c r="AP1133" s="1096"/>
      <c r="AQ1133" s="1096"/>
      <c r="AR1133" s="1096"/>
      <c r="AS1133" s="1096"/>
      <c r="AT1133" s="1096"/>
      <c r="AU1133" s="1096"/>
      <c r="AV1133" s="1096"/>
      <c r="AW1133" s="1096"/>
      <c r="AX1133" s="1096"/>
      <c r="AY1133" s="1096"/>
    </row>
    <row r="1134" spans="1:51" x14ac:dyDescent="0.45">
      <c r="A1134" s="1096"/>
      <c r="B1134" s="1096"/>
      <c r="C1134" s="1096"/>
      <c r="D1134" s="1096"/>
      <c r="E1134" s="1096"/>
      <c r="F1134" s="1096"/>
      <c r="G1134" s="1096"/>
      <c r="H1134" s="1096"/>
      <c r="I1134" s="1096"/>
      <c r="J1134" s="1096"/>
      <c r="K1134" s="1096"/>
      <c r="L1134" s="1096"/>
      <c r="M1134" s="1096"/>
      <c r="N1134" s="1096"/>
      <c r="O1134" s="1096"/>
      <c r="P1134" s="1096"/>
      <c r="Q1134" s="1096"/>
      <c r="R1134" s="1096"/>
      <c r="S1134" s="1096"/>
      <c r="T1134" s="1096"/>
      <c r="U1134" s="1096"/>
      <c r="V1134" s="1096"/>
      <c r="W1134" s="1096"/>
      <c r="X1134" s="1096"/>
      <c r="Y1134" s="1096"/>
      <c r="Z1134" s="1096"/>
      <c r="AA1134" s="1096"/>
      <c r="AB1134" s="1096"/>
      <c r="AC1134" s="1096"/>
      <c r="AD1134" s="1096"/>
      <c r="AE1134" s="1096"/>
      <c r="AF1134" s="1096"/>
      <c r="AG1134" s="1096"/>
      <c r="AH1134" s="1096"/>
      <c r="AI1134" s="1096"/>
      <c r="AJ1134" s="1096"/>
      <c r="AK1134" s="1096"/>
      <c r="AL1134" s="1096"/>
      <c r="AM1134" s="1096"/>
      <c r="AN1134" s="1096"/>
      <c r="AO1134" s="1096"/>
      <c r="AP1134" s="1096"/>
      <c r="AQ1134" s="1096"/>
      <c r="AR1134" s="1096"/>
      <c r="AS1134" s="1096"/>
      <c r="AT1134" s="1096"/>
      <c r="AU1134" s="1096"/>
      <c r="AV1134" s="1096"/>
      <c r="AW1134" s="1096"/>
      <c r="AX1134" s="1096"/>
      <c r="AY1134" s="1096"/>
    </row>
    <row r="1135" spans="1:51" x14ac:dyDescent="0.45">
      <c r="A1135" s="1096"/>
      <c r="B1135" s="1096"/>
      <c r="C1135" s="1096"/>
      <c r="D1135" s="1096"/>
      <c r="E1135" s="1096"/>
      <c r="F1135" s="1096"/>
      <c r="G1135" s="1096"/>
      <c r="H1135" s="1096"/>
      <c r="I1135" s="1096"/>
      <c r="J1135" s="1096"/>
      <c r="K1135" s="1096"/>
      <c r="L1135" s="1096"/>
      <c r="M1135" s="1096"/>
      <c r="N1135" s="1096"/>
      <c r="O1135" s="1096"/>
      <c r="P1135" s="1096"/>
      <c r="Q1135" s="1096"/>
      <c r="R1135" s="1096"/>
      <c r="S1135" s="1096"/>
      <c r="T1135" s="1096"/>
      <c r="U1135" s="1096"/>
      <c r="V1135" s="1096"/>
      <c r="W1135" s="1096"/>
      <c r="X1135" s="1096"/>
      <c r="Y1135" s="1096"/>
      <c r="Z1135" s="1096"/>
      <c r="AA1135" s="1096"/>
      <c r="AB1135" s="1096"/>
      <c r="AC1135" s="1096"/>
      <c r="AD1135" s="1096"/>
      <c r="AE1135" s="1096"/>
      <c r="AF1135" s="1096"/>
      <c r="AG1135" s="1096"/>
      <c r="AH1135" s="1096"/>
      <c r="AI1135" s="1096"/>
      <c r="AJ1135" s="1096"/>
      <c r="AK1135" s="1096"/>
      <c r="AL1135" s="1096"/>
      <c r="AM1135" s="1096"/>
      <c r="AN1135" s="1096"/>
      <c r="AO1135" s="1096"/>
      <c r="AP1135" s="1096"/>
      <c r="AQ1135" s="1096"/>
      <c r="AR1135" s="1096"/>
      <c r="AS1135" s="1096"/>
      <c r="AT1135" s="1096"/>
      <c r="AU1135" s="1096"/>
      <c r="AV1135" s="1096"/>
      <c r="AW1135" s="1096"/>
      <c r="AX1135" s="1096"/>
      <c r="AY1135" s="1096"/>
    </row>
    <row r="1136" spans="1:51" x14ac:dyDescent="0.45">
      <c r="A1136" s="1096"/>
      <c r="B1136" s="1096"/>
      <c r="C1136" s="1096"/>
      <c r="D1136" s="1096"/>
      <c r="E1136" s="1096"/>
      <c r="F1136" s="1096"/>
      <c r="G1136" s="1096"/>
      <c r="H1136" s="1096"/>
      <c r="I1136" s="1096"/>
      <c r="J1136" s="1096"/>
      <c r="K1136" s="1096"/>
      <c r="L1136" s="1096"/>
      <c r="M1136" s="1096"/>
      <c r="N1136" s="1096"/>
      <c r="O1136" s="1096"/>
      <c r="P1136" s="1096"/>
      <c r="Q1136" s="1096"/>
      <c r="R1136" s="1096"/>
      <c r="S1136" s="1096"/>
      <c r="T1136" s="1096"/>
      <c r="U1136" s="1096"/>
      <c r="V1136" s="1096"/>
      <c r="W1136" s="1096"/>
      <c r="X1136" s="1096"/>
      <c r="Y1136" s="1096"/>
      <c r="Z1136" s="1096"/>
      <c r="AA1136" s="1096"/>
      <c r="AB1136" s="1096"/>
      <c r="AC1136" s="1096"/>
      <c r="AD1136" s="1096"/>
      <c r="AE1136" s="1096"/>
      <c r="AF1136" s="1096"/>
      <c r="AG1136" s="1096"/>
      <c r="AH1136" s="1096"/>
      <c r="AI1136" s="1096"/>
      <c r="AJ1136" s="1096"/>
      <c r="AK1136" s="1096"/>
      <c r="AL1136" s="1096"/>
      <c r="AM1136" s="1096"/>
      <c r="AN1136" s="1096"/>
      <c r="AO1136" s="1096"/>
      <c r="AP1136" s="1096"/>
      <c r="AQ1136" s="1096"/>
      <c r="AR1136" s="1096"/>
      <c r="AS1136" s="1096"/>
      <c r="AT1136" s="1096"/>
      <c r="AU1136" s="1096"/>
      <c r="AV1136" s="1096"/>
      <c r="AW1136" s="1096"/>
      <c r="AX1136" s="1096"/>
      <c r="AY1136" s="1096"/>
    </row>
    <row r="1137" spans="1:51" x14ac:dyDescent="0.45">
      <c r="A1137" s="1096"/>
      <c r="B1137" s="1096"/>
      <c r="C1137" s="1096"/>
      <c r="D1137" s="1096"/>
      <c r="E1137" s="1096"/>
      <c r="F1137" s="1096"/>
      <c r="G1137" s="1096"/>
      <c r="H1137" s="1096"/>
      <c r="I1137" s="1096"/>
      <c r="J1137" s="1096"/>
      <c r="K1137" s="1096"/>
      <c r="L1137" s="1096"/>
      <c r="M1137" s="1096"/>
      <c r="N1137" s="1096"/>
      <c r="O1137" s="1096"/>
      <c r="P1137" s="1096"/>
      <c r="Q1137" s="1096"/>
      <c r="R1137" s="1096"/>
      <c r="S1137" s="1096"/>
      <c r="T1137" s="1096"/>
      <c r="U1137" s="1096"/>
      <c r="V1137" s="1096"/>
      <c r="W1137" s="1096"/>
      <c r="X1137" s="1096"/>
      <c r="Y1137" s="1096"/>
      <c r="Z1137" s="1096"/>
      <c r="AA1137" s="1096"/>
      <c r="AB1137" s="1096"/>
      <c r="AC1137" s="1096"/>
      <c r="AD1137" s="1096"/>
      <c r="AE1137" s="1096"/>
      <c r="AF1137" s="1096"/>
      <c r="AG1137" s="1096"/>
      <c r="AH1137" s="1096"/>
      <c r="AI1137" s="1096"/>
      <c r="AJ1137" s="1096"/>
      <c r="AK1137" s="1096"/>
      <c r="AL1137" s="1096"/>
      <c r="AM1137" s="1096"/>
      <c r="AN1137" s="1096"/>
      <c r="AO1137" s="1096"/>
      <c r="AP1137" s="1096"/>
      <c r="AQ1137" s="1096"/>
      <c r="AR1137" s="1096"/>
      <c r="AS1137" s="1096"/>
      <c r="AT1137" s="1096"/>
      <c r="AU1137" s="1096"/>
      <c r="AV1137" s="1096"/>
      <c r="AW1137" s="1096"/>
      <c r="AX1137" s="1096"/>
      <c r="AY1137" s="1096"/>
    </row>
    <row r="1138" spans="1:51" x14ac:dyDescent="0.45">
      <c r="A1138" s="1096"/>
      <c r="B1138" s="1096"/>
      <c r="C1138" s="1096"/>
      <c r="D1138" s="1096"/>
      <c r="E1138" s="1096"/>
      <c r="F1138" s="1096"/>
      <c r="G1138" s="1096"/>
      <c r="H1138" s="1096"/>
      <c r="I1138" s="1096"/>
      <c r="J1138" s="1096"/>
      <c r="K1138" s="1096"/>
      <c r="L1138" s="1096"/>
      <c r="M1138" s="1096"/>
      <c r="N1138" s="1096"/>
      <c r="O1138" s="1096"/>
      <c r="P1138" s="1096"/>
      <c r="Q1138" s="1096"/>
      <c r="R1138" s="1096"/>
      <c r="S1138" s="1096"/>
      <c r="T1138" s="1096"/>
      <c r="U1138" s="1096"/>
      <c r="V1138" s="1096"/>
      <c r="W1138" s="1096"/>
      <c r="X1138" s="1096"/>
      <c r="Y1138" s="1096"/>
      <c r="Z1138" s="1096"/>
      <c r="AA1138" s="1096"/>
      <c r="AB1138" s="1096"/>
      <c r="AC1138" s="1096"/>
      <c r="AD1138" s="1096"/>
      <c r="AE1138" s="1096"/>
      <c r="AF1138" s="1096"/>
      <c r="AG1138" s="1096"/>
      <c r="AH1138" s="1096"/>
      <c r="AI1138" s="1096"/>
      <c r="AJ1138" s="1096"/>
      <c r="AK1138" s="1096"/>
      <c r="AL1138" s="1096"/>
      <c r="AM1138" s="1096"/>
      <c r="AN1138" s="1096"/>
      <c r="AO1138" s="1096"/>
      <c r="AP1138" s="1096"/>
      <c r="AQ1138" s="1096"/>
      <c r="AR1138" s="1096"/>
      <c r="AS1138" s="1096"/>
      <c r="AT1138" s="1096"/>
      <c r="AU1138" s="1096"/>
      <c r="AV1138" s="1096"/>
      <c r="AW1138" s="1096"/>
      <c r="AX1138" s="1096"/>
      <c r="AY1138" s="1096"/>
    </row>
    <row r="1139" spans="1:51" x14ac:dyDescent="0.45">
      <c r="A1139" s="1096"/>
      <c r="B1139" s="1096"/>
      <c r="C1139" s="1096"/>
      <c r="D1139" s="1096"/>
      <c r="E1139" s="1096"/>
      <c r="F1139" s="1096"/>
      <c r="G1139" s="1096"/>
      <c r="H1139" s="1096"/>
      <c r="I1139" s="1096"/>
      <c r="J1139" s="1096"/>
      <c r="K1139" s="1096"/>
      <c r="L1139" s="1096"/>
      <c r="M1139" s="1096"/>
      <c r="N1139" s="1096"/>
      <c r="O1139" s="1096"/>
      <c r="P1139" s="1096"/>
      <c r="Q1139" s="1096"/>
      <c r="R1139" s="1096"/>
      <c r="S1139" s="1096"/>
      <c r="T1139" s="1096"/>
      <c r="U1139" s="1096"/>
      <c r="V1139" s="1096"/>
      <c r="W1139" s="1096"/>
      <c r="X1139" s="1096"/>
      <c r="Y1139" s="1096"/>
      <c r="Z1139" s="1096"/>
      <c r="AA1139" s="1096"/>
      <c r="AB1139" s="1096"/>
      <c r="AC1139" s="1096"/>
      <c r="AD1139" s="1096"/>
      <c r="AE1139" s="1096"/>
      <c r="AF1139" s="1096"/>
      <c r="AG1139" s="1096"/>
      <c r="AH1139" s="1096"/>
      <c r="AI1139" s="1096"/>
      <c r="AJ1139" s="1096"/>
      <c r="AK1139" s="1096"/>
      <c r="AL1139" s="1096"/>
      <c r="AM1139" s="1096"/>
      <c r="AN1139" s="1096"/>
      <c r="AO1139" s="1096"/>
      <c r="AP1139" s="1096"/>
      <c r="AQ1139" s="1096"/>
      <c r="AR1139" s="1096"/>
      <c r="AS1139" s="1096"/>
      <c r="AT1139" s="1096"/>
      <c r="AU1139" s="1096"/>
      <c r="AV1139" s="1096"/>
      <c r="AW1139" s="1096"/>
      <c r="AX1139" s="1096"/>
      <c r="AY1139" s="1096"/>
    </row>
    <row r="1140" spans="1:51" x14ac:dyDescent="0.45">
      <c r="A1140" s="1096"/>
      <c r="B1140" s="1096"/>
      <c r="C1140" s="1096"/>
      <c r="D1140" s="1096"/>
      <c r="E1140" s="1096"/>
      <c r="F1140" s="1096"/>
      <c r="G1140" s="1096"/>
      <c r="H1140" s="1096"/>
      <c r="I1140" s="1096"/>
      <c r="J1140" s="1096"/>
      <c r="K1140" s="1096"/>
      <c r="L1140" s="1096"/>
      <c r="M1140" s="1096"/>
      <c r="N1140" s="1096"/>
      <c r="O1140" s="1096"/>
      <c r="P1140" s="1096"/>
      <c r="Q1140" s="1096"/>
      <c r="R1140" s="1096"/>
      <c r="S1140" s="1096"/>
      <c r="T1140" s="1096"/>
      <c r="U1140" s="1096"/>
      <c r="V1140" s="1096"/>
      <c r="W1140" s="1096"/>
      <c r="X1140" s="1096"/>
      <c r="Y1140" s="1096"/>
      <c r="Z1140" s="1096"/>
      <c r="AA1140" s="1096"/>
      <c r="AB1140" s="1096"/>
      <c r="AC1140" s="1096"/>
      <c r="AD1140" s="1096"/>
      <c r="AE1140" s="1096"/>
      <c r="AF1140" s="1096"/>
      <c r="AG1140" s="1096"/>
      <c r="AH1140" s="1096"/>
      <c r="AI1140" s="1096"/>
      <c r="AJ1140" s="1096"/>
      <c r="AK1140" s="1096"/>
      <c r="AL1140" s="1096"/>
      <c r="AM1140" s="1096"/>
      <c r="AN1140" s="1096"/>
      <c r="AO1140" s="1096"/>
      <c r="AP1140" s="1096"/>
      <c r="AQ1140" s="1096"/>
      <c r="AR1140" s="1096"/>
      <c r="AS1140" s="1096"/>
      <c r="AT1140" s="1096"/>
      <c r="AU1140" s="1096"/>
      <c r="AV1140" s="1096"/>
      <c r="AW1140" s="1096"/>
      <c r="AX1140" s="1096"/>
      <c r="AY1140" s="1096"/>
    </row>
    <row r="1141" spans="1:51" x14ac:dyDescent="0.45">
      <c r="A1141" s="1096"/>
      <c r="B1141" s="1096"/>
      <c r="C1141" s="1096"/>
      <c r="D1141" s="1096"/>
      <c r="E1141" s="1096"/>
      <c r="F1141" s="1096"/>
      <c r="G1141" s="1096"/>
      <c r="H1141" s="1096"/>
      <c r="I1141" s="1096"/>
      <c r="J1141" s="1096"/>
      <c r="K1141" s="1096"/>
      <c r="L1141" s="1096"/>
      <c r="M1141" s="1096"/>
      <c r="N1141" s="1096"/>
      <c r="O1141" s="1096"/>
      <c r="P1141" s="1096"/>
      <c r="Q1141" s="1096"/>
      <c r="R1141" s="1096"/>
      <c r="S1141" s="1096"/>
      <c r="T1141" s="1096"/>
      <c r="U1141" s="1096"/>
      <c r="V1141" s="1096"/>
      <c r="W1141" s="1096"/>
      <c r="X1141" s="1096"/>
      <c r="Y1141" s="1096"/>
      <c r="Z1141" s="1096"/>
      <c r="AA1141" s="1096"/>
      <c r="AB1141" s="1096"/>
      <c r="AC1141" s="1096"/>
      <c r="AD1141" s="1096"/>
      <c r="AE1141" s="1096"/>
      <c r="AF1141" s="1096"/>
      <c r="AG1141" s="1096"/>
      <c r="AH1141" s="1096"/>
      <c r="AI1141" s="1096"/>
      <c r="AJ1141" s="1096"/>
      <c r="AK1141" s="1096"/>
      <c r="AL1141" s="1096"/>
      <c r="AM1141" s="1096"/>
      <c r="AN1141" s="1096"/>
      <c r="AO1141" s="1096"/>
      <c r="AP1141" s="1096"/>
      <c r="AQ1141" s="1096"/>
      <c r="AR1141" s="1096"/>
      <c r="AS1141" s="1096"/>
      <c r="AT1141" s="1096"/>
      <c r="AU1141" s="1096"/>
      <c r="AV1141" s="1096"/>
      <c r="AW1141" s="1096"/>
      <c r="AX1141" s="1096"/>
      <c r="AY1141" s="1096"/>
    </row>
    <row r="1142" spans="1:51" x14ac:dyDescent="0.45">
      <c r="A1142" s="1096"/>
      <c r="B1142" s="1096"/>
      <c r="C1142" s="1096"/>
      <c r="D1142" s="1096"/>
      <c r="E1142" s="1096"/>
      <c r="F1142" s="1096"/>
      <c r="G1142" s="1096"/>
      <c r="H1142" s="1096"/>
      <c r="I1142" s="1096"/>
      <c r="J1142" s="1096"/>
      <c r="K1142" s="1096"/>
      <c r="L1142" s="1096"/>
      <c r="M1142" s="1096"/>
      <c r="N1142" s="1096"/>
      <c r="O1142" s="1096"/>
      <c r="P1142" s="1096"/>
      <c r="Q1142" s="1096"/>
      <c r="R1142" s="1096"/>
      <c r="S1142" s="1096"/>
      <c r="T1142" s="1096"/>
      <c r="U1142" s="1096"/>
      <c r="V1142" s="1096"/>
      <c r="W1142" s="1096"/>
      <c r="X1142" s="1096"/>
      <c r="Y1142" s="1096"/>
      <c r="Z1142" s="1096"/>
      <c r="AA1142" s="1096"/>
      <c r="AB1142" s="1096"/>
      <c r="AC1142" s="1096"/>
      <c r="AD1142" s="1096"/>
      <c r="AE1142" s="1096"/>
      <c r="AF1142" s="1096"/>
      <c r="AG1142" s="1096"/>
      <c r="AH1142" s="1096"/>
      <c r="AI1142" s="1096"/>
      <c r="AJ1142" s="1096"/>
      <c r="AK1142" s="1096"/>
      <c r="AL1142" s="1096"/>
      <c r="AM1142" s="1096"/>
      <c r="AN1142" s="1096"/>
      <c r="AO1142" s="1096"/>
      <c r="AP1142" s="1096"/>
      <c r="AQ1142" s="1096"/>
      <c r="AR1142" s="1096"/>
      <c r="AS1142" s="1096"/>
      <c r="AT1142" s="1096"/>
      <c r="AU1142" s="1096"/>
      <c r="AV1142" s="1096"/>
      <c r="AW1142" s="1096"/>
      <c r="AX1142" s="1096"/>
      <c r="AY1142" s="1096"/>
    </row>
    <row r="1143" spans="1:51" x14ac:dyDescent="0.45">
      <c r="A1143" s="1096"/>
      <c r="B1143" s="1096"/>
      <c r="C1143" s="1096"/>
      <c r="D1143" s="1096"/>
      <c r="E1143" s="1096"/>
      <c r="F1143" s="1096"/>
      <c r="G1143" s="1096"/>
      <c r="H1143" s="1096"/>
      <c r="I1143" s="1096"/>
      <c r="J1143" s="1096"/>
      <c r="K1143" s="1096"/>
      <c r="L1143" s="1096"/>
      <c r="M1143" s="1096"/>
      <c r="N1143" s="1096"/>
      <c r="O1143" s="1096"/>
      <c r="P1143" s="1096"/>
      <c r="Q1143" s="1096"/>
      <c r="R1143" s="1096"/>
      <c r="S1143" s="1096"/>
      <c r="T1143" s="1096"/>
      <c r="U1143" s="1096"/>
      <c r="V1143" s="1096"/>
      <c r="W1143" s="1096"/>
      <c r="X1143" s="1096"/>
      <c r="Y1143" s="1096"/>
      <c r="Z1143" s="1096"/>
      <c r="AA1143" s="1096"/>
      <c r="AB1143" s="1096"/>
      <c r="AC1143" s="1096"/>
      <c r="AD1143" s="1096"/>
      <c r="AE1143" s="1096"/>
      <c r="AF1143" s="1096"/>
      <c r="AG1143" s="1096"/>
      <c r="AH1143" s="1096"/>
      <c r="AI1143" s="1096"/>
      <c r="AJ1143" s="1096"/>
      <c r="AK1143" s="1096"/>
      <c r="AL1143" s="1096"/>
      <c r="AM1143" s="1096"/>
      <c r="AN1143" s="1096"/>
      <c r="AO1143" s="1096"/>
      <c r="AP1143" s="1096"/>
      <c r="AQ1143" s="1096"/>
      <c r="AR1143" s="1096"/>
      <c r="AS1143" s="1096"/>
      <c r="AT1143" s="1096"/>
      <c r="AU1143" s="1096"/>
      <c r="AV1143" s="1096"/>
      <c r="AW1143" s="1096"/>
      <c r="AX1143" s="1096"/>
      <c r="AY1143" s="1096"/>
    </row>
    <row r="1144" spans="1:51" x14ac:dyDescent="0.45">
      <c r="A1144" s="1096"/>
      <c r="B1144" s="1096"/>
      <c r="C1144" s="1096"/>
      <c r="D1144" s="1096"/>
      <c r="E1144" s="1096"/>
      <c r="F1144" s="1096"/>
      <c r="G1144" s="1096"/>
      <c r="H1144" s="1096"/>
      <c r="I1144" s="1096"/>
      <c r="J1144" s="1096"/>
      <c r="K1144" s="1096"/>
      <c r="L1144" s="1096"/>
      <c r="M1144" s="1096"/>
      <c r="N1144" s="1096"/>
      <c r="O1144" s="1096"/>
      <c r="P1144" s="1096"/>
      <c r="Q1144" s="1096"/>
      <c r="R1144" s="1096"/>
      <c r="S1144" s="1096"/>
      <c r="T1144" s="1096"/>
      <c r="U1144" s="1096"/>
      <c r="V1144" s="1096"/>
      <c r="W1144" s="1096"/>
      <c r="X1144" s="1096"/>
      <c r="Y1144" s="1096"/>
      <c r="Z1144" s="1096"/>
      <c r="AA1144" s="1096"/>
      <c r="AB1144" s="1096"/>
      <c r="AC1144" s="1096"/>
      <c r="AD1144" s="1096"/>
      <c r="AE1144" s="1096"/>
      <c r="AF1144" s="1096"/>
      <c r="AG1144" s="1096"/>
      <c r="AH1144" s="1096"/>
      <c r="AI1144" s="1096"/>
      <c r="AJ1144" s="1096"/>
      <c r="AK1144" s="1096"/>
      <c r="AL1144" s="1096"/>
      <c r="AM1144" s="1096"/>
      <c r="AN1144" s="1096"/>
      <c r="AO1144" s="1096"/>
      <c r="AP1144" s="1096"/>
      <c r="AQ1144" s="1096"/>
      <c r="AR1144" s="1096"/>
      <c r="AS1144" s="1096"/>
      <c r="AT1144" s="1096"/>
      <c r="AU1144" s="1096"/>
      <c r="AV1144" s="1096"/>
      <c r="AW1144" s="1096"/>
      <c r="AX1144" s="1096"/>
      <c r="AY1144" s="1096"/>
    </row>
    <row r="1145" spans="1:51" x14ac:dyDescent="0.45">
      <c r="A1145" s="1096"/>
      <c r="B1145" s="1096"/>
      <c r="C1145" s="1096"/>
      <c r="D1145" s="1096"/>
      <c r="E1145" s="1096"/>
      <c r="F1145" s="1096"/>
      <c r="G1145" s="1096"/>
      <c r="H1145" s="1096"/>
      <c r="I1145" s="1096"/>
      <c r="J1145" s="1096"/>
      <c r="K1145" s="1096"/>
      <c r="L1145" s="1096"/>
      <c r="M1145" s="1096"/>
      <c r="N1145" s="1096"/>
      <c r="O1145" s="1096"/>
      <c r="P1145" s="1096"/>
      <c r="Q1145" s="1096"/>
      <c r="R1145" s="1096"/>
      <c r="S1145" s="1096"/>
      <c r="T1145" s="1096"/>
      <c r="U1145" s="1096"/>
      <c r="V1145" s="1096"/>
      <c r="W1145" s="1096"/>
      <c r="X1145" s="1096"/>
      <c r="Y1145" s="1096"/>
      <c r="Z1145" s="1096"/>
      <c r="AA1145" s="1096"/>
      <c r="AB1145" s="1096"/>
      <c r="AC1145" s="1096"/>
      <c r="AD1145" s="1096"/>
      <c r="AE1145" s="1096"/>
      <c r="AF1145" s="1096"/>
      <c r="AG1145" s="1096"/>
      <c r="AH1145" s="1096"/>
      <c r="AI1145" s="1096"/>
      <c r="AJ1145" s="1096"/>
      <c r="AK1145" s="1096"/>
      <c r="AL1145" s="1096"/>
      <c r="AM1145" s="1096"/>
      <c r="AN1145" s="1096"/>
      <c r="AO1145" s="1096"/>
      <c r="AP1145" s="1096"/>
      <c r="AQ1145" s="1096"/>
      <c r="AR1145" s="1096"/>
      <c r="AS1145" s="1096"/>
      <c r="AT1145" s="1096"/>
      <c r="AU1145" s="1096"/>
      <c r="AV1145" s="1096"/>
      <c r="AW1145" s="1096"/>
      <c r="AX1145" s="1096"/>
      <c r="AY1145" s="1096"/>
    </row>
    <row r="1146" spans="1:51" x14ac:dyDescent="0.45">
      <c r="A1146" s="1096"/>
      <c r="B1146" s="1096"/>
      <c r="C1146" s="1096"/>
      <c r="D1146" s="1096"/>
      <c r="E1146" s="1096"/>
      <c r="F1146" s="1096"/>
      <c r="G1146" s="1096"/>
      <c r="H1146" s="1096"/>
      <c r="I1146" s="1096"/>
      <c r="J1146" s="1096"/>
      <c r="K1146" s="1096"/>
      <c r="L1146" s="1096"/>
      <c r="M1146" s="1096"/>
      <c r="N1146" s="1096"/>
      <c r="O1146" s="1096"/>
      <c r="P1146" s="1096"/>
      <c r="Q1146" s="1096"/>
      <c r="R1146" s="1096"/>
      <c r="S1146" s="1096"/>
      <c r="T1146" s="1096"/>
      <c r="U1146" s="1096"/>
      <c r="V1146" s="1096"/>
      <c r="W1146" s="1096"/>
      <c r="X1146" s="1096"/>
      <c r="Y1146" s="1096"/>
      <c r="Z1146" s="1096"/>
      <c r="AA1146" s="1096"/>
      <c r="AB1146" s="1096"/>
      <c r="AC1146" s="1096"/>
      <c r="AD1146" s="1096"/>
      <c r="AE1146" s="1096"/>
      <c r="AF1146" s="1096"/>
      <c r="AG1146" s="1096"/>
      <c r="AH1146" s="1096"/>
      <c r="AI1146" s="1096"/>
      <c r="AJ1146" s="1096"/>
      <c r="AK1146" s="1096"/>
      <c r="AL1146" s="1096"/>
      <c r="AM1146" s="1096"/>
      <c r="AN1146" s="1096"/>
      <c r="AO1146" s="1096"/>
      <c r="AP1146" s="1096"/>
      <c r="AQ1146" s="1096"/>
      <c r="AR1146" s="1096"/>
      <c r="AS1146" s="1096"/>
      <c r="AT1146" s="1096"/>
      <c r="AU1146" s="1096"/>
      <c r="AV1146" s="1096"/>
      <c r="AW1146" s="1096"/>
      <c r="AX1146" s="1096"/>
      <c r="AY1146" s="1096"/>
    </row>
    <row r="1147" spans="1:51" x14ac:dyDescent="0.45">
      <c r="A1147" s="1096"/>
      <c r="B1147" s="1096"/>
      <c r="C1147" s="1096"/>
      <c r="D1147" s="1096"/>
      <c r="E1147" s="1096"/>
      <c r="F1147" s="1096"/>
      <c r="G1147" s="1096"/>
      <c r="H1147" s="1096"/>
      <c r="I1147" s="1096"/>
      <c r="J1147" s="1096"/>
      <c r="K1147" s="1096"/>
      <c r="L1147" s="1096"/>
      <c r="M1147" s="1096"/>
      <c r="N1147" s="1096"/>
      <c r="O1147" s="1096"/>
      <c r="P1147" s="1096"/>
      <c r="Q1147" s="1096"/>
      <c r="R1147" s="1096"/>
      <c r="S1147" s="1096"/>
      <c r="T1147" s="1096"/>
      <c r="U1147" s="1096"/>
      <c r="V1147" s="1096"/>
      <c r="W1147" s="1096"/>
      <c r="X1147" s="1096"/>
      <c r="Y1147" s="1096"/>
      <c r="Z1147" s="1096"/>
      <c r="AA1147" s="1096"/>
      <c r="AB1147" s="1096"/>
      <c r="AC1147" s="1096"/>
      <c r="AD1147" s="1096"/>
      <c r="AE1147" s="1096"/>
      <c r="AF1147" s="1096"/>
      <c r="AG1147" s="1096"/>
      <c r="AH1147" s="1096"/>
      <c r="AI1147" s="1096"/>
      <c r="AJ1147" s="1096"/>
      <c r="AK1147" s="1096"/>
      <c r="AL1147" s="1096"/>
      <c r="AM1147" s="1096"/>
      <c r="AN1147" s="1096"/>
      <c r="AO1147" s="1096"/>
      <c r="AP1147" s="1096"/>
      <c r="AQ1147" s="1096"/>
      <c r="AR1147" s="1096"/>
      <c r="AS1147" s="1096"/>
      <c r="AT1147" s="1096"/>
      <c r="AU1147" s="1096"/>
      <c r="AV1147" s="1096"/>
      <c r="AW1147" s="1096"/>
      <c r="AX1147" s="1096"/>
      <c r="AY1147" s="1096"/>
    </row>
    <row r="1148" spans="1:51" x14ac:dyDescent="0.45">
      <c r="A1148" s="1096"/>
      <c r="B1148" s="1096"/>
      <c r="C1148" s="1096"/>
      <c r="D1148" s="1096"/>
      <c r="E1148" s="1096"/>
      <c r="F1148" s="1096"/>
      <c r="G1148" s="1096"/>
      <c r="H1148" s="1096"/>
      <c r="I1148" s="1096"/>
      <c r="J1148" s="1096"/>
      <c r="K1148" s="1096"/>
      <c r="L1148" s="1096"/>
      <c r="M1148" s="1096"/>
      <c r="N1148" s="1096"/>
      <c r="O1148" s="1096"/>
      <c r="P1148" s="1096"/>
      <c r="Q1148" s="1096"/>
      <c r="R1148" s="1096"/>
      <c r="S1148" s="1096"/>
      <c r="T1148" s="1096"/>
      <c r="U1148" s="1096"/>
      <c r="V1148" s="1096"/>
      <c r="W1148" s="1096"/>
      <c r="X1148" s="1096"/>
      <c r="Y1148" s="1096"/>
      <c r="Z1148" s="1096"/>
      <c r="AA1148" s="1096"/>
      <c r="AB1148" s="1096"/>
      <c r="AC1148" s="1096"/>
      <c r="AD1148" s="1096"/>
      <c r="AE1148" s="1096"/>
      <c r="AF1148" s="1096"/>
      <c r="AG1148" s="1096"/>
      <c r="AH1148" s="1096"/>
      <c r="AI1148" s="1096"/>
      <c r="AJ1148" s="1096"/>
      <c r="AK1148" s="1096"/>
      <c r="AL1148" s="1096"/>
      <c r="AM1148" s="1096"/>
      <c r="AN1148" s="1096"/>
      <c r="AO1148" s="1096"/>
      <c r="AP1148" s="1096"/>
      <c r="AQ1148" s="1096"/>
      <c r="AR1148" s="1096"/>
      <c r="AS1148" s="1096"/>
      <c r="AT1148" s="1096"/>
      <c r="AU1148" s="1096"/>
      <c r="AV1148" s="1096"/>
      <c r="AW1148" s="1096"/>
      <c r="AX1148" s="1096"/>
      <c r="AY1148" s="1096"/>
    </row>
    <row r="1149" spans="1:51" x14ac:dyDescent="0.45">
      <c r="A1149" s="1096"/>
      <c r="B1149" s="1096"/>
      <c r="C1149" s="1096"/>
      <c r="D1149" s="1096"/>
      <c r="E1149" s="1096"/>
      <c r="F1149" s="1096"/>
      <c r="G1149" s="1096"/>
      <c r="H1149" s="1096"/>
      <c r="I1149" s="1096"/>
      <c r="J1149" s="1096"/>
      <c r="K1149" s="1096"/>
      <c r="L1149" s="1096"/>
      <c r="M1149" s="1096"/>
      <c r="N1149" s="1096"/>
      <c r="O1149" s="1096"/>
      <c r="P1149" s="1096"/>
      <c r="Q1149" s="1096"/>
      <c r="R1149" s="1096"/>
      <c r="S1149" s="1096"/>
      <c r="T1149" s="1096"/>
      <c r="U1149" s="1096"/>
      <c r="V1149" s="1096"/>
      <c r="W1149" s="1096"/>
      <c r="X1149" s="1096"/>
      <c r="Y1149" s="1096"/>
      <c r="Z1149" s="1096"/>
      <c r="AA1149" s="1096"/>
      <c r="AB1149" s="1096"/>
      <c r="AC1149" s="1096"/>
      <c r="AD1149" s="1096"/>
      <c r="AE1149" s="1096"/>
      <c r="AF1149" s="1096"/>
      <c r="AG1149" s="1096"/>
      <c r="AH1149" s="1096"/>
      <c r="AI1149" s="1096"/>
      <c r="AJ1149" s="1096"/>
      <c r="AK1149" s="1096"/>
      <c r="AL1149" s="1096"/>
      <c r="AM1149" s="1096"/>
      <c r="AN1149" s="1096"/>
      <c r="AO1149" s="1096"/>
      <c r="AP1149" s="1096"/>
      <c r="AQ1149" s="1096"/>
      <c r="AR1149" s="1096"/>
      <c r="AS1149" s="1096"/>
      <c r="AT1149" s="1096"/>
      <c r="AU1149" s="1096"/>
      <c r="AV1149" s="1096"/>
      <c r="AW1149" s="1096"/>
      <c r="AX1149" s="1096"/>
      <c r="AY1149" s="1096"/>
    </row>
    <row r="1150" spans="1:51" x14ac:dyDescent="0.45">
      <c r="A1150" s="1096"/>
      <c r="B1150" s="1096"/>
      <c r="C1150" s="1096"/>
      <c r="D1150" s="1096"/>
      <c r="E1150" s="1096"/>
      <c r="F1150" s="1096"/>
      <c r="G1150" s="1096"/>
      <c r="H1150" s="1096"/>
      <c r="I1150" s="1096"/>
      <c r="J1150" s="1096"/>
      <c r="K1150" s="1096"/>
      <c r="L1150" s="1096"/>
      <c r="M1150" s="1096"/>
      <c r="N1150" s="1096"/>
      <c r="O1150" s="1096"/>
      <c r="P1150" s="1096"/>
      <c r="Q1150" s="1096"/>
      <c r="R1150" s="1096"/>
      <c r="S1150" s="1096"/>
      <c r="T1150" s="1096"/>
      <c r="U1150" s="1096"/>
      <c r="V1150" s="1096"/>
      <c r="W1150" s="1096"/>
      <c r="X1150" s="1096"/>
      <c r="Y1150" s="1096"/>
      <c r="Z1150" s="1096"/>
      <c r="AA1150" s="1096"/>
      <c r="AB1150" s="1096"/>
      <c r="AC1150" s="1096"/>
      <c r="AD1150" s="1096"/>
      <c r="AE1150" s="1096"/>
      <c r="AF1150" s="1096"/>
      <c r="AG1150" s="1096"/>
      <c r="AH1150" s="1096"/>
      <c r="AI1150" s="1096"/>
      <c r="AJ1150" s="1096"/>
      <c r="AK1150" s="1096"/>
      <c r="AL1150" s="1096"/>
      <c r="AM1150" s="1096"/>
      <c r="AN1150" s="1096"/>
      <c r="AO1150" s="1096"/>
      <c r="AP1150" s="1096"/>
      <c r="AQ1150" s="1096"/>
      <c r="AR1150" s="1096"/>
      <c r="AS1150" s="1096"/>
      <c r="AT1150" s="1096"/>
      <c r="AU1150" s="1096"/>
      <c r="AV1150" s="1096"/>
      <c r="AW1150" s="1096"/>
      <c r="AX1150" s="1096"/>
      <c r="AY1150" s="1096"/>
    </row>
    <row r="1151" spans="1:51" x14ac:dyDescent="0.45">
      <c r="A1151" s="1096"/>
      <c r="B1151" s="1096"/>
      <c r="C1151" s="1096"/>
      <c r="D1151" s="1096"/>
      <c r="E1151" s="1096"/>
      <c r="F1151" s="1096"/>
      <c r="G1151" s="1096"/>
      <c r="H1151" s="1096"/>
      <c r="I1151" s="1096"/>
      <c r="J1151" s="1096"/>
      <c r="K1151" s="1096"/>
      <c r="L1151" s="1096"/>
      <c r="M1151" s="1096"/>
      <c r="N1151" s="1096"/>
      <c r="O1151" s="1096"/>
      <c r="P1151" s="1096"/>
      <c r="Q1151" s="1096"/>
      <c r="R1151" s="1096"/>
      <c r="S1151" s="1096"/>
      <c r="T1151" s="1096"/>
      <c r="U1151" s="1096"/>
      <c r="V1151" s="1096"/>
      <c r="W1151" s="1096"/>
      <c r="X1151" s="1096"/>
      <c r="Y1151" s="1096"/>
      <c r="Z1151" s="1096"/>
      <c r="AA1151" s="1096"/>
      <c r="AB1151" s="1096"/>
      <c r="AC1151" s="1096"/>
      <c r="AD1151" s="1096"/>
      <c r="AE1151" s="1096"/>
      <c r="AF1151" s="1096"/>
      <c r="AG1151" s="1096"/>
      <c r="AH1151" s="1096"/>
      <c r="AI1151" s="1096"/>
      <c r="AJ1151" s="1096"/>
      <c r="AK1151" s="1096"/>
      <c r="AL1151" s="1096"/>
      <c r="AM1151" s="1096"/>
      <c r="AN1151" s="1096"/>
      <c r="AO1151" s="1096"/>
      <c r="AP1151" s="1096"/>
      <c r="AQ1151" s="1096"/>
      <c r="AR1151" s="1096"/>
      <c r="AS1151" s="1096"/>
      <c r="AT1151" s="1096"/>
      <c r="AU1151" s="1096"/>
      <c r="AV1151" s="1096"/>
      <c r="AW1151" s="1096"/>
      <c r="AX1151" s="1096"/>
      <c r="AY1151" s="1096"/>
    </row>
    <row r="1152" spans="1:51" x14ac:dyDescent="0.45">
      <c r="A1152" s="1096"/>
      <c r="B1152" s="1096"/>
      <c r="C1152" s="1096"/>
      <c r="D1152" s="1096"/>
      <c r="E1152" s="1096"/>
      <c r="F1152" s="1096"/>
      <c r="G1152" s="1096"/>
      <c r="H1152" s="1096"/>
      <c r="I1152" s="1096"/>
      <c r="J1152" s="1096"/>
      <c r="K1152" s="1096"/>
      <c r="L1152" s="1096"/>
      <c r="M1152" s="1096"/>
      <c r="N1152" s="1096"/>
      <c r="O1152" s="1096"/>
      <c r="P1152" s="1096"/>
      <c r="Q1152" s="1096"/>
      <c r="R1152" s="1096"/>
      <c r="S1152" s="1096"/>
      <c r="T1152" s="1096"/>
      <c r="U1152" s="1096"/>
      <c r="V1152" s="1096"/>
      <c r="W1152" s="1096"/>
      <c r="X1152" s="1096"/>
      <c r="Y1152" s="1096"/>
      <c r="Z1152" s="1096"/>
      <c r="AA1152" s="1096"/>
      <c r="AB1152" s="1096"/>
      <c r="AC1152" s="1096"/>
      <c r="AD1152" s="1096"/>
      <c r="AE1152" s="1096"/>
      <c r="AF1152" s="1096"/>
      <c r="AG1152" s="1096"/>
      <c r="AH1152" s="1096"/>
      <c r="AI1152" s="1096"/>
      <c r="AJ1152" s="1096"/>
      <c r="AK1152" s="1096"/>
      <c r="AL1152" s="1096"/>
      <c r="AM1152" s="1096"/>
      <c r="AN1152" s="1096"/>
      <c r="AO1152" s="1096"/>
      <c r="AP1152" s="1096"/>
      <c r="AQ1152" s="1096"/>
      <c r="AR1152" s="1096"/>
      <c r="AS1152" s="1096"/>
      <c r="AT1152" s="1096"/>
      <c r="AU1152" s="1096"/>
      <c r="AV1152" s="1096"/>
      <c r="AW1152" s="1096"/>
      <c r="AX1152" s="1096"/>
      <c r="AY1152" s="1096"/>
    </row>
    <row r="1153" spans="1:51" x14ac:dyDescent="0.45">
      <c r="A1153" s="1096"/>
      <c r="B1153" s="1096"/>
      <c r="C1153" s="1096"/>
      <c r="D1153" s="1096"/>
      <c r="E1153" s="1096"/>
      <c r="F1153" s="1096"/>
      <c r="G1153" s="1096"/>
      <c r="H1153" s="1096"/>
      <c r="I1153" s="1096"/>
      <c r="J1153" s="1096"/>
      <c r="K1153" s="1096"/>
      <c r="L1153" s="1096"/>
      <c r="M1153" s="1096"/>
      <c r="N1153" s="1096"/>
      <c r="O1153" s="1096"/>
      <c r="P1153" s="1096"/>
      <c r="Q1153" s="1096"/>
      <c r="R1153" s="1096"/>
      <c r="S1153" s="1096"/>
      <c r="T1153" s="1096"/>
      <c r="U1153" s="1096"/>
      <c r="V1153" s="1096"/>
      <c r="W1153" s="1096"/>
      <c r="X1153" s="1096"/>
      <c r="Y1153" s="1096"/>
      <c r="Z1153" s="1096"/>
      <c r="AA1153" s="1096"/>
      <c r="AB1153" s="1096"/>
      <c r="AC1153" s="1096"/>
      <c r="AD1153" s="1096"/>
      <c r="AE1153" s="1096"/>
      <c r="AF1153" s="1096"/>
      <c r="AG1153" s="1096"/>
      <c r="AH1153" s="1096"/>
      <c r="AI1153" s="1096"/>
      <c r="AJ1153" s="1096"/>
      <c r="AK1153" s="1096"/>
      <c r="AL1153" s="1096"/>
      <c r="AM1153" s="1096"/>
      <c r="AN1153" s="1096"/>
      <c r="AO1153" s="1096"/>
      <c r="AP1153" s="1096"/>
      <c r="AQ1153" s="1096"/>
      <c r="AR1153" s="1096"/>
      <c r="AS1153" s="1096"/>
      <c r="AT1153" s="1096"/>
      <c r="AU1153" s="1096"/>
      <c r="AV1153" s="1096"/>
      <c r="AW1153" s="1096"/>
      <c r="AX1153" s="1096"/>
      <c r="AY1153" s="1096"/>
    </row>
    <row r="1154" spans="1:51" x14ac:dyDescent="0.45">
      <c r="A1154" s="1096"/>
      <c r="B1154" s="1096"/>
      <c r="C1154" s="1096"/>
      <c r="D1154" s="1096"/>
      <c r="E1154" s="1096"/>
      <c r="F1154" s="1096"/>
      <c r="G1154" s="1096"/>
      <c r="H1154" s="1096"/>
      <c r="I1154" s="1096"/>
      <c r="J1154" s="1096"/>
      <c r="K1154" s="1096"/>
      <c r="L1154" s="1096"/>
      <c r="M1154" s="1096"/>
      <c r="N1154" s="1096"/>
      <c r="O1154" s="1096"/>
      <c r="P1154" s="1096"/>
      <c r="Q1154" s="1096"/>
      <c r="R1154" s="1096"/>
      <c r="S1154" s="1096"/>
      <c r="T1154" s="1096"/>
      <c r="U1154" s="1096"/>
      <c r="V1154" s="1096"/>
      <c r="W1154" s="1096"/>
      <c r="X1154" s="1096"/>
      <c r="Y1154" s="1096"/>
      <c r="Z1154" s="1096"/>
      <c r="AA1154" s="1096"/>
      <c r="AB1154" s="1096"/>
      <c r="AC1154" s="1096"/>
      <c r="AD1154" s="1096"/>
      <c r="AE1154" s="1096"/>
      <c r="AF1154" s="1096"/>
      <c r="AG1154" s="1096"/>
      <c r="AH1154" s="1096"/>
      <c r="AI1154" s="1096"/>
      <c r="AJ1154" s="1096"/>
      <c r="AK1154" s="1096"/>
      <c r="AL1154" s="1096"/>
      <c r="AM1154" s="1096"/>
      <c r="AN1154" s="1096"/>
      <c r="AO1154" s="1096"/>
      <c r="AP1154" s="1096"/>
      <c r="AQ1154" s="1096"/>
      <c r="AR1154" s="1096"/>
      <c r="AS1154" s="1096"/>
      <c r="AT1154" s="1096"/>
      <c r="AU1154" s="1096"/>
      <c r="AV1154" s="1096"/>
      <c r="AW1154" s="1096"/>
      <c r="AX1154" s="1096"/>
      <c r="AY1154" s="1096"/>
    </row>
    <row r="1155" spans="1:51" x14ac:dyDescent="0.45">
      <c r="A1155" s="1096"/>
      <c r="B1155" s="1096"/>
      <c r="C1155" s="1096"/>
      <c r="D1155" s="1096"/>
      <c r="E1155" s="1096"/>
      <c r="F1155" s="1096"/>
      <c r="G1155" s="1096"/>
      <c r="H1155" s="1096"/>
      <c r="I1155" s="1096"/>
      <c r="J1155" s="1096"/>
      <c r="K1155" s="1096"/>
      <c r="L1155" s="1096"/>
      <c r="M1155" s="1096"/>
      <c r="N1155" s="1096"/>
      <c r="O1155" s="1096"/>
      <c r="P1155" s="1096"/>
      <c r="Q1155" s="1096"/>
      <c r="R1155" s="1096"/>
      <c r="S1155" s="1096"/>
      <c r="T1155" s="1096"/>
      <c r="U1155" s="1096"/>
      <c r="V1155" s="1096"/>
      <c r="W1155" s="1096"/>
      <c r="X1155" s="1096"/>
      <c r="Y1155" s="1096"/>
      <c r="Z1155" s="1096"/>
      <c r="AA1155" s="1096"/>
      <c r="AB1155" s="1096"/>
      <c r="AC1155" s="1096"/>
      <c r="AD1155" s="1096"/>
      <c r="AE1155" s="1096"/>
      <c r="AF1155" s="1096"/>
      <c r="AG1155" s="1096"/>
      <c r="AH1155" s="1096"/>
      <c r="AI1155" s="1096"/>
      <c r="AJ1155" s="1096"/>
      <c r="AK1155" s="1096"/>
      <c r="AL1155" s="1096"/>
      <c r="AM1155" s="1096"/>
      <c r="AN1155" s="1096"/>
      <c r="AO1155" s="1096"/>
      <c r="AP1155" s="1096"/>
      <c r="AQ1155" s="1096"/>
      <c r="AR1155" s="1096"/>
      <c r="AS1155" s="1096"/>
      <c r="AT1155" s="1096"/>
      <c r="AU1155" s="1096"/>
      <c r="AV1155" s="1096"/>
      <c r="AW1155" s="1096"/>
      <c r="AX1155" s="1096"/>
      <c r="AY1155" s="1096"/>
    </row>
    <row r="1156" spans="1:51" x14ac:dyDescent="0.45">
      <c r="A1156" s="1096"/>
      <c r="B1156" s="1096"/>
      <c r="C1156" s="1096"/>
      <c r="D1156" s="1096"/>
      <c r="E1156" s="1096"/>
      <c r="F1156" s="1096"/>
      <c r="G1156" s="1096"/>
      <c r="H1156" s="1096"/>
      <c r="I1156" s="1096"/>
      <c r="J1156" s="1096"/>
      <c r="K1156" s="1096"/>
      <c r="L1156" s="1096"/>
      <c r="M1156" s="1096"/>
      <c r="N1156" s="1096"/>
      <c r="O1156" s="1096"/>
      <c r="P1156" s="1096"/>
      <c r="Q1156" s="1096"/>
      <c r="R1156" s="1096"/>
      <c r="S1156" s="1096"/>
      <c r="T1156" s="1096"/>
      <c r="U1156" s="1096"/>
      <c r="V1156" s="1096"/>
      <c r="W1156" s="1096"/>
      <c r="X1156" s="1096"/>
      <c r="Y1156" s="1096"/>
      <c r="Z1156" s="1096"/>
      <c r="AA1156" s="1096"/>
      <c r="AB1156" s="1096"/>
      <c r="AC1156" s="1096"/>
      <c r="AD1156" s="1096"/>
      <c r="AE1156" s="1096"/>
      <c r="AF1156" s="1096"/>
      <c r="AG1156" s="1096"/>
      <c r="AH1156" s="1096"/>
      <c r="AI1156" s="1096"/>
      <c r="AJ1156" s="1096"/>
      <c r="AK1156" s="1096"/>
      <c r="AL1156" s="1096"/>
      <c r="AM1156" s="1096"/>
      <c r="AN1156" s="1096"/>
      <c r="AO1156" s="1096"/>
      <c r="AP1156" s="1096"/>
      <c r="AQ1156" s="1096"/>
      <c r="AR1156" s="1096"/>
      <c r="AS1156" s="1096"/>
      <c r="AT1156" s="1096"/>
      <c r="AU1156" s="1096"/>
      <c r="AV1156" s="1096"/>
      <c r="AW1156" s="1096"/>
      <c r="AX1156" s="1096"/>
      <c r="AY1156" s="1096"/>
    </row>
    <row r="1157" spans="1:51" x14ac:dyDescent="0.45">
      <c r="A1157" s="1096"/>
      <c r="B1157" s="1096"/>
      <c r="C1157" s="1096"/>
      <c r="D1157" s="1096"/>
      <c r="E1157" s="1096"/>
      <c r="F1157" s="1096"/>
      <c r="G1157" s="1096"/>
      <c r="H1157" s="1096"/>
      <c r="I1157" s="1096"/>
      <c r="J1157" s="1096"/>
      <c r="K1157" s="1096"/>
      <c r="L1157" s="1096"/>
      <c r="M1157" s="1096"/>
      <c r="N1157" s="1096"/>
      <c r="O1157" s="1096"/>
      <c r="P1157" s="1096"/>
      <c r="Q1157" s="1096"/>
      <c r="R1157" s="1096"/>
      <c r="S1157" s="1096"/>
      <c r="T1157" s="1096"/>
      <c r="U1157" s="1096"/>
      <c r="V1157" s="1096"/>
      <c r="W1157" s="1096"/>
      <c r="X1157" s="1096"/>
      <c r="Y1157" s="1096"/>
      <c r="Z1157" s="1096"/>
      <c r="AA1157" s="1096"/>
      <c r="AB1157" s="1096"/>
      <c r="AC1157" s="1096"/>
      <c r="AD1157" s="1096"/>
      <c r="AE1157" s="1096"/>
      <c r="AF1157" s="1096"/>
      <c r="AG1157" s="1096"/>
      <c r="AH1157" s="1096"/>
      <c r="AI1157" s="1096"/>
      <c r="AJ1157" s="1096"/>
      <c r="AK1157" s="1096"/>
      <c r="AL1157" s="1096"/>
      <c r="AM1157" s="1096"/>
      <c r="AN1157" s="1096"/>
      <c r="AO1157" s="1096"/>
      <c r="AP1157" s="1096"/>
      <c r="AQ1157" s="1096"/>
      <c r="AR1157" s="1096"/>
      <c r="AS1157" s="1096"/>
      <c r="AT1157" s="1096"/>
      <c r="AU1157" s="1096"/>
      <c r="AV1157" s="1096"/>
      <c r="AW1157" s="1096"/>
      <c r="AX1157" s="1096"/>
      <c r="AY1157" s="1096"/>
    </row>
    <row r="1158" spans="1:51" x14ac:dyDescent="0.45">
      <c r="A1158" s="1096"/>
      <c r="B1158" s="1096"/>
      <c r="C1158" s="1096"/>
      <c r="D1158" s="1096"/>
      <c r="E1158" s="1096"/>
      <c r="F1158" s="1096"/>
      <c r="G1158" s="1096"/>
      <c r="H1158" s="1096"/>
      <c r="I1158" s="1096"/>
      <c r="J1158" s="1096"/>
      <c r="K1158" s="1096"/>
      <c r="L1158" s="1096"/>
      <c r="M1158" s="1096"/>
      <c r="N1158" s="1096"/>
      <c r="O1158" s="1096"/>
      <c r="P1158" s="1096"/>
      <c r="Q1158" s="1096"/>
      <c r="R1158" s="1096"/>
      <c r="S1158" s="1096"/>
      <c r="T1158" s="1096"/>
      <c r="U1158" s="1096"/>
      <c r="V1158" s="1096"/>
      <c r="W1158" s="1096"/>
      <c r="X1158" s="1096"/>
      <c r="Y1158" s="1096"/>
      <c r="Z1158" s="1096"/>
      <c r="AA1158" s="1096"/>
      <c r="AB1158" s="1096"/>
      <c r="AC1158" s="1096"/>
      <c r="AD1158" s="1096"/>
      <c r="AE1158" s="1096"/>
      <c r="AF1158" s="1096"/>
      <c r="AG1158" s="1096"/>
      <c r="AH1158" s="1096"/>
      <c r="AI1158" s="1096"/>
      <c r="AJ1158" s="1096"/>
      <c r="AK1158" s="1096"/>
      <c r="AL1158" s="1096"/>
      <c r="AM1158" s="1096"/>
      <c r="AN1158" s="1096"/>
      <c r="AO1158" s="1096"/>
      <c r="AP1158" s="1096"/>
      <c r="AQ1158" s="1096"/>
      <c r="AR1158" s="1096"/>
      <c r="AS1158" s="1096"/>
      <c r="AT1158" s="1096"/>
      <c r="AU1158" s="1096"/>
      <c r="AV1158" s="1096"/>
      <c r="AW1158" s="1096"/>
      <c r="AX1158" s="1096"/>
      <c r="AY1158" s="1096"/>
    </row>
    <row r="1159" spans="1:51" x14ac:dyDescent="0.45">
      <c r="A1159" s="1096"/>
      <c r="B1159" s="1096"/>
      <c r="C1159" s="1096"/>
      <c r="D1159" s="1096"/>
      <c r="E1159" s="1096"/>
      <c r="F1159" s="1096"/>
      <c r="G1159" s="1096"/>
      <c r="H1159" s="1096"/>
      <c r="I1159" s="1096"/>
      <c r="J1159" s="1096"/>
      <c r="K1159" s="1096"/>
      <c r="L1159" s="1096"/>
      <c r="M1159" s="1096"/>
      <c r="N1159" s="1096"/>
      <c r="O1159" s="1096"/>
      <c r="P1159" s="1096"/>
      <c r="Q1159" s="1096"/>
      <c r="R1159" s="1096"/>
      <c r="S1159" s="1096"/>
      <c r="T1159" s="1096"/>
      <c r="U1159" s="1096"/>
      <c r="V1159" s="1096"/>
      <c r="W1159" s="1096"/>
      <c r="X1159" s="1096"/>
      <c r="Y1159" s="1096"/>
      <c r="Z1159" s="1096"/>
      <c r="AA1159" s="1096"/>
      <c r="AB1159" s="1096"/>
      <c r="AC1159" s="1096"/>
      <c r="AD1159" s="1096"/>
      <c r="AE1159" s="1096"/>
      <c r="AF1159" s="1096"/>
      <c r="AG1159" s="1096"/>
      <c r="AH1159" s="1096"/>
      <c r="AI1159" s="1096"/>
      <c r="AJ1159" s="1096"/>
      <c r="AK1159" s="1096"/>
      <c r="AL1159" s="1096"/>
      <c r="AM1159" s="1096"/>
      <c r="AN1159" s="1096"/>
      <c r="AO1159" s="1096"/>
      <c r="AP1159" s="1096"/>
      <c r="AQ1159" s="1096"/>
      <c r="AR1159" s="1096"/>
      <c r="AS1159" s="1096"/>
      <c r="AT1159" s="1096"/>
      <c r="AU1159" s="1096"/>
      <c r="AV1159" s="1096"/>
      <c r="AW1159" s="1096"/>
      <c r="AX1159" s="1096"/>
      <c r="AY1159" s="1096"/>
    </row>
    <row r="1160" spans="1:51" x14ac:dyDescent="0.45">
      <c r="A1160" s="1096"/>
      <c r="B1160" s="1096"/>
      <c r="C1160" s="1096"/>
      <c r="D1160" s="1096"/>
      <c r="E1160" s="1096"/>
      <c r="F1160" s="1096"/>
      <c r="G1160" s="1096"/>
      <c r="H1160" s="1096"/>
      <c r="I1160" s="1096"/>
      <c r="J1160" s="1096"/>
      <c r="K1160" s="1096"/>
      <c r="L1160" s="1096"/>
      <c r="M1160" s="1096"/>
      <c r="N1160" s="1096"/>
      <c r="O1160" s="1096"/>
      <c r="P1160" s="1096"/>
      <c r="Q1160" s="1096"/>
      <c r="R1160" s="1096"/>
      <c r="S1160" s="1096"/>
      <c r="T1160" s="1096"/>
      <c r="U1160" s="1096"/>
      <c r="V1160" s="1096"/>
      <c r="W1160" s="1096"/>
      <c r="X1160" s="1096"/>
      <c r="Y1160" s="1096"/>
      <c r="Z1160" s="1096"/>
      <c r="AA1160" s="1096"/>
      <c r="AB1160" s="1096"/>
      <c r="AC1160" s="1096"/>
      <c r="AD1160" s="1096"/>
      <c r="AE1160" s="1096"/>
      <c r="AF1160" s="1096"/>
      <c r="AG1160" s="1096"/>
      <c r="AH1160" s="1096"/>
      <c r="AI1160" s="1096"/>
      <c r="AJ1160" s="1096"/>
      <c r="AK1160" s="1096"/>
      <c r="AL1160" s="1096"/>
      <c r="AM1160" s="1096"/>
      <c r="AN1160" s="1096"/>
      <c r="AO1160" s="1096"/>
      <c r="AP1160" s="1096"/>
      <c r="AQ1160" s="1096"/>
      <c r="AR1160" s="1096"/>
      <c r="AS1160" s="1096"/>
      <c r="AT1160" s="1096"/>
      <c r="AU1160" s="1096"/>
      <c r="AV1160" s="1096"/>
      <c r="AW1160" s="1096"/>
      <c r="AX1160" s="1096"/>
      <c r="AY1160" s="1096"/>
    </row>
    <row r="1161" spans="1:51" x14ac:dyDescent="0.45">
      <c r="A1161" s="1096"/>
      <c r="B1161" s="1096"/>
      <c r="C1161" s="1096"/>
      <c r="D1161" s="1096"/>
      <c r="E1161" s="1096"/>
      <c r="F1161" s="1096"/>
      <c r="G1161" s="1096"/>
      <c r="H1161" s="1096"/>
      <c r="I1161" s="1096"/>
      <c r="J1161" s="1096"/>
      <c r="K1161" s="1096"/>
      <c r="L1161" s="1096"/>
      <c r="M1161" s="1096"/>
      <c r="N1161" s="1096"/>
      <c r="O1161" s="1096"/>
      <c r="P1161" s="1096"/>
      <c r="Q1161" s="1096"/>
      <c r="R1161" s="1096"/>
      <c r="S1161" s="1096"/>
      <c r="T1161" s="1096"/>
      <c r="U1161" s="1096"/>
      <c r="V1161" s="1096"/>
      <c r="W1161" s="1096"/>
      <c r="X1161" s="1096"/>
      <c r="Y1161" s="1096"/>
      <c r="Z1161" s="1096"/>
      <c r="AA1161" s="1096"/>
      <c r="AB1161" s="1096"/>
      <c r="AC1161" s="1096"/>
      <c r="AD1161" s="1096"/>
      <c r="AE1161" s="1096"/>
      <c r="AF1161" s="1096"/>
      <c r="AG1161" s="1096"/>
      <c r="AH1161" s="1096"/>
      <c r="AI1161" s="1096"/>
      <c r="AJ1161" s="1096"/>
      <c r="AK1161" s="1096"/>
      <c r="AL1161" s="1096"/>
      <c r="AM1161" s="1096"/>
      <c r="AN1161" s="1096"/>
      <c r="AO1161" s="1096"/>
      <c r="AP1161" s="1096"/>
      <c r="AQ1161" s="1096"/>
      <c r="AR1161" s="1096"/>
      <c r="AS1161" s="1096"/>
      <c r="AT1161" s="1096"/>
      <c r="AU1161" s="1096"/>
      <c r="AV1161" s="1096"/>
      <c r="AW1161" s="1096"/>
      <c r="AX1161" s="1096"/>
      <c r="AY1161" s="1096"/>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36"/>
  <sheetViews>
    <sheetView zoomScaleNormal="100" workbookViewId="0">
      <pane xSplit="1" ySplit="9" topLeftCell="B13" activePane="bottomRight" state="frozen"/>
      <selection pane="topRight" activeCell="B1" sqref="B1"/>
      <selection pane="bottomLeft" activeCell="A10" sqref="A10"/>
      <selection pane="bottomRight" activeCell="C2" sqref="C2"/>
    </sheetView>
  </sheetViews>
  <sheetFormatPr defaultRowHeight="14.25" x14ac:dyDescent="0.45"/>
  <cols>
    <col min="1" max="1" width="10.19921875" customWidth="1"/>
    <col min="2" max="2" width="7.53125" customWidth="1"/>
    <col min="3" max="3" width="14.265625" customWidth="1"/>
    <col min="4" max="10" width="12.73046875" customWidth="1"/>
  </cols>
  <sheetData>
    <row r="1" spans="1:23" ht="18" customHeight="1" x14ac:dyDescent="0.45">
      <c r="A1" s="1133" t="s">
        <v>2466</v>
      </c>
      <c r="B1" s="1043"/>
      <c r="C1" s="1043"/>
      <c r="D1" s="1043"/>
      <c r="E1" s="1043"/>
      <c r="F1" s="1043"/>
      <c r="G1" s="1043"/>
      <c r="H1" s="1043"/>
      <c r="I1" s="1043"/>
      <c r="J1" s="1043"/>
      <c r="S1" s="9"/>
    </row>
    <row r="2" spans="1:23" ht="18" customHeight="1" x14ac:dyDescent="0.45">
      <c r="A2" s="1044"/>
      <c r="B2" s="1187" t="s">
        <v>2341</v>
      </c>
      <c r="C2" s="1200" t="s">
        <v>2465</v>
      </c>
      <c r="D2" s="1024" t="s">
        <v>2248</v>
      </c>
      <c r="E2" s="1043"/>
      <c r="F2" s="1043"/>
      <c r="G2" s="1043"/>
      <c r="H2" s="1043"/>
      <c r="I2" s="1043"/>
      <c r="J2" s="1043"/>
      <c r="S2" s="9"/>
    </row>
    <row r="3" spans="1:23" ht="15.75" customHeight="1" thickBot="1" x14ac:dyDescent="0.5">
      <c r="B3" s="1045"/>
      <c r="C3" s="1045"/>
      <c r="D3" s="1045"/>
      <c r="E3" s="1045"/>
      <c r="F3" s="1045"/>
      <c r="G3" s="1045"/>
      <c r="H3" s="1045"/>
      <c r="I3" s="1045"/>
      <c r="J3" s="1046" t="s">
        <v>2235</v>
      </c>
      <c r="S3" s="955" t="s">
        <v>2220</v>
      </c>
      <c r="U3" s="955" t="s">
        <v>2220</v>
      </c>
    </row>
    <row r="4" spans="1:23" ht="16.149999999999999" customHeight="1" thickTop="1" x14ac:dyDescent="0.45">
      <c r="A4" s="1047"/>
      <c r="B4" s="1047"/>
      <c r="C4" s="1047"/>
      <c r="D4" s="1469" t="s">
        <v>2236</v>
      </c>
      <c r="E4" s="1469"/>
      <c r="F4" s="1469"/>
      <c r="G4" s="1469"/>
      <c r="H4" s="1048" t="s">
        <v>177</v>
      </c>
      <c r="I4" s="1048" t="s">
        <v>2237</v>
      </c>
      <c r="J4" s="1048" t="s">
        <v>178</v>
      </c>
      <c r="S4" s="1064" t="s">
        <v>2249</v>
      </c>
      <c r="U4" s="1064" t="s">
        <v>2252</v>
      </c>
      <c r="W4" s="1064" t="s">
        <v>2252</v>
      </c>
    </row>
    <row r="5" spans="1:23" s="1052" customFormat="1" ht="36.75" customHeight="1" x14ac:dyDescent="0.4">
      <c r="A5" s="1049"/>
      <c r="B5" s="1049"/>
      <c r="C5" s="1065" t="s">
        <v>2279</v>
      </c>
      <c r="D5" s="1050" t="s">
        <v>2238</v>
      </c>
      <c r="E5" s="1050" t="s">
        <v>2239</v>
      </c>
      <c r="F5" s="1050" t="s">
        <v>2240</v>
      </c>
      <c r="G5" s="1050" t="s">
        <v>2241</v>
      </c>
      <c r="H5" s="1051" t="s">
        <v>2242</v>
      </c>
      <c r="I5" s="1051" t="s">
        <v>2243</v>
      </c>
      <c r="J5" s="1051" t="s">
        <v>2244</v>
      </c>
      <c r="L5" s="1050" t="s">
        <v>2239</v>
      </c>
      <c r="M5" s="1050" t="s">
        <v>2239</v>
      </c>
      <c r="N5" s="1052" t="s">
        <v>2280</v>
      </c>
      <c r="S5" s="957" t="s">
        <v>1242</v>
      </c>
      <c r="U5" s="957" t="s">
        <v>1242</v>
      </c>
      <c r="W5" s="957" t="s">
        <v>1242</v>
      </c>
    </row>
    <row r="6" spans="1:23" ht="13.5" customHeight="1" thickBot="1" x14ac:dyDescent="0.5">
      <c r="A6" s="1053"/>
      <c r="B6" s="1053"/>
      <c r="C6" s="1046" t="s">
        <v>2277</v>
      </c>
      <c r="D6" s="1054"/>
      <c r="E6" s="1054"/>
      <c r="F6" s="1054"/>
      <c r="G6" s="1054"/>
      <c r="H6" s="1054"/>
      <c r="I6" s="1054"/>
      <c r="J6" s="1054"/>
      <c r="L6" s="9" t="s">
        <v>2258</v>
      </c>
      <c r="M6" s="9" t="s">
        <v>2253</v>
      </c>
      <c r="S6" s="9" t="s">
        <v>2250</v>
      </c>
      <c r="U6" s="9" t="s">
        <v>2253</v>
      </c>
      <c r="W6" s="9" t="s">
        <v>2253</v>
      </c>
    </row>
    <row r="7" spans="1:23" ht="13.5" customHeight="1" thickTop="1" x14ac:dyDescent="0.45">
      <c r="A7" s="1053"/>
      <c r="B7" s="1053"/>
      <c r="C7" s="1047"/>
      <c r="D7" s="1054"/>
      <c r="E7" s="1054"/>
      <c r="F7" s="1054"/>
      <c r="G7" s="1054"/>
      <c r="H7" s="1054"/>
      <c r="I7" s="1054"/>
      <c r="J7" s="1054"/>
      <c r="L7" t="s">
        <v>2273</v>
      </c>
      <c r="M7" t="s">
        <v>2273</v>
      </c>
      <c r="S7" s="9" t="s">
        <v>2229</v>
      </c>
      <c r="U7" s="9" t="s">
        <v>2254</v>
      </c>
      <c r="W7" s="9" t="s">
        <v>2256</v>
      </c>
    </row>
    <row r="8" spans="1:23" ht="13.5" customHeight="1" x14ac:dyDescent="0.45">
      <c r="A8" s="1053"/>
      <c r="B8" s="1053"/>
      <c r="C8" s="1047"/>
      <c r="D8" s="1054"/>
      <c r="E8" s="1054"/>
      <c r="F8" s="1054"/>
      <c r="G8" s="1054"/>
      <c r="H8" s="1054"/>
      <c r="I8" s="1054"/>
      <c r="J8" s="1054"/>
      <c r="S8" s="9" t="s">
        <v>2251</v>
      </c>
      <c r="U8" s="9" t="s">
        <v>2255</v>
      </c>
      <c r="W8" s="9" t="s">
        <v>2257</v>
      </c>
    </row>
    <row r="9" spans="1:23" ht="13.5" customHeight="1" x14ac:dyDescent="0.45">
      <c r="A9" s="1053"/>
      <c r="B9" s="1053"/>
      <c r="C9" s="1047"/>
      <c r="D9" s="1054"/>
      <c r="E9" s="1054"/>
      <c r="F9" s="1054"/>
      <c r="G9" s="1054"/>
      <c r="H9" s="1054"/>
      <c r="I9" s="1054"/>
      <c r="J9" s="1054"/>
    </row>
    <row r="10" spans="1:23" ht="13.5" customHeight="1" x14ac:dyDescent="0.45">
      <c r="A10" s="1053">
        <v>1900</v>
      </c>
      <c r="B10" s="1053"/>
      <c r="C10" s="1047"/>
      <c r="D10" s="1054"/>
      <c r="E10" s="1054"/>
      <c r="F10" s="1054"/>
      <c r="G10" s="1054"/>
      <c r="H10" s="1054"/>
      <c r="I10" s="1054"/>
      <c r="J10" s="1054"/>
    </row>
    <row r="11" spans="1:23" ht="13.5" customHeight="1" x14ac:dyDescent="0.45">
      <c r="A11" s="1053">
        <v>1901</v>
      </c>
      <c r="B11" s="1053"/>
      <c r="C11" s="1047"/>
      <c r="D11" s="1054"/>
      <c r="E11" s="1054"/>
      <c r="F11" s="1054"/>
      <c r="G11" s="1054"/>
      <c r="H11" s="1054"/>
      <c r="I11" s="1054"/>
      <c r="J11" s="1054"/>
    </row>
    <row r="12" spans="1:23" ht="13.5" customHeight="1" x14ac:dyDescent="0.45">
      <c r="A12" s="1053">
        <v>1902</v>
      </c>
      <c r="B12" s="1053"/>
      <c r="C12" s="1066">
        <f>E12/'2.1.1 PricesLR'!E212*100</f>
        <v>73.180093969761032</v>
      </c>
      <c r="D12" s="1054"/>
      <c r="E12" s="1054">
        <f t="shared" ref="E12:E61" si="0">L12</f>
        <v>0.82490101187857456</v>
      </c>
      <c r="F12" s="1054"/>
      <c r="G12" s="1054"/>
      <c r="H12" s="1054"/>
      <c r="I12" s="1054"/>
      <c r="J12" s="1054"/>
      <c r="L12" s="964">
        <f>M12/240*100/4.546</f>
        <v>0.82490101187857456</v>
      </c>
      <c r="M12" s="45">
        <v>9</v>
      </c>
    </row>
    <row r="13" spans="1:23" ht="13.5" customHeight="1" x14ac:dyDescent="0.45">
      <c r="A13" s="1053">
        <v>1903</v>
      </c>
      <c r="B13" s="1053"/>
      <c r="C13" s="1066">
        <f>E13/'2.1.1 PricesLR'!E213*100</f>
        <v>90.78397213026463</v>
      </c>
      <c r="D13" s="1054"/>
      <c r="E13" s="1054">
        <f t="shared" si="0"/>
        <v>1.0233355330693648</v>
      </c>
      <c r="F13" s="1054"/>
      <c r="G13" s="1054"/>
      <c r="H13" s="1054"/>
      <c r="I13" s="1054"/>
      <c r="J13" s="1054"/>
      <c r="L13" s="964">
        <f t="shared" ref="L13:L63" si="1">M13/240*100/4.546</f>
        <v>1.0233355330693648</v>
      </c>
      <c r="M13" s="45">
        <f>1/4*10+1/4*10.5+1/4*12.16+1/4*12</f>
        <v>11.164999999999999</v>
      </c>
      <c r="W13" s="9">
        <v>5.4</v>
      </c>
    </row>
    <row r="14" spans="1:23" ht="13.5" customHeight="1" x14ac:dyDescent="0.45">
      <c r="A14" s="1053">
        <v>1904</v>
      </c>
      <c r="B14" s="1053"/>
      <c r="C14" s="1066">
        <f>E14/'2.1.1 PricesLR'!E214*100</f>
        <v>80.423890749395653</v>
      </c>
      <c r="D14" s="1054"/>
      <c r="E14" s="1054">
        <f t="shared" si="0"/>
        <v>0.91655667986508271</v>
      </c>
      <c r="F14" s="1054"/>
      <c r="G14" s="1054"/>
      <c r="H14" s="1054"/>
      <c r="I14" s="1054"/>
      <c r="J14" s="1054"/>
      <c r="L14" s="964">
        <f t="shared" si="1"/>
        <v>0.91655667986508271</v>
      </c>
      <c r="M14" s="45">
        <f>1/2*11+1/2*9</f>
        <v>10</v>
      </c>
      <c r="W14" s="9">
        <v>5.95</v>
      </c>
    </row>
    <row r="15" spans="1:23" ht="13.5" customHeight="1" x14ac:dyDescent="0.45">
      <c r="A15" s="1053">
        <v>1905</v>
      </c>
      <c r="B15" s="1053"/>
      <c r="C15" s="1066">
        <f>E15/'2.1.1 PricesLR'!E215*100</f>
        <v>80.744304656763745</v>
      </c>
      <c r="D15" s="1054"/>
      <c r="E15" s="1054">
        <f t="shared" si="0"/>
        <v>0.91655667986508271</v>
      </c>
      <c r="F15" s="1054"/>
      <c r="G15" s="1054"/>
      <c r="H15" s="1054"/>
      <c r="I15" s="1054"/>
      <c r="J15" s="1054"/>
      <c r="L15" s="964">
        <f t="shared" si="1"/>
        <v>0.91655667986508271</v>
      </c>
      <c r="M15" s="45">
        <v>10</v>
      </c>
      <c r="W15" s="9">
        <v>5.7</v>
      </c>
    </row>
    <row r="16" spans="1:23" ht="13.5" customHeight="1" x14ac:dyDescent="0.45">
      <c r="A16" s="1053">
        <v>1906</v>
      </c>
      <c r="B16" s="1053"/>
      <c r="C16" s="1066">
        <f>E16/'2.1.1 PricesLR'!E216*100</f>
        <v>120.63583612409347</v>
      </c>
      <c r="D16" s="1054"/>
      <c r="E16" s="1054">
        <f t="shared" si="0"/>
        <v>1.3748350197976242</v>
      </c>
      <c r="F16" s="1054"/>
      <c r="G16" s="1054"/>
      <c r="H16" s="1054"/>
      <c r="I16" s="1054"/>
      <c r="J16" s="1054"/>
      <c r="L16" s="964">
        <f t="shared" si="1"/>
        <v>1.3748350197976242</v>
      </c>
      <c r="M16" s="45">
        <v>15</v>
      </c>
      <c r="W16" s="9">
        <v>6.18</v>
      </c>
    </row>
    <row r="17" spans="1:23" ht="13.5" customHeight="1" x14ac:dyDescent="0.45">
      <c r="A17" s="1053">
        <v>1907</v>
      </c>
      <c r="B17" s="1053"/>
      <c r="C17" s="1066">
        <f>E17/'2.1.1 PricesLR'!E217*100</f>
        <v>112.70525782080152</v>
      </c>
      <c r="D17" s="1054"/>
      <c r="E17" s="1054">
        <f t="shared" si="0"/>
        <v>1.2831793518111159</v>
      </c>
      <c r="F17" s="1054"/>
      <c r="G17" s="1054"/>
      <c r="H17" s="1054"/>
      <c r="I17" s="1054"/>
      <c r="J17" s="1054"/>
      <c r="L17" s="964">
        <f t="shared" si="1"/>
        <v>1.2831793518111159</v>
      </c>
      <c r="M17" s="45">
        <v>14</v>
      </c>
      <c r="W17" s="9">
        <v>7.01</v>
      </c>
    </row>
    <row r="18" spans="1:23" ht="13.5" customHeight="1" x14ac:dyDescent="0.45">
      <c r="A18" s="1053">
        <v>1908</v>
      </c>
      <c r="B18" s="1053"/>
      <c r="C18" s="1066">
        <f>E18/'2.1.1 PricesLR'!E218*100</f>
        <v>106.98028399978259</v>
      </c>
      <c r="D18" s="1054"/>
      <c r="E18" s="1054">
        <f t="shared" si="0"/>
        <v>1.2373515178178618</v>
      </c>
      <c r="F18" s="1054"/>
      <c r="G18" s="1054"/>
      <c r="H18" s="1054"/>
      <c r="I18" s="1054"/>
      <c r="J18" s="1054"/>
      <c r="L18" s="964">
        <f t="shared" si="1"/>
        <v>1.2373515178178618</v>
      </c>
      <c r="M18" s="45">
        <v>13.5</v>
      </c>
      <c r="W18" s="9">
        <v>6.42</v>
      </c>
    </row>
    <row r="19" spans="1:23" ht="13.5" customHeight="1" x14ac:dyDescent="0.45">
      <c r="A19" s="1053">
        <v>1909</v>
      </c>
      <c r="B19" s="1053"/>
      <c r="C19" s="1066">
        <f>E19/'2.1.1 PricesLR'!E219*100</f>
        <v>109.55038091269027</v>
      </c>
      <c r="D19" s="1054"/>
      <c r="E19" s="1054">
        <f t="shared" si="0"/>
        <v>1.2831793518111159</v>
      </c>
      <c r="F19" s="1054"/>
      <c r="G19" s="1054"/>
      <c r="H19" s="1054"/>
      <c r="I19" s="1054"/>
      <c r="J19" s="1054"/>
      <c r="L19" s="964">
        <f t="shared" si="1"/>
        <v>1.2831793518111159</v>
      </c>
      <c r="M19" s="45">
        <v>14</v>
      </c>
      <c r="N19" s="9" t="s">
        <v>2259</v>
      </c>
      <c r="O19" s="9"/>
      <c r="P19" s="9"/>
      <c r="Q19" s="9"/>
      <c r="R19" s="9"/>
      <c r="W19" s="9">
        <v>5.61</v>
      </c>
    </row>
    <row r="20" spans="1:23" ht="13.5" customHeight="1" x14ac:dyDescent="0.45">
      <c r="A20" s="1053">
        <v>1910</v>
      </c>
      <c r="B20" s="1053"/>
      <c r="C20" s="1066">
        <f>E20/'2.1.1 PricesLR'!E220*100</f>
        <v>93.719401012012483</v>
      </c>
      <c r="D20" s="1054"/>
      <c r="E20" s="1054">
        <f t="shared" si="0"/>
        <v>1.0998680158380993</v>
      </c>
      <c r="F20" s="1054"/>
      <c r="G20" s="1054"/>
      <c r="H20" s="1054"/>
      <c r="I20" s="1054"/>
      <c r="J20" s="1054"/>
      <c r="L20" s="964">
        <f t="shared" si="1"/>
        <v>1.0998680158380993</v>
      </c>
      <c r="M20" s="45">
        <v>12</v>
      </c>
      <c r="N20" s="9"/>
      <c r="O20" s="9"/>
      <c r="P20" s="9"/>
      <c r="Q20" s="9"/>
      <c r="R20" s="9"/>
      <c r="U20" s="964">
        <v>5.842067975803376</v>
      </c>
      <c r="W20" s="9">
        <v>5.84</v>
      </c>
    </row>
    <row r="21" spans="1:23" ht="13.5" customHeight="1" x14ac:dyDescent="0.45">
      <c r="A21" s="1053">
        <v>1911</v>
      </c>
      <c r="B21" s="1053"/>
      <c r="C21" s="1066">
        <f>E21/'2.1.1 PricesLR'!E221*100</f>
        <v>102.29008444182566</v>
      </c>
      <c r="D21" s="1054"/>
      <c r="E21" s="1054">
        <f t="shared" si="0"/>
        <v>1.2258945593195483</v>
      </c>
      <c r="F21" s="1054"/>
      <c r="G21" s="1054"/>
      <c r="H21" s="1054"/>
      <c r="I21" s="1054"/>
      <c r="J21" s="1054"/>
      <c r="L21" s="964">
        <f t="shared" si="1"/>
        <v>1.2258945593195483</v>
      </c>
      <c r="M21" s="45">
        <f>1/2*13+1/4*13.5+1/4*14</f>
        <v>13.375</v>
      </c>
      <c r="N21" s="9"/>
      <c r="O21" s="9"/>
      <c r="P21" s="9"/>
      <c r="Q21" s="9"/>
      <c r="R21" s="9"/>
      <c r="U21" s="964">
        <v>5.6955260794676636</v>
      </c>
      <c r="W21" s="9">
        <v>5.7</v>
      </c>
    </row>
    <row r="22" spans="1:23" ht="13.5" customHeight="1" x14ac:dyDescent="0.45">
      <c r="A22" s="1053">
        <v>1912</v>
      </c>
      <c r="B22" s="1053"/>
      <c r="C22" s="1066">
        <f>E22/'2.1.1 PricesLR'!E222*100</f>
        <v>135.36634555862528</v>
      </c>
      <c r="D22" s="1054"/>
      <c r="E22" s="1054">
        <f t="shared" si="0"/>
        <v>1.6268881067605219</v>
      </c>
      <c r="F22" s="1054"/>
      <c r="G22" s="1054"/>
      <c r="H22" s="1054"/>
      <c r="I22" s="1054"/>
      <c r="J22" s="1054"/>
      <c r="L22" s="964">
        <f t="shared" si="1"/>
        <v>1.6268881067605219</v>
      </c>
      <c r="M22" s="45">
        <f>1/4*16+1/2*18+1/4*19</f>
        <v>17.75</v>
      </c>
      <c r="N22" s="9" t="s">
        <v>2260</v>
      </c>
      <c r="O22" s="9"/>
      <c r="P22" s="9"/>
      <c r="Q22" s="9"/>
      <c r="R22" s="9"/>
      <c r="U22" s="964">
        <v>6.3083301922352053</v>
      </c>
      <c r="W22" s="9">
        <v>6.31</v>
      </c>
    </row>
    <row r="23" spans="1:23" ht="13.5" customHeight="1" x14ac:dyDescent="0.45">
      <c r="A23" s="1053">
        <v>1913</v>
      </c>
      <c r="B23" s="1053"/>
      <c r="C23" s="1066">
        <f>E23/'2.1.1 PricesLR'!E223*100</f>
        <v>155.75598530495947</v>
      </c>
      <c r="D23" s="1054"/>
      <c r="E23" s="1054">
        <f t="shared" si="0"/>
        <v>1.9247690277166738</v>
      </c>
      <c r="F23" s="1054"/>
      <c r="G23" s="1054"/>
      <c r="H23" s="1054"/>
      <c r="I23" s="1054"/>
      <c r="J23" s="1054"/>
      <c r="L23" s="964">
        <f t="shared" si="1"/>
        <v>1.9247690277166738</v>
      </c>
      <c r="M23" s="45">
        <v>21</v>
      </c>
      <c r="N23" s="9" t="s">
        <v>2261</v>
      </c>
      <c r="O23" s="9"/>
      <c r="P23" s="9"/>
      <c r="Q23" s="9"/>
      <c r="R23" s="9"/>
      <c r="U23" s="964">
        <v>9.0495548196474243</v>
      </c>
      <c r="W23" s="9">
        <v>9.0500000000000007</v>
      </c>
    </row>
    <row r="24" spans="1:23" ht="13.5" customHeight="1" x14ac:dyDescent="0.45">
      <c r="A24" s="1053">
        <v>1914</v>
      </c>
      <c r="B24" s="1053"/>
      <c r="C24" s="1066">
        <f>E24/'2.1.1 PricesLR'!E224*100</f>
        <v>169.50431664854443</v>
      </c>
      <c r="D24" s="1054"/>
      <c r="E24" s="1054">
        <f t="shared" si="0"/>
        <v>2.1080803636896905</v>
      </c>
      <c r="F24" s="1054"/>
      <c r="G24" s="1054"/>
      <c r="H24" s="1054"/>
      <c r="I24" s="1054"/>
      <c r="J24" s="1054"/>
      <c r="L24" s="964">
        <f t="shared" si="1"/>
        <v>2.1080803636896905</v>
      </c>
      <c r="M24" s="45">
        <v>23</v>
      </c>
      <c r="N24" s="9"/>
      <c r="O24" s="9"/>
      <c r="P24" s="9"/>
      <c r="Q24" s="9"/>
      <c r="R24" s="9"/>
      <c r="U24" s="964">
        <v>8.6741157691338309</v>
      </c>
      <c r="W24" s="9">
        <v>8.67</v>
      </c>
    </row>
    <row r="25" spans="1:23" ht="13.5" customHeight="1" x14ac:dyDescent="0.45">
      <c r="A25" s="1053">
        <v>1915</v>
      </c>
      <c r="B25" s="1053"/>
      <c r="C25" s="1066">
        <f>E25/'2.1.1 PricesLR'!E225*100</f>
        <v>179.67039422737327</v>
      </c>
      <c r="D25" s="1054"/>
      <c r="E25" s="1054">
        <f t="shared" si="0"/>
        <v>2.2913916996627073</v>
      </c>
      <c r="F25" s="1054"/>
      <c r="G25" s="1054"/>
      <c r="H25" s="1054"/>
      <c r="I25" s="1054"/>
      <c r="J25" s="1054"/>
      <c r="L25" s="964">
        <f t="shared" si="1"/>
        <v>2.2913916996627073</v>
      </c>
      <c r="M25" s="45">
        <v>25</v>
      </c>
      <c r="N25" s="9" t="s">
        <v>2262</v>
      </c>
      <c r="O25" s="9"/>
      <c r="P25" s="9"/>
      <c r="Q25" s="9"/>
      <c r="R25" s="9"/>
      <c r="U25" s="964">
        <v>8.7135396852844558</v>
      </c>
    </row>
    <row r="26" spans="1:23" ht="13.5" customHeight="1" x14ac:dyDescent="0.45">
      <c r="A26" s="1053">
        <v>1916</v>
      </c>
      <c r="B26" s="1053"/>
      <c r="C26" s="1066">
        <f>E26/'2.1.1 PricesLR'!E226*100</f>
        <v>217.20154324375787</v>
      </c>
      <c r="D26" s="1054"/>
      <c r="E26" s="1054">
        <f t="shared" si="0"/>
        <v>3.1162927115412815</v>
      </c>
      <c r="F26" s="1054"/>
      <c r="G26" s="1054"/>
      <c r="H26" s="1054"/>
      <c r="I26" s="1054"/>
      <c r="J26" s="1054"/>
      <c r="L26" s="964">
        <f t="shared" si="1"/>
        <v>3.1162927115412815</v>
      </c>
      <c r="M26" s="45">
        <v>34</v>
      </c>
      <c r="N26" s="9"/>
      <c r="O26" s="9"/>
      <c r="P26" s="9"/>
      <c r="Q26" s="9"/>
      <c r="R26" s="9"/>
      <c r="U26" s="964">
        <v>14.830216032364584</v>
      </c>
    </row>
    <row r="27" spans="1:23" ht="13.5" customHeight="1" x14ac:dyDescent="0.45">
      <c r="A27" s="1053">
        <v>1917</v>
      </c>
      <c r="B27" s="1053"/>
      <c r="C27" s="1066">
        <f>E27/'2.1.1 PricesLR'!E227*100</f>
        <v>223.35542469260434</v>
      </c>
      <c r="D27" s="1054"/>
      <c r="E27" s="1054">
        <f t="shared" si="0"/>
        <v>3.7846152906095716</v>
      </c>
      <c r="F27" s="1054"/>
      <c r="G27" s="1054"/>
      <c r="H27" s="1054"/>
      <c r="I27" s="1054"/>
      <c r="J27" s="1054"/>
      <c r="L27" s="964">
        <f t="shared" si="1"/>
        <v>3.7846152906095716</v>
      </c>
      <c r="M27" s="45">
        <f>1/2*34.75+1/4*37+1/12*47+1/12*44+1/12*43+1/12*42</f>
        <v>41.291666666666671</v>
      </c>
      <c r="N27" s="9"/>
      <c r="O27" s="9"/>
      <c r="P27" s="9"/>
      <c r="Q27" s="9"/>
      <c r="R27" s="9"/>
      <c r="U27" s="964">
        <v>18.997343290012203</v>
      </c>
    </row>
    <row r="28" spans="1:23" ht="13.5" customHeight="1" x14ac:dyDescent="0.45">
      <c r="A28" s="1053">
        <v>1918</v>
      </c>
      <c r="B28" s="1053"/>
      <c r="C28" s="1066">
        <f>E28/'2.1.1 PricesLR'!E228*100</f>
        <v>190.10014126772757</v>
      </c>
      <c r="D28" s="1054"/>
      <c r="E28" s="1054">
        <f t="shared" si="0"/>
        <v>4.0328493914063639</v>
      </c>
      <c r="F28" s="1054"/>
      <c r="G28" s="1054"/>
      <c r="H28" s="1054"/>
      <c r="I28" s="1054"/>
      <c r="J28" s="1054"/>
      <c r="L28" s="964">
        <f t="shared" si="1"/>
        <v>4.0328493914063639</v>
      </c>
      <c r="M28" s="45">
        <f>3/4*44.5+1/4*42.5</f>
        <v>44</v>
      </c>
      <c r="N28" s="9"/>
      <c r="O28" s="9"/>
      <c r="P28" s="9"/>
      <c r="Q28" s="9"/>
      <c r="R28" s="9"/>
      <c r="U28" s="964">
        <v>22.91927300618266</v>
      </c>
    </row>
    <row r="29" spans="1:23" ht="13.5" customHeight="1" x14ac:dyDescent="0.45">
      <c r="A29" s="1053">
        <v>1919</v>
      </c>
      <c r="B29" s="1053"/>
      <c r="C29" s="1066">
        <f>E29/'2.1.1 PricesLR'!E229*100</f>
        <v>133.68629532147384</v>
      </c>
      <c r="D29" s="1054"/>
      <c r="E29" s="1054">
        <f t="shared" si="0"/>
        <v>3.4600014664906875</v>
      </c>
      <c r="F29" s="1054"/>
      <c r="G29" s="1054"/>
      <c r="H29" s="1054"/>
      <c r="I29" s="1054"/>
      <c r="J29" s="1054"/>
      <c r="L29" s="964">
        <f t="shared" si="1"/>
        <v>3.4600014664906875</v>
      </c>
      <c r="M29" s="45">
        <f>1/2*39+1/2*36.5</f>
        <v>37.75</v>
      </c>
      <c r="N29" s="9"/>
      <c r="O29" s="9"/>
      <c r="P29" s="9"/>
      <c r="Q29" s="9"/>
      <c r="R29" s="9"/>
      <c r="U29" s="964">
        <v>18.889252240059971</v>
      </c>
    </row>
    <row r="30" spans="1:23" ht="13.5" customHeight="1" x14ac:dyDescent="0.45">
      <c r="A30" s="1053">
        <v>1920</v>
      </c>
      <c r="B30" s="1053"/>
      <c r="C30" s="1066">
        <f>E30/'2.1.1 PricesLR'!E230*100</f>
        <v>151.97929525692211</v>
      </c>
      <c r="D30" s="1054"/>
      <c r="E30" s="1054">
        <f t="shared" si="0"/>
        <v>4.3307303123625163</v>
      </c>
      <c r="F30" s="1054"/>
      <c r="G30" s="1054"/>
      <c r="H30" s="1054"/>
      <c r="I30" s="1054"/>
      <c r="J30" s="1054"/>
      <c r="L30" s="964">
        <f t="shared" si="1"/>
        <v>4.3307303123625163</v>
      </c>
      <c r="M30" s="45">
        <f>1/2*44.5+1/4*51.5+1/4*48.5</f>
        <v>47.25</v>
      </c>
      <c r="N30" s="9" t="s">
        <v>2263</v>
      </c>
      <c r="O30" s="9"/>
      <c r="P30" s="9"/>
      <c r="Q30" s="9"/>
      <c r="R30" s="9"/>
      <c r="U30" s="964">
        <v>26.998274620489003</v>
      </c>
    </row>
    <row r="31" spans="1:23" ht="13.5" customHeight="1" x14ac:dyDescent="0.45">
      <c r="A31" s="1053">
        <v>1921</v>
      </c>
      <c r="B31" s="1053"/>
      <c r="C31" s="1066">
        <f>E31/'2.1.1 PricesLR'!E231*100</f>
        <v>98.947575612238722</v>
      </c>
      <c r="D31" s="1054"/>
      <c r="E31" s="1054">
        <f t="shared" si="0"/>
        <v>3.2537762135210437</v>
      </c>
      <c r="F31" s="1054"/>
      <c r="G31" s="1054"/>
      <c r="H31" s="1054"/>
      <c r="I31" s="1054"/>
      <c r="J31" s="1054"/>
      <c r="L31" s="964">
        <f t="shared" si="1"/>
        <v>3.2537762135210437</v>
      </c>
      <c r="M31" s="45">
        <f>1/3*41.5+1/3*35.5+1/3*29.5</f>
        <v>35.5</v>
      </c>
      <c r="N31" s="9" t="s">
        <v>2264</v>
      </c>
      <c r="O31" s="9"/>
      <c r="P31" s="9"/>
      <c r="Q31" s="9"/>
      <c r="R31" s="9"/>
      <c r="S31" s="9">
        <v>24.15</v>
      </c>
      <c r="U31" s="964">
        <v>22.637217341436411</v>
      </c>
    </row>
    <row r="32" spans="1:23" ht="13.5" customHeight="1" x14ac:dyDescent="0.45">
      <c r="A32" s="1053">
        <v>1922</v>
      </c>
      <c r="B32" s="1053"/>
      <c r="C32" s="1066">
        <f>E32/'2.1.1 PricesLR'!E232*100</f>
        <v>73.188332193846264</v>
      </c>
      <c r="D32" s="1054"/>
      <c r="E32" s="1054">
        <f t="shared" si="0"/>
        <v>2.1997360316761987</v>
      </c>
      <c r="F32" s="1054"/>
      <c r="G32" s="1054"/>
      <c r="H32" s="1054"/>
      <c r="I32" s="1054"/>
      <c r="J32" s="1054"/>
      <c r="L32" s="964">
        <f t="shared" si="1"/>
        <v>2.1997360316761987</v>
      </c>
      <c r="M32" s="45">
        <v>24</v>
      </c>
      <c r="N32" s="9"/>
      <c r="O32" s="9"/>
      <c r="P32" s="9"/>
      <c r="Q32" s="9"/>
      <c r="R32" s="9"/>
      <c r="S32" s="9">
        <v>20.9</v>
      </c>
      <c r="U32" s="964">
        <v>15.891256145763039</v>
      </c>
    </row>
    <row r="33" spans="1:21" ht="13.5" customHeight="1" x14ac:dyDescent="0.45">
      <c r="A33" s="1053">
        <v>1923</v>
      </c>
      <c r="B33" s="1053"/>
      <c r="C33" s="1066">
        <f>E33/'2.1.1 PricesLR'!E233*100</f>
        <v>70.918926544424664</v>
      </c>
      <c r="D33" s="1054"/>
      <c r="E33" s="1054">
        <f t="shared" si="0"/>
        <v>1.8331133597301654</v>
      </c>
      <c r="F33" s="1054"/>
      <c r="G33" s="1054"/>
      <c r="H33" s="1054"/>
      <c r="I33" s="1054"/>
      <c r="J33" s="1054"/>
      <c r="L33" s="964">
        <f t="shared" si="1"/>
        <v>1.8331133597301654</v>
      </c>
      <c r="M33" s="45">
        <f>3/4*20.5+1/4*18.5</f>
        <v>20</v>
      </c>
      <c r="N33" s="9"/>
      <c r="O33" s="9"/>
      <c r="P33" s="9"/>
      <c r="Q33" s="9"/>
      <c r="R33" s="9"/>
      <c r="S33" s="9">
        <v>16.96</v>
      </c>
      <c r="U33" s="964">
        <v>11.607840261097563</v>
      </c>
    </row>
    <row r="34" spans="1:21" ht="13.5" customHeight="1" x14ac:dyDescent="0.45">
      <c r="A34" s="1053">
        <v>1924</v>
      </c>
      <c r="B34" s="1053"/>
      <c r="C34" s="1066">
        <f>E34/'2.1.1 PricesLR'!E234*100</f>
        <v>82.518697774430279</v>
      </c>
      <c r="D34" s="1054"/>
      <c r="E34" s="1054">
        <f t="shared" si="0"/>
        <v>2.0049677372048684</v>
      </c>
      <c r="F34" s="1054"/>
      <c r="G34" s="1054"/>
      <c r="H34" s="1054"/>
      <c r="I34" s="1054"/>
      <c r="J34" s="1054"/>
      <c r="L34" s="964">
        <f t="shared" si="1"/>
        <v>2.0049677372048684</v>
      </c>
      <c r="M34" s="45">
        <f>3/4*23+1/4*18.5</f>
        <v>21.875</v>
      </c>
      <c r="N34" s="9"/>
      <c r="O34" s="9"/>
      <c r="P34" s="9"/>
      <c r="Q34" s="9"/>
      <c r="R34" s="9"/>
      <c r="S34" s="9">
        <v>15.09</v>
      </c>
      <c r="U34" s="964">
        <v>10.141909635316154</v>
      </c>
    </row>
    <row r="35" spans="1:21" ht="13.5" customHeight="1" x14ac:dyDescent="0.45">
      <c r="A35" s="1053">
        <v>1925</v>
      </c>
      <c r="B35" s="1053"/>
      <c r="C35" s="1066">
        <f>E35/'2.1.1 PricesLR'!E235*100</f>
        <v>72.178633645308039</v>
      </c>
      <c r="D35" s="1054"/>
      <c r="E35" s="1054">
        <f t="shared" si="0"/>
        <v>1.7414576917436573</v>
      </c>
      <c r="F35" s="1054"/>
      <c r="G35" s="1054"/>
      <c r="H35" s="1054"/>
      <c r="I35" s="1054"/>
      <c r="J35" s="1054"/>
      <c r="L35" s="964">
        <f t="shared" si="1"/>
        <v>1.7414576917436573</v>
      </c>
      <c r="M35" s="45">
        <v>19</v>
      </c>
      <c r="N35" s="9"/>
      <c r="O35" s="9"/>
      <c r="P35" s="9"/>
      <c r="Q35" s="9"/>
      <c r="R35" s="9"/>
      <c r="S35" s="9">
        <v>14.24</v>
      </c>
    </row>
    <row r="36" spans="1:21" ht="13.5" customHeight="1" x14ac:dyDescent="0.45">
      <c r="A36" s="1053">
        <v>1926</v>
      </c>
      <c r="B36" s="1053"/>
      <c r="C36" s="1066">
        <f>E36/'2.1.1 PricesLR'!E236*100</f>
        <v>72.909623638147664</v>
      </c>
      <c r="D36" s="1054"/>
      <c r="E36" s="1054">
        <f t="shared" si="0"/>
        <v>1.7643716087402845</v>
      </c>
      <c r="F36" s="1054"/>
      <c r="G36" s="1054"/>
      <c r="H36" s="1054"/>
      <c r="I36" s="1054"/>
      <c r="J36" s="1054"/>
      <c r="L36" s="964">
        <f t="shared" si="1"/>
        <v>1.7643716087402845</v>
      </c>
      <c r="M36" s="45">
        <f>5/6*19.5+1/6*18</f>
        <v>19.25</v>
      </c>
      <c r="N36" s="9"/>
      <c r="O36" s="9"/>
      <c r="P36" s="9"/>
      <c r="Q36" s="9"/>
      <c r="R36" s="9"/>
      <c r="S36" s="9">
        <v>12.29</v>
      </c>
    </row>
    <row r="37" spans="1:21" ht="13.5" customHeight="1" x14ac:dyDescent="0.45">
      <c r="A37" s="1053">
        <v>1927</v>
      </c>
      <c r="B37" s="1053"/>
      <c r="C37" s="1066">
        <f>E37/'2.1.1 PricesLR'!E237*100</f>
        <v>55.361831941408738</v>
      </c>
      <c r="D37" s="1054"/>
      <c r="E37" s="1054">
        <f t="shared" si="0"/>
        <v>1.3290071858043702</v>
      </c>
      <c r="F37" s="1054"/>
      <c r="G37" s="1054"/>
      <c r="H37" s="1054"/>
      <c r="I37" s="1054"/>
      <c r="J37" s="1054"/>
      <c r="L37" s="964">
        <f t="shared" si="1"/>
        <v>1.3290071858043702</v>
      </c>
      <c r="M37" s="45">
        <f>1/4*15.5+2/4*14.5+1/4*13.5</f>
        <v>14.5</v>
      </c>
      <c r="N37" s="9"/>
      <c r="O37" s="9"/>
      <c r="P37" s="9"/>
      <c r="Q37" s="9"/>
      <c r="R37" s="9"/>
      <c r="S37" s="9">
        <v>9.4600000000000009</v>
      </c>
    </row>
    <row r="38" spans="1:21" ht="13.5" customHeight="1" x14ac:dyDescent="0.45">
      <c r="A38" s="1053">
        <v>1928</v>
      </c>
      <c r="B38" s="1053"/>
      <c r="C38" s="1066">
        <f>E38/'2.1.1 PricesLR'!E238*100</f>
        <v>65.443563702643942</v>
      </c>
      <c r="D38" s="1054"/>
      <c r="E38" s="1054">
        <f t="shared" si="0"/>
        <v>1.5333229456909616</v>
      </c>
      <c r="F38" s="1054"/>
      <c r="G38" s="1054"/>
      <c r="H38" s="1054"/>
      <c r="I38" s="1054"/>
      <c r="J38" s="1054"/>
      <c r="L38" s="964">
        <f t="shared" si="1"/>
        <v>1.5333229456909616</v>
      </c>
      <c r="M38" s="45">
        <f>3/12*12.5+7/12*16.75+2/12*23</f>
        <v>16.729166666666668</v>
      </c>
      <c r="N38" s="9" t="s">
        <v>2265</v>
      </c>
      <c r="O38" s="9"/>
      <c r="P38" s="9"/>
      <c r="Q38" s="9"/>
      <c r="R38" s="9"/>
      <c r="S38" s="9">
        <v>8.5399999999999991</v>
      </c>
    </row>
    <row r="39" spans="1:21" ht="13.5" customHeight="1" x14ac:dyDescent="0.45">
      <c r="A39" s="1053">
        <v>1929</v>
      </c>
      <c r="B39" s="1053"/>
      <c r="C39" s="1066">
        <f>E39/'2.1.1 PricesLR'!E239*100</f>
        <v>74.223612109055324</v>
      </c>
      <c r="D39" s="1054"/>
      <c r="E39" s="1054">
        <f t="shared" si="0"/>
        <v>1.7338197194114486</v>
      </c>
      <c r="F39" s="1054"/>
      <c r="G39" s="1054"/>
      <c r="H39" s="1054"/>
      <c r="I39" s="1054"/>
      <c r="J39" s="1054"/>
      <c r="L39" s="964">
        <f t="shared" si="1"/>
        <v>1.7338197194114486</v>
      </c>
      <c r="M39" s="45">
        <f>10/12*19+2/12*18.5</f>
        <v>18.916666666666668</v>
      </c>
      <c r="N39" s="9"/>
      <c r="O39" s="9"/>
      <c r="P39" s="9"/>
      <c r="Q39" s="9"/>
      <c r="R39" s="9"/>
      <c r="S39" s="9">
        <v>8.84</v>
      </c>
    </row>
    <row r="40" spans="1:21" ht="13.5" customHeight="1" x14ac:dyDescent="0.45">
      <c r="A40" s="1053">
        <v>1930</v>
      </c>
      <c r="B40" s="1053"/>
      <c r="C40" s="1066">
        <f>E40/'2.1.1 PricesLR'!E240*100</f>
        <v>65.329263804162366</v>
      </c>
      <c r="D40" s="1054"/>
      <c r="E40" s="1054">
        <f t="shared" si="0"/>
        <v>1.5123185217773869</v>
      </c>
      <c r="F40" s="1054"/>
      <c r="G40" s="1054"/>
      <c r="H40" s="1054"/>
      <c r="I40" s="1054"/>
      <c r="J40" s="1054"/>
      <c r="L40" s="964">
        <f t="shared" si="1"/>
        <v>1.5123185217773869</v>
      </c>
      <c r="M40" s="45">
        <v>16.5</v>
      </c>
      <c r="N40" s="9"/>
      <c r="O40" s="9"/>
      <c r="P40" s="9"/>
      <c r="Q40" s="9"/>
      <c r="R40" s="9"/>
      <c r="S40" s="9">
        <v>8.64</v>
      </c>
    </row>
    <row r="41" spans="1:21" ht="13.5" customHeight="1" x14ac:dyDescent="0.45">
      <c r="A41" s="1053">
        <v>1931</v>
      </c>
      <c r="B41" s="1053"/>
      <c r="C41" s="1066">
        <f>E41/'2.1.1 PricesLR'!E241*100</f>
        <v>62.458871326255725</v>
      </c>
      <c r="D41" s="1054"/>
      <c r="E41" s="1054">
        <f t="shared" si="0"/>
        <v>1.4053869091264601</v>
      </c>
      <c r="F41" s="1054"/>
      <c r="G41" s="1054"/>
      <c r="H41" s="1054"/>
      <c r="I41" s="1054"/>
      <c r="J41" s="1054"/>
      <c r="L41" s="964">
        <f t="shared" si="1"/>
        <v>1.4053869091264601</v>
      </c>
      <c r="M41" s="45">
        <f>4/12*14.5+1/12*16.5+2/12*15.5+2/12*14.5+3/12*16.5</f>
        <v>15.333333333333332</v>
      </c>
      <c r="N41" s="9" t="s">
        <v>2266</v>
      </c>
      <c r="O41" s="9"/>
      <c r="P41" s="9"/>
      <c r="Q41" s="9"/>
      <c r="R41" s="9"/>
      <c r="S41" s="9">
        <v>4.46</v>
      </c>
    </row>
    <row r="42" spans="1:21" ht="13.5" customHeight="1" x14ac:dyDescent="0.45">
      <c r="A42" s="1053">
        <v>1932</v>
      </c>
      <c r="B42" s="1053"/>
      <c r="C42" s="1066">
        <f>E42/'2.1.1 PricesLR'!E242*100</f>
        <v>83.00040826373089</v>
      </c>
      <c r="D42" s="1054"/>
      <c r="E42" s="1054">
        <f t="shared" si="0"/>
        <v>1.7872855257369116</v>
      </c>
      <c r="F42" s="1054"/>
      <c r="G42" s="1054"/>
      <c r="H42" s="1054"/>
      <c r="I42" s="1054"/>
      <c r="J42" s="1054"/>
      <c r="L42" s="964">
        <f t="shared" si="1"/>
        <v>1.7872855257369116</v>
      </c>
      <c r="M42" s="45">
        <v>19.5</v>
      </c>
      <c r="N42" s="9"/>
      <c r="O42" s="9"/>
      <c r="P42" s="9"/>
      <c r="Q42" s="9"/>
      <c r="R42" s="9"/>
      <c r="S42" s="9">
        <v>5.0599999999999996</v>
      </c>
    </row>
    <row r="43" spans="1:21" ht="13.5" customHeight="1" x14ac:dyDescent="0.45">
      <c r="A43" s="1053">
        <v>1933</v>
      </c>
      <c r="B43" s="1053"/>
      <c r="C43" s="1066">
        <f>E43/'2.1.1 PricesLR'!E243*100</f>
        <v>75.01923560578706</v>
      </c>
      <c r="D43" s="1054"/>
      <c r="E43" s="1054">
        <f t="shared" si="0"/>
        <v>1.5734223004350589</v>
      </c>
      <c r="F43" s="1054"/>
      <c r="G43" s="1054"/>
      <c r="H43" s="1054"/>
      <c r="I43" s="1054"/>
      <c r="J43" s="1054"/>
      <c r="L43" s="964">
        <f t="shared" si="1"/>
        <v>1.5734223004350589</v>
      </c>
      <c r="M43" s="45">
        <f>10/12*17+2/12*18</f>
        <v>17.166666666666668</v>
      </c>
      <c r="N43" s="9"/>
      <c r="O43" s="9"/>
      <c r="P43" s="9"/>
      <c r="Q43" s="9"/>
      <c r="R43" s="9"/>
      <c r="S43" s="9">
        <v>4.59</v>
      </c>
    </row>
    <row r="44" spans="1:21" ht="13.5" customHeight="1" x14ac:dyDescent="0.45">
      <c r="A44" s="1053">
        <v>1934</v>
      </c>
      <c r="B44" s="1053"/>
      <c r="C44" s="1066">
        <f>E44/'2.1.1 PricesLR'!E244*100</f>
        <v>75.884467326380985</v>
      </c>
      <c r="D44" s="1054"/>
      <c r="E44" s="1054">
        <f t="shared" si="0"/>
        <v>1.5581463557706408</v>
      </c>
      <c r="F44" s="1054"/>
      <c r="G44" s="1054"/>
      <c r="H44" s="1054"/>
      <c r="I44" s="1054"/>
      <c r="J44" s="1054"/>
      <c r="L44" s="964">
        <f t="shared" si="1"/>
        <v>1.5581463557706408</v>
      </c>
      <c r="M44" s="45">
        <v>17</v>
      </c>
      <c r="N44" s="9"/>
      <c r="O44" s="9"/>
      <c r="P44" s="9"/>
      <c r="Q44" s="9"/>
      <c r="R44" s="9"/>
      <c r="S44" s="9">
        <v>4.1900000000000004</v>
      </c>
    </row>
    <row r="45" spans="1:21" ht="13.5" customHeight="1" x14ac:dyDescent="0.45">
      <c r="A45" s="1053">
        <v>1935</v>
      </c>
      <c r="B45" s="1053"/>
      <c r="C45" s="1066">
        <f>E45/'2.1.1 PricesLR'!E245*100</f>
        <v>80.348259522050455</v>
      </c>
      <c r="D45" s="1054"/>
      <c r="E45" s="1054">
        <f t="shared" si="0"/>
        <v>1.6498020237571491</v>
      </c>
      <c r="F45" s="1054"/>
      <c r="G45" s="1054"/>
      <c r="H45" s="1054"/>
      <c r="I45" s="1054"/>
      <c r="J45" s="1054"/>
      <c r="L45" s="964">
        <f t="shared" si="1"/>
        <v>1.6498020237571491</v>
      </c>
      <c r="M45" s="45">
        <v>18</v>
      </c>
      <c r="N45" s="9"/>
      <c r="O45" s="9"/>
      <c r="P45" s="9"/>
      <c r="Q45" s="9"/>
      <c r="R45" s="9"/>
      <c r="S45" s="9">
        <v>4.3600000000000003</v>
      </c>
    </row>
    <row r="46" spans="1:21" ht="13.5" customHeight="1" x14ac:dyDescent="0.45">
      <c r="A46" s="1053">
        <v>1936</v>
      </c>
      <c r="B46" s="1053"/>
      <c r="C46" s="1066">
        <f>E46/'2.1.1 PricesLR'!E246*100</f>
        <v>84.222494257914533</v>
      </c>
      <c r="D46" s="1054"/>
      <c r="E46" s="1054">
        <f t="shared" si="0"/>
        <v>1.7414576917436573</v>
      </c>
      <c r="F46" s="1054"/>
      <c r="G46" s="1054"/>
      <c r="H46" s="1054"/>
      <c r="I46" s="1054"/>
      <c r="J46" s="1054"/>
      <c r="L46" s="964">
        <f t="shared" si="1"/>
        <v>1.7414576917436573</v>
      </c>
      <c r="M46" s="45">
        <v>19</v>
      </c>
      <c r="N46" s="9"/>
      <c r="O46" s="9"/>
      <c r="P46" s="9"/>
      <c r="Q46" s="9"/>
      <c r="R46" s="9"/>
      <c r="S46" s="9">
        <v>4.95</v>
      </c>
    </row>
    <row r="47" spans="1:21" ht="13.5" customHeight="1" x14ac:dyDescent="0.45">
      <c r="A47" s="1053">
        <v>1937</v>
      </c>
      <c r="B47" s="1053"/>
      <c r="C47" s="1066">
        <f>E47/'2.1.1 PricesLR'!E247*100</f>
        <v>84.003864113758198</v>
      </c>
      <c r="D47" s="1054"/>
      <c r="E47" s="1054">
        <f t="shared" si="0"/>
        <v>1.7490956640758661</v>
      </c>
      <c r="F47" s="1054"/>
      <c r="G47" s="1054"/>
      <c r="H47" s="1054"/>
      <c r="I47" s="1054"/>
      <c r="J47" s="1054"/>
      <c r="L47" s="964">
        <f t="shared" si="1"/>
        <v>1.7490956640758661</v>
      </c>
      <c r="M47" s="45">
        <f>1/12*18.5+3/12*19+3/12*19.5+5/12*19</f>
        <v>19.083333333333332</v>
      </c>
      <c r="N47" s="9"/>
      <c r="O47" s="9"/>
      <c r="P47" s="9"/>
      <c r="Q47" s="9"/>
      <c r="R47" s="9"/>
      <c r="S47" s="9">
        <v>6.05</v>
      </c>
    </row>
    <row r="48" spans="1:21" ht="13.5" customHeight="1" x14ac:dyDescent="0.45">
      <c r="A48" s="1053">
        <v>1938</v>
      </c>
      <c r="B48" s="1053"/>
      <c r="C48" s="1066">
        <f>E48/'2.1.1 PricesLR'!E248*100</f>
        <v>80.35473052362147</v>
      </c>
      <c r="D48" s="1054"/>
      <c r="E48" s="1054">
        <f t="shared" si="0"/>
        <v>1.7300007332453438</v>
      </c>
      <c r="F48" s="1054"/>
      <c r="G48" s="1054"/>
      <c r="H48" s="1054"/>
      <c r="I48" s="1054"/>
      <c r="J48" s="1054"/>
      <c r="L48" s="964">
        <f t="shared" si="1"/>
        <v>1.7300007332453438</v>
      </c>
      <c r="M48" s="45">
        <f>4/12*18.5+1/12*19.5+7/12*19</f>
        <v>18.875</v>
      </c>
      <c r="N48" s="9"/>
      <c r="O48" s="9"/>
      <c r="P48" s="9"/>
      <c r="Q48" s="9"/>
      <c r="R48" s="9"/>
      <c r="S48" s="9">
        <v>5.08</v>
      </c>
    </row>
    <row r="49" spans="1:19" ht="13.5" customHeight="1" x14ac:dyDescent="0.45">
      <c r="A49" s="1053">
        <v>1939</v>
      </c>
      <c r="B49" s="1053"/>
      <c r="C49" s="1066">
        <f>E49/'2.1.1 PricesLR'!E249*100</f>
        <v>78.740121556537503</v>
      </c>
      <c r="D49" s="1054"/>
      <c r="E49" s="1054">
        <f t="shared" si="0"/>
        <v>1.7223627609131344</v>
      </c>
      <c r="F49" s="1054"/>
      <c r="G49" s="1054"/>
      <c r="H49" s="1054"/>
      <c r="I49" s="1054"/>
      <c r="J49" s="1054"/>
      <c r="L49" s="964">
        <f t="shared" si="1"/>
        <v>1.7223627609131344</v>
      </c>
      <c r="M49" s="45">
        <f>9/12*18+1/12*20+1/12*21.5+1/12*22</f>
        <v>18.791666666666664</v>
      </c>
      <c r="N49" s="9" t="s">
        <v>2267</v>
      </c>
      <c r="O49" s="9"/>
      <c r="P49" s="9"/>
      <c r="Q49" s="9"/>
      <c r="R49" s="9"/>
      <c r="S49" s="9">
        <v>5.1100000000000003</v>
      </c>
    </row>
    <row r="50" spans="1:19" ht="13.5" customHeight="1" x14ac:dyDescent="0.45">
      <c r="A50" s="1053">
        <v>1940</v>
      </c>
      <c r="B50" s="1053"/>
      <c r="C50" s="1066">
        <f>E50/'2.1.1 PricesLR'!E250*100</f>
        <v>96.805778096289202</v>
      </c>
      <c r="D50" s="1054"/>
      <c r="E50" s="1054">
        <f t="shared" si="0"/>
        <v>2.1768221146795712</v>
      </c>
      <c r="F50" s="1054"/>
      <c r="G50" s="1054"/>
      <c r="H50" s="1054"/>
      <c r="I50" s="1054"/>
      <c r="J50" s="1054"/>
      <c r="L50" s="964">
        <f t="shared" si="1"/>
        <v>2.1768221146795712</v>
      </c>
      <c r="M50" s="45">
        <f>9/12*23.5+3/12*24.5</f>
        <v>23.75</v>
      </c>
      <c r="N50" s="9"/>
      <c r="O50" s="9"/>
      <c r="P50" s="9"/>
      <c r="Q50" s="9"/>
      <c r="R50" s="9"/>
      <c r="S50" s="9">
        <v>8.68</v>
      </c>
    </row>
    <row r="51" spans="1:19" ht="13.5" customHeight="1" x14ac:dyDescent="0.45">
      <c r="A51" s="1053">
        <v>1941</v>
      </c>
      <c r="B51" s="1053"/>
      <c r="C51" s="1066">
        <f>E51/'2.1.1 PricesLR'!E251*100</f>
        <v>87.243851925278676</v>
      </c>
      <c r="D51" s="1054"/>
      <c r="E51" s="1054">
        <f t="shared" si="0"/>
        <v>2.2913916996627073</v>
      </c>
      <c r="F51" s="1054"/>
      <c r="G51" s="1054"/>
      <c r="H51" s="1054"/>
      <c r="I51" s="1054"/>
      <c r="J51" s="1054"/>
      <c r="L51" s="964">
        <f t="shared" si="1"/>
        <v>2.2913916996627073</v>
      </c>
      <c r="M51" s="45">
        <v>25</v>
      </c>
      <c r="N51" s="9"/>
      <c r="O51" s="9"/>
      <c r="P51" s="9"/>
      <c r="Q51" s="9"/>
      <c r="R51" s="9"/>
      <c r="S51" s="9">
        <v>10.19</v>
      </c>
    </row>
    <row r="52" spans="1:19" ht="13.5" customHeight="1" x14ac:dyDescent="0.45">
      <c r="A52" s="1053">
        <v>1942</v>
      </c>
      <c r="B52" s="1053"/>
      <c r="C52" s="1066">
        <f>E52/'2.1.1 PricesLR'!E252*100</f>
        <v>80.31473733193522</v>
      </c>
      <c r="D52" s="1054"/>
      <c r="E52" s="1054">
        <f t="shared" si="0"/>
        <v>2.3372195336559614</v>
      </c>
      <c r="F52" s="1054"/>
      <c r="G52" s="1054"/>
      <c r="H52" s="1054"/>
      <c r="I52" s="1054"/>
      <c r="J52" s="1054"/>
      <c r="L52" s="964">
        <f t="shared" si="1"/>
        <v>2.3372195336559614</v>
      </c>
      <c r="M52" s="45">
        <v>25.5</v>
      </c>
      <c r="N52" s="9"/>
      <c r="O52" s="9"/>
      <c r="P52" s="9"/>
      <c r="Q52" s="9"/>
      <c r="R52" s="9"/>
      <c r="S52" s="9">
        <v>13.71</v>
      </c>
    </row>
    <row r="53" spans="1:19" ht="13.5" customHeight="1" x14ac:dyDescent="0.45">
      <c r="A53" s="1053">
        <v>1943</v>
      </c>
      <c r="B53" s="1053"/>
      <c r="C53" s="1066">
        <f>E53/'2.1.1 PricesLR'!E253*100</f>
        <v>74.990417676876973</v>
      </c>
      <c r="D53" s="1054"/>
      <c r="E53" s="1054">
        <f t="shared" si="0"/>
        <v>2.3372195336559614</v>
      </c>
      <c r="F53" s="1054"/>
      <c r="G53" s="1054"/>
      <c r="H53" s="1054"/>
      <c r="I53" s="1054"/>
      <c r="J53" s="1054"/>
      <c r="L53" s="964">
        <f t="shared" si="1"/>
        <v>2.3372195336559614</v>
      </c>
      <c r="M53" s="45">
        <v>25.5</v>
      </c>
      <c r="N53" s="9"/>
      <c r="O53" s="9"/>
      <c r="P53" s="9"/>
      <c r="Q53" s="9"/>
      <c r="R53" s="9"/>
      <c r="S53" s="9">
        <v>16.05</v>
      </c>
    </row>
    <row r="54" spans="1:19" ht="13.5" customHeight="1" x14ac:dyDescent="0.45">
      <c r="A54" s="1053">
        <v>1944</v>
      </c>
      <c r="B54" s="1053"/>
      <c r="C54" s="1066">
        <f>E54/'2.1.1 PricesLR'!E254*100</f>
        <v>72.524581892530932</v>
      </c>
      <c r="D54" s="1054"/>
      <c r="E54" s="1054">
        <f t="shared" si="0"/>
        <v>2.3372195336559614</v>
      </c>
      <c r="F54" s="1054"/>
      <c r="G54" s="1054"/>
      <c r="H54" s="1054"/>
      <c r="I54" s="1054"/>
      <c r="J54" s="1054"/>
      <c r="L54" s="964">
        <f t="shared" si="1"/>
        <v>2.3372195336559614</v>
      </c>
      <c r="M54" s="45">
        <v>25.5</v>
      </c>
      <c r="N54" s="9"/>
      <c r="O54" s="9"/>
      <c r="P54" s="9"/>
      <c r="Q54" s="9"/>
      <c r="R54" s="9"/>
      <c r="S54" s="9">
        <v>14.79</v>
      </c>
    </row>
    <row r="55" spans="1:19" ht="13.5" customHeight="1" x14ac:dyDescent="0.45">
      <c r="A55" s="1053">
        <v>1945</v>
      </c>
      <c r="B55" s="1053"/>
      <c r="C55" s="1066">
        <f>E55/'2.1.1 PricesLR'!E255*100</f>
        <v>65.079239913491676</v>
      </c>
      <c r="D55" s="1054"/>
      <c r="E55" s="1054">
        <f t="shared" si="0"/>
        <v>2.1539081976829446</v>
      </c>
      <c r="F55" s="1054"/>
      <c r="G55" s="1054"/>
      <c r="H55" s="1054"/>
      <c r="I55" s="1054"/>
      <c r="J55" s="1054"/>
      <c r="L55" s="964">
        <f t="shared" si="1"/>
        <v>2.1539081976829446</v>
      </c>
      <c r="M55" s="45">
        <v>23.5</v>
      </c>
      <c r="N55" s="9"/>
      <c r="O55" s="9"/>
      <c r="P55" s="9"/>
      <c r="Q55" s="9"/>
      <c r="R55" s="9"/>
      <c r="S55" s="9">
        <v>13.65</v>
      </c>
    </row>
    <row r="56" spans="1:19" ht="13.5" customHeight="1" x14ac:dyDescent="0.45">
      <c r="A56" s="1053">
        <v>1946</v>
      </c>
      <c r="B56" s="1053"/>
      <c r="C56" s="1066">
        <f>E56/'2.1.1 PricesLR'!E256*100</f>
        <v>64.653603689204417</v>
      </c>
      <c r="D56" s="1054"/>
      <c r="E56" s="1054">
        <f t="shared" si="0"/>
        <v>2.1997360316761987</v>
      </c>
      <c r="F56" s="1054"/>
      <c r="G56" s="1054"/>
      <c r="H56" s="1054"/>
      <c r="I56" s="1054"/>
      <c r="J56" s="1054"/>
      <c r="L56" s="964">
        <f t="shared" si="1"/>
        <v>2.1997360316761987</v>
      </c>
      <c r="M56" s="45">
        <v>24</v>
      </c>
      <c r="N56" s="9"/>
      <c r="O56" s="9"/>
      <c r="P56" s="9"/>
      <c r="Q56" s="9"/>
      <c r="R56" s="9"/>
      <c r="S56" s="9">
        <v>10.33</v>
      </c>
    </row>
    <row r="57" spans="1:19" ht="13.5" customHeight="1" x14ac:dyDescent="0.45">
      <c r="A57" s="1053">
        <v>1947</v>
      </c>
      <c r="B57" s="1053"/>
      <c r="C57" s="1066">
        <f>E57/'2.1.1 PricesLR'!E257*100</f>
        <v>64.669281090680954</v>
      </c>
      <c r="D57" s="1054"/>
      <c r="E57" s="1054">
        <f t="shared" si="0"/>
        <v>2.2684777826660798</v>
      </c>
      <c r="F57" s="1054"/>
      <c r="G57" s="1054"/>
      <c r="H57" s="1054"/>
      <c r="I57" s="1054"/>
      <c r="J57" s="1054"/>
      <c r="L57" s="964">
        <f t="shared" si="1"/>
        <v>2.2684777826660798</v>
      </c>
      <c r="M57" s="45">
        <f>9/12*24.5+3/12*25.5</f>
        <v>24.75</v>
      </c>
      <c r="N57" s="9"/>
      <c r="O57" s="9"/>
      <c r="P57" s="9"/>
      <c r="Q57" s="9"/>
      <c r="R57" s="9"/>
      <c r="S57" s="9">
        <v>11.48</v>
      </c>
    </row>
    <row r="58" spans="1:19" ht="13.5" customHeight="1" x14ac:dyDescent="0.45">
      <c r="A58" s="1053">
        <v>1948</v>
      </c>
      <c r="B58" s="1053"/>
      <c r="C58" s="1066">
        <f>E58/'2.1.1 PricesLR'!E258*100</f>
        <v>61.049071170283163</v>
      </c>
      <c r="D58" s="1054"/>
      <c r="E58" s="1054">
        <f t="shared" si="0"/>
        <v>2.2913916996627073</v>
      </c>
      <c r="F58" s="1054"/>
      <c r="G58" s="1054"/>
      <c r="H58" s="1054"/>
      <c r="I58" s="1054"/>
      <c r="J58" s="1054"/>
      <c r="L58" s="964">
        <f t="shared" si="1"/>
        <v>2.2913916996627073</v>
      </c>
      <c r="M58" s="45">
        <v>25</v>
      </c>
      <c r="N58" s="9" t="s">
        <v>2268</v>
      </c>
      <c r="O58" s="9"/>
      <c r="P58" s="9"/>
      <c r="Q58" s="9"/>
      <c r="R58" s="9"/>
      <c r="S58" s="9">
        <v>14.71</v>
      </c>
    </row>
    <row r="59" spans="1:19" ht="13.5" customHeight="1" x14ac:dyDescent="0.45">
      <c r="A59" s="1053">
        <v>1949</v>
      </c>
      <c r="B59" s="1053"/>
      <c r="C59" s="1066">
        <f>E59/'2.1.1 PricesLR'!E259*100</f>
        <v>57.44016600360905</v>
      </c>
      <c r="D59" s="1054"/>
      <c r="E59" s="1054">
        <f t="shared" si="0"/>
        <v>2.3219435889915436</v>
      </c>
      <c r="F59" s="1054"/>
      <c r="G59" s="1054"/>
      <c r="H59" s="1054"/>
      <c r="I59" s="1054"/>
      <c r="J59" s="1054"/>
      <c r="L59" s="964">
        <f t="shared" si="1"/>
        <v>2.3219435889915436</v>
      </c>
      <c r="M59" s="45">
        <f>5/12*25+4/12*24.5+3/12*27</f>
        <v>25.333333333333336</v>
      </c>
      <c r="N59" s="9"/>
      <c r="O59" s="9"/>
      <c r="P59" s="9"/>
      <c r="Q59" s="9"/>
      <c r="R59" s="9"/>
      <c r="S59" s="9">
        <v>13.39</v>
      </c>
    </row>
    <row r="60" spans="1:19" ht="13.5" customHeight="1" x14ac:dyDescent="0.45">
      <c r="A60" s="1053">
        <v>1950</v>
      </c>
      <c r="B60" s="1053"/>
      <c r="C60" s="1066">
        <f>E60/'2.1.1 PricesLR'!E260*100</f>
        <v>75.588355867884147</v>
      </c>
      <c r="D60" s="1054"/>
      <c r="E60" s="1054">
        <f t="shared" si="0"/>
        <v>3.1411161216209607</v>
      </c>
      <c r="F60" s="1054"/>
      <c r="G60" s="1054"/>
      <c r="H60" s="1054"/>
      <c r="I60" s="1054"/>
      <c r="J60" s="1054"/>
      <c r="L60" s="964">
        <f t="shared" si="1"/>
        <v>3.1411161216209607</v>
      </c>
      <c r="M60" s="45">
        <f>3/12*27+2/12*36+3/12*36.75+4/12*37</f>
        <v>34.270833333333329</v>
      </c>
      <c r="N60" s="9" t="s">
        <v>2269</v>
      </c>
      <c r="O60" s="9"/>
      <c r="P60" s="9"/>
      <c r="Q60" s="9"/>
      <c r="R60" s="9"/>
      <c r="S60" s="9">
        <v>14.9</v>
      </c>
    </row>
    <row r="61" spans="1:19" ht="13.5" customHeight="1" x14ac:dyDescent="0.45">
      <c r="A61" s="1053">
        <v>1951</v>
      </c>
      <c r="B61" s="1053"/>
      <c r="C61" s="1066">
        <f>E61/'2.1.1 PricesLR'!E261*100</f>
        <v>87.639481044192976</v>
      </c>
      <c r="D61" s="1054"/>
      <c r="E61" s="1054">
        <f t="shared" si="0"/>
        <v>3.7846152906095711</v>
      </c>
      <c r="F61" s="1054"/>
      <c r="G61" s="1054"/>
      <c r="H61" s="1054"/>
      <c r="I61" s="1054"/>
      <c r="J61" s="1054"/>
      <c r="L61" s="964">
        <f t="shared" si="1"/>
        <v>3.7846152906095711</v>
      </c>
      <c r="M61" s="45">
        <f>3/12*37.5+1/12*42+6/12*42.5+2/12*43</f>
        <v>41.291666666666664</v>
      </c>
      <c r="N61" s="9" t="s">
        <v>2270</v>
      </c>
      <c r="O61" s="9"/>
      <c r="P61" s="9"/>
      <c r="Q61" s="9"/>
      <c r="R61" s="9"/>
      <c r="S61" s="9">
        <v>18.350000000000001</v>
      </c>
    </row>
    <row r="62" spans="1:19" ht="13.5" customHeight="1" x14ac:dyDescent="0.45">
      <c r="A62" s="1053">
        <v>1952</v>
      </c>
      <c r="B62" s="1053"/>
      <c r="C62" s="1066">
        <f>E62/'2.1.1 PricesLR'!E262*100</f>
        <v>96.829056617672649</v>
      </c>
      <c r="D62" s="1054"/>
      <c r="E62" s="1054">
        <f>L62</f>
        <v>4.5598694823287875</v>
      </c>
      <c r="F62" s="1054"/>
      <c r="G62" s="1054"/>
      <c r="H62" s="1054"/>
      <c r="I62" s="1054"/>
      <c r="J62" s="1054"/>
      <c r="L62" s="964">
        <f t="shared" si="1"/>
        <v>4.5598694823287875</v>
      </c>
      <c r="M62" s="45">
        <f>2/12*43.5+3/12*50.75+5/12*51.25+2/12*50.75</f>
        <v>49.75</v>
      </c>
      <c r="N62" s="9" t="s">
        <v>2271</v>
      </c>
      <c r="O62" s="9"/>
      <c r="P62" s="9"/>
      <c r="Q62" s="9"/>
      <c r="R62" s="9"/>
      <c r="S62" s="9">
        <v>17.39</v>
      </c>
    </row>
    <row r="63" spans="1:19" ht="13.5" customHeight="1" x14ac:dyDescent="0.45">
      <c r="A63" s="1053">
        <v>1953</v>
      </c>
      <c r="B63" s="1053"/>
      <c r="C63" s="1066">
        <f>E63/'2.1.1 PricesLR'!E263*100</f>
        <v>94.105435288941848</v>
      </c>
      <c r="D63" s="1054"/>
      <c r="E63" s="1054">
        <f>L63</f>
        <v>4.9035782372781931</v>
      </c>
      <c r="F63" s="1054"/>
      <c r="G63" s="1054"/>
      <c r="H63" s="1054"/>
      <c r="I63" s="1054"/>
      <c r="J63" s="1054"/>
      <c r="L63" s="964">
        <f t="shared" si="1"/>
        <v>4.9035782372781931</v>
      </c>
      <c r="M63" s="9">
        <f>4/12*53.75+2/12*53+6/12*53.5</f>
        <v>53.5</v>
      </c>
      <c r="N63" s="9" t="s">
        <v>2272</v>
      </c>
      <c r="O63" s="9"/>
      <c r="P63" s="9"/>
      <c r="Q63" s="9"/>
      <c r="R63" s="9"/>
      <c r="S63" s="9">
        <v>15.94</v>
      </c>
    </row>
    <row r="64" spans="1:19" ht="13.5" customHeight="1" x14ac:dyDescent="0.45">
      <c r="A64" s="1053">
        <v>1954</v>
      </c>
      <c r="B64" s="1053" t="s">
        <v>2245</v>
      </c>
      <c r="C64" s="1066">
        <f>E64/'2.1.1 PricesLR'!E264*100</f>
        <v>90.747179450791222</v>
      </c>
      <c r="D64" s="1054">
        <v>4.47</v>
      </c>
      <c r="E64" s="1054">
        <v>4.9000000000000004</v>
      </c>
      <c r="F64" s="1054" t="s">
        <v>54</v>
      </c>
      <c r="G64" s="1054" t="s">
        <v>54</v>
      </c>
      <c r="H64" s="1054" t="s">
        <v>54</v>
      </c>
      <c r="I64" s="1054" t="s">
        <v>54</v>
      </c>
      <c r="J64" s="1054" t="s">
        <v>54</v>
      </c>
      <c r="S64" s="9">
        <v>16.12</v>
      </c>
    </row>
    <row r="65" spans="1:19" ht="13.5" customHeight="1" x14ac:dyDescent="0.45">
      <c r="A65" s="1053">
        <v>1955</v>
      </c>
      <c r="B65" s="1053" t="s">
        <v>2245</v>
      </c>
      <c r="C65" s="1066">
        <f>E65/'2.1.1 PricesLR'!E265*100</f>
        <v>88.713928967813558</v>
      </c>
      <c r="D65" s="1054">
        <v>4.49</v>
      </c>
      <c r="E65" s="1054">
        <v>4.9000000000000004</v>
      </c>
      <c r="F65" s="1054" t="s">
        <v>54</v>
      </c>
      <c r="G65" s="1054" t="s">
        <v>54</v>
      </c>
      <c r="H65" s="1055">
        <v>4.38</v>
      </c>
      <c r="I65" s="1054" t="s">
        <v>54</v>
      </c>
      <c r="J65" s="1054" t="s">
        <v>54</v>
      </c>
      <c r="S65" s="9">
        <v>16.53</v>
      </c>
    </row>
    <row r="66" spans="1:19" ht="13.5" customHeight="1" x14ac:dyDescent="0.45">
      <c r="A66" s="1053">
        <v>1956</v>
      </c>
      <c r="B66" s="1053" t="s">
        <v>2245</v>
      </c>
      <c r="C66" s="1066">
        <f>E66/'2.1.1 PricesLR'!E266*100</f>
        <v>86.844919786096284</v>
      </c>
      <c r="D66" s="1054">
        <v>4.49</v>
      </c>
      <c r="E66" s="1054">
        <v>5.04</v>
      </c>
      <c r="F66" s="1054" t="s">
        <v>54</v>
      </c>
      <c r="G66" s="1054" t="s">
        <v>54</v>
      </c>
      <c r="H66" s="1055">
        <v>4.47</v>
      </c>
      <c r="I66" s="1054" t="s">
        <v>54</v>
      </c>
      <c r="J66" s="1054" t="s">
        <v>54</v>
      </c>
      <c r="S66" s="9">
        <v>16.940000000000001</v>
      </c>
    </row>
    <row r="67" spans="1:19" ht="13.5" customHeight="1" x14ac:dyDescent="0.45">
      <c r="A67" s="1053">
        <v>1957</v>
      </c>
      <c r="B67" s="1053" t="s">
        <v>2245</v>
      </c>
      <c r="C67" s="1066">
        <f>E67/'2.1.1 PricesLR'!E267*100</f>
        <v>108.7977901939858</v>
      </c>
      <c r="D67" s="1054">
        <v>6.09</v>
      </c>
      <c r="E67" s="1054">
        <v>6.64</v>
      </c>
      <c r="F67" s="1054" t="s">
        <v>54</v>
      </c>
      <c r="G67" s="1054" t="s">
        <v>54</v>
      </c>
      <c r="H67" s="1055">
        <v>6.07</v>
      </c>
      <c r="I67" s="1054" t="s">
        <v>54</v>
      </c>
      <c r="J67" s="1054" t="s">
        <v>54</v>
      </c>
      <c r="S67" s="9">
        <v>18.64</v>
      </c>
    </row>
    <row r="68" spans="1:19" ht="13.5" customHeight="1" x14ac:dyDescent="0.45">
      <c r="A68" s="1053">
        <v>1958</v>
      </c>
      <c r="B68" s="1053" t="s">
        <v>2245</v>
      </c>
      <c r="C68" s="1066">
        <f>E68/'2.1.1 PricesLR'!E268*100</f>
        <v>80.946133849223145</v>
      </c>
      <c r="D68" s="1054">
        <v>4.6500000000000004</v>
      </c>
      <c r="E68" s="1054">
        <v>5.13</v>
      </c>
      <c r="F68" s="1054" t="s">
        <v>54</v>
      </c>
      <c r="G68" s="1054" t="s">
        <v>54</v>
      </c>
      <c r="H68" s="1055">
        <v>4.6900000000000004</v>
      </c>
      <c r="I68" s="1054" t="s">
        <v>54</v>
      </c>
      <c r="J68" s="1054" t="s">
        <v>54</v>
      </c>
      <c r="S68" s="9">
        <v>15.61</v>
      </c>
    </row>
    <row r="69" spans="1:19" ht="13.5" customHeight="1" x14ac:dyDescent="0.45">
      <c r="A69" s="1053">
        <v>1959</v>
      </c>
      <c r="B69" s="1053" t="s">
        <v>2245</v>
      </c>
      <c r="C69" s="1066">
        <f>E69/'2.1.1 PricesLR'!E269*100</f>
        <v>78.681906328965141</v>
      </c>
      <c r="D69" s="1054">
        <v>4.67</v>
      </c>
      <c r="E69" s="1054">
        <v>5.13</v>
      </c>
      <c r="F69" s="1054" t="s">
        <v>54</v>
      </c>
      <c r="G69" s="1054" t="s">
        <v>54</v>
      </c>
      <c r="H69" s="1055">
        <v>4.7</v>
      </c>
      <c r="I69" s="1054" t="s">
        <v>54</v>
      </c>
      <c r="J69" s="1054" t="s">
        <v>54</v>
      </c>
      <c r="S69" s="9">
        <v>14.76</v>
      </c>
    </row>
    <row r="70" spans="1:19" ht="13.5" customHeight="1" x14ac:dyDescent="0.45">
      <c r="A70" s="1053">
        <v>1960</v>
      </c>
      <c r="B70" s="1053" t="s">
        <v>2245</v>
      </c>
      <c r="C70" s="1066">
        <f>E70/'2.1.1 PricesLR'!E270*100</f>
        <v>78.975407442023496</v>
      </c>
      <c r="D70" s="1054">
        <v>4.67</v>
      </c>
      <c r="E70" s="1054">
        <v>5.18</v>
      </c>
      <c r="F70" s="1054" t="s">
        <v>54</v>
      </c>
      <c r="G70" s="1054" t="s">
        <v>54</v>
      </c>
      <c r="H70" s="1055">
        <v>4.79</v>
      </c>
      <c r="I70" s="1055">
        <v>1.55</v>
      </c>
      <c r="J70" s="1055">
        <v>1.55</v>
      </c>
      <c r="S70" s="9">
        <v>14.41</v>
      </c>
    </row>
    <row r="71" spans="1:19" ht="13.5" customHeight="1" x14ac:dyDescent="0.45">
      <c r="A71" s="1053">
        <v>1961</v>
      </c>
      <c r="B71" s="1053" t="s">
        <v>2245</v>
      </c>
      <c r="C71" s="1066">
        <f>E71/'2.1.1 PricesLR'!E271*100</f>
        <v>76.991596638655452</v>
      </c>
      <c r="D71" s="1054">
        <v>4.58</v>
      </c>
      <c r="E71" s="1054">
        <v>5.09</v>
      </c>
      <c r="F71" s="1054" t="s">
        <v>54</v>
      </c>
      <c r="G71" s="1054" t="s">
        <v>54</v>
      </c>
      <c r="H71" s="1055">
        <v>4.6500000000000004</v>
      </c>
      <c r="I71" s="1055">
        <v>1.65</v>
      </c>
      <c r="J71" s="1055">
        <v>1.52</v>
      </c>
    </row>
    <row r="72" spans="1:19" ht="13.5" customHeight="1" x14ac:dyDescent="0.45">
      <c r="A72" s="1053">
        <v>1962</v>
      </c>
      <c r="B72" s="1053" t="s">
        <v>2245</v>
      </c>
      <c r="C72" s="1066">
        <f>E72/'2.1.1 PricesLR'!E272*100</f>
        <v>78.522676246070958</v>
      </c>
      <c r="D72" s="1054">
        <v>4.8600000000000003</v>
      </c>
      <c r="E72" s="1054">
        <v>5.36</v>
      </c>
      <c r="F72" s="1054" t="s">
        <v>54</v>
      </c>
      <c r="G72" s="1054" t="s">
        <v>54</v>
      </c>
      <c r="H72" s="1055">
        <v>4.93</v>
      </c>
      <c r="I72" s="1055">
        <v>1.89</v>
      </c>
      <c r="J72" s="1055">
        <v>1.73</v>
      </c>
    </row>
    <row r="73" spans="1:19" ht="13.5" customHeight="1" x14ac:dyDescent="0.45">
      <c r="A73" s="1053">
        <v>1963</v>
      </c>
      <c r="B73" s="1053" t="s">
        <v>2245</v>
      </c>
      <c r="C73" s="1066">
        <f>E73/'2.1.1 PricesLR'!E273*100</f>
        <v>75.358758888170655</v>
      </c>
      <c r="D73" s="1054">
        <v>4.7699999999999996</v>
      </c>
      <c r="E73" s="1054">
        <v>5.36</v>
      </c>
      <c r="F73" s="1054" t="s">
        <v>54</v>
      </c>
      <c r="G73" s="1054" t="s">
        <v>54</v>
      </c>
      <c r="H73" s="1055">
        <v>4.93</v>
      </c>
      <c r="I73" s="1055">
        <v>1.86</v>
      </c>
      <c r="J73" s="1055">
        <v>1.73</v>
      </c>
    </row>
    <row r="74" spans="1:19" ht="13.5" customHeight="1" x14ac:dyDescent="0.45">
      <c r="A74" s="1053">
        <v>1964</v>
      </c>
      <c r="B74" s="1053" t="s">
        <v>2245</v>
      </c>
      <c r="C74" s="1066">
        <f>E74/'2.1.1 PricesLR'!E274*100</f>
        <v>71.876549723028205</v>
      </c>
      <c r="D74" s="1054">
        <v>4.7699999999999996</v>
      </c>
      <c r="E74" s="1054">
        <v>5.22</v>
      </c>
      <c r="F74" s="1054" t="s">
        <v>54</v>
      </c>
      <c r="G74" s="1054" t="s">
        <v>54</v>
      </c>
      <c r="H74" s="1055">
        <v>4.97</v>
      </c>
      <c r="I74" s="1055">
        <v>1.86</v>
      </c>
      <c r="J74" s="1055">
        <v>1.73</v>
      </c>
    </row>
    <row r="75" spans="1:19" ht="13.5" customHeight="1" x14ac:dyDescent="0.45">
      <c r="A75" s="1053">
        <v>1965</v>
      </c>
      <c r="B75" s="1053" t="s">
        <v>2245</v>
      </c>
      <c r="C75" s="1066">
        <f>E75/'2.1.1 PricesLR'!E275*100</f>
        <v>77.631726887105842</v>
      </c>
      <c r="D75" s="1054">
        <v>5.36</v>
      </c>
      <c r="E75" s="1054">
        <v>5.82</v>
      </c>
      <c r="F75" s="1054" t="s">
        <v>54</v>
      </c>
      <c r="G75" s="1054" t="s">
        <v>54</v>
      </c>
      <c r="H75" s="1055">
        <v>5.52</v>
      </c>
      <c r="I75" s="1055">
        <v>1.86</v>
      </c>
      <c r="J75" s="1055">
        <v>1.73</v>
      </c>
    </row>
    <row r="76" spans="1:19" ht="13.5" customHeight="1" x14ac:dyDescent="0.45">
      <c r="A76" s="1053">
        <v>1966</v>
      </c>
      <c r="B76" s="1053" t="s">
        <v>2245</v>
      </c>
      <c r="C76" s="1066">
        <f>E76/'2.1.1 PricesLR'!E276*100</f>
        <v>72.670588235294105</v>
      </c>
      <c r="D76" s="1054">
        <v>5.36</v>
      </c>
      <c r="E76" s="1054">
        <v>5.68</v>
      </c>
      <c r="F76" s="1054" t="s">
        <v>54</v>
      </c>
      <c r="G76" s="1054" t="s">
        <v>54</v>
      </c>
      <c r="H76" s="1055">
        <v>5.52</v>
      </c>
      <c r="I76" s="1055">
        <v>1.86</v>
      </c>
      <c r="J76" s="1055">
        <v>1.73</v>
      </c>
    </row>
    <row r="77" spans="1:19" ht="13.5" customHeight="1" x14ac:dyDescent="0.45">
      <c r="A77" s="1053">
        <v>1967</v>
      </c>
      <c r="B77" s="1053" t="s">
        <v>2245</v>
      </c>
      <c r="C77" s="1066">
        <f>E77/'2.1.1 PricesLR'!E277*100</f>
        <v>74.427319004524847</v>
      </c>
      <c r="D77" s="1054">
        <v>5.73</v>
      </c>
      <c r="E77" s="1054">
        <v>6.05</v>
      </c>
      <c r="F77" s="1054" t="s">
        <v>54</v>
      </c>
      <c r="G77" s="1054" t="s">
        <v>54</v>
      </c>
      <c r="H77" s="1055">
        <v>5.89</v>
      </c>
      <c r="I77" s="1055">
        <v>1.86</v>
      </c>
      <c r="J77" s="1055">
        <v>1.73</v>
      </c>
    </row>
    <row r="78" spans="1:19" ht="13.5" customHeight="1" x14ac:dyDescent="0.45">
      <c r="A78" s="1053">
        <v>1968</v>
      </c>
      <c r="B78" s="1053" t="s">
        <v>2245</v>
      </c>
      <c r="C78" s="1066">
        <f>E78/'2.1.1 PricesLR'!E278*100</f>
        <v>73.877005347593567</v>
      </c>
      <c r="D78" s="1054">
        <v>5.77</v>
      </c>
      <c r="E78" s="1054">
        <v>6.14</v>
      </c>
      <c r="F78" s="1054" t="s">
        <v>54</v>
      </c>
      <c r="G78" s="1054" t="s">
        <v>54</v>
      </c>
      <c r="H78" s="1055">
        <v>6.07</v>
      </c>
      <c r="I78" s="1055">
        <v>2.06</v>
      </c>
      <c r="J78" s="1055">
        <v>1.95</v>
      </c>
    </row>
    <row r="79" spans="1:19" ht="13.5" customHeight="1" x14ac:dyDescent="0.45">
      <c r="A79" s="1053">
        <v>1969</v>
      </c>
      <c r="B79" s="1053" t="s">
        <v>2245</v>
      </c>
      <c r="C79" s="1066">
        <f>E79/'2.1.1 PricesLR'!E279*100</f>
        <v>80.29345272396823</v>
      </c>
      <c r="D79" s="1054">
        <v>6.57</v>
      </c>
      <c r="E79" s="1054">
        <v>6.94</v>
      </c>
      <c r="F79" s="1054" t="s">
        <v>54</v>
      </c>
      <c r="G79" s="1054" t="s">
        <v>54</v>
      </c>
      <c r="H79" s="1055">
        <v>6.92</v>
      </c>
      <c r="I79" s="1055">
        <v>2.09</v>
      </c>
      <c r="J79" s="1055">
        <v>1.95</v>
      </c>
    </row>
    <row r="80" spans="1:19" ht="13.5" customHeight="1" x14ac:dyDescent="0.45">
      <c r="A80" s="1053">
        <v>1970</v>
      </c>
      <c r="B80" s="1053" t="s">
        <v>2245</v>
      </c>
      <c r="C80" s="1066">
        <f>E80/'2.1.1 PricesLR'!E280*100</f>
        <v>78.634333389516257</v>
      </c>
      <c r="D80" s="1054">
        <v>6.78</v>
      </c>
      <c r="E80" s="1054">
        <v>7.15</v>
      </c>
      <c r="F80" s="1054" t="s">
        <v>54</v>
      </c>
      <c r="G80" s="1054" t="s">
        <v>54</v>
      </c>
      <c r="H80" s="1055">
        <v>6.99</v>
      </c>
      <c r="I80" s="1055">
        <v>2.17</v>
      </c>
      <c r="J80" s="1055">
        <v>2.02</v>
      </c>
    </row>
    <row r="81" spans="1:10" ht="13.5" customHeight="1" x14ac:dyDescent="0.45">
      <c r="A81" s="1053">
        <v>1971</v>
      </c>
      <c r="B81" s="1053" t="s">
        <v>2245</v>
      </c>
      <c r="C81" s="1066">
        <f>E81/'2.1.1 PricesLR'!E281*100</f>
        <v>76.609834249772533</v>
      </c>
      <c r="D81" s="1054">
        <v>7.06</v>
      </c>
      <c r="E81" s="1054">
        <v>7.42</v>
      </c>
      <c r="F81" s="1054" t="s">
        <v>54</v>
      </c>
      <c r="G81" s="1054" t="s">
        <v>54</v>
      </c>
      <c r="H81" s="1055">
        <v>7.22</v>
      </c>
      <c r="I81" s="1055">
        <v>2.34</v>
      </c>
      <c r="J81" s="1055">
        <v>2.14</v>
      </c>
    </row>
    <row r="82" spans="1:10" ht="13.5" customHeight="1" x14ac:dyDescent="0.45">
      <c r="A82" s="1053">
        <v>1972</v>
      </c>
      <c r="B82" s="1053" t="s">
        <v>2245</v>
      </c>
      <c r="C82" s="1066">
        <f>E82/'2.1.1 PricesLR'!E282*100</f>
        <v>72.659893705484663</v>
      </c>
      <c r="D82" s="1054">
        <v>7.26</v>
      </c>
      <c r="E82" s="1054">
        <v>7.7</v>
      </c>
      <c r="F82" s="1054" t="s">
        <v>54</v>
      </c>
      <c r="G82" s="1054" t="s">
        <v>54</v>
      </c>
      <c r="H82" s="1055">
        <v>7.48</v>
      </c>
      <c r="I82" s="1055">
        <v>2.4500000000000002</v>
      </c>
      <c r="J82" s="1055">
        <v>2.21</v>
      </c>
    </row>
    <row r="83" spans="1:10" ht="13.5" customHeight="1" x14ac:dyDescent="0.45">
      <c r="A83" s="1053">
        <v>1973</v>
      </c>
      <c r="B83" s="1053" t="s">
        <v>2245</v>
      </c>
      <c r="C83" s="1066">
        <f>E83/'2.1.1 PricesLR'!E283*100</f>
        <v>67.785348084187817</v>
      </c>
      <c r="D83" s="1054">
        <v>7.48</v>
      </c>
      <c r="E83" s="1054">
        <v>7.7</v>
      </c>
      <c r="F83" s="1054" t="s">
        <v>54</v>
      </c>
      <c r="G83" s="1054" t="s">
        <v>54</v>
      </c>
      <c r="H83" s="1055">
        <v>7.48</v>
      </c>
      <c r="I83" s="1055">
        <v>2.5099999999999998</v>
      </c>
      <c r="J83" s="1055">
        <v>2.27</v>
      </c>
    </row>
    <row r="84" spans="1:10" ht="13.5" customHeight="1" x14ac:dyDescent="0.45">
      <c r="A84" s="1053">
        <v>1974</v>
      </c>
      <c r="B84" s="1053" t="s">
        <v>2245</v>
      </c>
      <c r="C84" s="1066">
        <f>E84/'2.1.1 PricesLR'!E284*100</f>
        <v>74.389709738116537</v>
      </c>
      <c r="D84" s="1054">
        <v>8.91</v>
      </c>
      <c r="E84" s="1054">
        <v>9.24</v>
      </c>
      <c r="F84" s="1054" t="s">
        <v>54</v>
      </c>
      <c r="G84" s="1054" t="s">
        <v>54</v>
      </c>
      <c r="H84" s="1055">
        <v>9.1300000000000008</v>
      </c>
      <c r="I84" s="1055">
        <v>3.39</v>
      </c>
      <c r="J84" s="1055">
        <v>3.39</v>
      </c>
    </row>
    <row r="85" spans="1:10" ht="13.5" customHeight="1" x14ac:dyDescent="0.45">
      <c r="A85" s="1053">
        <v>1975</v>
      </c>
      <c r="B85" s="1053" t="s">
        <v>2245</v>
      </c>
      <c r="C85" s="1066">
        <f>E85/'2.1.1 PricesLR'!E285*100</f>
        <v>110.95578240358222</v>
      </c>
      <c r="D85" s="1054">
        <v>15.62</v>
      </c>
      <c r="E85" s="1054">
        <v>15.95</v>
      </c>
      <c r="F85" s="1054" t="s">
        <v>54</v>
      </c>
      <c r="G85" s="1054" t="s">
        <v>54</v>
      </c>
      <c r="H85" s="1055">
        <v>12.21</v>
      </c>
      <c r="I85" s="1055">
        <v>5.0599999999999996</v>
      </c>
      <c r="J85" s="1055">
        <v>5.26</v>
      </c>
    </row>
    <row r="86" spans="1:10" ht="13.5" customHeight="1" x14ac:dyDescent="0.45">
      <c r="A86" s="1053">
        <v>1976</v>
      </c>
      <c r="B86" s="1053" t="s">
        <v>2245</v>
      </c>
      <c r="C86" s="1066">
        <f>E86/'2.1.1 PricesLR'!E286*100</f>
        <v>95.417282127031072</v>
      </c>
      <c r="D86" s="1054">
        <v>16.5</v>
      </c>
      <c r="E86" s="1054">
        <v>16.829999999999998</v>
      </c>
      <c r="F86" s="1054" t="s">
        <v>54</v>
      </c>
      <c r="G86" s="1054" t="s">
        <v>54</v>
      </c>
      <c r="H86" s="1055">
        <v>13.53</v>
      </c>
      <c r="I86" s="1055">
        <v>6.49</v>
      </c>
      <c r="J86" s="1055">
        <v>6.47</v>
      </c>
    </row>
    <row r="87" spans="1:10" ht="13.5" customHeight="1" x14ac:dyDescent="0.45">
      <c r="A87" s="1053">
        <v>1977</v>
      </c>
      <c r="B87" s="1053" t="s">
        <v>2245</v>
      </c>
      <c r="C87" s="1066">
        <f>E87/'2.1.1 PricesLR'!E287*100</f>
        <v>85.735294117647086</v>
      </c>
      <c r="D87" s="1054">
        <v>17.05</v>
      </c>
      <c r="E87" s="1054">
        <v>17.489999999999998</v>
      </c>
      <c r="F87" s="1054" t="s">
        <v>54</v>
      </c>
      <c r="G87" s="1054" t="s">
        <v>54</v>
      </c>
      <c r="H87" s="1055">
        <v>17.16</v>
      </c>
      <c r="I87" s="1055">
        <v>8.15</v>
      </c>
      <c r="J87" s="1055">
        <v>7.93</v>
      </c>
    </row>
    <row r="88" spans="1:10" ht="13.5" customHeight="1" x14ac:dyDescent="0.45">
      <c r="A88" s="1053">
        <v>1978</v>
      </c>
      <c r="B88" s="1053" t="s">
        <v>2245</v>
      </c>
      <c r="C88" s="1066">
        <f>E88/'2.1.1 PricesLR'!E288*100</f>
        <v>71.476470588235301</v>
      </c>
      <c r="D88" s="1054">
        <v>16.37</v>
      </c>
      <c r="E88" s="1054">
        <v>16.760000000000002</v>
      </c>
      <c r="F88" s="1054" t="s">
        <v>54</v>
      </c>
      <c r="G88" s="1054" t="s">
        <v>54</v>
      </c>
      <c r="H88" s="1055">
        <v>18.57</v>
      </c>
      <c r="I88" s="1055">
        <v>8.43</v>
      </c>
      <c r="J88" s="1055">
        <v>8.48</v>
      </c>
    </row>
    <row r="89" spans="1:10" ht="13.5" customHeight="1" x14ac:dyDescent="0.45">
      <c r="A89" s="1053">
        <v>1979</v>
      </c>
      <c r="B89" s="1053" t="s">
        <v>2245</v>
      </c>
      <c r="C89" s="1066">
        <f>E89/'2.1.1 PricesLR'!E289*100</f>
        <v>69.443388624511542</v>
      </c>
      <c r="D89" s="1054">
        <v>17.09</v>
      </c>
      <c r="E89" s="1054">
        <v>17.5</v>
      </c>
      <c r="F89" s="1054" t="s">
        <v>54</v>
      </c>
      <c r="G89" s="1054" t="s">
        <v>54</v>
      </c>
      <c r="H89" s="1055">
        <v>18.420000000000002</v>
      </c>
      <c r="I89" s="1055">
        <v>8.3699999999999992</v>
      </c>
      <c r="J89" s="1055">
        <v>8.36</v>
      </c>
    </row>
    <row r="90" spans="1:10" ht="13.5" customHeight="1" x14ac:dyDescent="0.45">
      <c r="A90" s="1053">
        <v>1980</v>
      </c>
      <c r="B90" s="1053" t="s">
        <v>2245</v>
      </c>
      <c r="C90" s="1066">
        <f>E90/'2.1.1 PricesLR'!E290*100</f>
        <v>94.027411846613816</v>
      </c>
      <c r="D90" s="1054">
        <v>25.98</v>
      </c>
      <c r="E90" s="1054">
        <v>26.39</v>
      </c>
      <c r="F90" s="1054" t="s">
        <v>54</v>
      </c>
      <c r="G90" s="1054" t="s">
        <v>54</v>
      </c>
      <c r="H90" s="1055">
        <v>27.8</v>
      </c>
      <c r="I90" s="1055">
        <v>13.07</v>
      </c>
      <c r="J90" s="1055">
        <v>13.03</v>
      </c>
    </row>
    <row r="91" spans="1:10" ht="13.5" customHeight="1" x14ac:dyDescent="0.45">
      <c r="A91" s="1053">
        <v>1981</v>
      </c>
      <c r="B91" s="1053" t="s">
        <v>2245</v>
      </c>
      <c r="C91" s="1066">
        <f>E91/'2.1.1 PricesLR'!E291*100</f>
        <v>89.883704388647871</v>
      </c>
      <c r="D91" s="1054">
        <v>28.64</v>
      </c>
      <c r="E91" s="1054">
        <v>29.05</v>
      </c>
      <c r="F91" s="1054" t="s">
        <v>54</v>
      </c>
      <c r="G91" s="1054" t="s">
        <v>54</v>
      </c>
      <c r="H91" s="1055">
        <v>30.7</v>
      </c>
      <c r="I91" s="1055">
        <v>15.9</v>
      </c>
      <c r="J91" s="1055">
        <v>15.8</v>
      </c>
    </row>
    <row r="92" spans="1:10" ht="13.5" customHeight="1" x14ac:dyDescent="0.45">
      <c r="A92" s="1053">
        <v>1982</v>
      </c>
      <c r="B92" s="1053" t="s">
        <v>2245</v>
      </c>
      <c r="C92" s="1066">
        <f>E92/'2.1.1 PricesLR'!E292*100</f>
        <v>96.91059841384282</v>
      </c>
      <c r="D92" s="1054">
        <v>34.28</v>
      </c>
      <c r="E92" s="1054">
        <v>35.020000000000003</v>
      </c>
      <c r="F92" s="1054" t="s">
        <v>54</v>
      </c>
      <c r="G92" s="1054" t="s">
        <v>54</v>
      </c>
      <c r="H92" s="1055">
        <v>34.89</v>
      </c>
      <c r="I92" s="1055">
        <v>20.329999999999998</v>
      </c>
      <c r="J92" s="1055">
        <v>19.68</v>
      </c>
    </row>
    <row r="93" spans="1:10" ht="13.5" customHeight="1" x14ac:dyDescent="0.45">
      <c r="A93" s="1053">
        <v>1983</v>
      </c>
      <c r="B93" s="1053" t="s">
        <v>2245</v>
      </c>
      <c r="C93" s="1066">
        <f>E93/'2.1.1 PricesLR'!E293*100</f>
        <v>93.940136908381248</v>
      </c>
      <c r="D93" s="1054">
        <v>35.85</v>
      </c>
      <c r="E93" s="1054">
        <v>36.700000000000003</v>
      </c>
      <c r="F93" s="1054" t="s">
        <v>54</v>
      </c>
      <c r="G93" s="1054" t="s">
        <v>54</v>
      </c>
      <c r="H93" s="1055">
        <v>37.64</v>
      </c>
      <c r="I93" s="1055">
        <v>22.71</v>
      </c>
      <c r="J93" s="1055">
        <v>22.52</v>
      </c>
    </row>
    <row r="94" spans="1:10" ht="13.5" customHeight="1" x14ac:dyDescent="0.45">
      <c r="A94" s="1053">
        <v>1984</v>
      </c>
      <c r="B94" s="1053" t="s">
        <v>2245</v>
      </c>
      <c r="C94" s="1066">
        <f>E94/'2.1.1 PricesLR'!E294*100</f>
        <v>98.425671507878647</v>
      </c>
      <c r="D94" s="1054">
        <v>39.44</v>
      </c>
      <c r="E94" s="1054">
        <v>40.35</v>
      </c>
      <c r="F94" s="1054" t="s">
        <v>54</v>
      </c>
      <c r="G94" s="1054" t="s">
        <v>54</v>
      </c>
      <c r="H94" s="1055">
        <v>36.78</v>
      </c>
      <c r="I94" s="1055">
        <v>19.84</v>
      </c>
      <c r="J94" s="1055">
        <v>20.309999999999999</v>
      </c>
    </row>
    <row r="95" spans="1:10" ht="13.5" customHeight="1" x14ac:dyDescent="0.45">
      <c r="A95" s="1053">
        <v>1985</v>
      </c>
      <c r="B95" s="1053" t="s">
        <v>2245</v>
      </c>
      <c r="C95" s="1066">
        <f>E95/'2.1.1 PricesLR'!E295*100</f>
        <v>97.190060419169171</v>
      </c>
      <c r="D95" s="1054">
        <v>40.71</v>
      </c>
      <c r="E95" s="1054">
        <v>41.54</v>
      </c>
      <c r="F95" s="1054" t="s">
        <v>54</v>
      </c>
      <c r="G95" s="1054" t="s">
        <v>54</v>
      </c>
      <c r="H95" s="1055">
        <v>40.590000000000003</v>
      </c>
      <c r="I95" s="1055">
        <v>21.6</v>
      </c>
      <c r="J95" s="1055">
        <v>22.62</v>
      </c>
    </row>
    <row r="96" spans="1:10" ht="13.5" customHeight="1" x14ac:dyDescent="0.45">
      <c r="A96" s="1053">
        <v>1986</v>
      </c>
      <c r="B96" s="1053" t="s">
        <v>2245</v>
      </c>
      <c r="C96" s="1066">
        <f>E96/'2.1.1 PricesLR'!E296*100</f>
        <v>92.831218762014615</v>
      </c>
      <c r="D96" s="1054">
        <v>40.81</v>
      </c>
      <c r="E96" s="1054">
        <v>41.63</v>
      </c>
      <c r="F96" s="1054" t="s">
        <v>54</v>
      </c>
      <c r="G96" s="1054" t="s">
        <v>54</v>
      </c>
      <c r="H96" s="1055">
        <v>41.13</v>
      </c>
      <c r="I96" s="1055">
        <v>19.48</v>
      </c>
      <c r="J96" s="1055">
        <v>19.47</v>
      </c>
    </row>
    <row r="97" spans="1:10" ht="13.5" customHeight="1" x14ac:dyDescent="0.45">
      <c r="A97" s="1053">
        <v>1987</v>
      </c>
      <c r="B97" s="1053" t="s">
        <v>2245</v>
      </c>
      <c r="C97" s="1066">
        <f>E97/'2.1.1 PricesLR'!E297*100</f>
        <v>82.915378127635606</v>
      </c>
      <c r="D97" s="1054">
        <v>37.57</v>
      </c>
      <c r="E97" s="1054">
        <v>38.42</v>
      </c>
      <c r="F97" s="1054" t="s">
        <v>54</v>
      </c>
      <c r="G97" s="1054" t="s">
        <v>54</v>
      </c>
      <c r="H97" s="1055">
        <v>35</v>
      </c>
      <c r="I97" s="1055">
        <v>13.52</v>
      </c>
      <c r="J97" s="1055">
        <v>14.7</v>
      </c>
    </row>
    <row r="98" spans="1:10" ht="13.5" customHeight="1" x14ac:dyDescent="0.45">
      <c r="A98" s="1053">
        <v>1988</v>
      </c>
      <c r="B98" s="1053" t="s">
        <v>2245</v>
      </c>
      <c r="C98" s="1066">
        <f>E98/'2.1.1 PricesLR'!E298*100</f>
        <v>76.931994808274695</v>
      </c>
      <c r="D98" s="1054">
        <v>35.979999999999997</v>
      </c>
      <c r="E98" s="1054">
        <v>36.79</v>
      </c>
      <c r="F98" s="1054" t="s">
        <v>54</v>
      </c>
      <c r="G98" s="1054" t="s">
        <v>54</v>
      </c>
      <c r="H98" s="1055">
        <v>33.94</v>
      </c>
      <c r="I98" s="1055">
        <v>11.97</v>
      </c>
      <c r="J98" s="1055">
        <v>12.29</v>
      </c>
    </row>
    <row r="99" spans="1:10" ht="13.5" customHeight="1" x14ac:dyDescent="0.45">
      <c r="A99" s="1053">
        <v>1989</v>
      </c>
      <c r="B99" s="1053" t="s">
        <v>2245</v>
      </c>
      <c r="C99" s="1066">
        <f>G99/'2.1.1 PricesLR'!E299*100</f>
        <v>72.592930057294609</v>
      </c>
      <c r="D99" s="1054">
        <v>36.36</v>
      </c>
      <c r="E99" s="1054">
        <v>37.14</v>
      </c>
      <c r="F99" s="1054" t="s">
        <v>54</v>
      </c>
      <c r="G99" s="1055">
        <v>36.020000000000003</v>
      </c>
      <c r="H99" s="1055">
        <v>34.17</v>
      </c>
      <c r="I99" s="1055">
        <v>11.41</v>
      </c>
      <c r="J99" s="1055">
        <v>11.15</v>
      </c>
    </row>
    <row r="100" spans="1:10" ht="13.5" customHeight="1" x14ac:dyDescent="0.45">
      <c r="A100" s="1053">
        <v>1990</v>
      </c>
      <c r="B100" s="1053" t="s">
        <v>2245</v>
      </c>
      <c r="C100" s="1066">
        <f>G100/'2.1.1 PricesLR'!E300*100</f>
        <v>73.480398271320496</v>
      </c>
      <c r="D100" s="1054" t="s">
        <v>54</v>
      </c>
      <c r="E100" s="1054">
        <v>40.92</v>
      </c>
      <c r="F100" s="1054" t="s">
        <v>54</v>
      </c>
      <c r="G100" s="1055">
        <v>38.369999999999997</v>
      </c>
      <c r="H100" s="1055">
        <v>39.21</v>
      </c>
      <c r="I100" s="1055">
        <v>15.45</v>
      </c>
      <c r="J100" s="1055">
        <v>15.46</v>
      </c>
    </row>
    <row r="101" spans="1:10" ht="13.5" customHeight="1" x14ac:dyDescent="0.45">
      <c r="A101" s="1053">
        <v>1991</v>
      </c>
      <c r="B101" s="1053" t="s">
        <v>2245</v>
      </c>
      <c r="C101" s="1066">
        <f>G101/'2.1.1 PricesLR'!E301*100</f>
        <v>75.439941834942928</v>
      </c>
      <c r="D101" s="1054" t="s">
        <v>54</v>
      </c>
      <c r="E101" s="1054">
        <v>45.13</v>
      </c>
      <c r="F101" s="1055">
        <v>44.38</v>
      </c>
      <c r="G101" s="1055">
        <v>42.14</v>
      </c>
      <c r="H101" s="1055">
        <v>43.31</v>
      </c>
      <c r="I101" s="1055">
        <v>17.52</v>
      </c>
      <c r="J101" s="1055">
        <v>17.13</v>
      </c>
    </row>
    <row r="102" spans="1:10" ht="13.5" customHeight="1" x14ac:dyDescent="0.45">
      <c r="A102" s="1053">
        <v>1992</v>
      </c>
      <c r="B102" s="1053" t="s">
        <v>2245</v>
      </c>
      <c r="C102" s="1066">
        <f>G102/'2.1.1 PricesLR'!E302*100</f>
        <v>72.302996670366255</v>
      </c>
      <c r="D102" s="1054" t="s">
        <v>54</v>
      </c>
      <c r="E102" s="1054">
        <v>46.93</v>
      </c>
      <c r="F102" s="1055">
        <v>45.57</v>
      </c>
      <c r="G102" s="1055">
        <v>43.43</v>
      </c>
      <c r="H102" s="1055">
        <v>43.19</v>
      </c>
      <c r="I102" s="1055">
        <v>12.47</v>
      </c>
      <c r="J102" s="1055">
        <v>12.02</v>
      </c>
    </row>
    <row r="103" spans="1:10" ht="13.5" customHeight="1" x14ac:dyDescent="0.45">
      <c r="A103" s="1053">
        <v>1993</v>
      </c>
      <c r="B103" s="1053" t="s">
        <v>2245</v>
      </c>
      <c r="C103" s="1066">
        <f>G103/'2.1.1 PricesLR'!E303*100</f>
        <v>75.255758465632709</v>
      </c>
      <c r="D103" s="1054" t="s">
        <v>54</v>
      </c>
      <c r="E103" s="1054">
        <v>51.27</v>
      </c>
      <c r="F103" s="1055">
        <v>49.76</v>
      </c>
      <c r="G103" s="1055">
        <v>47.13</v>
      </c>
      <c r="H103" s="1055">
        <v>47.05</v>
      </c>
      <c r="I103" s="1055">
        <v>14.1</v>
      </c>
      <c r="J103" s="1055">
        <v>13.52</v>
      </c>
    </row>
    <row r="104" spans="1:10" ht="13.5" customHeight="1" x14ac:dyDescent="0.45">
      <c r="A104" s="1053">
        <v>1994</v>
      </c>
      <c r="B104" s="1053" t="s">
        <v>2245</v>
      </c>
      <c r="C104" s="1066">
        <f>G104/'2.1.1 PricesLR'!E304*100</f>
        <v>79.179180194805156</v>
      </c>
      <c r="D104" s="1054" t="s">
        <v>54</v>
      </c>
      <c r="E104" s="1054">
        <v>55.5</v>
      </c>
      <c r="F104" s="1055">
        <v>54.48</v>
      </c>
      <c r="G104" s="1055">
        <v>50.83</v>
      </c>
      <c r="H104" s="1055">
        <v>51.72</v>
      </c>
      <c r="I104" s="1055">
        <v>12.94</v>
      </c>
      <c r="J104" s="1055">
        <v>12.72</v>
      </c>
    </row>
    <row r="105" spans="1:10" ht="13.5" customHeight="1" x14ac:dyDescent="0.45">
      <c r="A105" s="1053">
        <v>1995</v>
      </c>
      <c r="B105" s="1053" t="s">
        <v>2245</v>
      </c>
      <c r="C105" s="1066">
        <f>G105/'2.1.1 PricesLR'!E305*100</f>
        <v>81.629805638303452</v>
      </c>
      <c r="D105" s="1054" t="s">
        <v>54</v>
      </c>
      <c r="E105" s="1054">
        <v>59.11</v>
      </c>
      <c r="F105" s="1055">
        <v>58</v>
      </c>
      <c r="G105" s="1055">
        <v>53.44</v>
      </c>
      <c r="H105" s="1055">
        <v>54.13</v>
      </c>
      <c r="I105" s="1055">
        <v>13.32</v>
      </c>
      <c r="J105" s="1055">
        <v>13.93</v>
      </c>
    </row>
    <row r="106" spans="1:10" ht="13.5" customHeight="1" x14ac:dyDescent="0.45">
      <c r="A106" s="1053">
        <v>1996</v>
      </c>
      <c r="B106" s="1053" t="s">
        <v>2245</v>
      </c>
      <c r="C106" s="1066">
        <f>G106/'2.1.1 PricesLR'!E306*100</f>
        <v>83.222523744911811</v>
      </c>
      <c r="D106" s="1054" t="s">
        <v>54</v>
      </c>
      <c r="E106" s="1054">
        <v>61.97</v>
      </c>
      <c r="F106" s="1055">
        <v>61.26</v>
      </c>
      <c r="G106" s="1055">
        <v>55.93</v>
      </c>
      <c r="H106" s="1055">
        <v>57.43</v>
      </c>
      <c r="I106" s="1055">
        <v>15.38</v>
      </c>
      <c r="J106" s="1055">
        <v>15.86</v>
      </c>
    </row>
    <row r="107" spans="1:10" ht="13.5" customHeight="1" x14ac:dyDescent="0.45">
      <c r="A107" s="1053">
        <v>1997</v>
      </c>
      <c r="B107" s="1053" t="s">
        <v>2245</v>
      </c>
      <c r="C107" s="1066">
        <f>G107/'2.1.1 PricesLR'!E307*100</f>
        <v>88.769734882335399</v>
      </c>
      <c r="D107" s="1054" t="s">
        <v>54</v>
      </c>
      <c r="E107" s="1054">
        <v>65.459999999999994</v>
      </c>
      <c r="F107" s="1055">
        <v>69.239999999999995</v>
      </c>
      <c r="G107" s="1055">
        <v>61.09</v>
      </c>
      <c r="H107" s="1055">
        <v>62.02</v>
      </c>
      <c r="I107" s="1055">
        <v>17.13</v>
      </c>
      <c r="J107" s="1055">
        <v>18.14</v>
      </c>
    </row>
    <row r="108" spans="1:10" ht="13.5" customHeight="1" x14ac:dyDescent="0.45">
      <c r="A108" s="1053">
        <v>1998</v>
      </c>
      <c r="B108" s="1053" t="s">
        <v>2245</v>
      </c>
      <c r="C108" s="1066">
        <f>G108/'2.1.1 PricesLR'!E308*100</f>
        <v>90.090261508639657</v>
      </c>
      <c r="D108" s="1054" t="s">
        <v>54</v>
      </c>
      <c r="E108" s="1054">
        <v>69.03</v>
      </c>
      <c r="F108" s="1055">
        <v>73.959999999999994</v>
      </c>
      <c r="G108" s="1055">
        <v>63.13</v>
      </c>
      <c r="H108" s="1055">
        <v>63.34</v>
      </c>
      <c r="I108" s="1055">
        <v>12.92</v>
      </c>
      <c r="J108" s="1055">
        <v>13.67</v>
      </c>
    </row>
    <row r="109" spans="1:10" ht="13.5" customHeight="1" x14ac:dyDescent="0.45">
      <c r="A109" s="1053">
        <v>1999</v>
      </c>
      <c r="B109" s="1053" t="s">
        <v>2245</v>
      </c>
      <c r="C109" s="1066">
        <f>G109/'2.1.1 PricesLR'!E309*100</f>
        <v>88.343368626651937</v>
      </c>
      <c r="D109" s="1054" t="s">
        <v>54</v>
      </c>
      <c r="E109" s="1054">
        <v>69.61</v>
      </c>
      <c r="F109" s="1055">
        <v>79.23</v>
      </c>
      <c r="G109" s="1055">
        <v>62.87</v>
      </c>
      <c r="H109" s="1055">
        <v>63.95</v>
      </c>
      <c r="I109" s="1055">
        <v>9.89</v>
      </c>
      <c r="J109" s="1055">
        <v>11.36</v>
      </c>
    </row>
    <row r="110" spans="1:10" ht="13.5" customHeight="1" x14ac:dyDescent="0.45">
      <c r="A110" s="1053">
        <v>2000</v>
      </c>
      <c r="B110" s="1053" t="s">
        <v>2245</v>
      </c>
      <c r="C110" s="1066">
        <f>G110/'2.1.1 PricesLR'!E310*100</f>
        <v>104.53316815607401</v>
      </c>
      <c r="D110" s="1054" t="s">
        <v>54</v>
      </c>
      <c r="E110" s="1054">
        <v>80.84</v>
      </c>
      <c r="F110" s="1055">
        <v>84.15</v>
      </c>
      <c r="G110" s="1055">
        <v>75.38</v>
      </c>
      <c r="H110" s="1055">
        <v>77.75</v>
      </c>
      <c r="I110" s="1055">
        <v>17.84</v>
      </c>
      <c r="J110" s="1055">
        <v>18.149999999999999</v>
      </c>
    </row>
    <row r="111" spans="1:10" ht="13.5" customHeight="1" x14ac:dyDescent="0.45">
      <c r="A111" s="1053">
        <v>2001</v>
      </c>
      <c r="B111" s="1053" t="s">
        <v>2245</v>
      </c>
      <c r="C111" s="1066">
        <f>G111/'2.1.1 PricesLR'!E311*100</f>
        <v>105.72959958726244</v>
      </c>
      <c r="D111" s="1054" t="s">
        <v>54</v>
      </c>
      <c r="E111" s="1054">
        <v>82.19</v>
      </c>
      <c r="F111" s="1055">
        <v>85.06</v>
      </c>
      <c r="G111" s="1055">
        <v>76.849999999999994</v>
      </c>
      <c r="H111" s="1055">
        <v>81.63</v>
      </c>
      <c r="I111" s="1055">
        <v>19.86</v>
      </c>
      <c r="J111" s="1055">
        <v>20.46</v>
      </c>
    </row>
    <row r="112" spans="1:10" ht="13.5" customHeight="1" x14ac:dyDescent="0.45">
      <c r="A112" s="1053">
        <v>2002</v>
      </c>
      <c r="B112" s="1053" t="s">
        <v>2245</v>
      </c>
      <c r="C112" s="1066">
        <f>G112/'2.1.1 PricesLR'!E312*100</f>
        <v>94.996058818732848</v>
      </c>
      <c r="D112" s="1054" t="s">
        <v>54</v>
      </c>
      <c r="E112" s="1056">
        <v>75.94</v>
      </c>
      <c r="F112" s="1055">
        <v>78.48</v>
      </c>
      <c r="G112" s="1055">
        <v>69.900000000000006</v>
      </c>
      <c r="H112" s="1055">
        <v>74.650000000000006</v>
      </c>
      <c r="I112" s="1055">
        <v>14.61</v>
      </c>
      <c r="J112" s="1055">
        <v>14.71</v>
      </c>
    </row>
    <row r="113" spans="1:11" ht="13.5" customHeight="1" x14ac:dyDescent="0.45">
      <c r="A113" s="1053">
        <v>2003</v>
      </c>
      <c r="B113" s="1053" t="str">
        <f>B112</f>
        <v>January</v>
      </c>
      <c r="C113" s="1066">
        <f>G113/'2.1.1 PricesLR'!E313*100</f>
        <v>100.59277485739852</v>
      </c>
      <c r="D113" s="1054" t="s">
        <v>54</v>
      </c>
      <c r="E113" s="1056">
        <v>78.150000000000006</v>
      </c>
      <c r="F113" s="1055">
        <v>80.47</v>
      </c>
      <c r="G113" s="1055">
        <v>74.95</v>
      </c>
      <c r="H113" s="1055">
        <v>76.38</v>
      </c>
      <c r="I113" s="1055">
        <v>17.829999999999998</v>
      </c>
      <c r="J113" s="1055">
        <v>18.63</v>
      </c>
    </row>
    <row r="114" spans="1:11" ht="13.5" customHeight="1" x14ac:dyDescent="0.45">
      <c r="A114" s="1053">
        <v>2004</v>
      </c>
      <c r="B114" s="1053" t="str">
        <f>B113</f>
        <v>January</v>
      </c>
      <c r="C114" s="1066">
        <f>G114/'2.1.1 PricesLR'!E314*100</f>
        <v>100.89663832350921</v>
      </c>
      <c r="D114" s="1054" t="s">
        <v>54</v>
      </c>
      <c r="E114" s="1056">
        <v>80.040000000000006</v>
      </c>
      <c r="F114" s="1055">
        <v>81.489999999999995</v>
      </c>
      <c r="G114" s="1055">
        <v>76.2</v>
      </c>
      <c r="H114" s="1055">
        <v>77.92</v>
      </c>
      <c r="I114" s="1055">
        <v>18.329999999999998</v>
      </c>
      <c r="J114" s="1055">
        <v>18.95</v>
      </c>
    </row>
    <row r="115" spans="1:11" ht="13.5" customHeight="1" x14ac:dyDescent="0.45">
      <c r="A115" s="1053">
        <v>2005</v>
      </c>
      <c r="B115" s="1053" t="str">
        <f>B114</f>
        <v>January</v>
      </c>
      <c r="C115" s="1066">
        <f>G115/'2.1.1 PricesLR'!E315*100</f>
        <v>103.20431161195491</v>
      </c>
      <c r="D115" s="1054" t="s">
        <v>54</v>
      </c>
      <c r="E115" s="1056">
        <v>87.16</v>
      </c>
      <c r="F115" s="1055">
        <v>87.43</v>
      </c>
      <c r="G115" s="1055">
        <v>78.989999999999995</v>
      </c>
      <c r="H115" s="1055">
        <v>84.15</v>
      </c>
      <c r="I115" s="1055">
        <v>22.16</v>
      </c>
      <c r="J115" s="1055">
        <v>23.99</v>
      </c>
    </row>
    <row r="116" spans="1:11" ht="13.5" customHeight="1" x14ac:dyDescent="0.45">
      <c r="A116" s="1053">
        <v>2006</v>
      </c>
      <c r="B116" s="1053" t="str">
        <f>B115</f>
        <v>January</v>
      </c>
      <c r="C116" s="1066">
        <f>G116/'2.1.1 PricesLR'!E316*100</f>
        <v>113.73436803215904</v>
      </c>
      <c r="D116" s="1054" t="s">
        <v>54</v>
      </c>
      <c r="E116" s="1054" t="s">
        <v>54</v>
      </c>
      <c r="F116" s="1055">
        <v>94.73</v>
      </c>
      <c r="G116" s="1055">
        <v>88.84</v>
      </c>
      <c r="H116" s="1055">
        <v>93.07</v>
      </c>
      <c r="I116" s="1055">
        <v>31.58</v>
      </c>
      <c r="J116" s="1055">
        <v>33.6</v>
      </c>
    </row>
    <row r="117" spans="1:11" ht="13.5" customHeight="1" x14ac:dyDescent="0.45">
      <c r="A117" s="1053">
        <v>2007</v>
      </c>
      <c r="B117" s="1053" t="str">
        <f>B116</f>
        <v>January</v>
      </c>
      <c r="C117" s="1066">
        <f>G117/'2.1.1 PricesLR'!E317*100</f>
        <v>108.73150744914872</v>
      </c>
      <c r="D117" s="1054" t="s">
        <v>54</v>
      </c>
      <c r="E117" s="1054" t="s">
        <v>54</v>
      </c>
      <c r="F117" s="1055">
        <v>94.8</v>
      </c>
      <c r="G117" s="1055">
        <v>86.91</v>
      </c>
      <c r="H117" s="1055">
        <v>91.44</v>
      </c>
      <c r="I117" s="1055">
        <v>30.88</v>
      </c>
      <c r="J117" s="1055">
        <v>34.03</v>
      </c>
    </row>
    <row r="118" spans="1:11" ht="13.5" customHeight="1" x14ac:dyDescent="0.45">
      <c r="A118" s="1053">
        <v>2008</v>
      </c>
      <c r="B118" s="1053" t="str">
        <f>B116</f>
        <v>January</v>
      </c>
      <c r="C118" s="1066">
        <f>G118/'2.1.1 PricesLR'!E318*100</f>
        <v>126.80421824850987</v>
      </c>
      <c r="D118" s="1054" t="s">
        <v>54</v>
      </c>
      <c r="E118" s="1057" t="s">
        <v>54</v>
      </c>
      <c r="F118" s="1055">
        <v>110.59</v>
      </c>
      <c r="G118" s="1055">
        <v>103.71</v>
      </c>
      <c r="H118" s="1055">
        <v>108.7</v>
      </c>
      <c r="I118" s="1055">
        <v>43.9</v>
      </c>
      <c r="J118" s="1055">
        <v>51.01</v>
      </c>
      <c r="K118" s="1058"/>
    </row>
    <row r="119" spans="1:11" ht="13.5" customHeight="1" x14ac:dyDescent="0.45">
      <c r="A119" s="1053">
        <v>2009</v>
      </c>
      <c r="B119" s="1053" t="str">
        <f>B117</f>
        <v>January</v>
      </c>
      <c r="C119" s="1066">
        <f>G119/'2.1.1 PricesLR'!E319*100</f>
        <v>101.8842428361105</v>
      </c>
      <c r="D119" s="1054" t="s">
        <v>54</v>
      </c>
      <c r="E119" s="1057" t="s">
        <v>54</v>
      </c>
      <c r="F119" s="1055">
        <v>93.3</v>
      </c>
      <c r="G119" s="1055">
        <v>86.33</v>
      </c>
      <c r="H119" s="1055">
        <v>98.74</v>
      </c>
      <c r="I119" s="1055">
        <v>36.01</v>
      </c>
      <c r="J119" s="1055">
        <v>43.83</v>
      </c>
      <c r="K119" s="1058"/>
    </row>
    <row r="120" spans="1:11" ht="13.5" customHeight="1" x14ac:dyDescent="0.45">
      <c r="A120" s="1053">
        <v>2010</v>
      </c>
      <c r="B120" s="1053" t="str">
        <f>B118</f>
        <v>January</v>
      </c>
      <c r="C120" s="1066">
        <f>G120/'2.1.1 PricesLR'!E320*100</f>
        <v>128.7873386868537</v>
      </c>
      <c r="D120" s="1054" t="s">
        <v>54</v>
      </c>
      <c r="E120" s="1057" t="s">
        <v>54</v>
      </c>
      <c r="F120" s="1055">
        <v>118.5292747347911</v>
      </c>
      <c r="G120" s="1055">
        <v>111.488838</v>
      </c>
      <c r="H120" s="1055">
        <v>113.31100445481543</v>
      </c>
      <c r="I120" s="1055">
        <v>42.490195895522398</v>
      </c>
      <c r="J120" s="1055">
        <v>50.639435492592192</v>
      </c>
    </row>
    <row r="121" spans="1:11" ht="13.5" customHeight="1" x14ac:dyDescent="0.45">
      <c r="A121" s="1053">
        <v>2011</v>
      </c>
      <c r="B121" s="1053" t="str">
        <f>B119</f>
        <v>January</v>
      </c>
      <c r="C121" s="1066">
        <f>G121/'2.1.1 PricesLR'!E321*100</f>
        <v>142.60899381254336</v>
      </c>
      <c r="D121" s="1054" t="s">
        <v>54</v>
      </c>
      <c r="E121" s="1057" t="s">
        <v>54</v>
      </c>
      <c r="F121" s="1055">
        <v>134.83284167794312</v>
      </c>
      <c r="G121" s="1055">
        <v>127.52571590030338</v>
      </c>
      <c r="H121" s="1055">
        <v>132.07785401783238</v>
      </c>
      <c r="I121" s="1055">
        <v>55.136714367487123</v>
      </c>
      <c r="J121" s="1055">
        <v>61.901547570436918</v>
      </c>
    </row>
    <row r="122" spans="1:11" ht="13.5" customHeight="1" x14ac:dyDescent="0.45">
      <c r="A122" s="1053">
        <v>2012</v>
      </c>
      <c r="B122" s="1053" t="s">
        <v>2245</v>
      </c>
      <c r="C122" s="1066">
        <f>G122/'2.1.1 PricesLR'!E322*100</f>
        <v>142.25494598078595</v>
      </c>
      <c r="D122" s="1054" t="s">
        <v>54</v>
      </c>
      <c r="E122" s="1057" t="s">
        <v>54</v>
      </c>
      <c r="F122" s="1055">
        <v>140.39533152909337</v>
      </c>
      <c r="G122" s="1055">
        <v>132.88733924216288</v>
      </c>
      <c r="H122" s="1055">
        <v>141.34450130143435</v>
      </c>
      <c r="I122" s="1055">
        <v>61.037361899845124</v>
      </c>
      <c r="J122" s="1055">
        <v>70.744632471728593</v>
      </c>
    </row>
    <row r="123" spans="1:11" ht="13.5" customHeight="1" x14ac:dyDescent="0.45">
      <c r="A123" s="1053">
        <v>2013</v>
      </c>
      <c r="B123" s="1053" t="s">
        <v>2245</v>
      </c>
      <c r="C123" s="1066">
        <f>G123/'2.1.1 PricesLR'!E323*100</f>
        <v>137.11618337391985</v>
      </c>
      <c r="D123" s="1054" t="s">
        <v>54</v>
      </c>
      <c r="E123" s="1057" t="s">
        <v>54</v>
      </c>
      <c r="F123" s="1055">
        <v>139.35154647769906</v>
      </c>
      <c r="G123" s="1055">
        <v>131.70957799999999</v>
      </c>
      <c r="H123" s="1055">
        <v>139.45832245102966</v>
      </c>
      <c r="I123" s="1055">
        <v>57.852490523123578</v>
      </c>
      <c r="J123" s="1055">
        <v>68.986217732884398</v>
      </c>
    </row>
    <row r="124" spans="1:11" ht="13.5" customHeight="1" x14ac:dyDescent="0.45">
      <c r="A124" s="1053">
        <v>2014</v>
      </c>
      <c r="B124" s="1053" t="s">
        <v>2245</v>
      </c>
      <c r="C124" s="1066">
        <f>G124/'2.1.1 PricesLR'!E324*100</f>
        <v>132.11838642855508</v>
      </c>
      <c r="D124" s="1054" t="s">
        <v>54</v>
      </c>
      <c r="E124" s="1057" t="s">
        <v>54</v>
      </c>
      <c r="F124" s="1055">
        <v>137.77164832966596</v>
      </c>
      <c r="G124" s="1055">
        <v>130.163805</v>
      </c>
      <c r="H124" s="1055">
        <v>138.10668699999999</v>
      </c>
      <c r="I124" s="1055">
        <v>55.668187971378849</v>
      </c>
      <c r="J124" s="1055">
        <v>66.67570230939576</v>
      </c>
    </row>
    <row r="125" spans="1:11" ht="13.5" customHeight="1" x14ac:dyDescent="0.45">
      <c r="A125" s="1053">
        <v>2015</v>
      </c>
      <c r="B125" s="1053" t="s">
        <v>2245</v>
      </c>
      <c r="C125" s="1066">
        <f>G125/'2.1.1 PricesLR'!E325*100</f>
        <v>108.48848572990453</v>
      </c>
      <c r="D125" s="1054" t="s">
        <v>54</v>
      </c>
      <c r="E125" s="1057" t="s">
        <v>54</v>
      </c>
      <c r="F125" s="1055">
        <v>116.2243203907766</v>
      </c>
      <c r="G125" s="1055">
        <v>108.44509033561255</v>
      </c>
      <c r="H125" s="1055">
        <v>115.84513017206709</v>
      </c>
      <c r="I125" s="1055">
        <v>36.432616999999993</v>
      </c>
      <c r="J125" s="1055">
        <v>46.331202999999995</v>
      </c>
    </row>
    <row r="126" spans="1:11" ht="13.5" customHeight="1" x14ac:dyDescent="0.45">
      <c r="A126" s="1053">
        <v>2016</v>
      </c>
      <c r="B126" s="1053" t="s">
        <v>2245</v>
      </c>
      <c r="C126" s="1066">
        <f>G126/'2.1.1 PricesLR'!E326*100</f>
        <v>101.74230168103755</v>
      </c>
      <c r="D126" s="1054" t="s">
        <v>54</v>
      </c>
      <c r="E126" s="1057" t="s">
        <v>54</v>
      </c>
      <c r="F126" s="1055">
        <v>110.2438577715543</v>
      </c>
      <c r="G126" s="1055">
        <v>101.74238646628896</v>
      </c>
      <c r="H126" s="1055">
        <v>102.52259599999999</v>
      </c>
      <c r="I126" s="1055">
        <v>22.813000000000002</v>
      </c>
      <c r="J126" s="1055">
        <v>35.185762999999994</v>
      </c>
    </row>
    <row r="127" spans="1:11" ht="13.5" customHeight="1" x14ac:dyDescent="0.45">
      <c r="A127" s="1053">
        <v>2017</v>
      </c>
      <c r="B127" s="1053" t="s">
        <v>2245</v>
      </c>
      <c r="C127" s="1066">
        <f>G127/'2.1.1 PricesLR'!E327*100</f>
        <v>117.91702441187407</v>
      </c>
      <c r="D127" s="1054" t="s">
        <v>54</v>
      </c>
      <c r="E127" s="1057" t="s">
        <v>54</v>
      </c>
      <c r="F127" s="1055">
        <v>127.85468793758751</v>
      </c>
      <c r="G127" s="1055">
        <v>118.69498198043139</v>
      </c>
      <c r="H127" s="1055">
        <v>121.99151200000001</v>
      </c>
      <c r="I127" s="1055">
        <v>40.68</v>
      </c>
      <c r="J127" s="1055">
        <v>51.987026999999998</v>
      </c>
    </row>
    <row r="128" spans="1:11" ht="13.5" customHeight="1" x14ac:dyDescent="0.45">
      <c r="A128" s="1053">
        <v>2018</v>
      </c>
      <c r="B128" s="1053" t="s">
        <v>2245</v>
      </c>
      <c r="C128" s="1066">
        <f>G128/'2.1.1 PricesLR'!E328*100</f>
        <v>116.21146402129361</v>
      </c>
      <c r="D128" s="1054" t="s">
        <v>54</v>
      </c>
      <c r="E128" s="1057" t="s">
        <v>54</v>
      </c>
      <c r="F128" s="1055">
        <v>130.512359</v>
      </c>
      <c r="G128" s="1055">
        <v>121.16115017585402</v>
      </c>
      <c r="H128" s="1055">
        <v>124.55389200000002</v>
      </c>
      <c r="I128" s="1055">
        <v>45.918999999999997</v>
      </c>
      <c r="J128" s="1055">
        <v>55.511188999999995</v>
      </c>
    </row>
    <row r="129" spans="1:10" ht="13.5" customHeight="1" x14ac:dyDescent="0.45">
      <c r="A129" s="1053">
        <v>2019</v>
      </c>
      <c r="B129" s="1053" t="s">
        <v>2245</v>
      </c>
      <c r="C129" s="1066">
        <f>G129/'2.1.1 PricesLR'!E329*100</f>
        <v>113.53876261425664</v>
      </c>
      <c r="D129" s="1054" t="s">
        <v>54</v>
      </c>
      <c r="E129" s="1057" t="s">
        <v>54</v>
      </c>
      <c r="F129" s="1055">
        <v>129.554945</v>
      </c>
      <c r="G129" s="1055">
        <v>119.45654401687585</v>
      </c>
      <c r="H129" s="1055">
        <v>129.268337</v>
      </c>
      <c r="I129" s="1055">
        <v>46.58700000000001</v>
      </c>
      <c r="J129" s="1055">
        <v>56.722091999999996</v>
      </c>
    </row>
    <row r="130" spans="1:10" ht="13.5" customHeight="1" x14ac:dyDescent="0.45">
      <c r="A130" s="1053">
        <v>2020</v>
      </c>
      <c r="B130" s="1053" t="s">
        <v>2245</v>
      </c>
      <c r="C130" s="1066"/>
      <c r="D130" s="1054" t="s">
        <v>54</v>
      </c>
      <c r="E130" s="1057" t="s">
        <v>54</v>
      </c>
      <c r="F130" s="1055">
        <v>139.21163100000001</v>
      </c>
      <c r="G130" s="1059">
        <v>127.14053499783053</v>
      </c>
      <c r="H130" s="1059">
        <v>132.63434700000005</v>
      </c>
      <c r="I130" s="1055">
        <v>48.196999999999996</v>
      </c>
      <c r="J130" s="1055">
        <v>59.820064999999992</v>
      </c>
    </row>
    <row r="131" spans="1:10" ht="13.5" customHeight="1" x14ac:dyDescent="0.45">
      <c r="A131" s="1053"/>
      <c r="B131" s="1053"/>
      <c r="C131" s="1043"/>
      <c r="D131" s="1054"/>
      <c r="E131" s="1057"/>
      <c r="F131" s="1060"/>
      <c r="G131" s="1060"/>
      <c r="H131" s="1060"/>
      <c r="I131" s="1060"/>
      <c r="J131" s="1060"/>
    </row>
    <row r="132" spans="1:10" ht="13.5" customHeight="1" x14ac:dyDescent="0.45">
      <c r="A132" s="1053"/>
      <c r="B132" s="1061" t="s">
        <v>2246</v>
      </c>
      <c r="C132" s="1061" t="s">
        <v>2247</v>
      </c>
      <c r="D132" s="1054"/>
      <c r="E132" s="1057"/>
      <c r="F132" s="1060">
        <f>(F130-F129)/F129</f>
        <v>7.45373787160344E-2</v>
      </c>
      <c r="G132" s="1060">
        <f>(G130-G129)/G129</f>
        <v>6.4324571284007204E-2</v>
      </c>
      <c r="H132" s="1060">
        <f t="shared" ref="H132:J132" si="2">(H130-H129)/H129</f>
        <v>2.6038936356085757E-2</v>
      </c>
      <c r="I132" s="1060">
        <f t="shared" si="2"/>
        <v>3.4558997145125996E-2</v>
      </c>
      <c r="J132" s="1060">
        <f t="shared" si="2"/>
        <v>5.4616691500024302E-2</v>
      </c>
    </row>
    <row r="133" spans="1:10" ht="13.5" customHeight="1" x14ac:dyDescent="0.45">
      <c r="A133" s="1053"/>
      <c r="B133" s="1061" t="s">
        <v>2202</v>
      </c>
      <c r="C133" s="1061" t="s">
        <v>2247</v>
      </c>
      <c r="D133" s="1043"/>
      <c r="E133" s="1043"/>
      <c r="F133" s="1060">
        <f>(F130-F125)/F125</f>
        <v>0.1977839967739459</v>
      </c>
      <c r="G133" s="1060">
        <f>(G130-G125)/G125</f>
        <v>0.17239549162032039</v>
      </c>
      <c r="H133" s="1060">
        <f t="shared" ref="H133:J133" si="3">(H130-H125)/H125</f>
        <v>0.14492811914489287</v>
      </c>
      <c r="I133" s="1060">
        <f t="shared" si="3"/>
        <v>0.32290798654403563</v>
      </c>
      <c r="J133" s="1060">
        <f t="shared" si="3"/>
        <v>0.29113990413760676</v>
      </c>
    </row>
    <row r="134" spans="1:10" ht="13.5" customHeight="1" x14ac:dyDescent="0.45">
      <c r="A134" s="1043"/>
      <c r="B134" s="1061" t="s">
        <v>2201</v>
      </c>
      <c r="C134" s="1061" t="s">
        <v>2247</v>
      </c>
      <c r="D134" s="1043"/>
      <c r="E134" s="1043"/>
      <c r="F134" s="1060">
        <f>(F130-F120)/F120</f>
        <v>0.17449154490724439</v>
      </c>
      <c r="G134" s="1060">
        <f>(G130-G120)/G120</f>
        <v>0.14038801801692943</v>
      </c>
      <c r="H134" s="1060">
        <f t="shared" ref="H134:J134" si="4">(H130-H120)/H120</f>
        <v>0.17053367974414266</v>
      </c>
      <c r="I134" s="1060">
        <f t="shared" si="4"/>
        <v>0.13430872661801446</v>
      </c>
      <c r="J134" s="1060">
        <f t="shared" si="4"/>
        <v>0.18129407285258525</v>
      </c>
    </row>
    <row r="135" spans="1:10" ht="13.5" customHeight="1" x14ac:dyDescent="0.45"/>
    <row r="136" spans="1:10" x14ac:dyDescent="0.45">
      <c r="A136" s="1062" t="s">
        <v>2206</v>
      </c>
      <c r="G136" s="1063"/>
      <c r="H136" s="1063"/>
    </row>
  </sheetData>
  <mergeCells count="1">
    <mergeCell ref="D4:G4"/>
  </mergeCells>
  <hyperlinks>
    <hyperlink ref="A136" location="Contents!A1" display="Return to Contents Page" xr:uid="{00000000-0004-0000-1800-000000000000}"/>
    <hyperlink ref="D2" r:id="rId1" xr:uid="{00000000-0004-0000-1800-000001000000}"/>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78"/>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RowHeight="14.25" x14ac:dyDescent="0.45"/>
  <cols>
    <col min="1" max="1" width="7.19921875" customWidth="1"/>
    <col min="2" max="2" width="7.53125" customWidth="1"/>
    <col min="3" max="3" width="14.53125" customWidth="1"/>
    <col min="4" max="10" width="12.73046875" customWidth="1"/>
  </cols>
  <sheetData>
    <row r="1" spans="1:10" ht="18" customHeight="1" x14ac:dyDescent="0.45">
      <c r="A1" s="1133" t="s">
        <v>2297</v>
      </c>
      <c r="B1" s="1043"/>
      <c r="C1" s="1043"/>
      <c r="D1" s="1043"/>
      <c r="E1" s="1043"/>
      <c r="F1" s="1043"/>
      <c r="G1" s="1043"/>
      <c r="H1" s="1043"/>
      <c r="I1" s="1043"/>
      <c r="J1" s="1043"/>
    </row>
    <row r="2" spans="1:10" ht="18" customHeight="1" x14ac:dyDescent="0.45">
      <c r="A2" s="1044"/>
      <c r="B2" s="1134" t="s">
        <v>2298</v>
      </c>
      <c r="C2" s="1043"/>
      <c r="D2" s="508" t="s">
        <v>2248</v>
      </c>
      <c r="E2" s="1043"/>
      <c r="F2" s="1043"/>
      <c r="G2" s="1043"/>
      <c r="H2" s="1043"/>
      <c r="I2" s="1043"/>
      <c r="J2" s="1043"/>
    </row>
    <row r="3" spans="1:10" ht="18" customHeight="1" thickBot="1" x14ac:dyDescent="0.5">
      <c r="B3" s="1045"/>
      <c r="C3" s="1045"/>
      <c r="D3" s="1045"/>
      <c r="E3" s="1045"/>
      <c r="F3" s="1045"/>
      <c r="G3" s="1045"/>
      <c r="H3" s="1045"/>
      <c r="I3" s="1045"/>
      <c r="J3" s="1046" t="s">
        <v>2235</v>
      </c>
    </row>
    <row r="4" spans="1:10" ht="16.149999999999999" customHeight="1" thickTop="1" x14ac:dyDescent="0.45">
      <c r="A4" s="1047"/>
      <c r="B4" s="1047"/>
      <c r="C4" s="1047"/>
      <c r="D4" s="1469" t="s">
        <v>2236</v>
      </c>
      <c r="E4" s="1469"/>
      <c r="F4" s="1469"/>
      <c r="G4" s="1469"/>
      <c r="H4" s="1048" t="s">
        <v>177</v>
      </c>
      <c r="I4" s="1048" t="s">
        <v>2237</v>
      </c>
      <c r="J4" s="1048" t="s">
        <v>178</v>
      </c>
    </row>
    <row r="5" spans="1:10" s="1052" customFormat="1" ht="26.25" customHeight="1" x14ac:dyDescent="0.45">
      <c r="A5" s="1049"/>
      <c r="B5" s="1049"/>
      <c r="C5" s="1049"/>
      <c r="D5" s="1050" t="s">
        <v>2238</v>
      </c>
      <c r="E5" s="1050" t="s">
        <v>2239</v>
      </c>
      <c r="F5" s="1050" t="s">
        <v>2240</v>
      </c>
      <c r="G5" s="1050" t="s">
        <v>2241</v>
      </c>
      <c r="H5" s="1051" t="s">
        <v>2242</v>
      </c>
      <c r="I5" s="1051" t="s">
        <v>2243</v>
      </c>
      <c r="J5" s="1051" t="s">
        <v>2244</v>
      </c>
    </row>
    <row r="6" spans="1:10" ht="13.5" customHeight="1" x14ac:dyDescent="0.45">
      <c r="A6" s="1053">
        <v>1954</v>
      </c>
      <c r="B6" s="1053" t="s">
        <v>2245</v>
      </c>
      <c r="C6" s="1047"/>
      <c r="D6" s="1054">
        <v>4.47</v>
      </c>
      <c r="E6" s="1054">
        <v>4.9000000000000004</v>
      </c>
      <c r="F6" s="1054" t="s">
        <v>54</v>
      </c>
      <c r="G6" s="1054" t="s">
        <v>54</v>
      </c>
      <c r="H6" s="1054" t="s">
        <v>54</v>
      </c>
      <c r="I6" s="1054" t="s">
        <v>54</v>
      </c>
      <c r="J6" s="1054" t="s">
        <v>54</v>
      </c>
    </row>
    <row r="7" spans="1:10" ht="13.5" customHeight="1" x14ac:dyDescent="0.45">
      <c r="A7" s="1053">
        <v>1955</v>
      </c>
      <c r="B7" s="1053" t="s">
        <v>2245</v>
      </c>
      <c r="C7" s="1047"/>
      <c r="D7" s="1054">
        <v>4.49</v>
      </c>
      <c r="E7" s="1054">
        <v>4.9000000000000004</v>
      </c>
      <c r="F7" s="1054" t="s">
        <v>54</v>
      </c>
      <c r="G7" s="1054" t="s">
        <v>54</v>
      </c>
      <c r="H7" s="1055">
        <v>4.38</v>
      </c>
      <c r="I7" s="1054" t="s">
        <v>54</v>
      </c>
      <c r="J7" s="1054" t="s">
        <v>54</v>
      </c>
    </row>
    <row r="8" spans="1:10" ht="13.5" customHeight="1" x14ac:dyDescent="0.45">
      <c r="A8" s="1053">
        <v>1956</v>
      </c>
      <c r="B8" s="1053" t="s">
        <v>2245</v>
      </c>
      <c r="C8" s="1047"/>
      <c r="D8" s="1054">
        <v>4.49</v>
      </c>
      <c r="E8" s="1054">
        <v>5.04</v>
      </c>
      <c r="F8" s="1054" t="s">
        <v>54</v>
      </c>
      <c r="G8" s="1054" t="s">
        <v>54</v>
      </c>
      <c r="H8" s="1055">
        <v>4.47</v>
      </c>
      <c r="I8" s="1054" t="s">
        <v>54</v>
      </c>
      <c r="J8" s="1054" t="s">
        <v>54</v>
      </c>
    </row>
    <row r="9" spans="1:10" ht="13.5" customHeight="1" x14ac:dyDescent="0.45">
      <c r="A9" s="1053">
        <v>1957</v>
      </c>
      <c r="B9" s="1053" t="s">
        <v>2245</v>
      </c>
      <c r="C9" s="1047"/>
      <c r="D9" s="1054">
        <v>6.09</v>
      </c>
      <c r="E9" s="1054">
        <v>6.64</v>
      </c>
      <c r="F9" s="1054" t="s">
        <v>54</v>
      </c>
      <c r="G9" s="1054" t="s">
        <v>54</v>
      </c>
      <c r="H9" s="1055">
        <v>6.07</v>
      </c>
      <c r="I9" s="1054" t="s">
        <v>54</v>
      </c>
      <c r="J9" s="1054" t="s">
        <v>54</v>
      </c>
    </row>
    <row r="10" spans="1:10" ht="13.5" customHeight="1" x14ac:dyDescent="0.45">
      <c r="A10" s="1053">
        <v>1958</v>
      </c>
      <c r="B10" s="1053" t="s">
        <v>2245</v>
      </c>
      <c r="C10" s="1047"/>
      <c r="D10" s="1054">
        <v>4.6500000000000004</v>
      </c>
      <c r="E10" s="1054">
        <v>5.13</v>
      </c>
      <c r="F10" s="1054" t="s">
        <v>54</v>
      </c>
      <c r="G10" s="1054" t="s">
        <v>54</v>
      </c>
      <c r="H10" s="1055">
        <v>4.6900000000000004</v>
      </c>
      <c r="I10" s="1054" t="s">
        <v>54</v>
      </c>
      <c r="J10" s="1054" t="s">
        <v>54</v>
      </c>
    </row>
    <row r="11" spans="1:10" ht="13.5" customHeight="1" x14ac:dyDescent="0.45">
      <c r="A11" s="1053">
        <v>1959</v>
      </c>
      <c r="B11" s="1053" t="s">
        <v>2245</v>
      </c>
      <c r="C11" s="1047"/>
      <c r="D11" s="1054">
        <v>4.67</v>
      </c>
      <c r="E11" s="1054">
        <v>5.13</v>
      </c>
      <c r="F11" s="1054" t="s">
        <v>54</v>
      </c>
      <c r="G11" s="1054" t="s">
        <v>54</v>
      </c>
      <c r="H11" s="1055">
        <v>4.7</v>
      </c>
      <c r="I11" s="1054" t="s">
        <v>54</v>
      </c>
      <c r="J11" s="1054" t="s">
        <v>54</v>
      </c>
    </row>
    <row r="12" spans="1:10" ht="13.5" customHeight="1" x14ac:dyDescent="0.45">
      <c r="A12" s="1053">
        <v>1960</v>
      </c>
      <c r="B12" s="1053" t="s">
        <v>2245</v>
      </c>
      <c r="C12" s="1047"/>
      <c r="D12" s="1054">
        <v>4.67</v>
      </c>
      <c r="E12" s="1054">
        <v>5.18</v>
      </c>
      <c r="F12" s="1054" t="s">
        <v>54</v>
      </c>
      <c r="G12" s="1054" t="s">
        <v>54</v>
      </c>
      <c r="H12" s="1055">
        <v>4.79</v>
      </c>
      <c r="I12" s="1055">
        <v>1.55</v>
      </c>
      <c r="J12" s="1055">
        <v>1.55</v>
      </c>
    </row>
    <row r="13" spans="1:10" ht="13.5" customHeight="1" x14ac:dyDescent="0.45">
      <c r="A13" s="1053">
        <v>1961</v>
      </c>
      <c r="B13" s="1053" t="s">
        <v>2245</v>
      </c>
      <c r="C13" s="1047"/>
      <c r="D13" s="1054">
        <v>4.58</v>
      </c>
      <c r="E13" s="1054">
        <v>5.09</v>
      </c>
      <c r="F13" s="1054" t="s">
        <v>54</v>
      </c>
      <c r="G13" s="1054" t="s">
        <v>54</v>
      </c>
      <c r="H13" s="1055">
        <v>4.6500000000000004</v>
      </c>
      <c r="I13" s="1055">
        <v>1.65</v>
      </c>
      <c r="J13" s="1055">
        <v>1.52</v>
      </c>
    </row>
    <row r="14" spans="1:10" ht="13.5" customHeight="1" x14ac:dyDescent="0.45">
      <c r="A14" s="1053">
        <v>1962</v>
      </c>
      <c r="B14" s="1053" t="s">
        <v>2245</v>
      </c>
      <c r="C14" s="1047"/>
      <c r="D14" s="1054">
        <v>4.8600000000000003</v>
      </c>
      <c r="E14" s="1054">
        <v>5.36</v>
      </c>
      <c r="F14" s="1054" t="s">
        <v>54</v>
      </c>
      <c r="G14" s="1054" t="s">
        <v>54</v>
      </c>
      <c r="H14" s="1055">
        <v>4.93</v>
      </c>
      <c r="I14" s="1055">
        <v>1.89</v>
      </c>
      <c r="J14" s="1055">
        <v>1.73</v>
      </c>
    </row>
    <row r="15" spans="1:10" ht="13.5" customHeight="1" x14ac:dyDescent="0.45">
      <c r="A15" s="1053">
        <v>1963</v>
      </c>
      <c r="B15" s="1053" t="s">
        <v>2245</v>
      </c>
      <c r="C15" s="1047"/>
      <c r="D15" s="1054">
        <v>4.7699999999999996</v>
      </c>
      <c r="E15" s="1054">
        <v>5.36</v>
      </c>
      <c r="F15" s="1054" t="s">
        <v>54</v>
      </c>
      <c r="G15" s="1054" t="s">
        <v>54</v>
      </c>
      <c r="H15" s="1055">
        <v>4.93</v>
      </c>
      <c r="I15" s="1055">
        <v>1.86</v>
      </c>
      <c r="J15" s="1055">
        <v>1.73</v>
      </c>
    </row>
    <row r="16" spans="1:10" ht="13.5" customHeight="1" x14ac:dyDescent="0.45">
      <c r="A16" s="1053">
        <v>1964</v>
      </c>
      <c r="B16" s="1053" t="s">
        <v>2245</v>
      </c>
      <c r="C16" s="1047"/>
      <c r="D16" s="1054">
        <v>4.7699999999999996</v>
      </c>
      <c r="E16" s="1054">
        <v>5.22</v>
      </c>
      <c r="F16" s="1054" t="s">
        <v>54</v>
      </c>
      <c r="G16" s="1054" t="s">
        <v>54</v>
      </c>
      <c r="H16" s="1055">
        <v>4.97</v>
      </c>
      <c r="I16" s="1055">
        <v>1.86</v>
      </c>
      <c r="J16" s="1055">
        <v>1.73</v>
      </c>
    </row>
    <row r="17" spans="1:10" ht="13.5" customHeight="1" x14ac:dyDescent="0.45">
      <c r="A17" s="1053">
        <v>1965</v>
      </c>
      <c r="B17" s="1053" t="s">
        <v>2245</v>
      </c>
      <c r="C17" s="1047"/>
      <c r="D17" s="1054">
        <v>5.36</v>
      </c>
      <c r="E17" s="1054">
        <v>5.82</v>
      </c>
      <c r="F17" s="1054" t="s">
        <v>54</v>
      </c>
      <c r="G17" s="1054" t="s">
        <v>54</v>
      </c>
      <c r="H17" s="1055">
        <v>5.52</v>
      </c>
      <c r="I17" s="1055">
        <v>1.86</v>
      </c>
      <c r="J17" s="1055">
        <v>1.73</v>
      </c>
    </row>
    <row r="18" spans="1:10" ht="13.5" customHeight="1" x14ac:dyDescent="0.45">
      <c r="A18" s="1053">
        <v>1966</v>
      </c>
      <c r="B18" s="1053" t="s">
        <v>2245</v>
      </c>
      <c r="C18" s="1047"/>
      <c r="D18" s="1054">
        <v>5.36</v>
      </c>
      <c r="E18" s="1054">
        <v>5.68</v>
      </c>
      <c r="F18" s="1054" t="s">
        <v>54</v>
      </c>
      <c r="G18" s="1054" t="s">
        <v>54</v>
      </c>
      <c r="H18" s="1055">
        <v>5.52</v>
      </c>
      <c r="I18" s="1055">
        <v>1.86</v>
      </c>
      <c r="J18" s="1055">
        <v>1.73</v>
      </c>
    </row>
    <row r="19" spans="1:10" ht="13.5" customHeight="1" x14ac:dyDescent="0.45">
      <c r="A19" s="1053">
        <v>1967</v>
      </c>
      <c r="B19" s="1053" t="s">
        <v>2245</v>
      </c>
      <c r="C19" s="1047"/>
      <c r="D19" s="1054">
        <v>5.73</v>
      </c>
      <c r="E19" s="1054">
        <v>6.05</v>
      </c>
      <c r="F19" s="1054" t="s">
        <v>54</v>
      </c>
      <c r="G19" s="1054" t="s">
        <v>54</v>
      </c>
      <c r="H19" s="1055">
        <v>5.89</v>
      </c>
      <c r="I19" s="1055">
        <v>1.86</v>
      </c>
      <c r="J19" s="1055">
        <v>1.73</v>
      </c>
    </row>
    <row r="20" spans="1:10" ht="13.5" customHeight="1" x14ac:dyDescent="0.45">
      <c r="A20" s="1053">
        <v>1968</v>
      </c>
      <c r="B20" s="1053" t="s">
        <v>2245</v>
      </c>
      <c r="C20" s="1047"/>
      <c r="D20" s="1054">
        <v>5.77</v>
      </c>
      <c r="E20" s="1054">
        <v>6.14</v>
      </c>
      <c r="F20" s="1054" t="s">
        <v>54</v>
      </c>
      <c r="G20" s="1054" t="s">
        <v>54</v>
      </c>
      <c r="H20" s="1055">
        <v>6.07</v>
      </c>
      <c r="I20" s="1055">
        <v>2.06</v>
      </c>
      <c r="J20" s="1055">
        <v>1.95</v>
      </c>
    </row>
    <row r="21" spans="1:10" ht="13.5" customHeight="1" x14ac:dyDescent="0.45">
      <c r="A21" s="1053">
        <v>1969</v>
      </c>
      <c r="B21" s="1053" t="s">
        <v>2245</v>
      </c>
      <c r="C21" s="1047"/>
      <c r="D21" s="1054">
        <v>6.57</v>
      </c>
      <c r="E21" s="1054">
        <v>6.94</v>
      </c>
      <c r="F21" s="1054" t="s">
        <v>54</v>
      </c>
      <c r="G21" s="1054" t="s">
        <v>54</v>
      </c>
      <c r="H21" s="1055">
        <v>6.92</v>
      </c>
      <c r="I21" s="1055">
        <v>2.09</v>
      </c>
      <c r="J21" s="1055">
        <v>1.95</v>
      </c>
    </row>
    <row r="22" spans="1:10" ht="13.5" customHeight="1" x14ac:dyDescent="0.45">
      <c r="A22" s="1053">
        <v>1970</v>
      </c>
      <c r="B22" s="1053" t="s">
        <v>2245</v>
      </c>
      <c r="C22" s="1047"/>
      <c r="D22" s="1054">
        <v>6.78</v>
      </c>
      <c r="E22" s="1054">
        <v>7.15</v>
      </c>
      <c r="F22" s="1054" t="s">
        <v>54</v>
      </c>
      <c r="G22" s="1054" t="s">
        <v>54</v>
      </c>
      <c r="H22" s="1055">
        <v>6.99</v>
      </c>
      <c r="I22" s="1055">
        <v>2.17</v>
      </c>
      <c r="J22" s="1055">
        <v>2.02</v>
      </c>
    </row>
    <row r="23" spans="1:10" ht="13.5" customHeight="1" x14ac:dyDescent="0.45">
      <c r="A23" s="1053">
        <v>1971</v>
      </c>
      <c r="B23" s="1053" t="s">
        <v>2245</v>
      </c>
      <c r="C23" s="1047"/>
      <c r="D23" s="1054">
        <v>7.06</v>
      </c>
      <c r="E23" s="1054">
        <v>7.42</v>
      </c>
      <c r="F23" s="1054" t="s">
        <v>54</v>
      </c>
      <c r="G23" s="1054" t="s">
        <v>54</v>
      </c>
      <c r="H23" s="1055">
        <v>7.22</v>
      </c>
      <c r="I23" s="1055">
        <v>2.34</v>
      </c>
      <c r="J23" s="1055">
        <v>2.14</v>
      </c>
    </row>
    <row r="24" spans="1:10" ht="13.5" customHeight="1" x14ac:dyDescent="0.45">
      <c r="A24" s="1053">
        <v>1972</v>
      </c>
      <c r="B24" s="1053" t="s">
        <v>2245</v>
      </c>
      <c r="C24" s="1047"/>
      <c r="D24" s="1054">
        <v>7.26</v>
      </c>
      <c r="E24" s="1054">
        <v>7.7</v>
      </c>
      <c r="F24" s="1054" t="s">
        <v>54</v>
      </c>
      <c r="G24" s="1054" t="s">
        <v>54</v>
      </c>
      <c r="H24" s="1055">
        <v>7.48</v>
      </c>
      <c r="I24" s="1055">
        <v>2.4500000000000002</v>
      </c>
      <c r="J24" s="1055">
        <v>2.21</v>
      </c>
    </row>
    <row r="25" spans="1:10" ht="13.5" customHeight="1" x14ac:dyDescent="0.45">
      <c r="A25" s="1053">
        <v>1973</v>
      </c>
      <c r="B25" s="1053" t="s">
        <v>2245</v>
      </c>
      <c r="C25" s="1047"/>
      <c r="D25" s="1054">
        <v>7.48</v>
      </c>
      <c r="E25" s="1054">
        <v>7.7</v>
      </c>
      <c r="F25" s="1054" t="s">
        <v>54</v>
      </c>
      <c r="G25" s="1054" t="s">
        <v>54</v>
      </c>
      <c r="H25" s="1055">
        <v>7.48</v>
      </c>
      <c r="I25" s="1055">
        <v>2.5099999999999998</v>
      </c>
      <c r="J25" s="1055">
        <v>2.27</v>
      </c>
    </row>
    <row r="26" spans="1:10" ht="13.5" customHeight="1" x14ac:dyDescent="0.45">
      <c r="A26" s="1053">
        <v>1974</v>
      </c>
      <c r="B26" s="1053" t="s">
        <v>2245</v>
      </c>
      <c r="C26" s="1047"/>
      <c r="D26" s="1054">
        <v>8.91</v>
      </c>
      <c r="E26" s="1054">
        <v>9.24</v>
      </c>
      <c r="F26" s="1054" t="s">
        <v>54</v>
      </c>
      <c r="G26" s="1054" t="s">
        <v>54</v>
      </c>
      <c r="H26" s="1055">
        <v>9.1300000000000008</v>
      </c>
      <c r="I26" s="1055">
        <v>3.39</v>
      </c>
      <c r="J26" s="1055">
        <v>3.39</v>
      </c>
    </row>
    <row r="27" spans="1:10" ht="13.5" customHeight="1" x14ac:dyDescent="0.45">
      <c r="A27" s="1053">
        <v>1975</v>
      </c>
      <c r="B27" s="1053" t="s">
        <v>2245</v>
      </c>
      <c r="C27" s="1047"/>
      <c r="D27" s="1054">
        <v>15.62</v>
      </c>
      <c r="E27" s="1054">
        <v>15.95</v>
      </c>
      <c r="F27" s="1054" t="s">
        <v>54</v>
      </c>
      <c r="G27" s="1054" t="s">
        <v>54</v>
      </c>
      <c r="H27" s="1055">
        <v>12.21</v>
      </c>
      <c r="I27" s="1055">
        <v>5.0599999999999996</v>
      </c>
      <c r="J27" s="1055">
        <v>5.26</v>
      </c>
    </row>
    <row r="28" spans="1:10" ht="13.5" customHeight="1" x14ac:dyDescent="0.45">
      <c r="A28" s="1053">
        <v>1976</v>
      </c>
      <c r="B28" s="1053" t="s">
        <v>2245</v>
      </c>
      <c r="C28" s="1047"/>
      <c r="D28" s="1054">
        <v>16.5</v>
      </c>
      <c r="E28" s="1054">
        <v>16.829999999999998</v>
      </c>
      <c r="F28" s="1054" t="s">
        <v>54</v>
      </c>
      <c r="G28" s="1054" t="s">
        <v>54</v>
      </c>
      <c r="H28" s="1055">
        <v>13.53</v>
      </c>
      <c r="I28" s="1055">
        <v>6.49</v>
      </c>
      <c r="J28" s="1055">
        <v>6.47</v>
      </c>
    </row>
    <row r="29" spans="1:10" ht="13.5" customHeight="1" x14ac:dyDescent="0.45">
      <c r="A29" s="1053">
        <v>1977</v>
      </c>
      <c r="B29" s="1053" t="s">
        <v>2245</v>
      </c>
      <c r="C29" s="1047"/>
      <c r="D29" s="1054">
        <v>17.05</v>
      </c>
      <c r="E29" s="1054">
        <v>17.489999999999998</v>
      </c>
      <c r="F29" s="1054" t="s">
        <v>54</v>
      </c>
      <c r="G29" s="1054" t="s">
        <v>54</v>
      </c>
      <c r="H29" s="1055">
        <v>17.16</v>
      </c>
      <c r="I29" s="1055">
        <v>8.15</v>
      </c>
      <c r="J29" s="1055">
        <v>7.93</v>
      </c>
    </row>
    <row r="30" spans="1:10" ht="13.5" customHeight="1" x14ac:dyDescent="0.45">
      <c r="A30" s="1053">
        <v>1978</v>
      </c>
      <c r="B30" s="1053" t="s">
        <v>2245</v>
      </c>
      <c r="C30" s="1047"/>
      <c r="D30" s="1054">
        <v>16.37</v>
      </c>
      <c r="E30" s="1054">
        <v>16.760000000000002</v>
      </c>
      <c r="F30" s="1054" t="s">
        <v>54</v>
      </c>
      <c r="G30" s="1054" t="s">
        <v>54</v>
      </c>
      <c r="H30" s="1055">
        <v>18.57</v>
      </c>
      <c r="I30" s="1055">
        <v>8.43</v>
      </c>
      <c r="J30" s="1055">
        <v>8.48</v>
      </c>
    </row>
    <row r="31" spans="1:10" ht="13.5" customHeight="1" x14ac:dyDescent="0.45">
      <c r="A31" s="1053">
        <v>1979</v>
      </c>
      <c r="B31" s="1053" t="s">
        <v>2245</v>
      </c>
      <c r="C31" s="1047"/>
      <c r="D31" s="1054">
        <v>17.09</v>
      </c>
      <c r="E31" s="1054">
        <v>17.5</v>
      </c>
      <c r="F31" s="1054" t="s">
        <v>54</v>
      </c>
      <c r="G31" s="1054" t="s">
        <v>54</v>
      </c>
      <c r="H31" s="1055">
        <v>18.420000000000002</v>
      </c>
      <c r="I31" s="1055">
        <v>8.3699999999999992</v>
      </c>
      <c r="J31" s="1055">
        <v>8.36</v>
      </c>
    </row>
    <row r="32" spans="1:10" ht="13.5" customHeight="1" x14ac:dyDescent="0.45">
      <c r="A32" s="1053">
        <v>1980</v>
      </c>
      <c r="B32" s="1053" t="s">
        <v>2245</v>
      </c>
      <c r="C32" s="1047"/>
      <c r="D32" s="1054">
        <v>25.98</v>
      </c>
      <c r="E32" s="1054">
        <v>26.39</v>
      </c>
      <c r="F32" s="1054" t="s">
        <v>54</v>
      </c>
      <c r="G32" s="1054" t="s">
        <v>54</v>
      </c>
      <c r="H32" s="1055">
        <v>27.8</v>
      </c>
      <c r="I32" s="1055">
        <v>13.07</v>
      </c>
      <c r="J32" s="1055">
        <v>13.03</v>
      </c>
    </row>
    <row r="33" spans="1:10" ht="13.5" customHeight="1" x14ac:dyDescent="0.45">
      <c r="A33" s="1053">
        <v>1981</v>
      </c>
      <c r="B33" s="1053" t="s">
        <v>2245</v>
      </c>
      <c r="C33" s="1047"/>
      <c r="D33" s="1054">
        <v>28.64</v>
      </c>
      <c r="E33" s="1054">
        <v>29.05</v>
      </c>
      <c r="F33" s="1054" t="s">
        <v>54</v>
      </c>
      <c r="G33" s="1054" t="s">
        <v>54</v>
      </c>
      <c r="H33" s="1055">
        <v>30.7</v>
      </c>
      <c r="I33" s="1055">
        <v>15.9</v>
      </c>
      <c r="J33" s="1055">
        <v>15.8</v>
      </c>
    </row>
    <row r="34" spans="1:10" ht="13.5" customHeight="1" x14ac:dyDescent="0.45">
      <c r="A34" s="1053">
        <v>1982</v>
      </c>
      <c r="B34" s="1053" t="s">
        <v>2245</v>
      </c>
      <c r="C34" s="1047"/>
      <c r="D34" s="1054">
        <v>34.28</v>
      </c>
      <c r="E34" s="1054">
        <v>35.020000000000003</v>
      </c>
      <c r="F34" s="1054" t="s">
        <v>54</v>
      </c>
      <c r="G34" s="1054" t="s">
        <v>54</v>
      </c>
      <c r="H34" s="1055">
        <v>34.89</v>
      </c>
      <c r="I34" s="1055">
        <v>20.329999999999998</v>
      </c>
      <c r="J34" s="1055">
        <v>19.68</v>
      </c>
    </row>
    <row r="35" spans="1:10" ht="13.5" customHeight="1" x14ac:dyDescent="0.45">
      <c r="A35" s="1053">
        <v>1983</v>
      </c>
      <c r="B35" s="1053" t="s">
        <v>2245</v>
      </c>
      <c r="C35" s="1047"/>
      <c r="D35" s="1054">
        <v>35.85</v>
      </c>
      <c r="E35" s="1054">
        <v>36.700000000000003</v>
      </c>
      <c r="F35" s="1054" t="s">
        <v>54</v>
      </c>
      <c r="G35" s="1054" t="s">
        <v>54</v>
      </c>
      <c r="H35" s="1055">
        <v>37.64</v>
      </c>
      <c r="I35" s="1055">
        <v>22.71</v>
      </c>
      <c r="J35" s="1055">
        <v>22.52</v>
      </c>
    </row>
    <row r="36" spans="1:10" ht="13.5" customHeight="1" x14ac:dyDescent="0.45">
      <c r="A36" s="1053">
        <v>1984</v>
      </c>
      <c r="B36" s="1053" t="s">
        <v>2245</v>
      </c>
      <c r="C36" s="1047"/>
      <c r="D36" s="1054">
        <v>39.44</v>
      </c>
      <c r="E36" s="1054">
        <v>40.35</v>
      </c>
      <c r="F36" s="1054" t="s">
        <v>54</v>
      </c>
      <c r="G36" s="1054" t="s">
        <v>54</v>
      </c>
      <c r="H36" s="1055">
        <v>36.78</v>
      </c>
      <c r="I36" s="1055">
        <v>19.84</v>
      </c>
      <c r="J36" s="1055">
        <v>20.309999999999999</v>
      </c>
    </row>
    <row r="37" spans="1:10" ht="13.5" customHeight="1" x14ac:dyDescent="0.45">
      <c r="A37" s="1053">
        <v>1985</v>
      </c>
      <c r="B37" s="1053" t="s">
        <v>2245</v>
      </c>
      <c r="C37" s="1047"/>
      <c r="D37" s="1054">
        <v>40.71</v>
      </c>
      <c r="E37" s="1054">
        <v>41.54</v>
      </c>
      <c r="F37" s="1054" t="s">
        <v>54</v>
      </c>
      <c r="G37" s="1054" t="s">
        <v>54</v>
      </c>
      <c r="H37" s="1055">
        <v>40.590000000000003</v>
      </c>
      <c r="I37" s="1055">
        <v>21.6</v>
      </c>
      <c r="J37" s="1055">
        <v>22.62</v>
      </c>
    </row>
    <row r="38" spans="1:10" ht="13.5" customHeight="1" x14ac:dyDescent="0.45">
      <c r="A38" s="1053">
        <v>1986</v>
      </c>
      <c r="B38" s="1053" t="s">
        <v>2245</v>
      </c>
      <c r="C38" s="1047"/>
      <c r="D38" s="1054">
        <v>40.81</v>
      </c>
      <c r="E38" s="1054">
        <v>41.63</v>
      </c>
      <c r="F38" s="1054" t="s">
        <v>54</v>
      </c>
      <c r="G38" s="1054" t="s">
        <v>54</v>
      </c>
      <c r="H38" s="1055">
        <v>41.13</v>
      </c>
      <c r="I38" s="1055">
        <v>19.48</v>
      </c>
      <c r="J38" s="1055">
        <v>19.47</v>
      </c>
    </row>
    <row r="39" spans="1:10" ht="13.5" customHeight="1" x14ac:dyDescent="0.45">
      <c r="A39" s="1053">
        <v>1987</v>
      </c>
      <c r="B39" s="1053" t="s">
        <v>2245</v>
      </c>
      <c r="C39" s="1047"/>
      <c r="D39" s="1054">
        <v>37.57</v>
      </c>
      <c r="E39" s="1054">
        <v>38.42</v>
      </c>
      <c r="F39" s="1054" t="s">
        <v>54</v>
      </c>
      <c r="G39" s="1054" t="s">
        <v>54</v>
      </c>
      <c r="H39" s="1055">
        <v>35</v>
      </c>
      <c r="I39" s="1055">
        <v>13.52</v>
      </c>
      <c r="J39" s="1055">
        <v>14.7</v>
      </c>
    </row>
    <row r="40" spans="1:10" ht="13.5" customHeight="1" x14ac:dyDescent="0.45">
      <c r="A40" s="1053">
        <v>1988</v>
      </c>
      <c r="B40" s="1053" t="s">
        <v>2245</v>
      </c>
      <c r="C40" s="1047"/>
      <c r="D40" s="1054">
        <v>35.979999999999997</v>
      </c>
      <c r="E40" s="1054">
        <v>36.79</v>
      </c>
      <c r="F40" s="1054" t="s">
        <v>54</v>
      </c>
      <c r="G40" s="1054" t="s">
        <v>54</v>
      </c>
      <c r="H40" s="1055">
        <v>33.94</v>
      </c>
      <c r="I40" s="1055">
        <v>11.97</v>
      </c>
      <c r="J40" s="1055">
        <v>12.29</v>
      </c>
    </row>
    <row r="41" spans="1:10" ht="13.5" customHeight="1" x14ac:dyDescent="0.45">
      <c r="A41" s="1053">
        <v>1989</v>
      </c>
      <c r="B41" s="1053" t="s">
        <v>2245</v>
      </c>
      <c r="C41" s="1047"/>
      <c r="D41" s="1054">
        <v>36.36</v>
      </c>
      <c r="E41" s="1054">
        <v>37.14</v>
      </c>
      <c r="F41" s="1054" t="s">
        <v>54</v>
      </c>
      <c r="G41" s="1055">
        <v>36.020000000000003</v>
      </c>
      <c r="H41" s="1055">
        <v>34.17</v>
      </c>
      <c r="I41" s="1055">
        <v>11.41</v>
      </c>
      <c r="J41" s="1055">
        <v>11.15</v>
      </c>
    </row>
    <row r="42" spans="1:10" ht="13.5" customHeight="1" x14ac:dyDescent="0.45">
      <c r="A42" s="1053">
        <v>1990</v>
      </c>
      <c r="B42" s="1053" t="s">
        <v>2245</v>
      </c>
      <c r="C42" s="1047"/>
      <c r="D42" s="1054" t="s">
        <v>54</v>
      </c>
      <c r="E42" s="1054">
        <v>40.92</v>
      </c>
      <c r="F42" s="1054" t="s">
        <v>54</v>
      </c>
      <c r="G42" s="1055">
        <v>38.369999999999997</v>
      </c>
      <c r="H42" s="1055">
        <v>39.21</v>
      </c>
      <c r="I42" s="1055">
        <v>15.45</v>
      </c>
      <c r="J42" s="1055">
        <v>15.46</v>
      </c>
    </row>
    <row r="43" spans="1:10" ht="13.5" customHeight="1" x14ac:dyDescent="0.45">
      <c r="A43" s="1053">
        <v>1991</v>
      </c>
      <c r="B43" s="1053" t="s">
        <v>2245</v>
      </c>
      <c r="C43" s="1047"/>
      <c r="D43" s="1054" t="s">
        <v>54</v>
      </c>
      <c r="E43" s="1054">
        <v>45.13</v>
      </c>
      <c r="F43" s="1055">
        <v>44.38</v>
      </c>
      <c r="G43" s="1055">
        <v>42.14</v>
      </c>
      <c r="H43" s="1055">
        <v>43.31</v>
      </c>
      <c r="I43" s="1055">
        <v>17.52</v>
      </c>
      <c r="J43" s="1055">
        <v>17.13</v>
      </c>
    </row>
    <row r="44" spans="1:10" ht="13.5" customHeight="1" x14ac:dyDescent="0.45">
      <c r="A44" s="1053">
        <v>1992</v>
      </c>
      <c r="B44" s="1053" t="s">
        <v>2245</v>
      </c>
      <c r="C44" s="1047"/>
      <c r="D44" s="1054" t="s">
        <v>54</v>
      </c>
      <c r="E44" s="1054">
        <v>46.93</v>
      </c>
      <c r="F44" s="1055">
        <v>45.57</v>
      </c>
      <c r="G44" s="1055">
        <v>43.43</v>
      </c>
      <c r="H44" s="1055">
        <v>43.19</v>
      </c>
      <c r="I44" s="1055">
        <v>12.47</v>
      </c>
      <c r="J44" s="1055">
        <v>12.02</v>
      </c>
    </row>
    <row r="45" spans="1:10" ht="13.5" customHeight="1" x14ac:dyDescent="0.45">
      <c r="A45" s="1053">
        <v>1993</v>
      </c>
      <c r="B45" s="1053" t="s">
        <v>2245</v>
      </c>
      <c r="C45" s="1047"/>
      <c r="D45" s="1054" t="s">
        <v>54</v>
      </c>
      <c r="E45" s="1054">
        <v>51.27</v>
      </c>
      <c r="F45" s="1055">
        <v>49.76</v>
      </c>
      <c r="G45" s="1055">
        <v>47.13</v>
      </c>
      <c r="H45" s="1055">
        <v>47.05</v>
      </c>
      <c r="I45" s="1055">
        <v>14.1</v>
      </c>
      <c r="J45" s="1055">
        <v>13.52</v>
      </c>
    </row>
    <row r="46" spans="1:10" ht="13.5" customHeight="1" x14ac:dyDescent="0.45">
      <c r="A46" s="1053">
        <v>1994</v>
      </c>
      <c r="B46" s="1053" t="s">
        <v>2245</v>
      </c>
      <c r="C46" s="1047"/>
      <c r="D46" s="1054" t="s">
        <v>54</v>
      </c>
      <c r="E46" s="1054">
        <v>55.5</v>
      </c>
      <c r="F46" s="1055">
        <v>54.48</v>
      </c>
      <c r="G46" s="1055">
        <v>50.83</v>
      </c>
      <c r="H46" s="1055">
        <v>51.72</v>
      </c>
      <c r="I46" s="1055">
        <v>12.94</v>
      </c>
      <c r="J46" s="1055">
        <v>12.72</v>
      </c>
    </row>
    <row r="47" spans="1:10" ht="13.5" customHeight="1" x14ac:dyDescent="0.45">
      <c r="A47" s="1053">
        <v>1995</v>
      </c>
      <c r="B47" s="1053" t="s">
        <v>2245</v>
      </c>
      <c r="C47" s="1047"/>
      <c r="D47" s="1054" t="s">
        <v>54</v>
      </c>
      <c r="E47" s="1054">
        <v>59.11</v>
      </c>
      <c r="F47" s="1055">
        <v>58</v>
      </c>
      <c r="G47" s="1055">
        <v>53.44</v>
      </c>
      <c r="H47" s="1055">
        <v>54.13</v>
      </c>
      <c r="I47" s="1055">
        <v>13.32</v>
      </c>
      <c r="J47" s="1055">
        <v>13.93</v>
      </c>
    </row>
    <row r="48" spans="1:10" ht="13.5" customHeight="1" x14ac:dyDescent="0.45">
      <c r="A48" s="1053">
        <v>1996</v>
      </c>
      <c r="B48" s="1053" t="s">
        <v>2245</v>
      </c>
      <c r="C48" s="1047"/>
      <c r="D48" s="1054" t="s">
        <v>54</v>
      </c>
      <c r="E48" s="1054">
        <v>61.97</v>
      </c>
      <c r="F48" s="1055">
        <v>61.26</v>
      </c>
      <c r="G48" s="1055">
        <v>55.93</v>
      </c>
      <c r="H48" s="1055">
        <v>57.43</v>
      </c>
      <c r="I48" s="1055">
        <v>15.38</v>
      </c>
      <c r="J48" s="1055">
        <v>15.86</v>
      </c>
    </row>
    <row r="49" spans="1:11" ht="13.5" customHeight="1" x14ac:dyDescent="0.45">
      <c r="A49" s="1053">
        <v>1997</v>
      </c>
      <c r="B49" s="1053" t="s">
        <v>2245</v>
      </c>
      <c r="C49" s="1047"/>
      <c r="D49" s="1054" t="s">
        <v>54</v>
      </c>
      <c r="E49" s="1054">
        <v>65.459999999999994</v>
      </c>
      <c r="F49" s="1055">
        <v>69.239999999999995</v>
      </c>
      <c r="G49" s="1055">
        <v>61.09</v>
      </c>
      <c r="H49" s="1055">
        <v>62.02</v>
      </c>
      <c r="I49" s="1055">
        <v>17.13</v>
      </c>
      <c r="J49" s="1055">
        <v>18.14</v>
      </c>
    </row>
    <row r="50" spans="1:11" ht="13.5" customHeight="1" x14ac:dyDescent="0.45">
      <c r="A50" s="1053">
        <v>1998</v>
      </c>
      <c r="B50" s="1053" t="s">
        <v>2245</v>
      </c>
      <c r="C50" s="1047"/>
      <c r="D50" s="1054" t="s">
        <v>54</v>
      </c>
      <c r="E50" s="1054">
        <v>69.03</v>
      </c>
      <c r="F50" s="1055">
        <v>73.959999999999994</v>
      </c>
      <c r="G50" s="1055">
        <v>63.13</v>
      </c>
      <c r="H50" s="1055">
        <v>63.34</v>
      </c>
      <c r="I50" s="1055">
        <v>12.92</v>
      </c>
      <c r="J50" s="1055">
        <v>13.67</v>
      </c>
    </row>
    <row r="51" spans="1:11" ht="13.5" customHeight="1" x14ac:dyDescent="0.45">
      <c r="A51" s="1053">
        <v>1999</v>
      </c>
      <c r="B51" s="1053" t="s">
        <v>2245</v>
      </c>
      <c r="C51" s="1047"/>
      <c r="D51" s="1054" t="s">
        <v>54</v>
      </c>
      <c r="E51" s="1054">
        <v>69.61</v>
      </c>
      <c r="F51" s="1055">
        <v>79.23</v>
      </c>
      <c r="G51" s="1055">
        <v>62.87</v>
      </c>
      <c r="H51" s="1055">
        <v>63.95</v>
      </c>
      <c r="I51" s="1055">
        <v>9.89</v>
      </c>
      <c r="J51" s="1055">
        <v>11.36</v>
      </c>
    </row>
    <row r="52" spans="1:11" ht="13.5" customHeight="1" x14ac:dyDescent="0.45">
      <c r="A52" s="1053">
        <v>2000</v>
      </c>
      <c r="B52" s="1053" t="s">
        <v>2245</v>
      </c>
      <c r="C52" s="1047"/>
      <c r="D52" s="1054" t="s">
        <v>54</v>
      </c>
      <c r="E52" s="1054">
        <v>80.84</v>
      </c>
      <c r="F52" s="1055">
        <v>84.15</v>
      </c>
      <c r="G52" s="1055">
        <v>75.38</v>
      </c>
      <c r="H52" s="1055">
        <v>77.75</v>
      </c>
      <c r="I52" s="1055">
        <v>17.84</v>
      </c>
      <c r="J52" s="1055">
        <v>18.149999999999999</v>
      </c>
    </row>
    <row r="53" spans="1:11" ht="13.5" customHeight="1" x14ac:dyDescent="0.45">
      <c r="A53" s="1053">
        <v>2001</v>
      </c>
      <c r="B53" s="1053" t="s">
        <v>2245</v>
      </c>
      <c r="C53" s="1047"/>
      <c r="D53" s="1054" t="s">
        <v>54</v>
      </c>
      <c r="E53" s="1054">
        <v>82.19</v>
      </c>
      <c r="F53" s="1055">
        <v>85.06</v>
      </c>
      <c r="G53" s="1055">
        <v>76.849999999999994</v>
      </c>
      <c r="H53" s="1055">
        <v>81.63</v>
      </c>
      <c r="I53" s="1055">
        <v>19.86</v>
      </c>
      <c r="J53" s="1055">
        <v>20.46</v>
      </c>
    </row>
    <row r="54" spans="1:11" ht="13.5" customHeight="1" x14ac:dyDescent="0.45">
      <c r="A54" s="1053">
        <v>2002</v>
      </c>
      <c r="B54" s="1053" t="s">
        <v>2245</v>
      </c>
      <c r="C54" s="1047"/>
      <c r="D54" s="1054" t="s">
        <v>54</v>
      </c>
      <c r="E54" s="1056">
        <v>75.94</v>
      </c>
      <c r="F54" s="1055">
        <v>78.48</v>
      </c>
      <c r="G54" s="1055">
        <v>69.900000000000006</v>
      </c>
      <c r="H54" s="1055">
        <v>74.650000000000006</v>
      </c>
      <c r="I54" s="1055">
        <v>14.61</v>
      </c>
      <c r="J54" s="1055">
        <v>14.71</v>
      </c>
    </row>
    <row r="55" spans="1:11" ht="13.5" customHeight="1" x14ac:dyDescent="0.45">
      <c r="A55" s="1053">
        <v>2003</v>
      </c>
      <c r="B55" s="1053" t="str">
        <f>B54</f>
        <v>January</v>
      </c>
      <c r="C55" s="1043"/>
      <c r="D55" s="1054" t="s">
        <v>54</v>
      </c>
      <c r="E55" s="1056">
        <v>78.150000000000006</v>
      </c>
      <c r="F55" s="1055">
        <v>80.47</v>
      </c>
      <c r="G55" s="1055">
        <v>74.95</v>
      </c>
      <c r="H55" s="1055">
        <v>76.38</v>
      </c>
      <c r="I55" s="1055">
        <v>17.829999999999998</v>
      </c>
      <c r="J55" s="1055">
        <v>18.63</v>
      </c>
    </row>
    <row r="56" spans="1:11" ht="13.5" customHeight="1" x14ac:dyDescent="0.45">
      <c r="A56" s="1053">
        <v>2004</v>
      </c>
      <c r="B56" s="1053" t="str">
        <f>B55</f>
        <v>January</v>
      </c>
      <c r="C56" s="1043"/>
      <c r="D56" s="1054" t="s">
        <v>54</v>
      </c>
      <c r="E56" s="1056">
        <v>80.040000000000006</v>
      </c>
      <c r="F56" s="1055">
        <v>81.489999999999995</v>
      </c>
      <c r="G56" s="1055">
        <v>76.2</v>
      </c>
      <c r="H56" s="1055">
        <v>77.92</v>
      </c>
      <c r="I56" s="1055">
        <v>18.329999999999998</v>
      </c>
      <c r="J56" s="1055">
        <v>18.95</v>
      </c>
    </row>
    <row r="57" spans="1:11" ht="13.5" customHeight="1" x14ac:dyDescent="0.45">
      <c r="A57" s="1053">
        <v>2005</v>
      </c>
      <c r="B57" s="1053" t="str">
        <f>B56</f>
        <v>January</v>
      </c>
      <c r="C57" s="1043"/>
      <c r="D57" s="1054" t="s">
        <v>54</v>
      </c>
      <c r="E57" s="1056">
        <v>87.16</v>
      </c>
      <c r="F57" s="1055">
        <v>87.43</v>
      </c>
      <c r="G57" s="1055">
        <v>78.989999999999995</v>
      </c>
      <c r="H57" s="1055">
        <v>84.15</v>
      </c>
      <c r="I57" s="1055">
        <v>22.16</v>
      </c>
      <c r="J57" s="1055">
        <v>23.99</v>
      </c>
    </row>
    <row r="58" spans="1:11" ht="13.5" customHeight="1" x14ac:dyDescent="0.45">
      <c r="A58" s="1053">
        <v>2006</v>
      </c>
      <c r="B58" s="1053" t="str">
        <f>B57</f>
        <v>January</v>
      </c>
      <c r="C58" s="1043"/>
      <c r="D58" s="1054" t="s">
        <v>54</v>
      </c>
      <c r="E58" s="1054" t="s">
        <v>54</v>
      </c>
      <c r="F58" s="1055">
        <v>94.73</v>
      </c>
      <c r="G58" s="1055">
        <v>88.84</v>
      </c>
      <c r="H58" s="1055">
        <v>93.07</v>
      </c>
      <c r="I58" s="1055">
        <v>31.58</v>
      </c>
      <c r="J58" s="1055">
        <v>33.6</v>
      </c>
    </row>
    <row r="59" spans="1:11" ht="13.5" customHeight="1" x14ac:dyDescent="0.45">
      <c r="A59" s="1053">
        <v>2007</v>
      </c>
      <c r="B59" s="1053" t="str">
        <f>B58</f>
        <v>January</v>
      </c>
      <c r="C59" s="1043"/>
      <c r="D59" s="1054" t="s">
        <v>54</v>
      </c>
      <c r="E59" s="1054" t="s">
        <v>54</v>
      </c>
      <c r="F59" s="1055">
        <v>94.8</v>
      </c>
      <c r="G59" s="1055">
        <v>86.91</v>
      </c>
      <c r="H59" s="1055">
        <v>91.44</v>
      </c>
      <c r="I59" s="1055">
        <v>30.88</v>
      </c>
      <c r="J59" s="1055">
        <v>34.03</v>
      </c>
    </row>
    <row r="60" spans="1:11" ht="13.5" customHeight="1" x14ac:dyDescent="0.45">
      <c r="A60" s="1053">
        <v>2008</v>
      </c>
      <c r="B60" s="1053" t="str">
        <f>B58</f>
        <v>January</v>
      </c>
      <c r="C60" s="1043"/>
      <c r="D60" s="1054" t="s">
        <v>54</v>
      </c>
      <c r="E60" s="1057" t="s">
        <v>54</v>
      </c>
      <c r="F60" s="1055">
        <v>110.59</v>
      </c>
      <c r="G60" s="1055">
        <v>103.71</v>
      </c>
      <c r="H60" s="1055">
        <v>108.7</v>
      </c>
      <c r="I60" s="1055">
        <v>43.9</v>
      </c>
      <c r="J60" s="1055">
        <v>51.01</v>
      </c>
      <c r="K60" s="1058"/>
    </row>
    <row r="61" spans="1:11" ht="13.5" customHeight="1" x14ac:dyDescent="0.45">
      <c r="A61" s="1053">
        <v>2009</v>
      </c>
      <c r="B61" s="1053" t="str">
        <f>B59</f>
        <v>January</v>
      </c>
      <c r="C61" s="1043"/>
      <c r="D61" s="1054" t="s">
        <v>54</v>
      </c>
      <c r="E61" s="1057" t="s">
        <v>54</v>
      </c>
      <c r="F61" s="1055">
        <v>93.3</v>
      </c>
      <c r="G61" s="1055">
        <v>86.33</v>
      </c>
      <c r="H61" s="1055">
        <v>98.74</v>
      </c>
      <c r="I61" s="1055">
        <v>36.01</v>
      </c>
      <c r="J61" s="1055">
        <v>43.83</v>
      </c>
      <c r="K61" s="1058"/>
    </row>
    <row r="62" spans="1:11" ht="13.5" customHeight="1" x14ac:dyDescent="0.45">
      <c r="A62" s="1053">
        <v>2010</v>
      </c>
      <c r="B62" s="1053" t="str">
        <f>B60</f>
        <v>January</v>
      </c>
      <c r="C62" s="1043"/>
      <c r="D62" s="1054" t="s">
        <v>54</v>
      </c>
      <c r="E62" s="1057" t="s">
        <v>54</v>
      </c>
      <c r="F62" s="1055">
        <v>118.5292747347911</v>
      </c>
      <c r="G62" s="1055">
        <v>111.488838</v>
      </c>
      <c r="H62" s="1055">
        <v>113.31100445481543</v>
      </c>
      <c r="I62" s="1055">
        <v>42.490195895522398</v>
      </c>
      <c r="J62" s="1055">
        <v>50.639435492592192</v>
      </c>
    </row>
    <row r="63" spans="1:11" ht="13.5" customHeight="1" x14ac:dyDescent="0.45">
      <c r="A63" s="1053">
        <v>2011</v>
      </c>
      <c r="B63" s="1053" t="str">
        <f>B61</f>
        <v>January</v>
      </c>
      <c r="C63" s="1043"/>
      <c r="D63" s="1054" t="s">
        <v>54</v>
      </c>
      <c r="E63" s="1057" t="s">
        <v>54</v>
      </c>
      <c r="F63" s="1055">
        <v>134.83284167794312</v>
      </c>
      <c r="G63" s="1055">
        <v>127.52571590030338</v>
      </c>
      <c r="H63" s="1055">
        <v>132.07785401783238</v>
      </c>
      <c r="I63" s="1055">
        <v>55.136714367487123</v>
      </c>
      <c r="J63" s="1055">
        <v>61.901547570436918</v>
      </c>
    </row>
    <row r="64" spans="1:11" ht="13.5" customHeight="1" x14ac:dyDescent="0.45">
      <c r="A64" s="1053">
        <v>2012</v>
      </c>
      <c r="B64" s="1053" t="s">
        <v>2245</v>
      </c>
      <c r="C64" s="1043"/>
      <c r="D64" s="1054" t="s">
        <v>54</v>
      </c>
      <c r="E64" s="1057" t="s">
        <v>54</v>
      </c>
      <c r="F64" s="1055">
        <v>140.39533152909337</v>
      </c>
      <c r="G64" s="1055">
        <v>132.88733924216288</v>
      </c>
      <c r="H64" s="1055">
        <v>141.34450130143435</v>
      </c>
      <c r="I64" s="1055">
        <v>61.037361899845124</v>
      </c>
      <c r="J64" s="1055">
        <v>70.744632471728593</v>
      </c>
    </row>
    <row r="65" spans="1:10" ht="13.5" customHeight="1" x14ac:dyDescent="0.45">
      <c r="A65" s="1053">
        <v>2013</v>
      </c>
      <c r="B65" s="1053" t="s">
        <v>2245</v>
      </c>
      <c r="C65" s="1043"/>
      <c r="D65" s="1054" t="s">
        <v>54</v>
      </c>
      <c r="E65" s="1057" t="s">
        <v>54</v>
      </c>
      <c r="F65" s="1055">
        <v>139.35154647769906</v>
      </c>
      <c r="G65" s="1055">
        <v>131.70957799999999</v>
      </c>
      <c r="H65" s="1055">
        <v>139.45832245102966</v>
      </c>
      <c r="I65" s="1055">
        <v>57.852490523123578</v>
      </c>
      <c r="J65" s="1055">
        <v>68.986217732884398</v>
      </c>
    </row>
    <row r="66" spans="1:10" ht="13.5" customHeight="1" x14ac:dyDescent="0.45">
      <c r="A66" s="1053">
        <v>2014</v>
      </c>
      <c r="B66" s="1053" t="s">
        <v>2245</v>
      </c>
      <c r="C66" s="1043"/>
      <c r="D66" s="1054" t="s">
        <v>54</v>
      </c>
      <c r="E66" s="1057" t="s">
        <v>54</v>
      </c>
      <c r="F66" s="1055">
        <v>137.77164832966596</v>
      </c>
      <c r="G66" s="1055">
        <v>130.163805</v>
      </c>
      <c r="H66" s="1055">
        <v>138.10668699999999</v>
      </c>
      <c r="I66" s="1055">
        <v>55.668187971378849</v>
      </c>
      <c r="J66" s="1055">
        <v>66.67570230939576</v>
      </c>
    </row>
    <row r="67" spans="1:10" ht="13.5" customHeight="1" x14ac:dyDescent="0.45">
      <c r="A67" s="1053">
        <v>2015</v>
      </c>
      <c r="B67" s="1053" t="s">
        <v>2245</v>
      </c>
      <c r="C67" s="1043"/>
      <c r="D67" s="1054" t="s">
        <v>54</v>
      </c>
      <c r="E67" s="1057" t="s">
        <v>54</v>
      </c>
      <c r="F67" s="1055">
        <v>116.2243203907766</v>
      </c>
      <c r="G67" s="1055">
        <v>108.44509033561255</v>
      </c>
      <c r="H67" s="1055">
        <v>115.84513017206709</v>
      </c>
      <c r="I67" s="1055">
        <v>36.432616999999993</v>
      </c>
      <c r="J67" s="1055">
        <v>46.331202999999995</v>
      </c>
    </row>
    <row r="68" spans="1:10" ht="13.5" customHeight="1" x14ac:dyDescent="0.45">
      <c r="A68" s="1053">
        <v>2016</v>
      </c>
      <c r="B68" s="1053" t="s">
        <v>2245</v>
      </c>
      <c r="C68" s="1043"/>
      <c r="D68" s="1054" t="s">
        <v>54</v>
      </c>
      <c r="E68" s="1057" t="s">
        <v>54</v>
      </c>
      <c r="F68" s="1055">
        <v>110.2438577715543</v>
      </c>
      <c r="G68" s="1055">
        <v>101.74238646628896</v>
      </c>
      <c r="H68" s="1055">
        <v>102.52259599999999</v>
      </c>
      <c r="I68" s="1055">
        <v>22.813000000000002</v>
      </c>
      <c r="J68" s="1055">
        <v>35.185762999999994</v>
      </c>
    </row>
    <row r="69" spans="1:10" ht="13.5" customHeight="1" x14ac:dyDescent="0.45">
      <c r="A69" s="1053">
        <v>2017</v>
      </c>
      <c r="B69" s="1053" t="s">
        <v>2245</v>
      </c>
      <c r="C69" s="1043"/>
      <c r="D69" s="1054" t="s">
        <v>54</v>
      </c>
      <c r="E69" s="1057" t="s">
        <v>54</v>
      </c>
      <c r="F69" s="1055">
        <v>127.85468793758751</v>
      </c>
      <c r="G69" s="1055">
        <v>118.69498198043139</v>
      </c>
      <c r="H69" s="1055">
        <v>121.99151200000001</v>
      </c>
      <c r="I69" s="1055">
        <v>40.68</v>
      </c>
      <c r="J69" s="1055">
        <v>51.987026999999998</v>
      </c>
    </row>
    <row r="70" spans="1:10" ht="13.5" customHeight="1" x14ac:dyDescent="0.45">
      <c r="A70" s="1053">
        <v>2018</v>
      </c>
      <c r="B70" s="1053" t="s">
        <v>2245</v>
      </c>
      <c r="C70" s="1043"/>
      <c r="D70" s="1054" t="s">
        <v>54</v>
      </c>
      <c r="E70" s="1057" t="s">
        <v>54</v>
      </c>
      <c r="F70" s="1055">
        <v>130.512359</v>
      </c>
      <c r="G70" s="1055">
        <v>121.16115017585402</v>
      </c>
      <c r="H70" s="1055">
        <v>124.55389200000002</v>
      </c>
      <c r="I70" s="1055">
        <v>45.918999999999997</v>
      </c>
      <c r="J70" s="1055">
        <v>55.511188999999995</v>
      </c>
    </row>
    <row r="71" spans="1:10" ht="13.5" customHeight="1" x14ac:dyDescent="0.45">
      <c r="A71" s="1053">
        <v>2019</v>
      </c>
      <c r="B71" s="1053" t="s">
        <v>2245</v>
      </c>
      <c r="C71" s="1043"/>
      <c r="D71" s="1054" t="s">
        <v>54</v>
      </c>
      <c r="E71" s="1057" t="s">
        <v>54</v>
      </c>
      <c r="F71" s="1055">
        <v>129.554945</v>
      </c>
      <c r="G71" s="1055">
        <v>119.45654401687585</v>
      </c>
      <c r="H71" s="1055">
        <v>129.268337</v>
      </c>
      <c r="I71" s="1055">
        <v>46.58700000000001</v>
      </c>
      <c r="J71" s="1055">
        <v>56.722091999999996</v>
      </c>
    </row>
    <row r="72" spans="1:10" ht="13.5" customHeight="1" x14ac:dyDescent="0.45">
      <c r="A72" s="1053">
        <v>2020</v>
      </c>
      <c r="B72" s="1053" t="s">
        <v>2245</v>
      </c>
      <c r="C72" s="1043"/>
      <c r="D72" s="1054" t="s">
        <v>54</v>
      </c>
      <c r="E72" s="1057" t="s">
        <v>54</v>
      </c>
      <c r="F72" s="1055">
        <v>139.21163100000001</v>
      </c>
      <c r="G72" s="1059">
        <v>127.14053499783053</v>
      </c>
      <c r="H72" s="1059">
        <v>132.63434700000005</v>
      </c>
      <c r="I72" s="1055">
        <v>48.196999999999996</v>
      </c>
      <c r="J72" s="1055">
        <v>59.820064999999992</v>
      </c>
    </row>
    <row r="73" spans="1:10" ht="13.5" customHeight="1" x14ac:dyDescent="0.45">
      <c r="A73" s="1053"/>
      <c r="B73" s="1053"/>
      <c r="C73" s="1043"/>
      <c r="D73" s="1054"/>
      <c r="E73" s="1057"/>
      <c r="F73" s="1060"/>
      <c r="G73" s="1060"/>
      <c r="H73" s="1060"/>
      <c r="I73" s="1060"/>
      <c r="J73" s="1060"/>
    </row>
    <row r="74" spans="1:10" ht="13.5" customHeight="1" x14ac:dyDescent="0.45">
      <c r="A74" s="1053"/>
      <c r="B74" s="1061" t="s">
        <v>2246</v>
      </c>
      <c r="C74" s="1061" t="s">
        <v>2247</v>
      </c>
      <c r="D74" s="1054"/>
      <c r="E74" s="1057"/>
      <c r="F74" s="1060">
        <f>(F72-F71)/F71</f>
        <v>7.45373787160344E-2</v>
      </c>
      <c r="G74" s="1060">
        <f>(G72-G71)/G71</f>
        <v>6.4324571284007204E-2</v>
      </c>
      <c r="H74" s="1060">
        <f t="shared" ref="H74:J74" si="0">(H72-H71)/H71</f>
        <v>2.6038936356085757E-2</v>
      </c>
      <c r="I74" s="1060">
        <f t="shared" si="0"/>
        <v>3.4558997145125996E-2</v>
      </c>
      <c r="J74" s="1060">
        <f t="shared" si="0"/>
        <v>5.4616691500024302E-2</v>
      </c>
    </row>
    <row r="75" spans="1:10" ht="13.5" customHeight="1" x14ac:dyDescent="0.45">
      <c r="A75" s="1053"/>
      <c r="B75" s="1061" t="s">
        <v>2202</v>
      </c>
      <c r="C75" s="1061" t="s">
        <v>2247</v>
      </c>
      <c r="D75" s="1043"/>
      <c r="E75" s="1043"/>
      <c r="F75" s="1060">
        <f>(F72-F67)/F67</f>
        <v>0.1977839967739459</v>
      </c>
      <c r="G75" s="1060">
        <f>(G72-G67)/G67</f>
        <v>0.17239549162032039</v>
      </c>
      <c r="H75" s="1060">
        <f t="shared" ref="H75:J75" si="1">(H72-H67)/H67</f>
        <v>0.14492811914489287</v>
      </c>
      <c r="I75" s="1060">
        <f t="shared" si="1"/>
        <v>0.32290798654403563</v>
      </c>
      <c r="J75" s="1060">
        <f t="shared" si="1"/>
        <v>0.29113990413760676</v>
      </c>
    </row>
    <row r="76" spans="1:10" ht="13.5" customHeight="1" x14ac:dyDescent="0.45">
      <c r="A76" s="1043"/>
      <c r="B76" s="1061" t="s">
        <v>2201</v>
      </c>
      <c r="C76" s="1061" t="s">
        <v>2247</v>
      </c>
      <c r="D76" s="1043"/>
      <c r="E76" s="1043"/>
      <c r="F76" s="1060">
        <f>(F72-F62)/F62</f>
        <v>0.17449154490724439</v>
      </c>
      <c r="G76" s="1060">
        <f>(G72-G62)/G62</f>
        <v>0.14038801801692943</v>
      </c>
      <c r="H76" s="1060">
        <f t="shared" ref="H76:J76" si="2">(H72-H62)/H62</f>
        <v>0.17053367974414266</v>
      </c>
      <c r="I76" s="1060">
        <f t="shared" si="2"/>
        <v>0.13430872661801446</v>
      </c>
      <c r="J76" s="1060">
        <f t="shared" si="2"/>
        <v>0.18129407285258525</v>
      </c>
    </row>
    <row r="77" spans="1:10" ht="13.5" customHeight="1" x14ac:dyDescent="0.45"/>
    <row r="78" spans="1:10" x14ac:dyDescent="0.45">
      <c r="A78" s="1062" t="s">
        <v>2206</v>
      </c>
      <c r="G78" s="1063"/>
      <c r="H78" s="1063"/>
    </row>
  </sheetData>
  <mergeCells count="1">
    <mergeCell ref="D4:G4"/>
  </mergeCells>
  <hyperlinks>
    <hyperlink ref="A78" location="Contents!A1" display="Return to Contents Page" xr:uid="{00000000-0004-0000-1900-000000000000}"/>
    <hyperlink ref="D2" r:id="rId1" xr:uid="{00000000-0004-0000-1900-000001000000}"/>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W3543"/>
  <sheetViews>
    <sheetView zoomScaleNormal="100" workbookViewId="0">
      <pane xSplit="1" ySplit="9" topLeftCell="B10" activePane="bottomRight" state="frozen"/>
      <selection pane="topRight" activeCell="B1" sqref="B1"/>
      <selection pane="bottomLeft" activeCell="A10" sqref="A10"/>
      <selection pane="bottomRight" activeCell="X1" sqref="X1"/>
    </sheetView>
  </sheetViews>
  <sheetFormatPr defaultColWidth="9.19921875" defaultRowHeight="12.75" x14ac:dyDescent="0.35"/>
  <cols>
    <col min="1" max="1" width="7.46484375" style="138" customWidth="1"/>
    <col min="2" max="2" width="5.46484375" style="138" customWidth="1"/>
    <col min="3" max="3" width="9" style="138" customWidth="1"/>
    <col min="4" max="4" width="8.53125" style="138" customWidth="1"/>
    <col min="5" max="5" width="6.46484375" style="138" bestFit="1" customWidth="1"/>
    <col min="6" max="6" width="7.46484375" style="138" bestFit="1" customWidth="1"/>
    <col min="7" max="7" width="6.46484375" style="138" bestFit="1" customWidth="1"/>
    <col min="8" max="8" width="1.46484375" style="138" customWidth="1"/>
    <col min="9" max="9" width="2.19921875" style="138" customWidth="1"/>
    <col min="10" max="10" width="2" style="138" customWidth="1"/>
    <col min="11" max="12" width="1.46484375" style="138" customWidth="1"/>
    <col min="13" max="13" width="6.46484375" style="138" customWidth="1"/>
    <col min="14" max="14" width="6.46484375" style="138" bestFit="1" customWidth="1"/>
    <col min="15" max="15" width="7.46484375" style="138" customWidth="1"/>
    <col min="16" max="16" width="7.46484375" style="138" bestFit="1" customWidth="1"/>
    <col min="17" max="17" width="6.46484375" style="138" bestFit="1" customWidth="1"/>
    <col min="18" max="21" width="1" style="138" customWidth="1"/>
    <col min="22" max="22" width="8.73046875" style="977" customWidth="1"/>
    <col min="23" max="23" width="4.46484375" style="978" customWidth="1"/>
    <col min="24" max="24" width="6.796875" style="138" customWidth="1"/>
    <col min="25" max="26" width="6.46484375" style="138" bestFit="1" customWidth="1"/>
    <col min="27" max="27" width="7.46484375" style="138" bestFit="1" customWidth="1"/>
    <col min="28" max="28" width="6.46484375" style="138" bestFit="1" customWidth="1"/>
    <col min="29" max="29" width="1.46484375" style="138" customWidth="1"/>
    <col min="30" max="30" width="2" style="138" customWidth="1"/>
    <col min="31" max="32" width="2.46484375" style="138" customWidth="1"/>
    <col min="33" max="33" width="1.46484375" style="138" customWidth="1"/>
    <col min="34" max="34" width="7.46484375" style="138" customWidth="1"/>
    <col min="35" max="35" width="6.796875" style="138" bestFit="1" customWidth="1"/>
    <col min="36" max="36" width="6.46484375" style="138" bestFit="1" customWidth="1"/>
    <col min="37" max="37" width="7.46484375" style="138" bestFit="1" customWidth="1"/>
    <col min="38" max="38" width="6.46484375" style="138" bestFit="1" customWidth="1"/>
    <col min="39" max="39" width="0.796875" style="138" customWidth="1"/>
    <col min="40" max="42" width="1.46484375" style="138" customWidth="1"/>
    <col min="43" max="43" width="6.46484375" style="977" customWidth="1"/>
    <col min="44" max="16384" width="9.19921875" style="138"/>
  </cols>
  <sheetData>
    <row r="1" spans="1:43" ht="18" customHeight="1" x14ac:dyDescent="0.35">
      <c r="A1" s="1135" t="s">
        <v>2283</v>
      </c>
      <c r="B1" s="979"/>
      <c r="C1" s="979"/>
      <c r="D1" s="980"/>
      <c r="E1" s="979"/>
      <c r="F1" s="979"/>
      <c r="G1" s="979"/>
      <c r="H1" s="979"/>
      <c r="I1" s="979"/>
      <c r="J1" s="979"/>
      <c r="K1" s="979"/>
      <c r="L1" s="979"/>
      <c r="M1" s="981"/>
      <c r="X1" s="1135" t="s">
        <v>2299</v>
      </c>
      <c r="Y1" s="980"/>
      <c r="Z1" s="979"/>
      <c r="AA1" s="979"/>
      <c r="AB1" s="979"/>
    </row>
    <row r="2" spans="1:43" ht="18" customHeight="1" x14ac:dyDescent="0.4">
      <c r="B2" s="1134" t="s">
        <v>2298</v>
      </c>
      <c r="D2" s="508" t="s">
        <v>2207</v>
      </c>
      <c r="V2" s="138"/>
      <c r="W2" s="138"/>
      <c r="AC2" s="979"/>
      <c r="AD2" s="979"/>
      <c r="AE2" s="979"/>
      <c r="AF2" s="979"/>
      <c r="AG2" s="979"/>
      <c r="AH2" s="981"/>
    </row>
    <row r="3" spans="1:43" ht="18" customHeight="1" x14ac:dyDescent="0.35">
      <c r="A3" s="982"/>
      <c r="B3" s="982"/>
      <c r="C3" s="983" t="s">
        <v>2190</v>
      </c>
      <c r="D3" s="983"/>
      <c r="E3" s="983"/>
      <c r="F3" s="983"/>
      <c r="G3" s="983"/>
      <c r="H3" s="982"/>
      <c r="I3" s="983"/>
      <c r="J3" s="984"/>
      <c r="K3" s="985"/>
      <c r="M3" s="986" t="s">
        <v>2191</v>
      </c>
      <c r="N3" s="986"/>
      <c r="O3" s="986"/>
      <c r="P3" s="986"/>
      <c r="Q3" s="986"/>
      <c r="R3" s="982"/>
      <c r="S3" s="986"/>
      <c r="T3" s="985"/>
      <c r="U3" s="987"/>
      <c r="V3" s="988"/>
      <c r="X3" s="983" t="s">
        <v>2190</v>
      </c>
      <c r="Y3" s="983"/>
      <c r="Z3" s="983"/>
      <c r="AA3" s="983"/>
      <c r="AB3" s="983"/>
      <c r="AC3" s="982"/>
      <c r="AD3" s="983"/>
      <c r="AE3" s="984"/>
      <c r="AF3" s="985"/>
      <c r="AH3" s="986" t="s">
        <v>2191</v>
      </c>
      <c r="AI3" s="986"/>
      <c r="AJ3" s="986"/>
      <c r="AK3" s="986"/>
      <c r="AL3" s="986"/>
      <c r="AM3" s="982"/>
      <c r="AN3" s="986"/>
      <c r="AO3" s="985"/>
      <c r="AP3" s="987"/>
      <c r="AQ3" s="988"/>
    </row>
    <row r="4" spans="1:43" x14ac:dyDescent="0.35">
      <c r="A4" s="989"/>
      <c r="B4" s="989"/>
      <c r="C4" s="990" t="s">
        <v>496</v>
      </c>
      <c r="D4" s="990" t="s">
        <v>2192</v>
      </c>
      <c r="E4" s="990" t="s">
        <v>178</v>
      </c>
      <c r="F4" s="990" t="s">
        <v>13</v>
      </c>
      <c r="G4" s="990" t="s">
        <v>211</v>
      </c>
      <c r="H4" s="989"/>
      <c r="I4" s="990"/>
      <c r="J4" s="990"/>
      <c r="K4" s="989"/>
      <c r="M4" s="989" t="s">
        <v>496</v>
      </c>
      <c r="N4" s="989" t="s">
        <v>2192</v>
      </c>
      <c r="O4" s="989" t="s">
        <v>178</v>
      </c>
      <c r="P4" s="989" t="s">
        <v>13</v>
      </c>
      <c r="Q4" s="989" t="s">
        <v>211</v>
      </c>
      <c r="R4" s="991"/>
      <c r="S4" s="989"/>
      <c r="T4" s="989"/>
      <c r="U4" s="989"/>
      <c r="V4" s="992" t="s">
        <v>2193</v>
      </c>
      <c r="X4" s="990" t="s">
        <v>496</v>
      </c>
      <c r="Y4" s="990" t="s">
        <v>2192</v>
      </c>
      <c r="Z4" s="990" t="s">
        <v>178</v>
      </c>
      <c r="AA4" s="990" t="s">
        <v>13</v>
      </c>
      <c r="AB4" s="990" t="s">
        <v>211</v>
      </c>
      <c r="AC4" s="989"/>
      <c r="AD4" s="990"/>
      <c r="AE4" s="990"/>
      <c r="AF4" s="989"/>
      <c r="AH4" s="989" t="s">
        <v>496</v>
      </c>
      <c r="AI4" s="989" t="s">
        <v>2192</v>
      </c>
      <c r="AJ4" s="989" t="s">
        <v>178</v>
      </c>
      <c r="AK4" s="989" t="s">
        <v>13</v>
      </c>
      <c r="AL4" s="989" t="s">
        <v>211</v>
      </c>
      <c r="AM4" s="989"/>
      <c r="AN4" s="989"/>
      <c r="AO4" s="989"/>
      <c r="AP4" s="989"/>
      <c r="AQ4" s="992" t="s">
        <v>2193</v>
      </c>
    </row>
    <row r="5" spans="1:43" ht="13.15" x14ac:dyDescent="0.4">
      <c r="A5" s="989"/>
      <c r="B5" s="989"/>
      <c r="C5" s="993"/>
      <c r="D5" s="993" t="s">
        <v>2194</v>
      </c>
      <c r="E5" s="993"/>
      <c r="F5" s="993"/>
      <c r="G5" s="993" t="s">
        <v>180</v>
      </c>
      <c r="H5" s="987"/>
      <c r="I5" s="993"/>
      <c r="J5" s="993"/>
      <c r="K5" s="987"/>
      <c r="M5" s="987"/>
      <c r="N5" s="987" t="s">
        <v>2194</v>
      </c>
      <c r="O5" s="987"/>
      <c r="P5" s="987"/>
      <c r="Q5" s="987" t="s">
        <v>180</v>
      </c>
      <c r="R5" s="987"/>
      <c r="S5" s="987"/>
      <c r="T5" s="987"/>
      <c r="U5" s="987"/>
      <c r="V5" s="994" t="s">
        <v>2195</v>
      </c>
      <c r="X5" s="993"/>
      <c r="Y5" s="993" t="s">
        <v>2194</v>
      </c>
      <c r="Z5" s="993"/>
      <c r="AA5" s="993"/>
      <c r="AB5" s="993" t="s">
        <v>180</v>
      </c>
      <c r="AC5" s="987"/>
      <c r="AD5" s="993"/>
      <c r="AE5" s="993"/>
      <c r="AF5" s="987"/>
      <c r="AH5" s="987"/>
      <c r="AI5" s="987" t="s">
        <v>2194</v>
      </c>
      <c r="AJ5" s="987"/>
      <c r="AK5" s="987"/>
      <c r="AL5" s="987" t="s">
        <v>180</v>
      </c>
      <c r="AM5" s="987"/>
      <c r="AN5" s="987"/>
      <c r="AO5" s="987"/>
      <c r="AP5" s="987"/>
      <c r="AQ5" s="994" t="s">
        <v>2195</v>
      </c>
    </row>
    <row r="6" spans="1:43" x14ac:dyDescent="0.35">
      <c r="A6" s="995" t="s">
        <v>2196</v>
      </c>
      <c r="B6" s="982"/>
      <c r="C6" s="996" t="s">
        <v>2197</v>
      </c>
      <c r="D6" s="996"/>
      <c r="E6" s="996"/>
      <c r="F6" s="996"/>
      <c r="G6" s="996"/>
      <c r="H6" s="997"/>
      <c r="I6" s="998"/>
      <c r="J6" s="998"/>
      <c r="K6" s="997"/>
      <c r="M6" s="999" t="s">
        <v>2198</v>
      </c>
      <c r="N6" s="999"/>
      <c r="O6" s="999"/>
      <c r="P6" s="999"/>
      <c r="Q6" s="999"/>
      <c r="U6" s="976"/>
      <c r="X6" s="996" t="s">
        <v>2197</v>
      </c>
      <c r="Y6" s="996"/>
      <c r="Z6" s="996"/>
      <c r="AA6" s="996"/>
      <c r="AB6" s="996"/>
      <c r="AC6" s="997"/>
      <c r="AD6" s="998"/>
      <c r="AE6" s="998"/>
      <c r="AF6" s="997"/>
      <c r="AH6" s="999" t="s">
        <v>2198</v>
      </c>
      <c r="AI6" s="999"/>
      <c r="AJ6" s="999"/>
      <c r="AK6" s="999"/>
      <c r="AL6" s="999"/>
      <c r="AP6" s="976"/>
    </row>
    <row r="7" spans="1:43" x14ac:dyDescent="0.35">
      <c r="A7" s="995"/>
      <c r="B7" s="982"/>
      <c r="C7" s="1026"/>
      <c r="D7" s="1026"/>
      <c r="E7" s="1026"/>
      <c r="F7" s="1026"/>
      <c r="G7" s="1026"/>
      <c r="H7" s="1027"/>
      <c r="I7" s="1028"/>
      <c r="J7" s="1028"/>
      <c r="K7" s="1027"/>
      <c r="M7" s="1029"/>
      <c r="N7" s="1029"/>
      <c r="O7" s="1029"/>
      <c r="P7" s="1029"/>
      <c r="Q7" s="1029"/>
      <c r="U7" s="976"/>
      <c r="X7" s="1026"/>
      <c r="Y7" s="1026"/>
      <c r="Z7" s="1026"/>
      <c r="AA7" s="1026"/>
      <c r="AB7" s="1026"/>
      <c r="AC7" s="1027"/>
      <c r="AD7" s="1028"/>
      <c r="AE7" s="1028"/>
      <c r="AF7" s="1027"/>
      <c r="AH7" s="1029"/>
      <c r="AI7" s="1029"/>
      <c r="AJ7" s="1029"/>
      <c r="AK7" s="1029"/>
      <c r="AL7" s="1029"/>
      <c r="AP7" s="976"/>
    </row>
    <row r="8" spans="1:43" x14ac:dyDescent="0.35">
      <c r="A8" s="995"/>
      <c r="B8" s="982"/>
      <c r="C8" s="1026"/>
      <c r="D8" s="1026"/>
      <c r="E8" s="1026"/>
      <c r="F8" s="1026"/>
      <c r="G8" s="1026"/>
      <c r="H8" s="1027"/>
      <c r="I8" s="1028"/>
      <c r="J8" s="1028"/>
      <c r="K8" s="1027"/>
      <c r="M8" s="1029"/>
      <c r="N8" s="1029"/>
      <c r="O8" s="1029"/>
      <c r="P8" s="1029"/>
      <c r="Q8" s="1029"/>
      <c r="U8" s="976"/>
      <c r="X8" s="1026"/>
      <c r="Y8" s="1026"/>
      <c r="Z8" s="1026"/>
      <c r="AA8" s="1026"/>
      <c r="AB8" s="1026"/>
      <c r="AC8" s="1027"/>
      <c r="AD8" s="1028"/>
      <c r="AE8" s="1028"/>
      <c r="AF8" s="1027"/>
      <c r="AH8" s="1029"/>
      <c r="AI8" s="1029"/>
      <c r="AJ8" s="1029"/>
      <c r="AK8" s="1029"/>
      <c r="AL8" s="1029"/>
      <c r="AP8" s="976"/>
    </row>
    <row r="9" spans="1:43" x14ac:dyDescent="0.35">
      <c r="A9" s="995"/>
      <c r="B9" s="982"/>
      <c r="C9" s="1026"/>
      <c r="D9" s="1026"/>
      <c r="E9" s="1026"/>
      <c r="F9" s="1026"/>
      <c r="G9" s="1026"/>
      <c r="H9" s="1027"/>
      <c r="I9" s="1028"/>
      <c r="J9" s="1028"/>
      <c r="K9" s="1027"/>
      <c r="M9" s="1029"/>
      <c r="N9" s="1029"/>
      <c r="O9" s="1029"/>
      <c r="P9" s="1029"/>
      <c r="Q9" s="1029"/>
      <c r="U9" s="976"/>
      <c r="X9" s="1026"/>
      <c r="Y9" s="1026"/>
      <c r="Z9" s="1026"/>
      <c r="AA9" s="1026"/>
      <c r="AB9" s="1026"/>
      <c r="AC9" s="1027"/>
      <c r="AD9" s="1028"/>
      <c r="AE9" s="1028"/>
      <c r="AF9" s="1027"/>
      <c r="AH9" s="1029"/>
      <c r="AI9" s="1029"/>
      <c r="AJ9" s="1029"/>
      <c r="AK9" s="1029"/>
      <c r="AL9" s="1029"/>
      <c r="AP9" s="976"/>
    </row>
    <row r="10" spans="1:43" x14ac:dyDescent="0.35">
      <c r="A10" s="1000">
        <v>1900</v>
      </c>
      <c r="B10" s="982"/>
      <c r="C10" s="1040">
        <f>C$80*('2.3.3. Prices Ind2'!H10/'2.3.3. Prices Ind2'!H$80)</f>
        <v>0.98279474930841981</v>
      </c>
      <c r="D10" s="1026"/>
      <c r="E10" s="1026"/>
      <c r="F10" s="1026"/>
      <c r="G10" s="1026"/>
      <c r="H10" s="1027"/>
      <c r="I10" s="1028"/>
      <c r="J10" s="1028"/>
      <c r="K10" s="1027"/>
      <c r="M10" s="1004">
        <f t="shared" ref="M10:O73" si="0">C10*100/$V10</f>
        <v>88.29704002987377</v>
      </c>
      <c r="N10" s="1041"/>
      <c r="O10" s="1041"/>
      <c r="P10" s="1041"/>
      <c r="Q10" s="1041"/>
      <c r="U10" s="976"/>
      <c r="V10" s="977">
        <f>'2.3.3. Prices Ind2'!T10</f>
        <v>1.1130551476877462</v>
      </c>
      <c r="X10" s="1040">
        <f>X$80*('2.3.3. Prices Ind2'!H10/'2.3.3. Prices Ind2'!H$80)</f>
        <v>0.92094799112409254</v>
      </c>
      <c r="Y10" s="1040"/>
      <c r="Z10" s="1040"/>
      <c r="AA10" s="1040"/>
      <c r="AB10" s="1026"/>
      <c r="AC10" s="1027"/>
      <c r="AD10" s="1028"/>
      <c r="AE10" s="1028"/>
      <c r="AF10" s="1027"/>
      <c r="AH10" s="1004">
        <f t="shared" ref="AH10:AH73" si="1">X10*100/$AQ10</f>
        <v>82.740553604847349</v>
      </c>
      <c r="AI10" s="1004"/>
      <c r="AJ10" s="1004"/>
      <c r="AK10" s="1004"/>
      <c r="AL10" s="1004"/>
      <c r="AP10" s="976"/>
      <c r="AQ10" s="977">
        <f>'2.3.3. Prices Ind2'!T10</f>
        <v>1.1130551476877462</v>
      </c>
    </row>
    <row r="11" spans="1:43" x14ac:dyDescent="0.35">
      <c r="A11" s="1000">
        <v>1901</v>
      </c>
      <c r="B11" s="982"/>
      <c r="C11" s="1040">
        <f>C$80*('2.3.3. Prices Ind2'!H11/'2.3.3. Prices Ind2'!H$80)</f>
        <v>0.84716907390385787</v>
      </c>
      <c r="D11" s="1026"/>
      <c r="E11" s="1026"/>
      <c r="F11" s="1026"/>
      <c r="G11" s="1026"/>
      <c r="H11" s="1027"/>
      <c r="I11" s="1028"/>
      <c r="J11" s="1028"/>
      <c r="K11" s="1027"/>
      <c r="M11" s="1004">
        <f t="shared" si="0"/>
        <v>77.186180984273676</v>
      </c>
      <c r="N11" s="1041"/>
      <c r="O11" s="1041"/>
      <c r="P11" s="1041"/>
      <c r="Q11" s="1041"/>
      <c r="U11" s="976"/>
      <c r="V11" s="977">
        <f>'2.3.3. Prices Ind2'!T11</f>
        <v>1.0975657340482547</v>
      </c>
      <c r="X11" s="1040">
        <f>X$80*('2.3.3. Prices Ind2'!H11/'2.3.3. Prices Ind2'!H$80)</f>
        <v>0.7938571683489678</v>
      </c>
      <c r="Y11" s="1040"/>
      <c r="Z11" s="1040"/>
      <c r="AA11" s="1040"/>
      <c r="AB11" s="1026"/>
      <c r="AC11" s="1027"/>
      <c r="AD11" s="1028"/>
      <c r="AE11" s="1028"/>
      <c r="AF11" s="1027"/>
      <c r="AH11" s="1004">
        <f t="shared" si="1"/>
        <v>72.32889509231579</v>
      </c>
      <c r="AI11" s="1004"/>
      <c r="AJ11" s="1004"/>
      <c r="AK11" s="1004"/>
      <c r="AL11" s="1004"/>
      <c r="AP11" s="976"/>
      <c r="AQ11" s="977">
        <f>'2.3.3. Prices Ind2'!T11</f>
        <v>1.0975657340482547</v>
      </c>
    </row>
    <row r="12" spans="1:43" x14ac:dyDescent="0.35">
      <c r="A12" s="1000">
        <v>1902</v>
      </c>
      <c r="B12" s="982"/>
      <c r="C12" s="1040">
        <f>C$80*('2.3.3. Prices Ind2'!H12/'2.3.3. Prices Ind2'!H$80)</f>
        <v>0.74888959897301588</v>
      </c>
      <c r="D12" s="1026"/>
      <c r="E12" s="1026"/>
      <c r="F12" s="1026"/>
      <c r="G12" s="1026"/>
      <c r="H12" s="1027"/>
      <c r="I12" s="1028"/>
      <c r="J12" s="1028"/>
      <c r="K12" s="1027"/>
      <c r="M12" s="1004">
        <f t="shared" si="0"/>
        <v>68.981812990415378</v>
      </c>
      <c r="N12" s="1041"/>
      <c r="O12" s="1041"/>
      <c r="P12" s="1041"/>
      <c r="Q12" s="1041"/>
      <c r="U12" s="976"/>
      <c r="V12" s="977">
        <f>'2.3.3. Prices Ind2'!T12</f>
        <v>1.0856333959750664</v>
      </c>
      <c r="X12" s="1040">
        <f>X$80*('2.3.3. Prices Ind2'!H12/'2.3.3. Prices Ind2'!H$80)</f>
        <v>0.70176236923655855</v>
      </c>
      <c r="Y12" s="1040"/>
      <c r="Z12" s="1040"/>
      <c r="AA12" s="1040"/>
      <c r="AB12" s="1026"/>
      <c r="AC12" s="1027"/>
      <c r="AD12" s="1028"/>
      <c r="AE12" s="1028"/>
      <c r="AF12" s="1027"/>
      <c r="AH12" s="1004">
        <f t="shared" si="1"/>
        <v>64.640823673839506</v>
      </c>
      <c r="AI12" s="1004"/>
      <c r="AJ12" s="1004"/>
      <c r="AK12" s="1004"/>
      <c r="AL12" s="1004"/>
      <c r="AP12" s="976"/>
      <c r="AQ12" s="977">
        <f>'2.3.3. Prices Ind2'!T12</f>
        <v>1.0856333959750664</v>
      </c>
    </row>
    <row r="13" spans="1:43" x14ac:dyDescent="0.35">
      <c r="A13" s="1000">
        <v>1903</v>
      </c>
      <c r="B13" s="982"/>
      <c r="C13" s="1040">
        <f>C$80*('2.3.3. Prices Ind2'!H13/'2.3.3. Prices Ind2'!H$80)</f>
        <v>0.6044187708246781</v>
      </c>
      <c r="D13" s="1026"/>
      <c r="E13" s="1026"/>
      <c r="F13" s="1026"/>
      <c r="G13" s="1026"/>
      <c r="H13" s="1027"/>
      <c r="I13" s="1028"/>
      <c r="J13" s="1028"/>
      <c r="K13" s="1027"/>
      <c r="M13" s="1004">
        <f t="shared" si="0"/>
        <v>55.836713311516554</v>
      </c>
      <c r="N13" s="1041"/>
      <c r="O13" s="1041"/>
      <c r="P13" s="1041"/>
      <c r="Q13" s="1041"/>
      <c r="U13" s="976"/>
      <c r="V13" s="977">
        <f>'2.3.3. Prices Ind2'!T13</f>
        <v>1.0824755523352307</v>
      </c>
      <c r="X13" s="1040">
        <f>X$80*('2.3.3. Prices Ind2'!H13/'2.3.3. Prices Ind2'!H$80)</f>
        <v>0.5663830145413169</v>
      </c>
      <c r="Y13" s="1040"/>
      <c r="Z13" s="1040"/>
      <c r="AA13" s="1040"/>
      <c r="AB13" s="1026"/>
      <c r="AC13" s="1027"/>
      <c r="AD13" s="1028"/>
      <c r="AE13" s="1028"/>
      <c r="AF13" s="1027"/>
      <c r="AH13" s="1004">
        <f t="shared" si="1"/>
        <v>52.322938224281884</v>
      </c>
      <c r="AI13" s="1004"/>
      <c r="AJ13" s="1004"/>
      <c r="AK13" s="1004"/>
      <c r="AL13" s="1004"/>
      <c r="AP13" s="976"/>
      <c r="AQ13" s="977">
        <f>'2.3.3. Prices Ind2'!T13</f>
        <v>1.0824755523352307</v>
      </c>
    </row>
    <row r="14" spans="1:43" x14ac:dyDescent="0.35">
      <c r="A14" s="1000">
        <v>1904</v>
      </c>
      <c r="B14" s="982"/>
      <c r="C14" s="1040">
        <f>C$80*('2.3.3. Prices Ind2'!H14/'2.3.3. Prices Ind2'!H$80)</f>
        <v>0.65748968728733292</v>
      </c>
      <c r="D14" s="1026"/>
      <c r="E14" s="1026"/>
      <c r="F14" s="1026"/>
      <c r="G14" s="1026"/>
      <c r="H14" s="1027"/>
      <c r="I14" s="1028"/>
      <c r="J14" s="1028"/>
      <c r="K14" s="1027"/>
      <c r="M14" s="1004">
        <f t="shared" si="0"/>
        <v>61.392820562228337</v>
      </c>
      <c r="N14" s="1041"/>
      <c r="O14" s="1041"/>
      <c r="P14" s="1041"/>
      <c r="Q14" s="1041"/>
      <c r="U14" s="976"/>
      <c r="V14" s="977">
        <f>'2.3.3. Prices Ind2'!T14</f>
        <v>1.0709553352755559</v>
      </c>
      <c r="X14" s="1040">
        <f>X$80*('2.3.3. Prices Ind2'!H14/'2.3.3. Prices Ind2'!H$80)</f>
        <v>0.61611420606201794</v>
      </c>
      <c r="Y14" s="1040"/>
      <c r="Z14" s="1040"/>
      <c r="AA14" s="1040"/>
      <c r="AB14" s="1026"/>
      <c r="AC14" s="1027"/>
      <c r="AD14" s="1028"/>
      <c r="AE14" s="1028"/>
      <c r="AF14" s="1027"/>
      <c r="AH14" s="1004">
        <f t="shared" si="1"/>
        <v>57.52940255939734</v>
      </c>
      <c r="AI14" s="1004"/>
      <c r="AJ14" s="1004"/>
      <c r="AK14" s="1004"/>
      <c r="AL14" s="1004"/>
      <c r="AP14" s="976"/>
      <c r="AQ14" s="977">
        <f>'2.3.3. Prices Ind2'!T14</f>
        <v>1.0709553352755559</v>
      </c>
    </row>
    <row r="15" spans="1:43" x14ac:dyDescent="0.35">
      <c r="A15" s="1000">
        <v>1905</v>
      </c>
      <c r="B15" s="982"/>
      <c r="C15" s="1040">
        <f>C$80*('2.3.3. Prices Ind2'!H15/'2.3.3. Prices Ind2'!H$80)</f>
        <v>0.6270230500587719</v>
      </c>
      <c r="D15" s="1026"/>
      <c r="E15" s="1026"/>
      <c r="F15" s="1026"/>
      <c r="G15" s="1026"/>
      <c r="H15" s="1027"/>
      <c r="I15" s="1028"/>
      <c r="J15" s="1028"/>
      <c r="K15" s="1027"/>
      <c r="M15" s="1004">
        <f t="shared" si="0"/>
        <v>58.310739989381936</v>
      </c>
      <c r="N15" s="1041"/>
      <c r="O15" s="1041"/>
      <c r="P15" s="1041"/>
      <c r="Q15" s="1041"/>
      <c r="U15" s="976"/>
      <c r="V15" s="977">
        <f>'2.3.3. Prices Ind2'!T15</f>
        <v>1.0753131415806922</v>
      </c>
      <c r="X15" s="1040">
        <f>X$80*('2.3.3. Prices Ind2'!H15/'2.3.3. Prices Ind2'!H$80)</f>
        <v>0.58756481833717111</v>
      </c>
      <c r="Y15" s="1040"/>
      <c r="Z15" s="1040"/>
      <c r="AA15" s="1040"/>
      <c r="AB15" s="1026"/>
      <c r="AC15" s="1027"/>
      <c r="AD15" s="1028"/>
      <c r="AE15" s="1028"/>
      <c r="AF15" s="1027"/>
      <c r="AH15" s="1004">
        <f t="shared" si="1"/>
        <v>54.641275700719206</v>
      </c>
      <c r="AI15" s="1004"/>
      <c r="AJ15" s="1004"/>
      <c r="AK15" s="1004"/>
      <c r="AL15" s="1004"/>
      <c r="AP15" s="976"/>
      <c r="AQ15" s="977">
        <f>'2.3.3. Prices Ind2'!T15</f>
        <v>1.0753131415806922</v>
      </c>
    </row>
    <row r="16" spans="1:43" x14ac:dyDescent="0.35">
      <c r="A16" s="1000">
        <v>1906</v>
      </c>
      <c r="B16" s="982"/>
      <c r="C16" s="1040">
        <f>C$80*('2.3.3. Prices Ind2'!H16/'2.3.3. Prices Ind2'!H$80)</f>
        <v>0.63488540805323912</v>
      </c>
      <c r="D16" s="1026"/>
      <c r="E16" s="1026"/>
      <c r="F16" s="1026"/>
      <c r="G16" s="1026"/>
      <c r="H16" s="1027"/>
      <c r="I16" s="1028"/>
      <c r="J16" s="1028"/>
      <c r="K16" s="1027"/>
      <c r="M16" s="1004">
        <f t="shared" si="0"/>
        <v>58.171448071642878</v>
      </c>
      <c r="N16" s="1041"/>
      <c r="O16" s="1041"/>
      <c r="P16" s="1041"/>
      <c r="Q16" s="1041"/>
      <c r="U16" s="976"/>
      <c r="V16" s="977">
        <f>'2.3.3. Prices Ind2'!T16</f>
        <v>1.0914038228364644</v>
      </c>
      <c r="X16" s="1040">
        <f>X$80*('2.3.3. Prices Ind2'!H16/'2.3.3. Prices Ind2'!H$80)</f>
        <v>0.59493240226616373</v>
      </c>
      <c r="Y16" s="1040"/>
      <c r="Z16" s="1040"/>
      <c r="AA16" s="1040"/>
      <c r="AB16" s="1026"/>
      <c r="AC16" s="1027"/>
      <c r="AD16" s="1028"/>
      <c r="AE16" s="1028"/>
      <c r="AF16" s="1027"/>
      <c r="AH16" s="1004">
        <f t="shared" si="1"/>
        <v>54.51074935031707</v>
      </c>
      <c r="AI16" s="1004"/>
      <c r="AJ16" s="1004"/>
      <c r="AK16" s="1004"/>
      <c r="AL16" s="1004"/>
      <c r="AP16" s="976"/>
      <c r="AQ16" s="977">
        <f>'2.3.3. Prices Ind2'!T16</f>
        <v>1.0914038228364644</v>
      </c>
    </row>
    <row r="17" spans="1:43" x14ac:dyDescent="0.35">
      <c r="A17" s="1000">
        <v>1907</v>
      </c>
      <c r="B17" s="982"/>
      <c r="C17" s="1040">
        <f>C$80*('2.3.3. Prices Ind2'!H17/'2.3.3. Prices Ind2'!H$80)</f>
        <v>0.82358199992045567</v>
      </c>
      <c r="D17" s="1026"/>
      <c r="E17" s="1026"/>
      <c r="F17" s="1026"/>
      <c r="G17" s="1026"/>
      <c r="H17" s="1027"/>
      <c r="I17" s="1028"/>
      <c r="J17" s="1028"/>
      <c r="K17" s="1027"/>
      <c r="M17" s="1004">
        <f t="shared" si="0"/>
        <v>74.600051378149587</v>
      </c>
      <c r="N17" s="1041"/>
      <c r="O17" s="1041"/>
      <c r="P17" s="1041"/>
      <c r="Q17" s="1041"/>
      <c r="U17" s="976"/>
      <c r="V17" s="977">
        <f>'2.3.3. Prices Ind2'!T17</f>
        <v>1.1039965585890783</v>
      </c>
      <c r="X17" s="1040">
        <f>X$80*('2.3.3. Prices Ind2'!H17/'2.3.3. Prices Ind2'!H$80)</f>
        <v>0.77175441656198951</v>
      </c>
      <c r="Y17" s="1040"/>
      <c r="Z17" s="1040"/>
      <c r="AA17" s="1040"/>
      <c r="AB17" s="1026"/>
      <c r="AC17" s="1027"/>
      <c r="AD17" s="1028"/>
      <c r="AE17" s="1028"/>
      <c r="AF17" s="1027"/>
      <c r="AH17" s="1004">
        <f t="shared" si="1"/>
        <v>69.905509266106918</v>
      </c>
      <c r="AI17" s="1004"/>
      <c r="AJ17" s="1004"/>
      <c r="AK17" s="1004"/>
      <c r="AL17" s="1004"/>
      <c r="AP17" s="976"/>
      <c r="AQ17" s="977">
        <f>'2.3.3. Prices Ind2'!T17</f>
        <v>1.1039965585890783</v>
      </c>
    </row>
    <row r="18" spans="1:43" x14ac:dyDescent="0.35">
      <c r="A18" s="1000">
        <v>1908</v>
      </c>
      <c r="B18" s="982"/>
      <c r="C18" s="1040">
        <f>C$80*('2.3.3. Prices Ind2'!H18/'2.3.3. Prices Ind2'!H$80)</f>
        <v>0.80884007868082952</v>
      </c>
      <c r="D18" s="1026"/>
      <c r="E18" s="1026"/>
      <c r="F18" s="1026"/>
      <c r="G18" s="1026"/>
      <c r="H18" s="1027"/>
      <c r="I18" s="1028"/>
      <c r="J18" s="1028"/>
      <c r="K18" s="1027"/>
      <c r="M18" s="1004">
        <f t="shared" si="0"/>
        <v>73.884295602528738</v>
      </c>
      <c r="N18" s="1041"/>
      <c r="O18" s="1041"/>
      <c r="P18" s="1041"/>
      <c r="Q18" s="1041"/>
      <c r="U18" s="976"/>
      <c r="V18" s="977">
        <f>'2.3.3. Prices Ind2'!T18</f>
        <v>1.094738837373644</v>
      </c>
      <c r="X18" s="1040">
        <f>X$80*('2.3.3. Prices Ind2'!H18/'2.3.3. Prices Ind2'!H$80)</f>
        <v>0.75794019669512813</v>
      </c>
      <c r="Y18" s="1040"/>
      <c r="Z18" s="1040"/>
      <c r="AA18" s="1040"/>
      <c r="AB18" s="1026"/>
      <c r="AC18" s="1027"/>
      <c r="AD18" s="1028"/>
      <c r="AE18" s="1028"/>
      <c r="AF18" s="1027"/>
      <c r="AH18" s="1004">
        <f t="shared" si="1"/>
        <v>69.234795626094737</v>
      </c>
      <c r="AI18" s="1004"/>
      <c r="AJ18" s="1004"/>
      <c r="AK18" s="1004"/>
      <c r="AL18" s="1004"/>
      <c r="AP18" s="976"/>
      <c r="AQ18" s="977">
        <f>'2.3.3. Prices Ind2'!T18</f>
        <v>1.094738837373644</v>
      </c>
    </row>
    <row r="19" spans="1:43" x14ac:dyDescent="0.35">
      <c r="A19" s="1000">
        <v>1909</v>
      </c>
      <c r="B19" s="982"/>
      <c r="C19" s="1040">
        <f>C$80*('2.3.3. Prices Ind2'!H19/'2.3.3. Prices Ind2'!H$80)</f>
        <v>0.71547457749652965</v>
      </c>
      <c r="D19" s="1026"/>
      <c r="E19" s="1026"/>
      <c r="F19" s="1026"/>
      <c r="G19" s="1026"/>
      <c r="H19" s="1027"/>
      <c r="I19" s="1028"/>
      <c r="J19" s="1028"/>
      <c r="K19" s="1027"/>
      <c r="M19" s="1004">
        <f t="shared" si="0"/>
        <v>65.505356891630001</v>
      </c>
      <c r="N19" s="1041"/>
      <c r="O19" s="1041"/>
      <c r="P19" s="1041"/>
      <c r="Q19" s="1041"/>
      <c r="U19" s="976"/>
      <c r="V19" s="977">
        <f>'2.3.3. Prices Ind2'!T19</f>
        <v>1.0922382709557452</v>
      </c>
      <c r="X19" s="1040">
        <f>X$80*('2.3.3. Prices Ind2'!H19/'2.3.3. Prices Ind2'!H$80)</f>
        <v>0.67045013753833949</v>
      </c>
      <c r="Y19" s="1040"/>
      <c r="Z19" s="1040"/>
      <c r="AA19" s="1040"/>
      <c r="AB19" s="1026"/>
      <c r="AC19" s="1027"/>
      <c r="AD19" s="1028"/>
      <c r="AE19" s="1028"/>
      <c r="AF19" s="1027"/>
      <c r="AH19" s="1004">
        <f t="shared" si="1"/>
        <v>61.383139134254378</v>
      </c>
      <c r="AI19" s="1004"/>
      <c r="AJ19" s="1004"/>
      <c r="AK19" s="1004"/>
      <c r="AL19" s="1004"/>
      <c r="AP19" s="976"/>
      <c r="AQ19" s="977">
        <f>'2.3.3. Prices Ind2'!T19</f>
        <v>1.0922382709557452</v>
      </c>
    </row>
    <row r="20" spans="1:43" x14ac:dyDescent="0.35">
      <c r="A20" s="1000">
        <v>1910</v>
      </c>
      <c r="B20" s="982"/>
      <c r="C20" s="1040">
        <f>C$80*('2.3.3. Prices Ind2'!H20/'2.3.3. Prices Ind2'!H$80)</f>
        <v>0.74102724097854866</v>
      </c>
      <c r="D20" s="1026"/>
      <c r="E20" s="1026"/>
      <c r="F20" s="1026"/>
      <c r="G20" s="1026"/>
      <c r="H20" s="1027"/>
      <c r="I20" s="1028"/>
      <c r="J20" s="1028"/>
      <c r="K20" s="1027"/>
      <c r="M20" s="1004">
        <f t="shared" si="0"/>
        <v>66.913020105270903</v>
      </c>
      <c r="N20" s="1041"/>
      <c r="O20" s="1041"/>
      <c r="P20" s="1041"/>
      <c r="Q20" s="1041"/>
      <c r="U20" s="976"/>
      <c r="V20" s="977">
        <f>'2.3.3. Prices Ind2'!T20</f>
        <v>1.1074485052576128</v>
      </c>
      <c r="X20" s="1040">
        <f>X$80*('2.3.3. Prices Ind2'!H20/'2.3.3. Prices Ind2'!H$80)</f>
        <v>0.69439478530756593</v>
      </c>
      <c r="Y20" s="1040"/>
      <c r="Z20" s="1040"/>
      <c r="AA20" s="1040"/>
      <c r="AB20" s="1026"/>
      <c r="AC20" s="1027"/>
      <c r="AD20" s="1028"/>
      <c r="AE20" s="1028"/>
      <c r="AF20" s="1027"/>
      <c r="AH20" s="1004">
        <f t="shared" si="1"/>
        <v>62.702218840056759</v>
      </c>
      <c r="AI20" s="1004"/>
      <c r="AJ20" s="1004"/>
      <c r="AK20" s="1004"/>
      <c r="AL20" s="1004"/>
      <c r="AP20" s="976"/>
      <c r="AQ20" s="977">
        <f>'2.3.3. Prices Ind2'!T20</f>
        <v>1.1074485052576128</v>
      </c>
    </row>
    <row r="21" spans="1:43" x14ac:dyDescent="0.35">
      <c r="A21" s="1000">
        <v>1911</v>
      </c>
      <c r="B21" s="982"/>
      <c r="C21" s="1040">
        <f>C$80*('2.3.3. Prices Ind2'!H21/'2.3.3. Prices Ind2'!H$80)</f>
        <v>0.74102724097854866</v>
      </c>
      <c r="D21" s="1026"/>
      <c r="E21" s="1026"/>
      <c r="F21" s="1026"/>
      <c r="G21" s="1026"/>
      <c r="H21" s="1027"/>
      <c r="I21" s="1028"/>
      <c r="J21" s="1028"/>
      <c r="K21" s="1027"/>
      <c r="M21" s="1004">
        <f t="shared" si="0"/>
        <v>66.537520183716509</v>
      </c>
      <c r="N21" s="1041"/>
      <c r="O21" s="1041"/>
      <c r="P21" s="1041"/>
      <c r="Q21" s="1041"/>
      <c r="U21" s="976"/>
      <c r="V21" s="977">
        <f>'2.3.3. Prices Ind2'!T21</f>
        <v>1.1136983147741319</v>
      </c>
      <c r="X21" s="1040">
        <f>X$80*('2.3.3. Prices Ind2'!H21/'2.3.3. Prices Ind2'!H$80)</f>
        <v>0.69439478530756593</v>
      </c>
      <c r="Y21" s="1040"/>
      <c r="Z21" s="1040"/>
      <c r="AA21" s="1040"/>
      <c r="AB21" s="1026"/>
      <c r="AC21" s="1027"/>
      <c r="AD21" s="1028"/>
      <c r="AE21" s="1028"/>
      <c r="AF21" s="1027"/>
      <c r="AH21" s="1004">
        <f t="shared" si="1"/>
        <v>62.350348931649002</v>
      </c>
      <c r="AI21" s="1004"/>
      <c r="AJ21" s="1004"/>
      <c r="AK21" s="1004"/>
      <c r="AL21" s="1004"/>
      <c r="AP21" s="976"/>
      <c r="AQ21" s="977">
        <f>'2.3.3. Prices Ind2'!T21</f>
        <v>1.1136983147741319</v>
      </c>
    </row>
    <row r="22" spans="1:43" x14ac:dyDescent="0.35">
      <c r="A22" s="1000">
        <v>1912</v>
      </c>
      <c r="B22" s="982"/>
      <c r="C22" s="1040">
        <f>C$80*('2.3.3. Prices Ind2'!H22/'2.3.3. Prices Ind2'!H$80)</f>
        <v>0.82358199992045567</v>
      </c>
      <c r="D22" s="1026"/>
      <c r="E22" s="1026"/>
      <c r="F22" s="1026"/>
      <c r="G22" s="1026"/>
      <c r="H22" s="1027"/>
      <c r="I22" s="1028"/>
      <c r="J22" s="1028"/>
      <c r="K22" s="1027"/>
      <c r="M22" s="1004">
        <f t="shared" si="0"/>
        <v>72.158257193980504</v>
      </c>
      <c r="N22" s="1041"/>
      <c r="O22" s="1041"/>
      <c r="P22" s="1041"/>
      <c r="Q22" s="1041"/>
      <c r="U22" s="976"/>
      <c r="V22" s="977">
        <f>'2.3.3. Prices Ind2'!T22</f>
        <v>1.1413551711849819</v>
      </c>
      <c r="X22" s="1040">
        <f>X$80*('2.3.3. Prices Ind2'!H22/'2.3.3. Prices Ind2'!H$80)</f>
        <v>0.77175441656198951</v>
      </c>
      <c r="Y22" s="1040"/>
      <c r="Z22" s="1040"/>
      <c r="AA22" s="1040"/>
      <c r="AB22" s="1026"/>
      <c r="AC22" s="1027"/>
      <c r="AD22" s="1028"/>
      <c r="AE22" s="1028"/>
      <c r="AF22" s="1027"/>
      <c r="AH22" s="1004">
        <f t="shared" si="1"/>
        <v>67.617375909440696</v>
      </c>
      <c r="AI22" s="1004"/>
      <c r="AJ22" s="1004"/>
      <c r="AK22" s="1004"/>
      <c r="AL22" s="1004"/>
      <c r="AP22" s="976"/>
      <c r="AQ22" s="977">
        <f>'2.3.3. Prices Ind2'!T22</f>
        <v>1.1413551711849819</v>
      </c>
    </row>
    <row r="23" spans="1:43" x14ac:dyDescent="0.35">
      <c r="A23" s="1000">
        <v>1913</v>
      </c>
      <c r="B23" s="982"/>
      <c r="C23" s="1040">
        <f>C$80*('2.3.3. Prices Ind2'!H23/'2.3.3. Prices Ind2'!H$80)</f>
        <v>0.91498191160613873</v>
      </c>
      <c r="D23" s="1026"/>
      <c r="E23" s="1026"/>
      <c r="F23" s="1026"/>
      <c r="G23" s="1026"/>
      <c r="H23" s="1027"/>
      <c r="I23" s="1028"/>
      <c r="J23" s="1028"/>
      <c r="K23" s="1027"/>
      <c r="M23" s="1004">
        <f t="shared" si="0"/>
        <v>80.213484465572762</v>
      </c>
      <c r="N23" s="1041"/>
      <c r="O23" s="1041"/>
      <c r="P23" s="1041"/>
      <c r="Q23" s="1041"/>
      <c r="U23" s="976"/>
      <c r="V23" s="977">
        <f>'2.3.3. Prices Ind2'!T23</f>
        <v>1.140683412149792</v>
      </c>
      <c r="X23" s="1040">
        <f>X$80*('2.3.3. Prices Ind2'!H23/'2.3.3. Prices Ind2'!H$80)</f>
        <v>0.85740257973653011</v>
      </c>
      <c r="Y23" s="1040"/>
      <c r="Z23" s="1040"/>
      <c r="AA23" s="1040"/>
      <c r="AB23" s="1026"/>
      <c r="AC23" s="1027"/>
      <c r="AD23" s="1028"/>
      <c r="AE23" s="1028"/>
      <c r="AF23" s="1027"/>
      <c r="AH23" s="1004">
        <f t="shared" si="1"/>
        <v>75.165691953091894</v>
      </c>
      <c r="AI23" s="1004"/>
      <c r="AJ23" s="1004"/>
      <c r="AK23" s="1004"/>
      <c r="AL23" s="1004"/>
      <c r="AP23" s="976"/>
      <c r="AQ23" s="977">
        <f>'2.3.3. Prices Ind2'!T23</f>
        <v>1.140683412149792</v>
      </c>
    </row>
    <row r="24" spans="1:43" x14ac:dyDescent="0.35">
      <c r="A24" s="1000">
        <v>1914</v>
      </c>
      <c r="B24" s="982"/>
      <c r="C24" s="1040">
        <f>C$80*('2.3.3. Prices Ind2'!H24/'2.3.3. Prices Ind2'!H$80)</f>
        <v>0.90057274764383732</v>
      </c>
      <c r="D24" s="1026"/>
      <c r="E24" s="1026"/>
      <c r="F24" s="1026"/>
      <c r="G24" s="1026"/>
      <c r="H24" s="1027"/>
      <c r="I24" s="1028"/>
      <c r="J24" s="1028"/>
      <c r="K24" s="1027"/>
      <c r="M24" s="1004">
        <f t="shared" si="0"/>
        <v>79.590664383794149</v>
      </c>
      <c r="N24" s="1041"/>
      <c r="O24" s="1041"/>
      <c r="P24" s="1041"/>
      <c r="Q24" s="1041"/>
      <c r="U24" s="976"/>
      <c r="V24" s="977">
        <f>'2.3.3. Prices Ind2'!T24</f>
        <v>1.131505503335398</v>
      </c>
      <c r="X24" s="1040">
        <f>X$80*('2.3.3. Prices Ind2'!H24/'2.3.3. Prices Ind2'!H$80)</f>
        <v>0.84390017690603347</v>
      </c>
      <c r="Y24" s="1040"/>
      <c r="Z24" s="1040"/>
      <c r="AA24" s="1040"/>
      <c r="AB24" s="1026"/>
      <c r="AC24" s="1027"/>
      <c r="AD24" s="1028"/>
      <c r="AE24" s="1028"/>
      <c r="AF24" s="1027"/>
      <c r="AH24" s="1004">
        <f t="shared" si="1"/>
        <v>74.582065612445078</v>
      </c>
      <c r="AI24" s="1004"/>
      <c r="AJ24" s="1004"/>
      <c r="AK24" s="1004"/>
      <c r="AL24" s="1004"/>
      <c r="AP24" s="976"/>
      <c r="AQ24" s="977">
        <f>'2.3.3. Prices Ind2'!T24</f>
        <v>1.131505503335398</v>
      </c>
    </row>
    <row r="25" spans="1:43" x14ac:dyDescent="0.35">
      <c r="A25" s="1000">
        <v>1915</v>
      </c>
      <c r="B25" s="982"/>
      <c r="C25" s="1040">
        <f>C$80*('2.3.3. Prices Ind2'!H25/'2.3.3. Prices Ind2'!H$80)</f>
        <v>1.1257159345547969</v>
      </c>
      <c r="D25" s="1026"/>
      <c r="E25" s="1026"/>
      <c r="F25" s="1026"/>
      <c r="G25" s="1026"/>
      <c r="H25" s="1027"/>
      <c r="I25" s="1028"/>
      <c r="J25" s="1028"/>
      <c r="K25" s="1027"/>
      <c r="M25" s="1004">
        <f t="shared" si="0"/>
        <v>87.611581761956089</v>
      </c>
      <c r="N25" s="1041"/>
      <c r="O25" s="1041"/>
      <c r="P25" s="1041"/>
      <c r="Q25" s="1041"/>
      <c r="U25" s="976"/>
      <c r="V25" s="977">
        <f>'2.3.3. Prices Ind2'!T25</f>
        <v>1.2848939739650047</v>
      </c>
      <c r="X25" s="1040">
        <f>X$80*('2.3.3. Prices Ind2'!H25/'2.3.3. Prices Ind2'!H$80)</f>
        <v>1.0548752211325421</v>
      </c>
      <c r="Y25" s="1040"/>
      <c r="Z25" s="1040"/>
      <c r="AA25" s="1040"/>
      <c r="AB25" s="1026"/>
      <c r="AC25" s="1027"/>
      <c r="AD25" s="1028"/>
      <c r="AE25" s="1028"/>
      <c r="AF25" s="1027"/>
      <c r="AH25" s="1004">
        <f t="shared" si="1"/>
        <v>82.098230866266988</v>
      </c>
      <c r="AI25" s="1004"/>
      <c r="AJ25" s="1004"/>
      <c r="AK25" s="1004"/>
      <c r="AL25" s="1004"/>
      <c r="AP25" s="976"/>
      <c r="AQ25" s="977">
        <f>'2.3.3. Prices Ind2'!T25</f>
        <v>1.2848939739650047</v>
      </c>
    </row>
    <row r="26" spans="1:43" x14ac:dyDescent="0.35">
      <c r="A26" s="1000">
        <v>1916</v>
      </c>
      <c r="B26" s="982"/>
      <c r="C26" s="1040">
        <f>C$80*('2.3.3. Prices Ind2'!H26/'2.3.3. Prices Ind2'!H$80)</f>
        <v>1.4030923408290989</v>
      </c>
      <c r="D26" s="1026"/>
      <c r="E26" s="1026"/>
      <c r="F26" s="1026"/>
      <c r="G26" s="1026"/>
      <c r="H26" s="1027"/>
      <c r="I26" s="1028"/>
      <c r="J26" s="1028"/>
      <c r="K26" s="1027"/>
      <c r="M26" s="1004">
        <f t="shared" si="0"/>
        <v>95.285932645426783</v>
      </c>
      <c r="N26" s="1041"/>
      <c r="O26" s="1041"/>
      <c r="P26" s="1041"/>
      <c r="Q26" s="1041"/>
      <c r="U26" s="976"/>
      <c r="V26" s="977">
        <f>'2.3.3. Prices Ind2'!T26</f>
        <v>1.4725073280756094</v>
      </c>
      <c r="X26" s="1040">
        <f>X$80*('2.3.3. Prices Ind2'!H26/'2.3.3. Prices Ind2'!H$80)</f>
        <v>1.3147964756196007</v>
      </c>
      <c r="Y26" s="1040"/>
      <c r="Z26" s="1040"/>
      <c r="AA26" s="1040"/>
      <c r="AB26" s="1026"/>
      <c r="AC26" s="1027"/>
      <c r="AD26" s="1028"/>
      <c r="AE26" s="1028"/>
      <c r="AF26" s="1027"/>
      <c r="AH26" s="1004">
        <f t="shared" si="1"/>
        <v>89.289638873164876</v>
      </c>
      <c r="AI26" s="1004"/>
      <c r="AJ26" s="1004"/>
      <c r="AK26" s="1004"/>
      <c r="AL26" s="1004"/>
      <c r="AP26" s="976"/>
      <c r="AQ26" s="977">
        <f>'2.3.3. Prices Ind2'!T26</f>
        <v>1.4725073280756094</v>
      </c>
    </row>
    <row r="27" spans="1:43" x14ac:dyDescent="0.35">
      <c r="A27" s="1000">
        <v>1917</v>
      </c>
      <c r="B27" s="982"/>
      <c r="C27" s="1040">
        <f>C$80*('2.3.3. Prices Ind2'!H27/'2.3.3. Prices Ind2'!H$80)</f>
        <v>1.5084593523034275</v>
      </c>
      <c r="D27" s="1026"/>
      <c r="E27" s="1026"/>
      <c r="F27" s="1026"/>
      <c r="G27" s="1026"/>
      <c r="H27" s="1027"/>
      <c r="I27" s="1028"/>
      <c r="J27" s="1028"/>
      <c r="K27" s="1027"/>
      <c r="M27" s="1004">
        <f t="shared" si="0"/>
        <v>82.32729509924981</v>
      </c>
      <c r="N27" s="1041"/>
      <c r="O27" s="1041"/>
      <c r="P27" s="1041"/>
      <c r="Q27" s="1041"/>
      <c r="U27" s="976"/>
      <c r="V27" s="977">
        <f>'2.3.3. Prices Ind2'!T27</f>
        <v>1.8322712418583675</v>
      </c>
      <c r="X27" s="1040">
        <f>X$80*('2.3.3. Prices Ind2'!H27/'2.3.3. Prices Ind2'!H$80)</f>
        <v>1.4135327963176061</v>
      </c>
      <c r="Y27" s="1040"/>
      <c r="Z27" s="1040"/>
      <c r="AA27" s="1040"/>
      <c r="AB27" s="1026"/>
      <c r="AC27" s="1027"/>
      <c r="AD27" s="1028"/>
      <c r="AE27" s="1028"/>
      <c r="AF27" s="1027"/>
      <c r="AH27" s="1004">
        <f t="shared" si="1"/>
        <v>77.146481592099917</v>
      </c>
      <c r="AI27" s="1004"/>
      <c r="AJ27" s="1004"/>
      <c r="AK27" s="1004"/>
      <c r="AL27" s="1004"/>
      <c r="AP27" s="976"/>
      <c r="AQ27" s="977">
        <f>'2.3.3. Prices Ind2'!T27</f>
        <v>1.8322712418583675</v>
      </c>
    </row>
    <row r="28" spans="1:43" x14ac:dyDescent="0.35">
      <c r="A28" s="1000">
        <v>1918</v>
      </c>
      <c r="B28" s="982"/>
      <c r="C28" s="1040">
        <f>C$80*('2.3.3. Prices Ind2'!H28/'2.3.3. Prices Ind2'!H$80)</f>
        <v>1.8839981880709078</v>
      </c>
      <c r="D28" s="1026"/>
      <c r="E28" s="1026"/>
      <c r="F28" s="1026"/>
      <c r="G28" s="1026"/>
      <c r="H28" s="1027"/>
      <c r="I28" s="1028"/>
      <c r="J28" s="1028"/>
      <c r="K28" s="1027"/>
      <c r="M28" s="1004">
        <f t="shared" si="0"/>
        <v>88.281228586549858</v>
      </c>
      <c r="N28" s="1041"/>
      <c r="O28" s="1041"/>
      <c r="P28" s="1041"/>
      <c r="Q28" s="1041"/>
      <c r="U28" s="976"/>
      <c r="V28" s="977">
        <f>'2.3.3. Prices Ind2'!T28</f>
        <v>2.1340869607674962</v>
      </c>
      <c r="X28" s="1040">
        <f>X$80*('2.3.3. Prices Ind2'!H28/'2.3.3. Prices Ind2'!H$80)</f>
        <v>1.7654391700874223</v>
      </c>
      <c r="Y28" s="1040"/>
      <c r="Z28" s="1040"/>
      <c r="AA28" s="1040"/>
      <c r="AB28" s="1026"/>
      <c r="AC28" s="1027"/>
      <c r="AD28" s="1028"/>
      <c r="AE28" s="1028"/>
      <c r="AF28" s="1027"/>
      <c r="AH28" s="1004">
        <f t="shared" si="1"/>
        <v>82.725737167360109</v>
      </c>
      <c r="AI28" s="1004"/>
      <c r="AJ28" s="1004"/>
      <c r="AK28" s="1004"/>
      <c r="AL28" s="1004"/>
      <c r="AP28" s="976"/>
      <c r="AQ28" s="977">
        <f>'2.3.3. Prices Ind2'!T28</f>
        <v>2.1340869607674962</v>
      </c>
    </row>
    <row r="29" spans="1:43" x14ac:dyDescent="0.35">
      <c r="A29" s="1000">
        <v>1919</v>
      </c>
      <c r="B29" s="982"/>
      <c r="C29" s="1040">
        <f>C$80*('2.3.3. Prices Ind2'!H29/'2.3.3. Prices Ind2'!H$80)</f>
        <v>2.4612653193106069</v>
      </c>
      <c r="D29" s="1026"/>
      <c r="E29" s="1026"/>
      <c r="F29" s="1026"/>
      <c r="G29" s="1026"/>
      <c r="H29" s="1027"/>
      <c r="I29" s="1028"/>
      <c r="J29" s="1028"/>
      <c r="K29" s="1027"/>
      <c r="M29" s="1004">
        <f t="shared" si="0"/>
        <v>98.968095241579064</v>
      </c>
      <c r="N29" s="1041"/>
      <c r="O29" s="1041"/>
      <c r="P29" s="1041"/>
      <c r="Q29" s="1041"/>
      <c r="U29" s="976"/>
      <c r="V29" s="977">
        <f>'2.3.3. Prices Ind2'!T29</f>
        <v>2.4869280481782634</v>
      </c>
      <c r="X29" s="1040">
        <f>X$80*('2.3.3. Prices Ind2'!H29/'2.3.3. Prices Ind2'!H$80)</f>
        <v>2.3063791834841894</v>
      </c>
      <c r="Y29" s="1040"/>
      <c r="Z29" s="1040"/>
      <c r="AA29" s="1040"/>
      <c r="AB29" s="1026"/>
      <c r="AC29" s="1027"/>
      <c r="AD29" s="1028"/>
      <c r="AE29" s="1028"/>
      <c r="AF29" s="1027"/>
      <c r="AH29" s="1004">
        <f t="shared" si="1"/>
        <v>92.740084908112621</v>
      </c>
      <c r="AI29" s="1004"/>
      <c r="AJ29" s="1004"/>
      <c r="AK29" s="1004"/>
      <c r="AL29" s="1004"/>
      <c r="AP29" s="976"/>
      <c r="AQ29" s="977">
        <f>'2.3.3. Prices Ind2'!T29</f>
        <v>2.4869280481782634</v>
      </c>
    </row>
    <row r="30" spans="1:43" x14ac:dyDescent="0.35">
      <c r="A30" s="1000">
        <v>1920</v>
      </c>
      <c r="B30" s="982"/>
      <c r="C30" s="1040">
        <f>C$80*('2.3.3. Prices Ind2'!H30/'2.3.3. Prices Ind2'!H$80)</f>
        <v>3.1141805613523892</v>
      </c>
      <c r="D30" s="1026"/>
      <c r="E30" s="1026"/>
      <c r="F30" s="1026"/>
      <c r="G30" s="1026"/>
      <c r="H30" s="1027"/>
      <c r="I30" s="1028"/>
      <c r="J30" s="1028"/>
      <c r="K30" s="1027"/>
      <c r="M30" s="1004">
        <f t="shared" si="0"/>
        <v>107.76156061352042</v>
      </c>
      <c r="N30" s="1041"/>
      <c r="O30" s="1041"/>
      <c r="P30" s="1041"/>
      <c r="Q30" s="1041"/>
      <c r="U30" s="976"/>
      <c r="V30" s="977">
        <f>'2.3.3. Prices Ind2'!T30</f>
        <v>2.8898807177832069</v>
      </c>
      <c r="X30" s="1040">
        <f>X$80*('2.3.3. Prices Ind2'!H30/'2.3.3. Prices Ind2'!H$80)</f>
        <v>2.9182068117410638</v>
      </c>
      <c r="Y30" s="1040"/>
      <c r="Z30" s="1040"/>
      <c r="AA30" s="1040"/>
      <c r="AB30" s="1026"/>
      <c r="AC30" s="1027"/>
      <c r="AD30" s="1028"/>
      <c r="AE30" s="1028"/>
      <c r="AF30" s="1027"/>
      <c r="AH30" s="1004">
        <f t="shared" si="1"/>
        <v>100.98018211559906</v>
      </c>
      <c r="AI30" s="1004"/>
      <c r="AJ30" s="1004"/>
      <c r="AK30" s="1004"/>
      <c r="AL30" s="1004"/>
      <c r="AP30" s="976"/>
      <c r="AQ30" s="977">
        <f>'2.3.3. Prices Ind2'!T30</f>
        <v>2.8898807177832069</v>
      </c>
    </row>
    <row r="31" spans="1:43" x14ac:dyDescent="0.35">
      <c r="A31" s="1000">
        <v>1921</v>
      </c>
      <c r="B31" s="982"/>
      <c r="C31" s="1040">
        <f>C$80*('2.3.3. Prices Ind2'!H31/'2.3.3. Prices Ind2'!H$80)</f>
        <v>2.3558983078362785</v>
      </c>
      <c r="D31" s="1040">
        <f>D$80*('2.3.3. Prices Ind2'!I31/'2.3.3. Prices Ind2'!I$80)</f>
        <v>4.4531403833299272</v>
      </c>
      <c r="E31" s="1040"/>
      <c r="F31" s="1040"/>
      <c r="G31" s="1026"/>
      <c r="H31" s="1027"/>
      <c r="I31" s="1028"/>
      <c r="J31" s="1028"/>
      <c r="K31" s="1027"/>
      <c r="M31" s="1004">
        <f t="shared" si="0"/>
        <v>89.604673041479884</v>
      </c>
      <c r="N31" s="1004">
        <f t="shared" si="0"/>
        <v>169.37156698523265</v>
      </c>
      <c r="O31" s="1041"/>
      <c r="P31" s="1041"/>
      <c r="Q31" s="1041"/>
      <c r="U31" s="976"/>
      <c r="V31" s="977">
        <f>'2.3.3. Prices Ind2'!T31</f>
        <v>2.6292136647222448</v>
      </c>
      <c r="X31" s="1040">
        <f>X$80*('2.3.3. Prices Ind2'!H31/'2.3.3. Prices Ind2'!H$80)</f>
        <v>2.2076428627861842</v>
      </c>
      <c r="Y31" s="1040">
        <f>Y$80*('2.3.3. Prices Ind2'!I31/'2.3.3. Prices Ind2'!I$80)</f>
        <v>4.4531403833299272</v>
      </c>
      <c r="Z31" s="1040"/>
      <c r="AA31" s="1040"/>
      <c r="AB31" s="1026"/>
      <c r="AC31" s="1027"/>
      <c r="AD31" s="1028"/>
      <c r="AE31" s="1028"/>
      <c r="AF31" s="1027"/>
      <c r="AH31" s="1004">
        <f t="shared" si="1"/>
        <v>83.96589795677194</v>
      </c>
      <c r="AI31" s="1004">
        <f t="shared" ref="AI31:AI73" si="2">Y31*100/$AQ31</f>
        <v>169.37156698523265</v>
      </c>
      <c r="AJ31" s="1004"/>
      <c r="AK31" s="1004"/>
      <c r="AL31" s="1004"/>
      <c r="AP31" s="976"/>
      <c r="AQ31" s="977">
        <f>'2.3.3. Prices Ind2'!T31</f>
        <v>2.6292136647222448</v>
      </c>
    </row>
    <row r="32" spans="1:43" x14ac:dyDescent="0.35">
      <c r="A32" s="1000">
        <v>1922</v>
      </c>
      <c r="B32" s="982"/>
      <c r="C32" s="1040">
        <f>C$80*('2.3.3. Prices Ind2'!H32/'2.3.3. Prices Ind2'!H$80)</f>
        <v>1.590411472339017</v>
      </c>
      <c r="D32" s="1040">
        <f>D$80*('2.3.3. Prices Ind2'!I32/'2.3.3. Prices Ind2'!I$80)</f>
        <v>1.0541867478471134</v>
      </c>
      <c r="E32" s="1040"/>
      <c r="F32" s="1040"/>
      <c r="G32" s="1026"/>
      <c r="H32" s="1027"/>
      <c r="I32" s="1028"/>
      <c r="J32" s="1028"/>
      <c r="K32" s="1027"/>
      <c r="M32" s="1004">
        <f t="shared" si="0"/>
        <v>70.09927165129065</v>
      </c>
      <c r="N32" s="1004">
        <f t="shared" si="0"/>
        <v>46.464531030981632</v>
      </c>
      <c r="O32" s="1041"/>
      <c r="P32" s="1041"/>
      <c r="Q32" s="1041"/>
      <c r="U32" s="976"/>
      <c r="V32" s="977">
        <f>'2.3.3. Prices Ind2'!T32</f>
        <v>2.2687988546450679</v>
      </c>
      <c r="X32" s="1040">
        <f>X$80*('2.3.3. Prices Ind2'!H32/'2.3.3. Prices Ind2'!H$80)</f>
        <v>1.4903277124160554</v>
      </c>
      <c r="Y32" s="1040">
        <f>Y$80*('2.3.3. Prices Ind2'!I32/'2.3.3. Prices Ind2'!I$80)</f>
        <v>1.0541867478471134</v>
      </c>
      <c r="Z32" s="1040"/>
      <c r="AA32" s="1040"/>
      <c r="AB32" s="1026"/>
      <c r="AC32" s="1027"/>
      <c r="AD32" s="1028"/>
      <c r="AE32" s="1028"/>
      <c r="AF32" s="1027"/>
      <c r="AH32" s="1004">
        <f t="shared" si="1"/>
        <v>65.687961247194963</v>
      </c>
      <c r="AI32" s="1004">
        <f t="shared" si="2"/>
        <v>46.464531030981632</v>
      </c>
      <c r="AJ32" s="1004"/>
      <c r="AK32" s="1004"/>
      <c r="AL32" s="1004"/>
      <c r="AP32" s="976"/>
      <c r="AQ32" s="977">
        <f>'2.3.3. Prices Ind2'!T32</f>
        <v>2.2687988546450679</v>
      </c>
    </row>
    <row r="33" spans="1:43" x14ac:dyDescent="0.35">
      <c r="A33" s="1000">
        <v>1923</v>
      </c>
      <c r="B33" s="982"/>
      <c r="C33" s="1040">
        <f>C$80*('2.3.3. Prices Ind2'!H33/'2.3.3. Prices Ind2'!H$80)</f>
        <v>1.6975796293086336</v>
      </c>
      <c r="D33" s="1040">
        <f>D$80*('2.3.3. Prices Ind2'!I33/'2.3.3. Prices Ind2'!I$80)</f>
        <v>0.89765598831829962</v>
      </c>
      <c r="E33" s="1040"/>
      <c r="F33" s="1040"/>
      <c r="G33" s="1026"/>
      <c r="H33" s="1027"/>
      <c r="I33" s="1028"/>
      <c r="J33" s="1028"/>
      <c r="K33" s="1027"/>
      <c r="M33" s="1004">
        <f t="shared" si="0"/>
        <v>80.719706851394619</v>
      </c>
      <c r="N33" s="1004">
        <f t="shared" si="0"/>
        <v>42.68343409608535</v>
      </c>
      <c r="O33" s="1041"/>
      <c r="P33" s="1041"/>
      <c r="Q33" s="1041"/>
      <c r="U33" s="976"/>
      <c r="V33" s="977">
        <f>'2.3.3. Prices Ind2'!T33</f>
        <v>2.1030547502283254</v>
      </c>
      <c r="X33" s="1040">
        <f>X$80*('2.3.3. Prices Ind2'!H33/'2.3.3. Prices Ind2'!H$80)</f>
        <v>1.5907518334678734</v>
      </c>
      <c r="Y33" s="1040">
        <f>Y$80*('2.3.3. Prices Ind2'!I33/'2.3.3. Prices Ind2'!I$80)</f>
        <v>0.89765598831829962</v>
      </c>
      <c r="Z33" s="1040"/>
      <c r="AA33" s="1040"/>
      <c r="AB33" s="1026"/>
      <c r="AC33" s="1027"/>
      <c r="AD33" s="1028"/>
      <c r="AE33" s="1028"/>
      <c r="AF33" s="1027"/>
      <c r="AH33" s="1004">
        <f t="shared" si="1"/>
        <v>75.640058029643214</v>
      </c>
      <c r="AI33" s="1004">
        <f t="shared" si="2"/>
        <v>42.68343409608535</v>
      </c>
      <c r="AJ33" s="1004"/>
      <c r="AK33" s="1004"/>
      <c r="AL33" s="1004"/>
      <c r="AP33" s="976"/>
      <c r="AQ33" s="977">
        <f>'2.3.3. Prices Ind2'!T33</f>
        <v>2.1030547502283254</v>
      </c>
    </row>
    <row r="34" spans="1:43" x14ac:dyDescent="0.35">
      <c r="A34" s="1000">
        <v>1924</v>
      </c>
      <c r="B34" s="982"/>
      <c r="C34" s="1040">
        <f>C$80*('2.3.3. Prices Ind2'!H34/'2.3.3. Prices Ind2'!H$80)</f>
        <v>1.6975796293086336</v>
      </c>
      <c r="D34" s="1040">
        <f>D$80*('2.3.3. Prices Ind2'!I34/'2.3.3. Prices Ind2'!I$80)</f>
        <v>1.1723834438178502</v>
      </c>
      <c r="E34" s="1040"/>
      <c r="F34" s="1040">
        <f>F$80*('2.3.3. Prices Ind2'!K34/'2.3.3. Prices Ind2'!K$80)</f>
        <v>6.0036962809007184</v>
      </c>
      <c r="G34" s="1026"/>
      <c r="H34" s="1027"/>
      <c r="I34" s="1028"/>
      <c r="J34" s="1028"/>
      <c r="K34" s="1027"/>
      <c r="M34" s="1004">
        <f t="shared" si="0"/>
        <v>82.372205086794878</v>
      </c>
      <c r="N34" s="1004">
        <f t="shared" si="0"/>
        <v>56.887940811269765</v>
      </c>
      <c r="O34" s="1041"/>
      <c r="P34" s="1004">
        <f t="shared" ref="P34:P79" si="3">F34*100/$V34</f>
        <v>291.31929530197647</v>
      </c>
      <c r="Q34" s="1041"/>
      <c r="U34" s="976"/>
      <c r="V34" s="977">
        <f>'2.3.3. Prices Ind2'!T34</f>
        <v>2.0608646175246963</v>
      </c>
      <c r="X34" s="1040">
        <f>X$80*('2.3.3. Prices Ind2'!H34/'2.3.3. Prices Ind2'!H$80)</f>
        <v>1.5907518334678734</v>
      </c>
      <c r="Y34" s="1040">
        <f>Y$80*('2.3.3. Prices Ind2'!I34/'2.3.3. Prices Ind2'!I$80)</f>
        <v>1.1723834438178502</v>
      </c>
      <c r="Z34" s="1040"/>
      <c r="AA34" s="1040">
        <f>AA$80*('2.3.3. Prices Ind2'!K34/'2.3.3. Prices Ind2'!K$80)</f>
        <v>5.8001034904134912</v>
      </c>
      <c r="AB34" s="1026"/>
      <c r="AC34" s="1027"/>
      <c r="AD34" s="1028"/>
      <c r="AE34" s="1028"/>
      <c r="AF34" s="1027"/>
      <c r="AH34" s="1004">
        <f t="shared" si="1"/>
        <v>77.188565417680124</v>
      </c>
      <c r="AI34" s="1004">
        <f t="shared" si="2"/>
        <v>56.887940811269765</v>
      </c>
      <c r="AJ34" s="1004"/>
      <c r="AK34" s="1004">
        <f t="shared" ref="AK34:AK73" si="4">AA34*100/$AQ34</f>
        <v>281.44029651884625</v>
      </c>
      <c r="AL34" s="1004"/>
      <c r="AP34" s="976"/>
      <c r="AQ34" s="977">
        <f>'2.3.3. Prices Ind2'!T34</f>
        <v>2.0608646175246963</v>
      </c>
    </row>
    <row r="35" spans="1:43" x14ac:dyDescent="0.35">
      <c r="A35" s="1000">
        <v>1925</v>
      </c>
      <c r="B35" s="982"/>
      <c r="C35" s="1040">
        <f>C$80*('2.3.3. Prices Ind2'!H35/'2.3.3. Prices Ind2'!H$80)</f>
        <v>1.4706352969023861</v>
      </c>
      <c r="D35" s="1040">
        <f>D$80*('2.3.3. Prices Ind2'!I35/'2.3.3. Prices Ind2'!I$80)</f>
        <v>1.0477977372541005</v>
      </c>
      <c r="E35" s="1040"/>
      <c r="F35" s="1040">
        <f>F$80*('2.3.3. Prices Ind2'!K35/'2.3.3. Prices Ind2'!K$80)</f>
        <v>5.5807216710895124</v>
      </c>
      <c r="G35" s="1026"/>
      <c r="H35" s="1027"/>
      <c r="I35" s="1028"/>
      <c r="J35" s="1028"/>
      <c r="K35" s="1027"/>
      <c r="M35" s="1004">
        <f t="shared" si="0"/>
        <v>71.543806610421797</v>
      </c>
      <c r="N35" s="1004">
        <f t="shared" si="0"/>
        <v>50.97350705429222</v>
      </c>
      <c r="O35" s="1041"/>
      <c r="P35" s="1004">
        <f t="shared" si="3"/>
        <v>271.49224068264658</v>
      </c>
      <c r="Q35" s="1041"/>
      <c r="U35" s="976"/>
      <c r="V35" s="977">
        <f>'2.3.3. Prices Ind2'!T35</f>
        <v>2.0555731747829009</v>
      </c>
      <c r="X35" s="1040">
        <f>X$80*('2.3.3. Prices Ind2'!H35/'2.3.3. Prices Ind2'!H$80)</f>
        <v>1.3780889888875527</v>
      </c>
      <c r="Y35" s="1040">
        <f>Y$80*('2.3.3. Prices Ind2'!I35/'2.3.3. Prices Ind2'!I$80)</f>
        <v>1.0477977372541005</v>
      </c>
      <c r="Z35" s="1040"/>
      <c r="AA35" s="1040">
        <f>AA$80*('2.3.3. Prices Ind2'!K35/'2.3.3. Prices Ind2'!K$80)</f>
        <v>5.3914724744630638</v>
      </c>
      <c r="AB35" s="1026"/>
      <c r="AC35" s="1027"/>
      <c r="AD35" s="1028"/>
      <c r="AE35" s="1028"/>
      <c r="AF35" s="1027"/>
      <c r="AH35" s="1004">
        <f t="shared" si="1"/>
        <v>67.041592378879884</v>
      </c>
      <c r="AI35" s="1004">
        <f t="shared" si="2"/>
        <v>50.97350705429222</v>
      </c>
      <c r="AJ35" s="1004"/>
      <c r="AK35" s="1004">
        <f t="shared" si="4"/>
        <v>262.28560192377887</v>
      </c>
      <c r="AL35" s="1004"/>
      <c r="AP35" s="976"/>
      <c r="AQ35" s="977">
        <f>'2.3.3. Prices Ind2'!T35</f>
        <v>2.0555731747829009</v>
      </c>
    </row>
    <row r="36" spans="1:43" x14ac:dyDescent="0.35">
      <c r="A36" s="1000">
        <v>1926</v>
      </c>
      <c r="B36" s="982"/>
      <c r="C36" s="1040">
        <f>C$80*('2.3.3. Prices Ind2'!H36/'2.3.3. Prices Ind2'!H$80)</f>
        <v>1.7651225853819215</v>
      </c>
      <c r="D36" s="1040">
        <f>D$80*('2.3.3. Prices Ind2'!I36/'2.3.3. Prices Ind2'!I$80)</f>
        <v>1.05738125314362</v>
      </c>
      <c r="E36" s="1040"/>
      <c r="F36" s="1040">
        <f>F$80*('2.3.3. Prices Ind2'!K36/'2.3.3. Prices Ind2'!K$80)</f>
        <v>6.3738738911556938</v>
      </c>
      <c r="G36" s="1026"/>
      <c r="H36" s="1027"/>
      <c r="I36" s="1028"/>
      <c r="J36" s="1028"/>
      <c r="K36" s="1027"/>
      <c r="M36" s="1004">
        <f t="shared" si="0"/>
        <v>86.229710505310095</v>
      </c>
      <c r="N36" s="1004">
        <f t="shared" si="0"/>
        <v>51.655154212752954</v>
      </c>
      <c r="O36" s="1041"/>
      <c r="P36" s="1004">
        <f t="shared" si="3"/>
        <v>311.37627776304754</v>
      </c>
      <c r="Q36" s="1041"/>
      <c r="U36" s="976"/>
      <c r="V36" s="977">
        <f>'2.3.3. Prices Ind2'!T36</f>
        <v>2.0470004770260988</v>
      </c>
      <c r="X36" s="1040">
        <f>X$80*('2.3.3. Prices Ind2'!H36/'2.3.3. Prices Ind2'!H$80)</f>
        <v>1.6540443467358261</v>
      </c>
      <c r="Y36" s="1040">
        <f>Y$80*('2.3.3. Prices Ind2'!I36/'2.3.3. Prices Ind2'!I$80)</f>
        <v>1.05738125314362</v>
      </c>
      <c r="Z36" s="1040"/>
      <c r="AA36" s="1040">
        <f>AA$80*('2.3.3. Prices Ind2'!K36/'2.3.3. Prices Ind2'!K$80)</f>
        <v>6.1577279185750511</v>
      </c>
      <c r="AB36" s="1026"/>
      <c r="AC36" s="1027"/>
      <c r="AD36" s="1028"/>
      <c r="AE36" s="1028"/>
      <c r="AF36" s="1027"/>
      <c r="AH36" s="1004">
        <f t="shared" si="1"/>
        <v>80.80332004313145</v>
      </c>
      <c r="AI36" s="1004">
        <f t="shared" si="2"/>
        <v>51.655154212752954</v>
      </c>
      <c r="AJ36" s="1004"/>
      <c r="AK36" s="1004">
        <f t="shared" si="4"/>
        <v>300.81712181723844</v>
      </c>
      <c r="AL36" s="1004"/>
      <c r="AP36" s="976"/>
      <c r="AQ36" s="977">
        <f>'2.3.3. Prices Ind2'!T36</f>
        <v>2.0470004770260988</v>
      </c>
    </row>
    <row r="37" spans="1:43" x14ac:dyDescent="0.35">
      <c r="A37" s="1000">
        <v>1927</v>
      </c>
      <c r="B37" s="982"/>
      <c r="C37" s="1040">
        <f>C$80*('2.3.3. Prices Ind2'!H37/'2.3.3. Prices Ind2'!H$80)</f>
        <v>1.3148362115600025</v>
      </c>
      <c r="D37" s="1040">
        <f>D$80*('2.3.3. Prices Ind2'!I37/'2.3.3. Prices Ind2'!I$80)</f>
        <v>1.1564109173353183</v>
      </c>
      <c r="E37" s="1040"/>
      <c r="F37" s="1040">
        <f>F$80*('2.3.3. Prices Ind2'!K37/'2.3.3. Prices Ind2'!K$80)</f>
        <v>5.2438054350123657</v>
      </c>
      <c r="G37" s="1026"/>
      <c r="H37" s="1027"/>
      <c r="I37" s="1028"/>
      <c r="J37" s="1028"/>
      <c r="K37" s="1027"/>
      <c r="M37" s="1004">
        <f t="shared" si="0"/>
        <v>65.408404261182824</v>
      </c>
      <c r="N37" s="1004">
        <f t="shared" si="0"/>
        <v>57.527311849261451</v>
      </c>
      <c r="O37" s="1041"/>
      <c r="P37" s="1004">
        <f t="shared" si="3"/>
        <v>260.86058685083924</v>
      </c>
      <c r="Q37" s="1041"/>
      <c r="U37" s="976"/>
      <c r="V37" s="977">
        <f>'2.3.3. Prices Ind2'!T37</f>
        <v>2.010194601766647</v>
      </c>
      <c r="X37" s="1040">
        <f>X$80*('2.3.3. Prices Ind2'!H37/'2.3.3. Prices Ind2'!H$80)</f>
        <v>1.2320942582828092</v>
      </c>
      <c r="Y37" s="1040">
        <f>Y$80*('2.3.3. Prices Ind2'!I37/'2.3.3. Prices Ind2'!I$80)</f>
        <v>1.1564109173353183</v>
      </c>
      <c r="Z37" s="1040"/>
      <c r="AA37" s="1040">
        <f>AA$80*('2.3.3. Prices Ind2'!K37/'2.3.3. Prices Ind2'!K$80)</f>
        <v>5.0659814860090551</v>
      </c>
      <c r="AB37" s="1026"/>
      <c r="AC37" s="1027"/>
      <c r="AD37" s="1028"/>
      <c r="AE37" s="1028"/>
      <c r="AF37" s="1027"/>
      <c r="AH37" s="1004">
        <f t="shared" si="1"/>
        <v>61.29228768199809</v>
      </c>
      <c r="AI37" s="1004">
        <f t="shared" si="2"/>
        <v>57.527311849261451</v>
      </c>
      <c r="AJ37" s="1004"/>
      <c r="AK37" s="1004">
        <f t="shared" si="4"/>
        <v>252.01448066554596</v>
      </c>
      <c r="AL37" s="1004"/>
      <c r="AP37" s="976"/>
      <c r="AQ37" s="977">
        <f>'2.3.3. Prices Ind2'!T37</f>
        <v>2.010194601766647</v>
      </c>
    </row>
    <row r="38" spans="1:43" x14ac:dyDescent="0.35">
      <c r="A38" s="1000">
        <v>1928</v>
      </c>
      <c r="B38" s="982"/>
      <c r="C38" s="1040">
        <f>C$80*('2.3.3. Prices Ind2'!H38/'2.3.3. Prices Ind2'!H$80)</f>
        <v>1.1572359807223309</v>
      </c>
      <c r="D38" s="1040">
        <f>D$80*('2.3.3. Prices Ind2'!I38/'2.3.3. Prices Ind2'!I$80)</f>
        <v>0.77307028175454973</v>
      </c>
      <c r="E38" s="1040"/>
      <c r="F38" s="1040">
        <f>F$80*('2.3.3. Prices Ind2'!K38/'2.3.3. Prices Ind2'!K$80)</f>
        <v>4.8182052139340383</v>
      </c>
      <c r="G38" s="1026"/>
      <c r="H38" s="1027"/>
      <c r="I38" s="1028"/>
      <c r="J38" s="1028"/>
      <c r="K38" s="1027"/>
      <c r="M38" s="1004">
        <f t="shared" si="0"/>
        <v>58.079632582386957</v>
      </c>
      <c r="N38" s="1004">
        <f t="shared" si="0"/>
        <v>38.799033794853898</v>
      </c>
      <c r="O38" s="1041"/>
      <c r="P38" s="1004">
        <f t="shared" si="3"/>
        <v>241.8172206823003</v>
      </c>
      <c r="Q38" s="1041"/>
      <c r="U38" s="976"/>
      <c r="V38" s="977">
        <f>'2.3.3. Prices Ind2'!T38</f>
        <v>1.9924987973723349</v>
      </c>
      <c r="X38" s="1040">
        <f>X$80*('2.3.3. Prices Ind2'!H38/'2.3.3. Prices Ind2'!H$80)</f>
        <v>1.0844117273242531</v>
      </c>
      <c r="Y38" s="1040">
        <f>Y$80*('2.3.3. Prices Ind2'!I38/'2.3.3. Prices Ind2'!I$80)</f>
        <v>0.77307028175454973</v>
      </c>
      <c r="Z38" s="1040"/>
      <c r="AA38" s="1040">
        <f>AA$80*('2.3.3. Prices Ind2'!K38/'2.3.3. Prices Ind2'!K$80)</f>
        <v>4.6548138965275268</v>
      </c>
      <c r="AB38" s="1026"/>
      <c r="AC38" s="1027"/>
      <c r="AD38" s="1028"/>
      <c r="AE38" s="1028"/>
      <c r="AF38" s="1027"/>
      <c r="AH38" s="1004">
        <f t="shared" si="1"/>
        <v>54.424711761650855</v>
      </c>
      <c r="AI38" s="1004">
        <f t="shared" si="2"/>
        <v>38.799033794853898</v>
      </c>
      <c r="AJ38" s="1004"/>
      <c r="AK38" s="1004">
        <f t="shared" si="4"/>
        <v>233.61689867347457</v>
      </c>
      <c r="AL38" s="1004"/>
      <c r="AP38" s="976"/>
      <c r="AQ38" s="977">
        <f>'2.3.3. Prices Ind2'!T38</f>
        <v>1.9924987973723349</v>
      </c>
    </row>
    <row r="39" spans="1:43" x14ac:dyDescent="0.35">
      <c r="A39" s="1000">
        <v>1929</v>
      </c>
      <c r="B39" s="982"/>
      <c r="C39" s="1040">
        <f>C$80*('2.3.3. Prices Ind2'!H39/'2.3.3. Prices Ind2'!H$80)</f>
        <v>1.2067674818427421</v>
      </c>
      <c r="D39" s="1040">
        <f>D$80*('2.3.3. Prices Ind2'!I39/'2.3.3. Prices Ind2'!I$80)</f>
        <v>0.70598567052791528</v>
      </c>
      <c r="E39" s="1040"/>
      <c r="F39" s="1040">
        <f>F$80*('2.3.3. Prices Ind2'!K39/'2.3.3. Prices Ind2'!K$80)</f>
        <v>4.5841326864810812</v>
      </c>
      <c r="G39" s="1026"/>
      <c r="H39" s="1027"/>
      <c r="I39" s="1028"/>
      <c r="J39" s="1028"/>
      <c r="K39" s="1027"/>
      <c r="M39" s="1004">
        <f t="shared" si="0"/>
        <v>61.066647395356043</v>
      </c>
      <c r="N39" s="1004">
        <f t="shared" si="0"/>
        <v>35.725339518156076</v>
      </c>
      <c r="O39" s="1041"/>
      <c r="P39" s="1004">
        <f t="shared" si="3"/>
        <v>231.97311710073575</v>
      </c>
      <c r="Q39" s="1041"/>
      <c r="U39" s="976"/>
      <c r="V39" s="977">
        <f>'2.3.3. Prices Ind2'!T39</f>
        <v>1.9761482467342943</v>
      </c>
      <c r="X39" s="1040">
        <f>X$80*('2.3.3. Prices Ind2'!H39/'2.3.3. Prices Ind2'!H$80)</f>
        <v>1.1308262370540849</v>
      </c>
      <c r="Y39" s="1040">
        <f>Y$80*('2.3.3. Prices Ind2'!I39/'2.3.3. Prices Ind2'!I$80)</f>
        <v>0.70598567052791528</v>
      </c>
      <c r="Z39" s="1040"/>
      <c r="AA39" s="1040">
        <f>AA$80*('2.3.3. Prices Ind2'!K39/'2.3.3. Prices Ind2'!K$80)</f>
        <v>4.4286790589260958</v>
      </c>
      <c r="AB39" s="1026"/>
      <c r="AC39" s="1027"/>
      <c r="AD39" s="1028"/>
      <c r="AE39" s="1028"/>
      <c r="AF39" s="1027"/>
      <c r="AH39" s="1004">
        <f t="shared" si="1"/>
        <v>57.223755298867097</v>
      </c>
      <c r="AI39" s="1004">
        <f t="shared" si="2"/>
        <v>35.725339518156076</v>
      </c>
      <c r="AJ39" s="1004"/>
      <c r="AK39" s="1004">
        <f t="shared" si="4"/>
        <v>224.10662085927808</v>
      </c>
      <c r="AL39" s="1004"/>
      <c r="AP39" s="976"/>
      <c r="AQ39" s="977">
        <f>'2.3.3. Prices Ind2'!T39</f>
        <v>1.9761482467342943</v>
      </c>
    </row>
    <row r="40" spans="1:43" x14ac:dyDescent="0.35">
      <c r="A40" s="1000">
        <v>1930</v>
      </c>
      <c r="B40" s="982"/>
      <c r="C40" s="1040">
        <f>C$80*('2.3.3. Prices Ind2'!H40/'2.3.3. Prices Ind2'!H$80)</f>
        <v>1.2247789367956188</v>
      </c>
      <c r="D40" s="1040">
        <f>D$80*('2.3.3. Prices Ind2'!I40/'2.3.3. Prices Ind2'!I$80)</f>
        <v>0.78904280823708195</v>
      </c>
      <c r="E40" s="1040"/>
      <c r="F40" s="1040">
        <f>F$80*('2.3.3. Prices Ind2'!K40/'2.3.3. Prices Ind2'!K$80)</f>
        <v>4.5455492446607533</v>
      </c>
      <c r="G40" s="1026"/>
      <c r="H40" s="1027"/>
      <c r="I40" s="1028"/>
      <c r="J40" s="1028"/>
      <c r="K40" s="1027"/>
      <c r="M40" s="1004">
        <f t="shared" si="0"/>
        <v>62.508565199560309</v>
      </c>
      <c r="N40" s="1004">
        <f t="shared" si="0"/>
        <v>40.270070248736033</v>
      </c>
      <c r="O40" s="1041"/>
      <c r="P40" s="1004">
        <f t="shared" si="3"/>
        <v>231.98942502315671</v>
      </c>
      <c r="Q40" s="1041"/>
      <c r="U40" s="976"/>
      <c r="V40" s="977">
        <f>'2.3.3. Prices Ind2'!T40</f>
        <v>1.9593777794858647</v>
      </c>
      <c r="X40" s="1040">
        <f>X$80*('2.3.3. Prices Ind2'!H40/'2.3.3. Prices Ind2'!H$80)</f>
        <v>1.1477042405922055</v>
      </c>
      <c r="Y40" s="1040">
        <f>Y$80*('2.3.3. Prices Ind2'!I40/'2.3.3. Prices Ind2'!I$80)</f>
        <v>0.78904280823708195</v>
      </c>
      <c r="Z40" s="1040"/>
      <c r="AA40" s="1040">
        <f>AA$80*('2.3.3. Prices Ind2'!K40/'2.3.3. Prices Ind2'!K$80)</f>
        <v>4.3914040294936143</v>
      </c>
      <c r="AB40" s="1026"/>
      <c r="AC40" s="1027"/>
      <c r="AD40" s="1028"/>
      <c r="AE40" s="1028"/>
      <c r="AF40" s="1027"/>
      <c r="AH40" s="1004">
        <f t="shared" si="1"/>
        <v>58.574933971812214</v>
      </c>
      <c r="AI40" s="1004">
        <f t="shared" si="2"/>
        <v>40.270070248736033</v>
      </c>
      <c r="AJ40" s="1004"/>
      <c r="AK40" s="1004">
        <f t="shared" si="4"/>
        <v>224.12237575981425</v>
      </c>
      <c r="AL40" s="1004"/>
      <c r="AP40" s="976"/>
      <c r="AQ40" s="977">
        <f>'2.3.3. Prices Ind2'!T40</f>
        <v>1.9593777794858647</v>
      </c>
    </row>
    <row r="41" spans="1:43" x14ac:dyDescent="0.35">
      <c r="A41" s="1000">
        <v>1931</v>
      </c>
      <c r="B41" s="982"/>
      <c r="C41" s="1040">
        <f>C$80*('2.3.3. Prices Ind2'!H41/'2.3.3. Prices Ind2'!H$80)</f>
        <v>1.2157732093191804</v>
      </c>
      <c r="D41" s="1040">
        <f>D$80*('2.3.3. Prices Ind2'!I41/'2.3.3. Prices Ind2'!I$80)</f>
        <v>0.63570655400477438</v>
      </c>
      <c r="E41" s="1040"/>
      <c r="F41" s="1040">
        <f>F$80*('2.3.3. Prices Ind2'!K41/'2.3.3. Prices Ind2'!K$80)</f>
        <v>4.4483644003687797</v>
      </c>
      <c r="G41" s="1026"/>
      <c r="H41" s="1027"/>
      <c r="I41" s="1028"/>
      <c r="J41" s="1028"/>
      <c r="K41" s="1027"/>
      <c r="M41" s="1004">
        <f t="shared" si="0"/>
        <v>63.256737972491671</v>
      </c>
      <c r="N41" s="1004">
        <f t="shared" si="0"/>
        <v>33.07584227538154</v>
      </c>
      <c r="O41" s="1041"/>
      <c r="P41" s="1004">
        <f t="shared" si="3"/>
        <v>231.44861156947411</v>
      </c>
      <c r="Q41" s="1041"/>
      <c r="U41" s="976"/>
      <c r="V41" s="977">
        <f>'2.3.3. Prices Ind2'!T41</f>
        <v>1.9219663363733381</v>
      </c>
      <c r="X41" s="1040">
        <f>X$80*('2.3.3. Prices Ind2'!H41/'2.3.3. Prices Ind2'!H$80)</f>
        <v>1.1392652388231452</v>
      </c>
      <c r="Y41" s="1040">
        <f>Y$80*('2.3.3. Prices Ind2'!I41/'2.3.3. Prices Ind2'!I$80)</f>
        <v>0.63570655400477438</v>
      </c>
      <c r="Z41" s="1040"/>
      <c r="AA41" s="1040">
        <f>AA$80*('2.3.3. Prices Ind2'!K41/'2.3.3. Prices Ind2'!K$80)</f>
        <v>4.2975148438620252</v>
      </c>
      <c r="AB41" s="1026"/>
      <c r="AC41" s="1027"/>
      <c r="AD41" s="1028"/>
      <c r="AE41" s="1028"/>
      <c r="AF41" s="1027"/>
      <c r="AH41" s="1004">
        <f t="shared" si="1"/>
        <v>59.276024624494006</v>
      </c>
      <c r="AI41" s="1004">
        <f t="shared" si="2"/>
        <v>33.07584227538154</v>
      </c>
      <c r="AJ41" s="1004"/>
      <c r="AK41" s="1004">
        <f t="shared" si="4"/>
        <v>223.59990196140674</v>
      </c>
      <c r="AL41" s="1004"/>
      <c r="AP41" s="976"/>
      <c r="AQ41" s="977">
        <f>'2.3.3. Prices Ind2'!T41</f>
        <v>1.9219663363733381</v>
      </c>
    </row>
    <row r="42" spans="1:43" x14ac:dyDescent="0.35">
      <c r="A42" s="1000">
        <v>1932</v>
      </c>
      <c r="B42" s="982"/>
      <c r="C42" s="1040">
        <f>C$80*('2.3.3. Prices Ind2'!H42/'2.3.3. Prices Ind2'!H$80)</f>
        <v>1.1932588906280845</v>
      </c>
      <c r="D42" s="1040">
        <f>D$80*('2.3.3. Prices Ind2'!I42/'2.3.3. Prices Ind2'!I$80)</f>
        <v>0.75390324997551128</v>
      </c>
      <c r="E42" s="1040"/>
      <c r="F42" s="1040">
        <f>F$80*('2.3.3. Prices Ind2'!K42/'2.3.3. Prices Ind2'!K$80)</f>
        <v>4.3324218269854811</v>
      </c>
      <c r="G42" s="1026"/>
      <c r="H42" s="1027"/>
      <c r="I42" s="1028"/>
      <c r="J42" s="1028"/>
      <c r="K42" s="1027"/>
      <c r="M42" s="1004">
        <f t="shared" si="0"/>
        <v>63.498618451640176</v>
      </c>
      <c r="N42" s="1004">
        <f t="shared" si="0"/>
        <v>40.118548619779119</v>
      </c>
      <c r="O42" s="1041"/>
      <c r="P42" s="1004">
        <f t="shared" si="3"/>
        <v>230.5474551448811</v>
      </c>
      <c r="Q42" s="1041"/>
      <c r="U42" s="976"/>
      <c r="V42" s="977">
        <f>'2.3.3. Prices Ind2'!T42</f>
        <v>1.87918874414072</v>
      </c>
      <c r="X42" s="1040">
        <f>X$80*('2.3.3. Prices Ind2'!H42/'2.3.3. Prices Ind2'!H$80)</f>
        <v>1.1181677344004946</v>
      </c>
      <c r="Y42" s="1040">
        <f>Y$80*('2.3.3. Prices Ind2'!I42/'2.3.3. Prices Ind2'!I$80)</f>
        <v>0.75390324997551128</v>
      </c>
      <c r="Z42" s="1040"/>
      <c r="AA42" s="1040">
        <f>AA$80*('2.3.3. Prices Ind2'!K42/'2.3.3. Prices Ind2'!K$80)</f>
        <v>4.1855040270078616</v>
      </c>
      <c r="AB42" s="1026"/>
      <c r="AC42" s="1027"/>
      <c r="AD42" s="1028"/>
      <c r="AE42" s="1028"/>
      <c r="AF42" s="1027"/>
      <c r="AH42" s="1004">
        <f t="shared" si="1"/>
        <v>59.502683691934799</v>
      </c>
      <c r="AI42" s="1004">
        <f t="shared" si="2"/>
        <v>40.118548619779119</v>
      </c>
      <c r="AJ42" s="1004"/>
      <c r="AK42" s="1004">
        <f t="shared" si="4"/>
        <v>222.72930486935891</v>
      </c>
      <c r="AL42" s="1004"/>
      <c r="AP42" s="976"/>
      <c r="AQ42" s="977">
        <f>'2.3.3. Prices Ind2'!T42</f>
        <v>1.87918874414072</v>
      </c>
    </row>
    <row r="43" spans="1:43" x14ac:dyDescent="0.35">
      <c r="A43" s="1000">
        <v>1933</v>
      </c>
      <c r="B43" s="982"/>
      <c r="C43" s="1040">
        <f>C$80*('2.3.3. Prices Ind2'!H43/'2.3.3. Prices Ind2'!H$80)</f>
        <v>1.1707445719369887</v>
      </c>
      <c r="D43" s="1040">
        <f>D$80*('2.3.3. Prices Ind2'!I43/'2.3.3. Prices Ind2'!I$80)</f>
        <v>0.67404061756285127</v>
      </c>
      <c r="E43" s="1040"/>
      <c r="F43" s="1040">
        <f>F$80*('2.3.3. Prices Ind2'!K43/'2.3.3. Prices Ind2'!K$80)</f>
        <v>4.1096305778343121</v>
      </c>
      <c r="G43" s="1026"/>
      <c r="H43" s="1027"/>
      <c r="I43" s="1028"/>
      <c r="J43" s="1028"/>
      <c r="K43" s="1027"/>
      <c r="M43" s="1004">
        <f t="shared" si="0"/>
        <v>63.153455867984142</v>
      </c>
      <c r="N43" s="1004">
        <f t="shared" si="0"/>
        <v>36.359762338300541</v>
      </c>
      <c r="O43" s="1041"/>
      <c r="P43" s="1004">
        <f t="shared" si="3"/>
        <v>221.68573705327941</v>
      </c>
      <c r="Q43" s="1041"/>
      <c r="U43" s="976"/>
      <c r="V43" s="977">
        <f>'2.3.3. Prices Ind2'!T43</f>
        <v>1.8538091951520606</v>
      </c>
      <c r="X43" s="1040">
        <f>X$80*('2.3.3. Prices Ind2'!H43/'2.3.3. Prices Ind2'!H$80)</f>
        <v>1.0970702299778436</v>
      </c>
      <c r="Y43" s="1040">
        <f>Y$80*('2.3.3. Prices Ind2'!I43/'2.3.3. Prices Ind2'!I$80)</f>
        <v>0.67404061756285127</v>
      </c>
      <c r="Z43" s="1040"/>
      <c r="AA43" s="1040">
        <f>AA$80*('2.3.3. Prices Ind2'!K43/'2.3.3. Prices Ind2'!K$80)</f>
        <v>3.9702679055627903</v>
      </c>
      <c r="AB43" s="1026"/>
      <c r="AC43" s="1027"/>
      <c r="AD43" s="1028"/>
      <c r="AE43" s="1028"/>
      <c r="AF43" s="1027"/>
      <c r="AH43" s="1004">
        <f t="shared" si="1"/>
        <v>59.179242008660729</v>
      </c>
      <c r="AI43" s="1004">
        <f t="shared" si="2"/>
        <v>36.359762338300541</v>
      </c>
      <c r="AJ43" s="1004"/>
      <c r="AK43" s="1004">
        <f t="shared" si="4"/>
        <v>214.16809863418143</v>
      </c>
      <c r="AL43" s="1004"/>
      <c r="AP43" s="976"/>
      <c r="AQ43" s="977">
        <f>'2.3.3. Prices Ind2'!T43</f>
        <v>1.8538091951520606</v>
      </c>
    </row>
    <row r="44" spans="1:43" x14ac:dyDescent="0.35">
      <c r="A44" s="1000">
        <v>1934</v>
      </c>
      <c r="B44" s="982"/>
      <c r="C44" s="1040">
        <f>C$80*('2.3.3. Prices Ind2'!H44/'2.3.3. Prices Ind2'!H$80)</f>
        <v>1.1617388444605503</v>
      </c>
      <c r="D44" s="1040">
        <f>D$80*('2.3.3. Prices Ind2'!I44/'2.3.3. Prices Ind2'!I$80)</f>
        <v>0.71237468112092817</v>
      </c>
      <c r="E44" s="1040"/>
      <c r="F44" s="1040">
        <f>F$80*('2.3.3. Prices Ind2'!K44/'2.3.3. Prices Ind2'!K$80)</f>
        <v>3.8669152897581385</v>
      </c>
      <c r="G44" s="1026"/>
      <c r="H44" s="1027"/>
      <c r="I44" s="1028"/>
      <c r="J44" s="1028"/>
      <c r="K44" s="1027"/>
      <c r="M44" s="1004">
        <f t="shared" si="0"/>
        <v>63.189509082529099</v>
      </c>
      <c r="N44" s="1004">
        <f t="shared" si="0"/>
        <v>38.74761233774278</v>
      </c>
      <c r="O44" s="1041"/>
      <c r="P44" s="1004">
        <f t="shared" si="3"/>
        <v>210.32995495386484</v>
      </c>
      <c r="Q44" s="1041"/>
      <c r="U44" s="976"/>
      <c r="V44" s="977">
        <f>'2.3.3. Prices Ind2'!T44</f>
        <v>1.838499556854055</v>
      </c>
      <c r="X44" s="1040">
        <f>X$80*('2.3.3. Prices Ind2'!H44/'2.3.3. Prices Ind2'!H$80)</f>
        <v>1.0886312282087836</v>
      </c>
      <c r="Y44" s="1040">
        <f>Y$80*('2.3.3. Prices Ind2'!I44/'2.3.3. Prices Ind2'!I$80)</f>
        <v>0.71237468112092817</v>
      </c>
      <c r="Z44" s="1040"/>
      <c r="AA44" s="1040">
        <f>AA$80*('2.3.3. Prices Ind2'!K44/'2.3.3. Prices Ind2'!K$80)</f>
        <v>3.7357833940751224</v>
      </c>
      <c r="AB44" s="1026"/>
      <c r="AC44" s="1027"/>
      <c r="AD44" s="1028"/>
      <c r="AE44" s="1028"/>
      <c r="AF44" s="1027"/>
      <c r="AH44" s="1004">
        <f t="shared" si="1"/>
        <v>59.213026413321138</v>
      </c>
      <c r="AI44" s="1004">
        <f t="shared" si="2"/>
        <v>38.74761233774278</v>
      </c>
      <c r="AJ44" s="1004"/>
      <c r="AK44" s="1004">
        <f t="shared" si="4"/>
        <v>203.19740519642014</v>
      </c>
      <c r="AL44" s="1004"/>
      <c r="AP44" s="976"/>
      <c r="AQ44" s="977">
        <f>'2.3.3. Prices Ind2'!T44</f>
        <v>1.838499556854055</v>
      </c>
    </row>
    <row r="45" spans="1:43" x14ac:dyDescent="0.35">
      <c r="A45" s="1000">
        <v>1935</v>
      </c>
      <c r="B45" s="982"/>
      <c r="C45" s="1040">
        <f>C$80*('2.3.3. Prices Ind2'!H45/'2.3.3. Prices Ind2'!H$80)</f>
        <v>1.1707445719369887</v>
      </c>
      <c r="D45" s="1040">
        <f>D$80*('2.3.3. Prices Ind2'!I45/'2.3.3. Prices Ind2'!I$80)</f>
        <v>0.72834720760346017</v>
      </c>
      <c r="E45" s="1040"/>
      <c r="F45" s="1040">
        <f>F$80*('2.3.3. Prices Ind2'!K45/'2.3.3. Prices Ind2'!K$80)</f>
        <v>3.6968289712206412</v>
      </c>
      <c r="G45" s="1026"/>
      <c r="H45" s="1027"/>
      <c r="I45" s="1028"/>
      <c r="J45" s="1028"/>
      <c r="K45" s="1027"/>
      <c r="M45" s="1004">
        <f t="shared" si="0"/>
        <v>63.199249038950377</v>
      </c>
      <c r="N45" s="1004">
        <f t="shared" si="0"/>
        <v>39.317710851306543</v>
      </c>
      <c r="O45" s="1041"/>
      <c r="P45" s="1004">
        <f t="shared" si="3"/>
        <v>199.56258641458365</v>
      </c>
      <c r="Q45" s="1041"/>
      <c r="U45" s="976"/>
      <c r="V45" s="977">
        <f>'2.3.3. Prices Ind2'!T45</f>
        <v>1.8524659544853865</v>
      </c>
      <c r="X45" s="1040">
        <f>X$80*('2.3.3. Prices Ind2'!H45/'2.3.3. Prices Ind2'!H$80)</f>
        <v>1.0970702299778436</v>
      </c>
      <c r="Y45" s="1040">
        <f>Y$80*('2.3.3. Prices Ind2'!I45/'2.3.3. Prices Ind2'!I$80)</f>
        <v>0.72834720760346017</v>
      </c>
      <c r="Z45" s="1040"/>
      <c r="AA45" s="1040">
        <f>AA$80*('2.3.3. Prices Ind2'!K45/'2.3.3. Prices Ind2'!K$80)</f>
        <v>3.571464913648442</v>
      </c>
      <c r="AB45" s="1026"/>
      <c r="AC45" s="1027"/>
      <c r="AD45" s="1028"/>
      <c r="AE45" s="1028"/>
      <c r="AF45" s="1027"/>
      <c r="AH45" s="1004">
        <f t="shared" si="1"/>
        <v>59.222153439392564</v>
      </c>
      <c r="AI45" s="1004">
        <f t="shared" si="2"/>
        <v>39.317710851306543</v>
      </c>
      <c r="AJ45" s="1004"/>
      <c r="AK45" s="1004">
        <f t="shared" si="4"/>
        <v>192.79517148484342</v>
      </c>
      <c r="AL45" s="1004"/>
      <c r="AP45" s="976"/>
      <c r="AQ45" s="977">
        <f>'2.3.3. Prices Ind2'!T45</f>
        <v>1.8524659544853865</v>
      </c>
    </row>
    <row r="46" spans="1:43" x14ac:dyDescent="0.35">
      <c r="A46" s="1000">
        <v>1936</v>
      </c>
      <c r="B46" s="982"/>
      <c r="C46" s="1040">
        <f>C$80*('2.3.3. Prices Ind2'!H46/'2.3.3. Prices Ind2'!H$80)</f>
        <v>1.2608018467013724</v>
      </c>
      <c r="D46" s="1040">
        <f>D$80*('2.3.3. Prices Ind2'!I46/'2.3.3. Prices Ind2'!I$80)</f>
        <v>0.73473621819647283</v>
      </c>
      <c r="E46" s="1040"/>
      <c r="F46" s="1040">
        <f>F$80*('2.3.3. Prices Ind2'!K46/'2.3.3. Prices Ind2'!K$80)</f>
        <v>3.6400581236665683</v>
      </c>
      <c r="G46" s="1026"/>
      <c r="H46" s="1027"/>
      <c r="I46" s="1028"/>
      <c r="J46" s="1028"/>
      <c r="K46" s="1027"/>
      <c r="M46" s="1004">
        <f t="shared" si="0"/>
        <v>67.483337127887808</v>
      </c>
      <c r="N46" s="1004">
        <f t="shared" si="0"/>
        <v>39.326125705117072</v>
      </c>
      <c r="O46" s="1041"/>
      <c r="P46" s="1004">
        <f t="shared" si="3"/>
        <v>194.83098804714845</v>
      </c>
      <c r="Q46" s="1041"/>
      <c r="U46" s="976"/>
      <c r="V46" s="977">
        <f>'2.3.3. Prices Ind2'!T46</f>
        <v>1.868315795219232</v>
      </c>
      <c r="X46" s="1040">
        <f>X$80*('2.3.3. Prices Ind2'!H46/'2.3.3. Prices Ind2'!H$80)</f>
        <v>1.181460247668447</v>
      </c>
      <c r="Y46" s="1040">
        <f>Y$80*('2.3.3. Prices Ind2'!I46/'2.3.3. Prices Ind2'!I$80)</f>
        <v>0.73473621819647283</v>
      </c>
      <c r="Z46" s="1040"/>
      <c r="AA46" s="1040">
        <f>AA$80*('2.3.3. Prices Ind2'!K46/'2.3.3. Prices Ind2'!K$80)</f>
        <v>3.5166192359782333</v>
      </c>
      <c r="AB46" s="1026"/>
      <c r="AC46" s="1027"/>
      <c r="AD46" s="1028"/>
      <c r="AE46" s="1028"/>
      <c r="AF46" s="1027"/>
      <c r="AH46" s="1004">
        <f t="shared" si="1"/>
        <v>63.236646111521637</v>
      </c>
      <c r="AI46" s="1004">
        <f t="shared" si="2"/>
        <v>39.326125705117072</v>
      </c>
      <c r="AJ46" s="1004"/>
      <c r="AK46" s="1004">
        <f t="shared" si="4"/>
        <v>188.22402748918503</v>
      </c>
      <c r="AL46" s="1004"/>
      <c r="AP46" s="976"/>
      <c r="AQ46" s="977">
        <f>'2.3.3. Prices Ind2'!T46</f>
        <v>1.868315795219232</v>
      </c>
    </row>
    <row r="47" spans="1:43" x14ac:dyDescent="0.35">
      <c r="A47" s="1000">
        <v>1937</v>
      </c>
      <c r="B47" s="982"/>
      <c r="C47" s="1040">
        <f>C$80*('2.3.3. Prices Ind2'!H47/'2.3.3. Prices Ind2'!H$80)</f>
        <v>1.3652682854280576</v>
      </c>
      <c r="D47" s="1040">
        <f>D$80*('2.3.3. Prices Ind2'!I47/'2.3.3. Prices Ind2'!I$80)</f>
        <v>0.78904280823708195</v>
      </c>
      <c r="E47" s="1040"/>
      <c r="F47" s="1040">
        <f>F$80*('2.3.3. Prices Ind2'!K47/'2.3.3. Prices Ind2'!K$80)</f>
        <v>3.6041050714515142</v>
      </c>
      <c r="G47" s="1026"/>
      <c r="H47" s="1027"/>
      <c r="I47" s="1028"/>
      <c r="J47" s="1028"/>
      <c r="K47" s="1027"/>
      <c r="M47" s="1004">
        <f t="shared" si="0"/>
        <v>70.714607214925749</v>
      </c>
      <c r="N47" s="1004">
        <f t="shared" si="0"/>
        <v>40.868782242863745</v>
      </c>
      <c r="O47" s="1041"/>
      <c r="P47" s="1004">
        <f t="shared" si="3"/>
        <v>186.67603811591334</v>
      </c>
      <c r="Q47" s="1041"/>
      <c r="U47" s="976"/>
      <c r="V47" s="977">
        <f>'2.3.3. Prices Ind2'!T47</f>
        <v>1.9306736460807068</v>
      </c>
      <c r="X47" s="1040">
        <f>X$80*('2.3.3. Prices Ind2'!H47/'2.3.3. Prices Ind2'!H$80)</f>
        <v>1.2793526681895471</v>
      </c>
      <c r="Y47" s="1040">
        <f>Y$80*('2.3.3. Prices Ind2'!I47/'2.3.3. Prices Ind2'!I$80)</f>
        <v>0.78904280823708195</v>
      </c>
      <c r="Z47" s="1040"/>
      <c r="AA47" s="1040">
        <f>AA$80*('2.3.3. Prices Ind2'!K47/'2.3.3. Prices Ind2'!K$80)</f>
        <v>3.4818853963756298</v>
      </c>
      <c r="AB47" s="1026"/>
      <c r="AC47" s="1027"/>
      <c r="AD47" s="1028"/>
      <c r="AE47" s="1028"/>
      <c r="AF47" s="1027"/>
      <c r="AH47" s="1004">
        <f t="shared" si="1"/>
        <v>66.264574066500046</v>
      </c>
      <c r="AI47" s="1004">
        <f t="shared" si="2"/>
        <v>40.868782242863745</v>
      </c>
      <c r="AJ47" s="1004"/>
      <c r="AK47" s="1004">
        <f t="shared" si="4"/>
        <v>180.34562202907279</v>
      </c>
      <c r="AL47" s="1004"/>
      <c r="AP47" s="976"/>
      <c r="AQ47" s="977">
        <f>'2.3.3. Prices Ind2'!T47</f>
        <v>1.9306736460807068</v>
      </c>
    </row>
    <row r="48" spans="1:43" x14ac:dyDescent="0.35">
      <c r="A48" s="1000">
        <v>1938</v>
      </c>
      <c r="B48" s="982"/>
      <c r="C48" s="1040">
        <f>C$80*('2.3.3. Prices Ind2'!H48/'2.3.3. Prices Ind2'!H$80)</f>
        <v>1.5606925716667699</v>
      </c>
      <c r="D48" s="1040">
        <f>D$80*('2.3.3. Prices Ind2'!I48/'2.3.3. Prices Ind2'!I$80)</f>
        <v>0.86571093535323551</v>
      </c>
      <c r="E48" s="1040"/>
      <c r="F48" s="1040">
        <f>F$80*('2.3.3. Prices Ind2'!K48/'2.3.3. Prices Ind2'!K$80)</f>
        <v>3.6719062003916716</v>
      </c>
      <c r="G48" s="1026"/>
      <c r="H48" s="1027"/>
      <c r="I48" s="1028"/>
      <c r="J48" s="1028"/>
      <c r="K48" s="1027"/>
      <c r="M48" s="1004">
        <f t="shared" si="0"/>
        <v>78.987364940698583</v>
      </c>
      <c r="N48" s="1004">
        <f t="shared" si="0"/>
        <v>43.814026429863532</v>
      </c>
      <c r="O48" s="1041"/>
      <c r="P48" s="1004">
        <f t="shared" si="3"/>
        <v>185.8368523972685</v>
      </c>
      <c r="Q48" s="1041"/>
      <c r="U48" s="976"/>
      <c r="V48" s="977">
        <f>'2.3.3. Prices Ind2'!T48</f>
        <v>1.9758762339248719</v>
      </c>
      <c r="X48" s="1040">
        <f>X$80*('2.3.3. Prices Ind2'!H48/'2.3.3. Prices Ind2'!H$80)</f>
        <v>1.4624790065781559</v>
      </c>
      <c r="Y48" s="1040">
        <f>Y$80*('2.3.3. Prices Ind2'!I48/'2.3.3. Prices Ind2'!I$80)</f>
        <v>0.86571093535323551</v>
      </c>
      <c r="Z48" s="1040"/>
      <c r="AA48" s="1040">
        <f>AA$80*('2.3.3. Prices Ind2'!K48/'2.3.3. Prices Ind2'!K$80)</f>
        <v>3.5473873049033515</v>
      </c>
      <c r="AB48" s="1026"/>
      <c r="AC48" s="1027"/>
      <c r="AD48" s="1028"/>
      <c r="AE48" s="1028"/>
      <c r="AF48" s="1027"/>
      <c r="AH48" s="1004">
        <f t="shared" si="1"/>
        <v>74.016731486925877</v>
      </c>
      <c r="AI48" s="1004">
        <f t="shared" si="2"/>
        <v>43.814026429863532</v>
      </c>
      <c r="AJ48" s="1004"/>
      <c r="AK48" s="1004">
        <f t="shared" si="4"/>
        <v>179.53489413943893</v>
      </c>
      <c r="AL48" s="1004"/>
      <c r="AP48" s="976"/>
      <c r="AQ48" s="977">
        <f>'2.3.3. Prices Ind2'!T48</f>
        <v>1.9758762339248719</v>
      </c>
    </row>
    <row r="49" spans="1:43" x14ac:dyDescent="0.35">
      <c r="A49" s="1000">
        <v>1939</v>
      </c>
      <c r="B49" s="982"/>
      <c r="C49" s="1040">
        <f>C$80*('2.3.3. Prices Ind2'!H49/'2.3.3. Prices Ind2'!H$80)</f>
        <v>1.616528082020688</v>
      </c>
      <c r="D49" s="1040">
        <f>D$80*('2.3.3. Prices Ind2'!I49/'2.3.3. Prices Ind2'!I$80)</f>
        <v>0.7475142393824985</v>
      </c>
      <c r="E49" s="1040"/>
      <c r="F49" s="1040">
        <f>F$80*('2.3.3. Prices Ind2'!K49/'2.3.3. Prices Ind2'!K$80)</f>
        <v>3.6056612175899994</v>
      </c>
      <c r="G49" s="1026"/>
      <c r="H49" s="1027"/>
      <c r="I49" s="1028"/>
      <c r="J49" s="1028"/>
      <c r="K49" s="1027"/>
      <c r="M49" s="1004">
        <f t="shared" si="0"/>
        <v>79.398711682416817</v>
      </c>
      <c r="N49" s="1004">
        <f t="shared" si="0"/>
        <v>36.715519038210267</v>
      </c>
      <c r="O49" s="1041"/>
      <c r="P49" s="1004">
        <f t="shared" si="3"/>
        <v>177.09859706367695</v>
      </c>
      <c r="Q49" s="1041"/>
      <c r="U49" s="976"/>
      <c r="V49" s="977">
        <f>'2.3.3. Prices Ind2'!T49</f>
        <v>2.0359626091750238</v>
      </c>
      <c r="X49" s="1040">
        <f>X$80*('2.3.3. Prices Ind2'!H49/'2.3.3. Prices Ind2'!H$80)</f>
        <v>1.5148008175463301</v>
      </c>
      <c r="Y49" s="1040">
        <f>Y$80*('2.3.3. Prices Ind2'!I49/'2.3.3. Prices Ind2'!I$80)</f>
        <v>0.7475142393824985</v>
      </c>
      <c r="Z49" s="1040"/>
      <c r="AA49" s="1040">
        <f>AA$80*('2.3.3. Prices Ind2'!K49/'2.3.3. Prices Ind2'!K$80)</f>
        <v>3.4833887716676366</v>
      </c>
      <c r="AB49" s="1026"/>
      <c r="AC49" s="1027"/>
      <c r="AD49" s="1028"/>
      <c r="AE49" s="1028"/>
      <c r="AF49" s="1027"/>
      <c r="AH49" s="1004">
        <f t="shared" si="1"/>
        <v>74.402192393903064</v>
      </c>
      <c r="AI49" s="1004">
        <f t="shared" si="2"/>
        <v>36.715519038210267</v>
      </c>
      <c r="AJ49" s="1004"/>
      <c r="AK49" s="1004">
        <f t="shared" si="4"/>
        <v>171.0929638869504</v>
      </c>
      <c r="AL49" s="1004"/>
      <c r="AP49" s="976"/>
      <c r="AQ49" s="977">
        <f>'2.3.3. Prices Ind2'!T49</f>
        <v>2.0359626091750238</v>
      </c>
    </row>
    <row r="50" spans="1:43" x14ac:dyDescent="0.35">
      <c r="A50" s="1000">
        <v>1940</v>
      </c>
      <c r="B50" s="982"/>
      <c r="C50" s="1040">
        <f>C$80*('2.3.3. Prices Ind2'!H50/'2.3.3. Prices Ind2'!H$80)</f>
        <v>1.8371684051934283</v>
      </c>
      <c r="D50" s="1040">
        <f>D$80*('2.3.3. Prices Ind2'!I50/'2.3.3. Prices Ind2'!I$80)</f>
        <v>1.2969691503815999</v>
      </c>
      <c r="E50" s="1040"/>
      <c r="F50" s="1040">
        <f>F$80*('2.3.3. Prices Ind2'!K50/'2.3.3. Prices Ind2'!K$80)</f>
        <v>3.7959252618142667</v>
      </c>
      <c r="G50" s="1026"/>
      <c r="H50" s="1027"/>
      <c r="I50" s="1028"/>
      <c r="J50" s="1028"/>
      <c r="K50" s="1027"/>
      <c r="M50" s="1004">
        <f t="shared" si="0"/>
        <v>81.717182105416725</v>
      </c>
      <c r="N50" s="1004">
        <f t="shared" si="0"/>
        <v>57.689139409994425</v>
      </c>
      <c r="O50" s="1041"/>
      <c r="P50" s="1004">
        <f t="shared" si="3"/>
        <v>168.84261399301016</v>
      </c>
      <c r="Q50" s="1041"/>
      <c r="U50" s="976"/>
      <c r="V50" s="977">
        <f>'2.3.3. Prices Ind2'!T50</f>
        <v>2.248203325003848</v>
      </c>
      <c r="X50" s="1040">
        <f>X$80*('2.3.3. Prices Ind2'!H50/'2.3.3. Prices Ind2'!H$80)</f>
        <v>1.7215563608883084</v>
      </c>
      <c r="Y50" s="1040">
        <f>Y$80*('2.3.3. Prices Ind2'!I50/'2.3.3. Prices Ind2'!I$80)</f>
        <v>1.2969691503815999</v>
      </c>
      <c r="Z50" s="1040"/>
      <c r="AA50" s="1040">
        <f>AA$80*('2.3.3. Prices Ind2'!K50/'2.3.3. Prices Ind2'!K$80)</f>
        <v>3.6672007260658028</v>
      </c>
      <c r="AB50" s="1026"/>
      <c r="AC50" s="1027"/>
      <c r="AD50" s="1028"/>
      <c r="AE50" s="1028"/>
      <c r="AF50" s="1027"/>
      <c r="AH50" s="1004">
        <f t="shared" si="1"/>
        <v>76.574762689017987</v>
      </c>
      <c r="AI50" s="1004">
        <f t="shared" si="2"/>
        <v>57.689139409994425</v>
      </c>
      <c r="AJ50" s="1004"/>
      <c r="AK50" s="1004">
        <f t="shared" si="4"/>
        <v>163.11695144653012</v>
      </c>
      <c r="AL50" s="1004"/>
      <c r="AP50" s="976"/>
      <c r="AQ50" s="977">
        <f>'2.3.3. Prices Ind2'!T50</f>
        <v>2.248203325003848</v>
      </c>
    </row>
    <row r="51" spans="1:43" x14ac:dyDescent="0.35">
      <c r="A51" s="1000">
        <v>1941</v>
      </c>
      <c r="B51" s="982"/>
      <c r="C51" s="1040">
        <f>C$80*('2.3.3. Prices Ind2'!H51/'2.3.3. Prices Ind2'!H$80)</f>
        <v>2.1703803218216482</v>
      </c>
      <c r="D51" s="1040">
        <f>D$80*('2.3.3. Prices Ind2'!I51/'2.3.3. Prices Ind2'!I$80)</f>
        <v>1.689893301851888</v>
      </c>
      <c r="E51" s="1040"/>
      <c r="F51" s="1040">
        <f>F$80*('2.3.3. Prices Ind2'!K51/'2.3.3. Prices Ind2'!K$80)</f>
        <v>4.0070196729197285</v>
      </c>
      <c r="G51" s="1026"/>
      <c r="H51" s="1027"/>
      <c r="I51" s="1028"/>
      <c r="J51" s="1028"/>
      <c r="K51" s="1027"/>
      <c r="M51" s="1004">
        <f t="shared" si="0"/>
        <v>87.096850472977849</v>
      </c>
      <c r="N51" s="1004">
        <f t="shared" si="0"/>
        <v>67.815019675051971</v>
      </c>
      <c r="O51" s="1041"/>
      <c r="P51" s="1004">
        <f t="shared" si="3"/>
        <v>160.8007544970956</v>
      </c>
      <c r="Q51" s="1041"/>
      <c r="U51" s="976"/>
      <c r="V51" s="977">
        <f>'2.3.3. Prices Ind2'!T51</f>
        <v>2.4919159648545701</v>
      </c>
      <c r="X51" s="1040">
        <f>X$80*('2.3.3. Prices Ind2'!H51/'2.3.3. Prices Ind2'!H$80)</f>
        <v>2.0337994263435411</v>
      </c>
      <c r="Y51" s="1040">
        <f>Y$80*('2.3.3. Prices Ind2'!I51/'2.3.3. Prices Ind2'!I$80)</f>
        <v>1.689893301851888</v>
      </c>
      <c r="Z51" s="1040"/>
      <c r="AA51" s="1040">
        <f>AA$80*('2.3.3. Prices Ind2'!K51/'2.3.3. Prices Ind2'!K$80)</f>
        <v>3.8711366637571545</v>
      </c>
      <c r="AB51" s="1026"/>
      <c r="AC51" s="1027"/>
      <c r="AD51" s="1028"/>
      <c r="AE51" s="1028"/>
      <c r="AF51" s="1027"/>
      <c r="AH51" s="1004">
        <f t="shared" si="1"/>
        <v>81.615891347372738</v>
      </c>
      <c r="AI51" s="1004">
        <f t="shared" si="2"/>
        <v>67.815019675051971</v>
      </c>
      <c r="AJ51" s="1004"/>
      <c r="AK51" s="1004">
        <f t="shared" si="4"/>
        <v>155.34780138475003</v>
      </c>
      <c r="AL51" s="1004"/>
      <c r="AP51" s="976"/>
      <c r="AQ51" s="977">
        <f>'2.3.3. Prices Ind2'!T51</f>
        <v>2.4919159648545701</v>
      </c>
    </row>
    <row r="52" spans="1:43" x14ac:dyDescent="0.35">
      <c r="A52" s="1000">
        <v>1942</v>
      </c>
      <c r="B52" s="982"/>
      <c r="C52" s="1040">
        <f>C$80*('2.3.3. Prices Ind2'!H52/'2.3.3. Prices Ind2'!H$80)</f>
        <v>2.3712080445462238</v>
      </c>
      <c r="D52" s="1040">
        <f>D$80*('2.3.3. Prices Ind2'!I52/'2.3.3. Prices Ind2'!I$80)</f>
        <v>2.6322723643212771</v>
      </c>
      <c r="E52" s="1040"/>
      <c r="F52" s="1040">
        <f>F$80*('2.3.3. Prices Ind2'!K52/'2.3.3. Prices Ind2'!K$80)</f>
        <v>4.0245315300128315</v>
      </c>
      <c r="G52" s="1026"/>
      <c r="H52" s="1027"/>
      <c r="I52" s="1028"/>
      <c r="J52" s="1028"/>
      <c r="K52" s="1027"/>
      <c r="M52" s="1004">
        <f t="shared" si="0"/>
        <v>88.402574827331705</v>
      </c>
      <c r="N52" s="1004">
        <f t="shared" si="0"/>
        <v>98.135486334924536</v>
      </c>
      <c r="O52" s="1041"/>
      <c r="P52" s="1004">
        <f t="shared" si="3"/>
        <v>150.04122077993384</v>
      </c>
      <c r="Q52" s="1041"/>
      <c r="U52" s="976"/>
      <c r="V52" s="977">
        <f>'2.3.3. Prices Ind2'!T52</f>
        <v>2.6822839144421726</v>
      </c>
      <c r="X52" s="1040">
        <f>X$80*('2.3.3. Prices Ind2'!H52/'2.3.3. Prices Ind2'!H$80)</f>
        <v>2.2219891657935866</v>
      </c>
      <c r="Y52" s="1040">
        <f>Y$80*('2.3.3. Prices Ind2'!I52/'2.3.3. Prices Ind2'!I$80)</f>
        <v>2.6322723643212771</v>
      </c>
      <c r="Z52" s="1040"/>
      <c r="AA52" s="1040">
        <f>AA$80*('2.3.3. Prices Ind2'!K52/'2.3.3. Prices Ind2'!K$80)</f>
        <v>3.8880546720468896</v>
      </c>
      <c r="AB52" s="1026"/>
      <c r="AC52" s="1027"/>
      <c r="AD52" s="1028"/>
      <c r="AE52" s="1028"/>
      <c r="AF52" s="1027"/>
      <c r="AH52" s="1004">
        <f t="shared" si="1"/>
        <v>82.83944715284504</v>
      </c>
      <c r="AI52" s="1004">
        <f t="shared" si="2"/>
        <v>98.135486334924536</v>
      </c>
      <c r="AJ52" s="1004"/>
      <c r="AK52" s="1004">
        <f t="shared" si="4"/>
        <v>144.95313680675292</v>
      </c>
      <c r="AL52" s="1004"/>
      <c r="AP52" s="976"/>
      <c r="AQ52" s="977">
        <f>'2.3.3. Prices Ind2'!T52</f>
        <v>2.6822839144421726</v>
      </c>
    </row>
    <row r="53" spans="1:43" x14ac:dyDescent="0.35">
      <c r="A53" s="1000">
        <v>1943</v>
      </c>
      <c r="B53" s="982"/>
      <c r="C53" s="1040">
        <f>C$80*('2.3.3. Prices Ind2'!H53/'2.3.3. Prices Ind2'!H$80)</f>
        <v>2.60265524069069</v>
      </c>
      <c r="D53" s="1040">
        <f>D$80*('2.3.3. Prices Ind2'!I53/'2.3.3. Prices Ind2'!I$80)</f>
        <v>2.5556042372051233</v>
      </c>
      <c r="E53" s="1040"/>
      <c r="F53" s="1040">
        <f>F$80*('2.3.3. Prices Ind2'!K53/'2.3.3. Prices Ind2'!K$80)</f>
        <v>4.1303617448571277</v>
      </c>
      <c r="G53" s="1026"/>
      <c r="H53" s="1027"/>
      <c r="I53" s="1028"/>
      <c r="J53" s="1028"/>
      <c r="K53" s="1027"/>
      <c r="M53" s="1004">
        <f t="shared" si="0"/>
        <v>92.731360388365488</v>
      </c>
      <c r="N53" s="1004">
        <f t="shared" si="0"/>
        <v>91.054955656520775</v>
      </c>
      <c r="O53" s="1041"/>
      <c r="P53" s="1004">
        <f t="shared" si="3"/>
        <v>147.16281185018596</v>
      </c>
      <c r="Q53" s="1041"/>
      <c r="U53" s="976"/>
      <c r="V53" s="977">
        <f>'2.3.3. Prices Ind2'!T53</f>
        <v>2.8066613385057502</v>
      </c>
      <c r="X53" s="1040">
        <f>X$80*('2.3.3. Prices Ind2'!H53/'2.3.3. Prices Ind2'!H$80)</f>
        <v>2.4388715112584367</v>
      </c>
      <c r="Y53" s="1040">
        <f>Y$80*('2.3.3. Prices Ind2'!I53/'2.3.3. Prices Ind2'!I$80)</f>
        <v>2.5556042372051233</v>
      </c>
      <c r="Z53" s="1040"/>
      <c r="AA53" s="1040">
        <f>AA$80*('2.3.3. Prices Ind2'!K53/'2.3.3. Prices Ind2'!K$80)</f>
        <v>3.9902960529878855</v>
      </c>
      <c r="AB53" s="1026"/>
      <c r="AC53" s="1027"/>
      <c r="AD53" s="1028"/>
      <c r="AE53" s="1028"/>
      <c r="AF53" s="1027"/>
      <c r="AH53" s="1004">
        <f t="shared" si="1"/>
        <v>86.895824508591318</v>
      </c>
      <c r="AI53" s="1004">
        <f t="shared" si="2"/>
        <v>91.054955656520775</v>
      </c>
      <c r="AJ53" s="1004"/>
      <c r="AK53" s="1004">
        <f t="shared" si="4"/>
        <v>142.17233829544591</v>
      </c>
      <c r="AL53" s="1004"/>
      <c r="AP53" s="976"/>
      <c r="AQ53" s="977">
        <f>'2.3.3. Prices Ind2'!T53</f>
        <v>2.8066613385057502</v>
      </c>
    </row>
    <row r="54" spans="1:43" x14ac:dyDescent="0.35">
      <c r="A54" s="1000">
        <v>1944</v>
      </c>
      <c r="B54" s="982"/>
      <c r="C54" s="1040">
        <f>C$80*('2.3.3. Prices Ind2'!H54/'2.3.3. Prices Ind2'!H$80)</f>
        <v>2.9944043859157596</v>
      </c>
      <c r="D54" s="1040">
        <f>D$80*('2.3.3. Prices Ind2'!I54/'2.3.3. Prices Ind2'!I$80)</f>
        <v>3.012418494605539</v>
      </c>
      <c r="E54" s="1040"/>
      <c r="F54" s="1040">
        <f>F$80*('2.3.3. Prices Ind2'!K54/'2.3.3. Prices Ind2'!K$80)</f>
        <v>4.510263679240615</v>
      </c>
      <c r="G54" s="1026"/>
      <c r="H54" s="1027"/>
      <c r="I54" s="1028"/>
      <c r="J54" s="1028"/>
      <c r="K54" s="1027"/>
      <c r="M54" s="1004">
        <f t="shared" si="0"/>
        <v>101.118186592532</v>
      </c>
      <c r="N54" s="1004">
        <f t="shared" si="0"/>
        <v>101.72650590049153</v>
      </c>
      <c r="O54" s="1041"/>
      <c r="P54" s="1004">
        <f t="shared" si="3"/>
        <v>152.30731241381599</v>
      </c>
      <c r="Q54" s="1041"/>
      <c r="U54" s="976"/>
      <c r="V54" s="977">
        <f>'2.3.3. Prices Ind2'!T54</f>
        <v>2.9612916200545363</v>
      </c>
      <c r="X54" s="1040">
        <f>X$80*('2.3.3. Prices Ind2'!H54/'2.3.3. Prices Ind2'!H$80)</f>
        <v>2.8059680882125622</v>
      </c>
      <c r="Y54" s="1040">
        <f>Y$80*('2.3.3. Prices Ind2'!I54/'2.3.3. Prices Ind2'!I$80)</f>
        <v>3.012418494605539</v>
      </c>
      <c r="Z54" s="1040"/>
      <c r="AA54" s="1040">
        <f>AA$80*('2.3.3. Prices Ind2'!K54/'2.3.3. Prices Ind2'!K$80)</f>
        <v>4.3573150413804695</v>
      </c>
      <c r="AB54" s="1026"/>
      <c r="AC54" s="1027"/>
      <c r="AD54" s="1028"/>
      <c r="AE54" s="1028"/>
      <c r="AF54" s="1027"/>
      <c r="AH54" s="1004">
        <f t="shared" si="1"/>
        <v>94.754872137884433</v>
      </c>
      <c r="AI54" s="1004">
        <f t="shared" si="2"/>
        <v>101.72650590049153</v>
      </c>
      <c r="AJ54" s="1004"/>
      <c r="AK54" s="1004">
        <f t="shared" si="4"/>
        <v>147.14238246148224</v>
      </c>
      <c r="AL54" s="1004"/>
      <c r="AP54" s="976"/>
      <c r="AQ54" s="977">
        <f>'2.3.3. Prices Ind2'!T54</f>
        <v>2.9612916200545363</v>
      </c>
    </row>
    <row r="55" spans="1:43" x14ac:dyDescent="0.35">
      <c r="A55" s="1000">
        <v>1945</v>
      </c>
      <c r="B55" s="982"/>
      <c r="C55" s="1040">
        <f>C$80*('2.3.3. Prices Ind2'!H55/'2.3.3. Prices Ind2'!H$80)</f>
        <v>3.4365856050088834</v>
      </c>
      <c r="D55" s="1040">
        <f>D$80*('2.3.3. Prices Ind2'!I55/'2.3.3. Prices Ind2'!I$80)</f>
        <v>1.9198976832003491</v>
      </c>
      <c r="E55" s="1040"/>
      <c r="F55" s="1040">
        <f>F$80*('2.3.3. Prices Ind2'!K55/'2.3.3. Prices Ind2'!K$80)</f>
        <v>4.8939418534123869</v>
      </c>
      <c r="G55" s="1026"/>
      <c r="H55" s="1027"/>
      <c r="I55" s="1028"/>
      <c r="J55" s="1028"/>
      <c r="K55" s="1027"/>
      <c r="M55" s="1004">
        <f t="shared" si="0"/>
        <v>113.79218298833023</v>
      </c>
      <c r="N55" s="1004">
        <f t="shared" si="0"/>
        <v>63.57162998273126</v>
      </c>
      <c r="O55" s="1041"/>
      <c r="P55" s="1004">
        <f t="shared" si="3"/>
        <v>162.04814630721552</v>
      </c>
      <c r="Q55" s="1041"/>
      <c r="U55" s="976"/>
      <c r="V55" s="977">
        <f>'2.3.3. Prices Ind2'!T55</f>
        <v>3.0200542029862607</v>
      </c>
      <c r="X55" s="1040">
        <f>X$80*('2.3.3. Prices Ind2'!H55/'2.3.3. Prices Ind2'!H$80)</f>
        <v>3.220323075073424</v>
      </c>
      <c r="Y55" s="1040">
        <f>Y$80*('2.3.3. Prices Ind2'!I55/'2.3.3. Prices Ind2'!I$80)</f>
        <v>1.9198976832003491</v>
      </c>
      <c r="Z55" s="1040"/>
      <c r="AA55" s="1040">
        <f>AA$80*('2.3.3. Prices Ind2'!K55/'2.3.3. Prices Ind2'!K$80)</f>
        <v>4.7279822125844237</v>
      </c>
      <c r="AB55" s="1026"/>
      <c r="AC55" s="1027"/>
      <c r="AD55" s="1028"/>
      <c r="AE55" s="1028"/>
      <c r="AF55" s="1027"/>
      <c r="AH55" s="1004">
        <f t="shared" si="1"/>
        <v>106.63130058689461</v>
      </c>
      <c r="AI55" s="1004">
        <f t="shared" si="2"/>
        <v>63.57162998273126</v>
      </c>
      <c r="AJ55" s="1004"/>
      <c r="AK55" s="1004">
        <f t="shared" si="4"/>
        <v>156.5528925907802</v>
      </c>
      <c r="AL55" s="1004"/>
      <c r="AP55" s="976"/>
      <c r="AQ55" s="977">
        <f>'2.3.3. Prices Ind2'!T55</f>
        <v>3.0200542029862607</v>
      </c>
    </row>
    <row r="56" spans="1:43" x14ac:dyDescent="0.35">
      <c r="A56" s="1000">
        <v>1946</v>
      </c>
      <c r="B56" s="982"/>
      <c r="C56" s="1040">
        <f>C$80*('2.3.3. Prices Ind2'!H56/'2.3.3. Prices Ind2'!H$80)</f>
        <v>3.5482566257167196</v>
      </c>
      <c r="D56" s="1040">
        <f>D$80*('2.3.3. Prices Ind2'!I56/'2.3.3. Prices Ind2'!I$80)</f>
        <v>1.9837877891304767</v>
      </c>
      <c r="E56" s="1040"/>
      <c r="F56" s="1040">
        <f>F$80*('2.3.3. Prices Ind2'!K56/'2.3.3. Prices Ind2'!K$80)</f>
        <v>4.9552239541424452</v>
      </c>
      <c r="G56" s="1026"/>
      <c r="H56" s="1027"/>
      <c r="I56" s="1028"/>
      <c r="J56" s="1028"/>
      <c r="K56" s="1027"/>
      <c r="M56" s="1004">
        <f t="shared" si="0"/>
        <v>113.90230225905027</v>
      </c>
      <c r="N56" s="1004">
        <f t="shared" si="0"/>
        <v>63.681413215063309</v>
      </c>
      <c r="O56" s="1041"/>
      <c r="P56" s="1004">
        <f t="shared" si="3"/>
        <v>159.06724798182049</v>
      </c>
      <c r="Q56" s="1041"/>
      <c r="U56" s="976"/>
      <c r="V56" s="977">
        <f>'2.3.3. Prices Ind2'!T56</f>
        <v>3.1151755103657597</v>
      </c>
      <c r="X56" s="1040">
        <f>X$80*('2.3.3. Prices Ind2'!H56/'2.3.3. Prices Ind2'!H$80)</f>
        <v>3.3249666970097724</v>
      </c>
      <c r="Y56" s="1040">
        <f>Y$80*('2.3.3. Prices Ind2'!I56/'2.3.3. Prices Ind2'!I$80)</f>
        <v>1.9837877891304767</v>
      </c>
      <c r="Z56" s="1040"/>
      <c r="AA56" s="1040">
        <f>AA$80*('2.3.3. Prices Ind2'!K56/'2.3.3. Prices Ind2'!K$80)</f>
        <v>4.7871861612376954</v>
      </c>
      <c r="AB56" s="1026"/>
      <c r="AC56" s="1027"/>
      <c r="AD56" s="1028"/>
      <c r="AE56" s="1028"/>
      <c r="AF56" s="1027"/>
      <c r="AH56" s="1004">
        <f t="shared" si="1"/>
        <v>106.73449010965615</v>
      </c>
      <c r="AI56" s="1004">
        <f t="shared" si="2"/>
        <v>63.681413215063309</v>
      </c>
      <c r="AJ56" s="1004"/>
      <c r="AK56" s="1004">
        <f t="shared" si="4"/>
        <v>153.67308022640501</v>
      </c>
      <c r="AL56" s="1004"/>
      <c r="AP56" s="976"/>
      <c r="AQ56" s="977">
        <f>'2.3.3. Prices Ind2'!T56</f>
        <v>3.1151755103657597</v>
      </c>
    </row>
    <row r="57" spans="1:43" x14ac:dyDescent="0.35">
      <c r="A57" s="1000">
        <v>1947</v>
      </c>
      <c r="B57" s="982"/>
      <c r="C57" s="1040">
        <f>C$80*('2.3.3. Prices Ind2'!H57/'2.3.3. Prices Ind2'!H$80)</f>
        <v>3.5662680806695959</v>
      </c>
      <c r="D57" s="1040">
        <f>D$80*('2.3.3. Prices Ind2'!I57/'2.3.3. Prices Ind2'!I$80)</f>
        <v>1.7250328601134586</v>
      </c>
      <c r="E57" s="1040"/>
      <c r="F57" s="1040">
        <f>F$80*('2.3.3. Prices Ind2'!K57/'2.3.3. Prices Ind2'!K$80)</f>
        <v>5.088282300605008</v>
      </c>
      <c r="G57" s="1026"/>
      <c r="H57" s="1027"/>
      <c r="I57" s="1028"/>
      <c r="J57" s="1028"/>
      <c r="K57" s="1027"/>
      <c r="M57" s="1004">
        <f t="shared" si="0"/>
        <v>104.57552072107143</v>
      </c>
      <c r="N57" s="1004">
        <f t="shared" si="0"/>
        <v>50.584029446673917</v>
      </c>
      <c r="O57" s="1041"/>
      <c r="P57" s="1004">
        <f t="shared" si="3"/>
        <v>149.20632973325777</v>
      </c>
      <c r="Q57" s="1041"/>
      <c r="U57" s="976"/>
      <c r="V57" s="977">
        <f>'2.3.3. Prices Ind2'!T57</f>
        <v>3.4102321997341116</v>
      </c>
      <c r="X57" s="1040">
        <f>X$80*('2.3.3. Prices Ind2'!H57/'2.3.3. Prices Ind2'!H$80)</f>
        <v>3.3418447005478931</v>
      </c>
      <c r="Y57" s="1040">
        <f>Y$80*('2.3.3. Prices Ind2'!I57/'2.3.3. Prices Ind2'!I$80)</f>
        <v>1.7250328601134586</v>
      </c>
      <c r="Z57" s="1040"/>
      <c r="AA57" s="1040">
        <f>AA$80*('2.3.3. Prices Ind2'!K57/'2.3.3. Prices Ind2'!K$80)</f>
        <v>4.9157323340681387</v>
      </c>
      <c r="AB57" s="1026"/>
      <c r="AC57" s="1027"/>
      <c r="AD57" s="1028"/>
      <c r="AE57" s="1028"/>
      <c r="AF57" s="1027"/>
      <c r="AH57" s="1004">
        <f t="shared" si="1"/>
        <v>97.994638042783407</v>
      </c>
      <c r="AI57" s="1004">
        <f t="shared" si="2"/>
        <v>50.584029446673917</v>
      </c>
      <c r="AJ57" s="1004"/>
      <c r="AK57" s="1004">
        <f t="shared" si="4"/>
        <v>144.14655795143238</v>
      </c>
      <c r="AL57" s="1004"/>
      <c r="AP57" s="976"/>
      <c r="AQ57" s="977">
        <f>'2.3.3. Prices Ind2'!T57</f>
        <v>3.4102321997341116</v>
      </c>
    </row>
    <row r="58" spans="1:43" x14ac:dyDescent="0.35">
      <c r="A58" s="1000">
        <v>1948</v>
      </c>
      <c r="B58" s="982"/>
      <c r="C58" s="1040">
        <f>C$80*('2.3.3. Prices Ind2'!H58/'2.3.3. Prices Ind2'!H$80)</f>
        <v>4.1786575490674043</v>
      </c>
      <c r="D58" s="1040">
        <f>D$80*('2.3.3. Prices Ind2'!I58/'2.3.3. Prices Ind2'!I$80)</f>
        <v>2.2137921704789383</v>
      </c>
      <c r="E58" s="1040"/>
      <c r="F58" s="1040">
        <f>F$80*('2.3.3. Prices Ind2'!K58/'2.3.3. Prices Ind2'!K$80)</f>
        <v>5.2096519428897308</v>
      </c>
      <c r="G58" s="1026"/>
      <c r="H58" s="1027"/>
      <c r="I58" s="1028"/>
      <c r="J58" s="1028"/>
      <c r="K58" s="1027"/>
      <c r="M58" s="1004">
        <f t="shared" si="0"/>
        <v>115.14837174466754</v>
      </c>
      <c r="N58" s="1004">
        <f t="shared" si="0"/>
        <v>61.003937465187889</v>
      </c>
      <c r="O58" s="1041"/>
      <c r="P58" s="1004">
        <f t="shared" si="3"/>
        <v>143.55877013996482</v>
      </c>
      <c r="Q58" s="1041"/>
      <c r="U58" s="976"/>
      <c r="V58" s="977">
        <f>'2.3.3. Prices Ind2'!T58</f>
        <v>3.6289332499926692</v>
      </c>
      <c r="X58" s="1040">
        <f>X$80*('2.3.3. Prices Ind2'!H58/'2.3.3. Prices Ind2'!H$80)</f>
        <v>3.9156968208439951</v>
      </c>
      <c r="Y58" s="1040">
        <f>Y$80*('2.3.3. Prices Ind2'!I58/'2.3.3. Prices Ind2'!I$80)</f>
        <v>2.2137921704789383</v>
      </c>
      <c r="Z58" s="1040"/>
      <c r="AA58" s="1040">
        <f>AA$80*('2.3.3. Prices Ind2'!K58/'2.3.3. Prices Ind2'!K$80)</f>
        <v>5.0329861811831771</v>
      </c>
      <c r="AB58" s="1026"/>
      <c r="AC58" s="1027"/>
      <c r="AD58" s="1028"/>
      <c r="AE58" s="1028"/>
      <c r="AF58" s="1027"/>
      <c r="AH58" s="1004">
        <f t="shared" si="1"/>
        <v>107.90214509599771</v>
      </c>
      <c r="AI58" s="1004">
        <f t="shared" si="2"/>
        <v>61.003937465187889</v>
      </c>
      <c r="AJ58" s="1004"/>
      <c r="AK58" s="1004">
        <f t="shared" si="4"/>
        <v>138.6905141116427</v>
      </c>
      <c r="AL58" s="1004"/>
      <c r="AP58" s="976"/>
      <c r="AQ58" s="977">
        <f>'2.3.3. Prices Ind2'!T58</f>
        <v>3.6289332499926692</v>
      </c>
    </row>
    <row r="59" spans="1:43" x14ac:dyDescent="0.35">
      <c r="A59" s="1000">
        <v>1949</v>
      </c>
      <c r="B59" s="982"/>
      <c r="C59" s="1040">
        <f>C$80*('2.3.3. Prices Ind2'!H59/'2.3.3. Prices Ind2'!H$80)</f>
        <v>4.250703368878912</v>
      </c>
      <c r="D59" s="1040">
        <f>D$80*('2.3.3. Prices Ind2'!I59/'2.3.3. Prices Ind2'!I$80)</f>
        <v>1.6866987965553815</v>
      </c>
      <c r="E59" s="1040"/>
      <c r="F59" s="1040">
        <f>F$80*('2.3.3. Prices Ind2'!K59/'2.3.3. Prices Ind2'!K$80)</f>
        <v>5.265730004707704</v>
      </c>
      <c r="G59" s="1026"/>
      <c r="H59" s="1027"/>
      <c r="I59" s="1028"/>
      <c r="J59" s="1028"/>
      <c r="K59" s="1027"/>
      <c r="M59" s="1004">
        <f t="shared" si="0"/>
        <v>113.61818271227024</v>
      </c>
      <c r="N59" s="1004">
        <f t="shared" si="0"/>
        <v>45.084221461009413</v>
      </c>
      <c r="O59" s="1041"/>
      <c r="P59" s="1004">
        <f t="shared" si="3"/>
        <v>140.74910005921106</v>
      </c>
      <c r="Q59" s="1041"/>
      <c r="U59" s="976"/>
      <c r="V59" s="977">
        <f>'2.3.3. Prices Ind2'!T59</f>
        <v>3.7412175299824222</v>
      </c>
      <c r="X59" s="1040">
        <f>X$80*('2.3.3. Prices Ind2'!H59/'2.3.3. Prices Ind2'!H$80)</f>
        <v>3.983208834996478</v>
      </c>
      <c r="Y59" s="1040">
        <f>Y$80*('2.3.3. Prices Ind2'!I59/'2.3.3. Prices Ind2'!I$80)</f>
        <v>1.6866987965553815</v>
      </c>
      <c r="Z59" s="1040"/>
      <c r="AA59" s="1040">
        <f>AA$80*('2.3.3. Prices Ind2'!K59/'2.3.3. Prices Ind2'!K$80)</f>
        <v>5.087162566341231</v>
      </c>
      <c r="AB59" s="1026"/>
      <c r="AC59" s="1027"/>
      <c r="AD59" s="1028"/>
      <c r="AE59" s="1028"/>
      <c r="AF59" s="1027"/>
      <c r="AH59" s="1004">
        <f t="shared" si="1"/>
        <v>106.46825005695921</v>
      </c>
      <c r="AI59" s="1004">
        <f t="shared" si="2"/>
        <v>45.084221461009413</v>
      </c>
      <c r="AJ59" s="1004"/>
      <c r="AK59" s="1004">
        <f t="shared" si="4"/>
        <v>135.97612342966684</v>
      </c>
      <c r="AL59" s="1004"/>
      <c r="AP59" s="976"/>
      <c r="AQ59" s="977">
        <f>'2.3.3. Prices Ind2'!T59</f>
        <v>3.7412175299824222</v>
      </c>
    </row>
    <row r="60" spans="1:43" x14ac:dyDescent="0.35">
      <c r="A60" s="1000">
        <v>1950</v>
      </c>
      <c r="B60" s="982"/>
      <c r="C60" s="1040">
        <f>C$80*('2.3.3. Prices Ind2'!H60/'2.3.3. Prices Ind2'!H$80)</f>
        <v>4.2326919139260362</v>
      </c>
      <c r="D60" s="1040">
        <f>D$80*('2.3.3. Prices Ind2'!I60/'2.3.3. Prices Ind2'!I$80)</f>
        <v>1.8432295560841954</v>
      </c>
      <c r="E60" s="1040"/>
      <c r="F60" s="1040">
        <f>F$80*('2.3.3. Prices Ind2'!K60/'2.3.3. Prices Ind2'!K$80)</f>
        <v>5.2208675552533261</v>
      </c>
      <c r="G60" s="1026"/>
      <c r="H60" s="1027"/>
      <c r="I60" s="1028"/>
      <c r="J60" s="1028"/>
      <c r="K60" s="1027"/>
      <c r="M60" s="1004">
        <f t="shared" si="0"/>
        <v>111.66300020956845</v>
      </c>
      <c r="N60" s="1004">
        <f t="shared" si="0"/>
        <v>48.626393437740973</v>
      </c>
      <c r="O60" s="1041"/>
      <c r="P60" s="1004">
        <f t="shared" si="3"/>
        <v>137.73214464258984</v>
      </c>
      <c r="Q60" s="1041"/>
      <c r="U60" s="976"/>
      <c r="V60" s="977">
        <f>'2.3.3. Prices Ind2'!T60</f>
        <v>3.7905948308590536</v>
      </c>
      <c r="X60" s="1040">
        <f>X$80*('2.3.3. Prices Ind2'!H60/'2.3.3. Prices Ind2'!H$80)</f>
        <v>3.9663308314583579</v>
      </c>
      <c r="Y60" s="1040">
        <f>Y$80*('2.3.3. Prices Ind2'!I60/'2.3.3. Prices Ind2'!I$80)</f>
        <v>1.8432295560841954</v>
      </c>
      <c r="Z60" s="1040"/>
      <c r="AA60" s="1040">
        <f>AA$80*('2.3.3. Prices Ind2'!K60/'2.3.3. Prices Ind2'!K$80)</f>
        <v>5.0438214582147882</v>
      </c>
      <c r="AB60" s="1026"/>
      <c r="AC60" s="1027"/>
      <c r="AD60" s="1028"/>
      <c r="AE60" s="1028"/>
      <c r="AF60" s="1027"/>
      <c r="AH60" s="1004">
        <f t="shared" si="1"/>
        <v>104.63610616383069</v>
      </c>
      <c r="AI60" s="1004">
        <f t="shared" si="2"/>
        <v>48.626393437740973</v>
      </c>
      <c r="AJ60" s="1004"/>
      <c r="AK60" s="1004">
        <f t="shared" si="4"/>
        <v>133.06147671476984</v>
      </c>
      <c r="AL60" s="1004"/>
      <c r="AP60" s="976"/>
      <c r="AQ60" s="977">
        <f>'2.3.3. Prices Ind2'!T60</f>
        <v>3.7905948308590536</v>
      </c>
    </row>
    <row r="61" spans="1:43" x14ac:dyDescent="0.35">
      <c r="A61" s="1000">
        <v>1951</v>
      </c>
      <c r="B61" s="982"/>
      <c r="C61" s="1040">
        <f>C$80*('2.3.3. Prices Ind2'!H61/'2.3.3. Prices Ind2'!H$80)</f>
        <v>4.5388866481249401</v>
      </c>
      <c r="D61" s="1040">
        <f>D$80*('2.3.3. Prices Ind2'!I61/'2.3.3. Prices Ind2'!I$80)</f>
        <v>1.9742042732409575</v>
      </c>
      <c r="E61" s="1040"/>
      <c r="F61" s="1040">
        <f>F$80*('2.3.3. Prices Ind2'!K61/'2.3.3. Prices Ind2'!K$80)</f>
        <v>5.4788266396160026</v>
      </c>
      <c r="G61" s="1026"/>
      <c r="H61" s="1027"/>
      <c r="I61" s="1028"/>
      <c r="J61" s="1028"/>
      <c r="K61" s="1027"/>
      <c r="M61" s="1004">
        <f t="shared" si="0"/>
        <v>110.62967424273361</v>
      </c>
      <c r="N61" s="1004">
        <f t="shared" si="0"/>
        <v>48.118755229872363</v>
      </c>
      <c r="O61" s="1041"/>
      <c r="P61" s="1004">
        <f t="shared" si="3"/>
        <v>133.53953367033824</v>
      </c>
      <c r="Q61" s="1041"/>
      <c r="U61" s="976"/>
      <c r="V61" s="977">
        <f>'2.3.3. Prices Ind2'!T61</f>
        <v>4.1027750277616528</v>
      </c>
      <c r="X61" s="1040">
        <f>X$80*('2.3.3. Prices Ind2'!H61/'2.3.3. Prices Ind2'!H$80)</f>
        <v>4.2532568916064095</v>
      </c>
      <c r="Y61" s="1040">
        <f>Y$80*('2.3.3. Prices Ind2'!I61/'2.3.3. Prices Ind2'!I$80)</f>
        <v>1.9742042732409575</v>
      </c>
      <c r="Z61" s="1040"/>
      <c r="AA61" s="1040">
        <f>AA$80*('2.3.3. Prices Ind2'!K61/'2.3.3. Prices Ind2'!K$80)</f>
        <v>5.2930328299418345</v>
      </c>
      <c r="AB61" s="1026"/>
      <c r="AC61" s="1027"/>
      <c r="AD61" s="1028"/>
      <c r="AE61" s="1028"/>
      <c r="AF61" s="1027"/>
      <c r="AH61" s="1004">
        <f t="shared" si="1"/>
        <v>103.66780685819994</v>
      </c>
      <c r="AI61" s="1004">
        <f t="shared" si="2"/>
        <v>48.118755229872363</v>
      </c>
      <c r="AJ61" s="1004"/>
      <c r="AK61" s="1004">
        <f t="shared" si="4"/>
        <v>129.0110423829295</v>
      </c>
      <c r="AL61" s="1004"/>
      <c r="AP61" s="976"/>
      <c r="AQ61" s="977">
        <f>'2.3.3. Prices Ind2'!T61</f>
        <v>4.1027750277616528</v>
      </c>
    </row>
    <row r="62" spans="1:43" x14ac:dyDescent="0.35">
      <c r="A62" s="1000">
        <v>1952</v>
      </c>
      <c r="B62" s="982"/>
      <c r="C62" s="1040">
        <f>C$80*('2.3.3. Prices Ind2'!H62/'2.3.3. Prices Ind2'!H$80)</f>
        <v>5.079230296711243</v>
      </c>
      <c r="D62" s="1040">
        <f>D$80*('2.3.3. Prices Ind2'!I62/'2.3.3. Prices Ind2'!I$80)</f>
        <v>2.1754581069208609</v>
      </c>
      <c r="E62" s="1040"/>
      <c r="F62" s="1040">
        <f>F$80*('2.3.3. Prices Ind2'!K62/'2.3.3. Prices Ind2'!K$80)</f>
        <v>5.7485422467810707</v>
      </c>
      <c r="G62" s="1026"/>
      <c r="H62" s="1027"/>
      <c r="I62" s="1028"/>
      <c r="J62" s="1028"/>
      <c r="K62" s="1027"/>
      <c r="M62" s="1004">
        <f t="shared" si="0"/>
        <v>115.78753419335828</v>
      </c>
      <c r="N62" s="1004">
        <f t="shared" si="0"/>
        <v>49.592342781624772</v>
      </c>
      <c r="O62" s="1041"/>
      <c r="P62" s="1004">
        <f t="shared" si="3"/>
        <v>131.04535393721056</v>
      </c>
      <c r="Q62" s="1041"/>
      <c r="U62" s="976"/>
      <c r="V62" s="977">
        <f>'2.3.3. Prices Ind2'!T62</f>
        <v>4.3866814610882301</v>
      </c>
      <c r="X62" s="1040">
        <f>X$80*('2.3.3. Prices Ind2'!H62/'2.3.3. Prices Ind2'!H$80)</f>
        <v>4.7595969977500294</v>
      </c>
      <c r="Y62" s="1040">
        <f>Y$80*('2.3.3. Prices Ind2'!I62/'2.3.3. Prices Ind2'!I$80)</f>
        <v>2.1754581069208609</v>
      </c>
      <c r="Z62" s="1040"/>
      <c r="AA62" s="1040">
        <f>AA$80*('2.3.3. Prices Ind2'!K62/'2.3.3. Prices Ind2'!K$80)</f>
        <v>5.5536020461951265</v>
      </c>
      <c r="AB62" s="1026"/>
      <c r="AC62" s="1027"/>
      <c r="AD62" s="1028"/>
      <c r="AE62" s="1028"/>
      <c r="AF62" s="1027"/>
      <c r="AH62" s="1004">
        <f t="shared" si="1"/>
        <v>108.50108538697697</v>
      </c>
      <c r="AI62" s="1004">
        <f t="shared" si="2"/>
        <v>49.592342781624772</v>
      </c>
      <c r="AJ62" s="1004"/>
      <c r="AK62" s="1004">
        <f t="shared" si="4"/>
        <v>126.60144337941992</v>
      </c>
      <c r="AL62" s="1004"/>
      <c r="AP62" s="976"/>
      <c r="AQ62" s="977">
        <f>'2.3.3. Prices Ind2'!T62</f>
        <v>4.3866814610882301</v>
      </c>
    </row>
    <row r="63" spans="1:43" x14ac:dyDescent="0.35">
      <c r="A63" s="1000">
        <v>1953</v>
      </c>
      <c r="B63" s="982"/>
      <c r="C63" s="1040">
        <f>C$80*('2.3.3. Prices Ind2'!H63/'2.3.3. Prices Ind2'!H$80)</f>
        <v>5.4214479408159004</v>
      </c>
      <c r="D63" s="1040">
        <f>D$80*('2.3.3. Prices Ind2'!I63/'2.3.3. Prices Ind2'!I$80)</f>
        <v>2.0828174533221753</v>
      </c>
      <c r="E63" s="1040"/>
      <c r="F63" s="1040">
        <f>F$80*('2.3.3. Prices Ind2'!K63/'2.3.3. Prices Ind2'!K$80)</f>
        <v>6.0182578539461389</v>
      </c>
      <c r="G63" s="1026"/>
      <c r="H63" s="1027"/>
      <c r="I63" s="1028"/>
      <c r="J63" s="1028"/>
      <c r="K63" s="1027"/>
      <c r="M63" s="1004">
        <f t="shared" si="0"/>
        <v>121.5914256258969</v>
      </c>
      <c r="N63" s="1004">
        <f t="shared" si="0"/>
        <v>46.713119121057169</v>
      </c>
      <c r="O63" s="1041"/>
      <c r="P63" s="1004">
        <f t="shared" si="3"/>
        <v>134.97658932337444</v>
      </c>
      <c r="Q63" s="1041"/>
      <c r="U63" s="976"/>
      <c r="V63" s="977">
        <f>'2.3.3. Prices Ind2'!T63</f>
        <v>4.4587419819356278</v>
      </c>
      <c r="X63" s="1040">
        <f>X$80*('2.3.3. Prices Ind2'!H63/'2.3.3. Prices Ind2'!H$80)</f>
        <v>5.0802790649743219</v>
      </c>
      <c r="Y63" s="1040">
        <f>Y$80*('2.3.3. Prices Ind2'!I63/'2.3.3. Prices Ind2'!I$80)</f>
        <v>2.0828174533221753</v>
      </c>
      <c r="Z63" s="1040"/>
      <c r="AA63" s="1040">
        <f>AA$80*('2.3.3. Prices Ind2'!K63/'2.3.3. Prices Ind2'!K$80)</f>
        <v>5.8141712624484185</v>
      </c>
      <c r="AB63" s="1026"/>
      <c r="AC63" s="1027"/>
      <c r="AD63" s="1028"/>
      <c r="AE63" s="1028"/>
      <c r="AF63" s="1027"/>
      <c r="AH63" s="1004">
        <f t="shared" si="1"/>
        <v>113.93974097529798</v>
      </c>
      <c r="AI63" s="1004">
        <f t="shared" si="2"/>
        <v>46.713119121057169</v>
      </c>
      <c r="AJ63" s="1004"/>
      <c r="AK63" s="1004">
        <f t="shared" si="4"/>
        <v>130.39936569562099</v>
      </c>
      <c r="AL63" s="1004"/>
      <c r="AP63" s="976"/>
      <c r="AQ63" s="977">
        <f>'2.3.3. Prices Ind2'!T63</f>
        <v>4.4587419819356278</v>
      </c>
    </row>
    <row r="64" spans="1:43" x14ac:dyDescent="0.35">
      <c r="A64" s="1000">
        <v>1954</v>
      </c>
      <c r="B64" s="982"/>
      <c r="C64" s="1040">
        <f>C$80*('2.3.3. Prices Ind2'!H64/'2.3.3. Prices Ind2'!H$80)</f>
        <v>5.6195739452975459</v>
      </c>
      <c r="D64" s="1040">
        <f>D$80*('2.3.3. Prices Ind2'!I64/'2.3.3. Prices Ind2'!I$80)</f>
        <v>2.0061493262060219</v>
      </c>
      <c r="E64" s="1040"/>
      <c r="F64" s="1040">
        <f>F$80*('2.3.3. Prices Ind2'!K64/'2.3.3. Prices Ind2'!K$80)</f>
        <v>6.287973461111207</v>
      </c>
      <c r="G64" s="1026"/>
      <c r="H64" s="1027"/>
      <c r="I64" s="1028"/>
      <c r="J64" s="1028"/>
      <c r="K64" s="1027"/>
      <c r="M64" s="1004">
        <f t="shared" si="0"/>
        <v>124.59529698599971</v>
      </c>
      <c r="N64" s="1004">
        <f t="shared" si="0"/>
        <v>44.479665812755456</v>
      </c>
      <c r="O64" s="1041"/>
      <c r="P64" s="1004">
        <f t="shared" si="3"/>
        <v>139.41482547495033</v>
      </c>
      <c r="Q64" s="1041"/>
      <c r="U64" s="976"/>
      <c r="V64" s="977">
        <f>'2.3.3. Prices Ind2'!T64</f>
        <v>4.510261688231294</v>
      </c>
      <c r="X64" s="1040">
        <f>X$80*('2.3.3. Prices Ind2'!H64/'2.3.3. Prices Ind2'!H$80)</f>
        <v>5.2659371038936502</v>
      </c>
      <c r="Y64" s="1040">
        <f>Y$80*('2.3.3. Prices Ind2'!I64/'2.3.3. Prices Ind2'!I$80)</f>
        <v>2.0061493262060219</v>
      </c>
      <c r="Z64" s="1040"/>
      <c r="AA64" s="1040">
        <f>AA$80*('2.3.3. Prices Ind2'!K64/'2.3.3. Prices Ind2'!K$80)</f>
        <v>6.0747404787017105</v>
      </c>
      <c r="AB64" s="1026"/>
      <c r="AC64" s="1027"/>
      <c r="AD64" s="1028"/>
      <c r="AE64" s="1028"/>
      <c r="AF64" s="1027"/>
      <c r="AH64" s="1004">
        <f t="shared" si="1"/>
        <v>116.7545802859766</v>
      </c>
      <c r="AI64" s="1004">
        <f t="shared" si="2"/>
        <v>44.479665812755456</v>
      </c>
      <c r="AJ64" s="1004"/>
      <c r="AK64" s="1004">
        <f t="shared" si="4"/>
        <v>134.68709575217417</v>
      </c>
      <c r="AL64" s="1004"/>
      <c r="AP64" s="976"/>
      <c r="AQ64" s="977">
        <f>'2.3.3. Prices Ind2'!T64</f>
        <v>4.510261688231294</v>
      </c>
    </row>
    <row r="65" spans="1:44" x14ac:dyDescent="0.35">
      <c r="A65" s="1000">
        <v>1955</v>
      </c>
      <c r="B65" s="982"/>
      <c r="C65" s="1040">
        <f>C$80*('2.3.3. Prices Ind2'!H65/'2.3.3. Prices Ind2'!H$80)</f>
        <v>6.0338374092137101</v>
      </c>
      <c r="D65" s="1040">
        <f>D$80*('2.3.3. Prices Ind2'!I65/'2.3.3. Prices Ind2'!I$80)</f>
        <v>2.1083734956942268</v>
      </c>
      <c r="E65" s="1040">
        <f>E$80*('2.3.3. Prices Ind2'!J65/'2.3.3. Prices Ind2'!J$80)</f>
        <v>12.393350210489563</v>
      </c>
      <c r="F65" s="1040">
        <f>F$80*('2.3.3. Prices Ind2'!K65/'2.3.3. Prices Ind2'!K$80)</f>
        <v>6.5576890682762752</v>
      </c>
      <c r="G65" s="1026"/>
      <c r="H65" s="1027"/>
      <c r="I65" s="1028"/>
      <c r="J65" s="1028"/>
      <c r="K65" s="1027"/>
      <c r="M65" s="1004">
        <f t="shared" si="0"/>
        <v>127.75463301180936</v>
      </c>
      <c r="N65" s="1004">
        <f t="shared" si="0"/>
        <v>44.640659654324708</v>
      </c>
      <c r="O65" s="1004">
        <f t="shared" si="0"/>
        <v>262.40480154639283</v>
      </c>
      <c r="P65" s="1004">
        <f t="shared" si="3"/>
        <v>138.84616099265475</v>
      </c>
      <c r="Q65" s="1041"/>
      <c r="U65" s="976"/>
      <c r="V65" s="977">
        <f>'2.3.3. Prices Ind2'!T65</f>
        <v>4.7229891135579836</v>
      </c>
      <c r="X65" s="1040">
        <f>X$80*('2.3.3. Prices Ind2'!H65/'2.3.3. Prices Ind2'!H$80)</f>
        <v>5.6541311852704244</v>
      </c>
      <c r="Y65" s="1040">
        <f>Y$80*('2.3.3. Prices Ind2'!I65/'2.3.3. Prices Ind2'!I$80)</f>
        <v>2.1083734956942268</v>
      </c>
      <c r="Z65" s="1040">
        <f>Z$80*('2.3.3. Prices Ind2'!J65/'2.3.3. Prices Ind2'!J$80)</f>
        <v>12.062359844961305</v>
      </c>
      <c r="AA65" s="1040">
        <f>AA$80*('2.3.3. Prices Ind2'!K65/'2.3.3. Prices Ind2'!K$80)</f>
        <v>6.3353096949550034</v>
      </c>
      <c r="AB65" s="1026"/>
      <c r="AC65" s="1027"/>
      <c r="AD65" s="1028"/>
      <c r="AE65" s="1028"/>
      <c r="AF65" s="1027"/>
      <c r="AH65" s="1004">
        <f t="shared" si="1"/>
        <v>119.7151009524767</v>
      </c>
      <c r="AI65" s="1004">
        <f t="shared" si="2"/>
        <v>44.640659654324708</v>
      </c>
      <c r="AJ65" s="1004">
        <f t="shared" ref="AJ65:AJ73" si="5">Z65*100/$AQ65</f>
        <v>255.39673191993302</v>
      </c>
      <c r="AK65" s="1004">
        <f t="shared" si="4"/>
        <v>134.13771538809254</v>
      </c>
      <c r="AL65" s="1004"/>
      <c r="AP65" s="976"/>
      <c r="AQ65" s="977">
        <f>'2.3.3. Prices Ind2'!T65</f>
        <v>4.7229891135579836</v>
      </c>
    </row>
    <row r="66" spans="1:44" x14ac:dyDescent="0.35">
      <c r="A66" s="1000">
        <v>1956</v>
      </c>
      <c r="B66" s="982"/>
      <c r="C66" s="1040">
        <f>C$80*('2.3.3. Prices Ind2'!H66/'2.3.3. Prices Ind2'!H$80)</f>
        <v>6.9168380056840109</v>
      </c>
      <c r="D66" s="1040">
        <f>D$80*('2.3.3. Prices Ind2'!I66/'2.3.3. Prices Ind2'!I$80)</f>
        <v>2.560777525134688</v>
      </c>
      <c r="E66" s="1040">
        <f>E$80*('2.3.3. Prices Ind2'!J66/'2.3.3. Prices Ind2'!J$80)</f>
        <v>13.504478160395525</v>
      </c>
      <c r="F66" s="1040">
        <f>F$80*('2.3.3. Prices Ind2'!K66/'2.3.3. Prices Ind2'!K$80)</f>
        <v>6.9810563570248796</v>
      </c>
      <c r="G66" s="1026"/>
      <c r="H66" s="1027"/>
      <c r="I66" s="1028"/>
      <c r="J66" s="1028"/>
      <c r="K66" s="1027"/>
      <c r="M66" s="1004">
        <f t="shared" si="0"/>
        <v>137.05759179345949</v>
      </c>
      <c r="N66" s="1004">
        <f t="shared" si="0"/>
        <v>50.741972043491195</v>
      </c>
      <c r="O66" s="1004">
        <f t="shared" si="0"/>
        <v>267.59210690928165</v>
      </c>
      <c r="P66" s="1004">
        <f t="shared" si="3"/>
        <v>138.3300825726989</v>
      </c>
      <c r="Q66" s="1041"/>
      <c r="U66" s="976"/>
      <c r="V66" s="977">
        <f>'2.3.3. Prices Ind2'!T66</f>
        <v>5.0466653580980907</v>
      </c>
      <c r="X66" s="1040">
        <f>X$80*('2.3.3. Prices Ind2'!H66/'2.3.3. Prices Ind2'!H$80)</f>
        <v>6.4815650172612198</v>
      </c>
      <c r="Y66" s="1040">
        <f>Y$80*('2.3.3. Prices Ind2'!I66/'2.3.3. Prices Ind2'!I$80)</f>
        <v>2.560777525134688</v>
      </c>
      <c r="Z66" s="1040">
        <f>Z$80*('2.3.3. Prices Ind2'!J66/'2.3.3. Prices Ind2'!J$80)</f>
        <v>13.143812796578525</v>
      </c>
      <c r="AA66" s="1040">
        <f>AA$80*('2.3.3. Prices Ind2'!K66/'2.3.3. Prices Ind2'!K$80)</f>
        <v>6.7443200736128111</v>
      </c>
      <c r="AB66" s="1026"/>
      <c r="AC66" s="1027"/>
      <c r="AD66" s="1028"/>
      <c r="AE66" s="1028"/>
      <c r="AF66" s="1027"/>
      <c r="AH66" s="1004">
        <f t="shared" si="1"/>
        <v>128.43262941658355</v>
      </c>
      <c r="AI66" s="1004">
        <f t="shared" si="2"/>
        <v>50.741972043491195</v>
      </c>
      <c r="AJ66" s="1004">
        <f t="shared" si="5"/>
        <v>260.44549943236103</v>
      </c>
      <c r="AK66" s="1004">
        <f t="shared" si="4"/>
        <v>133.63913782772602</v>
      </c>
      <c r="AL66" s="1004"/>
      <c r="AP66" s="976"/>
      <c r="AQ66" s="977">
        <f>'2.3.3. Prices Ind2'!T66</f>
        <v>5.0466653580980907</v>
      </c>
    </row>
    <row r="67" spans="1:44" x14ac:dyDescent="0.35">
      <c r="A67" s="1000">
        <v>1957</v>
      </c>
      <c r="B67" s="982"/>
      <c r="C67" s="1040">
        <f>C$80*('2.3.3. Prices Ind2'!H67/'2.3.3. Prices Ind2'!H$80)</f>
        <v>7.3583383039191599</v>
      </c>
      <c r="D67" s="1040">
        <f>D$80*('2.3.3. Prices Ind2'!I67/'2.3.3. Prices Ind2'!I$80)</f>
        <v>2.646136775972511</v>
      </c>
      <c r="E67" s="1040">
        <f>E$80*('2.3.3. Prices Ind2'!J67/'2.3.3. Prices Ind2'!J$80)</f>
        <v>14.166881361301</v>
      </c>
      <c r="F67" s="1040">
        <f>F$80*('2.3.3. Prices Ind2'!K67/'2.3.3. Prices Ind2'!K$80)</f>
        <v>7.2512907966516504</v>
      </c>
      <c r="G67" s="1026"/>
      <c r="H67" s="1027"/>
      <c r="I67" s="1028"/>
      <c r="J67" s="1028"/>
      <c r="K67" s="1027"/>
      <c r="M67" s="1004">
        <f t="shared" si="0"/>
        <v>140.13617250163651</v>
      </c>
      <c r="N67" s="1004">
        <f t="shared" si="0"/>
        <v>50.394459235871793</v>
      </c>
      <c r="O67" s="1004">
        <f t="shared" si="0"/>
        <v>269.80174711457613</v>
      </c>
      <c r="P67" s="1004">
        <f t="shared" si="3"/>
        <v>138.09750190445561</v>
      </c>
      <c r="Q67" s="1041"/>
      <c r="U67" s="976"/>
      <c r="V67" s="977">
        <f>'2.3.3. Prices Ind2'!T67</f>
        <v>5.2508486371234584</v>
      </c>
      <c r="X67" s="1040">
        <f>X$80*('2.3.3. Prices Ind2'!H67/'2.3.3. Prices Ind2'!H$80)</f>
        <v>6.8952819332566166</v>
      </c>
      <c r="Y67" s="1040">
        <f>Y$80*('2.3.3. Prices Ind2'!I67/'2.3.3. Prices Ind2'!I$80)</f>
        <v>2.646136775972511</v>
      </c>
      <c r="Z67" s="1040">
        <f>Z$80*('2.3.3. Prices Ind2'!J67/'2.3.3. Prices Ind2'!J$80)</f>
        <v>13.78852513311956</v>
      </c>
      <c r="AA67" s="1040">
        <f>AA$80*('2.3.3. Prices Ind2'!K67/'2.3.3. Prices Ind2'!K$80)</f>
        <v>7.0053905280752442</v>
      </c>
      <c r="AB67" s="1026"/>
      <c r="AC67" s="1027"/>
      <c r="AD67" s="1028"/>
      <c r="AE67" s="1028"/>
      <c r="AF67" s="1027"/>
      <c r="AH67" s="1004">
        <f t="shared" si="1"/>
        <v>131.3174766552406</v>
      </c>
      <c r="AI67" s="1004">
        <f t="shared" si="2"/>
        <v>50.394459235871793</v>
      </c>
      <c r="AJ67" s="1004">
        <f t="shared" si="5"/>
        <v>262.59612656961383</v>
      </c>
      <c r="AK67" s="1004">
        <f t="shared" si="4"/>
        <v>133.41444425853734</v>
      </c>
      <c r="AL67" s="1004"/>
      <c r="AP67" s="976"/>
      <c r="AQ67" s="977">
        <f>'2.3.3. Prices Ind2'!T67</f>
        <v>5.2508486371234584</v>
      </c>
    </row>
    <row r="68" spans="1:44" x14ac:dyDescent="0.35">
      <c r="A68" s="1000">
        <v>1958</v>
      </c>
      <c r="B68" s="982"/>
      <c r="C68" s="1040">
        <f>C$80*('2.3.3. Prices Ind2'!H68/'2.3.3. Prices Ind2'!H$80)</f>
        <v>7.7998386021543089</v>
      </c>
      <c r="D68" s="1040">
        <f>D$80*('2.3.3. Prices Ind2'!I68/'2.3.3. Prices Ind2'!I$80)</f>
        <v>2.2278764468671786</v>
      </c>
      <c r="E68" s="1040">
        <f>E$80*('2.3.3. Prices Ind2'!J68/'2.3.3. Prices Ind2'!J$80)</f>
        <v>14.80791671701598</v>
      </c>
      <c r="F68" s="1040">
        <f>F$80*('2.3.3. Prices Ind2'!K68/'2.3.3. Prices Ind2'!K$80)</f>
        <v>7.3954158311192613</v>
      </c>
      <c r="G68" s="1026"/>
      <c r="H68" s="1027"/>
      <c r="I68" s="1028"/>
      <c r="J68" s="1028"/>
      <c r="K68" s="1027"/>
      <c r="M68" s="1004">
        <f t="shared" si="0"/>
        <v>143.183928917316</v>
      </c>
      <c r="N68" s="1004">
        <f t="shared" si="0"/>
        <v>40.897782515228734</v>
      </c>
      <c r="O68" s="1004">
        <f t="shared" si="0"/>
        <v>271.83327793951253</v>
      </c>
      <c r="P68" s="1004">
        <f t="shared" si="3"/>
        <v>135.75982128457184</v>
      </c>
      <c r="Q68" s="1041"/>
      <c r="U68" s="976"/>
      <c r="V68" s="977">
        <f>'2.3.3. Prices Ind2'!T68</f>
        <v>5.4474260212949313</v>
      </c>
      <c r="X68" s="1040">
        <f>X$80*('2.3.3. Prices Ind2'!H68/'2.3.3. Prices Ind2'!H$80)</f>
        <v>7.3089988492520135</v>
      </c>
      <c r="Y68" s="1040">
        <f>Y$80*('2.3.3. Prices Ind2'!I68/'2.3.3. Prices Ind2'!I$80)</f>
        <v>2.2278764468671786</v>
      </c>
      <c r="Z68" s="1040">
        <f>Z$80*('2.3.3. Prices Ind2'!J68/'2.3.3. Prices Ind2'!J$80)</f>
        <v>14.412440297514111</v>
      </c>
      <c r="AA68" s="1040">
        <f>AA$80*('2.3.3. Prices Ind2'!K68/'2.3.3. Prices Ind2'!K$80)</f>
        <v>7.1446281037885413</v>
      </c>
      <c r="AB68" s="1026"/>
      <c r="AC68" s="1027"/>
      <c r="AD68" s="1028"/>
      <c r="AE68" s="1028"/>
      <c r="AF68" s="1027"/>
      <c r="AH68" s="1004">
        <f t="shared" si="1"/>
        <v>134.17343935796231</v>
      </c>
      <c r="AI68" s="1004">
        <f t="shared" si="2"/>
        <v>40.897782515228734</v>
      </c>
      <c r="AJ68" s="1004">
        <f t="shared" si="5"/>
        <v>264.57340111042146</v>
      </c>
      <c r="AK68" s="1004">
        <f t="shared" si="4"/>
        <v>131.15603728915184</v>
      </c>
      <c r="AL68" s="1004"/>
      <c r="AP68" s="976"/>
      <c r="AQ68" s="977">
        <f>'2.3.3. Prices Ind2'!T68</f>
        <v>5.4474260212949313</v>
      </c>
    </row>
    <row r="69" spans="1:44" x14ac:dyDescent="0.35">
      <c r="A69" s="1000">
        <v>1959</v>
      </c>
      <c r="B69" s="982"/>
      <c r="C69" s="1040">
        <f>C$80*('2.3.3. Prices Ind2'!H69/'2.3.3. Prices Ind2'!H$80)</f>
        <v>7.8366302936739043</v>
      </c>
      <c r="D69" s="1040">
        <f>D$80*('2.3.3. Prices Ind2'!I69/'2.3.3. Prices Ind2'!I$80)</f>
        <v>2.0400860950239683</v>
      </c>
      <c r="E69" s="1040">
        <f>E$80*('2.3.3. Prices Ind2'!J69/'2.3.3. Prices Ind2'!J$80)</f>
        <v>14.722445336253982</v>
      </c>
      <c r="F69" s="1040">
        <f>F$80*('2.3.3. Prices Ind2'!K69/'2.3.3. Prices Ind2'!K$80)</f>
        <v>7.0756384108942489</v>
      </c>
      <c r="G69" s="1026"/>
      <c r="H69" s="1027"/>
      <c r="I69" s="1028"/>
      <c r="J69" s="1028"/>
      <c r="K69" s="1027"/>
      <c r="M69" s="1004">
        <f t="shared" si="0"/>
        <v>142.79700956665314</v>
      </c>
      <c r="N69" s="1004">
        <f t="shared" si="0"/>
        <v>37.173910559886863</v>
      </c>
      <c r="O69" s="1004">
        <f t="shared" si="0"/>
        <v>268.26851449438414</v>
      </c>
      <c r="P69" s="1004">
        <f t="shared" si="3"/>
        <v>128.9304162614728</v>
      </c>
      <c r="Q69" s="1041"/>
      <c r="U69" s="976"/>
      <c r="V69" s="977">
        <f>'2.3.3. Prices Ind2'!T69</f>
        <v>5.4879512655452443</v>
      </c>
      <c r="X69" s="1040">
        <f>X$80*('2.3.3. Prices Ind2'!H69/'2.3.3. Prices Ind2'!H$80)</f>
        <v>7.3434752589182963</v>
      </c>
      <c r="Y69" s="1040">
        <f>Y$80*('2.3.3. Prices Ind2'!I69/'2.3.3. Prices Ind2'!I$80)</f>
        <v>2.0400860950239683</v>
      </c>
      <c r="Z69" s="1040">
        <f>Z$80*('2.3.3. Prices Ind2'!J69/'2.3.3. Prices Ind2'!J$80)</f>
        <v>14.329251608928169</v>
      </c>
      <c r="AA69" s="1040">
        <f>AA$80*('2.3.3. Prices Ind2'!K69/'2.3.3. Prices Ind2'!K$80)</f>
        <v>6.8356947326746624</v>
      </c>
      <c r="AB69" s="1026"/>
      <c r="AC69" s="1027"/>
      <c r="AD69" s="1028"/>
      <c r="AE69" s="1028"/>
      <c r="AF69" s="1027"/>
      <c r="AH69" s="1004">
        <f t="shared" si="1"/>
        <v>133.8108686391314</v>
      </c>
      <c r="AI69" s="1004">
        <f t="shared" si="2"/>
        <v>37.173910559886863</v>
      </c>
      <c r="AJ69" s="1004">
        <f t="shared" si="5"/>
        <v>261.10384213669789</v>
      </c>
      <c r="AK69" s="1004">
        <f t="shared" si="4"/>
        <v>124.55822586455706</v>
      </c>
      <c r="AL69" s="1004"/>
      <c r="AP69" s="976"/>
      <c r="AQ69" s="977">
        <f>'2.3.3. Prices Ind2'!T69</f>
        <v>5.4879512655452443</v>
      </c>
    </row>
    <row r="70" spans="1:44" x14ac:dyDescent="0.35">
      <c r="A70" s="1000">
        <v>1960</v>
      </c>
      <c r="B70" s="982"/>
      <c r="C70" s="1040">
        <f>C$80*('2.3.3. Prices Ind2'!H70/'2.3.3. Prices Ind2'!H$80)</f>
        <v>7.9837970597522876</v>
      </c>
      <c r="D70" s="1040">
        <f>D$80*('2.3.3. Prices Ind2'!I70/'2.3.3. Prices Ind2'!I$80)</f>
        <v>1.9461909191023627</v>
      </c>
      <c r="E70" s="1040">
        <f>E$80*('2.3.3. Prices Ind2'!J70/'2.3.3. Prices Ind2'!J$80)</f>
        <v>14.872020252587475</v>
      </c>
      <c r="F70" s="1040">
        <f>F$80*('2.3.3. Prices Ind2'!K70/'2.3.3. Prices Ind2'!K$80)</f>
        <v>6.9585368203893152</v>
      </c>
      <c r="G70" s="1026"/>
      <c r="H70" s="1027"/>
      <c r="I70" s="1028"/>
      <c r="J70" s="1028"/>
      <c r="K70" s="1027"/>
      <c r="M70" s="1004">
        <f t="shared" si="0"/>
        <v>143.98855675042478</v>
      </c>
      <c r="N70" s="1004">
        <f t="shared" si="0"/>
        <v>35.099742579256713</v>
      </c>
      <c r="O70" s="1004">
        <f t="shared" si="0"/>
        <v>268.21833221792832</v>
      </c>
      <c r="P70" s="1004">
        <f t="shared" si="3"/>
        <v>125.49788858155604</v>
      </c>
      <c r="Q70" s="1041"/>
      <c r="U70" s="976"/>
      <c r="V70" s="977">
        <f>'2.3.3. Prices Ind2'!T70</f>
        <v>5.544744137959932</v>
      </c>
      <c r="X70" s="1040">
        <f>X$80*('2.3.3. Prices Ind2'!H70/'2.3.3. Prices Ind2'!H$80)</f>
        <v>7.4813808975834286</v>
      </c>
      <c r="Y70" s="1040">
        <f>Y$80*('2.3.3. Prices Ind2'!I70/'2.3.3. Prices Ind2'!I$80)</f>
        <v>1.9461909191023627</v>
      </c>
      <c r="Z70" s="1040">
        <f>Z$80*('2.3.3. Prices Ind2'!J70/'2.3.3. Prices Ind2'!J$80)</f>
        <v>14.474831813953564</v>
      </c>
      <c r="AA70" s="1040">
        <f>AA$80*('2.3.3. Prices Ind2'!K70/'2.3.3. Prices Ind2'!K$80)</f>
        <v>6.7225642024076082</v>
      </c>
      <c r="AB70" s="1026"/>
      <c r="AC70" s="1027"/>
      <c r="AD70" s="1028"/>
      <c r="AE70" s="1028"/>
      <c r="AF70" s="1027"/>
      <c r="AH70" s="1004">
        <f t="shared" si="1"/>
        <v>134.9274323834903</v>
      </c>
      <c r="AI70" s="1004">
        <f t="shared" si="2"/>
        <v>35.099742579256713</v>
      </c>
      <c r="AJ70" s="1004">
        <f t="shared" si="5"/>
        <v>261.05500008300231</v>
      </c>
      <c r="AK70" s="1004">
        <f t="shared" si="4"/>
        <v>121.24209945746982</v>
      </c>
      <c r="AL70" s="1004"/>
      <c r="AP70" s="976"/>
      <c r="AQ70" s="977">
        <f>'2.3.3. Prices Ind2'!T70</f>
        <v>5.544744137959932</v>
      </c>
    </row>
    <row r="71" spans="1:44" x14ac:dyDescent="0.35">
      <c r="A71" s="1000">
        <v>1961</v>
      </c>
      <c r="B71" s="982"/>
      <c r="C71" s="1040">
        <f>C$80*('2.3.3. Prices Ind2'!H71/'2.3.3. Prices Ind2'!H$80)</f>
        <v>8.2781305919090542</v>
      </c>
      <c r="D71" s="1040">
        <f>D$80*('2.3.3. Prices Ind2'!I71/'2.3.3. Prices Ind2'!I$80)</f>
        <v>1.7840083425104991</v>
      </c>
      <c r="E71" s="1040">
        <f>E$80*('2.3.3. Prices Ind2'!J71/'2.3.3. Prices Ind2'!J$80)</f>
        <v>15.107066549682967</v>
      </c>
      <c r="F71" s="1040">
        <f>F$80*('2.3.3. Prices Ind2'!K71/'2.3.3. Prices Ind2'!K$80)</f>
        <v>7.3278572212125663</v>
      </c>
      <c r="G71" s="1026"/>
      <c r="H71" s="1027"/>
      <c r="I71" s="1028"/>
      <c r="J71" s="1028"/>
      <c r="K71" s="1027"/>
      <c r="M71" s="1004">
        <f t="shared" si="0"/>
        <v>144.24251766434637</v>
      </c>
      <c r="N71" s="1004">
        <f t="shared" si="0"/>
        <v>31.085503182255071</v>
      </c>
      <c r="O71" s="1004">
        <f t="shared" si="0"/>
        <v>263.23350295764965</v>
      </c>
      <c r="P71" s="1004">
        <f t="shared" si="3"/>
        <v>127.68445278039583</v>
      </c>
      <c r="Q71" s="1041"/>
      <c r="U71" s="976"/>
      <c r="V71" s="977">
        <f>'2.3.3. Prices Ind2'!T71</f>
        <v>5.7390363992206082</v>
      </c>
      <c r="X71" s="1040">
        <f>X$80*('2.3.3. Prices Ind2'!H71/'2.3.3. Prices Ind2'!H$80)</f>
        <v>7.7571921749136932</v>
      </c>
      <c r="Y71" s="1040">
        <f>Y$80*('2.3.3. Prices Ind2'!I71/'2.3.3. Prices Ind2'!I$80)</f>
        <v>1.7840083425104991</v>
      </c>
      <c r="Z71" s="1040">
        <f>Z$80*('2.3.3. Prices Ind2'!J71/'2.3.3. Prices Ind2'!J$80)</f>
        <v>14.703600707564899</v>
      </c>
      <c r="AA71" s="1040">
        <f>AA$80*('2.3.3. Prices Ind2'!K71/'2.3.3. Prices Ind2'!K$80)</f>
        <v>7.079360490172931</v>
      </c>
      <c r="AB71" s="1026"/>
      <c r="AC71" s="1027"/>
      <c r="AD71" s="1028"/>
      <c r="AE71" s="1028"/>
      <c r="AF71" s="1027"/>
      <c r="AH71" s="1004">
        <f t="shared" si="1"/>
        <v>135.16541167027904</v>
      </c>
      <c r="AI71" s="1004">
        <f t="shared" si="2"/>
        <v>31.085503182255071</v>
      </c>
      <c r="AJ71" s="1004">
        <f t="shared" si="5"/>
        <v>256.20330112493667</v>
      </c>
      <c r="AK71" s="1004">
        <f t="shared" si="4"/>
        <v>123.3545145511596</v>
      </c>
      <c r="AL71" s="1004"/>
      <c r="AP71" s="976"/>
      <c r="AQ71" s="977">
        <f>'2.3.3. Prices Ind2'!T71</f>
        <v>5.7390363992206082</v>
      </c>
    </row>
    <row r="72" spans="1:44" x14ac:dyDescent="0.35">
      <c r="A72" s="1000">
        <v>1962</v>
      </c>
      <c r="B72" s="982"/>
      <c r="C72" s="1040">
        <f>C$80*('2.3.3. Prices Ind2'!H72/'2.3.3. Prices Ind2'!H$80)</f>
        <v>8.5724641240658208</v>
      </c>
      <c r="D72" s="1040">
        <f>D$80*('2.3.3. Prices Ind2'!I72/'2.3.3. Prices Ind2'!I$80)</f>
        <v>1.9974064696050564</v>
      </c>
      <c r="E72" s="1040">
        <f>E$80*('2.3.3. Prices Ind2'!J72/'2.3.3. Prices Ind2'!J$80)</f>
        <v>15.448952072730956</v>
      </c>
      <c r="F72" s="1040">
        <f>F$80*('2.3.3. Prices Ind2'!K72/'2.3.3. Prices Ind2'!K$80)</f>
        <v>7.4764861630072916</v>
      </c>
      <c r="G72" s="1026"/>
      <c r="H72" s="1027"/>
      <c r="I72" s="1028"/>
      <c r="J72" s="1028"/>
      <c r="K72" s="1027"/>
      <c r="M72" s="1004">
        <f t="shared" si="0"/>
        <v>144.29797892530345</v>
      </c>
      <c r="N72" s="1004">
        <f t="shared" si="0"/>
        <v>33.621804942548415</v>
      </c>
      <c r="O72" s="1004">
        <f t="shared" si="0"/>
        <v>260.04804783617408</v>
      </c>
      <c r="P72" s="1004">
        <f t="shared" si="3"/>
        <v>125.84967719564708</v>
      </c>
      <c r="Q72" s="1041"/>
      <c r="U72" s="976"/>
      <c r="V72" s="977">
        <f>'2.3.3. Prices Ind2'!T72</f>
        <v>5.9408067860073066</v>
      </c>
      <c r="X72" s="1040">
        <f>X$80*('2.3.3. Prices Ind2'!H72/'2.3.3. Prices Ind2'!H$80)</f>
        <v>8.0330034522439568</v>
      </c>
      <c r="Y72" s="1040">
        <f>Y$80*('2.3.3. Prices Ind2'!I72/'2.3.3. Prices Ind2'!I$80)</f>
        <v>1.9974064696050564</v>
      </c>
      <c r="Z72" s="1040">
        <f>Z$80*('2.3.3. Prices Ind2'!J72/'2.3.3. Prices Ind2'!J$80)</f>
        <v>15.036355461908659</v>
      </c>
      <c r="AA72" s="1040">
        <f>AA$80*('2.3.3. Prices Ind2'!K72/'2.3.3. Prices Ind2'!K$80)</f>
        <v>7.2229492401272699</v>
      </c>
      <c r="AB72" s="1026"/>
      <c r="AC72" s="1027"/>
      <c r="AD72" s="1028"/>
      <c r="AE72" s="1028"/>
      <c r="AF72" s="1027"/>
      <c r="AH72" s="1004">
        <f t="shared" si="1"/>
        <v>135.2173827831686</v>
      </c>
      <c r="AI72" s="1004">
        <f t="shared" si="2"/>
        <v>33.621804942548415</v>
      </c>
      <c r="AJ72" s="1004">
        <f t="shared" si="5"/>
        <v>253.10292025191887</v>
      </c>
      <c r="AK72" s="1004">
        <f t="shared" si="4"/>
        <v>121.58195848314509</v>
      </c>
      <c r="AL72" s="1004"/>
      <c r="AP72" s="976"/>
      <c r="AQ72" s="977">
        <f>'2.3.3. Prices Ind2'!T72</f>
        <v>5.9408067860073066</v>
      </c>
    </row>
    <row r="73" spans="1:44" x14ac:dyDescent="0.35">
      <c r="A73" s="1000">
        <v>1963</v>
      </c>
      <c r="B73" s="982"/>
      <c r="C73" s="1040">
        <f>C$80*('2.3.3. Prices Ind2'!H73/'2.3.3. Prices Ind2'!H$80)</f>
        <v>8.4252973579874375</v>
      </c>
      <c r="D73" s="1040">
        <f>D$80*('2.3.3. Prices Ind2'!I73/'2.3.3. Prices Ind2'!I$80)</f>
        <v>1.8352238930131932</v>
      </c>
      <c r="E73" s="1040">
        <f>E$80*('2.3.3. Prices Ind2'!J73/'2.3.3. Prices Ind2'!J$80)</f>
        <v>15.470319917921454</v>
      </c>
      <c r="F73" s="1040">
        <f>F$80*('2.3.3. Prices Ind2'!K73/'2.3.3. Prices Ind2'!K$80)</f>
        <v>7.6070994754935626</v>
      </c>
      <c r="G73" s="1026"/>
      <c r="H73" s="1027"/>
      <c r="I73" s="1028"/>
      <c r="J73" s="1028"/>
      <c r="K73" s="1027"/>
      <c r="M73" s="1004">
        <f t="shared" si="0"/>
        <v>139.90355923396177</v>
      </c>
      <c r="N73" s="1004">
        <f t="shared" si="0"/>
        <v>30.474218738445153</v>
      </c>
      <c r="O73" s="1004">
        <f t="shared" si="0"/>
        <v>256.88741026491971</v>
      </c>
      <c r="P73" s="1004">
        <f t="shared" si="3"/>
        <v>126.31723805681494</v>
      </c>
      <c r="Q73" s="1041"/>
      <c r="U73" s="976"/>
      <c r="V73" s="977">
        <f>'2.3.3. Prices Ind2'!T73</f>
        <v>6.0222180222718631</v>
      </c>
      <c r="X73" s="1040">
        <f>X$80*('2.3.3. Prices Ind2'!H73/'2.3.3. Prices Ind2'!H$80)</f>
        <v>7.8950978135788255</v>
      </c>
      <c r="Y73" s="1040">
        <f>Y$80*('2.3.3. Prices Ind2'!I73/'2.3.3. Prices Ind2'!I$80)</f>
        <v>1.8352238930131932</v>
      </c>
      <c r="Z73" s="1040">
        <f>Z$80*('2.3.3. Prices Ind2'!J73/'2.3.3. Prices Ind2'!J$80)</f>
        <v>15.057152634055145</v>
      </c>
      <c r="AA73" s="1040">
        <f>AA$80*('2.3.3. Prices Ind2'!K73/'2.3.3. Prices Ind2'!K$80)</f>
        <v>7.3491332931174442</v>
      </c>
      <c r="AB73" s="1026"/>
      <c r="AC73" s="1027"/>
      <c r="AD73" s="1028"/>
      <c r="AE73" s="1028"/>
      <c r="AF73" s="1027"/>
      <c r="AH73" s="1004">
        <f t="shared" si="1"/>
        <v>131.09950161851538</v>
      </c>
      <c r="AI73" s="1004">
        <f t="shared" si="2"/>
        <v>30.474218738445153</v>
      </c>
      <c r="AJ73" s="1004">
        <f t="shared" si="5"/>
        <v>250.02669412448273</v>
      </c>
      <c r="AK73" s="1004">
        <f t="shared" si="4"/>
        <v>122.03366377534446</v>
      </c>
      <c r="AL73" s="1004"/>
      <c r="AP73" s="976"/>
      <c r="AQ73" s="977">
        <f>'2.3.3. Prices Ind2'!T73</f>
        <v>6.0222180222718631</v>
      </c>
    </row>
    <row r="74" spans="1:44" x14ac:dyDescent="0.35">
      <c r="A74" s="1000">
        <v>1964</v>
      </c>
      <c r="B74" s="982"/>
      <c r="C74" s="1040">
        <f>C$80*('2.3.3. Prices Ind2'!H74/'2.3.3. Prices Ind2'!H$80)</f>
        <v>8.4252973579874375</v>
      </c>
      <c r="D74" s="1040">
        <f>D$80*('2.3.3. Prices Ind2'!I74/'2.3.3. Prices Ind2'!I$80)</f>
        <v>1.7242568669240235</v>
      </c>
      <c r="E74" s="1040">
        <f>E$80*('2.3.3. Prices Ind2'!J74/'2.3.3. Prices Ind2'!J$80)</f>
        <v>15.448952072730956</v>
      </c>
      <c r="F74" s="1040">
        <f>F$80*('2.3.3. Prices Ind2'!K74/'2.3.3. Prices Ind2'!K$80)</f>
        <v>7.5665643095495474</v>
      </c>
      <c r="G74" s="1026"/>
      <c r="H74" s="1027"/>
      <c r="I74" s="1028"/>
      <c r="J74" s="1028"/>
      <c r="K74" s="1027"/>
      <c r="M74" s="1004">
        <f t="shared" ref="M74:O79" si="6">C74*100/$V74</f>
        <v>135.11313614573459</v>
      </c>
      <c r="N74" s="1004">
        <f t="shared" si="6"/>
        <v>27.65122023735589</v>
      </c>
      <c r="O74" s="1004">
        <f t="shared" si="6"/>
        <v>247.74868779354702</v>
      </c>
      <c r="P74" s="1004">
        <f t="shared" si="3"/>
        <v>121.34197646358592</v>
      </c>
      <c r="Q74" s="1041"/>
      <c r="U74" s="976"/>
      <c r="V74" s="977">
        <f>'2.3.3. Prices Ind2'!T74</f>
        <v>6.2357351759638044</v>
      </c>
      <c r="X74" s="1040">
        <f>X$80*('2.3.3. Prices Ind2'!H74/'2.3.3. Prices Ind2'!H$80)</f>
        <v>7.8950978135788255</v>
      </c>
      <c r="Y74" s="1040">
        <f>Y$80*('2.3.3. Prices Ind2'!I74/'2.3.3. Prices Ind2'!I$80)</f>
        <v>1.7242568669240235</v>
      </c>
      <c r="Z74" s="1040">
        <f>Z$80*('2.3.3. Prices Ind2'!J74/'2.3.3. Prices Ind2'!J$80)</f>
        <v>15.036355461908659</v>
      </c>
      <c r="AA74" s="1040">
        <f>AA$80*('2.3.3. Prices Ind2'!K74/'2.3.3. Prices Ind2'!K$80)</f>
        <v>7.3099727249480804</v>
      </c>
      <c r="AB74" s="1026"/>
      <c r="AC74" s="1027"/>
      <c r="AD74" s="1028"/>
      <c r="AE74" s="1028"/>
      <c r="AF74" s="1027"/>
      <c r="AH74" s="1004">
        <f t="shared" ref="AH74:AH79" si="7">X74*100/$AQ74</f>
        <v>126.61053734307353</v>
      </c>
      <c r="AI74" s="1004">
        <f t="shared" ref="AI74:AI79" si="8">Y74*100/$AQ74</f>
        <v>27.65122023735589</v>
      </c>
      <c r="AJ74" s="1004">
        <f t="shared" ref="AJ74:AJ79" si="9">Z74*100/$AQ74</f>
        <v>241.13204037059859</v>
      </c>
      <c r="AK74" s="1004">
        <f t="shared" ref="AK74:AK79" si="10">AA74*100/$AQ74</f>
        <v>117.22711947622504</v>
      </c>
      <c r="AL74" s="1004"/>
      <c r="AP74" s="976"/>
      <c r="AQ74" s="977">
        <f>'2.3.3. Prices Ind2'!T74</f>
        <v>6.2357351759638044</v>
      </c>
    </row>
    <row r="75" spans="1:44" x14ac:dyDescent="0.35">
      <c r="A75" s="1000">
        <v>1965</v>
      </c>
      <c r="B75" s="982"/>
      <c r="C75" s="1040">
        <f>C$80*('2.3.3. Prices Ind2'!H75/'2.3.3. Prices Ind2'!H$80)</f>
        <v>8.4252973579874375</v>
      </c>
      <c r="D75" s="1040">
        <f>D$80*('2.3.3. Prices Ind2'!I75/'2.3.3. Prices Ind2'!I$80)</f>
        <v>1.6047539157510713</v>
      </c>
      <c r="E75" s="1040">
        <f>E$80*('2.3.3. Prices Ind2'!J75/'2.3.3. Prices Ind2'!J$80)</f>
        <v>15.256641466016463</v>
      </c>
      <c r="F75" s="1040">
        <f>F$80*('2.3.3. Prices Ind2'!K75/'2.3.3. Prices Ind2'!K$80)</f>
        <v>7.9133651737372341</v>
      </c>
      <c r="G75" s="1026"/>
      <c r="H75" s="1027"/>
      <c r="I75" s="1028"/>
      <c r="J75" s="1028"/>
      <c r="K75" s="1027"/>
      <c r="M75" s="1004">
        <f t="shared" si="6"/>
        <v>127.59899153747321</v>
      </c>
      <c r="N75" s="1004">
        <f t="shared" si="6"/>
        <v>24.303591032490328</v>
      </c>
      <c r="O75" s="1004">
        <f t="shared" si="6"/>
        <v>231.05796538646038</v>
      </c>
      <c r="P75" s="1004">
        <f t="shared" si="3"/>
        <v>119.8459084508597</v>
      </c>
      <c r="Q75" s="1041"/>
      <c r="U75" s="976"/>
      <c r="V75" s="977">
        <f>'2.3.3. Prices Ind2'!T75</f>
        <v>6.6029498011456464</v>
      </c>
      <c r="X75" s="1040">
        <f>X$80*('2.3.3. Prices Ind2'!H75/'2.3.3. Prices Ind2'!H$80)</f>
        <v>7.8950978135788255</v>
      </c>
      <c r="Y75" s="1040">
        <f>Y$80*('2.3.3. Prices Ind2'!I75/'2.3.3. Prices Ind2'!I$80)</f>
        <v>1.6047539157510713</v>
      </c>
      <c r="Z75" s="1040">
        <f>Z$80*('2.3.3. Prices Ind2'!J75/'2.3.3. Prices Ind2'!J$80)</f>
        <v>14.849180912590295</v>
      </c>
      <c r="AA75" s="1040">
        <f>AA$80*('2.3.3. Prices Ind2'!K75/'2.3.3. Prices Ind2'!K$80)</f>
        <v>7.6450131415081994</v>
      </c>
      <c r="AB75" s="1026"/>
      <c r="AC75" s="1027"/>
      <c r="AD75" s="1028"/>
      <c r="AE75" s="1028"/>
      <c r="AF75" s="1027"/>
      <c r="AH75" s="1004">
        <f t="shared" si="7"/>
        <v>119.56925391450021</v>
      </c>
      <c r="AI75" s="1004">
        <f t="shared" si="8"/>
        <v>24.303591032490328</v>
      </c>
      <c r="AJ75" s="1004">
        <f t="shared" si="9"/>
        <v>224.88707865102782</v>
      </c>
      <c r="AK75" s="1004">
        <f t="shared" si="10"/>
        <v>115.78178498618524</v>
      </c>
      <c r="AL75" s="1004"/>
      <c r="AP75" s="976"/>
      <c r="AQ75" s="977">
        <f>'2.3.3. Prices Ind2'!T75</f>
        <v>6.6029498011456464</v>
      </c>
    </row>
    <row r="76" spans="1:44" x14ac:dyDescent="0.35">
      <c r="A76" s="1000">
        <v>1966</v>
      </c>
      <c r="B76" s="982"/>
      <c r="C76" s="1040">
        <f>C$80*('2.3.3. Prices Ind2'!H76/'2.3.3. Prices Ind2'!H$80)</f>
        <v>8.5724641240658208</v>
      </c>
      <c r="D76" s="1040">
        <f>D$80*('2.3.3. Prices Ind2'!I76/'2.3.3. Prices Ind2'!I$80)</f>
        <v>1.7071850167564588</v>
      </c>
      <c r="E76" s="1040">
        <f>E$80*('2.3.3. Prices Ind2'!J76/'2.3.3. Prices Ind2'!J$80)</f>
        <v>15.406216382349957</v>
      </c>
      <c r="F76" s="1040">
        <f>F$80*('2.3.3. Prices Ind2'!K76/'2.3.3. Prices Ind2'!K$80)</f>
        <v>8.1926074280182313</v>
      </c>
      <c r="G76" s="1026"/>
      <c r="H76" s="1027"/>
      <c r="I76" s="1028"/>
      <c r="J76" s="1028"/>
      <c r="K76" s="1027"/>
      <c r="M76" s="1004">
        <f t="shared" si="6"/>
        <v>123.44149034623622</v>
      </c>
      <c r="N76" s="1004">
        <f t="shared" si="6"/>
        <v>24.583067332246959</v>
      </c>
      <c r="O76" s="1004">
        <f t="shared" si="6"/>
        <v>221.84593406404281</v>
      </c>
      <c r="P76" s="1004">
        <f t="shared" si="3"/>
        <v>117.97164223728055</v>
      </c>
      <c r="Q76" s="1041"/>
      <c r="U76" s="976"/>
      <c r="V76" s="977">
        <f>'2.3.3. Prices Ind2'!T76</f>
        <v>6.9445565668571003</v>
      </c>
      <c r="X76" s="1040">
        <f>X$80*('2.3.3. Prices Ind2'!H76/'2.3.3. Prices Ind2'!H$80)</f>
        <v>8.0330034522439568</v>
      </c>
      <c r="Y76" s="1040">
        <f>Y$80*('2.3.3. Prices Ind2'!I76/'2.3.3. Prices Ind2'!I$80)</f>
        <v>1.7071850167564588</v>
      </c>
      <c r="Z76" s="1040">
        <f>Z$80*('2.3.3. Prices Ind2'!J76/'2.3.3. Prices Ind2'!J$80)</f>
        <v>14.99476111761569</v>
      </c>
      <c r="AA76" s="1040">
        <f>AA$80*('2.3.3. Prices Ind2'!K76/'2.3.3. Prices Ind2'!K$80)</f>
        <v>7.9147859444527136</v>
      </c>
      <c r="AB76" s="1026"/>
      <c r="AC76" s="1027"/>
      <c r="AD76" s="1028"/>
      <c r="AE76" s="1028"/>
      <c r="AF76" s="1027"/>
      <c r="AH76" s="1004">
        <f t="shared" si="7"/>
        <v>115.673382092983</v>
      </c>
      <c r="AI76" s="1004">
        <f t="shared" si="8"/>
        <v>24.583067332246959</v>
      </c>
      <c r="AJ76" s="1004">
        <f t="shared" si="9"/>
        <v>215.92107391245389</v>
      </c>
      <c r="AK76" s="1004">
        <f t="shared" si="10"/>
        <v>113.97107746556539</v>
      </c>
      <c r="AL76" s="1004"/>
      <c r="AP76" s="976"/>
      <c r="AQ76" s="977">
        <f>'2.3.3. Prices Ind2'!T76</f>
        <v>6.9445565668571003</v>
      </c>
    </row>
    <row r="77" spans="1:44" x14ac:dyDescent="0.35">
      <c r="A77" s="1000">
        <v>1967</v>
      </c>
      <c r="B77" s="982"/>
      <c r="C77" s="1040">
        <f>C$80*('2.3.3. Prices Ind2'!H77/'2.3.3. Prices Ind2'!H$80)</f>
        <v>8.2413389003894597</v>
      </c>
      <c r="D77" s="1040">
        <f>D$80*('2.3.3. Prices Ind2'!I77/'2.3.3. Prices Ind2'!I$80)</f>
        <v>1.980334619437492</v>
      </c>
      <c r="E77" s="1040">
        <f>E$80*('2.3.3. Prices Ind2'!J77/'2.3.3. Prices Ind2'!J$80)</f>
        <v>15.320745001587962</v>
      </c>
      <c r="F77" s="1040">
        <f>F$80*('2.3.3. Prices Ind2'!K77/'2.3.3. Prices Ind2'!K$80)</f>
        <v>8.3907793504111936</v>
      </c>
      <c r="G77" s="1026"/>
      <c r="H77" s="1027"/>
      <c r="I77" s="1028"/>
      <c r="J77" s="1028"/>
      <c r="K77" s="1027"/>
      <c r="M77" s="1004">
        <f t="shared" si="6"/>
        <v>115.2367423667622</v>
      </c>
      <c r="N77" s="1004">
        <f t="shared" si="6"/>
        <v>27.690562552804856</v>
      </c>
      <c r="O77" s="1004">
        <f t="shared" si="6"/>
        <v>214.22644620662535</v>
      </c>
      <c r="P77" s="1004">
        <f t="shared" si="3"/>
        <v>117.32633373613469</v>
      </c>
      <c r="Q77" s="1041"/>
      <c r="U77" s="976"/>
      <c r="V77" s="977">
        <f>'2.3.3. Prices Ind2'!T77</f>
        <v>7.1516590378439178</v>
      </c>
      <c r="X77" s="1040">
        <f>X$80*('2.3.3. Prices Ind2'!H77/'2.3.3. Prices Ind2'!H$80)</f>
        <v>7.7227157652474112</v>
      </c>
      <c r="Y77" s="1040">
        <f>Y$80*('2.3.3. Prices Ind2'!I77/'2.3.3. Prices Ind2'!I$80)</f>
        <v>1.980334619437492</v>
      </c>
      <c r="Z77" s="1040">
        <f>Z$80*('2.3.3. Prices Ind2'!J77/'2.3.3. Prices Ind2'!J$80)</f>
        <v>14.911572429029752</v>
      </c>
      <c r="AA77" s="1040">
        <f>AA$80*('2.3.3. Prices Ind2'!K77/'2.3.3. Prices Ind2'!K$80)</f>
        <v>8.1062376110584946</v>
      </c>
      <c r="AB77" s="1026"/>
      <c r="AC77" s="1027"/>
      <c r="AD77" s="1028"/>
      <c r="AE77" s="1028"/>
      <c r="AF77" s="1027"/>
      <c r="AH77" s="1004">
        <f t="shared" si="7"/>
        <v>107.98495460118657</v>
      </c>
      <c r="AI77" s="1004">
        <f t="shared" si="8"/>
        <v>27.690562552804856</v>
      </c>
      <c r="AJ77" s="1004">
        <f t="shared" si="9"/>
        <v>208.50508043131336</v>
      </c>
      <c r="AK77" s="1004">
        <f t="shared" si="10"/>
        <v>113.34765217641532</v>
      </c>
      <c r="AL77" s="1004"/>
      <c r="AP77" s="976"/>
      <c r="AQ77" s="977">
        <f>'2.3.3. Prices Ind2'!T77</f>
        <v>7.1516590378439178</v>
      </c>
    </row>
    <row r="78" spans="1:44" x14ac:dyDescent="0.35">
      <c r="A78" s="1000">
        <v>1968</v>
      </c>
      <c r="B78" s="982"/>
      <c r="C78" s="1040">
        <f>C$80*('2.3.3. Prices Ind2'!H78/'2.3.3. Prices Ind2'!H$80)</f>
        <v>7.9837970597522876</v>
      </c>
      <c r="D78" s="1040">
        <f>D$80*('2.3.3. Prices Ind2'!I78/'2.3.3. Prices Ind2'!I$80)</f>
        <v>2.1681249712807027</v>
      </c>
      <c r="E78" s="1040">
        <f>E$80*('2.3.3. Prices Ind2'!J78/'2.3.3. Prices Ind2'!J$80)</f>
        <v>15.384848537159458</v>
      </c>
      <c r="F78" s="1040">
        <f>F$80*('2.3.3. Prices Ind2'!K78/'2.3.3. Prices Ind2'!K$80)</f>
        <v>8.5664317361685942</v>
      </c>
      <c r="G78" s="1026"/>
      <c r="H78" s="1027"/>
      <c r="I78" s="1028"/>
      <c r="J78" s="1028"/>
      <c r="K78" s="1027"/>
      <c r="M78" s="1004">
        <f t="shared" si="6"/>
        <v>107.23150858570202</v>
      </c>
      <c r="N78" s="1004">
        <f t="shared" si="6"/>
        <v>29.1203934334442</v>
      </c>
      <c r="O78" s="1004">
        <f t="shared" si="6"/>
        <v>206.63607875490337</v>
      </c>
      <c r="P78" s="1004">
        <f t="shared" si="3"/>
        <v>115.05695740897175</v>
      </c>
      <c r="Q78" s="1041"/>
      <c r="U78" s="976"/>
      <c r="V78" s="977">
        <f>'2.3.3. Prices Ind2'!T78</f>
        <v>7.4453835118541143</v>
      </c>
      <c r="X78" s="1040">
        <f>X$80*('2.3.3. Prices Ind2'!H78/'2.3.3. Prices Ind2'!H$80)</f>
        <v>7.4813808975834286</v>
      </c>
      <c r="Y78" s="1040">
        <f>Y$80*('2.3.3. Prices Ind2'!I78/'2.3.3. Prices Ind2'!I$80)</f>
        <v>2.1681249712807027</v>
      </c>
      <c r="Z78" s="1040">
        <f>Z$80*('2.3.3. Prices Ind2'!J78/'2.3.3. Prices Ind2'!J$80)</f>
        <v>14.973963945469206</v>
      </c>
      <c r="AA78" s="1040">
        <f>AA$80*('2.3.3. Prices Ind2'!K78/'2.3.3. Prices Ind2'!K$80)</f>
        <v>8.2759334064590746</v>
      </c>
      <c r="AB78" s="1026"/>
      <c r="AC78" s="1027"/>
      <c r="AD78" s="1028"/>
      <c r="AE78" s="1028"/>
      <c r="AF78" s="1027"/>
      <c r="AH78" s="1004">
        <f t="shared" si="7"/>
        <v>100.48348598392549</v>
      </c>
      <c r="AI78" s="1004">
        <f t="shared" si="8"/>
        <v>29.1203934334442</v>
      </c>
      <c r="AJ78" s="1004">
        <f t="shared" si="9"/>
        <v>201.11742963446432</v>
      </c>
      <c r="AK78" s="1004">
        <f t="shared" si="10"/>
        <v>111.1552332164301</v>
      </c>
      <c r="AL78" s="1004"/>
      <c r="AP78" s="976"/>
      <c r="AQ78" s="977">
        <f>'2.3.3. Prices Ind2'!T78</f>
        <v>7.4453835118541143</v>
      </c>
    </row>
    <row r="79" spans="1:44" x14ac:dyDescent="0.35">
      <c r="A79" s="1000">
        <v>1969</v>
      </c>
      <c r="B79" s="982"/>
      <c r="C79" s="1040">
        <f>C$80*('2.3.3. Prices Ind2'!H79/'2.3.3. Prices Ind2'!H$80)</f>
        <v>8.0941721343110764</v>
      </c>
      <c r="D79" s="1040">
        <f>D$80*('2.3.3. Prices Ind2'!I79/'2.3.3. Prices Ind2'!I$80)</f>
        <v>2.1339812709455734</v>
      </c>
      <c r="E79" s="1040">
        <f>E$80*('2.3.3. Prices Ind2'!J79/'2.3.3. Prices Ind2'!J$80)</f>
        <v>13.504478160395525</v>
      </c>
      <c r="F79" s="1040">
        <f>F$80*('2.3.3. Prices Ind2'!K79/'2.3.3. Prices Ind2'!K$80)</f>
        <v>8.5664317361685942</v>
      </c>
      <c r="G79" s="1026"/>
      <c r="H79" s="1027"/>
      <c r="I79" s="1028"/>
      <c r="J79" s="1028"/>
      <c r="K79" s="1027"/>
      <c r="M79" s="1004">
        <f t="shared" si="6"/>
        <v>102.1653402948134</v>
      </c>
      <c r="N79" s="1004">
        <f t="shared" si="6"/>
        <v>26.935296051431116</v>
      </c>
      <c r="O79" s="1004">
        <f t="shared" si="6"/>
        <v>170.45469059302565</v>
      </c>
      <c r="P79" s="1004">
        <f t="shared" si="3"/>
        <v>108.1262418089709</v>
      </c>
      <c r="Q79" s="1041"/>
      <c r="U79" s="976"/>
      <c r="V79" s="977">
        <f>'2.3.3. Prices Ind2'!T79</f>
        <v>7.9226204414864467</v>
      </c>
      <c r="X79" s="1040">
        <f>X$80*('2.3.3. Prices Ind2'!H79/'2.3.3. Prices Ind2'!H$80)</f>
        <v>7.5848101265822789</v>
      </c>
      <c r="Y79" s="1040">
        <f>Y$80*('2.3.3. Prices Ind2'!I79/'2.3.3. Prices Ind2'!I$80)</f>
        <v>2.1339812709455734</v>
      </c>
      <c r="Z79" s="1040">
        <f>Z$80*('2.3.3. Prices Ind2'!J79/'2.3.3. Prices Ind2'!J$80)</f>
        <v>13.143812796578525</v>
      </c>
      <c r="AA79" s="1040">
        <f>AA$80*('2.3.3. Prices Ind2'!K79/'2.3.3. Prices Ind2'!K$80)</f>
        <v>8.2759334064590746</v>
      </c>
      <c r="AB79" s="1026"/>
      <c r="AC79" s="1027"/>
      <c r="AD79" s="1028"/>
      <c r="AE79" s="1028"/>
      <c r="AF79" s="1027"/>
      <c r="AH79" s="1004">
        <f t="shared" si="7"/>
        <v>95.736129006821542</v>
      </c>
      <c r="AI79" s="1004">
        <f t="shared" si="8"/>
        <v>26.935296051431116</v>
      </c>
      <c r="AJ79" s="1004">
        <f t="shared" si="9"/>
        <v>165.9023411970052</v>
      </c>
      <c r="AK79" s="1004">
        <f t="shared" si="10"/>
        <v>104.45954678230602</v>
      </c>
      <c r="AL79" s="1004"/>
      <c r="AP79" s="976"/>
      <c r="AQ79" s="977">
        <f>'2.3.3. Prices Ind2'!T79</f>
        <v>7.9226204414864467</v>
      </c>
    </row>
    <row r="80" spans="1:44" x14ac:dyDescent="0.35">
      <c r="A80" s="1000">
        <v>1970</v>
      </c>
      <c r="C80" s="1001">
        <v>9.713006561173291</v>
      </c>
      <c r="D80" s="1001">
        <v>2.1339812709455734</v>
      </c>
      <c r="E80" s="1002">
        <v>10.427508452963632</v>
      </c>
      <c r="F80" s="1002">
        <v>8.6970450486548661</v>
      </c>
      <c r="G80" s="1002">
        <v>6.9515023029189615</v>
      </c>
      <c r="I80" s="1003"/>
      <c r="J80" s="1003"/>
      <c r="M80" s="1004">
        <f t="shared" ref="M80:Q119" si="11">C80*100/$V80</f>
        <v>111.90099724854022</v>
      </c>
      <c r="N80" s="1004">
        <f t="shared" si="11"/>
        <v>24.585037683704762</v>
      </c>
      <c r="O80" s="1004">
        <f t="shared" si="11"/>
        <v>120.13258586363632</v>
      </c>
      <c r="P80" s="1004">
        <f t="shared" si="11"/>
        <v>100.19637152828187</v>
      </c>
      <c r="Q80" s="1004">
        <f t="shared" si="11"/>
        <v>80.086432061278359</v>
      </c>
      <c r="U80" s="976"/>
      <c r="V80" s="1005">
        <v>8.68</v>
      </c>
      <c r="W80" s="1006"/>
      <c r="X80" s="1002">
        <v>9.101772151898734</v>
      </c>
      <c r="Y80" s="1002">
        <v>2.1339812709455734</v>
      </c>
      <c r="Z80" s="1002">
        <v>10.149020007484683</v>
      </c>
      <c r="AA80" s="1002">
        <v>8.4021174594492507</v>
      </c>
      <c r="AB80" s="1002">
        <v>6.7044600158697172</v>
      </c>
      <c r="AD80" s="1003"/>
      <c r="AE80" s="1003"/>
      <c r="AH80" s="1004">
        <f t="shared" ref="AH80:AL117" si="12">X80*100/$AQ80</f>
        <v>104.85912617394855</v>
      </c>
      <c r="AI80" s="1004">
        <f t="shared" si="12"/>
        <v>24.585037683704762</v>
      </c>
      <c r="AJ80" s="1004">
        <f t="shared" si="12"/>
        <v>116.92419363461617</v>
      </c>
      <c r="AK80" s="1004">
        <f t="shared" si="12"/>
        <v>96.798588242502888</v>
      </c>
      <c r="AL80" s="1004">
        <f t="shared" si="12"/>
        <v>77.240322763476016</v>
      </c>
      <c r="AP80" s="976"/>
      <c r="AQ80" s="1005">
        <v>8.68</v>
      </c>
      <c r="AR80" s="1007"/>
    </row>
    <row r="81" spans="1:44" x14ac:dyDescent="0.35">
      <c r="A81" s="1000">
        <v>1971</v>
      </c>
      <c r="C81" s="1001">
        <v>11.596140486298722</v>
      </c>
      <c r="D81" s="1001">
        <v>3.2001641920841637</v>
      </c>
      <c r="E81" s="1002">
        <v>7.9428287044058923</v>
      </c>
      <c r="F81" s="1002">
        <v>9.6224863597572003</v>
      </c>
      <c r="G81" s="1002">
        <v>7.6736200374375416</v>
      </c>
      <c r="I81" s="1003"/>
      <c r="J81" s="1003"/>
      <c r="M81" s="1004">
        <f t="shared" si="11"/>
        <v>123.36319666275237</v>
      </c>
      <c r="N81" s="1004">
        <f t="shared" si="11"/>
        <v>34.044299915788976</v>
      </c>
      <c r="O81" s="1004">
        <f t="shared" si="11"/>
        <v>84.498177706445659</v>
      </c>
      <c r="P81" s="1004">
        <f t="shared" si="11"/>
        <v>102.36687616762978</v>
      </c>
      <c r="Q81" s="1004">
        <f t="shared" si="11"/>
        <v>81.634255717420658</v>
      </c>
      <c r="U81" s="976"/>
      <c r="V81" s="1005">
        <v>9.4</v>
      </c>
      <c r="W81" s="1006"/>
      <c r="X81" s="1002">
        <v>10.86640144665461</v>
      </c>
      <c r="Y81" s="1002">
        <v>3.2001641920841637</v>
      </c>
      <c r="Z81" s="1002">
        <v>7.7306988338262244</v>
      </c>
      <c r="AA81" s="1002">
        <v>9.2961759073713015</v>
      </c>
      <c r="AB81" s="1002">
        <v>7.4125774311201598</v>
      </c>
      <c r="AD81" s="1003"/>
      <c r="AE81" s="1003"/>
      <c r="AH81" s="1004">
        <f t="shared" si="12"/>
        <v>115.60001538994267</v>
      </c>
      <c r="AI81" s="1004">
        <f t="shared" si="12"/>
        <v>34.044299915788976</v>
      </c>
      <c r="AJ81" s="1004">
        <f t="shared" si="12"/>
        <v>82.241476955598131</v>
      </c>
      <c r="AK81" s="1004">
        <f t="shared" si="12"/>
        <v>98.895488376290444</v>
      </c>
      <c r="AL81" s="1004">
        <f t="shared" si="12"/>
        <v>78.857206714044253</v>
      </c>
      <c r="AP81" s="976"/>
      <c r="AQ81" s="1005">
        <v>9.4</v>
      </c>
      <c r="AR81" s="1007"/>
    </row>
    <row r="82" spans="1:44" x14ac:dyDescent="0.35">
      <c r="A82" s="1000">
        <v>1972</v>
      </c>
      <c r="C82" s="1001">
        <v>12.481956773446544</v>
      </c>
      <c r="D82" s="1001">
        <v>3.0563910405972932</v>
      </c>
      <c r="E82" s="1002">
        <v>6.3406854785599167</v>
      </c>
      <c r="F82" s="1002">
        <v>9.8328139304622759</v>
      </c>
      <c r="G82" s="1002">
        <v>7.5996956307160124</v>
      </c>
      <c r="I82" s="1003"/>
      <c r="J82" s="1003"/>
      <c r="M82" s="1004">
        <f t="shared" si="11"/>
        <v>123.46149132983724</v>
      </c>
      <c r="N82" s="1004">
        <f t="shared" si="11"/>
        <v>30.231365386719027</v>
      </c>
      <c r="O82" s="1004">
        <f t="shared" si="11"/>
        <v>62.716968136102054</v>
      </c>
      <c r="P82" s="1004">
        <f t="shared" si="11"/>
        <v>97.258298026333094</v>
      </c>
      <c r="Q82" s="1004">
        <f t="shared" si="11"/>
        <v>75.170085368110904</v>
      </c>
      <c r="U82" s="976"/>
      <c r="V82" s="1005">
        <v>10.11</v>
      </c>
      <c r="W82" s="1006"/>
      <c r="X82" s="1002">
        <v>11.696473779385173</v>
      </c>
      <c r="Y82" s="1002">
        <v>3.0563910405972932</v>
      </c>
      <c r="Z82" s="1002">
        <v>6.1713441972595664</v>
      </c>
      <c r="AA82" s="1002">
        <v>9.4993710091717674</v>
      </c>
      <c r="AB82" s="1002">
        <v>7.3448705445634346</v>
      </c>
      <c r="AD82" s="1003"/>
      <c r="AE82" s="1003"/>
      <c r="AH82" s="1004">
        <f t="shared" si="12"/>
        <v>115.69212442517482</v>
      </c>
      <c r="AI82" s="1004">
        <f t="shared" si="12"/>
        <v>30.231365386719027</v>
      </c>
      <c r="AJ82" s="1004">
        <f t="shared" si="12"/>
        <v>61.041980190500162</v>
      </c>
      <c r="AK82" s="1004">
        <f t="shared" si="12"/>
        <v>93.960148458672279</v>
      </c>
      <c r="AL82" s="1004">
        <f t="shared" si="12"/>
        <v>72.649560282526551</v>
      </c>
      <c r="AP82" s="976"/>
      <c r="AQ82" s="1005">
        <v>10.11</v>
      </c>
      <c r="AR82" s="1007"/>
    </row>
    <row r="83" spans="1:44" x14ac:dyDescent="0.35">
      <c r="A83" s="1000">
        <v>1973</v>
      </c>
      <c r="C83" s="1001">
        <v>13.058047086067154</v>
      </c>
      <c r="D83" s="1001">
        <v>2.9885430365248369</v>
      </c>
      <c r="E83" s="1002">
        <v>6.7027517442878217</v>
      </c>
      <c r="F83" s="1002">
        <v>9.8906540124061699</v>
      </c>
      <c r="G83" s="1002">
        <v>7.6316083023072601</v>
      </c>
      <c r="I83" s="1003"/>
      <c r="J83" s="1003"/>
      <c r="M83" s="1004">
        <f t="shared" si="11"/>
        <v>118.70951896424685</v>
      </c>
      <c r="N83" s="1004">
        <f t="shared" si="11"/>
        <v>27.168573059316699</v>
      </c>
      <c r="O83" s="1004">
        <f t="shared" si="11"/>
        <v>60.934106766252924</v>
      </c>
      <c r="P83" s="1004">
        <f t="shared" si="11"/>
        <v>89.915036476419729</v>
      </c>
      <c r="Q83" s="1004">
        <f t="shared" si="11"/>
        <v>69.378257293702362</v>
      </c>
      <c r="U83" s="976"/>
      <c r="V83" s="1005">
        <v>11</v>
      </c>
      <c r="W83" s="1006"/>
      <c r="X83" s="1002">
        <v>12.236311030741408</v>
      </c>
      <c r="Y83" s="1002">
        <v>2.9885430365248369</v>
      </c>
      <c r="Z83" s="1002">
        <v>6.5237407252972304</v>
      </c>
      <c r="AA83" s="1002">
        <v>9.5552496621668936</v>
      </c>
      <c r="AB83" s="1002">
        <v>7.3738613542301232</v>
      </c>
      <c r="AD83" s="1003"/>
      <c r="AE83" s="1003"/>
      <c r="AH83" s="1004">
        <f t="shared" si="12"/>
        <v>111.23919118855825</v>
      </c>
      <c r="AI83" s="1004">
        <f t="shared" si="12"/>
        <v>27.168573059316699</v>
      </c>
      <c r="AJ83" s="1004">
        <f t="shared" si="12"/>
        <v>59.306733866338455</v>
      </c>
      <c r="AK83" s="1004">
        <f t="shared" si="12"/>
        <v>86.865906019699025</v>
      </c>
      <c r="AL83" s="1004">
        <f t="shared" si="12"/>
        <v>67.035103220273854</v>
      </c>
      <c r="AP83" s="976"/>
      <c r="AQ83" s="1005">
        <v>11</v>
      </c>
      <c r="AR83" s="1007"/>
    </row>
    <row r="84" spans="1:44" x14ac:dyDescent="0.35">
      <c r="A84" s="1000">
        <v>1974</v>
      </c>
      <c r="C84" s="1001">
        <v>14.210227711308374</v>
      </c>
      <c r="D84" s="1001">
        <v>7.0820392822296698</v>
      </c>
      <c r="E84" s="1002">
        <v>7.7301147732907474</v>
      </c>
      <c r="F84" s="1002">
        <v>13.497771849998214</v>
      </c>
      <c r="G84" s="1002">
        <v>10.165937144799338</v>
      </c>
      <c r="I84" s="1003"/>
      <c r="J84" s="1003"/>
      <c r="M84" s="1004">
        <f t="shared" si="11"/>
        <v>111.19114015108273</v>
      </c>
      <c r="N84" s="1004">
        <f t="shared" si="11"/>
        <v>55.415017857822143</v>
      </c>
      <c r="O84" s="1004">
        <f t="shared" si="11"/>
        <v>60.486031089911954</v>
      </c>
      <c r="P84" s="1004">
        <f t="shared" si="11"/>
        <v>105.61636815335066</v>
      </c>
      <c r="Q84" s="1004">
        <f t="shared" si="11"/>
        <v>79.545674059462741</v>
      </c>
      <c r="U84" s="976"/>
      <c r="V84" s="1005">
        <v>12.78</v>
      </c>
      <c r="W84" s="1006"/>
      <c r="X84" s="1002">
        <v>13.315985533453887</v>
      </c>
      <c r="Y84" s="1002">
        <v>7.0820392822296698</v>
      </c>
      <c r="Z84" s="1002">
        <v>7.523665873604096</v>
      </c>
      <c r="AA84" s="1002">
        <v>13.04004565804488</v>
      </c>
      <c r="AB84" s="1002">
        <v>9.9013713143588866</v>
      </c>
      <c r="AD84" s="1003"/>
      <c r="AE84" s="1003"/>
      <c r="AH84" s="1004">
        <f t="shared" si="12"/>
        <v>104.19394001137627</v>
      </c>
      <c r="AI84" s="1004">
        <f t="shared" si="12"/>
        <v>55.415017857822143</v>
      </c>
      <c r="AJ84" s="1004">
        <f t="shared" si="12"/>
        <v>58.870624989077442</v>
      </c>
      <c r="AK84" s="1004">
        <f t="shared" si="12"/>
        <v>102.03478605668921</v>
      </c>
      <c r="AL84" s="1004">
        <f t="shared" si="12"/>
        <v>77.475518891697092</v>
      </c>
      <c r="AP84" s="976"/>
      <c r="AQ84" s="1005">
        <v>12.78</v>
      </c>
      <c r="AR84" s="1007"/>
    </row>
    <row r="85" spans="1:44" x14ac:dyDescent="0.35">
      <c r="A85" s="1000">
        <v>1975</v>
      </c>
      <c r="C85" s="1001">
        <v>21.309147047472017</v>
      </c>
      <c r="D85" s="1001">
        <v>8.9171662495227597</v>
      </c>
      <c r="E85" s="1002">
        <v>10.685480667294765</v>
      </c>
      <c r="F85" s="1002">
        <v>17.92516721334005</v>
      </c>
      <c r="G85" s="1002">
        <v>13.943869417306637</v>
      </c>
      <c r="I85" s="1003"/>
      <c r="J85" s="1003"/>
      <c r="M85" s="1004">
        <f t="shared" si="11"/>
        <v>132.1907385078909</v>
      </c>
      <c r="N85" s="1004">
        <f t="shared" si="11"/>
        <v>55.317408495798759</v>
      </c>
      <c r="O85" s="1004">
        <f t="shared" si="11"/>
        <v>66.287100913739224</v>
      </c>
      <c r="P85" s="1004">
        <f t="shared" si="11"/>
        <v>111.19830777506235</v>
      </c>
      <c r="Q85" s="1004">
        <f t="shared" si="11"/>
        <v>86.500430628453074</v>
      </c>
      <c r="U85" s="976"/>
      <c r="V85" s="1005">
        <v>16.12</v>
      </c>
      <c r="W85" s="1006"/>
      <c r="X85" s="1002">
        <v>19.968173598553342</v>
      </c>
      <c r="Y85" s="1002">
        <v>8.9171662495227597</v>
      </c>
      <c r="Z85" s="1002">
        <v>10.400102533711518</v>
      </c>
      <c r="AA85" s="1002">
        <v>17.317302550944682</v>
      </c>
      <c r="AB85" s="1002">
        <v>13.54939700638884</v>
      </c>
      <c r="AD85" s="1003"/>
      <c r="AE85" s="1003"/>
      <c r="AH85" s="1004">
        <f t="shared" si="12"/>
        <v>123.8720446560381</v>
      </c>
      <c r="AI85" s="1004">
        <f t="shared" si="12"/>
        <v>55.317408495798759</v>
      </c>
      <c r="AJ85" s="1004">
        <f t="shared" si="12"/>
        <v>64.516765097465992</v>
      </c>
      <c r="AK85" s="1004">
        <f t="shared" si="12"/>
        <v>107.42743517955758</v>
      </c>
      <c r="AL85" s="1004">
        <f t="shared" si="12"/>
        <v>84.053331305141683</v>
      </c>
      <c r="AP85" s="976"/>
      <c r="AQ85" s="1005">
        <v>16.12</v>
      </c>
      <c r="AR85" s="1007"/>
    </row>
    <row r="86" spans="1:44" x14ac:dyDescent="0.35">
      <c r="A86" s="1000">
        <v>1976</v>
      </c>
      <c r="C86" s="1001">
        <v>26.382458510227707</v>
      </c>
      <c r="D86" s="1001">
        <v>10.214355470241376</v>
      </c>
      <c r="E86" s="1002">
        <v>15.564323597978269</v>
      </c>
      <c r="F86" s="1002">
        <v>20.72778209298518</v>
      </c>
      <c r="G86" s="1002">
        <v>16.604172156287564</v>
      </c>
      <c r="I86" s="1003"/>
      <c r="J86" s="1003"/>
      <c r="M86" s="1004">
        <f t="shared" si="11"/>
        <v>141.68882121497157</v>
      </c>
      <c r="N86" s="1004">
        <f t="shared" si="11"/>
        <v>54.856903706989122</v>
      </c>
      <c r="O86" s="1004">
        <f t="shared" si="11"/>
        <v>83.589278184630871</v>
      </c>
      <c r="P86" s="1004">
        <f t="shared" si="11"/>
        <v>111.31998975824479</v>
      </c>
      <c r="Q86" s="1004">
        <f t="shared" si="11"/>
        <v>89.173856908096468</v>
      </c>
      <c r="U86" s="976"/>
      <c r="V86" s="1005">
        <v>18.62</v>
      </c>
      <c r="W86" s="1006"/>
      <c r="X86" s="1002">
        <v>24.722224231464736</v>
      </c>
      <c r="Y86" s="1002">
        <v>10.214355470241376</v>
      </c>
      <c r="Z86" s="1002">
        <v>15.148645749019021</v>
      </c>
      <c r="AA86" s="1002">
        <v>20.024877282435888</v>
      </c>
      <c r="AB86" s="1002">
        <v>16.128582578609549</v>
      </c>
      <c r="AD86" s="1003"/>
      <c r="AE86" s="1003"/>
      <c r="AH86" s="1004">
        <f t="shared" si="12"/>
        <v>132.77241799927353</v>
      </c>
      <c r="AI86" s="1004">
        <f t="shared" si="12"/>
        <v>54.856903706989122</v>
      </c>
      <c r="AJ86" s="1004">
        <f t="shared" si="12"/>
        <v>81.356851498490983</v>
      </c>
      <c r="AK86" s="1004">
        <f t="shared" si="12"/>
        <v>107.54499077570294</v>
      </c>
      <c r="AL86" s="1004">
        <f t="shared" si="12"/>
        <v>86.619670132167286</v>
      </c>
      <c r="AP86" s="976"/>
      <c r="AQ86" s="1005">
        <v>18.62</v>
      </c>
      <c r="AR86" s="1007"/>
    </row>
    <row r="87" spans="1:44" x14ac:dyDescent="0.35">
      <c r="A87" s="1000">
        <v>1977</v>
      </c>
      <c r="C87" s="1001">
        <v>31.486742570436117</v>
      </c>
      <c r="D87" s="1001">
        <v>12.950891634497093</v>
      </c>
      <c r="E87" s="1002">
        <v>21.244238141584756</v>
      </c>
      <c r="F87" s="1002">
        <v>23.877437464293681</v>
      </c>
      <c r="G87" s="1002">
        <v>19.835380599131479</v>
      </c>
      <c r="I87" s="1003"/>
      <c r="J87" s="1003"/>
      <c r="M87" s="1004">
        <f t="shared" si="11"/>
        <v>148.52237061526472</v>
      </c>
      <c r="N87" s="1004">
        <f t="shared" si="11"/>
        <v>61.089111483476856</v>
      </c>
      <c r="O87" s="1004">
        <f t="shared" si="11"/>
        <v>100.20867047917338</v>
      </c>
      <c r="P87" s="1004">
        <f t="shared" si="11"/>
        <v>112.62942200138529</v>
      </c>
      <c r="Q87" s="1004">
        <f t="shared" si="11"/>
        <v>93.563116033639048</v>
      </c>
      <c r="U87" s="976"/>
      <c r="V87" s="1005">
        <v>21.2</v>
      </c>
      <c r="W87" s="1006"/>
      <c r="X87" s="1002">
        <v>29.505298372513561</v>
      </c>
      <c r="Y87" s="1002">
        <v>12.950891634497093</v>
      </c>
      <c r="Z87" s="1002">
        <v>20.676866282609851</v>
      </c>
      <c r="AA87" s="1002">
        <v>23.067723931897856</v>
      </c>
      <c r="AB87" s="1002">
        <v>19.288992086355769</v>
      </c>
      <c r="AD87" s="1003"/>
      <c r="AE87" s="1003"/>
      <c r="AH87" s="1004">
        <f t="shared" si="12"/>
        <v>139.17593571940361</v>
      </c>
      <c r="AI87" s="1004">
        <f t="shared" si="12"/>
        <v>61.089111483476856</v>
      </c>
      <c r="AJ87" s="1004">
        <f t="shared" si="12"/>
        <v>97.532388125518153</v>
      </c>
      <c r="AK87" s="1004">
        <f t="shared" si="12"/>
        <v>108.810018546688</v>
      </c>
      <c r="AL87" s="1004">
        <f t="shared" si="12"/>
        <v>90.985811728093253</v>
      </c>
      <c r="AP87" s="976"/>
      <c r="AQ87" s="1005">
        <v>21.2</v>
      </c>
      <c r="AR87" s="1007"/>
    </row>
    <row r="88" spans="1:44" x14ac:dyDescent="0.35">
      <c r="A88" s="1000">
        <v>1978</v>
      </c>
      <c r="C88" s="1001">
        <v>34.175164029332301</v>
      </c>
      <c r="D88" s="1001">
        <v>12.143177300301193</v>
      </c>
      <c r="E88" s="1002">
        <v>26.231700951986632</v>
      </c>
      <c r="F88" s="1002">
        <v>26.269913581063918</v>
      </c>
      <c r="G88" s="1002">
        <v>22.208036691965209</v>
      </c>
      <c r="I88" s="1003"/>
      <c r="J88" s="1003"/>
      <c r="M88" s="1004">
        <f t="shared" si="11"/>
        <v>144.13818654294516</v>
      </c>
      <c r="N88" s="1004">
        <f t="shared" si="11"/>
        <v>51.215425138343285</v>
      </c>
      <c r="O88" s="1004">
        <f t="shared" si="11"/>
        <v>110.63560080972852</v>
      </c>
      <c r="P88" s="1004">
        <f t="shared" si="11"/>
        <v>110.79676752873858</v>
      </c>
      <c r="Q88" s="1004">
        <f t="shared" si="11"/>
        <v>93.665274955568151</v>
      </c>
      <c r="U88" s="976"/>
      <c r="V88" s="1005">
        <v>23.71</v>
      </c>
      <c r="W88" s="1006"/>
      <c r="X88" s="1002">
        <v>32.024538878842677</v>
      </c>
      <c r="Y88" s="1002">
        <v>12.143177300301193</v>
      </c>
      <c r="Z88" s="1002">
        <v>25.531128456328656</v>
      </c>
      <c r="AA88" s="1002">
        <v>25.379068214878153</v>
      </c>
      <c r="AB88" s="1002">
        <v>21.556934999220079</v>
      </c>
      <c r="AD88" s="1003"/>
      <c r="AE88" s="1003"/>
      <c r="AH88" s="1004">
        <f t="shared" si="12"/>
        <v>135.06764605163508</v>
      </c>
      <c r="AI88" s="1004">
        <f t="shared" si="12"/>
        <v>51.215425138343285</v>
      </c>
      <c r="AJ88" s="1004">
        <f t="shared" si="12"/>
        <v>107.68084545056371</v>
      </c>
      <c r="AK88" s="1004">
        <f t="shared" si="12"/>
        <v>107.03951166123218</v>
      </c>
      <c r="AL88" s="1004">
        <f t="shared" si="12"/>
        <v>90.919169123661234</v>
      </c>
      <c r="AP88" s="976"/>
      <c r="AQ88" s="1005">
        <v>23.71</v>
      </c>
      <c r="AR88" s="1007"/>
    </row>
    <row r="89" spans="1:44" x14ac:dyDescent="0.35">
      <c r="A89" s="1000">
        <v>1979</v>
      </c>
      <c r="C89" s="1001">
        <v>39.781204168274797</v>
      </c>
      <c r="D89" s="1001">
        <v>15.083257476774273</v>
      </c>
      <c r="E89" s="1002">
        <v>29.920251034089652</v>
      </c>
      <c r="F89" s="1002">
        <v>29.193466813864461</v>
      </c>
      <c r="G89" s="1002">
        <v>25.304745119205364</v>
      </c>
      <c r="I89" s="1003"/>
      <c r="J89" s="1003"/>
      <c r="M89" s="1004">
        <f t="shared" si="11"/>
        <v>146.63178830915888</v>
      </c>
      <c r="N89" s="1004">
        <f t="shared" si="11"/>
        <v>55.596231023863886</v>
      </c>
      <c r="O89" s="1004">
        <f t="shared" si="11"/>
        <v>110.28474395167584</v>
      </c>
      <c r="P89" s="1004">
        <f t="shared" si="11"/>
        <v>107.60584892688708</v>
      </c>
      <c r="Q89" s="1004">
        <f t="shared" si="11"/>
        <v>93.272189897550177</v>
      </c>
      <c r="U89" s="976"/>
      <c r="V89" s="1005">
        <v>27.13</v>
      </c>
      <c r="W89" s="1006"/>
      <c r="X89" s="1002">
        <v>37.277793851717902</v>
      </c>
      <c r="Y89" s="1002">
        <v>15.083257476774273</v>
      </c>
      <c r="Z89" s="1002">
        <v>29.121168085712341</v>
      </c>
      <c r="AA89" s="1002">
        <v>28.203480129904619</v>
      </c>
      <c r="AB89" s="1002">
        <v>24.575552914952212</v>
      </c>
      <c r="AD89" s="1003"/>
      <c r="AE89" s="1003"/>
      <c r="AH89" s="1004">
        <f t="shared" si="12"/>
        <v>137.40432676637636</v>
      </c>
      <c r="AI89" s="1004">
        <f t="shared" si="12"/>
        <v>55.596231023863886</v>
      </c>
      <c r="AJ89" s="1004">
        <f t="shared" si="12"/>
        <v>107.33935895949998</v>
      </c>
      <c r="AK89" s="1004">
        <f t="shared" si="12"/>
        <v>103.95680106857583</v>
      </c>
      <c r="AL89" s="1004">
        <f t="shared" si="12"/>
        <v>90.584419148367914</v>
      </c>
      <c r="AP89" s="976"/>
      <c r="AQ89" s="1005">
        <v>27.13</v>
      </c>
      <c r="AR89" s="1007"/>
    </row>
    <row r="90" spans="1:44" x14ac:dyDescent="0.35">
      <c r="A90" s="1000">
        <v>1980</v>
      </c>
      <c r="C90" s="1001">
        <v>51.569374758780398</v>
      </c>
      <c r="D90" s="1001">
        <v>21.368890425486782</v>
      </c>
      <c r="E90" s="1002">
        <v>40.696248267816401</v>
      </c>
      <c r="F90" s="1002">
        <v>35.997563726173645</v>
      </c>
      <c r="G90" s="1002">
        <v>33.221776450068027</v>
      </c>
      <c r="I90" s="1003"/>
      <c r="J90" s="1003"/>
      <c r="M90" s="1004">
        <f t="shared" si="11"/>
        <v>158.28537372246899</v>
      </c>
      <c r="N90" s="1004">
        <f t="shared" si="11"/>
        <v>65.588982275895589</v>
      </c>
      <c r="O90" s="1004">
        <f t="shared" si="11"/>
        <v>124.91175036162186</v>
      </c>
      <c r="P90" s="1004">
        <f t="shared" si="11"/>
        <v>110.48975974884483</v>
      </c>
      <c r="Q90" s="1004">
        <f t="shared" si="11"/>
        <v>101.96984791303876</v>
      </c>
      <c r="U90" s="976"/>
      <c r="V90" s="1005">
        <v>32.58</v>
      </c>
      <c r="W90" s="1006"/>
      <c r="X90" s="1002">
        <v>48.3241410488246</v>
      </c>
      <c r="Y90" s="1002">
        <v>21.368890425486782</v>
      </c>
      <c r="Z90" s="1002">
        <v>39.609369751433277</v>
      </c>
      <c r="AA90" s="1002">
        <v>34.776841673149676</v>
      </c>
      <c r="AB90" s="1002">
        <v>32.296485680497597</v>
      </c>
      <c r="AD90" s="1003"/>
      <c r="AE90" s="1003"/>
      <c r="AH90" s="1004">
        <f t="shared" si="12"/>
        <v>148.32455816091039</v>
      </c>
      <c r="AI90" s="1004">
        <f t="shared" si="12"/>
        <v>65.588982275895589</v>
      </c>
      <c r="AJ90" s="1004">
        <f t="shared" si="12"/>
        <v>121.57572053846924</v>
      </c>
      <c r="AK90" s="1004">
        <f t="shared" si="12"/>
        <v>106.74291489610091</v>
      </c>
      <c r="AL90" s="1004">
        <f t="shared" si="12"/>
        <v>99.129790302325361</v>
      </c>
      <c r="AP90" s="976"/>
      <c r="AQ90" s="1005">
        <v>32.58</v>
      </c>
      <c r="AR90" s="1007"/>
    </row>
    <row r="91" spans="1:44" x14ac:dyDescent="0.35">
      <c r="A91" s="1000">
        <v>1981</v>
      </c>
      <c r="C91" s="1001">
        <v>59.597472018525657</v>
      </c>
      <c r="D91" s="1001">
        <v>25.602928965341704</v>
      </c>
      <c r="E91" s="1002">
        <v>49.336054533748509</v>
      </c>
      <c r="F91" s="1002">
        <v>41.692182703013572</v>
      </c>
      <c r="G91" s="1002">
        <v>39.111446633190987</v>
      </c>
      <c r="I91" s="1003"/>
      <c r="J91" s="1003"/>
      <c r="M91" s="1004">
        <f t="shared" si="11"/>
        <v>162.70126131183636</v>
      </c>
      <c r="N91" s="1004">
        <f t="shared" si="11"/>
        <v>69.89606597144882</v>
      </c>
      <c r="O91" s="1004">
        <f t="shared" si="11"/>
        <v>134.687563564697</v>
      </c>
      <c r="P91" s="1004">
        <f t="shared" si="11"/>
        <v>113.81977259899963</v>
      </c>
      <c r="Q91" s="1004">
        <f t="shared" si="11"/>
        <v>106.77435608296747</v>
      </c>
      <c r="U91" s="976"/>
      <c r="V91" s="1005">
        <v>36.630000000000003</v>
      </c>
      <c r="W91" s="1006"/>
      <c r="X91" s="1002">
        <v>55.847034358047011</v>
      </c>
      <c r="Y91" s="1002">
        <v>25.602928965341704</v>
      </c>
      <c r="Z91" s="1002">
        <v>48.018431901732008</v>
      </c>
      <c r="AA91" s="1002">
        <v>40.278349054397289</v>
      </c>
      <c r="AB91" s="1002">
        <v>38.039981523325494</v>
      </c>
      <c r="AD91" s="1003"/>
      <c r="AE91" s="1003"/>
      <c r="AH91" s="1004">
        <f t="shared" si="12"/>
        <v>152.4625562600246</v>
      </c>
      <c r="AI91" s="1004">
        <f t="shared" si="12"/>
        <v>69.89606597144882</v>
      </c>
      <c r="AJ91" s="1004">
        <f t="shared" si="12"/>
        <v>131.09045018217856</v>
      </c>
      <c r="AK91" s="1004">
        <f t="shared" si="12"/>
        <v>109.96000287850747</v>
      </c>
      <c r="AL91" s="1004">
        <f t="shared" si="12"/>
        <v>103.84925340793201</v>
      </c>
      <c r="AP91" s="976"/>
      <c r="AQ91" s="1005">
        <v>36.630000000000003</v>
      </c>
      <c r="AR91" s="1007"/>
    </row>
    <row r="92" spans="1:44" x14ac:dyDescent="0.35">
      <c r="A92" s="1000">
        <v>1982</v>
      </c>
      <c r="C92" s="1001">
        <v>70.766190659976829</v>
      </c>
      <c r="D92" s="1001">
        <v>27.047122194883976</v>
      </c>
      <c r="E92" s="1002">
        <v>52.440772762365285</v>
      </c>
      <c r="F92" s="1002">
        <v>45.672631978607114</v>
      </c>
      <c r="G92" s="1002">
        <v>43.071860660408746</v>
      </c>
      <c r="I92" s="1003"/>
      <c r="J92" s="1003"/>
      <c r="M92" s="1004">
        <f t="shared" si="11"/>
        <v>178.88319175929431</v>
      </c>
      <c r="N92" s="1004">
        <f t="shared" si="11"/>
        <v>68.369874102335629</v>
      </c>
      <c r="O92" s="1004">
        <f t="shared" si="11"/>
        <v>132.56009292812254</v>
      </c>
      <c r="P92" s="1004">
        <f t="shared" si="11"/>
        <v>115.45154696311201</v>
      </c>
      <c r="Q92" s="1004">
        <f t="shared" si="11"/>
        <v>108.8773019727218</v>
      </c>
      <c r="U92" s="976"/>
      <c r="V92" s="1005">
        <v>39.56</v>
      </c>
      <c r="W92" s="1006"/>
      <c r="X92" s="1002">
        <v>66.312911392405056</v>
      </c>
      <c r="Y92" s="1002">
        <v>27.047122194883976</v>
      </c>
      <c r="Z92" s="1002">
        <v>51.04023212965496</v>
      </c>
      <c r="AA92" s="1002">
        <v>44.123816355971108</v>
      </c>
      <c r="AB92" s="1002">
        <v>41.841727654239875</v>
      </c>
      <c r="AD92" s="1003"/>
      <c r="AE92" s="1003"/>
      <c r="AH92" s="1004">
        <f t="shared" si="12"/>
        <v>167.62616631042732</v>
      </c>
      <c r="AI92" s="1004">
        <f t="shared" si="12"/>
        <v>68.369874102335629</v>
      </c>
      <c r="AJ92" s="1004">
        <f t="shared" si="12"/>
        <v>129.01979810327339</v>
      </c>
      <c r="AK92" s="1004">
        <f t="shared" si="12"/>
        <v>111.53644174916863</v>
      </c>
      <c r="AL92" s="1004">
        <f t="shared" si="12"/>
        <v>105.7677645456013</v>
      </c>
      <c r="AP92" s="976"/>
      <c r="AQ92" s="1005">
        <v>39.56</v>
      </c>
      <c r="AR92" s="1007"/>
    </row>
    <row r="93" spans="1:44" x14ac:dyDescent="0.35">
      <c r="A93" s="1000">
        <v>1983</v>
      </c>
      <c r="C93" s="1001">
        <v>73.225414897722871</v>
      </c>
      <c r="D93" s="1001">
        <v>29.783658359139693</v>
      </c>
      <c r="E93" s="1002">
        <v>53.341412598363434</v>
      </c>
      <c r="F93" s="1002">
        <v>45.851410413706432</v>
      </c>
      <c r="G93" s="1002">
        <v>44.619693094170287</v>
      </c>
      <c r="I93" s="1003"/>
      <c r="J93" s="1003"/>
      <c r="M93" s="1004">
        <f t="shared" si="11"/>
        <v>175.39021532388711</v>
      </c>
      <c r="N93" s="1004">
        <f t="shared" si="11"/>
        <v>71.338103854226816</v>
      </c>
      <c r="O93" s="1004">
        <f t="shared" si="11"/>
        <v>127.76386251105014</v>
      </c>
      <c r="P93" s="1004">
        <f t="shared" si="11"/>
        <v>109.82373751785973</v>
      </c>
      <c r="Q93" s="1004">
        <f t="shared" si="11"/>
        <v>106.87351639322225</v>
      </c>
      <c r="U93" s="976"/>
      <c r="V93" s="1005">
        <v>41.75</v>
      </c>
      <c r="W93" s="1006"/>
      <c r="X93" s="1002">
        <v>68.61737793851718</v>
      </c>
      <c r="Y93" s="1002">
        <v>29.783658359139693</v>
      </c>
      <c r="Z93" s="1002">
        <v>51.916818493148639</v>
      </c>
      <c r="AA93" s="1002">
        <v>44.296532192501502</v>
      </c>
      <c r="AB93" s="1002">
        <v>43.346782443182853</v>
      </c>
      <c r="AD93" s="1003"/>
      <c r="AE93" s="1003"/>
      <c r="AH93" s="1004">
        <f t="shared" si="12"/>
        <v>164.35300105034057</v>
      </c>
      <c r="AI93" s="1004">
        <f t="shared" si="12"/>
        <v>71.338103854226816</v>
      </c>
      <c r="AJ93" s="1004">
        <f t="shared" si="12"/>
        <v>124.35166106143387</v>
      </c>
      <c r="AK93" s="1004">
        <f t="shared" si="12"/>
        <v>106.09947830539281</v>
      </c>
      <c r="AL93" s="1004">
        <f t="shared" si="12"/>
        <v>103.824628606426</v>
      </c>
      <c r="AP93" s="976"/>
      <c r="AQ93" s="1005">
        <v>41.75</v>
      </c>
      <c r="AR93" s="1007"/>
    </row>
    <row r="94" spans="1:44" x14ac:dyDescent="0.35">
      <c r="A94" s="1000">
        <v>1984</v>
      </c>
      <c r="C94" s="1001">
        <v>73.305943651099952</v>
      </c>
      <c r="D94" s="1001">
        <v>35.415042697153524</v>
      </c>
      <c r="E94" s="1002">
        <v>55.115537300430177</v>
      </c>
      <c r="F94" s="1002">
        <v>45.772537574692038</v>
      </c>
      <c r="G94" s="1002">
        <v>46.576077717060286</v>
      </c>
      <c r="I94" s="1003"/>
      <c r="J94" s="1003"/>
      <c r="M94" s="1004">
        <f t="shared" si="11"/>
        <v>166.8698922173912</v>
      </c>
      <c r="N94" s="1004">
        <f t="shared" si="11"/>
        <v>80.61698770123725</v>
      </c>
      <c r="O94" s="1004">
        <f t="shared" si="11"/>
        <v>125.46218370232228</v>
      </c>
      <c r="P94" s="1004">
        <f t="shared" si="11"/>
        <v>104.19425808033699</v>
      </c>
      <c r="Q94" s="1004">
        <f t="shared" si="11"/>
        <v>106.0233956682456</v>
      </c>
      <c r="U94" s="976"/>
      <c r="V94" s="1005">
        <v>43.93</v>
      </c>
      <c r="W94" s="1006"/>
      <c r="X94" s="1002">
        <v>68.692839059674512</v>
      </c>
      <c r="Y94" s="1002">
        <v>35.415042697153524</v>
      </c>
      <c r="Z94" s="1002">
        <v>53.643561480533187</v>
      </c>
      <c r="AA94" s="1002">
        <v>44.220334029326317</v>
      </c>
      <c r="AB94" s="1002">
        <v>45.319739198968861</v>
      </c>
      <c r="AD94" s="1003"/>
      <c r="AE94" s="1003"/>
      <c r="AH94" s="1004">
        <f t="shared" si="12"/>
        <v>156.36885740877423</v>
      </c>
      <c r="AI94" s="1004">
        <f t="shared" si="12"/>
        <v>80.61698770123725</v>
      </c>
      <c r="AJ94" s="1004">
        <f t="shared" si="12"/>
        <v>122.11145340435509</v>
      </c>
      <c r="AK94" s="1004">
        <f t="shared" si="12"/>
        <v>100.66090150085662</v>
      </c>
      <c r="AL94" s="1004">
        <f t="shared" si="12"/>
        <v>103.16353106981303</v>
      </c>
      <c r="AP94" s="976"/>
      <c r="AQ94" s="1005">
        <v>43.93</v>
      </c>
      <c r="AR94" s="1007"/>
    </row>
    <row r="95" spans="1:44" x14ac:dyDescent="0.35">
      <c r="A95" s="1000">
        <v>1985</v>
      </c>
      <c r="C95" s="1001">
        <v>76.186395214202989</v>
      </c>
      <c r="D95" s="1001">
        <v>35.914210155686582</v>
      </c>
      <c r="E95" s="1002">
        <v>58.840294009105989</v>
      </c>
      <c r="F95" s="1002">
        <v>47.565580114952802</v>
      </c>
      <c r="G95" s="1002">
        <v>49.307908495104584</v>
      </c>
      <c r="I95" s="1003"/>
      <c r="J95" s="1003"/>
      <c r="M95" s="1004">
        <f t="shared" si="11"/>
        <v>164.54944970670192</v>
      </c>
      <c r="N95" s="1004">
        <f t="shared" si="11"/>
        <v>77.568488457206442</v>
      </c>
      <c r="O95" s="1004">
        <f t="shared" si="11"/>
        <v>127.08486827020734</v>
      </c>
      <c r="P95" s="1004">
        <f t="shared" si="11"/>
        <v>102.73343437354816</v>
      </c>
      <c r="Q95" s="1004">
        <f t="shared" si="11"/>
        <v>106.49656262441596</v>
      </c>
      <c r="U95" s="976"/>
      <c r="V95" s="1005">
        <v>46.3</v>
      </c>
      <c r="W95" s="1006"/>
      <c r="X95" s="1002">
        <v>71.392025316455687</v>
      </c>
      <c r="Y95" s="1002">
        <v>35.914210155686582</v>
      </c>
      <c r="Z95" s="1002">
        <v>57.268840762720629</v>
      </c>
      <c r="AA95" s="1002">
        <v>45.952572272175296</v>
      </c>
      <c r="AB95" s="1002">
        <v>47.921909696284438</v>
      </c>
      <c r="AD95" s="1003"/>
      <c r="AE95" s="1003"/>
      <c r="AH95" s="1004">
        <f t="shared" si="12"/>
        <v>154.19443912841402</v>
      </c>
      <c r="AI95" s="1004">
        <f t="shared" si="12"/>
        <v>77.568488457206442</v>
      </c>
      <c r="AJ95" s="1004">
        <f t="shared" si="12"/>
        <v>123.69080078341389</v>
      </c>
      <c r="AK95" s="1004">
        <f t="shared" si="12"/>
        <v>99.24961613860755</v>
      </c>
      <c r="AL95" s="1004">
        <f t="shared" si="12"/>
        <v>103.50304470039836</v>
      </c>
      <c r="AP95" s="976"/>
      <c r="AQ95" s="1005">
        <v>46.3</v>
      </c>
      <c r="AR95" s="1007"/>
    </row>
    <row r="96" spans="1:44" x14ac:dyDescent="0.35">
      <c r="A96" s="1000">
        <v>1986</v>
      </c>
      <c r="C96" s="1001">
        <v>72.382960247008853</v>
      </c>
      <c r="D96" s="1001">
        <v>17.275394179781951</v>
      </c>
      <c r="E96" s="1002">
        <v>51.322893166930385</v>
      </c>
      <c r="F96" s="1002">
        <v>48.044075338306847</v>
      </c>
      <c r="G96" s="1002">
        <v>44.95531101214852</v>
      </c>
      <c r="I96" s="1003"/>
      <c r="J96" s="1003"/>
      <c r="M96" s="1004">
        <f t="shared" si="11"/>
        <v>149.64432550549691</v>
      </c>
      <c r="N96" s="1004">
        <f t="shared" si="11"/>
        <v>35.715100640442323</v>
      </c>
      <c r="O96" s="1004">
        <f t="shared" si="11"/>
        <v>106.10480290868388</v>
      </c>
      <c r="P96" s="1004">
        <f t="shared" si="11"/>
        <v>99.326184284281268</v>
      </c>
      <c r="Q96" s="1004">
        <f t="shared" si="11"/>
        <v>92.940481728651079</v>
      </c>
      <c r="U96" s="976"/>
      <c r="V96" s="1005">
        <v>48.37</v>
      </c>
      <c r="W96" s="1006"/>
      <c r="X96" s="1002">
        <v>67.827938517179021</v>
      </c>
      <c r="Y96" s="1002">
        <v>17.275394179781951</v>
      </c>
      <c r="Z96" s="1002">
        <v>49.952207849338677</v>
      </c>
      <c r="AA96" s="1002">
        <v>46.414841128771357</v>
      </c>
      <c r="AB96" s="1002">
        <v>43.462412691271467</v>
      </c>
      <c r="AD96" s="1003"/>
      <c r="AE96" s="1003"/>
      <c r="AH96" s="1004">
        <f t="shared" si="12"/>
        <v>140.22728657676043</v>
      </c>
      <c r="AI96" s="1004">
        <f t="shared" si="12"/>
        <v>35.715100640442323</v>
      </c>
      <c r="AJ96" s="1004">
        <f t="shared" si="12"/>
        <v>103.27105199367102</v>
      </c>
      <c r="AK96" s="1004">
        <f t="shared" si="12"/>
        <v>95.957910127705929</v>
      </c>
      <c r="AL96" s="1004">
        <f t="shared" si="12"/>
        <v>89.85406799932079</v>
      </c>
      <c r="AP96" s="976"/>
      <c r="AQ96" s="1005">
        <v>48.37</v>
      </c>
      <c r="AR96" s="1007"/>
    </row>
    <row r="97" spans="1:44" x14ac:dyDescent="0.35">
      <c r="A97" s="1000">
        <v>1987</v>
      </c>
      <c r="C97" s="1001">
        <v>69.42817445001927</v>
      </c>
      <c r="D97" s="1001">
        <v>18.485350252407414</v>
      </c>
      <c r="E97" s="1002">
        <v>48.349423959639971</v>
      </c>
      <c r="F97" s="1002">
        <v>46.655913371653355</v>
      </c>
      <c r="G97" s="1002">
        <v>44.175279061865929</v>
      </c>
      <c r="I97" s="1003"/>
      <c r="J97" s="1003"/>
      <c r="M97" s="1004">
        <f t="shared" si="11"/>
        <v>136.1870820910539</v>
      </c>
      <c r="N97" s="1004">
        <f t="shared" si="11"/>
        <v>36.260004418217768</v>
      </c>
      <c r="O97" s="1004">
        <f t="shared" si="11"/>
        <v>94.839984228403239</v>
      </c>
      <c r="P97" s="1004">
        <f t="shared" si="11"/>
        <v>91.518072521877897</v>
      </c>
      <c r="Q97" s="1004">
        <f t="shared" si="11"/>
        <v>86.652175484240743</v>
      </c>
      <c r="U97" s="976"/>
      <c r="V97" s="1005">
        <v>50.98</v>
      </c>
      <c r="W97" s="1006"/>
      <c r="X97" s="1002">
        <v>65.059095840867982</v>
      </c>
      <c r="Y97" s="1002">
        <v>18.485350252407414</v>
      </c>
      <c r="Z97" s="1002">
        <v>47.058151362829364</v>
      </c>
      <c r="AA97" s="1002">
        <v>45.073753456888291</v>
      </c>
      <c r="AB97" s="1002">
        <v>42.738098689254869</v>
      </c>
      <c r="AD97" s="1003"/>
      <c r="AE97" s="1003"/>
      <c r="AH97" s="1004">
        <f t="shared" si="12"/>
        <v>127.61690043324438</v>
      </c>
      <c r="AI97" s="1004">
        <f t="shared" si="12"/>
        <v>36.260004418217768</v>
      </c>
      <c r="AJ97" s="1004">
        <f t="shared" si="12"/>
        <v>92.307083881579771</v>
      </c>
      <c r="AK97" s="1004">
        <f t="shared" si="12"/>
        <v>88.414581123751063</v>
      </c>
      <c r="AL97" s="1004">
        <f t="shared" si="12"/>
        <v>83.833069221763182</v>
      </c>
      <c r="AP97" s="976"/>
      <c r="AQ97" s="1005">
        <v>50.98</v>
      </c>
      <c r="AR97" s="1007"/>
    </row>
    <row r="98" spans="1:44" x14ac:dyDescent="0.35">
      <c r="A98" s="1000">
        <v>1988</v>
      </c>
      <c r="C98" s="1001">
        <v>61.672636047857964</v>
      </c>
      <c r="D98" s="1001">
        <v>13.643910533237177</v>
      </c>
      <c r="E98" s="1002">
        <v>46.023148202338184</v>
      </c>
      <c r="F98" s="1002">
        <v>49.179844220114248</v>
      </c>
      <c r="G98" s="1002">
        <v>44.547670593087098</v>
      </c>
      <c r="I98" s="1003"/>
      <c r="J98" s="1003"/>
      <c r="M98" s="1004">
        <f t="shared" si="11"/>
        <v>114.20858527381104</v>
      </c>
      <c r="N98" s="1004">
        <f t="shared" si="11"/>
        <v>25.266500987476253</v>
      </c>
      <c r="O98" s="1004">
        <f t="shared" si="11"/>
        <v>85.228052226552208</v>
      </c>
      <c r="P98" s="1004">
        <f t="shared" si="11"/>
        <v>91.073785592804157</v>
      </c>
      <c r="Q98" s="1004">
        <f t="shared" si="11"/>
        <v>82.495686283494621</v>
      </c>
      <c r="U98" s="976"/>
      <c r="V98" s="1005">
        <v>54</v>
      </c>
      <c r="W98" s="1006"/>
      <c r="X98" s="1002">
        <v>57.791609403254974</v>
      </c>
      <c r="Y98" s="1002">
        <v>13.643910533237177</v>
      </c>
      <c r="Z98" s="1002">
        <v>44.794003670187379</v>
      </c>
      <c r="AA98" s="1002">
        <v>47.512094678493867</v>
      </c>
      <c r="AB98" s="1002">
        <v>43.064089454119596</v>
      </c>
      <c r="AD98" s="1003"/>
      <c r="AE98" s="1008"/>
      <c r="AH98" s="1004">
        <f t="shared" si="12"/>
        <v>107.0214988949166</v>
      </c>
      <c r="AI98" s="1004">
        <f t="shared" si="12"/>
        <v>25.266500987476253</v>
      </c>
      <c r="AJ98" s="1004">
        <f t="shared" si="12"/>
        <v>82.951858648495147</v>
      </c>
      <c r="AK98" s="1004">
        <f t="shared" si="12"/>
        <v>87.985360515729383</v>
      </c>
      <c r="AL98" s="1004">
        <f t="shared" si="12"/>
        <v>79.748313803925171</v>
      </c>
      <c r="AP98" s="976"/>
      <c r="AQ98" s="1005">
        <v>54</v>
      </c>
      <c r="AR98" s="1007"/>
    </row>
    <row r="99" spans="1:44" x14ac:dyDescent="0.35">
      <c r="A99" s="1000">
        <v>1989</v>
      </c>
      <c r="C99" s="1001">
        <v>60.247896565032796</v>
      </c>
      <c r="D99" s="1001">
        <v>14.85386660586264</v>
      </c>
      <c r="E99" s="1002">
        <v>44.475314916351394</v>
      </c>
      <c r="F99" s="1002">
        <v>52.692314650889003</v>
      </c>
      <c r="G99" s="1002">
        <v>46.484012879996044</v>
      </c>
      <c r="I99" s="1003"/>
      <c r="J99" s="1003"/>
      <c r="M99" s="1004">
        <f t="shared" si="11"/>
        <v>103.48316139648368</v>
      </c>
      <c r="N99" s="1004">
        <f t="shared" si="11"/>
        <v>25.513340099386191</v>
      </c>
      <c r="O99" s="1004">
        <f t="shared" si="11"/>
        <v>76.391815383633443</v>
      </c>
      <c r="P99" s="1004">
        <f t="shared" si="11"/>
        <v>90.505521557693243</v>
      </c>
      <c r="Q99" s="1004">
        <f t="shared" si="11"/>
        <v>79.842000824452157</v>
      </c>
      <c r="U99" s="976"/>
      <c r="V99" s="1005">
        <v>58.22</v>
      </c>
      <c r="W99" s="1006"/>
      <c r="X99" s="1002">
        <v>56.456528028933093</v>
      </c>
      <c r="Y99" s="1002">
        <v>14.85386660586264</v>
      </c>
      <c r="Z99" s="1002">
        <v>43.287508512826371</v>
      </c>
      <c r="AA99" s="1002">
        <v>50.90545287856164</v>
      </c>
      <c r="AB99" s="1002">
        <v>44.94490984181396</v>
      </c>
      <c r="AD99" s="1003"/>
      <c r="AE99" s="1003"/>
      <c r="AH99" s="1004">
        <f t="shared" si="12"/>
        <v>96.971020317645298</v>
      </c>
      <c r="AI99" s="1004">
        <f t="shared" si="12"/>
        <v>25.513340099386191</v>
      </c>
      <c r="AJ99" s="1004">
        <f t="shared" si="12"/>
        <v>74.351612011038085</v>
      </c>
      <c r="AK99" s="1004">
        <f t="shared" si="12"/>
        <v>87.436367019171485</v>
      </c>
      <c r="AL99" s="1004">
        <f t="shared" si="12"/>
        <v>77.198402339082719</v>
      </c>
      <c r="AP99" s="976"/>
      <c r="AQ99" s="1005">
        <v>58.22</v>
      </c>
      <c r="AR99" s="1007"/>
    </row>
    <row r="100" spans="1:44" x14ac:dyDescent="0.35">
      <c r="A100" s="1000">
        <v>1990</v>
      </c>
      <c r="C100" s="1001">
        <v>61.945194905441916</v>
      </c>
      <c r="D100" s="1001">
        <v>16.154286683918041</v>
      </c>
      <c r="E100" s="1002">
        <v>45.258283215987994</v>
      </c>
      <c r="F100" s="1002">
        <v>52.581892676268851</v>
      </c>
      <c r="G100" s="1002">
        <v>46.523028288658317</v>
      </c>
      <c r="I100" s="1003"/>
      <c r="J100" s="1003"/>
      <c r="M100" s="1004">
        <f t="shared" si="11"/>
        <v>98.450722990212824</v>
      </c>
      <c r="N100" s="1004">
        <f t="shared" si="11"/>
        <v>25.674327215381503</v>
      </c>
      <c r="O100" s="1004">
        <f t="shared" si="11"/>
        <v>71.92988432293069</v>
      </c>
      <c r="P100" s="1004">
        <f t="shared" si="11"/>
        <v>83.569441634248022</v>
      </c>
      <c r="Q100" s="1004">
        <f t="shared" si="11"/>
        <v>73.939968672374945</v>
      </c>
      <c r="U100" s="976"/>
      <c r="V100" s="1005">
        <v>62.92</v>
      </c>
      <c r="W100" s="1006"/>
      <c r="X100" s="1002">
        <v>58.047016274864369</v>
      </c>
      <c r="Y100" s="1002">
        <v>16.154286683918041</v>
      </c>
      <c r="Z100" s="1002">
        <v>44.049566004707827</v>
      </c>
      <c r="AA100" s="1002">
        <v>50.798775450116409</v>
      </c>
      <c r="AB100" s="1002">
        <v>44.999071478757543</v>
      </c>
      <c r="AD100" s="1003"/>
      <c r="AE100" s="1003"/>
      <c r="AH100" s="1004">
        <f t="shared" si="12"/>
        <v>92.255270621208467</v>
      </c>
      <c r="AI100" s="1004">
        <f t="shared" si="12"/>
        <v>25.674327215381503</v>
      </c>
      <c r="AJ100" s="1004">
        <f t="shared" si="12"/>
        <v>70.008846161328407</v>
      </c>
      <c r="AK100" s="1004">
        <f t="shared" si="12"/>
        <v>80.735498172467274</v>
      </c>
      <c r="AL100" s="1004">
        <f t="shared" si="12"/>
        <v>71.517913984039325</v>
      </c>
      <c r="AP100" s="976"/>
      <c r="AQ100" s="1005">
        <v>62.92</v>
      </c>
      <c r="AR100" s="1007"/>
    </row>
    <row r="101" spans="1:44" x14ac:dyDescent="0.35">
      <c r="A101" s="1000">
        <v>1991</v>
      </c>
      <c r="C101" s="1001">
        <v>61.01891161713624</v>
      </c>
      <c r="D101" s="1001">
        <v>14.190387307512834</v>
      </c>
      <c r="E101" s="1002">
        <v>45.692762734861482</v>
      </c>
      <c r="F101" s="1002">
        <v>54.324938842333005</v>
      </c>
      <c r="G101" s="1002">
        <v>47.5021975897861</v>
      </c>
      <c r="I101" s="1003"/>
      <c r="J101" s="1003"/>
      <c r="M101" s="1004">
        <f t="shared" si="11"/>
        <v>90.950829657379984</v>
      </c>
      <c r="N101" s="1004">
        <f t="shared" si="11"/>
        <v>21.151270394265662</v>
      </c>
      <c r="O101" s="1004">
        <f t="shared" si="11"/>
        <v>68.106666768313431</v>
      </c>
      <c r="P101" s="1004">
        <f t="shared" si="11"/>
        <v>80.97322826402295</v>
      </c>
      <c r="Q101" s="1004">
        <f t="shared" si="11"/>
        <v>70.803692934544785</v>
      </c>
      <c r="U101" s="976"/>
      <c r="V101" s="1005">
        <v>67.09</v>
      </c>
      <c r="W101" s="1006"/>
      <c r="X101" s="1002">
        <v>57.179023508137426</v>
      </c>
      <c r="Y101" s="1002">
        <v>14.190387307512834</v>
      </c>
      <c r="Z101" s="1002">
        <v>44.472441838353014</v>
      </c>
      <c r="AA101" s="1002">
        <v>52.482712757855069</v>
      </c>
      <c r="AB101" s="1002">
        <v>45.933471549358202</v>
      </c>
      <c r="AD101" s="1003"/>
      <c r="AE101" s="1003"/>
      <c r="AH101" s="1004">
        <f t="shared" si="12"/>
        <v>85.227341642774519</v>
      </c>
      <c r="AI101" s="1004">
        <f t="shared" si="12"/>
        <v>21.151270394265662</v>
      </c>
      <c r="AJ101" s="1004">
        <f t="shared" si="12"/>
        <v>66.287735636239404</v>
      </c>
      <c r="AK101" s="1004">
        <f t="shared" si="12"/>
        <v>78.227325619101308</v>
      </c>
      <c r="AL101" s="1004">
        <f t="shared" si="12"/>
        <v>68.465451705706059</v>
      </c>
      <c r="AP101" s="976"/>
      <c r="AQ101" s="1005">
        <v>67.09</v>
      </c>
      <c r="AR101" s="1007"/>
    </row>
    <row r="102" spans="1:44" x14ac:dyDescent="0.35">
      <c r="A102" s="1000">
        <v>1992</v>
      </c>
      <c r="C102" s="1001">
        <v>61.790814357390964</v>
      </c>
      <c r="D102" s="1001">
        <v>13.647181097017775</v>
      </c>
      <c r="E102" s="1002">
        <v>45.937545392369664</v>
      </c>
      <c r="F102" s="1002">
        <v>57.335654947352907</v>
      </c>
      <c r="G102" s="1002">
        <v>50.205428720261231</v>
      </c>
      <c r="I102" s="1003"/>
      <c r="J102" s="1003"/>
      <c r="M102" s="1004">
        <f t="shared" si="11"/>
        <v>89.280182571002698</v>
      </c>
      <c r="N102" s="1004">
        <f t="shared" si="11"/>
        <v>19.718510471055883</v>
      </c>
      <c r="O102" s="1004">
        <f t="shared" si="11"/>
        <v>66.374144476765892</v>
      </c>
      <c r="P102" s="1004">
        <f t="shared" si="11"/>
        <v>82.843021163636621</v>
      </c>
      <c r="Q102" s="1004">
        <f t="shared" si="11"/>
        <v>72.540714810376016</v>
      </c>
      <c r="U102" s="976"/>
      <c r="V102" s="1005">
        <v>69.209999999999994</v>
      </c>
      <c r="W102" s="1006"/>
      <c r="X102" s="1002">
        <v>57.902350813743219</v>
      </c>
      <c r="Y102" s="1002">
        <v>13.647181097017775</v>
      </c>
      <c r="Z102" s="1002">
        <v>44.636850126110325</v>
      </c>
      <c r="AA102" s="1002">
        <v>55.39133174394911</v>
      </c>
      <c r="AB102" s="1002">
        <v>48.514003828012363</v>
      </c>
      <c r="AD102" s="1003"/>
      <c r="AE102" s="1003"/>
      <c r="AH102" s="1004">
        <f t="shared" si="12"/>
        <v>83.661827501435084</v>
      </c>
      <c r="AI102" s="1004">
        <f t="shared" si="12"/>
        <v>19.718510471055883</v>
      </c>
      <c r="AJ102" s="1004">
        <f t="shared" si="12"/>
        <v>64.494798621745886</v>
      </c>
      <c r="AK102" s="1004">
        <f t="shared" si="12"/>
        <v>80.033711521382912</v>
      </c>
      <c r="AL102" s="1004">
        <f t="shared" si="12"/>
        <v>70.096812350834227</v>
      </c>
      <c r="AP102" s="976"/>
      <c r="AQ102" s="1005">
        <v>69.209999999999994</v>
      </c>
      <c r="AR102" s="1007"/>
    </row>
    <row r="103" spans="1:44" x14ac:dyDescent="0.35">
      <c r="A103" s="1000">
        <v>1993</v>
      </c>
      <c r="C103" s="1001">
        <v>58.008490930142798</v>
      </c>
      <c r="D103" s="1001">
        <v>14.546939294956093</v>
      </c>
      <c r="E103" s="1002">
        <v>44.224066789812362</v>
      </c>
      <c r="F103" s="1002">
        <v>60.069068253226263</v>
      </c>
      <c r="G103" s="1002">
        <v>50.842155315122874</v>
      </c>
      <c r="I103" s="1003"/>
      <c r="J103" s="1003"/>
      <c r="M103" s="1004">
        <f t="shared" si="11"/>
        <v>81.59866497417751</v>
      </c>
      <c r="N103" s="1004">
        <f t="shared" si="11"/>
        <v>20.462708250043736</v>
      </c>
      <c r="O103" s="1004">
        <f t="shared" si="11"/>
        <v>62.208562090044111</v>
      </c>
      <c r="P103" s="1004">
        <f t="shared" si="11"/>
        <v>84.497212341013167</v>
      </c>
      <c r="Q103" s="1004">
        <f t="shared" si="11"/>
        <v>71.518012821948048</v>
      </c>
      <c r="U103" s="976"/>
      <c r="V103" s="1005">
        <v>71.09</v>
      </c>
      <c r="W103" s="1006"/>
      <c r="X103" s="1002">
        <v>54.35804701627486</v>
      </c>
      <c r="Y103" s="1002">
        <v>14.546939294956093</v>
      </c>
      <c r="Z103" s="1002">
        <v>42.992767248537199</v>
      </c>
      <c r="AA103" s="1002">
        <v>58.032051612902947</v>
      </c>
      <c r="AB103" s="1002">
        <v>49.146718479966751</v>
      </c>
      <c r="AD103" s="1003"/>
      <c r="AE103" s="1003"/>
      <c r="AH103" s="1004">
        <f t="shared" si="12"/>
        <v>76.463703778695816</v>
      </c>
      <c r="AI103" s="1004">
        <f t="shared" si="12"/>
        <v>20.462708250043736</v>
      </c>
      <c r="AJ103" s="1004">
        <f t="shared" si="12"/>
        <v>60.47653291396427</v>
      </c>
      <c r="AK103" s="1004">
        <f t="shared" si="12"/>
        <v>81.631807023354824</v>
      </c>
      <c r="AL103" s="1004">
        <f t="shared" si="12"/>
        <v>69.133096750551061</v>
      </c>
      <c r="AP103" s="976"/>
      <c r="AQ103" s="1005">
        <v>71.09</v>
      </c>
      <c r="AR103" s="1007"/>
    </row>
    <row r="104" spans="1:44" x14ac:dyDescent="0.35">
      <c r="A104" s="1000">
        <v>1994</v>
      </c>
      <c r="C104" s="1001">
        <v>57.313778463913543</v>
      </c>
      <c r="D104" s="1001">
        <v>15.740253680057695</v>
      </c>
      <c r="E104" s="1002">
        <v>43.326530378949016</v>
      </c>
      <c r="F104" s="1002">
        <v>57.890260545646065</v>
      </c>
      <c r="G104" s="1002">
        <v>49.336131617451777</v>
      </c>
      <c r="I104" s="1003"/>
      <c r="J104" s="1003"/>
      <c r="M104" s="1004">
        <f t="shared" si="11"/>
        <v>79.547228957548285</v>
      </c>
      <c r="N104" s="1004">
        <f t="shared" si="11"/>
        <v>21.846292408130044</v>
      </c>
      <c r="O104" s="1004">
        <f t="shared" si="11"/>
        <v>60.133976931226954</v>
      </c>
      <c r="P104" s="1004">
        <f t="shared" si="11"/>
        <v>80.347342880841168</v>
      </c>
      <c r="Q104" s="1004">
        <f t="shared" si="11"/>
        <v>68.474853042958742</v>
      </c>
      <c r="U104" s="976"/>
      <c r="V104" s="1005">
        <v>72.05</v>
      </c>
      <c r="W104" s="1006"/>
      <c r="X104" s="1002">
        <v>53.707052441229649</v>
      </c>
      <c r="Y104" s="1002">
        <v>15.740253680057695</v>
      </c>
      <c r="Z104" s="1002">
        <v>42.088521665871987</v>
      </c>
      <c r="AA104" s="1002">
        <v>55.927129978229608</v>
      </c>
      <c r="AB104" s="1002">
        <v>47.704119423497957</v>
      </c>
      <c r="AD104" s="1003"/>
      <c r="AE104" s="1003"/>
      <c r="AH104" s="1004">
        <f t="shared" si="12"/>
        <v>74.541363554794799</v>
      </c>
      <c r="AI104" s="1004">
        <f t="shared" si="12"/>
        <v>21.846292408130044</v>
      </c>
      <c r="AJ104" s="1004">
        <f t="shared" si="12"/>
        <v>58.415713623694636</v>
      </c>
      <c r="AK104" s="1004">
        <f t="shared" si="12"/>
        <v>77.622664785884254</v>
      </c>
      <c r="AL104" s="1004">
        <f t="shared" si="12"/>
        <v>66.209742433723747</v>
      </c>
      <c r="AP104" s="976"/>
      <c r="AQ104" s="1005">
        <v>72.05</v>
      </c>
      <c r="AR104" s="1007"/>
    </row>
    <row r="105" spans="1:44" x14ac:dyDescent="0.35">
      <c r="A105" s="1000">
        <v>1995</v>
      </c>
      <c r="C105" s="1001">
        <v>53.763025858741798</v>
      </c>
      <c r="D105" s="1001">
        <v>18.380350400882367</v>
      </c>
      <c r="E105" s="1002">
        <v>40.470732708020165</v>
      </c>
      <c r="F105" s="1002">
        <v>57.348859842550368</v>
      </c>
      <c r="G105" s="1002">
        <v>48.777337501088766</v>
      </c>
      <c r="I105" s="1003"/>
      <c r="J105" s="1003"/>
      <c r="M105" s="1004">
        <f t="shared" si="11"/>
        <v>72.849628534880495</v>
      </c>
      <c r="N105" s="1004">
        <f t="shared" si="11"/>
        <v>24.9056238494341</v>
      </c>
      <c r="O105" s="1004">
        <f t="shared" si="11"/>
        <v>54.838391203279357</v>
      </c>
      <c r="P105" s="1004">
        <f t="shared" si="11"/>
        <v>77.708482171477456</v>
      </c>
      <c r="Q105" s="1004">
        <f t="shared" si="11"/>
        <v>66.09395325350782</v>
      </c>
      <c r="U105" s="976"/>
      <c r="V105" s="1005">
        <v>73.8</v>
      </c>
      <c r="W105" s="1006"/>
      <c r="X105" s="1002">
        <v>50.379746835443044</v>
      </c>
      <c r="Y105" s="1002">
        <v>18.380350400882367</v>
      </c>
      <c r="Z105" s="1002">
        <v>39.375784917876331</v>
      </c>
      <c r="AA105" s="1002">
        <v>55.404088844765319</v>
      </c>
      <c r="AB105" s="1002">
        <v>47.201861908553113</v>
      </c>
      <c r="AD105" s="1003"/>
      <c r="AE105" s="1003"/>
      <c r="AH105" s="1004">
        <f t="shared" si="12"/>
        <v>68.265239614421475</v>
      </c>
      <c r="AI105" s="1004">
        <f t="shared" si="12"/>
        <v>24.9056238494341</v>
      </c>
      <c r="AJ105" s="1004">
        <f t="shared" si="12"/>
        <v>53.354722110943541</v>
      </c>
      <c r="AK105" s="1004">
        <f t="shared" si="12"/>
        <v>75.073291117568189</v>
      </c>
      <c r="AL105" s="1004">
        <f t="shared" si="12"/>
        <v>63.959162477714244</v>
      </c>
      <c r="AP105" s="976"/>
      <c r="AQ105" s="1005">
        <v>73.8</v>
      </c>
      <c r="AR105" s="1007"/>
    </row>
    <row r="106" spans="1:44" x14ac:dyDescent="0.35">
      <c r="A106" s="1000">
        <v>1996</v>
      </c>
      <c r="C106" s="1001">
        <v>51.138556541875715</v>
      </c>
      <c r="D106" s="1001">
        <v>20.298434649811227</v>
      </c>
      <c r="E106" s="1002">
        <v>30.922489999772861</v>
      </c>
      <c r="F106" s="1002">
        <v>55.368125562932001</v>
      </c>
      <c r="G106" s="1002">
        <v>46.646921070651395</v>
      </c>
      <c r="I106" s="1003"/>
      <c r="J106" s="1003"/>
      <c r="M106" s="1004">
        <f t="shared" si="11"/>
        <v>66.551999664075623</v>
      </c>
      <c r="N106" s="1004">
        <f t="shared" si="11"/>
        <v>26.416494859202533</v>
      </c>
      <c r="O106" s="1004">
        <f t="shared" si="11"/>
        <v>40.242699114748646</v>
      </c>
      <c r="P106" s="1004">
        <f t="shared" si="11"/>
        <v>72.056384126668405</v>
      </c>
      <c r="Q106" s="1004">
        <f t="shared" si="11"/>
        <v>60.706560477162149</v>
      </c>
      <c r="U106" s="976"/>
      <c r="V106" s="1005">
        <v>76.84</v>
      </c>
      <c r="W106" s="1006"/>
      <c r="X106" s="1002">
        <v>47.920433996383359</v>
      </c>
      <c r="Y106" s="1002">
        <v>20.298434649811227</v>
      </c>
      <c r="Z106" s="1002">
        <v>30.061553049313744</v>
      </c>
      <c r="AA106" s="1002">
        <v>53.490523722335013</v>
      </c>
      <c r="AB106" s="1002">
        <v>45.151991063451078</v>
      </c>
      <c r="AD106" s="1003"/>
      <c r="AE106" s="1003"/>
      <c r="AH106" s="1004">
        <f t="shared" si="12"/>
        <v>62.363917225902341</v>
      </c>
      <c r="AI106" s="1004">
        <f t="shared" si="12"/>
        <v>26.416494859202533</v>
      </c>
      <c r="AJ106" s="1004">
        <f t="shared" si="12"/>
        <v>39.122271016806017</v>
      </c>
      <c r="AK106" s="1004">
        <f t="shared" si="12"/>
        <v>69.612862730784755</v>
      </c>
      <c r="AL106" s="1004">
        <f t="shared" si="12"/>
        <v>58.761050316828573</v>
      </c>
      <c r="AP106" s="976"/>
      <c r="AQ106" s="1005">
        <v>76.84</v>
      </c>
      <c r="AR106" s="1007"/>
    </row>
    <row r="107" spans="1:44" x14ac:dyDescent="0.35">
      <c r="A107" s="1000">
        <v>1997</v>
      </c>
      <c r="C107" s="1001">
        <v>49.942107294480891</v>
      </c>
      <c r="D107" s="1001">
        <v>19.419250837822936</v>
      </c>
      <c r="E107" s="1002">
        <v>32.025942356979499</v>
      </c>
      <c r="F107" s="1002">
        <v>52.212155610740083</v>
      </c>
      <c r="G107" s="1002">
        <v>43.704802760494943</v>
      </c>
      <c r="I107" s="1003"/>
      <c r="J107" s="1009"/>
      <c r="M107" s="1004">
        <f t="shared" si="11"/>
        <v>64.308662496112404</v>
      </c>
      <c r="N107" s="1004">
        <f t="shared" si="11"/>
        <v>25.005473651587607</v>
      </c>
      <c r="O107" s="1004">
        <f t="shared" si="11"/>
        <v>41.23865871359709</v>
      </c>
      <c r="P107" s="1004">
        <f t="shared" si="11"/>
        <v>67.231722393433017</v>
      </c>
      <c r="Q107" s="1004">
        <f t="shared" si="11"/>
        <v>56.277108885520143</v>
      </c>
      <c r="U107" s="976"/>
      <c r="V107" s="1005">
        <v>77.66</v>
      </c>
      <c r="W107" s="1006"/>
      <c r="X107" s="1002">
        <v>46.799276672694397</v>
      </c>
      <c r="Y107" s="1002">
        <v>19.419250837822936</v>
      </c>
      <c r="Z107" s="1002">
        <v>31.134283336357285</v>
      </c>
      <c r="AA107" s="1002">
        <v>50.441576627262741</v>
      </c>
      <c r="AB107" s="1002">
        <v>42.319885550681995</v>
      </c>
      <c r="AD107" s="1003"/>
      <c r="AE107" s="1003"/>
      <c r="AH107" s="1004">
        <f t="shared" si="12"/>
        <v>60.261752089485448</v>
      </c>
      <c r="AI107" s="1004">
        <f t="shared" si="12"/>
        <v>25.005473651587607</v>
      </c>
      <c r="AJ107" s="1004">
        <f t="shared" si="12"/>
        <v>40.090501334480152</v>
      </c>
      <c r="AK107" s="1004">
        <f t="shared" si="12"/>
        <v>64.951811263536882</v>
      </c>
      <c r="AL107" s="1004">
        <f t="shared" si="12"/>
        <v>54.493800606080342</v>
      </c>
      <c r="AP107" s="976"/>
      <c r="AQ107" s="1005">
        <v>77.66</v>
      </c>
      <c r="AR107" s="1007"/>
    </row>
    <row r="108" spans="1:44" x14ac:dyDescent="0.35">
      <c r="A108" s="1000">
        <v>1998</v>
      </c>
      <c r="C108" s="1001">
        <v>51.099961404862981</v>
      </c>
      <c r="D108" s="1001">
        <v>16.185890637593857</v>
      </c>
      <c r="E108" s="1002">
        <v>33.713134641218112</v>
      </c>
      <c r="F108" s="1002">
        <v>51.723574488434224</v>
      </c>
      <c r="G108" s="1002">
        <v>43.614998068986679</v>
      </c>
      <c r="I108" s="1003"/>
      <c r="J108" s="1009"/>
      <c r="M108" s="1004">
        <f t="shared" si="11"/>
        <v>65.178522200080323</v>
      </c>
      <c r="N108" s="1004">
        <f t="shared" si="11"/>
        <v>20.645268670400327</v>
      </c>
      <c r="O108" s="1004">
        <f t="shared" si="11"/>
        <v>43.001447246451669</v>
      </c>
      <c r="P108" s="1004">
        <f t="shared" si="11"/>
        <v>65.973947051574257</v>
      </c>
      <c r="Q108" s="1004">
        <f t="shared" si="11"/>
        <v>55.631375087993206</v>
      </c>
      <c r="U108" s="976"/>
      <c r="V108" s="1005">
        <v>78.400000000000006</v>
      </c>
      <c r="W108" s="1006"/>
      <c r="X108" s="1002">
        <v>47.884267631103071</v>
      </c>
      <c r="Y108" s="1002">
        <v>16.185890637593857</v>
      </c>
      <c r="Z108" s="1002">
        <v>32.774501195831235</v>
      </c>
      <c r="AA108" s="1002">
        <v>49.969563897063267</v>
      </c>
      <c r="AB108" s="1002">
        <v>42.208707739390121</v>
      </c>
      <c r="AD108" s="1003"/>
      <c r="AE108" s="1003"/>
      <c r="AH108" s="1004">
        <f t="shared" si="12"/>
        <v>61.076871978447798</v>
      </c>
      <c r="AI108" s="1004">
        <f t="shared" si="12"/>
        <v>20.645268670400327</v>
      </c>
      <c r="AJ108" s="1004">
        <f t="shared" si="12"/>
        <v>41.804210708968412</v>
      </c>
      <c r="AK108" s="1004">
        <f t="shared" si="12"/>
        <v>63.736688644213352</v>
      </c>
      <c r="AL108" s="1004">
        <f t="shared" si="12"/>
        <v>53.837637422691479</v>
      </c>
      <c r="AP108" s="976"/>
      <c r="AQ108" s="1005">
        <v>78.400000000000006</v>
      </c>
      <c r="AR108" s="1007"/>
    </row>
    <row r="109" spans="1:44" x14ac:dyDescent="0.35">
      <c r="A109" s="1000">
        <v>1999</v>
      </c>
      <c r="C109" s="1001">
        <v>50.328058664608257</v>
      </c>
      <c r="D109" s="1001">
        <v>18.527552708607303</v>
      </c>
      <c r="E109" s="1002">
        <v>33.527619643192402</v>
      </c>
      <c r="F109" s="1002">
        <v>52.0272870779757</v>
      </c>
      <c r="G109" s="1002">
        <v>44.322351322883293</v>
      </c>
      <c r="I109" s="1003"/>
      <c r="J109" s="1009"/>
      <c r="M109" s="1004">
        <f t="shared" si="11"/>
        <v>63.617821596016007</v>
      </c>
      <c r="N109" s="1004">
        <f t="shared" si="11"/>
        <v>23.419988255097081</v>
      </c>
      <c r="O109" s="1004">
        <f t="shared" si="11"/>
        <v>42.381013327256227</v>
      </c>
      <c r="P109" s="1004">
        <f t="shared" si="11"/>
        <v>65.765752847902533</v>
      </c>
      <c r="Q109" s="1004">
        <f t="shared" si="11"/>
        <v>56.026230973180759</v>
      </c>
      <c r="U109" s="976"/>
      <c r="V109" s="1005">
        <v>79.11</v>
      </c>
      <c r="W109" s="1006"/>
      <c r="X109" s="1002">
        <v>47.160940325497286</v>
      </c>
      <c r="Y109" s="1002">
        <v>18.527552708607303</v>
      </c>
      <c r="Z109" s="1002">
        <v>32.594151264288392</v>
      </c>
      <c r="AA109" s="1002">
        <v>50.26297721583591</v>
      </c>
      <c r="AB109" s="1002">
        <v>42.907836237781304</v>
      </c>
      <c r="AD109" s="1003"/>
      <c r="AE109" s="1003"/>
      <c r="AH109" s="1004">
        <f t="shared" si="12"/>
        <v>59.614385444946642</v>
      </c>
      <c r="AI109" s="1004">
        <f t="shared" si="12"/>
        <v>23.419988255097081</v>
      </c>
      <c r="AJ109" s="1004">
        <f t="shared" si="12"/>
        <v>41.201050770178732</v>
      </c>
      <c r="AK109" s="1004">
        <f t="shared" si="12"/>
        <v>63.535554564322979</v>
      </c>
      <c r="AL109" s="1004">
        <f t="shared" si="12"/>
        <v>54.238195219038431</v>
      </c>
      <c r="AP109" s="976"/>
      <c r="AQ109" s="1005">
        <v>79.11</v>
      </c>
      <c r="AR109" s="1007"/>
    </row>
    <row r="110" spans="1:44" x14ac:dyDescent="0.35">
      <c r="A110" s="1010">
        <v>2000</v>
      </c>
      <c r="C110" s="1001">
        <v>50.405248938633726</v>
      </c>
      <c r="D110" s="1001">
        <v>26.822211852543166</v>
      </c>
      <c r="E110" s="1002">
        <v>36.485740611711492</v>
      </c>
      <c r="F110" s="1002">
        <v>48.237482156305902</v>
      </c>
      <c r="G110" s="1002">
        <v>41.737580569962773</v>
      </c>
      <c r="I110" s="1003"/>
      <c r="J110" s="1009"/>
      <c r="M110" s="1004">
        <f t="shared" si="11"/>
        <v>62.553051549557857</v>
      </c>
      <c r="N110" s="1004">
        <f t="shared" si="11"/>
        <v>33.286438139169974</v>
      </c>
      <c r="O110" s="1004">
        <f t="shared" si="11"/>
        <v>45.278903712722126</v>
      </c>
      <c r="P110" s="1004">
        <f t="shared" si="11"/>
        <v>59.862847054239147</v>
      </c>
      <c r="Q110" s="1004">
        <f t="shared" si="11"/>
        <v>51.796451439516972</v>
      </c>
      <c r="U110" s="976"/>
      <c r="V110" s="1005">
        <v>80.58</v>
      </c>
      <c r="W110" s="1006"/>
      <c r="X110" s="1002">
        <v>47.233273056057868</v>
      </c>
      <c r="Y110" s="1002">
        <v>26.822211852543166</v>
      </c>
      <c r="Z110" s="1002">
        <v>35.469912899980642</v>
      </c>
      <c r="AA110" s="1002">
        <v>46.601689281585941</v>
      </c>
      <c r="AB110" s="1002">
        <v>40.527930138909298</v>
      </c>
      <c r="AD110" s="1003"/>
      <c r="AE110" s="1003"/>
      <c r="AH110" s="1004">
        <f t="shared" si="12"/>
        <v>58.616620819133622</v>
      </c>
      <c r="AI110" s="1004">
        <f t="shared" si="12"/>
        <v>33.286438139169974</v>
      </c>
      <c r="AJ110" s="1004">
        <f t="shared" si="12"/>
        <v>44.018258749045224</v>
      </c>
      <c r="AK110" s="1004">
        <f t="shared" si="12"/>
        <v>57.832823630660144</v>
      </c>
      <c r="AL110" s="1004">
        <f t="shared" si="12"/>
        <v>50.295271951984731</v>
      </c>
      <c r="AP110" s="976"/>
      <c r="AQ110" s="1005">
        <v>80.58</v>
      </c>
      <c r="AR110" s="1007"/>
    </row>
    <row r="111" spans="1:44" x14ac:dyDescent="0.35">
      <c r="A111" s="1000">
        <v>2001</v>
      </c>
      <c r="C111" s="1001">
        <v>51.717483597066774</v>
      </c>
      <c r="D111" s="1001">
        <v>26.785093115004454</v>
      </c>
      <c r="E111" s="1002">
        <v>48.884888479757286</v>
      </c>
      <c r="F111" s="1002">
        <v>44.143964645094613</v>
      </c>
      <c r="G111" s="1002">
        <v>41.847771729435479</v>
      </c>
      <c r="I111" s="1003"/>
      <c r="J111" s="1009"/>
      <c r="M111" s="1004">
        <f t="shared" si="11"/>
        <v>63.542798374575227</v>
      </c>
      <c r="N111" s="1004">
        <f t="shared" si="11"/>
        <v>32.909562741128454</v>
      </c>
      <c r="O111" s="1004">
        <f t="shared" si="11"/>
        <v>60.062524241009072</v>
      </c>
      <c r="P111" s="1004">
        <f t="shared" si="11"/>
        <v>54.23757789052047</v>
      </c>
      <c r="Q111" s="1004">
        <f t="shared" si="11"/>
        <v>51.416355485238334</v>
      </c>
      <c r="U111" s="976"/>
      <c r="V111" s="1005">
        <v>81.39</v>
      </c>
      <c r="W111" s="1006"/>
      <c r="X111" s="1002">
        <v>54.575045207956599</v>
      </c>
      <c r="Y111" s="1002">
        <v>26.785093115004454</v>
      </c>
      <c r="Z111" s="1002">
        <v>49.917773013282776</v>
      </c>
      <c r="AA111" s="1002">
        <v>45.0708371836417</v>
      </c>
      <c r="AB111" s="1002">
        <v>42.642632916195595</v>
      </c>
      <c r="AC111" s="1011" t="s">
        <v>2199</v>
      </c>
      <c r="AD111" s="1011"/>
      <c r="AE111" s="1003"/>
      <c r="AH111" s="1004">
        <f t="shared" si="12"/>
        <v>67.053747644620472</v>
      </c>
      <c r="AI111" s="1004">
        <f t="shared" si="12"/>
        <v>32.909562741128454</v>
      </c>
      <c r="AJ111" s="1004">
        <f t="shared" si="12"/>
        <v>61.331580063008694</v>
      </c>
      <c r="AK111" s="1004">
        <f t="shared" si="12"/>
        <v>55.376381844995329</v>
      </c>
      <c r="AL111" s="1004">
        <f t="shared" si="12"/>
        <v>52.392963406064133</v>
      </c>
      <c r="AP111" s="976"/>
      <c r="AQ111" s="1005">
        <v>81.39</v>
      </c>
      <c r="AR111" s="1007"/>
    </row>
    <row r="112" spans="1:44" x14ac:dyDescent="0.35">
      <c r="A112" s="1000">
        <v>2002</v>
      </c>
      <c r="C112" s="1001">
        <v>52.991123118487074</v>
      </c>
      <c r="D112" s="1001">
        <v>28.048827047893777</v>
      </c>
      <c r="E112" s="1002">
        <v>46.209841809114785</v>
      </c>
      <c r="F112" s="1002">
        <v>42.55937722139992</v>
      </c>
      <c r="G112" s="1002">
        <v>40.701536361933584</v>
      </c>
      <c r="J112" s="1009"/>
      <c r="M112" s="1004">
        <f t="shared" si="11"/>
        <v>63.76022514557463</v>
      </c>
      <c r="N112" s="1004">
        <f t="shared" si="11"/>
        <v>33.749039884362624</v>
      </c>
      <c r="O112" s="1004">
        <f t="shared" si="11"/>
        <v>55.60082036952808</v>
      </c>
      <c r="P112" s="1004">
        <f t="shared" si="11"/>
        <v>51.208491422692717</v>
      </c>
      <c r="Q112" s="1004">
        <f t="shared" si="11"/>
        <v>48.973091519592813</v>
      </c>
      <c r="V112" s="1005">
        <v>83.11</v>
      </c>
      <c r="W112" s="1006"/>
      <c r="X112" s="1002">
        <v>55.768535262206143</v>
      </c>
      <c r="Y112" s="1002">
        <v>28.048827047893777</v>
      </c>
      <c r="Z112" s="1002">
        <v>48.419044752875656</v>
      </c>
      <c r="AA112" s="1002">
        <v>44.139568824058948</v>
      </c>
      <c r="AB112" s="1002">
        <v>42.134969350480354</v>
      </c>
      <c r="AH112" s="1004">
        <f t="shared" si="12"/>
        <v>67.102075878000406</v>
      </c>
      <c r="AI112" s="1004">
        <f t="shared" si="12"/>
        <v>33.749039884362624</v>
      </c>
      <c r="AJ112" s="1004">
        <f t="shared" si="12"/>
        <v>58.25898779072994</v>
      </c>
      <c r="AK112" s="1004">
        <f t="shared" si="12"/>
        <v>53.109816898157803</v>
      </c>
      <c r="AL112" s="1004">
        <f t="shared" si="12"/>
        <v>50.697833414126279</v>
      </c>
      <c r="AQ112" s="1005">
        <v>83.11</v>
      </c>
      <c r="AR112" s="1007"/>
    </row>
    <row r="113" spans="1:45" x14ac:dyDescent="0.35">
      <c r="A113" s="1000">
        <v>2003</v>
      </c>
      <c r="C113" s="1001">
        <v>48.591277499035115</v>
      </c>
      <c r="D113" s="1001">
        <v>32.377508166122261</v>
      </c>
      <c r="E113" s="1002">
        <v>48.175588293300166</v>
      </c>
      <c r="F113" s="1002">
        <v>41.172863225667065</v>
      </c>
      <c r="G113" s="1002">
        <v>41.019688990701432</v>
      </c>
      <c r="J113" s="1009"/>
      <c r="M113" s="1004">
        <f t="shared" si="11"/>
        <v>57.179662860714416</v>
      </c>
      <c r="N113" s="1004">
        <f t="shared" si="11"/>
        <v>38.100150819160106</v>
      </c>
      <c r="O113" s="1004">
        <f t="shared" si="11"/>
        <v>56.690501639562449</v>
      </c>
      <c r="P113" s="1004">
        <f t="shared" si="11"/>
        <v>48.450062633169047</v>
      </c>
      <c r="Q113" s="1004">
        <f t="shared" si="11"/>
        <v>48.269815239705146</v>
      </c>
      <c r="V113" s="1005">
        <v>84.98</v>
      </c>
      <c r="W113" s="1006"/>
      <c r="X113" s="1002">
        <v>51.645569620253163</v>
      </c>
      <c r="Y113" s="1002">
        <v>32.377508166122261</v>
      </c>
      <c r="Z113" s="1002">
        <v>50.126114289981068</v>
      </c>
      <c r="AA113" s="1002">
        <v>42.710773532644325</v>
      </c>
      <c r="AB113" s="1002">
        <v>42.338984780468692</v>
      </c>
      <c r="AH113" s="1004">
        <f t="shared" si="12"/>
        <v>60.773793386977125</v>
      </c>
      <c r="AI113" s="1004">
        <f t="shared" si="12"/>
        <v>38.100150819160106</v>
      </c>
      <c r="AJ113" s="1004">
        <f t="shared" si="12"/>
        <v>58.985778171312155</v>
      </c>
      <c r="AK113" s="1004">
        <f t="shared" si="12"/>
        <v>50.259794695980609</v>
      </c>
      <c r="AL113" s="1004">
        <f t="shared" si="12"/>
        <v>49.822293222486103</v>
      </c>
      <c r="AQ113" s="1005">
        <v>84.98</v>
      </c>
      <c r="AR113" s="1007"/>
    </row>
    <row r="114" spans="1:45" x14ac:dyDescent="0.35">
      <c r="A114" s="1000">
        <v>2004</v>
      </c>
      <c r="C114" s="1001">
        <v>54.110382091856422</v>
      </c>
      <c r="D114" s="1001">
        <v>32.603190090357614</v>
      </c>
      <c r="E114" s="1002">
        <v>53.653865875527202</v>
      </c>
      <c r="F114" s="1002">
        <v>44.896643671349587</v>
      </c>
      <c r="G114" s="1002">
        <v>44.188901476778341</v>
      </c>
      <c r="J114" s="1009"/>
      <c r="M114" s="1004">
        <f t="shared" si="11"/>
        <v>62.088791843782474</v>
      </c>
      <c r="N114" s="1004">
        <f t="shared" si="11"/>
        <v>37.410430396279537</v>
      </c>
      <c r="O114" s="1004">
        <f t="shared" si="11"/>
        <v>61.564963712595748</v>
      </c>
      <c r="P114" s="1004">
        <f t="shared" si="11"/>
        <v>51.516515974009849</v>
      </c>
      <c r="Q114" s="1004">
        <f t="shared" si="11"/>
        <v>50.704419365207499</v>
      </c>
      <c r="V114" s="1005">
        <v>87.15</v>
      </c>
      <c r="W114" s="1006"/>
      <c r="X114" s="1002">
        <v>56.817359855334537</v>
      </c>
      <c r="Y114" s="1002">
        <v>32.603190090357614</v>
      </c>
      <c r="Z114" s="1002">
        <v>55.155297309381389</v>
      </c>
      <c r="AA114" s="1002">
        <v>46.423089870159103</v>
      </c>
      <c r="AB114" s="1002">
        <v>45.367083552521947</v>
      </c>
      <c r="AH114" s="1004">
        <f t="shared" si="12"/>
        <v>65.194905169632278</v>
      </c>
      <c r="AI114" s="1004">
        <f t="shared" si="12"/>
        <v>37.410430396279537</v>
      </c>
      <c r="AJ114" s="1004">
        <f t="shared" si="12"/>
        <v>63.287776602847252</v>
      </c>
      <c r="AK114" s="1004">
        <f t="shared" si="12"/>
        <v>53.268031979528509</v>
      </c>
      <c r="AL114" s="1004">
        <f t="shared" si="12"/>
        <v>52.056320771683239</v>
      </c>
      <c r="AQ114" s="1005">
        <v>87.15</v>
      </c>
      <c r="AR114" s="1007"/>
    </row>
    <row r="115" spans="1:45" x14ac:dyDescent="0.35">
      <c r="A115" s="1000">
        <v>2005</v>
      </c>
      <c r="C115" s="1001">
        <v>63.56619065997684</v>
      </c>
      <c r="D115" s="1001">
        <v>43.328808382471472</v>
      </c>
      <c r="E115" s="1002">
        <v>81.592641629117253</v>
      </c>
      <c r="F115" s="1002">
        <v>60.161502519608455</v>
      </c>
      <c r="G115" s="1002">
        <v>62.055946854075984</v>
      </c>
      <c r="J115" s="1012"/>
      <c r="M115" s="1004">
        <f t="shared" si="11"/>
        <v>71.158838755151507</v>
      </c>
      <c r="N115" s="1004">
        <f t="shared" si="11"/>
        <v>48.504207301546479</v>
      </c>
      <c r="O115" s="1004">
        <f t="shared" si="11"/>
        <v>91.338454751054797</v>
      </c>
      <c r="P115" s="1004">
        <f t="shared" si="11"/>
        <v>67.34747847263904</v>
      </c>
      <c r="Q115" s="1004">
        <f t="shared" si="11"/>
        <v>69.468204247258456</v>
      </c>
      <c r="V115" s="1005">
        <v>89.33</v>
      </c>
      <c r="W115" s="1006"/>
      <c r="X115" s="1002">
        <v>65.678119349005428</v>
      </c>
      <c r="Y115" s="1002">
        <v>43.328808382471472</v>
      </c>
      <c r="Z115" s="1002">
        <v>82.206681842142757</v>
      </c>
      <c r="AA115" s="1002">
        <v>60.876885094915991</v>
      </c>
      <c r="AB115" s="1002">
        <v>62.623988214056652</v>
      </c>
      <c r="AH115" s="1004">
        <f t="shared" si="12"/>
        <v>73.523026249866149</v>
      </c>
      <c r="AI115" s="1004">
        <f t="shared" si="12"/>
        <v>48.504207301546479</v>
      </c>
      <c r="AJ115" s="1004">
        <f t="shared" si="12"/>
        <v>92.025838847131709</v>
      </c>
      <c r="AK115" s="1004">
        <f t="shared" si="12"/>
        <v>68.148309744672545</v>
      </c>
      <c r="AL115" s="1004">
        <f t="shared" si="12"/>
        <v>70.104095168539857</v>
      </c>
      <c r="AQ115" s="1005">
        <v>89.33</v>
      </c>
      <c r="AR115" s="1007"/>
    </row>
    <row r="116" spans="1:45" x14ac:dyDescent="0.35">
      <c r="A116" s="1000">
        <v>2006</v>
      </c>
      <c r="C116" s="1001">
        <v>60.825935932072561</v>
      </c>
      <c r="D116" s="1001">
        <v>55.246680524328681</v>
      </c>
      <c r="E116" s="1002">
        <v>101.75096554537618</v>
      </c>
      <c r="F116" s="1002">
        <v>80.800753713231799</v>
      </c>
      <c r="G116" s="1002">
        <v>80.96607177166436</v>
      </c>
      <c r="J116" s="1012"/>
      <c r="M116" s="1004">
        <f t="shared" si="11"/>
        <v>66.251972478022608</v>
      </c>
      <c r="N116" s="1004">
        <f t="shared" si="11"/>
        <v>60.17501418617654</v>
      </c>
      <c r="O116" s="1004">
        <f t="shared" si="11"/>
        <v>110.82775900814308</v>
      </c>
      <c r="P116" s="1004">
        <f t="shared" si="11"/>
        <v>88.008663231926576</v>
      </c>
      <c r="Q116" s="1004">
        <f t="shared" si="11"/>
        <v>88.188728647929807</v>
      </c>
      <c r="V116" s="1005">
        <v>91.81</v>
      </c>
      <c r="W116" s="1006"/>
      <c r="X116" s="1002">
        <v>63.110307414104881</v>
      </c>
      <c r="Y116" s="1002">
        <v>55.246680524328681</v>
      </c>
      <c r="Z116" s="1002">
        <v>101.76223282391554</v>
      </c>
      <c r="AA116" s="1002">
        <v>80.982075981250347</v>
      </c>
      <c r="AB116" s="1002">
        <v>81.09302566175316</v>
      </c>
      <c r="AH116" s="1004">
        <f t="shared" si="12"/>
        <v>68.740123531319981</v>
      </c>
      <c r="AI116" s="1004">
        <f t="shared" si="12"/>
        <v>60.17501418617654</v>
      </c>
      <c r="AJ116" s="1004">
        <f t="shared" si="12"/>
        <v>110.84003139518086</v>
      </c>
      <c r="AK116" s="1004">
        <f t="shared" si="12"/>
        <v>88.206160528537566</v>
      </c>
      <c r="AL116" s="1004">
        <f t="shared" si="12"/>
        <v>88.327007582783096</v>
      </c>
      <c r="AQ116" s="1005">
        <v>91.81</v>
      </c>
      <c r="AR116" s="1007"/>
    </row>
    <row r="117" spans="1:45" x14ac:dyDescent="0.35">
      <c r="A117" s="1000">
        <v>2007</v>
      </c>
      <c r="C117" s="1001">
        <v>70.66769587032033</v>
      </c>
      <c r="D117" s="1001">
        <v>57.205277223942645</v>
      </c>
      <c r="E117" s="1002">
        <v>82.050050265526465</v>
      </c>
      <c r="F117" s="1002">
        <v>82.939946735219635</v>
      </c>
      <c r="G117" s="1002">
        <v>77.751177429400215</v>
      </c>
      <c r="J117" s="1012"/>
      <c r="M117" s="1004">
        <f t="shared" si="11"/>
        <v>75.034716362625105</v>
      </c>
      <c r="N117" s="1004">
        <f t="shared" si="11"/>
        <v>60.740366557594655</v>
      </c>
      <c r="O117" s="1004">
        <f t="shared" si="11"/>
        <v>87.120461101642022</v>
      </c>
      <c r="P117" s="1004">
        <f t="shared" si="11"/>
        <v>88.065350111721841</v>
      </c>
      <c r="Q117" s="1004">
        <f t="shared" si="11"/>
        <v>82.555932713315144</v>
      </c>
      <c r="V117" s="1005">
        <v>94.18</v>
      </c>
      <c r="W117" s="1006"/>
      <c r="X117" s="1002">
        <v>72.405063291139228</v>
      </c>
      <c r="Y117" s="1002">
        <v>57.282908412166456</v>
      </c>
      <c r="Z117" s="1002">
        <v>82.087742140432894</v>
      </c>
      <c r="AA117" s="1002">
        <v>82.752429512905138</v>
      </c>
      <c r="AB117" s="1002">
        <v>77.670587758680085</v>
      </c>
      <c r="AH117" s="1004">
        <f t="shared" si="12"/>
        <v>76.879447113122978</v>
      </c>
      <c r="AI117" s="1004">
        <f t="shared" si="12"/>
        <v>60.822795086182253</v>
      </c>
      <c r="AJ117" s="1004">
        <f t="shared" si="12"/>
        <v>87.1604822047493</v>
      </c>
      <c r="AK117" s="1004">
        <f t="shared" si="12"/>
        <v>87.866244970168978</v>
      </c>
      <c r="AL117" s="1004">
        <f t="shared" si="12"/>
        <v>82.470362878190784</v>
      </c>
      <c r="AQ117" s="1005">
        <v>94.18</v>
      </c>
      <c r="AR117" s="1007"/>
    </row>
    <row r="118" spans="1:45" x14ac:dyDescent="0.35">
      <c r="A118" s="1000">
        <v>2008</v>
      </c>
      <c r="C118" s="1001">
        <v>91.663450405248938</v>
      </c>
      <c r="D118" s="1001">
        <v>83.336868451194164</v>
      </c>
      <c r="E118" s="1002">
        <v>123.71820664433069</v>
      </c>
      <c r="F118" s="1002">
        <v>102.11070993379832</v>
      </c>
      <c r="G118" s="1002">
        <v>103.12816416614798</v>
      </c>
      <c r="J118" s="1009"/>
      <c r="M118" s="1004">
        <f t="shared" si="11"/>
        <v>94.60568727964592</v>
      </c>
      <c r="N118" s="1004">
        <f t="shared" si="11"/>
        <v>86.011836568473697</v>
      </c>
      <c r="O118" s="1004">
        <f t="shared" si="11"/>
        <v>127.68934528262018</v>
      </c>
      <c r="P118" s="1004">
        <f t="shared" si="11"/>
        <v>105.38828561647055</v>
      </c>
      <c r="Q118" s="1004">
        <f t="shared" si="11"/>
        <v>106.43839835498811</v>
      </c>
      <c r="V118" s="1005">
        <v>96.89</v>
      </c>
      <c r="W118" s="1006"/>
      <c r="X118" s="1002">
        <v>92.079566003616634</v>
      </c>
      <c r="Y118" s="1002">
        <v>83.336868451194164</v>
      </c>
      <c r="Z118" s="1002">
        <v>123.04832997350302</v>
      </c>
      <c r="AA118" s="1002">
        <v>101.76920760701589</v>
      </c>
      <c r="AB118" s="1002">
        <v>102.78792405120144</v>
      </c>
      <c r="AH118" s="1004">
        <f t="shared" ref="AH118:AL128" si="13">X118*100/$AQ118</f>
        <v>95.035159462913242</v>
      </c>
      <c r="AI118" s="1004">
        <f t="shared" si="13"/>
        <v>86.011836568473697</v>
      </c>
      <c r="AJ118" s="1004">
        <f t="shared" si="13"/>
        <v>126.99796673908868</v>
      </c>
      <c r="AK118" s="1004">
        <f t="shared" si="13"/>
        <v>105.03582166066249</v>
      </c>
      <c r="AL118" s="1004">
        <f t="shared" si="13"/>
        <v>106.08723712581427</v>
      </c>
      <c r="AQ118" s="1005">
        <v>96.89</v>
      </c>
      <c r="AR118" s="1007"/>
    </row>
    <row r="119" spans="1:45" x14ac:dyDescent="0.35">
      <c r="A119" s="1000">
        <v>2009</v>
      </c>
      <c r="C119" s="1001">
        <v>86.260131223465834</v>
      </c>
      <c r="D119" s="1001">
        <v>81.28367199762441</v>
      </c>
      <c r="E119" s="1002">
        <v>103.87569752521533</v>
      </c>
      <c r="F119" s="1002">
        <v>110.12229918925647</v>
      </c>
      <c r="G119" s="1002">
        <v>103.54149154924379</v>
      </c>
      <c r="J119" s="1009"/>
      <c r="M119" s="1004">
        <f t="shared" si="11"/>
        <v>87.582628920160261</v>
      </c>
      <c r="N119" s="1004">
        <f t="shared" si="11"/>
        <v>82.529873081149773</v>
      </c>
      <c r="O119" s="1004">
        <f t="shared" si="11"/>
        <v>105.46826837771889</v>
      </c>
      <c r="P119" s="1004">
        <f t="shared" si="11"/>
        <v>111.81063985100667</v>
      </c>
      <c r="Q119" s="1004">
        <f t="shared" si="11"/>
        <v>105.12893852090953</v>
      </c>
      <c r="V119" s="1005">
        <v>98.49</v>
      </c>
      <c r="W119" s="1006"/>
      <c r="X119" s="1002">
        <v>87.124773960216984</v>
      </c>
      <c r="Y119" s="1002">
        <v>81.28367199762441</v>
      </c>
      <c r="Z119" s="1002">
        <v>104.6521784482178</v>
      </c>
      <c r="AA119" s="1002">
        <v>109.86393041602996</v>
      </c>
      <c r="AB119" s="1002">
        <v>103.54764065434593</v>
      </c>
      <c r="AH119" s="1004">
        <f t="shared" si="13"/>
        <v>88.460527931990043</v>
      </c>
      <c r="AI119" s="1004">
        <f t="shared" si="13"/>
        <v>82.529873081149773</v>
      </c>
      <c r="AJ119" s="1004">
        <f t="shared" si="13"/>
        <v>106.25665392244676</v>
      </c>
      <c r="AK119" s="1004">
        <f t="shared" si="13"/>
        <v>111.54830989545128</v>
      </c>
      <c r="AL119" s="1004">
        <f t="shared" si="13"/>
        <v>105.13518190105181</v>
      </c>
      <c r="AQ119" s="1005">
        <v>98.49</v>
      </c>
      <c r="AR119" s="1007"/>
    </row>
    <row r="120" spans="1:45" x14ac:dyDescent="0.35">
      <c r="A120" s="1000">
        <v>2010</v>
      </c>
      <c r="C120" s="1001">
        <v>100</v>
      </c>
      <c r="D120" s="1001">
        <v>100</v>
      </c>
      <c r="E120" s="1002">
        <v>100.00000000000004</v>
      </c>
      <c r="F120" s="1002">
        <v>100</v>
      </c>
      <c r="G120" s="1002">
        <v>100</v>
      </c>
      <c r="J120" s="1009"/>
      <c r="M120" s="1004">
        <f t="shared" ref="M120:Q128" si="14">C120*100/$V120</f>
        <v>100</v>
      </c>
      <c r="N120" s="1004">
        <f t="shared" si="14"/>
        <v>100</v>
      </c>
      <c r="O120" s="1004">
        <f t="shared" si="14"/>
        <v>100.00000000000004</v>
      </c>
      <c r="P120" s="1004">
        <f t="shared" si="14"/>
        <v>100</v>
      </c>
      <c r="Q120" s="1004">
        <f t="shared" si="14"/>
        <v>100</v>
      </c>
      <c r="V120" s="1005">
        <v>100</v>
      </c>
      <c r="W120" s="1006"/>
      <c r="X120" s="1002">
        <v>100</v>
      </c>
      <c r="Y120" s="1002">
        <v>100</v>
      </c>
      <c r="Z120" s="1002">
        <v>100</v>
      </c>
      <c r="AA120" s="1002">
        <v>100</v>
      </c>
      <c r="AB120" s="1002">
        <v>100</v>
      </c>
      <c r="AH120" s="1004">
        <f t="shared" si="13"/>
        <v>100</v>
      </c>
      <c r="AI120" s="1004">
        <f t="shared" si="13"/>
        <v>100</v>
      </c>
      <c r="AJ120" s="1004">
        <f t="shared" si="13"/>
        <v>100</v>
      </c>
      <c r="AK120" s="1004">
        <f t="shared" si="13"/>
        <v>100</v>
      </c>
      <c r="AL120" s="1004">
        <f t="shared" si="13"/>
        <v>100</v>
      </c>
      <c r="AQ120" s="1005">
        <v>100</v>
      </c>
      <c r="AR120" s="1007"/>
    </row>
    <row r="121" spans="1:45" x14ac:dyDescent="0.35">
      <c r="A121" s="1000">
        <v>2011</v>
      </c>
      <c r="C121" s="1001">
        <v>111.07680432265535</v>
      </c>
      <c r="D121" s="1001">
        <v>121.12225851609892</v>
      </c>
      <c r="E121" s="1002">
        <v>122.33604167411764</v>
      </c>
      <c r="F121" s="1002">
        <v>103.15563754786486</v>
      </c>
      <c r="G121" s="1002">
        <v>111.23215847645733</v>
      </c>
      <c r="J121" s="1009"/>
      <c r="M121" s="1004">
        <f t="shared" si="14"/>
        <v>108.85613908531492</v>
      </c>
      <c r="N121" s="1004">
        <f t="shared" si="14"/>
        <v>118.70076295188055</v>
      </c>
      <c r="O121" s="1004">
        <f t="shared" si="14"/>
        <v>119.89027996287498</v>
      </c>
      <c r="P121" s="1004">
        <f t="shared" si="14"/>
        <v>101.09333354357591</v>
      </c>
      <c r="Q121" s="1004">
        <f t="shared" si="14"/>
        <v>109.00838737402718</v>
      </c>
      <c r="V121" s="1005">
        <v>102.04</v>
      </c>
      <c r="W121" s="1006"/>
      <c r="X121" s="1002">
        <v>110.37974683544303</v>
      </c>
      <c r="Y121" s="1002">
        <v>121.12225851609892</v>
      </c>
      <c r="Z121" s="1002">
        <v>122.15071077760659</v>
      </c>
      <c r="AA121" s="1002">
        <v>103.1106376304831</v>
      </c>
      <c r="AB121" s="1002">
        <v>111.15382378051716</v>
      </c>
      <c r="AH121" s="1004">
        <f t="shared" si="13"/>
        <v>108.17301728287244</v>
      </c>
      <c r="AI121" s="1004">
        <f t="shared" si="13"/>
        <v>118.70076295188055</v>
      </c>
      <c r="AJ121" s="1004">
        <f t="shared" si="13"/>
        <v>119.70865423128829</v>
      </c>
      <c r="AK121" s="1004">
        <f t="shared" si="13"/>
        <v>101.04923327173961</v>
      </c>
      <c r="AL121" s="1004">
        <f t="shared" si="13"/>
        <v>108.93161875785687</v>
      </c>
      <c r="AQ121" s="1005">
        <v>102.04</v>
      </c>
      <c r="AR121" s="1007"/>
    </row>
    <row r="122" spans="1:45" x14ac:dyDescent="0.35">
      <c r="A122" s="1000">
        <v>2012</v>
      </c>
      <c r="C122" s="1001">
        <v>108.45233500578925</v>
      </c>
      <c r="D122" s="1001">
        <v>128.62406142620796</v>
      </c>
      <c r="E122" s="1002">
        <v>133.46704876970006</v>
      </c>
      <c r="F122" s="1002">
        <v>108.39347361196035</v>
      </c>
      <c r="G122" s="1002">
        <v>118.21367287185559</v>
      </c>
      <c r="J122" s="1009"/>
      <c r="M122" s="1004">
        <f t="shared" si="14"/>
        <v>104.54244747039643</v>
      </c>
      <c r="N122" s="1004">
        <f t="shared" si="14"/>
        <v>123.98694951437051</v>
      </c>
      <c r="O122" s="1004">
        <f t="shared" si="14"/>
        <v>128.65533908781575</v>
      </c>
      <c r="P122" s="1004">
        <f t="shared" si="14"/>
        <v>104.48570812797412</v>
      </c>
      <c r="Q122" s="1004">
        <f t="shared" si="14"/>
        <v>113.95187282808521</v>
      </c>
      <c r="V122" s="1005">
        <v>103.74</v>
      </c>
      <c r="W122" s="1006"/>
      <c r="X122" s="1002">
        <v>107.92043399638335</v>
      </c>
      <c r="Y122" s="1002">
        <v>128.62406142620796</v>
      </c>
      <c r="Z122" s="1002">
        <v>133.16828128789027</v>
      </c>
      <c r="AA122" s="1002">
        <v>108.0372338239127</v>
      </c>
      <c r="AB122" s="1002">
        <v>117.94515089107816</v>
      </c>
      <c r="AH122" s="1004">
        <f t="shared" si="13"/>
        <v>104.02972237939402</v>
      </c>
      <c r="AI122" s="1004">
        <f t="shared" si="13"/>
        <v>123.98694951437051</v>
      </c>
      <c r="AJ122" s="1004">
        <f t="shared" si="13"/>
        <v>128.36734267195899</v>
      </c>
      <c r="AK122" s="1004">
        <f t="shared" si="13"/>
        <v>104.14231137836197</v>
      </c>
      <c r="AL122" s="1004">
        <f t="shared" si="13"/>
        <v>113.69303151251027</v>
      </c>
      <c r="AQ122" s="1005">
        <v>103.74</v>
      </c>
      <c r="AR122" s="1007"/>
    </row>
    <row r="123" spans="1:45" x14ac:dyDescent="0.35">
      <c r="A123" s="1000">
        <v>2013</v>
      </c>
      <c r="C123" s="1001">
        <v>114.24160555769971</v>
      </c>
      <c r="D123" s="1001">
        <v>124.03597335935179</v>
      </c>
      <c r="E123" s="1002">
        <v>147.76188431931118</v>
      </c>
      <c r="F123" s="1002">
        <v>114.20173241472182</v>
      </c>
      <c r="G123" s="1002">
        <v>122.84654395795889</v>
      </c>
      <c r="J123" s="1009"/>
      <c r="M123" s="1004">
        <f t="shared" si="14"/>
        <v>108.08098917473956</v>
      </c>
      <c r="N123" s="1004">
        <f t="shared" si="14"/>
        <v>117.3471838782893</v>
      </c>
      <c r="O123" s="1004">
        <f t="shared" si="14"/>
        <v>139.79364647049306</v>
      </c>
      <c r="P123" s="1004">
        <f t="shared" si="14"/>
        <v>108.04326623909348</v>
      </c>
      <c r="Q123" s="1004">
        <f t="shared" si="14"/>
        <v>116.22189589210869</v>
      </c>
      <c r="V123" s="1005">
        <v>105.7</v>
      </c>
      <c r="W123" s="1006"/>
      <c r="X123" s="1002">
        <v>113.34538878842675</v>
      </c>
      <c r="Y123" s="1002">
        <v>124.03597335935179</v>
      </c>
      <c r="Z123" s="1002">
        <v>147.18496677366056</v>
      </c>
      <c r="AA123" s="1002">
        <v>113.46767388036778</v>
      </c>
      <c r="AB123" s="1002">
        <v>122.28825125921534</v>
      </c>
      <c r="AH123" s="1004">
        <f t="shared" si="13"/>
        <v>107.23310197580582</v>
      </c>
      <c r="AI123" s="1004">
        <f t="shared" si="13"/>
        <v>117.3471838782893</v>
      </c>
      <c r="AJ123" s="1004">
        <f t="shared" si="13"/>
        <v>139.24783989939505</v>
      </c>
      <c r="AK123" s="1004">
        <f t="shared" si="13"/>
        <v>107.34879269665826</v>
      </c>
      <c r="AL123" s="1004">
        <f t="shared" si="13"/>
        <v>115.69370980058216</v>
      </c>
      <c r="AQ123" s="1005">
        <v>105.7</v>
      </c>
      <c r="AR123" s="1007"/>
    </row>
    <row r="124" spans="1:45" x14ac:dyDescent="0.35">
      <c r="A124" s="1000">
        <v>2014</v>
      </c>
      <c r="C124" s="1001">
        <v>114.12582014666151</v>
      </c>
      <c r="D124" s="1001">
        <v>110.77461502566497</v>
      </c>
      <c r="E124" s="1002">
        <v>132.71580743256663</v>
      </c>
      <c r="F124" s="1002">
        <v>120.55251434994278</v>
      </c>
      <c r="G124" s="1002">
        <v>120.65160133980845</v>
      </c>
      <c r="H124" s="138">
        <v>107.4</v>
      </c>
      <c r="J124" s="1009"/>
      <c r="M124" s="1004">
        <f t="shared" si="14"/>
        <v>106.03532485985461</v>
      </c>
      <c r="N124" s="1004">
        <f t="shared" si="14"/>
        <v>102.92169007308834</v>
      </c>
      <c r="O124" s="1004">
        <f t="shared" si="14"/>
        <v>123.30744906863016</v>
      </c>
      <c r="P124" s="1004">
        <f t="shared" si="14"/>
        <v>112.00642418465371</v>
      </c>
      <c r="Q124" s="1004">
        <f t="shared" si="14"/>
        <v>112.09848679718337</v>
      </c>
      <c r="V124" s="1005">
        <v>107.63</v>
      </c>
      <c r="W124" s="1006"/>
      <c r="X124" s="1002">
        <v>113.23688969258588</v>
      </c>
      <c r="Y124" s="1002">
        <v>110.77461502566497</v>
      </c>
      <c r="Z124" s="1002">
        <v>132.49860448237763</v>
      </c>
      <c r="AA124" s="1002">
        <v>119.60011933205725</v>
      </c>
      <c r="AB124" s="1002">
        <v>120.03241201155325</v>
      </c>
      <c r="AH124" s="1004">
        <f t="shared" si="13"/>
        <v>105.2094115883916</v>
      </c>
      <c r="AI124" s="1004">
        <f t="shared" si="13"/>
        <v>102.92169007308834</v>
      </c>
      <c r="AJ124" s="1004">
        <f t="shared" si="13"/>
        <v>123.10564385615315</v>
      </c>
      <c r="AK124" s="1004">
        <f t="shared" si="13"/>
        <v>111.12154541675856</v>
      </c>
      <c r="AL124" s="1004">
        <f t="shared" si="13"/>
        <v>111.52319242920491</v>
      </c>
      <c r="AQ124" s="1005">
        <v>107.63</v>
      </c>
      <c r="AR124" s="1007"/>
    </row>
    <row r="125" spans="1:45" x14ac:dyDescent="0.35">
      <c r="A125" s="1000">
        <v>2015</v>
      </c>
      <c r="C125" s="1001">
        <v>100.81049787726745</v>
      </c>
      <c r="D125" s="1001">
        <v>76.419844737623549</v>
      </c>
      <c r="E125" s="1002">
        <v>118.96185867686354</v>
      </c>
      <c r="F125" s="1002">
        <v>122.12822195466725</v>
      </c>
      <c r="G125" s="1002">
        <v>114.14869912393735</v>
      </c>
      <c r="J125" s="1009"/>
      <c r="M125" s="1004">
        <f t="shared" si="14"/>
        <v>93.118878512162794</v>
      </c>
      <c r="N125" s="1004">
        <f t="shared" si="14"/>
        <v>70.589178586387902</v>
      </c>
      <c r="O125" s="1004">
        <f t="shared" si="14"/>
        <v>109.88533038690517</v>
      </c>
      <c r="P125" s="1004">
        <f t="shared" si="14"/>
        <v>112.81010710758106</v>
      </c>
      <c r="Q125" s="1004">
        <f t="shared" si="14"/>
        <v>105.43940432656322</v>
      </c>
      <c r="V125" s="1005">
        <v>108.26</v>
      </c>
      <c r="X125" s="1002">
        <v>100.75949367088609</v>
      </c>
      <c r="Y125" s="1002">
        <v>76.419844737623549</v>
      </c>
      <c r="Z125" s="1002">
        <v>119.10357018577801</v>
      </c>
      <c r="AA125" s="1002">
        <v>121.16507855263245</v>
      </c>
      <c r="AB125" s="1002">
        <v>113.5482929124518</v>
      </c>
      <c r="AH125" s="1004">
        <f t="shared" si="13"/>
        <v>93.071765814600127</v>
      </c>
      <c r="AI125" s="1004">
        <f t="shared" si="13"/>
        <v>70.589178586387902</v>
      </c>
      <c r="AJ125" s="1004">
        <f t="shared" si="13"/>
        <v>110.01622961922963</v>
      </c>
      <c r="AK125" s="1004">
        <f t="shared" si="13"/>
        <v>111.92044942973624</v>
      </c>
      <c r="AL125" s="1004">
        <f t="shared" si="13"/>
        <v>104.88480778907426</v>
      </c>
      <c r="AQ125" s="1005">
        <v>108.26</v>
      </c>
      <c r="AS125" s="1009"/>
    </row>
    <row r="126" spans="1:45" x14ac:dyDescent="0.35">
      <c r="A126" s="1000">
        <v>2016</v>
      </c>
      <c r="C126" s="1001">
        <v>94.258973369355459</v>
      </c>
      <c r="D126" s="1001">
        <v>76.951225978874135</v>
      </c>
      <c r="E126" s="1002">
        <v>99.973394937306992</v>
      </c>
      <c r="F126" s="1002">
        <v>117.98291596903658</v>
      </c>
      <c r="G126" s="1002">
        <v>108.10763134630258</v>
      </c>
      <c r="J126" s="1009"/>
      <c r="M126" s="1004">
        <f t="shared" si="14"/>
        <v>85.248234936560976</v>
      </c>
      <c r="N126" s="1004">
        <f t="shared" si="14"/>
        <v>69.595031182847194</v>
      </c>
      <c r="O126" s="1004">
        <f t="shared" si="14"/>
        <v>90.416383229905932</v>
      </c>
      <c r="P126" s="1004">
        <f t="shared" si="14"/>
        <v>106.7042741874257</v>
      </c>
      <c r="Q126" s="1004">
        <f t="shared" si="14"/>
        <v>97.773022832868406</v>
      </c>
      <c r="V126" s="1005">
        <v>110.57</v>
      </c>
      <c r="X126" s="1002">
        <v>94.620253164556956</v>
      </c>
      <c r="Y126" s="1002">
        <v>76.951225978874135</v>
      </c>
      <c r="Z126" s="1002">
        <v>100.61997729549857</v>
      </c>
      <c r="AA126" s="1002">
        <v>118.38900902044844</v>
      </c>
      <c r="AB126" s="1002">
        <v>108.48632019485554</v>
      </c>
      <c r="AH126" s="1004">
        <f t="shared" si="13"/>
        <v>85.574977990917034</v>
      </c>
      <c r="AI126" s="1004">
        <f t="shared" si="13"/>
        <v>69.595031182847194</v>
      </c>
      <c r="AJ126" s="1004">
        <f t="shared" si="13"/>
        <v>91.001155191732465</v>
      </c>
      <c r="AK126" s="1004">
        <f t="shared" si="13"/>
        <v>107.07154655010261</v>
      </c>
      <c r="AL126" s="1004">
        <f t="shared" si="13"/>
        <v>98.115510712540072</v>
      </c>
      <c r="AQ126" s="1005">
        <v>110.57</v>
      </c>
    </row>
    <row r="127" spans="1:45" x14ac:dyDescent="0.35">
      <c r="A127" s="1000">
        <v>2017</v>
      </c>
      <c r="C127" s="1001">
        <v>109.04091084523351</v>
      </c>
      <c r="D127" s="1001">
        <v>95.166590042280561</v>
      </c>
      <c r="E127" s="1002">
        <v>106.23796607932275</v>
      </c>
      <c r="F127" s="1002">
        <v>123.88997179626418</v>
      </c>
      <c r="G127" s="1002">
        <v>117.22694713384806</v>
      </c>
      <c r="J127" s="1009"/>
      <c r="M127" s="1004">
        <f t="shared" si="14"/>
        <v>96.787600608231429</v>
      </c>
      <c r="N127" s="1004">
        <f t="shared" si="14"/>
        <v>84.472385977525803</v>
      </c>
      <c r="O127" s="1004">
        <f t="shared" si="14"/>
        <v>94.299632593043441</v>
      </c>
      <c r="P127" s="1004">
        <f t="shared" si="14"/>
        <v>109.96802041209318</v>
      </c>
      <c r="Q127" s="1004">
        <f t="shared" si="14"/>
        <v>104.05374323970182</v>
      </c>
      <c r="V127" s="1005">
        <v>112.66</v>
      </c>
      <c r="X127" s="1002">
        <v>108.47197106690778</v>
      </c>
      <c r="Y127" s="1002">
        <v>95.166590042280561</v>
      </c>
      <c r="Z127" s="1002">
        <v>106.70118031651289</v>
      </c>
      <c r="AA127" s="1002">
        <v>124.88163431152377</v>
      </c>
      <c r="AB127" s="1002">
        <v>117.98766178357847</v>
      </c>
      <c r="AH127" s="1004">
        <f t="shared" si="13"/>
        <v>96.282594591609978</v>
      </c>
      <c r="AI127" s="1004">
        <f t="shared" si="13"/>
        <v>84.472385977525803</v>
      </c>
      <c r="AJ127" s="1004">
        <f t="shared" si="13"/>
        <v>94.710793819024403</v>
      </c>
      <c r="AK127" s="1004">
        <f t="shared" si="13"/>
        <v>110.84824632657889</v>
      </c>
      <c r="AL127" s="1004">
        <f t="shared" si="13"/>
        <v>104.72897371167981</v>
      </c>
      <c r="AQ127" s="1005">
        <v>112.66</v>
      </c>
    </row>
    <row r="128" spans="1:45" x14ac:dyDescent="0.35">
      <c r="A128" s="1000">
        <v>2018</v>
      </c>
      <c r="C128" s="1001">
        <v>125.85874179853337</v>
      </c>
      <c r="D128" s="1001">
        <v>103.55349727146526</v>
      </c>
      <c r="E128" s="1002">
        <v>125.4590936785057</v>
      </c>
      <c r="F128" s="1002">
        <v>132.41295172095639</v>
      </c>
      <c r="G128" s="1002">
        <v>127.93721155577015</v>
      </c>
      <c r="J128" s="1009"/>
      <c r="M128" s="1004">
        <f>C128*100/$V128</f>
        <v>109.62350126167875</v>
      </c>
      <c r="N128" s="1004">
        <f t="shared" si="14"/>
        <v>90.195538081582839</v>
      </c>
      <c r="O128" s="1004">
        <f t="shared" si="14"/>
        <v>109.27540604346807</v>
      </c>
      <c r="P128" s="1004">
        <f t="shared" si="14"/>
        <v>115.3322460769588</v>
      </c>
      <c r="Q128" s="1004">
        <f t="shared" si="14"/>
        <v>111.43385729097653</v>
      </c>
      <c r="V128" s="1005">
        <v>114.81</v>
      </c>
      <c r="X128" s="1002">
        <v>124.23146473779386</v>
      </c>
      <c r="Y128" s="1002">
        <v>103.55349727146526</v>
      </c>
      <c r="Z128" s="1002">
        <v>126.11719166784917</v>
      </c>
      <c r="AA128" s="1002">
        <v>133.06070144974996</v>
      </c>
      <c r="AB128" s="1002">
        <v>128.48679682062277</v>
      </c>
      <c r="AH128" s="1004">
        <f>X128*100/$AQ128</f>
        <v>108.20613599668482</v>
      </c>
      <c r="AI128" s="1004">
        <f t="shared" si="13"/>
        <v>90.195538081582839</v>
      </c>
      <c r="AJ128" s="1004">
        <f t="shared" si="13"/>
        <v>109.84861220089641</v>
      </c>
      <c r="AK128" s="1004">
        <f t="shared" si="13"/>
        <v>115.8964388552826</v>
      </c>
      <c r="AL128" s="1004">
        <f t="shared" si="13"/>
        <v>111.9125484022496</v>
      </c>
      <c r="AQ128" s="1005">
        <v>114.81</v>
      </c>
    </row>
    <row r="129" spans="1:49" x14ac:dyDescent="0.35">
      <c r="A129" s="1000">
        <v>2019</v>
      </c>
      <c r="C129" s="1001"/>
      <c r="D129" s="1001"/>
      <c r="E129" s="1002"/>
      <c r="F129" s="1002"/>
      <c r="G129" s="1002"/>
      <c r="J129" s="1009"/>
      <c r="M129" s="1002"/>
      <c r="N129" s="1002"/>
      <c r="O129" s="1002"/>
      <c r="P129" s="1002"/>
      <c r="Q129" s="1002"/>
      <c r="V129" s="1013"/>
      <c r="X129" s="1002"/>
      <c r="Y129" s="1002"/>
      <c r="Z129" s="1002"/>
      <c r="AA129" s="1002"/>
      <c r="AB129" s="1002"/>
      <c r="AH129" s="1002"/>
      <c r="AI129" s="1002"/>
      <c r="AJ129" s="1002"/>
      <c r="AK129" s="1002"/>
      <c r="AL129" s="1002"/>
      <c r="AQ129" s="1013"/>
    </row>
    <row r="130" spans="1:49" x14ac:dyDescent="0.35">
      <c r="A130" s="1000">
        <v>2020</v>
      </c>
      <c r="C130" s="1014">
        <f>(C128-C127)/C127</f>
        <v>0.15423413857180757</v>
      </c>
      <c r="D130" s="1014">
        <f t="shared" ref="D130:G130" si="15">(D128-D127)/D127</f>
        <v>8.8128693330911292E-2</v>
      </c>
      <c r="E130" s="1014">
        <f t="shared" si="15"/>
        <v>0.18092522201367695</v>
      </c>
      <c r="F130" s="1014">
        <f t="shared" si="15"/>
        <v>6.8794752320294042E-2</v>
      </c>
      <c r="G130" s="1014">
        <f t="shared" si="15"/>
        <v>9.1363502025632926E-2</v>
      </c>
      <c r="H130" s="1014"/>
      <c r="I130" s="1014"/>
      <c r="J130" s="1014"/>
      <c r="K130" s="1014"/>
      <c r="L130" s="1014"/>
      <c r="M130" s="1014">
        <f>(M128-M127)/M127</f>
        <v>0.13261926706297211</v>
      </c>
      <c r="N130" s="1014">
        <f t="shared" ref="N130:Q130" si="16">(N128-N127)/N127</f>
        <v>6.7751751508234911E-2</v>
      </c>
      <c r="O130" s="1014">
        <f t="shared" si="16"/>
        <v>0.15881051748158562</v>
      </c>
      <c r="P130" s="1014">
        <f t="shared" si="16"/>
        <v>4.8779869318041395E-2</v>
      </c>
      <c r="Q130" s="1014">
        <f t="shared" si="16"/>
        <v>7.0925983261107967E-2</v>
      </c>
      <c r="R130" s="1014"/>
      <c r="S130" s="1014"/>
      <c r="T130" s="1014"/>
      <c r="U130" s="1014"/>
      <c r="V130" s="1014">
        <f t="shared" ref="V130" si="17">(V128-V127)/V127</f>
        <v>1.9083969465648908E-2</v>
      </c>
      <c r="W130" s="1015"/>
      <c r="X130" s="1014">
        <f>(X128-X127)/X127</f>
        <v>0.14528632158039506</v>
      </c>
      <c r="Y130" s="1014">
        <f t="shared" ref="Y130:AB130" si="18">(Y128-Y127)/Y127</f>
        <v>8.8128693330911292E-2</v>
      </c>
      <c r="Z130" s="1014">
        <f t="shared" si="18"/>
        <v>0.18196622843104099</v>
      </c>
      <c r="AA130" s="1014">
        <f t="shared" si="18"/>
        <v>6.5494555571102453E-2</v>
      </c>
      <c r="AB130" s="1014">
        <f t="shared" si="18"/>
        <v>8.8985025030011794E-2</v>
      </c>
      <c r="AC130" s="1014"/>
      <c r="AD130" s="1014"/>
      <c r="AE130" s="1014"/>
      <c r="AF130" s="1014"/>
      <c r="AG130" s="1014"/>
      <c r="AH130" s="1014">
        <f>(AH128-AH127)/AH127</f>
        <v>0.12383901218750347</v>
      </c>
      <c r="AI130" s="1014">
        <f t="shared" ref="AI130:AL130" si="19">(AI128-AI127)/AI127</f>
        <v>6.7751751508234911E-2</v>
      </c>
      <c r="AJ130" s="1014">
        <f t="shared" si="19"/>
        <v>0.15983202939675181</v>
      </c>
      <c r="AK130" s="1014">
        <f t="shared" si="19"/>
        <v>4.5541474006100417E-2</v>
      </c>
      <c r="AL130" s="1014">
        <f t="shared" si="19"/>
        <v>6.8592047033195006E-2</v>
      </c>
      <c r="AM130" s="1014"/>
      <c r="AN130" s="1014"/>
      <c r="AO130" s="1014"/>
      <c r="AP130" s="1014"/>
      <c r="AQ130" s="1014">
        <f t="shared" ref="AQ130" si="20">(AQ128-AQ127)/AQ127</f>
        <v>1.9083969465648908E-2</v>
      </c>
    </row>
    <row r="131" spans="1:49" x14ac:dyDescent="0.35">
      <c r="A131" s="138" t="s">
        <v>2201</v>
      </c>
      <c r="C131" s="1014">
        <f>(C128-C118)/C118</f>
        <v>0.37305263157894725</v>
      </c>
      <c r="D131" s="1014">
        <f t="shared" ref="D131:G131" si="21">(D128-D118)/D118</f>
        <v>0.24258925486396057</v>
      </c>
      <c r="E131" s="1014">
        <f t="shared" si="21"/>
        <v>1.4071389178633702E-2</v>
      </c>
      <c r="F131" s="1014">
        <f t="shared" si="21"/>
        <v>0.29675870245935998</v>
      </c>
      <c r="G131" s="1014">
        <f t="shared" si="21"/>
        <v>0.24056519952835331</v>
      </c>
      <c r="H131" s="1014"/>
      <c r="I131" s="1014"/>
      <c r="J131" s="1014"/>
      <c r="K131" s="1014"/>
      <c r="L131" s="1014"/>
      <c r="M131" s="1014">
        <f>(M128-M118)/M118</f>
        <v>0.15874113294734093</v>
      </c>
      <c r="N131" s="1014">
        <f t="shared" ref="N131:Q131" si="22">(N128-N118)/N118</f>
        <v>4.8640997332716096E-2</v>
      </c>
      <c r="O131" s="1014">
        <f t="shared" si="22"/>
        <v>-0.1442088938461997</v>
      </c>
      <c r="P131" s="1014">
        <f t="shared" si="22"/>
        <v>9.4355462775780788E-2</v>
      </c>
      <c r="Q131" s="1014">
        <f t="shared" si="22"/>
        <v>4.6932864578888296E-2</v>
      </c>
      <c r="R131" s="1014"/>
      <c r="S131" s="1014"/>
      <c r="T131" s="1014"/>
      <c r="U131" s="1014"/>
      <c r="V131" s="1014">
        <f t="shared" ref="V131" si="23">(V128-V118)/V118</f>
        <v>0.18495200743110746</v>
      </c>
      <c r="W131" s="1015"/>
      <c r="X131" s="1014">
        <f>(X128-X118)/X118</f>
        <v>0.34917517674783982</v>
      </c>
      <c r="Y131" s="1014">
        <f t="shared" ref="Y131:AB131" si="24">(Y128-Y118)/Y118</f>
        <v>0.24258925486396057</v>
      </c>
      <c r="Z131" s="1014">
        <f t="shared" si="24"/>
        <v>2.4940295370176876E-2</v>
      </c>
      <c r="AA131" s="1014">
        <f t="shared" si="24"/>
        <v>0.30747506616703635</v>
      </c>
      <c r="AB131" s="1014">
        <f t="shared" si="24"/>
        <v>0.25001840446373863</v>
      </c>
      <c r="AC131" s="1014"/>
      <c r="AD131" s="1014"/>
      <c r="AE131" s="1014"/>
      <c r="AF131" s="1014"/>
      <c r="AG131" s="1014"/>
      <c r="AH131" s="1014">
        <f>(AH128-AH118)/AH118</f>
        <v>0.13859056593587823</v>
      </c>
      <c r="AI131" s="1014">
        <f t="shared" ref="AI131:AL131" si="25">(AI128-AI118)/AI118</f>
        <v>4.8640997332716096E-2</v>
      </c>
      <c r="AJ131" s="1014">
        <f t="shared" si="25"/>
        <v>-0.13503644962619604</v>
      </c>
      <c r="AK131" s="1014">
        <f t="shared" si="25"/>
        <v>0.10339917394760163</v>
      </c>
      <c r="AL131" s="1014">
        <f t="shared" si="25"/>
        <v>5.4910575807783503E-2</v>
      </c>
      <c r="AM131" s="1014"/>
      <c r="AN131" s="1014"/>
      <c r="AO131" s="1014"/>
      <c r="AP131" s="1014"/>
      <c r="AQ131" s="1014">
        <f t="shared" ref="AQ131" si="26">(AQ128-AQ118)/AQ118</f>
        <v>0.18495200743110746</v>
      </c>
    </row>
    <row r="132" spans="1:49" x14ac:dyDescent="0.35">
      <c r="A132" s="138" t="s">
        <v>2202</v>
      </c>
      <c r="C132" s="1014">
        <f>(C128-C123)/C123</f>
        <v>0.10168918918918925</v>
      </c>
      <c r="D132" s="1014">
        <f t="shared" ref="D132:G132" si="27">(D128-D123)/D123</f>
        <v>-0.16513335231018472</v>
      </c>
      <c r="E132" s="1014">
        <f t="shared" si="27"/>
        <v>-0.15093737294666257</v>
      </c>
      <c r="F132" s="1014">
        <f t="shared" si="27"/>
        <v>0.15946535066649259</v>
      </c>
      <c r="G132" s="1014">
        <f t="shared" si="27"/>
        <v>4.1439241461716771E-2</v>
      </c>
      <c r="H132" s="1014"/>
      <c r="I132" s="1014"/>
      <c r="J132" s="1014"/>
      <c r="K132" s="1014"/>
      <c r="L132" s="1014"/>
      <c r="M132" s="1014">
        <f>(M128-M123)/M123</f>
        <v>1.4271816891362333E-2</v>
      </c>
      <c r="N132" s="1014">
        <f t="shared" ref="N132:Q132" si="28">(N128-N123)/N123</f>
        <v>-0.23137875916023457</v>
      </c>
      <c r="O132" s="1014">
        <f t="shared" si="28"/>
        <v>-0.21830920930635161</v>
      </c>
      <c r="P132" s="1014">
        <f t="shared" si="28"/>
        <v>6.7463527266338127E-2</v>
      </c>
      <c r="Q132" s="1014">
        <f t="shared" si="28"/>
        <v>-4.1197388533198577E-2</v>
      </c>
      <c r="R132" s="1014"/>
      <c r="S132" s="1014"/>
      <c r="T132" s="1014"/>
      <c r="U132" s="1014"/>
      <c r="V132" s="1014">
        <f t="shared" ref="V132" si="29">(V128-V123)/V123</f>
        <v>8.6187322611163658E-2</v>
      </c>
      <c r="W132" s="1015"/>
      <c r="X132" s="1014">
        <f>(X128-X123)/X123</f>
        <v>9.6043395022335887E-2</v>
      </c>
      <c r="Y132" s="1014">
        <f t="shared" ref="Y132:AB132" si="30">(Y128-Y123)/Y123</f>
        <v>-0.16513335231018472</v>
      </c>
      <c r="Z132" s="1014">
        <f t="shared" si="30"/>
        <v>-0.14313809057829383</v>
      </c>
      <c r="AA132" s="1014">
        <f t="shared" si="30"/>
        <v>0.17267497340290647</v>
      </c>
      <c r="AB132" s="1014">
        <f t="shared" si="30"/>
        <v>5.068798921875433E-2</v>
      </c>
      <c r="AC132" s="1014"/>
      <c r="AD132" s="1014"/>
      <c r="AE132" s="1014"/>
      <c r="AF132" s="1014"/>
      <c r="AG132" s="1014"/>
      <c r="AH132" s="1014">
        <f>(AH128-AH123)/AH123</f>
        <v>9.0740079597672781E-3</v>
      </c>
      <c r="AI132" s="1014">
        <f t="shared" ref="AI132:AL132" si="31">(AI128-AI123)/AI123</f>
        <v>-0.23137875916023457</v>
      </c>
      <c r="AJ132" s="1014">
        <f t="shared" si="31"/>
        <v>-0.2111287882076967</v>
      </c>
      <c r="AK132" s="1014">
        <f t="shared" si="31"/>
        <v>7.962498640089892E-2</v>
      </c>
      <c r="AL132" s="1014">
        <f t="shared" si="31"/>
        <v>-3.2682514934044678E-2</v>
      </c>
      <c r="AM132" s="1014"/>
      <c r="AN132" s="1014"/>
      <c r="AO132" s="1014"/>
      <c r="AP132" s="1014"/>
      <c r="AQ132" s="1014">
        <f t="shared" ref="AQ132" si="32">(AQ128-AQ123)/AQ123</f>
        <v>8.6187322611163658E-2</v>
      </c>
    </row>
    <row r="133" spans="1:49" x14ac:dyDescent="0.35">
      <c r="C133" s="1001"/>
      <c r="D133" s="1001"/>
      <c r="E133" s="1001"/>
      <c r="F133" s="1001"/>
      <c r="G133" s="1001"/>
      <c r="M133" s="1016"/>
      <c r="N133" s="1016"/>
      <c r="O133" s="1016"/>
      <c r="P133" s="1016"/>
      <c r="Q133" s="1016"/>
      <c r="V133" s="1013"/>
      <c r="X133" s="1002"/>
      <c r="Y133" s="1002"/>
      <c r="Z133" s="1002"/>
      <c r="AA133" s="1002"/>
      <c r="AB133" s="1002"/>
      <c r="AQ133" s="1013"/>
    </row>
    <row r="134" spans="1:49" x14ac:dyDescent="0.35">
      <c r="C134" s="1001"/>
      <c r="D134" s="1001"/>
      <c r="E134" s="1001"/>
      <c r="F134" s="1001"/>
      <c r="G134" s="1001"/>
      <c r="M134" s="1002"/>
      <c r="N134" s="1002"/>
      <c r="O134" s="1017"/>
      <c r="P134" s="1002"/>
      <c r="Q134" s="1002"/>
      <c r="V134" s="1018" t="s">
        <v>2203</v>
      </c>
      <c r="X134" s="1002"/>
      <c r="Y134" s="1002"/>
      <c r="Z134" s="1002"/>
      <c r="AA134" s="1002"/>
      <c r="AB134" s="1002"/>
      <c r="AH134" s="1014"/>
      <c r="AI134" s="1014"/>
      <c r="AJ134" s="1014"/>
      <c r="AK134" s="1014"/>
      <c r="AL134" s="1014"/>
      <c r="AQ134" s="1018" t="s">
        <v>2203</v>
      </c>
      <c r="AR134" s="1019"/>
      <c r="AS134" s="1020"/>
      <c r="AT134" s="1019"/>
      <c r="AU134" s="1019"/>
      <c r="AV134" s="1019"/>
      <c r="AW134" s="1019"/>
    </row>
    <row r="135" spans="1:49" x14ac:dyDescent="0.35">
      <c r="C135" s="1001"/>
      <c r="D135" s="1001"/>
      <c r="E135" s="1001"/>
      <c r="F135" s="1001"/>
      <c r="G135" s="1001"/>
      <c r="M135" s="1002"/>
      <c r="N135" s="1002"/>
      <c r="O135" s="1002"/>
      <c r="P135" s="1002"/>
      <c r="Q135" s="1002"/>
      <c r="V135" s="1021" t="s">
        <v>2204</v>
      </c>
      <c r="X135" s="1002"/>
      <c r="Y135" s="1002"/>
      <c r="Z135" s="1002"/>
      <c r="AA135" s="1002"/>
      <c r="AB135" s="1002"/>
      <c r="AQ135" s="1021" t="s">
        <v>2204</v>
      </c>
      <c r="AR135" s="1019"/>
      <c r="AS135" s="1019"/>
      <c r="AT135" s="1019"/>
      <c r="AU135" s="1019"/>
      <c r="AV135" s="1019"/>
      <c r="AW135" s="1019"/>
    </row>
    <row r="136" spans="1:49" x14ac:dyDescent="0.35">
      <c r="C136" s="1001"/>
      <c r="D136" s="1001"/>
      <c r="E136" s="1001"/>
      <c r="F136" s="1001"/>
      <c r="G136" s="1001"/>
      <c r="M136" s="1002"/>
      <c r="N136" s="1002"/>
      <c r="O136" s="1002"/>
      <c r="P136" s="1002"/>
      <c r="Q136" s="1002"/>
      <c r="V136" s="1021" t="s">
        <v>2205</v>
      </c>
      <c r="X136" s="1002"/>
      <c r="Y136" s="1002"/>
      <c r="Z136" s="1002"/>
      <c r="AA136" s="1002"/>
      <c r="AB136" s="1002"/>
      <c r="AQ136" s="1021" t="s">
        <v>2205</v>
      </c>
      <c r="AR136" s="75"/>
      <c r="AS136" s="75"/>
      <c r="AT136" s="75"/>
      <c r="AU136" s="75"/>
      <c r="AV136" s="75"/>
      <c r="AW136" s="75"/>
    </row>
    <row r="137" spans="1:49" x14ac:dyDescent="0.35">
      <c r="A137" s="1022"/>
      <c r="C137" s="1001"/>
      <c r="D137" s="1001"/>
      <c r="E137" s="1001"/>
      <c r="F137" s="1001"/>
      <c r="G137" s="1001"/>
      <c r="M137" s="1001"/>
      <c r="N137" s="1001"/>
      <c r="O137" s="1002"/>
      <c r="P137" s="1001"/>
      <c r="Q137" s="1001"/>
      <c r="V137" s="1013"/>
      <c r="X137" s="1003"/>
      <c r="Y137" s="1003"/>
      <c r="Z137" s="1003"/>
      <c r="AA137" s="1003"/>
      <c r="AB137" s="1003"/>
      <c r="AI137" s="1023"/>
    </row>
    <row r="138" spans="1:49" x14ac:dyDescent="0.35">
      <c r="A138" s="1024" t="s">
        <v>2206</v>
      </c>
      <c r="C138" s="1001"/>
      <c r="D138" s="1001"/>
      <c r="E138" s="1001"/>
      <c r="F138" s="1001"/>
      <c r="G138" s="1001"/>
      <c r="M138" s="1001"/>
      <c r="N138" s="1001"/>
      <c r="O138" s="1001"/>
      <c r="P138" s="1001"/>
      <c r="Q138" s="1001"/>
      <c r="V138" s="138"/>
      <c r="X138" s="1003"/>
      <c r="Y138" s="1003"/>
      <c r="Z138" s="1003"/>
      <c r="AA138" s="1003"/>
      <c r="AB138" s="1003"/>
    </row>
    <row r="139" spans="1:49" x14ac:dyDescent="0.35">
      <c r="C139" s="1001"/>
      <c r="D139" s="1001"/>
      <c r="E139" s="1001"/>
      <c r="F139" s="1001"/>
      <c r="G139" s="1001"/>
      <c r="M139" s="1001"/>
      <c r="N139" s="1001"/>
      <c r="O139" s="1001"/>
      <c r="P139" s="1001"/>
      <c r="Q139" s="1001"/>
      <c r="V139" s="1003"/>
      <c r="AQ139" s="138"/>
    </row>
    <row r="140" spans="1:49" x14ac:dyDescent="0.35">
      <c r="C140" s="1001"/>
      <c r="D140" s="1001"/>
      <c r="E140" s="1001"/>
      <c r="F140" s="1001"/>
      <c r="G140" s="1001"/>
      <c r="M140" s="1001"/>
      <c r="N140" s="1001"/>
      <c r="O140" s="1001"/>
      <c r="P140" s="1001"/>
      <c r="Q140" s="1001"/>
      <c r="V140" s="1003"/>
      <c r="AQ140" s="138"/>
    </row>
    <row r="141" spans="1:49" x14ac:dyDescent="0.35">
      <c r="A141" s="1025"/>
      <c r="C141" s="1001"/>
      <c r="D141" s="1001"/>
      <c r="E141" s="1001"/>
      <c r="F141" s="1001"/>
      <c r="G141" s="1001"/>
      <c r="M141" s="1001"/>
      <c r="N141" s="1001"/>
      <c r="O141" s="1001"/>
      <c r="P141" s="1001"/>
      <c r="Q141" s="1001"/>
      <c r="V141" s="138"/>
      <c r="AQ141" s="138"/>
    </row>
    <row r="142" spans="1:49" x14ac:dyDescent="0.35">
      <c r="A142" s="1025"/>
      <c r="C142" s="1001"/>
      <c r="D142" s="1001"/>
      <c r="E142" s="1001"/>
      <c r="F142" s="1001"/>
      <c r="G142" s="1003"/>
      <c r="M142" s="1001"/>
      <c r="N142" s="1001"/>
      <c r="O142" s="1001"/>
      <c r="P142" s="1001"/>
      <c r="Q142" s="1001"/>
      <c r="V142" s="138"/>
    </row>
    <row r="143" spans="1:49" x14ac:dyDescent="0.35">
      <c r="A143" s="1025"/>
      <c r="C143" s="1001"/>
      <c r="D143" s="1001"/>
      <c r="E143" s="1001"/>
      <c r="F143" s="1001"/>
      <c r="G143" s="1003"/>
      <c r="M143" s="1001"/>
      <c r="N143" s="1001"/>
      <c r="O143" s="1001"/>
      <c r="P143" s="1001"/>
      <c r="Q143" s="1001"/>
      <c r="V143" s="138"/>
    </row>
    <row r="144" spans="1:49" x14ac:dyDescent="0.35">
      <c r="A144" s="1025"/>
      <c r="C144" s="1001"/>
      <c r="D144" s="1001"/>
      <c r="E144" s="1001"/>
      <c r="F144" s="1001"/>
      <c r="G144" s="1003"/>
      <c r="M144" s="1001"/>
      <c r="N144" s="1001"/>
      <c r="O144" s="1001"/>
      <c r="P144" s="1001"/>
      <c r="Q144" s="1001"/>
      <c r="V144" s="138"/>
    </row>
    <row r="145" spans="3:43" x14ac:dyDescent="0.35">
      <c r="C145" s="1001"/>
      <c r="D145" s="1001"/>
      <c r="E145" s="1001"/>
      <c r="F145" s="1001"/>
      <c r="G145" s="1001"/>
      <c r="M145" s="1001"/>
      <c r="N145" s="1001"/>
      <c r="O145" s="1001"/>
      <c r="P145" s="1001"/>
      <c r="Q145" s="1001"/>
      <c r="V145" s="1013"/>
    </row>
    <row r="146" spans="3:43" x14ac:dyDescent="0.35">
      <c r="C146" s="1001"/>
      <c r="D146" s="1001"/>
      <c r="E146" s="1001"/>
      <c r="F146" s="1001"/>
      <c r="G146" s="1001"/>
      <c r="M146" s="1001"/>
      <c r="N146" s="1001"/>
      <c r="O146" s="1001"/>
      <c r="P146" s="1001"/>
      <c r="Q146" s="1001"/>
      <c r="V146" s="1013"/>
    </row>
    <row r="147" spans="3:43" x14ac:dyDescent="0.35">
      <c r="C147" s="1001"/>
      <c r="D147" s="1001"/>
      <c r="E147" s="1001"/>
      <c r="F147" s="1001"/>
      <c r="G147" s="1001"/>
      <c r="M147" s="1001"/>
      <c r="N147" s="1001"/>
      <c r="O147" s="1001"/>
      <c r="P147" s="1001"/>
      <c r="Q147" s="1001"/>
      <c r="V147" s="1013"/>
    </row>
    <row r="148" spans="3:43" x14ac:dyDescent="0.35">
      <c r="C148" s="1001"/>
      <c r="D148" s="1001"/>
      <c r="E148" s="1001"/>
      <c r="F148" s="1001"/>
      <c r="G148" s="1001"/>
      <c r="M148" s="1001"/>
      <c r="N148" s="1001"/>
      <c r="O148" s="1001"/>
      <c r="P148" s="1001"/>
      <c r="Q148" s="1001"/>
      <c r="V148" s="1013"/>
    </row>
    <row r="149" spans="3:43" x14ac:dyDescent="0.35">
      <c r="C149" s="1001"/>
      <c r="D149" s="1001"/>
      <c r="E149" s="1001"/>
      <c r="F149" s="1001"/>
      <c r="G149" s="1001"/>
      <c r="M149" s="1001"/>
      <c r="N149" s="1001"/>
      <c r="O149" s="1001"/>
      <c r="P149" s="1001"/>
      <c r="Q149" s="1001"/>
      <c r="V149" s="1013"/>
    </row>
    <row r="150" spans="3:43" x14ac:dyDescent="0.35">
      <c r="C150" s="1001"/>
      <c r="D150" s="1001"/>
      <c r="E150" s="1001"/>
      <c r="F150" s="1001"/>
      <c r="G150" s="1001"/>
      <c r="M150" s="1001"/>
      <c r="N150" s="1001"/>
      <c r="O150" s="1001"/>
      <c r="P150" s="1001"/>
      <c r="Q150" s="1001"/>
      <c r="V150" s="1013"/>
    </row>
    <row r="151" spans="3:43" x14ac:dyDescent="0.35">
      <c r="C151" s="1001"/>
      <c r="D151" s="1001"/>
      <c r="E151" s="1001"/>
      <c r="F151" s="1001"/>
      <c r="G151" s="1001"/>
      <c r="M151" s="1001"/>
      <c r="N151" s="1001"/>
      <c r="O151" s="1001"/>
      <c r="P151" s="1001"/>
      <c r="Q151" s="1001"/>
      <c r="V151" s="1013"/>
    </row>
    <row r="152" spans="3:43" x14ac:dyDescent="0.35">
      <c r="C152" s="1001"/>
      <c r="D152" s="1001"/>
      <c r="E152" s="1001"/>
      <c r="F152" s="1001"/>
      <c r="G152" s="1001"/>
      <c r="M152" s="1001"/>
      <c r="N152" s="1001"/>
      <c r="O152" s="1001"/>
      <c r="P152" s="1001"/>
      <c r="Q152" s="1001"/>
      <c r="V152" s="1013"/>
    </row>
    <row r="153" spans="3:43" x14ac:dyDescent="0.35">
      <c r="C153" s="1001"/>
      <c r="D153" s="1001"/>
      <c r="E153" s="1001"/>
      <c r="F153" s="1001"/>
      <c r="G153" s="1001"/>
      <c r="M153" s="1001"/>
      <c r="N153" s="1001"/>
      <c r="O153" s="1001"/>
      <c r="P153" s="1001"/>
      <c r="Q153" s="1001"/>
      <c r="V153" s="1013"/>
    </row>
    <row r="154" spans="3:43" x14ac:dyDescent="0.35">
      <c r="C154" s="1001"/>
      <c r="D154" s="1001"/>
      <c r="E154" s="1001"/>
      <c r="F154" s="1001"/>
      <c r="G154" s="1001"/>
      <c r="M154" s="1001"/>
      <c r="N154" s="1001"/>
      <c r="O154" s="1001"/>
      <c r="P154" s="1001"/>
      <c r="Q154" s="1001"/>
      <c r="V154" s="1013"/>
      <c r="W154" s="138"/>
      <c r="AQ154" s="138"/>
    </row>
    <row r="155" spans="3:43" x14ac:dyDescent="0.35">
      <c r="C155" s="1001"/>
      <c r="D155" s="1001"/>
      <c r="E155" s="1001"/>
      <c r="F155" s="1001"/>
      <c r="G155" s="1001"/>
      <c r="M155" s="1001"/>
      <c r="N155" s="1001"/>
      <c r="O155" s="1001"/>
      <c r="P155" s="1001"/>
      <c r="Q155" s="1001"/>
      <c r="V155" s="1013"/>
      <c r="W155" s="138"/>
      <c r="AQ155" s="138"/>
    </row>
    <row r="156" spans="3:43" x14ac:dyDescent="0.35">
      <c r="C156" s="1001"/>
      <c r="D156" s="1001"/>
      <c r="E156" s="1001"/>
      <c r="F156" s="1001"/>
      <c r="G156" s="1001"/>
      <c r="M156" s="1001"/>
      <c r="N156" s="1001"/>
      <c r="O156" s="1001"/>
      <c r="P156" s="1001"/>
      <c r="Q156" s="1001"/>
      <c r="V156" s="1013"/>
      <c r="W156" s="138"/>
      <c r="AQ156" s="138"/>
    </row>
    <row r="157" spans="3:43" x14ac:dyDescent="0.35">
      <c r="C157" s="1001"/>
      <c r="D157" s="1001"/>
      <c r="E157" s="1001"/>
      <c r="F157" s="1001"/>
      <c r="G157" s="1001"/>
      <c r="M157" s="1001"/>
      <c r="N157" s="1001"/>
      <c r="O157" s="1001"/>
      <c r="P157" s="1001"/>
      <c r="Q157" s="1001"/>
      <c r="V157" s="1013"/>
      <c r="W157" s="138"/>
      <c r="AQ157" s="138"/>
    </row>
    <row r="158" spans="3:43" x14ac:dyDescent="0.35">
      <c r="C158" s="1001"/>
      <c r="D158" s="1001"/>
      <c r="E158" s="1001"/>
      <c r="F158" s="1001"/>
      <c r="G158" s="1001"/>
      <c r="M158" s="1001"/>
      <c r="N158" s="1001"/>
      <c r="O158" s="1001"/>
      <c r="P158" s="1001"/>
      <c r="Q158" s="1001"/>
      <c r="V158" s="1013"/>
      <c r="W158" s="138"/>
      <c r="AQ158" s="138"/>
    </row>
    <row r="159" spans="3:43" x14ac:dyDescent="0.35">
      <c r="C159" s="1001"/>
      <c r="D159" s="1001"/>
      <c r="E159" s="1001"/>
      <c r="F159" s="1001"/>
      <c r="G159" s="1001"/>
      <c r="M159" s="1001"/>
      <c r="N159" s="1001"/>
      <c r="O159" s="1001"/>
      <c r="P159" s="1001"/>
      <c r="Q159" s="1001"/>
      <c r="V159" s="1013"/>
      <c r="W159" s="138"/>
      <c r="AQ159" s="138"/>
    </row>
    <row r="160" spans="3:43" x14ac:dyDescent="0.35">
      <c r="C160" s="1001"/>
      <c r="D160" s="1001"/>
      <c r="E160" s="1001"/>
      <c r="F160" s="1001"/>
      <c r="G160" s="1001"/>
      <c r="M160" s="1001"/>
      <c r="N160" s="1001"/>
      <c r="O160" s="1001"/>
      <c r="P160" s="1001"/>
      <c r="Q160" s="1001"/>
      <c r="V160" s="1013"/>
      <c r="W160" s="138"/>
      <c r="AQ160" s="138"/>
    </row>
    <row r="161" spans="3:43" x14ac:dyDescent="0.35">
      <c r="C161" s="1001"/>
      <c r="D161" s="1001"/>
      <c r="E161" s="1001"/>
      <c r="F161" s="1001"/>
      <c r="G161" s="1001"/>
      <c r="M161" s="1001"/>
      <c r="N161" s="1001"/>
      <c r="O161" s="1001"/>
      <c r="P161" s="1001"/>
      <c r="Q161" s="1001"/>
      <c r="V161" s="1013"/>
      <c r="W161" s="138"/>
      <c r="AQ161" s="138"/>
    </row>
    <row r="162" spans="3:43" x14ac:dyDescent="0.35">
      <c r="C162" s="1001"/>
      <c r="D162" s="1001"/>
      <c r="E162" s="1001"/>
      <c r="F162" s="1001"/>
      <c r="G162" s="1001"/>
      <c r="M162" s="1001"/>
      <c r="N162" s="1001"/>
      <c r="O162" s="1001"/>
      <c r="P162" s="1001"/>
      <c r="Q162" s="1001"/>
      <c r="V162" s="1013"/>
      <c r="W162" s="138"/>
      <c r="AQ162" s="138"/>
    </row>
    <row r="163" spans="3:43" x14ac:dyDescent="0.35">
      <c r="C163" s="1001"/>
      <c r="D163" s="1001"/>
      <c r="E163" s="1001"/>
      <c r="F163" s="1001"/>
      <c r="G163" s="1001"/>
      <c r="M163" s="1001"/>
      <c r="N163" s="1001"/>
      <c r="O163" s="1001"/>
      <c r="P163" s="1001"/>
      <c r="Q163" s="1001"/>
      <c r="V163" s="1013"/>
      <c r="W163" s="138"/>
      <c r="AQ163" s="138"/>
    </row>
    <row r="164" spans="3:43" x14ac:dyDescent="0.35">
      <c r="C164" s="1001"/>
      <c r="D164" s="1001"/>
      <c r="E164" s="1001"/>
      <c r="F164" s="1001"/>
      <c r="G164" s="1001"/>
      <c r="M164" s="1001"/>
      <c r="N164" s="1001"/>
      <c r="O164" s="1001"/>
      <c r="P164" s="1001"/>
      <c r="Q164" s="1001"/>
      <c r="V164" s="1013"/>
      <c r="W164" s="138"/>
      <c r="AQ164" s="138"/>
    </row>
    <row r="165" spans="3:43" x14ac:dyDescent="0.35">
      <c r="C165" s="1001"/>
      <c r="D165" s="1001"/>
      <c r="E165" s="1001"/>
      <c r="F165" s="1001"/>
      <c r="G165" s="1001"/>
      <c r="M165" s="1001"/>
      <c r="N165" s="1001"/>
      <c r="O165" s="1001"/>
      <c r="P165" s="1001"/>
      <c r="Q165" s="1001"/>
      <c r="V165" s="1013"/>
      <c r="W165" s="138"/>
      <c r="AQ165" s="138"/>
    </row>
    <row r="166" spans="3:43" x14ac:dyDescent="0.35">
      <c r="C166" s="1001"/>
      <c r="D166" s="1001"/>
      <c r="E166" s="1001"/>
      <c r="F166" s="1001"/>
      <c r="G166" s="1001"/>
      <c r="M166" s="1001"/>
      <c r="N166" s="1001"/>
      <c r="O166" s="1001"/>
      <c r="P166" s="1001"/>
      <c r="Q166" s="1001"/>
      <c r="V166" s="1013"/>
      <c r="W166" s="138"/>
      <c r="AQ166" s="138"/>
    </row>
    <row r="167" spans="3:43" x14ac:dyDescent="0.35">
      <c r="C167" s="1001"/>
      <c r="D167" s="1001"/>
      <c r="E167" s="1001"/>
      <c r="F167" s="1001"/>
      <c r="G167" s="1001"/>
      <c r="M167" s="1001"/>
      <c r="N167" s="1001"/>
      <c r="O167" s="1001"/>
      <c r="P167" s="1001"/>
      <c r="Q167" s="1001"/>
      <c r="V167" s="1013"/>
      <c r="W167" s="138"/>
      <c r="AQ167" s="138"/>
    </row>
    <row r="168" spans="3:43" x14ac:dyDescent="0.35">
      <c r="C168" s="1001"/>
      <c r="D168" s="1001"/>
      <c r="E168" s="1001"/>
      <c r="F168" s="1001"/>
      <c r="G168" s="1001"/>
      <c r="M168" s="1001"/>
      <c r="N168" s="1001"/>
      <c r="O168" s="1001"/>
      <c r="P168" s="1001"/>
      <c r="Q168" s="1001"/>
      <c r="V168" s="1013"/>
      <c r="W168" s="138"/>
      <c r="AQ168" s="138"/>
    </row>
    <row r="169" spans="3:43" x14ac:dyDescent="0.35">
      <c r="C169" s="1001"/>
      <c r="D169" s="1001"/>
      <c r="E169" s="1001"/>
      <c r="F169" s="1001"/>
      <c r="G169" s="1001"/>
      <c r="M169" s="1001"/>
      <c r="N169" s="1001"/>
      <c r="O169" s="1001"/>
      <c r="P169" s="1001"/>
      <c r="Q169" s="1001"/>
      <c r="V169" s="1013"/>
      <c r="W169" s="138"/>
      <c r="AQ169" s="138"/>
    </row>
    <row r="170" spans="3:43" x14ac:dyDescent="0.35">
      <c r="C170" s="1001"/>
      <c r="D170" s="1001"/>
      <c r="E170" s="1001"/>
      <c r="F170" s="1001"/>
      <c r="G170" s="1001"/>
      <c r="M170" s="1001"/>
      <c r="N170" s="1001"/>
      <c r="O170" s="1001"/>
      <c r="P170" s="1001"/>
      <c r="Q170" s="1001"/>
      <c r="V170" s="1013"/>
      <c r="W170" s="138"/>
      <c r="AQ170" s="138"/>
    </row>
    <row r="171" spans="3:43" x14ac:dyDescent="0.35">
      <c r="C171" s="1001"/>
      <c r="D171" s="1001"/>
      <c r="E171" s="1001"/>
      <c r="F171" s="1001"/>
      <c r="G171" s="1001"/>
      <c r="M171" s="1001"/>
      <c r="N171" s="1001"/>
      <c r="O171" s="1001"/>
      <c r="P171" s="1001"/>
      <c r="Q171" s="1001"/>
      <c r="V171" s="1013"/>
      <c r="W171" s="138"/>
      <c r="AQ171" s="138"/>
    </row>
    <row r="172" spans="3:43" x14ac:dyDescent="0.35">
      <c r="C172" s="1001"/>
      <c r="D172" s="1001"/>
      <c r="E172" s="1001"/>
      <c r="F172" s="1001"/>
      <c r="G172" s="1001"/>
      <c r="M172" s="1001"/>
      <c r="N172" s="1001"/>
      <c r="O172" s="1001"/>
      <c r="P172" s="1001"/>
      <c r="Q172" s="1001"/>
      <c r="V172" s="1013"/>
      <c r="W172" s="138"/>
      <c r="AQ172" s="138"/>
    </row>
    <row r="173" spans="3:43" x14ac:dyDescent="0.35">
      <c r="C173" s="1001"/>
      <c r="D173" s="1001"/>
      <c r="E173" s="1001"/>
      <c r="F173" s="1001"/>
      <c r="G173" s="1001"/>
      <c r="M173" s="1001"/>
      <c r="N173" s="1001"/>
      <c r="O173" s="1001"/>
      <c r="P173" s="1001"/>
      <c r="Q173" s="1001"/>
      <c r="V173" s="1013"/>
      <c r="W173" s="138"/>
      <c r="AQ173" s="138"/>
    </row>
    <row r="174" spans="3:43" x14ac:dyDescent="0.35">
      <c r="C174" s="1001"/>
      <c r="D174" s="1001"/>
      <c r="E174" s="1001"/>
      <c r="F174" s="1001"/>
      <c r="G174" s="1001"/>
      <c r="M174" s="1001"/>
      <c r="N174" s="1001"/>
      <c r="O174" s="1001"/>
      <c r="P174" s="1001"/>
      <c r="Q174" s="1001"/>
      <c r="V174" s="1013"/>
      <c r="W174" s="138"/>
      <c r="AQ174" s="138"/>
    </row>
    <row r="175" spans="3:43" x14ac:dyDescent="0.35">
      <c r="C175" s="1001"/>
      <c r="D175" s="1001"/>
      <c r="E175" s="1001"/>
      <c r="F175" s="1001"/>
      <c r="G175" s="1001"/>
      <c r="M175" s="1001"/>
      <c r="N175" s="1001"/>
      <c r="O175" s="1001"/>
      <c r="P175" s="1001"/>
      <c r="Q175" s="1001"/>
      <c r="V175" s="1013"/>
      <c r="W175" s="138"/>
      <c r="AQ175" s="138"/>
    </row>
    <row r="176" spans="3:43" x14ac:dyDescent="0.35">
      <c r="C176" s="1001"/>
      <c r="D176" s="1001"/>
      <c r="E176" s="1001"/>
      <c r="F176" s="1001"/>
      <c r="G176" s="1001"/>
      <c r="M176" s="1001"/>
      <c r="N176" s="1001"/>
      <c r="O176" s="1001"/>
      <c r="P176" s="1001"/>
      <c r="Q176" s="1001"/>
      <c r="V176" s="1013"/>
      <c r="W176" s="138"/>
      <c r="AQ176" s="138"/>
    </row>
    <row r="177" spans="3:43" x14ac:dyDescent="0.35">
      <c r="C177" s="1001"/>
      <c r="D177" s="1001"/>
      <c r="E177" s="1001"/>
      <c r="F177" s="1001"/>
      <c r="G177" s="1001"/>
      <c r="M177" s="1001"/>
      <c r="N177" s="1001"/>
      <c r="O177" s="1001"/>
      <c r="P177" s="1001"/>
      <c r="Q177" s="1001"/>
      <c r="V177" s="1013"/>
      <c r="W177" s="138"/>
      <c r="AQ177" s="138"/>
    </row>
    <row r="178" spans="3:43" x14ac:dyDescent="0.35">
      <c r="C178" s="1001"/>
      <c r="D178" s="1001"/>
      <c r="E178" s="1001"/>
      <c r="F178" s="1001"/>
      <c r="G178" s="1001"/>
      <c r="M178" s="1001"/>
      <c r="N178" s="1001"/>
      <c r="O178" s="1001"/>
      <c r="P178" s="1001"/>
      <c r="Q178" s="1001"/>
      <c r="V178" s="1013"/>
      <c r="W178" s="138"/>
      <c r="AQ178" s="138"/>
    </row>
    <row r="179" spans="3:43" x14ac:dyDescent="0.35">
      <c r="C179" s="1001"/>
      <c r="D179" s="1001"/>
      <c r="E179" s="1001"/>
      <c r="F179" s="1001"/>
      <c r="G179" s="1001"/>
      <c r="M179" s="1001"/>
      <c r="N179" s="1001"/>
      <c r="O179" s="1001"/>
      <c r="P179" s="1001"/>
      <c r="Q179" s="1001"/>
      <c r="V179" s="1013"/>
      <c r="W179" s="138"/>
      <c r="AQ179" s="138"/>
    </row>
    <row r="180" spans="3:43" x14ac:dyDescent="0.35">
      <c r="C180" s="1001"/>
      <c r="D180" s="1001"/>
      <c r="E180" s="1001"/>
      <c r="F180" s="1001"/>
      <c r="G180" s="1001"/>
      <c r="M180" s="1001"/>
      <c r="N180" s="1001"/>
      <c r="O180" s="1001"/>
      <c r="P180" s="1001"/>
      <c r="Q180" s="1001"/>
      <c r="V180" s="1013"/>
      <c r="W180" s="138"/>
      <c r="AQ180" s="138"/>
    </row>
    <row r="181" spans="3:43" x14ac:dyDescent="0.35">
      <c r="C181" s="1001"/>
      <c r="D181" s="1001"/>
      <c r="E181" s="1001"/>
      <c r="F181" s="1001"/>
      <c r="G181" s="1001"/>
      <c r="M181" s="1001"/>
      <c r="N181" s="1001"/>
      <c r="O181" s="1001"/>
      <c r="P181" s="1001"/>
      <c r="Q181" s="1001"/>
      <c r="V181" s="1013"/>
      <c r="W181" s="138"/>
      <c r="AQ181" s="138"/>
    </row>
    <row r="182" spans="3:43" x14ac:dyDescent="0.35">
      <c r="C182" s="1001"/>
      <c r="D182" s="1001"/>
      <c r="E182" s="1001"/>
      <c r="F182" s="1001"/>
      <c r="G182" s="1001"/>
      <c r="M182" s="1001"/>
      <c r="N182" s="1001"/>
      <c r="O182" s="1001"/>
      <c r="P182" s="1001"/>
      <c r="Q182" s="1001"/>
      <c r="V182" s="1013"/>
      <c r="W182" s="138"/>
      <c r="AQ182" s="138"/>
    </row>
    <row r="183" spans="3:43" x14ac:dyDescent="0.35">
      <c r="C183" s="1001"/>
      <c r="D183" s="1001"/>
      <c r="E183" s="1001"/>
      <c r="F183" s="1001"/>
      <c r="G183" s="1001"/>
      <c r="M183" s="1001"/>
      <c r="N183" s="1001"/>
      <c r="O183" s="1001"/>
      <c r="P183" s="1001"/>
      <c r="Q183" s="1001"/>
      <c r="V183" s="1013"/>
      <c r="W183" s="138"/>
      <c r="AQ183" s="138"/>
    </row>
    <row r="184" spans="3:43" x14ac:dyDescent="0.35">
      <c r="C184" s="1001"/>
      <c r="D184" s="1001"/>
      <c r="E184" s="1001"/>
      <c r="F184" s="1001"/>
      <c r="G184" s="1001"/>
      <c r="M184" s="1001"/>
      <c r="N184" s="1001"/>
      <c r="O184" s="1001"/>
      <c r="P184" s="1001"/>
      <c r="Q184" s="1001"/>
      <c r="V184" s="1013"/>
      <c r="W184" s="138"/>
      <c r="AQ184" s="138"/>
    </row>
    <row r="185" spans="3:43" x14ac:dyDescent="0.35">
      <c r="C185" s="1001"/>
      <c r="D185" s="1001"/>
      <c r="E185" s="1001"/>
      <c r="F185" s="1001"/>
      <c r="G185" s="1001"/>
      <c r="M185" s="1001"/>
      <c r="N185" s="1001"/>
      <c r="O185" s="1001"/>
      <c r="P185" s="1001"/>
      <c r="Q185" s="1001"/>
      <c r="V185" s="1013"/>
      <c r="W185" s="138"/>
      <c r="AQ185" s="138"/>
    </row>
    <row r="186" spans="3:43" x14ac:dyDescent="0.35">
      <c r="C186" s="1001"/>
      <c r="D186" s="1001"/>
      <c r="E186" s="1001"/>
      <c r="F186" s="1001"/>
      <c r="G186" s="1001"/>
      <c r="M186" s="1001"/>
      <c r="N186" s="1001"/>
      <c r="O186" s="1001"/>
      <c r="P186" s="1001"/>
      <c r="Q186" s="1001"/>
      <c r="V186" s="1013"/>
      <c r="W186" s="138"/>
      <c r="AQ186" s="138"/>
    </row>
    <row r="187" spans="3:43" x14ac:dyDescent="0.35">
      <c r="C187" s="1001"/>
      <c r="D187" s="1001"/>
      <c r="E187" s="1001"/>
      <c r="F187" s="1001"/>
      <c r="G187" s="1001"/>
      <c r="M187" s="1001"/>
      <c r="N187" s="1001"/>
      <c r="O187" s="1001"/>
      <c r="P187" s="1001"/>
      <c r="Q187" s="1001"/>
      <c r="V187" s="1013"/>
      <c r="W187" s="138"/>
      <c r="AQ187" s="138"/>
    </row>
    <row r="188" spans="3:43" x14ac:dyDescent="0.35">
      <c r="C188" s="1001"/>
      <c r="D188" s="1001"/>
      <c r="E188" s="1001"/>
      <c r="F188" s="1001"/>
      <c r="G188" s="1001"/>
      <c r="M188" s="1001"/>
      <c r="N188" s="1001"/>
      <c r="O188" s="1001"/>
      <c r="P188" s="1001"/>
      <c r="Q188" s="1001"/>
      <c r="V188" s="1013"/>
      <c r="W188" s="138"/>
      <c r="AQ188" s="138"/>
    </row>
    <row r="189" spans="3:43" x14ac:dyDescent="0.35">
      <c r="C189" s="1001"/>
      <c r="D189" s="1001"/>
      <c r="E189" s="1001"/>
      <c r="F189" s="1001"/>
      <c r="G189" s="1001"/>
      <c r="M189" s="1001"/>
      <c r="N189" s="1001"/>
      <c r="O189" s="1001"/>
      <c r="P189" s="1001"/>
      <c r="Q189" s="1001"/>
      <c r="V189" s="1013"/>
      <c r="W189" s="138"/>
      <c r="AQ189" s="138"/>
    </row>
    <row r="190" spans="3:43" x14ac:dyDescent="0.35">
      <c r="C190" s="1001"/>
      <c r="D190" s="1001"/>
      <c r="E190" s="1001"/>
      <c r="F190" s="1001"/>
      <c r="G190" s="1001"/>
      <c r="M190" s="1001"/>
      <c r="N190" s="1001"/>
      <c r="O190" s="1001"/>
      <c r="P190" s="1001"/>
      <c r="Q190" s="1001"/>
      <c r="V190" s="1013"/>
      <c r="W190" s="138"/>
      <c r="AQ190" s="138"/>
    </row>
    <row r="191" spans="3:43" x14ac:dyDescent="0.35">
      <c r="C191" s="1001"/>
      <c r="D191" s="1001"/>
      <c r="E191" s="1001"/>
      <c r="F191" s="1001"/>
      <c r="G191" s="1001"/>
      <c r="M191" s="1001"/>
      <c r="N191" s="1001"/>
      <c r="O191" s="1001"/>
      <c r="P191" s="1001"/>
      <c r="Q191" s="1001"/>
      <c r="V191" s="1013"/>
      <c r="W191" s="138"/>
      <c r="AQ191" s="138"/>
    </row>
    <row r="192" spans="3:43" x14ac:dyDescent="0.35">
      <c r="C192" s="1001"/>
      <c r="D192" s="1001"/>
      <c r="E192" s="1001"/>
      <c r="F192" s="1001"/>
      <c r="G192" s="1001"/>
      <c r="M192" s="1001"/>
      <c r="N192" s="1001"/>
      <c r="O192" s="1001"/>
      <c r="P192" s="1001"/>
      <c r="Q192" s="1001"/>
      <c r="V192" s="1013"/>
      <c r="W192" s="138"/>
      <c r="AQ192" s="138"/>
    </row>
    <row r="193" spans="3:43" x14ac:dyDescent="0.35">
      <c r="C193" s="1001"/>
      <c r="D193" s="1001"/>
      <c r="E193" s="1001"/>
      <c r="F193" s="1001"/>
      <c r="G193" s="1001"/>
      <c r="M193" s="1001"/>
      <c r="N193" s="1001"/>
      <c r="O193" s="1001"/>
      <c r="P193" s="1001"/>
      <c r="Q193" s="1001"/>
      <c r="V193" s="1013"/>
      <c r="W193" s="138"/>
      <c r="AQ193" s="138"/>
    </row>
    <row r="194" spans="3:43" x14ac:dyDescent="0.35">
      <c r="C194" s="1001"/>
      <c r="D194" s="1001"/>
      <c r="E194" s="1001"/>
      <c r="F194" s="1001"/>
      <c r="G194" s="1001"/>
      <c r="M194" s="1001"/>
      <c r="N194" s="1001"/>
      <c r="O194" s="1001"/>
      <c r="P194" s="1001"/>
      <c r="Q194" s="1001"/>
      <c r="V194" s="1013"/>
      <c r="W194" s="138"/>
      <c r="AQ194" s="138"/>
    </row>
    <row r="195" spans="3:43" x14ac:dyDescent="0.35">
      <c r="C195" s="1001"/>
      <c r="D195" s="1001"/>
      <c r="E195" s="1001"/>
      <c r="F195" s="1001"/>
      <c r="G195" s="1001"/>
      <c r="M195" s="1001"/>
      <c r="N195" s="1001"/>
      <c r="O195" s="1001"/>
      <c r="P195" s="1001"/>
      <c r="Q195" s="1001"/>
      <c r="V195" s="1013"/>
      <c r="W195" s="138"/>
      <c r="AQ195" s="138"/>
    </row>
    <row r="196" spans="3:43" x14ac:dyDescent="0.35">
      <c r="C196" s="1001"/>
      <c r="D196" s="1001"/>
      <c r="E196" s="1001"/>
      <c r="F196" s="1001"/>
      <c r="G196" s="1001"/>
      <c r="M196" s="1001"/>
      <c r="N196" s="1001"/>
      <c r="O196" s="1001"/>
      <c r="P196" s="1001"/>
      <c r="Q196" s="1001"/>
      <c r="V196" s="1013"/>
      <c r="W196" s="138"/>
      <c r="AQ196" s="138"/>
    </row>
    <row r="197" spans="3:43" x14ac:dyDescent="0.35">
      <c r="C197" s="1001"/>
      <c r="D197" s="1001"/>
      <c r="E197" s="1001"/>
      <c r="F197" s="1001"/>
      <c r="G197" s="1001"/>
      <c r="M197" s="1001"/>
      <c r="N197" s="1001"/>
      <c r="O197" s="1001"/>
      <c r="P197" s="1001"/>
      <c r="Q197" s="1001"/>
      <c r="V197" s="1013"/>
      <c r="W197" s="138"/>
      <c r="AQ197" s="138"/>
    </row>
    <row r="198" spans="3:43" x14ac:dyDescent="0.35">
      <c r="C198" s="1001"/>
      <c r="D198" s="1001"/>
      <c r="E198" s="1001"/>
      <c r="F198" s="1001"/>
      <c r="G198" s="1001"/>
      <c r="M198" s="1001"/>
      <c r="N198" s="1001"/>
      <c r="O198" s="1001"/>
      <c r="P198" s="1001"/>
      <c r="Q198" s="1001"/>
      <c r="V198" s="1013"/>
      <c r="W198" s="138"/>
      <c r="AQ198" s="138"/>
    </row>
    <row r="199" spans="3:43" x14ac:dyDescent="0.35">
      <c r="C199" s="1001"/>
      <c r="D199" s="1001"/>
      <c r="E199" s="1001"/>
      <c r="F199" s="1001"/>
      <c r="G199" s="1001"/>
      <c r="M199" s="1001"/>
      <c r="N199" s="1001"/>
      <c r="O199" s="1001"/>
      <c r="P199" s="1001"/>
      <c r="Q199" s="1001"/>
      <c r="V199" s="1013"/>
      <c r="W199" s="138"/>
      <c r="AQ199" s="138"/>
    </row>
    <row r="200" spans="3:43" x14ac:dyDescent="0.35">
      <c r="C200" s="1001"/>
      <c r="D200" s="1001"/>
      <c r="E200" s="1001"/>
      <c r="F200" s="1001"/>
      <c r="G200" s="1001"/>
      <c r="M200" s="1001"/>
      <c r="N200" s="1001"/>
      <c r="O200" s="1001"/>
      <c r="P200" s="1001"/>
      <c r="Q200" s="1001"/>
      <c r="V200" s="1013"/>
      <c r="W200" s="138"/>
      <c r="AQ200" s="138"/>
    </row>
    <row r="201" spans="3:43" x14ac:dyDescent="0.35">
      <c r="C201" s="1001"/>
      <c r="D201" s="1001"/>
      <c r="E201" s="1001"/>
      <c r="F201" s="1001"/>
      <c r="G201" s="1001"/>
      <c r="M201" s="1001"/>
      <c r="N201" s="1001"/>
      <c r="O201" s="1001"/>
      <c r="P201" s="1001"/>
      <c r="Q201" s="1001"/>
      <c r="V201" s="1013"/>
      <c r="W201" s="138"/>
      <c r="AQ201" s="138"/>
    </row>
    <row r="202" spans="3:43" x14ac:dyDescent="0.35">
      <c r="C202" s="1001"/>
      <c r="D202" s="1001"/>
      <c r="E202" s="1001"/>
      <c r="F202" s="1001"/>
      <c r="G202" s="1001"/>
      <c r="M202" s="1001"/>
      <c r="N202" s="1001"/>
      <c r="O202" s="1001"/>
      <c r="P202" s="1001"/>
      <c r="Q202" s="1001"/>
      <c r="V202" s="1013"/>
      <c r="W202" s="138"/>
      <c r="AQ202" s="138"/>
    </row>
    <row r="203" spans="3:43" x14ac:dyDescent="0.35">
      <c r="C203" s="1001"/>
      <c r="D203" s="1001"/>
      <c r="E203" s="1001"/>
      <c r="F203" s="1001"/>
      <c r="G203" s="1001"/>
      <c r="M203" s="1001"/>
      <c r="N203" s="1001"/>
      <c r="O203" s="1001"/>
      <c r="P203" s="1001"/>
      <c r="Q203" s="1001"/>
      <c r="V203" s="1013"/>
      <c r="W203" s="138"/>
      <c r="AQ203" s="138"/>
    </row>
    <row r="204" spans="3:43" x14ac:dyDescent="0.35">
      <c r="C204" s="1001"/>
      <c r="D204" s="1001"/>
      <c r="E204" s="1001"/>
      <c r="F204" s="1001"/>
      <c r="G204" s="1001"/>
      <c r="M204" s="1001"/>
      <c r="N204" s="1001"/>
      <c r="O204" s="1001"/>
      <c r="P204" s="1001"/>
      <c r="Q204" s="1001"/>
      <c r="V204" s="1013"/>
      <c r="W204" s="138"/>
      <c r="AQ204" s="138"/>
    </row>
    <row r="205" spans="3:43" x14ac:dyDescent="0.35">
      <c r="C205" s="1001"/>
      <c r="D205" s="1001"/>
      <c r="E205" s="1001"/>
      <c r="F205" s="1001"/>
      <c r="G205" s="1001"/>
      <c r="M205" s="1001"/>
      <c r="N205" s="1001"/>
      <c r="O205" s="1001"/>
      <c r="P205" s="1001"/>
      <c r="Q205" s="1001"/>
      <c r="V205" s="1013"/>
      <c r="W205" s="138"/>
      <c r="AQ205" s="138"/>
    </row>
    <row r="206" spans="3:43" x14ac:dyDescent="0.35">
      <c r="C206" s="1001"/>
      <c r="D206" s="1001"/>
      <c r="E206" s="1001"/>
      <c r="F206" s="1001"/>
      <c r="G206" s="1001"/>
      <c r="M206" s="1001"/>
      <c r="N206" s="1001"/>
      <c r="O206" s="1001"/>
      <c r="P206" s="1001"/>
      <c r="Q206" s="1001"/>
      <c r="V206" s="1013"/>
      <c r="W206" s="138"/>
      <c r="AQ206" s="138"/>
    </row>
    <row r="207" spans="3:43" x14ac:dyDescent="0.35">
      <c r="C207" s="1001"/>
      <c r="D207" s="1001"/>
      <c r="E207" s="1001"/>
      <c r="F207" s="1001"/>
      <c r="G207" s="1001"/>
      <c r="M207" s="1001"/>
      <c r="N207" s="1001"/>
      <c r="O207" s="1001"/>
      <c r="P207" s="1001"/>
      <c r="Q207" s="1001"/>
      <c r="V207" s="1013"/>
      <c r="W207" s="138"/>
      <c r="AQ207" s="138"/>
    </row>
    <row r="208" spans="3:43" x14ac:dyDescent="0.35">
      <c r="C208" s="1001"/>
      <c r="D208" s="1001"/>
      <c r="E208" s="1001"/>
      <c r="F208" s="1001"/>
      <c r="G208" s="1001"/>
      <c r="M208" s="1001"/>
      <c r="N208" s="1001"/>
      <c r="O208" s="1001"/>
      <c r="P208" s="1001"/>
      <c r="Q208" s="1001"/>
      <c r="V208" s="1013"/>
      <c r="W208" s="138"/>
      <c r="AQ208" s="138"/>
    </row>
    <row r="209" spans="3:43" x14ac:dyDescent="0.35">
      <c r="C209" s="1001"/>
      <c r="D209" s="1001"/>
      <c r="E209" s="1001"/>
      <c r="F209" s="1001"/>
      <c r="G209" s="1001"/>
      <c r="M209" s="1001"/>
      <c r="N209" s="1001"/>
      <c r="O209" s="1001"/>
      <c r="P209" s="1001"/>
      <c r="Q209" s="1001"/>
      <c r="V209" s="1013"/>
      <c r="W209" s="138"/>
      <c r="AQ209" s="138"/>
    </row>
    <row r="210" spans="3:43" x14ac:dyDescent="0.35">
      <c r="C210" s="1001"/>
      <c r="D210" s="1001"/>
      <c r="E210" s="1001"/>
      <c r="F210" s="1001"/>
      <c r="G210" s="1001"/>
      <c r="M210" s="1001"/>
      <c r="N210" s="1001"/>
      <c r="O210" s="1001"/>
      <c r="P210" s="1001"/>
      <c r="Q210" s="1001"/>
      <c r="V210" s="1013"/>
      <c r="W210" s="138"/>
      <c r="AQ210" s="138"/>
    </row>
    <row r="211" spans="3:43" x14ac:dyDescent="0.35">
      <c r="C211" s="1001"/>
      <c r="D211" s="1001"/>
      <c r="E211" s="1001"/>
      <c r="F211" s="1001"/>
      <c r="G211" s="1001"/>
      <c r="M211" s="1001"/>
      <c r="N211" s="1001"/>
      <c r="O211" s="1001"/>
      <c r="P211" s="1001"/>
      <c r="Q211" s="1001"/>
      <c r="V211" s="1013"/>
      <c r="W211" s="138"/>
      <c r="AQ211" s="138"/>
    </row>
    <row r="212" spans="3:43" x14ac:dyDescent="0.35">
      <c r="C212" s="1001"/>
      <c r="D212" s="1001"/>
      <c r="E212" s="1001"/>
      <c r="F212" s="1001"/>
      <c r="G212" s="1001"/>
      <c r="M212" s="1001"/>
      <c r="N212" s="1001"/>
      <c r="O212" s="1001"/>
      <c r="P212" s="1001"/>
      <c r="Q212" s="1001"/>
      <c r="V212" s="1013"/>
      <c r="W212" s="138"/>
      <c r="AQ212" s="138"/>
    </row>
    <row r="213" spans="3:43" x14ac:dyDescent="0.35">
      <c r="C213" s="1001"/>
      <c r="D213" s="1001"/>
      <c r="E213" s="1001"/>
      <c r="F213" s="1001"/>
      <c r="G213" s="1001"/>
      <c r="M213" s="1001"/>
      <c r="N213" s="1001"/>
      <c r="O213" s="1001"/>
      <c r="P213" s="1001"/>
      <c r="Q213" s="1001"/>
      <c r="V213" s="1013"/>
      <c r="W213" s="138"/>
      <c r="AQ213" s="138"/>
    </row>
    <row r="214" spans="3:43" x14ac:dyDescent="0.35">
      <c r="C214" s="1001"/>
      <c r="D214" s="1001"/>
      <c r="E214" s="1001"/>
      <c r="F214" s="1001"/>
      <c r="G214" s="1001"/>
      <c r="M214" s="1001"/>
      <c r="N214" s="1001"/>
      <c r="O214" s="1001"/>
      <c r="P214" s="1001"/>
      <c r="Q214" s="1001"/>
      <c r="V214" s="1013"/>
      <c r="W214" s="138"/>
      <c r="AQ214" s="138"/>
    </row>
    <row r="215" spans="3:43" x14ac:dyDescent="0.35">
      <c r="C215" s="1001"/>
      <c r="D215" s="1001"/>
      <c r="E215" s="1001"/>
      <c r="F215" s="1001"/>
      <c r="G215" s="1001"/>
      <c r="M215" s="1001"/>
      <c r="N215" s="1001"/>
      <c r="O215" s="1001"/>
      <c r="P215" s="1001"/>
      <c r="Q215" s="1001"/>
      <c r="V215" s="1013"/>
      <c r="W215" s="138"/>
      <c r="AQ215" s="138"/>
    </row>
    <row r="216" spans="3:43" x14ac:dyDescent="0.35">
      <c r="C216" s="1001"/>
      <c r="D216" s="1001"/>
      <c r="E216" s="1001"/>
      <c r="F216" s="1001"/>
      <c r="G216" s="1001"/>
      <c r="M216" s="1001"/>
      <c r="N216" s="1001"/>
      <c r="O216" s="1001"/>
      <c r="P216" s="1001"/>
      <c r="Q216" s="1001"/>
      <c r="V216" s="1013"/>
      <c r="W216" s="138"/>
      <c r="AQ216" s="138"/>
    </row>
    <row r="217" spans="3:43" x14ac:dyDescent="0.35">
      <c r="C217" s="1001"/>
      <c r="D217" s="1001"/>
      <c r="E217" s="1001"/>
      <c r="F217" s="1001"/>
      <c r="G217" s="1001"/>
      <c r="M217" s="1001"/>
      <c r="N217" s="1001"/>
      <c r="O217" s="1001"/>
      <c r="P217" s="1001"/>
      <c r="Q217" s="1001"/>
      <c r="V217" s="1013"/>
      <c r="W217" s="138"/>
      <c r="AQ217" s="138"/>
    </row>
    <row r="218" spans="3:43" x14ac:dyDescent="0.35">
      <c r="C218" s="1001"/>
      <c r="D218" s="1001"/>
      <c r="E218" s="1001"/>
      <c r="F218" s="1001"/>
      <c r="G218" s="1001"/>
      <c r="M218" s="1001"/>
      <c r="N218" s="1001"/>
      <c r="O218" s="1001"/>
      <c r="P218" s="1001"/>
      <c r="Q218" s="1001"/>
      <c r="V218" s="1013"/>
      <c r="W218" s="138"/>
      <c r="AQ218" s="138"/>
    </row>
    <row r="219" spans="3:43" x14ac:dyDescent="0.35">
      <c r="C219" s="1001"/>
      <c r="D219" s="1001"/>
      <c r="E219" s="1001"/>
      <c r="F219" s="1001"/>
      <c r="G219" s="1001"/>
      <c r="M219" s="1001"/>
      <c r="N219" s="1001"/>
      <c r="O219" s="1001"/>
      <c r="P219" s="1001"/>
      <c r="Q219" s="1001"/>
      <c r="V219" s="1013"/>
      <c r="W219" s="138"/>
      <c r="AQ219" s="138"/>
    </row>
    <row r="220" spans="3:43" x14ac:dyDescent="0.35">
      <c r="C220" s="1001"/>
      <c r="D220" s="1001"/>
      <c r="E220" s="1001"/>
      <c r="F220" s="1001"/>
      <c r="G220" s="1001"/>
      <c r="M220" s="1001"/>
      <c r="N220" s="1001"/>
      <c r="O220" s="1001"/>
      <c r="P220" s="1001"/>
      <c r="Q220" s="1001"/>
      <c r="V220" s="1013"/>
      <c r="W220" s="138"/>
      <c r="AQ220" s="138"/>
    </row>
    <row r="221" spans="3:43" x14ac:dyDescent="0.35">
      <c r="C221" s="1001"/>
      <c r="D221" s="1001"/>
      <c r="E221" s="1001"/>
      <c r="F221" s="1001"/>
      <c r="G221" s="1001"/>
      <c r="M221" s="1001"/>
      <c r="N221" s="1001"/>
      <c r="O221" s="1001"/>
      <c r="P221" s="1001"/>
      <c r="Q221" s="1001"/>
      <c r="V221" s="1013"/>
      <c r="W221" s="138"/>
      <c r="AQ221" s="138"/>
    </row>
    <row r="222" spans="3:43" x14ac:dyDescent="0.35">
      <c r="C222" s="1001"/>
      <c r="D222" s="1001"/>
      <c r="E222" s="1001"/>
      <c r="F222" s="1001"/>
      <c r="G222" s="1001"/>
      <c r="M222" s="1001"/>
      <c r="N222" s="1001"/>
      <c r="O222" s="1001"/>
      <c r="P222" s="1001"/>
      <c r="Q222" s="1001"/>
      <c r="V222" s="1013"/>
      <c r="W222" s="138"/>
      <c r="AQ222" s="138"/>
    </row>
    <row r="223" spans="3:43" x14ac:dyDescent="0.35">
      <c r="C223" s="1001"/>
      <c r="D223" s="1001"/>
      <c r="E223" s="1001"/>
      <c r="F223" s="1001"/>
      <c r="G223" s="1001"/>
      <c r="M223" s="1001"/>
      <c r="N223" s="1001"/>
      <c r="O223" s="1001"/>
      <c r="P223" s="1001"/>
      <c r="Q223" s="1001"/>
      <c r="V223" s="1013"/>
      <c r="W223" s="138"/>
      <c r="AQ223" s="138"/>
    </row>
    <row r="224" spans="3:43" x14ac:dyDescent="0.35">
      <c r="C224" s="1001"/>
      <c r="D224" s="1001"/>
      <c r="E224" s="1001"/>
      <c r="F224" s="1001"/>
      <c r="G224" s="1001"/>
      <c r="M224" s="1001"/>
      <c r="N224" s="1001"/>
      <c r="O224" s="1001"/>
      <c r="P224" s="1001"/>
      <c r="Q224" s="1001"/>
      <c r="V224" s="1013"/>
      <c r="W224" s="138"/>
      <c r="AQ224" s="138"/>
    </row>
    <row r="225" spans="3:43" x14ac:dyDescent="0.35">
      <c r="C225" s="1001"/>
      <c r="D225" s="1001"/>
      <c r="E225" s="1001"/>
      <c r="F225" s="1001"/>
      <c r="G225" s="1001"/>
      <c r="M225" s="1001"/>
      <c r="N225" s="1001"/>
      <c r="O225" s="1001"/>
      <c r="P225" s="1001"/>
      <c r="Q225" s="1001"/>
      <c r="V225" s="1013"/>
      <c r="W225" s="138"/>
      <c r="AQ225" s="138"/>
    </row>
    <row r="226" spans="3:43" x14ac:dyDescent="0.35">
      <c r="C226" s="1001"/>
      <c r="D226" s="1001"/>
      <c r="E226" s="1001"/>
      <c r="F226" s="1001"/>
      <c r="G226" s="1001"/>
      <c r="M226" s="1001"/>
      <c r="N226" s="1001"/>
      <c r="O226" s="1001"/>
      <c r="P226" s="1001"/>
      <c r="Q226" s="1001"/>
      <c r="V226" s="1013"/>
      <c r="W226" s="138"/>
      <c r="AQ226" s="138"/>
    </row>
    <row r="227" spans="3:43" x14ac:dyDescent="0.35">
      <c r="C227" s="1001"/>
      <c r="D227" s="1001"/>
      <c r="E227" s="1001"/>
      <c r="F227" s="1001"/>
      <c r="G227" s="1001"/>
      <c r="M227" s="1001"/>
      <c r="N227" s="1001"/>
      <c r="O227" s="1001"/>
      <c r="P227" s="1001"/>
      <c r="Q227" s="1001"/>
      <c r="V227" s="1013"/>
      <c r="W227" s="138"/>
      <c r="AQ227" s="138"/>
    </row>
    <row r="228" spans="3:43" x14ac:dyDescent="0.35">
      <c r="C228" s="1001"/>
      <c r="D228" s="1001"/>
      <c r="E228" s="1001"/>
      <c r="F228" s="1001"/>
      <c r="G228" s="1001"/>
      <c r="M228" s="1001"/>
      <c r="N228" s="1001"/>
      <c r="O228" s="1001"/>
      <c r="P228" s="1001"/>
      <c r="Q228" s="1001"/>
      <c r="V228" s="1013"/>
      <c r="W228" s="138"/>
      <c r="AQ228" s="138"/>
    </row>
    <row r="229" spans="3:43" x14ac:dyDescent="0.35">
      <c r="C229" s="1001"/>
      <c r="D229" s="1001"/>
      <c r="E229" s="1001"/>
      <c r="F229" s="1001"/>
      <c r="G229" s="1001"/>
      <c r="M229" s="1001"/>
      <c r="N229" s="1001"/>
      <c r="O229" s="1001"/>
      <c r="P229" s="1001"/>
      <c r="Q229" s="1001"/>
      <c r="V229" s="1013"/>
      <c r="W229" s="138"/>
      <c r="AQ229" s="138"/>
    </row>
    <row r="230" spans="3:43" x14ac:dyDescent="0.35">
      <c r="C230" s="1001"/>
      <c r="D230" s="1001"/>
      <c r="E230" s="1001"/>
      <c r="F230" s="1001"/>
      <c r="G230" s="1001"/>
      <c r="M230" s="1001"/>
      <c r="N230" s="1001"/>
      <c r="O230" s="1001"/>
      <c r="P230" s="1001"/>
      <c r="Q230" s="1001"/>
      <c r="V230" s="1013"/>
      <c r="W230" s="138"/>
      <c r="AQ230" s="138"/>
    </row>
    <row r="231" spans="3:43" x14ac:dyDescent="0.35">
      <c r="C231" s="1001"/>
      <c r="D231" s="1001"/>
      <c r="E231" s="1001"/>
      <c r="F231" s="1001"/>
      <c r="G231" s="1001"/>
      <c r="M231" s="1001"/>
      <c r="N231" s="1001"/>
      <c r="O231" s="1001"/>
      <c r="P231" s="1001"/>
      <c r="Q231" s="1001"/>
      <c r="V231" s="1013"/>
      <c r="W231" s="138"/>
      <c r="AQ231" s="138"/>
    </row>
    <row r="232" spans="3:43" x14ac:dyDescent="0.35">
      <c r="C232" s="1001"/>
      <c r="D232" s="1001"/>
      <c r="E232" s="1001"/>
      <c r="F232" s="1001"/>
      <c r="G232" s="1001"/>
      <c r="M232" s="1001"/>
      <c r="N232" s="1001"/>
      <c r="O232" s="1001"/>
      <c r="P232" s="1001"/>
      <c r="Q232" s="1001"/>
      <c r="V232" s="1013"/>
      <c r="W232" s="138"/>
      <c r="AQ232" s="138"/>
    </row>
    <row r="233" spans="3:43" x14ac:dyDescent="0.35">
      <c r="C233" s="1001"/>
      <c r="D233" s="1001"/>
      <c r="E233" s="1001"/>
      <c r="F233" s="1001"/>
      <c r="G233" s="1001"/>
      <c r="M233" s="1001"/>
      <c r="N233" s="1001"/>
      <c r="O233" s="1001"/>
      <c r="P233" s="1001"/>
      <c r="Q233" s="1001"/>
      <c r="V233" s="1013"/>
      <c r="W233" s="138"/>
      <c r="AQ233" s="138"/>
    </row>
    <row r="234" spans="3:43" x14ac:dyDescent="0.35">
      <c r="C234" s="1001"/>
      <c r="D234" s="1001"/>
      <c r="E234" s="1001"/>
      <c r="F234" s="1001"/>
      <c r="G234" s="1001"/>
      <c r="M234" s="1001"/>
      <c r="N234" s="1001"/>
      <c r="O234" s="1001"/>
      <c r="P234" s="1001"/>
      <c r="Q234" s="1001"/>
      <c r="V234" s="1013"/>
      <c r="W234" s="138"/>
      <c r="AQ234" s="138"/>
    </row>
    <row r="235" spans="3:43" x14ac:dyDescent="0.35">
      <c r="C235" s="1001"/>
      <c r="D235" s="1001"/>
      <c r="E235" s="1001"/>
      <c r="F235" s="1001"/>
      <c r="G235" s="1001"/>
      <c r="M235" s="1001"/>
      <c r="N235" s="1001"/>
      <c r="O235" s="1001"/>
      <c r="P235" s="1001"/>
      <c r="Q235" s="1001"/>
      <c r="V235" s="1013"/>
      <c r="W235" s="138"/>
      <c r="AQ235" s="138"/>
    </row>
    <row r="236" spans="3:43" x14ac:dyDescent="0.35">
      <c r="C236" s="1001"/>
      <c r="D236" s="1001"/>
      <c r="E236" s="1001"/>
      <c r="F236" s="1001"/>
      <c r="G236" s="1001"/>
      <c r="M236" s="1001"/>
      <c r="N236" s="1001"/>
      <c r="O236" s="1001"/>
      <c r="P236" s="1001"/>
      <c r="Q236" s="1001"/>
      <c r="V236" s="1013"/>
      <c r="W236" s="138"/>
      <c r="AQ236" s="138"/>
    </row>
    <row r="237" spans="3:43" x14ac:dyDescent="0.35">
      <c r="C237" s="1001"/>
      <c r="D237" s="1001"/>
      <c r="E237" s="1001"/>
      <c r="F237" s="1001"/>
      <c r="G237" s="1001"/>
      <c r="M237" s="1001"/>
      <c r="N237" s="1001"/>
      <c r="O237" s="1001"/>
      <c r="P237" s="1001"/>
      <c r="Q237" s="1001"/>
      <c r="V237" s="1013"/>
      <c r="W237" s="138"/>
      <c r="AQ237" s="138"/>
    </row>
    <row r="238" spans="3:43" x14ac:dyDescent="0.35">
      <c r="C238" s="1001"/>
      <c r="D238" s="1001"/>
      <c r="E238" s="1001"/>
      <c r="F238" s="1001"/>
      <c r="G238" s="1001"/>
      <c r="M238" s="1001"/>
      <c r="N238" s="1001"/>
      <c r="O238" s="1001"/>
      <c r="P238" s="1001"/>
      <c r="Q238" s="1001"/>
      <c r="V238" s="1013"/>
      <c r="W238" s="138"/>
      <c r="AQ238" s="138"/>
    </row>
    <row r="239" spans="3:43" x14ac:dyDescent="0.35">
      <c r="C239" s="1001"/>
      <c r="D239" s="1001"/>
      <c r="E239" s="1001"/>
      <c r="F239" s="1001"/>
      <c r="G239" s="1001"/>
      <c r="M239" s="1001"/>
      <c r="N239" s="1001"/>
      <c r="O239" s="1001"/>
      <c r="P239" s="1001"/>
      <c r="Q239" s="1001"/>
      <c r="V239" s="1013"/>
      <c r="W239" s="138"/>
      <c r="AQ239" s="138"/>
    </row>
    <row r="240" spans="3:43" x14ac:dyDescent="0.35">
      <c r="C240" s="1001"/>
      <c r="D240" s="1001"/>
      <c r="E240" s="1001"/>
      <c r="F240" s="1001"/>
      <c r="G240" s="1001"/>
      <c r="M240" s="1001"/>
      <c r="N240" s="1001"/>
      <c r="O240" s="1001"/>
      <c r="P240" s="1001"/>
      <c r="Q240" s="1001"/>
      <c r="V240" s="1013"/>
      <c r="W240" s="138"/>
      <c r="AQ240" s="138"/>
    </row>
    <row r="241" spans="3:43" x14ac:dyDescent="0.35">
      <c r="C241" s="1001"/>
      <c r="D241" s="1001"/>
      <c r="E241" s="1001"/>
      <c r="F241" s="1001"/>
      <c r="G241" s="1001"/>
      <c r="M241" s="1001"/>
      <c r="N241" s="1001"/>
      <c r="O241" s="1001"/>
      <c r="P241" s="1001"/>
      <c r="Q241" s="1001"/>
      <c r="V241" s="1013"/>
      <c r="W241" s="138"/>
      <c r="AQ241" s="138"/>
    </row>
    <row r="242" spans="3:43" x14ac:dyDescent="0.35">
      <c r="C242" s="1001"/>
      <c r="D242" s="1001"/>
      <c r="E242" s="1001"/>
      <c r="F242" s="1001"/>
      <c r="G242" s="1001"/>
      <c r="M242" s="1001"/>
      <c r="N242" s="1001"/>
      <c r="O242" s="1001"/>
      <c r="P242" s="1001"/>
      <c r="Q242" s="1001"/>
      <c r="V242" s="1013"/>
      <c r="W242" s="138"/>
      <c r="AQ242" s="138"/>
    </row>
    <row r="243" spans="3:43" x14ac:dyDescent="0.35">
      <c r="C243" s="1001"/>
      <c r="D243" s="1001"/>
      <c r="E243" s="1001"/>
      <c r="F243" s="1001"/>
      <c r="G243" s="1001"/>
      <c r="M243" s="1001"/>
      <c r="N243" s="1001"/>
      <c r="O243" s="1001"/>
      <c r="P243" s="1001"/>
      <c r="Q243" s="1001"/>
      <c r="V243" s="1013"/>
      <c r="W243" s="138"/>
      <c r="AQ243" s="138"/>
    </row>
    <row r="244" spans="3:43" x14ac:dyDescent="0.35">
      <c r="C244" s="1001"/>
      <c r="D244" s="1001"/>
      <c r="E244" s="1001"/>
      <c r="F244" s="1001"/>
      <c r="G244" s="1001"/>
      <c r="M244" s="1001"/>
      <c r="N244" s="1001"/>
      <c r="O244" s="1001"/>
      <c r="P244" s="1001"/>
      <c r="Q244" s="1001"/>
      <c r="V244" s="1013"/>
      <c r="W244" s="138"/>
      <c r="AQ244" s="138"/>
    </row>
    <row r="245" spans="3:43" x14ac:dyDescent="0.35">
      <c r="C245" s="1001"/>
      <c r="D245" s="1001"/>
      <c r="E245" s="1001"/>
      <c r="F245" s="1001"/>
      <c r="G245" s="1001"/>
      <c r="M245" s="1001"/>
      <c r="N245" s="1001"/>
      <c r="O245" s="1001"/>
      <c r="P245" s="1001"/>
      <c r="Q245" s="1001"/>
      <c r="V245" s="1013"/>
      <c r="W245" s="138"/>
      <c r="AQ245" s="138"/>
    </row>
    <row r="246" spans="3:43" x14ac:dyDescent="0.35">
      <c r="C246" s="1001"/>
      <c r="D246" s="1001"/>
      <c r="E246" s="1001"/>
      <c r="F246" s="1001"/>
      <c r="G246" s="1001"/>
      <c r="M246" s="1001"/>
      <c r="N246" s="1001"/>
      <c r="O246" s="1001"/>
      <c r="P246" s="1001"/>
      <c r="Q246" s="1001"/>
      <c r="V246" s="1013"/>
      <c r="W246" s="138"/>
      <c r="AQ246" s="138"/>
    </row>
    <row r="247" spans="3:43" x14ac:dyDescent="0.35">
      <c r="C247" s="1001"/>
      <c r="D247" s="1001"/>
      <c r="E247" s="1001"/>
      <c r="F247" s="1001"/>
      <c r="G247" s="1001"/>
      <c r="M247" s="1001"/>
      <c r="N247" s="1001"/>
      <c r="O247" s="1001"/>
      <c r="P247" s="1001"/>
      <c r="Q247" s="1001"/>
      <c r="V247" s="1013"/>
      <c r="W247" s="138"/>
      <c r="AQ247" s="138"/>
    </row>
    <row r="248" spans="3:43" x14ac:dyDescent="0.35">
      <c r="C248" s="1001"/>
      <c r="D248" s="1001"/>
      <c r="E248" s="1001"/>
      <c r="F248" s="1001"/>
      <c r="G248" s="1001"/>
      <c r="M248" s="1001"/>
      <c r="N248" s="1001"/>
      <c r="O248" s="1001"/>
      <c r="P248" s="1001"/>
      <c r="Q248" s="1001"/>
      <c r="V248" s="1013"/>
      <c r="W248" s="138"/>
      <c r="AQ248" s="138"/>
    </row>
    <row r="249" spans="3:43" x14ac:dyDescent="0.35">
      <c r="C249" s="1001"/>
      <c r="D249" s="1001"/>
      <c r="E249" s="1001"/>
      <c r="F249" s="1001"/>
      <c r="G249" s="1001"/>
      <c r="M249" s="1001"/>
      <c r="N249" s="1001"/>
      <c r="O249" s="1001"/>
      <c r="P249" s="1001"/>
      <c r="Q249" s="1001"/>
      <c r="V249" s="1013"/>
      <c r="W249" s="138"/>
      <c r="AQ249" s="138"/>
    </row>
    <row r="250" spans="3:43" x14ac:dyDescent="0.35">
      <c r="C250" s="1001"/>
      <c r="D250" s="1001"/>
      <c r="E250" s="1001"/>
      <c r="F250" s="1001"/>
      <c r="G250" s="1001"/>
      <c r="M250" s="1001"/>
      <c r="N250" s="1001"/>
      <c r="O250" s="1001"/>
      <c r="P250" s="1001"/>
      <c r="Q250" s="1001"/>
      <c r="V250" s="1013"/>
      <c r="W250" s="138"/>
      <c r="AQ250" s="138"/>
    </row>
    <row r="251" spans="3:43" x14ac:dyDescent="0.35">
      <c r="C251" s="1001"/>
      <c r="D251" s="1001"/>
      <c r="E251" s="1001"/>
      <c r="F251" s="1001"/>
      <c r="G251" s="1001"/>
      <c r="M251" s="1001"/>
      <c r="N251" s="1001"/>
      <c r="O251" s="1001"/>
      <c r="P251" s="1001"/>
      <c r="Q251" s="1001"/>
      <c r="V251" s="1013"/>
      <c r="W251" s="138"/>
      <c r="AQ251" s="138"/>
    </row>
    <row r="252" spans="3:43" x14ac:dyDescent="0.35">
      <c r="C252" s="1001"/>
      <c r="D252" s="1001"/>
      <c r="E252" s="1001"/>
      <c r="F252" s="1001"/>
      <c r="G252" s="1001"/>
      <c r="M252" s="1001"/>
      <c r="N252" s="1001"/>
      <c r="O252" s="1001"/>
      <c r="P252" s="1001"/>
      <c r="Q252" s="1001"/>
      <c r="V252" s="1013"/>
      <c r="W252" s="138"/>
      <c r="AQ252" s="138"/>
    </row>
    <row r="253" spans="3:43" x14ac:dyDescent="0.35">
      <c r="C253" s="1001"/>
      <c r="D253" s="1001"/>
      <c r="E253" s="1001"/>
      <c r="F253" s="1001"/>
      <c r="G253" s="1001"/>
      <c r="M253" s="1001"/>
      <c r="N253" s="1001"/>
      <c r="O253" s="1001"/>
      <c r="P253" s="1001"/>
      <c r="Q253" s="1001"/>
      <c r="V253" s="1013"/>
      <c r="W253" s="138"/>
      <c r="AQ253" s="138"/>
    </row>
    <row r="254" spans="3:43" x14ac:dyDescent="0.35">
      <c r="C254" s="1001"/>
      <c r="D254" s="1001"/>
      <c r="E254" s="1001"/>
      <c r="F254" s="1001"/>
      <c r="G254" s="1001"/>
      <c r="M254" s="1001"/>
      <c r="N254" s="1001"/>
      <c r="O254" s="1001"/>
      <c r="P254" s="1001"/>
      <c r="Q254" s="1001"/>
      <c r="V254" s="1013"/>
      <c r="W254" s="138"/>
      <c r="AQ254" s="138"/>
    </row>
    <row r="255" spans="3:43" x14ac:dyDescent="0.35">
      <c r="C255" s="1001"/>
      <c r="D255" s="1001"/>
      <c r="E255" s="1001"/>
      <c r="F255" s="1001"/>
      <c r="G255" s="1001"/>
      <c r="M255" s="1001"/>
      <c r="N255" s="1001"/>
      <c r="O255" s="1001"/>
      <c r="P255" s="1001"/>
      <c r="Q255" s="1001"/>
      <c r="V255" s="1013"/>
      <c r="W255" s="138"/>
      <c r="AQ255" s="138"/>
    </row>
    <row r="256" spans="3:43" x14ac:dyDescent="0.35">
      <c r="C256" s="1001"/>
      <c r="D256" s="1001"/>
      <c r="E256" s="1001"/>
      <c r="F256" s="1001"/>
      <c r="G256" s="1001"/>
      <c r="M256" s="1001"/>
      <c r="N256" s="1001"/>
      <c r="O256" s="1001"/>
      <c r="P256" s="1001"/>
      <c r="Q256" s="1001"/>
      <c r="V256" s="1013"/>
      <c r="W256" s="138"/>
      <c r="AQ256" s="138"/>
    </row>
    <row r="257" spans="3:43" x14ac:dyDescent="0.35">
      <c r="C257" s="1001"/>
      <c r="D257" s="1001"/>
      <c r="E257" s="1001"/>
      <c r="F257" s="1001"/>
      <c r="G257" s="1001"/>
      <c r="M257" s="1001"/>
      <c r="N257" s="1001"/>
      <c r="O257" s="1001"/>
      <c r="P257" s="1001"/>
      <c r="Q257" s="1001"/>
      <c r="V257" s="1013"/>
      <c r="W257" s="138"/>
      <c r="AQ257" s="138"/>
    </row>
    <row r="258" spans="3:43" x14ac:dyDescent="0.35">
      <c r="C258" s="1001"/>
      <c r="D258" s="1001"/>
      <c r="E258" s="1001"/>
      <c r="F258" s="1001"/>
      <c r="G258" s="1001"/>
      <c r="M258" s="1001"/>
      <c r="N258" s="1001"/>
      <c r="O258" s="1001"/>
      <c r="P258" s="1001"/>
      <c r="Q258" s="1001"/>
      <c r="V258" s="1013"/>
      <c r="W258" s="138"/>
      <c r="AQ258" s="138"/>
    </row>
    <row r="259" spans="3:43" x14ac:dyDescent="0.35">
      <c r="C259" s="1001"/>
      <c r="D259" s="1001"/>
      <c r="E259" s="1001"/>
      <c r="F259" s="1001"/>
      <c r="G259" s="1001"/>
      <c r="M259" s="1001"/>
      <c r="N259" s="1001"/>
      <c r="O259" s="1001"/>
      <c r="P259" s="1001"/>
      <c r="Q259" s="1001"/>
      <c r="V259" s="1013"/>
      <c r="W259" s="138"/>
      <c r="AQ259" s="138"/>
    </row>
    <row r="260" spans="3:43" x14ac:dyDescent="0.35">
      <c r="C260" s="1001"/>
      <c r="D260" s="1001"/>
      <c r="E260" s="1001"/>
      <c r="F260" s="1001"/>
      <c r="G260" s="1001"/>
      <c r="M260" s="1001"/>
      <c r="N260" s="1001"/>
      <c r="O260" s="1001"/>
      <c r="P260" s="1001"/>
      <c r="Q260" s="1001"/>
      <c r="V260" s="1013"/>
      <c r="W260" s="138"/>
      <c r="AQ260" s="138"/>
    </row>
    <row r="261" spans="3:43" x14ac:dyDescent="0.35">
      <c r="C261" s="1001"/>
      <c r="D261" s="1001"/>
      <c r="E261" s="1001"/>
      <c r="F261" s="1001"/>
      <c r="G261" s="1001"/>
      <c r="M261" s="1001"/>
      <c r="N261" s="1001"/>
      <c r="O261" s="1001"/>
      <c r="P261" s="1001"/>
      <c r="Q261" s="1001"/>
      <c r="V261" s="1013"/>
      <c r="W261" s="138"/>
      <c r="AQ261" s="138"/>
    </row>
    <row r="262" spans="3:43" x14ac:dyDescent="0.35">
      <c r="C262" s="1001"/>
      <c r="D262" s="1001"/>
      <c r="E262" s="1001"/>
      <c r="F262" s="1001"/>
      <c r="G262" s="1001"/>
      <c r="M262" s="1001"/>
      <c r="N262" s="1001"/>
      <c r="O262" s="1001"/>
      <c r="P262" s="1001"/>
      <c r="Q262" s="1001"/>
      <c r="V262" s="1013"/>
      <c r="W262" s="138"/>
      <c r="AQ262" s="138"/>
    </row>
    <row r="263" spans="3:43" x14ac:dyDescent="0.35">
      <c r="C263" s="1001"/>
      <c r="D263" s="1001"/>
      <c r="E263" s="1001"/>
      <c r="F263" s="1001"/>
      <c r="G263" s="1001"/>
      <c r="M263" s="1001"/>
      <c r="N263" s="1001"/>
      <c r="O263" s="1001"/>
      <c r="P263" s="1001"/>
      <c r="Q263" s="1001"/>
      <c r="V263" s="1013"/>
      <c r="W263" s="138"/>
      <c r="AQ263" s="138"/>
    </row>
    <row r="264" spans="3:43" x14ac:dyDescent="0.35">
      <c r="C264" s="1001"/>
      <c r="D264" s="1001"/>
      <c r="E264" s="1001"/>
      <c r="F264" s="1001"/>
      <c r="G264" s="1001"/>
      <c r="M264" s="1001"/>
      <c r="N264" s="1001"/>
      <c r="O264" s="1001"/>
      <c r="P264" s="1001"/>
      <c r="Q264" s="1001"/>
      <c r="V264" s="1013"/>
      <c r="W264" s="138"/>
      <c r="AQ264" s="138"/>
    </row>
    <row r="265" spans="3:43" x14ac:dyDescent="0.35">
      <c r="C265" s="1001"/>
      <c r="D265" s="1001"/>
      <c r="E265" s="1001"/>
      <c r="F265" s="1001"/>
      <c r="G265" s="1001"/>
      <c r="M265" s="1001"/>
      <c r="N265" s="1001"/>
      <c r="O265" s="1001"/>
      <c r="P265" s="1001"/>
      <c r="Q265" s="1001"/>
      <c r="V265" s="1013"/>
      <c r="W265" s="138"/>
      <c r="AQ265" s="138"/>
    </row>
    <row r="266" spans="3:43" x14ac:dyDescent="0.35">
      <c r="C266" s="1001"/>
      <c r="D266" s="1001"/>
      <c r="E266" s="1001"/>
      <c r="F266" s="1001"/>
      <c r="G266" s="1001"/>
      <c r="M266" s="1001"/>
      <c r="N266" s="1001"/>
      <c r="O266" s="1001"/>
      <c r="P266" s="1001"/>
      <c r="Q266" s="1001"/>
      <c r="V266" s="1013"/>
      <c r="W266" s="138"/>
      <c r="AQ266" s="138"/>
    </row>
    <row r="267" spans="3:43" x14ac:dyDescent="0.35">
      <c r="C267" s="1001"/>
      <c r="D267" s="1001"/>
      <c r="E267" s="1001"/>
      <c r="F267" s="1001"/>
      <c r="G267" s="1001"/>
      <c r="M267" s="1001"/>
      <c r="N267" s="1001"/>
      <c r="O267" s="1001"/>
      <c r="P267" s="1001"/>
      <c r="Q267" s="1001"/>
      <c r="V267" s="1013"/>
      <c r="W267" s="138"/>
      <c r="AQ267" s="138"/>
    </row>
    <row r="268" spans="3:43" x14ac:dyDescent="0.35">
      <c r="C268" s="1001"/>
      <c r="D268" s="1001"/>
      <c r="E268" s="1001"/>
      <c r="F268" s="1001"/>
      <c r="G268" s="1001"/>
      <c r="M268" s="1001"/>
      <c r="N268" s="1001"/>
      <c r="O268" s="1001"/>
      <c r="P268" s="1001"/>
      <c r="Q268" s="1001"/>
      <c r="V268" s="1013"/>
      <c r="W268" s="138"/>
      <c r="AQ268" s="138"/>
    </row>
    <row r="269" spans="3:43" x14ac:dyDescent="0.35">
      <c r="C269" s="1001"/>
      <c r="D269" s="1001"/>
      <c r="E269" s="1001"/>
      <c r="F269" s="1001"/>
      <c r="G269" s="1001"/>
      <c r="M269" s="1001"/>
      <c r="N269" s="1001"/>
      <c r="O269" s="1001"/>
      <c r="P269" s="1001"/>
      <c r="Q269" s="1001"/>
      <c r="V269" s="1013"/>
      <c r="W269" s="138"/>
      <c r="AQ269" s="138"/>
    </row>
    <row r="270" spans="3:43" x14ac:dyDescent="0.35">
      <c r="C270" s="1001"/>
      <c r="D270" s="1001"/>
      <c r="E270" s="1001"/>
      <c r="F270" s="1001"/>
      <c r="G270" s="1001"/>
      <c r="M270" s="1001"/>
      <c r="N270" s="1001"/>
      <c r="O270" s="1001"/>
      <c r="P270" s="1001"/>
      <c r="Q270" s="1001"/>
      <c r="V270" s="1013"/>
      <c r="W270" s="138"/>
      <c r="AQ270" s="138"/>
    </row>
    <row r="271" spans="3:43" x14ac:dyDescent="0.35">
      <c r="C271" s="1001"/>
      <c r="D271" s="1001"/>
      <c r="E271" s="1001"/>
      <c r="F271" s="1001"/>
      <c r="G271" s="1001"/>
      <c r="M271" s="1001"/>
      <c r="N271" s="1001"/>
      <c r="O271" s="1001"/>
      <c r="P271" s="1001"/>
      <c r="Q271" s="1001"/>
      <c r="V271" s="1013"/>
      <c r="W271" s="138"/>
      <c r="AQ271" s="138"/>
    </row>
    <row r="272" spans="3:43" x14ac:dyDescent="0.35">
      <c r="C272" s="1001"/>
      <c r="D272" s="1001"/>
      <c r="E272" s="1001"/>
      <c r="F272" s="1001"/>
      <c r="G272" s="1001"/>
      <c r="M272" s="1001"/>
      <c r="N272" s="1001"/>
      <c r="O272" s="1001"/>
      <c r="P272" s="1001"/>
      <c r="Q272" s="1001"/>
      <c r="V272" s="1013"/>
      <c r="W272" s="138"/>
      <c r="AQ272" s="138"/>
    </row>
    <row r="273" spans="3:43" x14ac:dyDescent="0.35">
      <c r="C273" s="1001"/>
      <c r="D273" s="1001"/>
      <c r="E273" s="1001"/>
      <c r="F273" s="1001"/>
      <c r="G273" s="1001"/>
      <c r="M273" s="1001"/>
      <c r="N273" s="1001"/>
      <c r="O273" s="1001"/>
      <c r="P273" s="1001"/>
      <c r="Q273" s="1001"/>
      <c r="V273" s="1013"/>
      <c r="W273" s="138"/>
      <c r="AQ273" s="138"/>
    </row>
    <row r="274" spans="3:43" x14ac:dyDescent="0.35">
      <c r="C274" s="1001"/>
      <c r="D274" s="1001"/>
      <c r="E274" s="1001"/>
      <c r="F274" s="1001"/>
      <c r="G274" s="1001"/>
      <c r="M274" s="1001"/>
      <c r="N274" s="1001"/>
      <c r="O274" s="1001"/>
      <c r="P274" s="1001"/>
      <c r="Q274" s="1001"/>
      <c r="V274" s="1013"/>
      <c r="W274" s="138"/>
      <c r="AQ274" s="138"/>
    </row>
    <row r="275" spans="3:43" x14ac:dyDescent="0.35">
      <c r="C275" s="1001"/>
      <c r="D275" s="1001"/>
      <c r="E275" s="1001"/>
      <c r="F275" s="1001"/>
      <c r="G275" s="1001"/>
      <c r="M275" s="1001"/>
      <c r="N275" s="1001"/>
      <c r="O275" s="1001"/>
      <c r="P275" s="1001"/>
      <c r="Q275" s="1001"/>
      <c r="V275" s="1013"/>
      <c r="W275" s="138"/>
      <c r="AQ275" s="138"/>
    </row>
    <row r="276" spans="3:43" x14ac:dyDescent="0.35">
      <c r="C276" s="1001"/>
      <c r="D276" s="1001"/>
      <c r="E276" s="1001"/>
      <c r="F276" s="1001"/>
      <c r="G276" s="1001"/>
      <c r="M276" s="1001"/>
      <c r="N276" s="1001"/>
      <c r="O276" s="1001"/>
      <c r="P276" s="1001"/>
      <c r="Q276" s="1001"/>
      <c r="V276" s="1013"/>
      <c r="W276" s="138"/>
      <c r="AQ276" s="138"/>
    </row>
    <row r="277" spans="3:43" x14ac:dyDescent="0.35">
      <c r="C277" s="1001"/>
      <c r="D277" s="1001"/>
      <c r="E277" s="1001"/>
      <c r="F277" s="1001"/>
      <c r="G277" s="1001"/>
      <c r="M277" s="1001"/>
      <c r="N277" s="1001"/>
      <c r="O277" s="1001"/>
      <c r="P277" s="1001"/>
      <c r="Q277" s="1001"/>
      <c r="V277" s="1013"/>
      <c r="W277" s="138"/>
      <c r="AQ277" s="138"/>
    </row>
    <row r="278" spans="3:43" x14ac:dyDescent="0.35">
      <c r="C278" s="1001"/>
      <c r="D278" s="1001"/>
      <c r="E278" s="1001"/>
      <c r="F278" s="1001"/>
      <c r="G278" s="1001"/>
      <c r="M278" s="1001"/>
      <c r="N278" s="1001"/>
      <c r="O278" s="1001"/>
      <c r="P278" s="1001"/>
      <c r="Q278" s="1001"/>
      <c r="V278" s="1013"/>
      <c r="W278" s="138"/>
      <c r="AQ278" s="138"/>
    </row>
    <row r="279" spans="3:43" x14ac:dyDescent="0.35">
      <c r="C279" s="1001"/>
      <c r="D279" s="1001"/>
      <c r="E279" s="1001"/>
      <c r="F279" s="1001"/>
      <c r="G279" s="1001"/>
      <c r="M279" s="1001"/>
      <c r="N279" s="1001"/>
      <c r="O279" s="1001"/>
      <c r="P279" s="1001"/>
      <c r="Q279" s="1001"/>
      <c r="V279" s="1013"/>
      <c r="W279" s="138"/>
      <c r="AQ279" s="138"/>
    </row>
    <row r="280" spans="3:43" x14ac:dyDescent="0.35">
      <c r="C280" s="1001"/>
      <c r="D280" s="1001"/>
      <c r="E280" s="1001"/>
      <c r="F280" s="1001"/>
      <c r="G280" s="1001"/>
      <c r="M280" s="1001"/>
      <c r="N280" s="1001"/>
      <c r="O280" s="1001"/>
      <c r="P280" s="1001"/>
      <c r="Q280" s="1001"/>
      <c r="V280" s="1013"/>
      <c r="W280" s="138"/>
      <c r="AQ280" s="138"/>
    </row>
    <row r="281" spans="3:43" x14ac:dyDescent="0.35">
      <c r="C281" s="1001"/>
      <c r="D281" s="1001"/>
      <c r="E281" s="1001"/>
      <c r="F281" s="1001"/>
      <c r="G281" s="1001"/>
      <c r="M281" s="1001"/>
      <c r="N281" s="1001"/>
      <c r="O281" s="1001"/>
      <c r="P281" s="1001"/>
      <c r="Q281" s="1001"/>
      <c r="V281" s="1013"/>
      <c r="W281" s="138"/>
      <c r="AQ281" s="138"/>
    </row>
    <row r="282" spans="3:43" x14ac:dyDescent="0.35">
      <c r="C282" s="1001"/>
      <c r="D282" s="1001"/>
      <c r="E282" s="1001"/>
      <c r="F282" s="1001"/>
      <c r="G282" s="1001"/>
      <c r="M282" s="1001"/>
      <c r="N282" s="1001"/>
      <c r="O282" s="1001"/>
      <c r="P282" s="1001"/>
      <c r="Q282" s="1001"/>
      <c r="V282" s="1013"/>
      <c r="W282" s="138"/>
      <c r="AQ282" s="138"/>
    </row>
    <row r="283" spans="3:43" x14ac:dyDescent="0.35">
      <c r="C283" s="1001"/>
      <c r="D283" s="1001"/>
      <c r="E283" s="1001"/>
      <c r="F283" s="1001"/>
      <c r="G283" s="1001"/>
      <c r="M283" s="1001"/>
      <c r="N283" s="1001"/>
      <c r="O283" s="1001"/>
      <c r="P283" s="1001"/>
      <c r="Q283" s="1001"/>
      <c r="V283" s="1013"/>
      <c r="W283" s="138"/>
      <c r="AQ283" s="138"/>
    </row>
    <row r="284" spans="3:43" x14ac:dyDescent="0.35">
      <c r="C284" s="1001"/>
      <c r="D284" s="1001"/>
      <c r="E284" s="1001"/>
      <c r="F284" s="1001"/>
      <c r="G284" s="1001"/>
      <c r="M284" s="1001"/>
      <c r="N284" s="1001"/>
      <c r="O284" s="1001"/>
      <c r="P284" s="1001"/>
      <c r="Q284" s="1001"/>
      <c r="V284" s="1013"/>
      <c r="W284" s="138"/>
      <c r="AQ284" s="138"/>
    </row>
    <row r="285" spans="3:43" x14ac:dyDescent="0.35">
      <c r="C285" s="1001"/>
      <c r="D285" s="1001"/>
      <c r="E285" s="1001"/>
      <c r="F285" s="1001"/>
      <c r="G285" s="1001"/>
      <c r="M285" s="1001"/>
      <c r="N285" s="1001"/>
      <c r="O285" s="1001"/>
      <c r="P285" s="1001"/>
      <c r="Q285" s="1001"/>
      <c r="V285" s="1013"/>
      <c r="W285" s="138"/>
      <c r="AQ285" s="138"/>
    </row>
    <row r="286" spans="3:43" x14ac:dyDescent="0.35">
      <c r="C286" s="1001"/>
      <c r="D286" s="1001"/>
      <c r="E286" s="1001"/>
      <c r="F286" s="1001"/>
      <c r="G286" s="1001"/>
      <c r="M286" s="1001"/>
      <c r="N286" s="1001"/>
      <c r="O286" s="1001"/>
      <c r="P286" s="1001"/>
      <c r="Q286" s="1001"/>
      <c r="V286" s="1013"/>
      <c r="W286" s="138"/>
      <c r="AQ286" s="138"/>
    </row>
    <row r="287" spans="3:43" x14ac:dyDescent="0.35">
      <c r="C287" s="1001"/>
      <c r="D287" s="1001"/>
      <c r="E287" s="1001"/>
      <c r="F287" s="1001"/>
      <c r="G287" s="1001"/>
      <c r="M287" s="1001"/>
      <c r="N287" s="1001"/>
      <c r="O287" s="1001"/>
      <c r="P287" s="1001"/>
      <c r="Q287" s="1001"/>
      <c r="V287" s="1013"/>
      <c r="W287" s="138"/>
      <c r="AQ287" s="138"/>
    </row>
    <row r="288" spans="3:43" x14ac:dyDescent="0.35">
      <c r="C288" s="1001"/>
      <c r="D288" s="1001"/>
      <c r="E288" s="1001"/>
      <c r="F288" s="1001"/>
      <c r="G288" s="1001"/>
      <c r="M288" s="1001"/>
      <c r="N288" s="1001"/>
      <c r="O288" s="1001"/>
      <c r="P288" s="1001"/>
      <c r="Q288" s="1001"/>
      <c r="V288" s="1013"/>
      <c r="W288" s="138"/>
      <c r="AQ288" s="138"/>
    </row>
    <row r="289" spans="3:43" x14ac:dyDescent="0.35">
      <c r="C289" s="1001"/>
      <c r="D289" s="1001"/>
      <c r="E289" s="1001"/>
      <c r="F289" s="1001"/>
      <c r="G289" s="1001"/>
      <c r="M289" s="1001"/>
      <c r="N289" s="1001"/>
      <c r="O289" s="1001"/>
      <c r="P289" s="1001"/>
      <c r="Q289" s="1001"/>
      <c r="V289" s="1013"/>
      <c r="W289" s="138"/>
      <c r="AQ289" s="138"/>
    </row>
    <row r="290" spans="3:43" x14ac:dyDescent="0.35">
      <c r="C290" s="1001"/>
      <c r="D290" s="1001"/>
      <c r="E290" s="1001"/>
      <c r="F290" s="1001"/>
      <c r="G290" s="1001"/>
      <c r="M290" s="1001"/>
      <c r="N290" s="1001"/>
      <c r="O290" s="1001"/>
      <c r="P290" s="1001"/>
      <c r="Q290" s="1001"/>
      <c r="V290" s="1013"/>
      <c r="W290" s="138"/>
      <c r="AQ290" s="138"/>
    </row>
    <row r="291" spans="3:43" x14ac:dyDescent="0.35">
      <c r="C291" s="1001"/>
      <c r="D291" s="1001"/>
      <c r="E291" s="1001"/>
      <c r="F291" s="1001"/>
      <c r="G291" s="1001"/>
      <c r="M291" s="1001"/>
      <c r="N291" s="1001"/>
      <c r="O291" s="1001"/>
      <c r="P291" s="1001"/>
      <c r="Q291" s="1001"/>
      <c r="V291" s="1013"/>
      <c r="W291" s="138"/>
      <c r="AQ291" s="138"/>
    </row>
    <row r="292" spans="3:43" x14ac:dyDescent="0.35">
      <c r="C292" s="1001"/>
      <c r="D292" s="1001"/>
      <c r="E292" s="1001"/>
      <c r="F292" s="1001"/>
      <c r="G292" s="1001"/>
      <c r="M292" s="1001"/>
      <c r="N292" s="1001"/>
      <c r="O292" s="1001"/>
      <c r="P292" s="1001"/>
      <c r="Q292" s="1001"/>
      <c r="V292" s="1013"/>
      <c r="W292" s="138"/>
      <c r="AQ292" s="138"/>
    </row>
    <row r="293" spans="3:43" x14ac:dyDescent="0.35">
      <c r="C293" s="1001"/>
      <c r="D293" s="1001"/>
      <c r="E293" s="1001"/>
      <c r="F293" s="1001"/>
      <c r="G293" s="1001"/>
      <c r="M293" s="1001"/>
      <c r="N293" s="1001"/>
      <c r="O293" s="1001"/>
      <c r="P293" s="1001"/>
      <c r="Q293" s="1001"/>
      <c r="V293" s="1013"/>
      <c r="W293" s="138"/>
      <c r="AQ293" s="138"/>
    </row>
    <row r="294" spans="3:43" x14ac:dyDescent="0.35">
      <c r="C294" s="1001"/>
      <c r="D294" s="1001"/>
      <c r="E294" s="1001"/>
      <c r="F294" s="1001"/>
      <c r="G294" s="1001"/>
      <c r="M294" s="1001"/>
      <c r="N294" s="1001"/>
      <c r="O294" s="1001"/>
      <c r="P294" s="1001"/>
      <c r="Q294" s="1001"/>
      <c r="V294" s="1013"/>
      <c r="W294" s="138"/>
      <c r="AQ294" s="138"/>
    </row>
    <row r="295" spans="3:43" x14ac:dyDescent="0.35">
      <c r="C295" s="1001"/>
      <c r="D295" s="1001"/>
      <c r="E295" s="1001"/>
      <c r="F295" s="1001"/>
      <c r="G295" s="1001"/>
      <c r="M295" s="1001"/>
      <c r="N295" s="1001"/>
      <c r="O295" s="1001"/>
      <c r="P295" s="1001"/>
      <c r="Q295" s="1001"/>
      <c r="V295" s="1013"/>
      <c r="W295" s="138"/>
      <c r="AQ295" s="138"/>
    </row>
    <row r="296" spans="3:43" x14ac:dyDescent="0.35">
      <c r="C296" s="1001"/>
      <c r="D296" s="1001"/>
      <c r="E296" s="1001"/>
      <c r="F296" s="1001"/>
      <c r="G296" s="1001"/>
      <c r="M296" s="1001"/>
      <c r="N296" s="1001"/>
      <c r="O296" s="1001"/>
      <c r="P296" s="1001"/>
      <c r="Q296" s="1001"/>
      <c r="V296" s="1013"/>
      <c r="W296" s="138"/>
      <c r="AQ296" s="138"/>
    </row>
    <row r="297" spans="3:43" x14ac:dyDescent="0.35">
      <c r="C297" s="1001"/>
      <c r="D297" s="1001"/>
      <c r="E297" s="1001"/>
      <c r="F297" s="1001"/>
      <c r="G297" s="1001"/>
      <c r="M297" s="1001"/>
      <c r="N297" s="1001"/>
      <c r="O297" s="1001"/>
      <c r="P297" s="1001"/>
      <c r="Q297" s="1001"/>
      <c r="V297" s="1013"/>
      <c r="W297" s="138"/>
      <c r="AQ297" s="138"/>
    </row>
    <row r="298" spans="3:43" x14ac:dyDescent="0.35">
      <c r="C298" s="1001"/>
      <c r="D298" s="1001"/>
      <c r="E298" s="1001"/>
      <c r="F298" s="1001"/>
      <c r="G298" s="1001"/>
      <c r="M298" s="1001"/>
      <c r="N298" s="1001"/>
      <c r="O298" s="1001"/>
      <c r="P298" s="1001"/>
      <c r="Q298" s="1001"/>
      <c r="V298" s="1013"/>
      <c r="W298" s="138"/>
      <c r="AQ298" s="138"/>
    </row>
    <row r="299" spans="3:43" x14ac:dyDescent="0.35">
      <c r="C299" s="1001"/>
      <c r="D299" s="1001"/>
      <c r="E299" s="1001"/>
      <c r="F299" s="1001"/>
      <c r="G299" s="1001"/>
      <c r="M299" s="1001"/>
      <c r="N299" s="1001"/>
      <c r="O299" s="1001"/>
      <c r="P299" s="1001"/>
      <c r="Q299" s="1001"/>
      <c r="V299" s="1013"/>
      <c r="W299" s="138"/>
      <c r="AQ299" s="138"/>
    </row>
    <row r="300" spans="3:43" x14ac:dyDescent="0.35">
      <c r="C300" s="1001"/>
      <c r="D300" s="1001"/>
      <c r="E300" s="1001"/>
      <c r="F300" s="1001"/>
      <c r="G300" s="1001"/>
      <c r="M300" s="1001"/>
      <c r="N300" s="1001"/>
      <c r="O300" s="1001"/>
      <c r="P300" s="1001"/>
      <c r="Q300" s="1001"/>
      <c r="V300" s="1013"/>
      <c r="W300" s="138"/>
      <c r="AQ300" s="138"/>
    </row>
    <row r="301" spans="3:43" x14ac:dyDescent="0.35">
      <c r="C301" s="1001"/>
      <c r="D301" s="1001"/>
      <c r="E301" s="1001"/>
      <c r="F301" s="1001"/>
      <c r="G301" s="1001"/>
      <c r="M301" s="1001"/>
      <c r="N301" s="1001"/>
      <c r="O301" s="1001"/>
      <c r="P301" s="1001"/>
      <c r="Q301" s="1001"/>
      <c r="V301" s="1013"/>
      <c r="W301" s="138"/>
      <c r="AQ301" s="138"/>
    </row>
    <row r="302" spans="3:43" x14ac:dyDescent="0.35">
      <c r="C302" s="1001"/>
      <c r="D302" s="1001"/>
      <c r="E302" s="1001"/>
      <c r="F302" s="1001"/>
      <c r="G302" s="1001"/>
      <c r="M302" s="1001"/>
      <c r="N302" s="1001"/>
      <c r="O302" s="1001"/>
      <c r="P302" s="1001"/>
      <c r="Q302" s="1001"/>
      <c r="V302" s="1013"/>
      <c r="W302" s="138"/>
      <c r="AQ302" s="138"/>
    </row>
    <row r="303" spans="3:43" x14ac:dyDescent="0.35">
      <c r="C303" s="1001"/>
      <c r="D303" s="1001"/>
      <c r="E303" s="1001"/>
      <c r="F303" s="1001"/>
      <c r="G303" s="1001"/>
      <c r="M303" s="1001"/>
      <c r="N303" s="1001"/>
      <c r="O303" s="1001"/>
      <c r="P303" s="1001"/>
      <c r="Q303" s="1001"/>
      <c r="V303" s="1013"/>
      <c r="W303" s="138"/>
      <c r="AQ303" s="138"/>
    </row>
    <row r="304" spans="3:43" x14ac:dyDescent="0.35">
      <c r="C304" s="1001"/>
      <c r="D304" s="1001"/>
      <c r="E304" s="1001"/>
      <c r="F304" s="1001"/>
      <c r="G304" s="1001"/>
      <c r="M304" s="1001"/>
      <c r="N304" s="1001"/>
      <c r="O304" s="1001"/>
      <c r="P304" s="1001"/>
      <c r="Q304" s="1001"/>
      <c r="V304" s="1013"/>
      <c r="W304" s="138"/>
      <c r="AQ304" s="138"/>
    </row>
    <row r="305" spans="3:43" x14ac:dyDescent="0.35">
      <c r="C305" s="1001"/>
      <c r="D305" s="1001"/>
      <c r="E305" s="1001"/>
      <c r="F305" s="1001"/>
      <c r="G305" s="1001"/>
      <c r="M305" s="1001"/>
      <c r="N305" s="1001"/>
      <c r="O305" s="1001"/>
      <c r="P305" s="1001"/>
      <c r="Q305" s="1001"/>
      <c r="V305" s="1013"/>
      <c r="W305" s="138"/>
      <c r="AQ305" s="138"/>
    </row>
    <row r="306" spans="3:43" x14ac:dyDescent="0.35">
      <c r="C306" s="1001"/>
      <c r="D306" s="1001"/>
      <c r="E306" s="1001"/>
      <c r="F306" s="1001"/>
      <c r="G306" s="1001"/>
      <c r="M306" s="1001"/>
      <c r="N306" s="1001"/>
      <c r="O306" s="1001"/>
      <c r="P306" s="1001"/>
      <c r="Q306" s="1001"/>
      <c r="V306" s="1013"/>
      <c r="W306" s="138"/>
      <c r="AQ306" s="138"/>
    </row>
    <row r="307" spans="3:43" x14ac:dyDescent="0.35">
      <c r="C307" s="1001"/>
      <c r="D307" s="1001"/>
      <c r="E307" s="1001"/>
      <c r="F307" s="1001"/>
      <c r="G307" s="1001"/>
      <c r="M307" s="1001"/>
      <c r="N307" s="1001"/>
      <c r="O307" s="1001"/>
      <c r="P307" s="1001"/>
      <c r="Q307" s="1001"/>
      <c r="V307" s="1013"/>
      <c r="W307" s="138"/>
      <c r="AQ307" s="138"/>
    </row>
    <row r="308" spans="3:43" x14ac:dyDescent="0.35">
      <c r="C308" s="1001"/>
      <c r="D308" s="1001"/>
      <c r="E308" s="1001"/>
      <c r="F308" s="1001"/>
      <c r="G308" s="1001"/>
      <c r="M308" s="1001"/>
      <c r="N308" s="1001"/>
      <c r="O308" s="1001"/>
      <c r="P308" s="1001"/>
      <c r="Q308" s="1001"/>
      <c r="V308" s="1013"/>
      <c r="W308" s="138"/>
      <c r="AQ308" s="138"/>
    </row>
    <row r="309" spans="3:43" x14ac:dyDescent="0.35">
      <c r="C309" s="1001"/>
      <c r="D309" s="1001"/>
      <c r="E309" s="1001"/>
      <c r="F309" s="1001"/>
      <c r="G309" s="1001"/>
      <c r="M309" s="1001"/>
      <c r="N309" s="1001"/>
      <c r="O309" s="1001"/>
      <c r="P309" s="1001"/>
      <c r="Q309" s="1001"/>
      <c r="V309" s="1013"/>
      <c r="W309" s="138"/>
      <c r="AQ309" s="138"/>
    </row>
    <row r="310" spans="3:43" x14ac:dyDescent="0.35">
      <c r="C310" s="1001"/>
      <c r="D310" s="1001"/>
      <c r="E310" s="1001"/>
      <c r="F310" s="1001"/>
      <c r="G310" s="1001"/>
      <c r="M310" s="1001"/>
      <c r="N310" s="1001"/>
      <c r="O310" s="1001"/>
      <c r="P310" s="1001"/>
      <c r="Q310" s="1001"/>
      <c r="V310" s="1013"/>
      <c r="W310" s="138"/>
      <c r="AQ310" s="138"/>
    </row>
    <row r="311" spans="3:43" x14ac:dyDescent="0.35">
      <c r="C311" s="1001"/>
      <c r="D311" s="1001"/>
      <c r="E311" s="1001"/>
      <c r="F311" s="1001"/>
      <c r="G311" s="1001"/>
      <c r="M311" s="1001"/>
      <c r="N311" s="1001"/>
      <c r="O311" s="1001"/>
      <c r="P311" s="1001"/>
      <c r="Q311" s="1001"/>
      <c r="V311" s="1013"/>
      <c r="W311" s="138"/>
      <c r="AQ311" s="138"/>
    </row>
    <row r="312" spans="3:43" x14ac:dyDescent="0.35">
      <c r="C312" s="1001"/>
      <c r="D312" s="1001"/>
      <c r="E312" s="1001"/>
      <c r="F312" s="1001"/>
      <c r="G312" s="1001"/>
      <c r="M312" s="1001"/>
      <c r="N312" s="1001"/>
      <c r="O312" s="1001"/>
      <c r="P312" s="1001"/>
      <c r="Q312" s="1001"/>
      <c r="V312" s="1013"/>
      <c r="W312" s="138"/>
      <c r="AQ312" s="138"/>
    </row>
    <row r="313" spans="3:43" x14ac:dyDescent="0.35">
      <c r="C313" s="1001"/>
      <c r="D313" s="1001"/>
      <c r="E313" s="1001"/>
      <c r="F313" s="1001"/>
      <c r="G313" s="1001"/>
      <c r="M313" s="1001"/>
      <c r="N313" s="1001"/>
      <c r="O313" s="1001"/>
      <c r="P313" s="1001"/>
      <c r="Q313" s="1001"/>
      <c r="V313" s="1013"/>
      <c r="W313" s="138"/>
      <c r="AQ313" s="138"/>
    </row>
    <row r="314" spans="3:43" x14ac:dyDescent="0.35">
      <c r="C314" s="1001"/>
      <c r="D314" s="1001"/>
      <c r="E314" s="1001"/>
      <c r="F314" s="1001"/>
      <c r="G314" s="1001"/>
      <c r="M314" s="1001"/>
      <c r="N314" s="1001"/>
      <c r="O314" s="1001"/>
      <c r="P314" s="1001"/>
      <c r="Q314" s="1001"/>
      <c r="V314" s="1013"/>
      <c r="W314" s="138"/>
      <c r="AQ314" s="138"/>
    </row>
    <row r="315" spans="3:43" x14ac:dyDescent="0.35">
      <c r="C315" s="1001"/>
      <c r="D315" s="1001"/>
      <c r="E315" s="1001"/>
      <c r="F315" s="1001"/>
      <c r="G315" s="1001"/>
      <c r="M315" s="1001"/>
      <c r="N315" s="1001"/>
      <c r="O315" s="1001"/>
      <c r="P315" s="1001"/>
      <c r="Q315" s="1001"/>
      <c r="V315" s="1013"/>
      <c r="W315" s="138"/>
      <c r="AQ315" s="138"/>
    </row>
    <row r="316" spans="3:43" x14ac:dyDescent="0.35">
      <c r="C316" s="1001"/>
      <c r="D316" s="1001"/>
      <c r="E316" s="1001"/>
      <c r="F316" s="1001"/>
      <c r="G316" s="1001"/>
      <c r="M316" s="1001"/>
      <c r="N316" s="1001"/>
      <c r="O316" s="1001"/>
      <c r="P316" s="1001"/>
      <c r="Q316" s="1001"/>
      <c r="V316" s="1013"/>
      <c r="W316" s="138"/>
      <c r="AQ316" s="138"/>
    </row>
    <row r="317" spans="3:43" x14ac:dyDescent="0.35">
      <c r="C317" s="1001"/>
      <c r="D317" s="1001"/>
      <c r="E317" s="1001"/>
      <c r="F317" s="1001"/>
      <c r="G317" s="1001"/>
      <c r="M317" s="1001"/>
      <c r="N317" s="1001"/>
      <c r="O317" s="1001"/>
      <c r="P317" s="1001"/>
      <c r="Q317" s="1001"/>
      <c r="V317" s="1013"/>
      <c r="W317" s="138"/>
      <c r="AQ317" s="138"/>
    </row>
    <row r="318" spans="3:43" x14ac:dyDescent="0.35">
      <c r="C318" s="1001"/>
      <c r="D318" s="1001"/>
      <c r="E318" s="1001"/>
      <c r="F318" s="1001"/>
      <c r="G318" s="1001"/>
      <c r="M318" s="1001"/>
      <c r="N318" s="1001"/>
      <c r="O318" s="1001"/>
      <c r="P318" s="1001"/>
      <c r="Q318" s="1001"/>
      <c r="V318" s="1013"/>
      <c r="W318" s="138"/>
      <c r="AQ318" s="138"/>
    </row>
    <row r="319" spans="3:43" x14ac:dyDescent="0.35">
      <c r="C319" s="1001"/>
      <c r="D319" s="1001"/>
      <c r="E319" s="1001"/>
      <c r="F319" s="1001"/>
      <c r="G319" s="1001"/>
      <c r="M319" s="1001"/>
      <c r="N319" s="1001"/>
      <c r="O319" s="1001"/>
      <c r="P319" s="1001"/>
      <c r="Q319" s="1001"/>
      <c r="V319" s="1013"/>
      <c r="W319" s="138"/>
      <c r="AQ319" s="138"/>
    </row>
    <row r="320" spans="3:43" x14ac:dyDescent="0.35">
      <c r="C320" s="1001"/>
      <c r="D320" s="1001"/>
      <c r="E320" s="1001"/>
      <c r="F320" s="1001"/>
      <c r="G320" s="1001"/>
      <c r="M320" s="1001"/>
      <c r="N320" s="1001"/>
      <c r="O320" s="1001"/>
      <c r="P320" s="1001"/>
      <c r="Q320" s="1001"/>
      <c r="V320" s="1013"/>
      <c r="W320" s="138"/>
      <c r="AQ320" s="138"/>
    </row>
    <row r="321" spans="3:43" x14ac:dyDescent="0.35">
      <c r="C321" s="1001"/>
      <c r="D321" s="1001"/>
      <c r="E321" s="1001"/>
      <c r="F321" s="1001"/>
      <c r="G321" s="1001"/>
      <c r="M321" s="1001"/>
      <c r="N321" s="1001"/>
      <c r="O321" s="1001"/>
      <c r="P321" s="1001"/>
      <c r="Q321" s="1001"/>
      <c r="V321" s="1013"/>
      <c r="W321" s="138"/>
      <c r="AQ321" s="138"/>
    </row>
    <row r="322" spans="3:43" x14ac:dyDescent="0.35">
      <c r="C322" s="1001"/>
      <c r="D322" s="1001"/>
      <c r="E322" s="1001"/>
      <c r="F322" s="1001"/>
      <c r="G322" s="1001"/>
      <c r="M322" s="1001"/>
      <c r="N322" s="1001"/>
      <c r="O322" s="1001"/>
      <c r="P322" s="1001"/>
      <c r="Q322" s="1001"/>
      <c r="V322" s="1013"/>
      <c r="W322" s="138"/>
      <c r="AQ322" s="138"/>
    </row>
    <row r="323" spans="3:43" x14ac:dyDescent="0.35">
      <c r="C323" s="1001"/>
      <c r="D323" s="1001"/>
      <c r="E323" s="1001"/>
      <c r="F323" s="1001"/>
      <c r="G323" s="1001"/>
      <c r="M323" s="1001"/>
      <c r="N323" s="1001"/>
      <c r="O323" s="1001"/>
      <c r="P323" s="1001"/>
      <c r="Q323" s="1001"/>
      <c r="V323" s="1013"/>
      <c r="W323" s="138"/>
      <c r="AQ323" s="138"/>
    </row>
    <row r="324" spans="3:43" x14ac:dyDescent="0.35">
      <c r="M324" s="1001"/>
      <c r="N324" s="1001"/>
      <c r="O324" s="1001"/>
      <c r="P324" s="1001"/>
      <c r="Q324" s="1001"/>
      <c r="V324" s="1013"/>
      <c r="W324" s="138"/>
      <c r="AQ324" s="138"/>
    </row>
    <row r="325" spans="3:43" x14ac:dyDescent="0.35">
      <c r="M325" s="1001"/>
      <c r="N325" s="1001"/>
      <c r="O325" s="1001"/>
      <c r="P325" s="1001"/>
      <c r="Q325" s="1001"/>
      <c r="V325" s="1013"/>
      <c r="W325" s="138"/>
      <c r="AQ325" s="138"/>
    </row>
    <row r="326" spans="3:43" x14ac:dyDescent="0.35">
      <c r="M326" s="1001"/>
      <c r="N326" s="1001"/>
      <c r="O326" s="1001"/>
      <c r="P326" s="1001"/>
      <c r="Q326" s="1001"/>
      <c r="V326" s="1013"/>
      <c r="W326" s="138"/>
      <c r="AQ326" s="138"/>
    </row>
    <row r="327" spans="3:43" x14ac:dyDescent="0.35">
      <c r="M327" s="1001"/>
      <c r="N327" s="1001"/>
      <c r="O327" s="1001"/>
      <c r="P327" s="1001"/>
      <c r="Q327" s="1001"/>
      <c r="V327" s="1013"/>
      <c r="W327" s="138"/>
      <c r="AQ327" s="138"/>
    </row>
    <row r="328" spans="3:43" x14ac:dyDescent="0.35">
      <c r="M328" s="1001"/>
      <c r="N328" s="1001"/>
      <c r="O328" s="1001"/>
      <c r="P328" s="1001"/>
      <c r="Q328" s="1001"/>
      <c r="V328" s="1013"/>
      <c r="W328" s="138"/>
      <c r="AQ328" s="138"/>
    </row>
    <row r="329" spans="3:43" x14ac:dyDescent="0.35">
      <c r="M329" s="1001"/>
      <c r="N329" s="1001"/>
      <c r="O329" s="1001"/>
      <c r="P329" s="1001"/>
      <c r="Q329" s="1001"/>
      <c r="V329" s="1013"/>
      <c r="W329" s="138"/>
      <c r="AQ329" s="138"/>
    </row>
    <row r="330" spans="3:43" x14ac:dyDescent="0.35">
      <c r="M330" s="1001"/>
      <c r="N330" s="1001"/>
      <c r="O330" s="1001"/>
      <c r="P330" s="1001"/>
      <c r="Q330" s="1001"/>
      <c r="V330" s="1013"/>
      <c r="W330" s="138"/>
      <c r="AQ330" s="138"/>
    </row>
    <row r="331" spans="3:43" x14ac:dyDescent="0.35">
      <c r="M331" s="1001"/>
      <c r="N331" s="1001"/>
      <c r="O331" s="1001"/>
      <c r="P331" s="1001"/>
      <c r="Q331" s="1001"/>
      <c r="V331" s="1013"/>
      <c r="W331" s="138"/>
      <c r="AQ331" s="138"/>
    </row>
    <row r="332" spans="3:43" x14ac:dyDescent="0.35">
      <c r="M332" s="1001"/>
      <c r="N332" s="1001"/>
      <c r="O332" s="1001"/>
      <c r="P332" s="1001"/>
      <c r="Q332" s="1001"/>
      <c r="V332" s="1013"/>
      <c r="W332" s="138"/>
      <c r="AQ332" s="138"/>
    </row>
    <row r="333" spans="3:43" x14ac:dyDescent="0.35">
      <c r="M333" s="1001"/>
      <c r="N333" s="1001"/>
      <c r="O333" s="1001"/>
      <c r="P333" s="1001"/>
      <c r="Q333" s="1001"/>
      <c r="V333" s="1013"/>
      <c r="W333" s="138"/>
      <c r="AQ333" s="138"/>
    </row>
    <row r="334" spans="3:43" x14ac:dyDescent="0.35">
      <c r="M334" s="1001"/>
      <c r="N334" s="1001"/>
      <c r="O334" s="1001"/>
      <c r="P334" s="1001"/>
      <c r="Q334" s="1001"/>
      <c r="V334" s="1013"/>
      <c r="W334" s="138"/>
      <c r="AQ334" s="138"/>
    </row>
    <row r="335" spans="3:43" x14ac:dyDescent="0.35">
      <c r="M335" s="1001"/>
      <c r="N335" s="1001"/>
      <c r="O335" s="1001"/>
      <c r="P335" s="1001"/>
      <c r="Q335" s="1001"/>
      <c r="V335" s="1013"/>
      <c r="W335" s="138"/>
      <c r="AQ335" s="138"/>
    </row>
    <row r="336" spans="3:43" x14ac:dyDescent="0.35">
      <c r="M336" s="1001"/>
      <c r="N336" s="1001"/>
      <c r="O336" s="1001"/>
      <c r="P336" s="1001"/>
      <c r="Q336" s="1001"/>
      <c r="V336" s="1013"/>
      <c r="W336" s="138"/>
      <c r="AQ336" s="138"/>
    </row>
    <row r="337" spans="13:43" x14ac:dyDescent="0.35">
      <c r="M337" s="1001"/>
      <c r="N337" s="1001"/>
      <c r="O337" s="1001"/>
      <c r="P337" s="1001"/>
      <c r="Q337" s="1001"/>
      <c r="V337" s="1013"/>
      <c r="W337" s="138"/>
      <c r="AQ337" s="138"/>
    </row>
    <row r="338" spans="13:43" x14ac:dyDescent="0.35">
      <c r="M338" s="1001"/>
      <c r="N338" s="1001"/>
      <c r="O338" s="1001"/>
      <c r="P338" s="1001"/>
      <c r="Q338" s="1001"/>
      <c r="V338" s="1013"/>
      <c r="W338" s="138"/>
      <c r="AQ338" s="138"/>
    </row>
    <row r="339" spans="13:43" x14ac:dyDescent="0.35">
      <c r="M339" s="1001"/>
      <c r="N339" s="1001"/>
      <c r="O339" s="1001"/>
      <c r="P339" s="1001"/>
      <c r="Q339" s="1001"/>
      <c r="V339" s="1013"/>
      <c r="W339" s="138"/>
      <c r="AQ339" s="138"/>
    </row>
    <row r="340" spans="13:43" x14ac:dyDescent="0.35">
      <c r="M340" s="1001"/>
      <c r="N340" s="1001"/>
      <c r="O340" s="1001"/>
      <c r="P340" s="1001"/>
      <c r="Q340" s="1001"/>
      <c r="V340" s="1013"/>
      <c r="W340" s="138"/>
      <c r="AQ340" s="138"/>
    </row>
    <row r="341" spans="13:43" x14ac:dyDescent="0.35">
      <c r="M341" s="1001"/>
      <c r="N341" s="1001"/>
      <c r="O341" s="1001"/>
      <c r="P341" s="1001"/>
      <c r="Q341" s="1001"/>
      <c r="V341" s="1013"/>
      <c r="W341" s="138"/>
      <c r="AQ341" s="138"/>
    </row>
    <row r="342" spans="13:43" x14ac:dyDescent="0.35">
      <c r="M342" s="1001"/>
      <c r="N342" s="1001"/>
      <c r="O342" s="1001"/>
      <c r="P342" s="1001"/>
      <c r="Q342" s="1001"/>
      <c r="V342" s="1013"/>
      <c r="W342" s="138"/>
      <c r="AQ342" s="138"/>
    </row>
    <row r="343" spans="13:43" x14ac:dyDescent="0.35">
      <c r="M343" s="1001"/>
      <c r="N343" s="1001"/>
      <c r="O343" s="1001"/>
      <c r="P343" s="1001"/>
      <c r="Q343" s="1001"/>
      <c r="V343" s="1013"/>
      <c r="W343" s="138"/>
      <c r="AQ343" s="138"/>
    </row>
    <row r="344" spans="13:43" x14ac:dyDescent="0.35">
      <c r="M344" s="1001"/>
      <c r="N344" s="1001"/>
      <c r="O344" s="1001"/>
      <c r="P344" s="1001"/>
      <c r="Q344" s="1001"/>
      <c r="V344" s="1013"/>
      <c r="W344" s="138"/>
      <c r="AQ344" s="138"/>
    </row>
    <row r="345" spans="13:43" x14ac:dyDescent="0.35">
      <c r="M345" s="1001"/>
      <c r="N345" s="1001"/>
      <c r="O345" s="1001"/>
      <c r="P345" s="1001"/>
      <c r="Q345" s="1001"/>
      <c r="V345" s="1013"/>
      <c r="W345" s="138"/>
      <c r="AQ345" s="138"/>
    </row>
    <row r="346" spans="13:43" x14ac:dyDescent="0.35">
      <c r="M346" s="1001"/>
      <c r="N346" s="1001"/>
      <c r="O346" s="1001"/>
      <c r="P346" s="1001"/>
      <c r="Q346" s="1001"/>
      <c r="V346" s="1013"/>
      <c r="W346" s="138"/>
      <c r="AQ346" s="138"/>
    </row>
    <row r="347" spans="13:43" x14ac:dyDescent="0.35">
      <c r="M347" s="1001"/>
      <c r="N347" s="1001"/>
      <c r="O347" s="1001"/>
      <c r="P347" s="1001"/>
      <c r="Q347" s="1001"/>
      <c r="V347" s="1013"/>
      <c r="W347" s="138"/>
      <c r="AQ347" s="138"/>
    </row>
    <row r="348" spans="13:43" x14ac:dyDescent="0.35">
      <c r="M348" s="1001"/>
      <c r="N348" s="1001"/>
      <c r="O348" s="1001"/>
      <c r="P348" s="1001"/>
      <c r="Q348" s="1001"/>
      <c r="V348" s="1013"/>
      <c r="W348" s="138"/>
      <c r="AQ348" s="138"/>
    </row>
    <row r="349" spans="13:43" x14ac:dyDescent="0.35">
      <c r="M349" s="1001"/>
      <c r="N349" s="1001"/>
      <c r="O349" s="1001"/>
      <c r="P349" s="1001"/>
      <c r="Q349" s="1001"/>
      <c r="V349" s="1013"/>
      <c r="W349" s="138"/>
      <c r="AQ349" s="138"/>
    </row>
    <row r="350" spans="13:43" x14ac:dyDescent="0.35">
      <c r="M350" s="1001"/>
      <c r="N350" s="1001"/>
      <c r="O350" s="1001"/>
      <c r="P350" s="1001"/>
      <c r="Q350" s="1001"/>
      <c r="V350" s="1013"/>
      <c r="W350" s="138"/>
      <c r="AQ350" s="138"/>
    </row>
    <row r="351" spans="13:43" x14ac:dyDescent="0.35">
      <c r="M351" s="1001"/>
      <c r="N351" s="1001"/>
      <c r="O351" s="1001"/>
      <c r="P351" s="1001"/>
      <c r="Q351" s="1001"/>
      <c r="V351" s="1013"/>
      <c r="W351" s="138"/>
      <c r="AQ351" s="138"/>
    </row>
    <row r="352" spans="13:43" x14ac:dyDescent="0.35">
      <c r="M352" s="1001"/>
      <c r="N352" s="1001"/>
      <c r="O352" s="1001"/>
      <c r="P352" s="1001"/>
      <c r="Q352" s="1001"/>
      <c r="V352" s="1013"/>
      <c r="W352" s="138"/>
      <c r="AQ352" s="138"/>
    </row>
    <row r="353" spans="13:43" x14ac:dyDescent="0.35">
      <c r="M353" s="1001"/>
      <c r="N353" s="1001"/>
      <c r="O353" s="1001"/>
      <c r="P353" s="1001"/>
      <c r="Q353" s="1001"/>
      <c r="V353" s="1013"/>
      <c r="W353" s="138"/>
      <c r="AQ353" s="138"/>
    </row>
    <row r="354" spans="13:43" x14ac:dyDescent="0.35">
      <c r="M354" s="1001"/>
      <c r="N354" s="1001"/>
      <c r="O354" s="1001"/>
      <c r="P354" s="1001"/>
      <c r="Q354" s="1001"/>
      <c r="V354" s="1013"/>
      <c r="W354" s="138"/>
      <c r="AQ354" s="138"/>
    </row>
    <row r="355" spans="13:43" x14ac:dyDescent="0.35">
      <c r="M355" s="1001"/>
      <c r="N355" s="1001"/>
      <c r="O355" s="1001"/>
      <c r="P355" s="1001"/>
      <c r="Q355" s="1001"/>
      <c r="V355" s="1013"/>
      <c r="W355" s="138"/>
      <c r="AQ355" s="138"/>
    </row>
    <row r="356" spans="13:43" x14ac:dyDescent="0.35">
      <c r="M356" s="1001"/>
      <c r="N356" s="1001"/>
      <c r="O356" s="1001"/>
      <c r="P356" s="1001"/>
      <c r="Q356" s="1001"/>
      <c r="V356" s="1013"/>
      <c r="W356" s="138"/>
      <c r="AQ356" s="138"/>
    </row>
    <row r="357" spans="13:43" x14ac:dyDescent="0.35">
      <c r="M357" s="1001"/>
      <c r="N357" s="1001"/>
      <c r="O357" s="1001"/>
      <c r="P357" s="1001"/>
      <c r="Q357" s="1001"/>
      <c r="V357" s="1013"/>
      <c r="W357" s="138"/>
      <c r="AQ357" s="138"/>
    </row>
    <row r="358" spans="13:43" x14ac:dyDescent="0.35">
      <c r="M358" s="1001"/>
      <c r="N358" s="1001"/>
      <c r="O358" s="1001"/>
      <c r="P358" s="1001"/>
      <c r="Q358" s="1001"/>
      <c r="V358" s="1013"/>
      <c r="W358" s="138"/>
      <c r="AQ358" s="138"/>
    </row>
    <row r="359" spans="13:43" x14ac:dyDescent="0.35">
      <c r="M359" s="1001"/>
      <c r="N359" s="1001"/>
      <c r="O359" s="1001"/>
      <c r="P359" s="1001"/>
      <c r="Q359" s="1001"/>
      <c r="V359" s="1013"/>
      <c r="W359" s="138"/>
      <c r="AQ359" s="138"/>
    </row>
    <row r="360" spans="13:43" x14ac:dyDescent="0.35">
      <c r="M360" s="1001"/>
      <c r="N360" s="1001"/>
      <c r="O360" s="1001"/>
      <c r="P360" s="1001"/>
      <c r="Q360" s="1001"/>
      <c r="V360" s="1013"/>
      <c r="W360" s="138"/>
      <c r="AQ360" s="138"/>
    </row>
    <row r="361" spans="13:43" x14ac:dyDescent="0.35">
      <c r="M361" s="1001"/>
      <c r="N361" s="1001"/>
      <c r="O361" s="1001"/>
      <c r="P361" s="1001"/>
      <c r="Q361" s="1001"/>
      <c r="V361" s="1013"/>
      <c r="W361" s="138"/>
      <c r="AQ361" s="138"/>
    </row>
    <row r="362" spans="13:43" x14ac:dyDescent="0.35">
      <c r="M362" s="1001"/>
      <c r="N362" s="1001"/>
      <c r="O362" s="1001"/>
      <c r="P362" s="1001"/>
      <c r="Q362" s="1001"/>
      <c r="V362" s="1013"/>
      <c r="W362" s="138"/>
      <c r="AQ362" s="138"/>
    </row>
    <row r="363" spans="13:43" x14ac:dyDescent="0.35">
      <c r="V363" s="1013"/>
      <c r="W363" s="138"/>
      <c r="AQ363" s="138"/>
    </row>
    <row r="364" spans="13:43" x14ac:dyDescent="0.35">
      <c r="V364" s="1013"/>
      <c r="W364" s="138"/>
      <c r="AQ364" s="138"/>
    </row>
    <row r="365" spans="13:43" x14ac:dyDescent="0.35">
      <c r="V365" s="1013"/>
      <c r="W365" s="138"/>
      <c r="AQ365" s="138"/>
    </row>
    <row r="366" spans="13:43" x14ac:dyDescent="0.35">
      <c r="V366" s="1013"/>
      <c r="W366" s="138"/>
      <c r="AQ366" s="138"/>
    </row>
    <row r="367" spans="13:43" x14ac:dyDescent="0.35">
      <c r="V367" s="1013"/>
      <c r="W367" s="138"/>
      <c r="AQ367" s="138"/>
    </row>
    <row r="368" spans="13:43" x14ac:dyDescent="0.35">
      <c r="V368" s="1013"/>
      <c r="W368" s="138"/>
      <c r="AQ368" s="138"/>
    </row>
    <row r="369" spans="22:43" x14ac:dyDescent="0.35">
      <c r="V369" s="1013"/>
      <c r="W369" s="138"/>
      <c r="AQ369" s="138"/>
    </row>
    <row r="370" spans="22:43" x14ac:dyDescent="0.35">
      <c r="V370" s="1013"/>
      <c r="W370" s="138"/>
      <c r="AQ370" s="138"/>
    </row>
    <row r="371" spans="22:43" x14ac:dyDescent="0.35">
      <c r="V371" s="1013"/>
      <c r="W371" s="138"/>
      <c r="AQ371" s="138"/>
    </row>
    <row r="372" spans="22:43" x14ac:dyDescent="0.35">
      <c r="V372" s="1013"/>
      <c r="W372" s="138"/>
      <c r="AQ372" s="138"/>
    </row>
    <row r="373" spans="22:43" x14ac:dyDescent="0.35">
      <c r="V373" s="1013"/>
      <c r="W373" s="138"/>
      <c r="AQ373" s="138"/>
    </row>
    <row r="374" spans="22:43" x14ac:dyDescent="0.35">
      <c r="V374" s="1013"/>
      <c r="W374" s="138"/>
      <c r="AQ374" s="138"/>
    </row>
    <row r="375" spans="22:43" x14ac:dyDescent="0.35">
      <c r="V375" s="1013"/>
      <c r="W375" s="138"/>
      <c r="AQ375" s="138"/>
    </row>
    <row r="376" spans="22:43" x14ac:dyDescent="0.35">
      <c r="V376" s="1013"/>
      <c r="W376" s="138"/>
      <c r="AQ376" s="138"/>
    </row>
    <row r="377" spans="22:43" x14ac:dyDescent="0.35">
      <c r="V377" s="1013"/>
      <c r="W377" s="138"/>
      <c r="AQ377" s="138"/>
    </row>
    <row r="378" spans="22:43" x14ac:dyDescent="0.35">
      <c r="V378" s="1013"/>
      <c r="W378" s="138"/>
      <c r="AQ378" s="138"/>
    </row>
    <row r="379" spans="22:43" x14ac:dyDescent="0.35">
      <c r="V379" s="1013"/>
      <c r="W379" s="138"/>
      <c r="AQ379" s="138"/>
    </row>
    <row r="380" spans="22:43" x14ac:dyDescent="0.35">
      <c r="V380" s="1013"/>
      <c r="W380" s="138"/>
      <c r="AQ380" s="138"/>
    </row>
    <row r="381" spans="22:43" x14ac:dyDescent="0.35">
      <c r="V381" s="1013"/>
      <c r="W381" s="138"/>
      <c r="AQ381" s="138"/>
    </row>
    <row r="382" spans="22:43" x14ac:dyDescent="0.35">
      <c r="V382" s="1013"/>
      <c r="W382" s="138"/>
      <c r="AQ382" s="138"/>
    </row>
    <row r="383" spans="22:43" x14ac:dyDescent="0.35">
      <c r="V383" s="1013"/>
      <c r="W383" s="138"/>
      <c r="AQ383" s="138"/>
    </row>
    <row r="384" spans="22:43" x14ac:dyDescent="0.35">
      <c r="V384" s="1013"/>
      <c r="W384" s="138"/>
      <c r="AQ384" s="138"/>
    </row>
    <row r="385" spans="22:43" x14ac:dyDescent="0.35">
      <c r="V385" s="1013"/>
      <c r="W385" s="138"/>
      <c r="AQ385" s="138"/>
    </row>
    <row r="386" spans="22:43" x14ac:dyDescent="0.35">
      <c r="V386" s="1013"/>
      <c r="W386" s="138"/>
      <c r="AQ386" s="138"/>
    </row>
    <row r="387" spans="22:43" x14ac:dyDescent="0.35">
      <c r="V387" s="1013"/>
      <c r="W387" s="138"/>
      <c r="AQ387" s="138"/>
    </row>
    <row r="388" spans="22:43" x14ac:dyDescent="0.35">
      <c r="V388" s="1013"/>
      <c r="W388" s="138"/>
      <c r="AQ388" s="138"/>
    </row>
    <row r="389" spans="22:43" x14ac:dyDescent="0.35">
      <c r="V389" s="1013"/>
      <c r="W389" s="138"/>
      <c r="AQ389" s="138"/>
    </row>
    <row r="390" spans="22:43" x14ac:dyDescent="0.35">
      <c r="V390" s="1013"/>
      <c r="W390" s="138"/>
      <c r="AQ390" s="138"/>
    </row>
    <row r="391" spans="22:43" x14ac:dyDescent="0.35">
      <c r="V391" s="1013"/>
      <c r="W391" s="138"/>
      <c r="AQ391" s="138"/>
    </row>
    <row r="392" spans="22:43" x14ac:dyDescent="0.35">
      <c r="V392" s="1013"/>
      <c r="W392" s="138"/>
      <c r="AQ392" s="138"/>
    </row>
    <row r="393" spans="22:43" x14ac:dyDescent="0.35">
      <c r="V393" s="1013"/>
      <c r="W393" s="138"/>
      <c r="AQ393" s="138"/>
    </row>
    <row r="394" spans="22:43" x14ac:dyDescent="0.35">
      <c r="V394" s="1013"/>
      <c r="W394" s="138"/>
      <c r="AQ394" s="138"/>
    </row>
    <row r="395" spans="22:43" x14ac:dyDescent="0.35">
      <c r="V395" s="1013"/>
      <c r="W395" s="138"/>
      <c r="AQ395" s="138"/>
    </row>
    <row r="396" spans="22:43" x14ac:dyDescent="0.35">
      <c r="V396" s="1013"/>
      <c r="W396" s="138"/>
      <c r="AQ396" s="138"/>
    </row>
    <row r="397" spans="22:43" x14ac:dyDescent="0.35">
      <c r="V397" s="1013"/>
      <c r="W397" s="138"/>
      <c r="AQ397" s="138"/>
    </row>
    <row r="398" spans="22:43" x14ac:dyDescent="0.35">
      <c r="V398" s="1013"/>
      <c r="W398" s="138"/>
      <c r="AQ398" s="138"/>
    </row>
    <row r="399" spans="22:43" x14ac:dyDescent="0.35">
      <c r="V399" s="1013"/>
      <c r="W399" s="138"/>
      <c r="AQ399" s="138"/>
    </row>
    <row r="400" spans="22:43" x14ac:dyDescent="0.35">
      <c r="V400" s="1013"/>
      <c r="W400" s="138"/>
      <c r="AQ400" s="138"/>
    </row>
    <row r="401" spans="22:43" x14ac:dyDescent="0.35">
      <c r="V401" s="1013"/>
      <c r="W401" s="138"/>
      <c r="AQ401" s="138"/>
    </row>
    <row r="402" spans="22:43" x14ac:dyDescent="0.35">
      <c r="V402" s="1013"/>
      <c r="W402" s="138"/>
      <c r="AQ402" s="138"/>
    </row>
    <row r="403" spans="22:43" x14ac:dyDescent="0.35">
      <c r="V403" s="1013"/>
      <c r="W403" s="138"/>
      <c r="AQ403" s="138"/>
    </row>
    <row r="404" spans="22:43" x14ac:dyDescent="0.35">
      <c r="V404" s="1013"/>
      <c r="W404" s="138"/>
      <c r="AQ404" s="138"/>
    </row>
    <row r="405" spans="22:43" x14ac:dyDescent="0.35">
      <c r="V405" s="1013"/>
      <c r="W405" s="138"/>
      <c r="AQ405" s="138"/>
    </row>
    <row r="406" spans="22:43" x14ac:dyDescent="0.35">
      <c r="V406" s="1013"/>
      <c r="W406" s="138"/>
      <c r="AQ406" s="138"/>
    </row>
    <row r="407" spans="22:43" x14ac:dyDescent="0.35">
      <c r="V407" s="1013"/>
      <c r="W407" s="138"/>
      <c r="AQ407" s="138"/>
    </row>
    <row r="408" spans="22:43" x14ac:dyDescent="0.35">
      <c r="V408" s="1013"/>
      <c r="W408" s="138"/>
      <c r="AQ408" s="138"/>
    </row>
    <row r="409" spans="22:43" x14ac:dyDescent="0.35">
      <c r="V409" s="1013"/>
      <c r="W409" s="138"/>
      <c r="AQ409" s="138"/>
    </row>
    <row r="410" spans="22:43" x14ac:dyDescent="0.35">
      <c r="V410" s="1013"/>
      <c r="W410" s="138"/>
      <c r="AQ410" s="138"/>
    </row>
    <row r="411" spans="22:43" x14ac:dyDescent="0.35">
      <c r="V411" s="1013"/>
      <c r="W411" s="138"/>
      <c r="AQ411" s="138"/>
    </row>
    <row r="412" spans="22:43" x14ac:dyDescent="0.35">
      <c r="V412" s="1013"/>
      <c r="W412" s="138"/>
      <c r="AQ412" s="138"/>
    </row>
    <row r="413" spans="22:43" x14ac:dyDescent="0.35">
      <c r="V413" s="1013"/>
      <c r="W413" s="138"/>
      <c r="AQ413" s="138"/>
    </row>
    <row r="414" spans="22:43" x14ac:dyDescent="0.35">
      <c r="V414" s="1013"/>
      <c r="W414" s="138"/>
      <c r="AQ414" s="138"/>
    </row>
    <row r="415" spans="22:43" x14ac:dyDescent="0.35">
      <c r="V415" s="1013"/>
      <c r="W415" s="138"/>
      <c r="AQ415" s="138"/>
    </row>
    <row r="416" spans="22:43" x14ac:dyDescent="0.35">
      <c r="V416" s="1013"/>
      <c r="W416" s="138"/>
      <c r="AQ416" s="138"/>
    </row>
    <row r="417" spans="22:43" x14ac:dyDescent="0.35">
      <c r="V417" s="1013"/>
      <c r="W417" s="138"/>
      <c r="AQ417" s="138"/>
    </row>
    <row r="418" spans="22:43" x14ac:dyDescent="0.35">
      <c r="V418" s="1013"/>
      <c r="W418" s="138"/>
      <c r="AQ418" s="138"/>
    </row>
    <row r="419" spans="22:43" x14ac:dyDescent="0.35">
      <c r="V419" s="1013"/>
      <c r="W419" s="138"/>
      <c r="AQ419" s="138"/>
    </row>
    <row r="420" spans="22:43" x14ac:dyDescent="0.35">
      <c r="V420" s="1013"/>
      <c r="W420" s="138"/>
      <c r="AQ420" s="138"/>
    </row>
    <row r="421" spans="22:43" x14ac:dyDescent="0.35">
      <c r="V421" s="1013"/>
      <c r="W421" s="138"/>
      <c r="AQ421" s="138"/>
    </row>
    <row r="422" spans="22:43" x14ac:dyDescent="0.35">
      <c r="V422" s="1013"/>
      <c r="W422" s="138"/>
      <c r="AQ422" s="138"/>
    </row>
    <row r="423" spans="22:43" x14ac:dyDescent="0.35">
      <c r="V423" s="1013"/>
      <c r="W423" s="138"/>
      <c r="AQ423" s="138"/>
    </row>
    <row r="424" spans="22:43" x14ac:dyDescent="0.35">
      <c r="V424" s="1013"/>
      <c r="W424" s="138"/>
      <c r="AQ424" s="138"/>
    </row>
    <row r="425" spans="22:43" x14ac:dyDescent="0.35">
      <c r="V425" s="1013"/>
      <c r="W425" s="138"/>
      <c r="AQ425" s="138"/>
    </row>
    <row r="426" spans="22:43" x14ac:dyDescent="0.35">
      <c r="V426" s="1013"/>
      <c r="W426" s="138"/>
      <c r="AQ426" s="138"/>
    </row>
    <row r="427" spans="22:43" x14ac:dyDescent="0.35">
      <c r="V427" s="1013"/>
      <c r="W427" s="138"/>
      <c r="AQ427" s="138"/>
    </row>
    <row r="428" spans="22:43" x14ac:dyDescent="0.35">
      <c r="V428" s="1013"/>
      <c r="W428" s="138"/>
      <c r="AQ428" s="138"/>
    </row>
    <row r="429" spans="22:43" x14ac:dyDescent="0.35">
      <c r="V429" s="1013"/>
      <c r="W429" s="138"/>
      <c r="AQ429" s="138"/>
    </row>
    <row r="430" spans="22:43" x14ac:dyDescent="0.35">
      <c r="V430" s="1013"/>
      <c r="W430" s="138"/>
      <c r="AQ430" s="138"/>
    </row>
    <row r="431" spans="22:43" x14ac:dyDescent="0.35">
      <c r="V431" s="1013"/>
      <c r="W431" s="138"/>
      <c r="AQ431" s="138"/>
    </row>
    <row r="432" spans="22:43" x14ac:dyDescent="0.35">
      <c r="V432" s="1013"/>
      <c r="W432" s="138"/>
      <c r="AQ432" s="138"/>
    </row>
    <row r="433" spans="22:43" x14ac:dyDescent="0.35">
      <c r="V433" s="1013"/>
      <c r="W433" s="138"/>
      <c r="AQ433" s="138"/>
    </row>
    <row r="434" spans="22:43" x14ac:dyDescent="0.35">
      <c r="V434" s="1013"/>
      <c r="W434" s="138"/>
      <c r="AQ434" s="138"/>
    </row>
    <row r="435" spans="22:43" x14ac:dyDescent="0.35">
      <c r="V435" s="1013"/>
      <c r="W435" s="138"/>
      <c r="AQ435" s="138"/>
    </row>
    <row r="436" spans="22:43" x14ac:dyDescent="0.35">
      <c r="V436" s="1013"/>
      <c r="W436" s="138"/>
      <c r="AQ436" s="138"/>
    </row>
    <row r="437" spans="22:43" x14ac:dyDescent="0.35">
      <c r="V437" s="1013"/>
      <c r="W437" s="138"/>
      <c r="AQ437" s="138"/>
    </row>
    <row r="438" spans="22:43" x14ac:dyDescent="0.35">
      <c r="V438" s="1013"/>
      <c r="W438" s="138"/>
      <c r="AQ438" s="138"/>
    </row>
    <row r="439" spans="22:43" x14ac:dyDescent="0.35">
      <c r="V439" s="1013"/>
      <c r="W439" s="138"/>
      <c r="AQ439" s="138"/>
    </row>
    <row r="440" spans="22:43" x14ac:dyDescent="0.35">
      <c r="V440" s="1013"/>
      <c r="W440" s="138"/>
      <c r="AQ440" s="138"/>
    </row>
    <row r="441" spans="22:43" x14ac:dyDescent="0.35">
      <c r="V441" s="1013"/>
      <c r="W441" s="138"/>
      <c r="AQ441" s="138"/>
    </row>
    <row r="442" spans="22:43" x14ac:dyDescent="0.35">
      <c r="V442" s="1013"/>
      <c r="W442" s="138"/>
      <c r="AQ442" s="138"/>
    </row>
    <row r="443" spans="22:43" x14ac:dyDescent="0.35">
      <c r="V443" s="1013"/>
      <c r="W443" s="138"/>
      <c r="AQ443" s="138"/>
    </row>
    <row r="444" spans="22:43" x14ac:dyDescent="0.35">
      <c r="V444" s="1013"/>
      <c r="W444" s="138"/>
      <c r="AQ444" s="138"/>
    </row>
    <row r="445" spans="22:43" x14ac:dyDescent="0.35">
      <c r="V445" s="1013"/>
      <c r="W445" s="138"/>
      <c r="AQ445" s="138"/>
    </row>
    <row r="446" spans="22:43" x14ac:dyDescent="0.35">
      <c r="V446" s="1013"/>
      <c r="W446" s="138"/>
      <c r="AQ446" s="138"/>
    </row>
    <row r="447" spans="22:43" x14ac:dyDescent="0.35">
      <c r="V447" s="1013"/>
      <c r="W447" s="138"/>
      <c r="AQ447" s="138"/>
    </row>
    <row r="448" spans="22:43" x14ac:dyDescent="0.35">
      <c r="V448" s="1013"/>
      <c r="W448" s="138"/>
      <c r="AQ448" s="138"/>
    </row>
    <row r="449" spans="22:43" x14ac:dyDescent="0.35">
      <c r="V449" s="1013"/>
      <c r="W449" s="138"/>
      <c r="AQ449" s="138"/>
    </row>
    <row r="450" spans="22:43" x14ac:dyDescent="0.35">
      <c r="V450" s="1013"/>
      <c r="W450" s="138"/>
      <c r="AQ450" s="138"/>
    </row>
    <row r="451" spans="22:43" x14ac:dyDescent="0.35">
      <c r="V451" s="1013"/>
      <c r="W451" s="138"/>
      <c r="AQ451" s="138"/>
    </row>
    <row r="452" spans="22:43" x14ac:dyDescent="0.35">
      <c r="V452" s="1013"/>
      <c r="W452" s="138"/>
      <c r="AQ452" s="138"/>
    </row>
    <row r="453" spans="22:43" x14ac:dyDescent="0.35">
      <c r="V453" s="1013"/>
      <c r="W453" s="138"/>
      <c r="AQ453" s="138"/>
    </row>
    <row r="454" spans="22:43" x14ac:dyDescent="0.35">
      <c r="V454" s="1013"/>
      <c r="W454" s="138"/>
      <c r="AQ454" s="138"/>
    </row>
    <row r="455" spans="22:43" x14ac:dyDescent="0.35">
      <c r="V455" s="1013"/>
      <c r="W455" s="138"/>
      <c r="AQ455" s="138"/>
    </row>
    <row r="456" spans="22:43" x14ac:dyDescent="0.35">
      <c r="V456" s="1013"/>
      <c r="W456" s="138"/>
      <c r="AQ456" s="138"/>
    </row>
    <row r="457" spans="22:43" x14ac:dyDescent="0.35">
      <c r="V457" s="1013"/>
      <c r="W457" s="138"/>
      <c r="AQ457" s="138"/>
    </row>
    <row r="458" spans="22:43" x14ac:dyDescent="0.35">
      <c r="V458" s="1013"/>
      <c r="W458" s="138"/>
      <c r="AQ458" s="138"/>
    </row>
    <row r="459" spans="22:43" x14ac:dyDescent="0.35">
      <c r="V459" s="1013"/>
      <c r="W459" s="138"/>
      <c r="AQ459" s="138"/>
    </row>
    <row r="460" spans="22:43" x14ac:dyDescent="0.35">
      <c r="V460" s="1013"/>
      <c r="W460" s="138"/>
      <c r="AQ460" s="138"/>
    </row>
    <row r="461" spans="22:43" x14ac:dyDescent="0.35">
      <c r="V461" s="1013"/>
      <c r="W461" s="138"/>
      <c r="AQ461" s="138"/>
    </row>
    <row r="462" spans="22:43" x14ac:dyDescent="0.35">
      <c r="V462" s="1013"/>
      <c r="W462" s="138"/>
      <c r="AQ462" s="138"/>
    </row>
    <row r="463" spans="22:43" x14ac:dyDescent="0.35">
      <c r="V463" s="1013"/>
      <c r="W463" s="138"/>
      <c r="AQ463" s="138"/>
    </row>
    <row r="464" spans="22:43" x14ac:dyDescent="0.35">
      <c r="V464" s="1013"/>
      <c r="W464" s="138"/>
      <c r="AQ464" s="138"/>
    </row>
    <row r="465" spans="22:43" x14ac:dyDescent="0.35">
      <c r="V465" s="1013"/>
      <c r="W465" s="138"/>
      <c r="AQ465" s="138"/>
    </row>
    <row r="466" spans="22:43" x14ac:dyDescent="0.35">
      <c r="V466" s="1013"/>
      <c r="W466" s="138"/>
      <c r="AQ466" s="138"/>
    </row>
    <row r="467" spans="22:43" x14ac:dyDescent="0.35">
      <c r="V467" s="1013"/>
      <c r="W467" s="138"/>
      <c r="AQ467" s="138"/>
    </row>
    <row r="468" spans="22:43" x14ac:dyDescent="0.35">
      <c r="V468" s="1013"/>
      <c r="W468" s="138"/>
      <c r="AQ468" s="138"/>
    </row>
    <row r="469" spans="22:43" x14ac:dyDescent="0.35">
      <c r="V469" s="1013"/>
      <c r="W469" s="138"/>
      <c r="AQ469" s="138"/>
    </row>
    <row r="470" spans="22:43" x14ac:dyDescent="0.35">
      <c r="V470" s="1013"/>
      <c r="W470" s="138"/>
      <c r="AQ470" s="138"/>
    </row>
    <row r="471" spans="22:43" x14ac:dyDescent="0.35">
      <c r="V471" s="1013"/>
      <c r="W471" s="138"/>
      <c r="AQ471" s="138"/>
    </row>
    <row r="472" spans="22:43" x14ac:dyDescent="0.35">
      <c r="V472" s="1013"/>
      <c r="W472" s="138"/>
      <c r="AQ472" s="138"/>
    </row>
    <row r="473" spans="22:43" x14ac:dyDescent="0.35">
      <c r="V473" s="1013"/>
      <c r="W473" s="138"/>
      <c r="AQ473" s="138"/>
    </row>
    <row r="474" spans="22:43" x14ac:dyDescent="0.35">
      <c r="V474" s="1013"/>
      <c r="W474" s="138"/>
      <c r="AQ474" s="138"/>
    </row>
    <row r="475" spans="22:43" x14ac:dyDescent="0.35">
      <c r="V475" s="1013"/>
      <c r="W475" s="138"/>
      <c r="AQ475" s="138"/>
    </row>
    <row r="476" spans="22:43" x14ac:dyDescent="0.35">
      <c r="V476" s="1013"/>
      <c r="W476" s="138"/>
      <c r="AQ476" s="138"/>
    </row>
    <row r="477" spans="22:43" x14ac:dyDescent="0.35">
      <c r="V477" s="1013"/>
      <c r="W477" s="138"/>
      <c r="AQ477" s="138"/>
    </row>
    <row r="478" spans="22:43" x14ac:dyDescent="0.35">
      <c r="V478" s="1013"/>
      <c r="W478" s="138"/>
      <c r="AQ478" s="138"/>
    </row>
    <row r="479" spans="22:43" x14ac:dyDescent="0.35">
      <c r="V479" s="1013"/>
      <c r="W479" s="138"/>
      <c r="AQ479" s="138"/>
    </row>
    <row r="480" spans="22:43" x14ac:dyDescent="0.35">
      <c r="V480" s="1013"/>
      <c r="W480" s="138"/>
      <c r="AQ480" s="138"/>
    </row>
    <row r="481" spans="22:43" x14ac:dyDescent="0.35">
      <c r="V481" s="1013"/>
      <c r="W481" s="138"/>
      <c r="AQ481" s="138"/>
    </row>
    <row r="482" spans="22:43" x14ac:dyDescent="0.35">
      <c r="V482" s="1013"/>
      <c r="W482" s="138"/>
      <c r="AQ482" s="138"/>
    </row>
    <row r="483" spans="22:43" x14ac:dyDescent="0.35">
      <c r="V483" s="1013"/>
      <c r="W483" s="138"/>
      <c r="AQ483" s="138"/>
    </row>
    <row r="484" spans="22:43" x14ac:dyDescent="0.35">
      <c r="V484" s="1013"/>
      <c r="W484" s="138"/>
      <c r="AQ484" s="138"/>
    </row>
    <row r="485" spans="22:43" x14ac:dyDescent="0.35">
      <c r="V485" s="1013"/>
      <c r="W485" s="138"/>
      <c r="AQ485" s="138"/>
    </row>
    <row r="486" spans="22:43" x14ac:dyDescent="0.35">
      <c r="V486" s="1013"/>
      <c r="W486" s="138"/>
      <c r="AQ486" s="138"/>
    </row>
    <row r="487" spans="22:43" x14ac:dyDescent="0.35">
      <c r="V487" s="1013"/>
      <c r="W487" s="138"/>
      <c r="AQ487" s="138"/>
    </row>
    <row r="488" spans="22:43" x14ac:dyDescent="0.35">
      <c r="V488" s="1013"/>
      <c r="W488" s="138"/>
      <c r="AQ488" s="138"/>
    </row>
    <row r="489" spans="22:43" x14ac:dyDescent="0.35">
      <c r="V489" s="1013"/>
      <c r="W489" s="138"/>
      <c r="AQ489" s="138"/>
    </row>
    <row r="490" spans="22:43" x14ac:dyDescent="0.35">
      <c r="V490" s="1013"/>
      <c r="W490" s="138"/>
      <c r="AQ490" s="138"/>
    </row>
    <row r="491" spans="22:43" x14ac:dyDescent="0.35">
      <c r="V491" s="1013"/>
      <c r="W491" s="138"/>
      <c r="AQ491" s="138"/>
    </row>
    <row r="492" spans="22:43" x14ac:dyDescent="0.35">
      <c r="V492" s="1013"/>
      <c r="W492" s="138"/>
      <c r="AQ492" s="138"/>
    </row>
    <row r="493" spans="22:43" x14ac:dyDescent="0.35">
      <c r="V493" s="1013"/>
      <c r="W493" s="138"/>
      <c r="AQ493" s="138"/>
    </row>
    <row r="494" spans="22:43" x14ac:dyDescent="0.35">
      <c r="V494" s="1013"/>
      <c r="W494" s="138"/>
      <c r="AQ494" s="138"/>
    </row>
    <row r="495" spans="22:43" x14ac:dyDescent="0.35">
      <c r="V495" s="1013"/>
      <c r="W495" s="138"/>
      <c r="AQ495" s="138"/>
    </row>
    <row r="496" spans="22:43" x14ac:dyDescent="0.35">
      <c r="V496" s="1013"/>
      <c r="W496" s="138"/>
      <c r="AQ496" s="138"/>
    </row>
    <row r="497" spans="22:43" x14ac:dyDescent="0.35">
      <c r="V497" s="1013"/>
      <c r="W497" s="138"/>
      <c r="AQ497" s="138"/>
    </row>
    <row r="498" spans="22:43" x14ac:dyDescent="0.35">
      <c r="V498" s="1013"/>
      <c r="W498" s="138"/>
      <c r="AQ498" s="138"/>
    </row>
    <row r="499" spans="22:43" x14ac:dyDescent="0.35">
      <c r="V499" s="1013"/>
      <c r="W499" s="138"/>
      <c r="AQ499" s="138"/>
    </row>
    <row r="500" spans="22:43" x14ac:dyDescent="0.35">
      <c r="V500" s="1013"/>
      <c r="W500" s="138"/>
      <c r="AQ500" s="138"/>
    </row>
    <row r="501" spans="22:43" x14ac:dyDescent="0.35">
      <c r="V501" s="1013"/>
      <c r="W501" s="138"/>
      <c r="AQ501" s="138"/>
    </row>
    <row r="502" spans="22:43" x14ac:dyDescent="0.35">
      <c r="V502" s="1013"/>
      <c r="W502" s="138"/>
      <c r="AQ502" s="138"/>
    </row>
    <row r="503" spans="22:43" x14ac:dyDescent="0.35">
      <c r="V503" s="1013"/>
      <c r="W503" s="138"/>
      <c r="AQ503" s="138"/>
    </row>
    <row r="504" spans="22:43" x14ac:dyDescent="0.35">
      <c r="V504" s="1013"/>
      <c r="W504" s="138"/>
      <c r="AQ504" s="138"/>
    </row>
    <row r="505" spans="22:43" x14ac:dyDescent="0.35">
      <c r="V505" s="1013"/>
      <c r="W505" s="138"/>
      <c r="AQ505" s="138"/>
    </row>
    <row r="506" spans="22:43" x14ac:dyDescent="0.35">
      <c r="V506" s="1013"/>
      <c r="W506" s="138"/>
      <c r="AQ506" s="138"/>
    </row>
    <row r="507" spans="22:43" x14ac:dyDescent="0.35">
      <c r="V507" s="1013"/>
      <c r="W507" s="138"/>
      <c r="AQ507" s="138"/>
    </row>
    <row r="508" spans="22:43" x14ac:dyDescent="0.35">
      <c r="V508" s="1013"/>
      <c r="W508" s="138"/>
      <c r="AQ508" s="138"/>
    </row>
    <row r="509" spans="22:43" x14ac:dyDescent="0.35">
      <c r="V509" s="1013"/>
      <c r="W509" s="138"/>
      <c r="AQ509" s="138"/>
    </row>
    <row r="510" spans="22:43" x14ac:dyDescent="0.35">
      <c r="V510" s="1013"/>
      <c r="W510" s="138"/>
      <c r="AQ510" s="138"/>
    </row>
    <row r="511" spans="22:43" x14ac:dyDescent="0.35">
      <c r="V511" s="1013"/>
      <c r="W511" s="138"/>
      <c r="AQ511" s="138"/>
    </row>
    <row r="512" spans="22:43" x14ac:dyDescent="0.35">
      <c r="V512" s="1013"/>
      <c r="W512" s="138"/>
      <c r="AQ512" s="138"/>
    </row>
    <row r="513" spans="22:43" x14ac:dyDescent="0.35">
      <c r="V513" s="1013"/>
      <c r="W513" s="138"/>
      <c r="AQ513" s="138"/>
    </row>
    <row r="514" spans="22:43" x14ac:dyDescent="0.35">
      <c r="V514" s="1013"/>
      <c r="W514" s="138"/>
      <c r="AQ514" s="138"/>
    </row>
    <row r="515" spans="22:43" x14ac:dyDescent="0.35">
      <c r="V515" s="1013"/>
      <c r="W515" s="138"/>
      <c r="AQ515" s="138"/>
    </row>
    <row r="516" spans="22:43" x14ac:dyDescent="0.35">
      <c r="V516" s="1013"/>
      <c r="W516" s="138"/>
      <c r="AQ516" s="138"/>
    </row>
    <row r="517" spans="22:43" x14ac:dyDescent="0.35">
      <c r="V517" s="1013"/>
      <c r="W517" s="138"/>
      <c r="AQ517" s="138"/>
    </row>
    <row r="518" spans="22:43" x14ac:dyDescent="0.35">
      <c r="V518" s="1013"/>
      <c r="W518" s="138"/>
      <c r="AQ518" s="138"/>
    </row>
    <row r="519" spans="22:43" x14ac:dyDescent="0.35">
      <c r="V519" s="1013"/>
      <c r="W519" s="138"/>
      <c r="AQ519" s="138"/>
    </row>
    <row r="520" spans="22:43" x14ac:dyDescent="0.35">
      <c r="V520" s="1013"/>
      <c r="W520" s="138"/>
      <c r="AQ520" s="138"/>
    </row>
    <row r="521" spans="22:43" x14ac:dyDescent="0.35">
      <c r="V521" s="1013"/>
      <c r="W521" s="138"/>
      <c r="AQ521" s="138"/>
    </row>
    <row r="522" spans="22:43" x14ac:dyDescent="0.35">
      <c r="V522" s="1013"/>
      <c r="W522" s="138"/>
      <c r="AQ522" s="138"/>
    </row>
    <row r="523" spans="22:43" x14ac:dyDescent="0.35">
      <c r="V523" s="1013"/>
      <c r="W523" s="138"/>
      <c r="AQ523" s="138"/>
    </row>
    <row r="524" spans="22:43" x14ac:dyDescent="0.35">
      <c r="V524" s="1013"/>
      <c r="W524" s="138"/>
      <c r="AQ524" s="138"/>
    </row>
    <row r="525" spans="22:43" x14ac:dyDescent="0.35">
      <c r="V525" s="1013"/>
      <c r="W525" s="138"/>
      <c r="AQ525" s="138"/>
    </row>
    <row r="526" spans="22:43" x14ac:dyDescent="0.35">
      <c r="V526" s="1013"/>
      <c r="W526" s="138"/>
      <c r="AQ526" s="138"/>
    </row>
    <row r="527" spans="22:43" x14ac:dyDescent="0.35">
      <c r="V527" s="1013"/>
      <c r="W527" s="138"/>
      <c r="AQ527" s="138"/>
    </row>
    <row r="528" spans="22:43" x14ac:dyDescent="0.35">
      <c r="V528" s="1013"/>
      <c r="W528" s="138"/>
      <c r="AQ528" s="138"/>
    </row>
    <row r="529" spans="22:43" x14ac:dyDescent="0.35">
      <c r="V529" s="1013"/>
      <c r="W529" s="138"/>
      <c r="AQ529" s="138"/>
    </row>
    <row r="530" spans="22:43" x14ac:dyDescent="0.35">
      <c r="V530" s="1013"/>
      <c r="W530" s="138"/>
      <c r="AQ530" s="138"/>
    </row>
    <row r="531" spans="22:43" x14ac:dyDescent="0.35">
      <c r="V531" s="1013"/>
      <c r="W531" s="138"/>
      <c r="AQ531" s="138"/>
    </row>
    <row r="532" spans="22:43" x14ac:dyDescent="0.35">
      <c r="V532" s="1013"/>
      <c r="W532" s="138"/>
      <c r="AQ532" s="138"/>
    </row>
    <row r="533" spans="22:43" x14ac:dyDescent="0.35">
      <c r="V533" s="1013"/>
      <c r="W533" s="138"/>
      <c r="AQ533" s="138"/>
    </row>
    <row r="534" spans="22:43" x14ac:dyDescent="0.35">
      <c r="V534" s="1013"/>
      <c r="W534" s="138"/>
      <c r="AQ534" s="138"/>
    </row>
    <row r="535" spans="22:43" x14ac:dyDescent="0.35">
      <c r="V535" s="1013"/>
      <c r="W535" s="138"/>
      <c r="AQ535" s="138"/>
    </row>
    <row r="536" spans="22:43" x14ac:dyDescent="0.35">
      <c r="V536" s="1013"/>
      <c r="W536" s="138"/>
      <c r="AQ536" s="138"/>
    </row>
    <row r="537" spans="22:43" x14ac:dyDescent="0.35">
      <c r="V537" s="1013"/>
      <c r="W537" s="138"/>
      <c r="AQ537" s="138"/>
    </row>
    <row r="538" spans="22:43" x14ac:dyDescent="0.35">
      <c r="V538" s="1013"/>
      <c r="W538" s="138"/>
      <c r="AQ538" s="138"/>
    </row>
    <row r="539" spans="22:43" x14ac:dyDescent="0.35">
      <c r="V539" s="1013"/>
      <c r="W539" s="138"/>
      <c r="AQ539" s="138"/>
    </row>
    <row r="540" spans="22:43" x14ac:dyDescent="0.35">
      <c r="V540" s="1013"/>
      <c r="W540" s="138"/>
      <c r="AQ540" s="138"/>
    </row>
    <row r="541" spans="22:43" x14ac:dyDescent="0.35">
      <c r="V541" s="1013"/>
      <c r="W541" s="138"/>
      <c r="AQ541" s="138"/>
    </row>
    <row r="542" spans="22:43" x14ac:dyDescent="0.35">
      <c r="V542" s="1013"/>
      <c r="W542" s="138"/>
      <c r="AQ542" s="138"/>
    </row>
    <row r="543" spans="22:43" x14ac:dyDescent="0.35">
      <c r="V543" s="1013"/>
      <c r="W543" s="138"/>
      <c r="AQ543" s="138"/>
    </row>
    <row r="544" spans="22:43" x14ac:dyDescent="0.35">
      <c r="V544" s="1013"/>
      <c r="W544" s="138"/>
      <c r="AQ544" s="138"/>
    </row>
    <row r="545" spans="22:43" x14ac:dyDescent="0.35">
      <c r="V545" s="1013"/>
      <c r="W545" s="138"/>
      <c r="AQ545" s="138"/>
    </row>
    <row r="546" spans="22:43" x14ac:dyDescent="0.35">
      <c r="V546" s="1013"/>
      <c r="W546" s="138"/>
      <c r="AQ546" s="138"/>
    </row>
    <row r="547" spans="22:43" x14ac:dyDescent="0.35">
      <c r="V547" s="1013"/>
      <c r="W547" s="138"/>
      <c r="AQ547" s="138"/>
    </row>
    <row r="548" spans="22:43" x14ac:dyDescent="0.35">
      <c r="V548" s="1013"/>
      <c r="W548" s="138"/>
      <c r="AQ548" s="138"/>
    </row>
    <row r="549" spans="22:43" x14ac:dyDescent="0.35">
      <c r="V549" s="1013"/>
      <c r="W549" s="138"/>
      <c r="AQ549" s="138"/>
    </row>
    <row r="550" spans="22:43" x14ac:dyDescent="0.35">
      <c r="V550" s="1013"/>
      <c r="W550" s="138"/>
      <c r="AQ550" s="138"/>
    </row>
    <row r="551" spans="22:43" x14ac:dyDescent="0.35">
      <c r="V551" s="1013"/>
      <c r="W551" s="138"/>
      <c r="AQ551" s="138"/>
    </row>
    <row r="552" spans="22:43" x14ac:dyDescent="0.35">
      <c r="V552" s="1013"/>
      <c r="W552" s="138"/>
      <c r="AQ552" s="138"/>
    </row>
    <row r="553" spans="22:43" x14ac:dyDescent="0.35">
      <c r="V553" s="1013"/>
      <c r="W553" s="138"/>
      <c r="AQ553" s="138"/>
    </row>
    <row r="554" spans="22:43" x14ac:dyDescent="0.35">
      <c r="V554" s="1013"/>
      <c r="W554" s="138"/>
      <c r="AQ554" s="138"/>
    </row>
    <row r="555" spans="22:43" x14ac:dyDescent="0.35">
      <c r="V555" s="1013"/>
      <c r="W555" s="138"/>
      <c r="AQ555" s="138"/>
    </row>
    <row r="556" spans="22:43" x14ac:dyDescent="0.35">
      <c r="V556" s="1013"/>
      <c r="W556" s="138"/>
      <c r="AQ556" s="138"/>
    </row>
    <row r="557" spans="22:43" x14ac:dyDescent="0.35">
      <c r="V557" s="1013"/>
      <c r="W557" s="138"/>
      <c r="AQ557" s="138"/>
    </row>
    <row r="558" spans="22:43" x14ac:dyDescent="0.35">
      <c r="V558" s="1013"/>
      <c r="W558" s="138"/>
      <c r="AQ558" s="138"/>
    </row>
    <row r="559" spans="22:43" x14ac:dyDescent="0.35">
      <c r="V559" s="1013"/>
      <c r="W559" s="138"/>
      <c r="AQ559" s="138"/>
    </row>
    <row r="560" spans="22:43" x14ac:dyDescent="0.35">
      <c r="V560" s="1013"/>
      <c r="W560" s="138"/>
      <c r="AQ560" s="138"/>
    </row>
    <row r="561" spans="22:43" x14ac:dyDescent="0.35">
      <c r="V561" s="1013"/>
      <c r="W561" s="138"/>
      <c r="AQ561" s="138"/>
    </row>
    <row r="562" spans="22:43" x14ac:dyDescent="0.35">
      <c r="V562" s="1013"/>
      <c r="W562" s="138"/>
      <c r="AQ562" s="138"/>
    </row>
    <row r="563" spans="22:43" x14ac:dyDescent="0.35">
      <c r="V563" s="1013"/>
      <c r="W563" s="138"/>
      <c r="AQ563" s="138"/>
    </row>
    <row r="564" spans="22:43" x14ac:dyDescent="0.35">
      <c r="V564" s="1013"/>
      <c r="W564" s="138"/>
      <c r="AQ564" s="138"/>
    </row>
    <row r="565" spans="22:43" x14ac:dyDescent="0.35">
      <c r="V565" s="1013"/>
      <c r="W565" s="138"/>
      <c r="AQ565" s="138"/>
    </row>
    <row r="566" spans="22:43" x14ac:dyDescent="0.35">
      <c r="V566" s="1013"/>
      <c r="W566" s="138"/>
      <c r="AQ566" s="138"/>
    </row>
    <row r="567" spans="22:43" x14ac:dyDescent="0.35">
      <c r="V567" s="1013"/>
      <c r="W567" s="138"/>
      <c r="AQ567" s="138"/>
    </row>
    <row r="568" spans="22:43" x14ac:dyDescent="0.35">
      <c r="V568" s="1013"/>
      <c r="W568" s="138"/>
      <c r="AQ568" s="138"/>
    </row>
    <row r="569" spans="22:43" x14ac:dyDescent="0.35">
      <c r="V569" s="1013"/>
      <c r="W569" s="138"/>
      <c r="AQ569" s="138"/>
    </row>
    <row r="570" spans="22:43" x14ac:dyDescent="0.35">
      <c r="V570" s="1013"/>
      <c r="W570" s="138"/>
      <c r="AQ570" s="138"/>
    </row>
    <row r="571" spans="22:43" x14ac:dyDescent="0.35">
      <c r="V571" s="1013"/>
      <c r="W571" s="138"/>
      <c r="AQ571" s="138"/>
    </row>
    <row r="572" spans="22:43" x14ac:dyDescent="0.35">
      <c r="V572" s="1013"/>
      <c r="W572" s="138"/>
      <c r="AQ572" s="138"/>
    </row>
    <row r="573" spans="22:43" x14ac:dyDescent="0.35">
      <c r="V573" s="1013"/>
      <c r="W573" s="138"/>
      <c r="AQ573" s="138"/>
    </row>
    <row r="574" spans="22:43" x14ac:dyDescent="0.35">
      <c r="V574" s="1013"/>
      <c r="W574" s="138"/>
      <c r="AQ574" s="138"/>
    </row>
    <row r="575" spans="22:43" x14ac:dyDescent="0.35">
      <c r="V575" s="1013"/>
      <c r="W575" s="138"/>
      <c r="AQ575" s="138"/>
    </row>
    <row r="576" spans="22:43" x14ac:dyDescent="0.35">
      <c r="V576" s="1013"/>
      <c r="W576" s="138"/>
      <c r="AQ576" s="138"/>
    </row>
    <row r="577" spans="22:43" x14ac:dyDescent="0.35">
      <c r="V577" s="1013"/>
      <c r="W577" s="138"/>
      <c r="AQ577" s="138"/>
    </row>
    <row r="578" spans="22:43" x14ac:dyDescent="0.35">
      <c r="V578" s="1013"/>
      <c r="W578" s="138"/>
      <c r="AQ578" s="138"/>
    </row>
    <row r="579" spans="22:43" x14ac:dyDescent="0.35">
      <c r="V579" s="1013"/>
      <c r="W579" s="138"/>
      <c r="AQ579" s="138"/>
    </row>
    <row r="580" spans="22:43" x14ac:dyDescent="0.35">
      <c r="V580" s="1013"/>
      <c r="W580" s="138"/>
      <c r="AQ580" s="138"/>
    </row>
    <row r="581" spans="22:43" x14ac:dyDescent="0.35">
      <c r="V581" s="1013"/>
      <c r="W581" s="138"/>
      <c r="AQ581" s="138"/>
    </row>
    <row r="582" spans="22:43" x14ac:dyDescent="0.35">
      <c r="V582" s="1013"/>
      <c r="W582" s="138"/>
      <c r="AQ582" s="138"/>
    </row>
    <row r="583" spans="22:43" x14ac:dyDescent="0.35">
      <c r="V583" s="1013"/>
      <c r="W583" s="138"/>
      <c r="AQ583" s="138"/>
    </row>
    <row r="584" spans="22:43" x14ac:dyDescent="0.35">
      <c r="V584" s="1013"/>
      <c r="W584" s="138"/>
      <c r="AQ584" s="138"/>
    </row>
    <row r="585" spans="22:43" x14ac:dyDescent="0.35">
      <c r="V585" s="1013"/>
      <c r="W585" s="138"/>
      <c r="AQ585" s="138"/>
    </row>
    <row r="586" spans="22:43" x14ac:dyDescent="0.35">
      <c r="V586" s="1013"/>
      <c r="W586" s="138"/>
      <c r="AQ586" s="138"/>
    </row>
    <row r="587" spans="22:43" x14ac:dyDescent="0.35">
      <c r="V587" s="1013"/>
      <c r="W587" s="138"/>
      <c r="AQ587" s="138"/>
    </row>
    <row r="588" spans="22:43" x14ac:dyDescent="0.35">
      <c r="V588" s="1013"/>
      <c r="W588" s="138"/>
      <c r="AQ588" s="138"/>
    </row>
    <row r="589" spans="22:43" x14ac:dyDescent="0.35">
      <c r="V589" s="1013"/>
      <c r="W589" s="138"/>
      <c r="AQ589" s="138"/>
    </row>
    <row r="590" spans="22:43" x14ac:dyDescent="0.35">
      <c r="V590" s="1013"/>
      <c r="W590" s="138"/>
      <c r="AQ590" s="138"/>
    </row>
    <row r="591" spans="22:43" x14ac:dyDescent="0.35">
      <c r="V591" s="1013"/>
      <c r="W591" s="138"/>
      <c r="AQ591" s="138"/>
    </row>
    <row r="592" spans="22:43" x14ac:dyDescent="0.35">
      <c r="V592" s="1013"/>
      <c r="W592" s="138"/>
      <c r="AQ592" s="138"/>
    </row>
    <row r="593" spans="22:43" x14ac:dyDescent="0.35">
      <c r="V593" s="1013"/>
      <c r="W593" s="138"/>
      <c r="AQ593" s="138"/>
    </row>
    <row r="594" spans="22:43" x14ac:dyDescent="0.35">
      <c r="V594" s="1013"/>
      <c r="W594" s="138"/>
      <c r="AQ594" s="138"/>
    </row>
    <row r="595" spans="22:43" x14ac:dyDescent="0.35">
      <c r="V595" s="1013"/>
      <c r="W595" s="138"/>
      <c r="AQ595" s="138"/>
    </row>
    <row r="596" spans="22:43" x14ac:dyDescent="0.35">
      <c r="V596" s="1013"/>
      <c r="W596" s="138"/>
      <c r="AQ596" s="138"/>
    </row>
    <row r="597" spans="22:43" x14ac:dyDescent="0.35">
      <c r="V597" s="1013"/>
      <c r="W597" s="138"/>
      <c r="AQ597" s="138"/>
    </row>
    <row r="598" spans="22:43" x14ac:dyDescent="0.35">
      <c r="V598" s="1013"/>
      <c r="W598" s="138"/>
      <c r="AQ598" s="138"/>
    </row>
    <row r="599" spans="22:43" x14ac:dyDescent="0.35">
      <c r="V599" s="1013"/>
      <c r="W599" s="138"/>
      <c r="AQ599" s="138"/>
    </row>
    <row r="600" spans="22:43" x14ac:dyDescent="0.35">
      <c r="V600" s="1013"/>
      <c r="W600" s="138"/>
      <c r="AQ600" s="138"/>
    </row>
    <row r="601" spans="22:43" x14ac:dyDescent="0.35">
      <c r="V601" s="1013"/>
      <c r="W601" s="138"/>
      <c r="AQ601" s="138"/>
    </row>
    <row r="602" spans="22:43" x14ac:dyDescent="0.35">
      <c r="V602" s="1013"/>
      <c r="W602" s="138"/>
      <c r="AQ602" s="138"/>
    </row>
    <row r="603" spans="22:43" x14ac:dyDescent="0.35">
      <c r="V603" s="1013"/>
      <c r="W603" s="138"/>
      <c r="AQ603" s="138"/>
    </row>
    <row r="604" spans="22:43" x14ac:dyDescent="0.35">
      <c r="V604" s="1013"/>
      <c r="W604" s="138"/>
      <c r="AQ604" s="138"/>
    </row>
    <row r="605" spans="22:43" x14ac:dyDescent="0.35">
      <c r="V605" s="1013"/>
      <c r="W605" s="138"/>
      <c r="AQ605" s="138"/>
    </row>
    <row r="606" spans="22:43" x14ac:dyDescent="0.35">
      <c r="V606" s="1013"/>
      <c r="W606" s="138"/>
      <c r="AQ606" s="138"/>
    </row>
    <row r="607" spans="22:43" x14ac:dyDescent="0.35">
      <c r="V607" s="1013"/>
      <c r="W607" s="138"/>
      <c r="AQ607" s="138"/>
    </row>
    <row r="608" spans="22:43" x14ac:dyDescent="0.35">
      <c r="V608" s="1013"/>
      <c r="W608" s="138"/>
      <c r="AQ608" s="138"/>
    </row>
    <row r="609" spans="22:43" x14ac:dyDescent="0.35">
      <c r="V609" s="1013"/>
      <c r="W609" s="138"/>
      <c r="AQ609" s="138"/>
    </row>
    <row r="610" spans="22:43" x14ac:dyDescent="0.35">
      <c r="V610" s="1013"/>
      <c r="W610" s="138"/>
      <c r="AQ610" s="138"/>
    </row>
    <row r="611" spans="22:43" x14ac:dyDescent="0.35">
      <c r="V611" s="1013"/>
      <c r="W611" s="138"/>
      <c r="AQ611" s="138"/>
    </row>
    <row r="612" spans="22:43" x14ac:dyDescent="0.35">
      <c r="V612" s="1013"/>
      <c r="W612" s="138"/>
      <c r="AQ612" s="138"/>
    </row>
    <row r="613" spans="22:43" x14ac:dyDescent="0.35">
      <c r="V613" s="1013"/>
      <c r="W613" s="138"/>
      <c r="AQ613" s="138"/>
    </row>
    <row r="614" spans="22:43" x14ac:dyDescent="0.35">
      <c r="V614" s="1013"/>
      <c r="W614" s="138"/>
      <c r="AQ614" s="138"/>
    </row>
    <row r="615" spans="22:43" x14ac:dyDescent="0.35">
      <c r="V615" s="1013"/>
      <c r="W615" s="138"/>
      <c r="AQ615" s="138"/>
    </row>
    <row r="616" spans="22:43" x14ac:dyDescent="0.35">
      <c r="V616" s="1013"/>
      <c r="W616" s="138"/>
      <c r="AQ616" s="138"/>
    </row>
    <row r="617" spans="22:43" x14ac:dyDescent="0.35">
      <c r="V617" s="1013"/>
      <c r="W617" s="138"/>
      <c r="AQ617" s="138"/>
    </row>
    <row r="618" spans="22:43" x14ac:dyDescent="0.35">
      <c r="V618" s="1013"/>
      <c r="W618" s="138"/>
      <c r="AQ618" s="138"/>
    </row>
    <row r="619" spans="22:43" x14ac:dyDescent="0.35">
      <c r="V619" s="1013"/>
      <c r="W619" s="138"/>
      <c r="AQ619" s="138"/>
    </row>
    <row r="620" spans="22:43" x14ac:dyDescent="0.35">
      <c r="V620" s="1013"/>
      <c r="W620" s="138"/>
      <c r="AQ620" s="138"/>
    </row>
    <row r="621" spans="22:43" x14ac:dyDescent="0.35">
      <c r="V621" s="1013"/>
      <c r="W621" s="138"/>
      <c r="AQ621" s="138"/>
    </row>
    <row r="622" spans="22:43" x14ac:dyDescent="0.35">
      <c r="V622" s="1013"/>
      <c r="W622" s="138"/>
      <c r="AQ622" s="138"/>
    </row>
    <row r="623" spans="22:43" x14ac:dyDescent="0.35">
      <c r="V623" s="1013"/>
      <c r="W623" s="138"/>
      <c r="AQ623" s="138"/>
    </row>
    <row r="624" spans="22:43" x14ac:dyDescent="0.35">
      <c r="V624" s="1013"/>
      <c r="W624" s="138"/>
      <c r="AQ624" s="138"/>
    </row>
    <row r="625" spans="22:43" x14ac:dyDescent="0.35">
      <c r="V625" s="1013"/>
      <c r="W625" s="138"/>
      <c r="AQ625" s="138"/>
    </row>
    <row r="626" spans="22:43" x14ac:dyDescent="0.35">
      <c r="V626" s="1013"/>
      <c r="W626" s="138"/>
      <c r="AQ626" s="138"/>
    </row>
    <row r="627" spans="22:43" x14ac:dyDescent="0.35">
      <c r="V627" s="1013"/>
      <c r="W627" s="138"/>
      <c r="AQ627" s="138"/>
    </row>
    <row r="628" spans="22:43" x14ac:dyDescent="0.35">
      <c r="V628" s="1013"/>
      <c r="W628" s="138"/>
      <c r="AQ628" s="138"/>
    </row>
    <row r="629" spans="22:43" x14ac:dyDescent="0.35">
      <c r="V629" s="1013"/>
      <c r="W629" s="138"/>
      <c r="AQ629" s="138"/>
    </row>
    <row r="630" spans="22:43" x14ac:dyDescent="0.35">
      <c r="V630" s="1013"/>
      <c r="W630" s="138"/>
      <c r="AQ630" s="138"/>
    </row>
    <row r="631" spans="22:43" x14ac:dyDescent="0.35">
      <c r="V631" s="1013"/>
      <c r="W631" s="138"/>
      <c r="AQ631" s="138"/>
    </row>
    <row r="632" spans="22:43" x14ac:dyDescent="0.35">
      <c r="V632" s="1013"/>
      <c r="W632" s="138"/>
      <c r="AQ632" s="138"/>
    </row>
    <row r="633" spans="22:43" x14ac:dyDescent="0.35">
      <c r="V633" s="1013"/>
      <c r="W633" s="138"/>
      <c r="AQ633" s="138"/>
    </row>
    <row r="634" spans="22:43" x14ac:dyDescent="0.35">
      <c r="V634" s="1013"/>
      <c r="W634" s="138"/>
      <c r="AQ634" s="138"/>
    </row>
    <row r="635" spans="22:43" x14ac:dyDescent="0.35">
      <c r="V635" s="1013"/>
      <c r="W635" s="138"/>
      <c r="AQ635" s="138"/>
    </row>
    <row r="636" spans="22:43" x14ac:dyDescent="0.35">
      <c r="V636" s="1013"/>
      <c r="W636" s="138"/>
      <c r="AQ636" s="138"/>
    </row>
    <row r="637" spans="22:43" x14ac:dyDescent="0.35">
      <c r="V637" s="1013"/>
      <c r="W637" s="138"/>
      <c r="AQ637" s="138"/>
    </row>
    <row r="638" spans="22:43" x14ac:dyDescent="0.35">
      <c r="V638" s="1013"/>
      <c r="W638" s="138"/>
      <c r="AQ638" s="138"/>
    </row>
    <row r="639" spans="22:43" x14ac:dyDescent="0.35">
      <c r="V639" s="1013"/>
      <c r="W639" s="138"/>
      <c r="AQ639" s="138"/>
    </row>
    <row r="640" spans="22:43" x14ac:dyDescent="0.35">
      <c r="V640" s="1013"/>
      <c r="W640" s="138"/>
      <c r="AQ640" s="138"/>
    </row>
    <row r="641" spans="22:43" x14ac:dyDescent="0.35">
      <c r="V641" s="1013"/>
      <c r="W641" s="138"/>
      <c r="AQ641" s="138"/>
    </row>
    <row r="642" spans="22:43" x14ac:dyDescent="0.35">
      <c r="V642" s="1013"/>
      <c r="W642" s="138"/>
      <c r="AQ642" s="138"/>
    </row>
    <row r="643" spans="22:43" x14ac:dyDescent="0.35">
      <c r="V643" s="1013"/>
      <c r="W643" s="138"/>
      <c r="AQ643" s="138"/>
    </row>
    <row r="644" spans="22:43" x14ac:dyDescent="0.35">
      <c r="V644" s="1013"/>
      <c r="W644" s="138"/>
      <c r="AQ644" s="138"/>
    </row>
    <row r="645" spans="22:43" x14ac:dyDescent="0.35">
      <c r="V645" s="1013"/>
      <c r="W645" s="138"/>
      <c r="AQ645" s="138"/>
    </row>
    <row r="646" spans="22:43" x14ac:dyDescent="0.35">
      <c r="V646" s="1013"/>
      <c r="W646" s="138"/>
      <c r="AQ646" s="138"/>
    </row>
    <row r="647" spans="22:43" x14ac:dyDescent="0.35">
      <c r="V647" s="1013"/>
      <c r="W647" s="138"/>
      <c r="AQ647" s="138"/>
    </row>
    <row r="648" spans="22:43" x14ac:dyDescent="0.35">
      <c r="V648" s="1013"/>
      <c r="W648" s="138"/>
      <c r="AQ648" s="138"/>
    </row>
    <row r="649" spans="22:43" x14ac:dyDescent="0.35">
      <c r="V649" s="1013"/>
      <c r="W649" s="138"/>
      <c r="AQ649" s="138"/>
    </row>
    <row r="650" spans="22:43" x14ac:dyDescent="0.35">
      <c r="V650" s="1013"/>
      <c r="W650" s="138"/>
      <c r="AQ650" s="138"/>
    </row>
    <row r="651" spans="22:43" x14ac:dyDescent="0.35">
      <c r="V651" s="1013"/>
      <c r="W651" s="138"/>
      <c r="AQ651" s="138"/>
    </row>
    <row r="652" spans="22:43" x14ac:dyDescent="0.35">
      <c r="V652" s="1013"/>
      <c r="W652" s="138"/>
      <c r="AQ652" s="138"/>
    </row>
    <row r="653" spans="22:43" x14ac:dyDescent="0.35">
      <c r="V653" s="1013"/>
      <c r="W653" s="138"/>
      <c r="AQ653" s="138"/>
    </row>
    <row r="654" spans="22:43" x14ac:dyDescent="0.35">
      <c r="V654" s="1013"/>
      <c r="W654" s="138"/>
      <c r="AQ654" s="138"/>
    </row>
    <row r="655" spans="22:43" x14ac:dyDescent="0.35">
      <c r="V655" s="1013"/>
      <c r="W655" s="138"/>
      <c r="AQ655" s="138"/>
    </row>
    <row r="656" spans="22:43" x14ac:dyDescent="0.35">
      <c r="V656" s="1013"/>
      <c r="W656" s="138"/>
      <c r="AQ656" s="138"/>
    </row>
    <row r="657" spans="22:43" x14ac:dyDescent="0.35">
      <c r="V657" s="1013"/>
      <c r="W657" s="138"/>
      <c r="AQ657" s="138"/>
    </row>
    <row r="658" spans="22:43" x14ac:dyDescent="0.35">
      <c r="V658" s="1013"/>
      <c r="W658" s="138"/>
      <c r="AQ658" s="138"/>
    </row>
    <row r="659" spans="22:43" x14ac:dyDescent="0.35">
      <c r="V659" s="1013"/>
      <c r="W659" s="138"/>
      <c r="AQ659" s="138"/>
    </row>
    <row r="660" spans="22:43" x14ac:dyDescent="0.35">
      <c r="V660" s="1013"/>
      <c r="W660" s="138"/>
      <c r="AQ660" s="138"/>
    </row>
    <row r="661" spans="22:43" x14ac:dyDescent="0.35">
      <c r="V661" s="1013"/>
      <c r="W661" s="138"/>
      <c r="AQ661" s="138"/>
    </row>
    <row r="662" spans="22:43" x14ac:dyDescent="0.35">
      <c r="V662" s="1013"/>
      <c r="W662" s="138"/>
      <c r="AQ662" s="138"/>
    </row>
    <row r="663" spans="22:43" x14ac:dyDescent="0.35">
      <c r="V663" s="1013"/>
      <c r="W663" s="138"/>
      <c r="AQ663" s="138"/>
    </row>
    <row r="664" spans="22:43" x14ac:dyDescent="0.35">
      <c r="V664" s="1013"/>
      <c r="W664" s="138"/>
      <c r="AQ664" s="138"/>
    </row>
    <row r="665" spans="22:43" x14ac:dyDescent="0.35">
      <c r="V665" s="1013"/>
      <c r="W665" s="138"/>
      <c r="AQ665" s="138"/>
    </row>
    <row r="666" spans="22:43" x14ac:dyDescent="0.35">
      <c r="V666" s="1013"/>
      <c r="W666" s="138"/>
      <c r="AQ666" s="138"/>
    </row>
    <row r="667" spans="22:43" x14ac:dyDescent="0.35">
      <c r="V667" s="1013"/>
      <c r="W667" s="138"/>
      <c r="AQ667" s="138"/>
    </row>
    <row r="668" spans="22:43" x14ac:dyDescent="0.35">
      <c r="V668" s="1013"/>
      <c r="W668" s="138"/>
      <c r="AQ668" s="138"/>
    </row>
    <row r="669" spans="22:43" x14ac:dyDescent="0.35">
      <c r="V669" s="1013"/>
      <c r="W669" s="138"/>
      <c r="AQ669" s="138"/>
    </row>
    <row r="670" spans="22:43" x14ac:dyDescent="0.35">
      <c r="V670" s="1013"/>
      <c r="W670" s="138"/>
      <c r="AQ670" s="138"/>
    </row>
    <row r="671" spans="22:43" x14ac:dyDescent="0.35">
      <c r="V671" s="1013"/>
      <c r="W671" s="138"/>
      <c r="AQ671" s="138"/>
    </row>
    <row r="672" spans="22:43" x14ac:dyDescent="0.35">
      <c r="V672" s="1013"/>
      <c r="W672" s="138"/>
      <c r="AQ672" s="138"/>
    </row>
    <row r="673" spans="22:43" x14ac:dyDescent="0.35">
      <c r="V673" s="1013"/>
      <c r="W673" s="138"/>
      <c r="AQ673" s="138"/>
    </row>
    <row r="674" spans="22:43" x14ac:dyDescent="0.35">
      <c r="V674" s="1013"/>
      <c r="W674" s="138"/>
      <c r="AQ674" s="138"/>
    </row>
    <row r="675" spans="22:43" x14ac:dyDescent="0.35">
      <c r="V675" s="1013"/>
      <c r="W675" s="138"/>
      <c r="AQ675" s="138"/>
    </row>
    <row r="676" spans="22:43" x14ac:dyDescent="0.35">
      <c r="V676" s="1013"/>
      <c r="W676" s="138"/>
      <c r="AQ676" s="138"/>
    </row>
    <row r="677" spans="22:43" x14ac:dyDescent="0.35">
      <c r="V677" s="1013"/>
      <c r="W677" s="138"/>
      <c r="AQ677" s="138"/>
    </row>
    <row r="678" spans="22:43" x14ac:dyDescent="0.35">
      <c r="V678" s="1013"/>
      <c r="W678" s="138"/>
      <c r="AQ678" s="138"/>
    </row>
    <row r="679" spans="22:43" x14ac:dyDescent="0.35">
      <c r="V679" s="1013"/>
      <c r="W679" s="138"/>
      <c r="AQ679" s="138"/>
    </row>
    <row r="680" spans="22:43" x14ac:dyDescent="0.35">
      <c r="V680" s="1013"/>
      <c r="W680" s="138"/>
      <c r="AQ680" s="138"/>
    </row>
    <row r="681" spans="22:43" x14ac:dyDescent="0.35">
      <c r="V681" s="1013"/>
      <c r="W681" s="138"/>
      <c r="AQ681" s="138"/>
    </row>
    <row r="682" spans="22:43" x14ac:dyDescent="0.35">
      <c r="V682" s="1013"/>
      <c r="W682" s="138"/>
      <c r="AQ682" s="138"/>
    </row>
    <row r="683" spans="22:43" x14ac:dyDescent="0.35">
      <c r="V683" s="1013"/>
      <c r="W683" s="138"/>
      <c r="AQ683" s="138"/>
    </row>
    <row r="684" spans="22:43" x14ac:dyDescent="0.35">
      <c r="V684" s="1013"/>
      <c r="W684" s="138"/>
      <c r="AQ684" s="138"/>
    </row>
    <row r="685" spans="22:43" x14ac:dyDescent="0.35">
      <c r="V685" s="1013"/>
      <c r="W685" s="138"/>
      <c r="AQ685" s="138"/>
    </row>
    <row r="686" spans="22:43" x14ac:dyDescent="0.35">
      <c r="V686" s="1013"/>
      <c r="W686" s="138"/>
      <c r="AQ686" s="138"/>
    </row>
    <row r="687" spans="22:43" x14ac:dyDescent="0.35">
      <c r="V687" s="1013"/>
      <c r="W687" s="138"/>
      <c r="AQ687" s="138"/>
    </row>
    <row r="688" spans="22:43" x14ac:dyDescent="0.35">
      <c r="V688" s="1013"/>
      <c r="W688" s="138"/>
      <c r="AQ688" s="138"/>
    </row>
    <row r="689" spans="22:43" x14ac:dyDescent="0.35">
      <c r="V689" s="1013"/>
      <c r="W689" s="138"/>
      <c r="AQ689" s="138"/>
    </row>
    <row r="690" spans="22:43" x14ac:dyDescent="0.35">
      <c r="V690" s="1013"/>
      <c r="W690" s="138"/>
      <c r="AQ690" s="138"/>
    </row>
    <row r="691" spans="22:43" x14ac:dyDescent="0.35">
      <c r="V691" s="1013"/>
      <c r="W691" s="138"/>
      <c r="AQ691" s="138"/>
    </row>
    <row r="692" spans="22:43" x14ac:dyDescent="0.35">
      <c r="V692" s="1013"/>
      <c r="W692" s="138"/>
      <c r="AQ692" s="138"/>
    </row>
    <row r="693" spans="22:43" x14ac:dyDescent="0.35">
      <c r="V693" s="1013"/>
      <c r="W693" s="138"/>
      <c r="AQ693" s="138"/>
    </row>
    <row r="694" spans="22:43" x14ac:dyDescent="0.35">
      <c r="V694" s="1013"/>
      <c r="W694" s="138"/>
      <c r="AQ694" s="138"/>
    </row>
    <row r="695" spans="22:43" x14ac:dyDescent="0.35">
      <c r="V695" s="1013"/>
      <c r="W695" s="138"/>
      <c r="AQ695" s="138"/>
    </row>
    <row r="696" spans="22:43" x14ac:dyDescent="0.35">
      <c r="V696" s="1013"/>
      <c r="W696" s="138"/>
      <c r="AQ696" s="138"/>
    </row>
    <row r="697" spans="22:43" x14ac:dyDescent="0.35">
      <c r="V697" s="1013"/>
      <c r="W697" s="138"/>
      <c r="AQ697" s="138"/>
    </row>
    <row r="698" spans="22:43" x14ac:dyDescent="0.35">
      <c r="V698" s="1013"/>
      <c r="W698" s="138"/>
      <c r="AQ698" s="138"/>
    </row>
    <row r="699" spans="22:43" x14ac:dyDescent="0.35">
      <c r="V699" s="1013"/>
      <c r="W699" s="138"/>
      <c r="AQ699" s="138"/>
    </row>
    <row r="700" spans="22:43" x14ac:dyDescent="0.35">
      <c r="V700" s="1013"/>
      <c r="W700" s="138"/>
      <c r="AQ700" s="138"/>
    </row>
    <row r="701" spans="22:43" x14ac:dyDescent="0.35">
      <c r="V701" s="1013"/>
      <c r="W701" s="138"/>
      <c r="AQ701" s="138"/>
    </row>
    <row r="702" spans="22:43" x14ac:dyDescent="0.35">
      <c r="V702" s="1013"/>
      <c r="W702" s="138"/>
      <c r="AQ702" s="138"/>
    </row>
    <row r="703" spans="22:43" x14ac:dyDescent="0.35">
      <c r="V703" s="1013"/>
      <c r="W703" s="138"/>
      <c r="AQ703" s="138"/>
    </row>
    <row r="704" spans="22:43" x14ac:dyDescent="0.35">
      <c r="V704" s="1013"/>
      <c r="W704" s="138"/>
      <c r="AQ704" s="138"/>
    </row>
    <row r="705" spans="22:43" x14ac:dyDescent="0.35">
      <c r="V705" s="1013"/>
      <c r="W705" s="138"/>
      <c r="AQ705" s="138"/>
    </row>
    <row r="706" spans="22:43" x14ac:dyDescent="0.35">
      <c r="V706" s="1013"/>
      <c r="W706" s="138"/>
      <c r="AQ706" s="138"/>
    </row>
    <row r="707" spans="22:43" x14ac:dyDescent="0.35">
      <c r="V707" s="1013"/>
      <c r="W707" s="138"/>
      <c r="AQ707" s="138"/>
    </row>
    <row r="708" spans="22:43" x14ac:dyDescent="0.35">
      <c r="V708" s="1013"/>
      <c r="W708" s="138"/>
      <c r="AQ708" s="138"/>
    </row>
    <row r="709" spans="22:43" x14ac:dyDescent="0.35">
      <c r="V709" s="1013"/>
      <c r="W709" s="138"/>
      <c r="AQ709" s="138"/>
    </row>
    <row r="710" spans="22:43" x14ac:dyDescent="0.35">
      <c r="V710" s="1013"/>
      <c r="W710" s="138"/>
      <c r="AQ710" s="138"/>
    </row>
    <row r="711" spans="22:43" x14ac:dyDescent="0.35">
      <c r="V711" s="1013"/>
      <c r="W711" s="138"/>
      <c r="AQ711" s="138"/>
    </row>
    <row r="712" spans="22:43" x14ac:dyDescent="0.35">
      <c r="V712" s="1013"/>
      <c r="W712" s="138"/>
      <c r="AQ712" s="138"/>
    </row>
    <row r="713" spans="22:43" x14ac:dyDescent="0.35">
      <c r="V713" s="1013"/>
      <c r="W713" s="138"/>
      <c r="AQ713" s="138"/>
    </row>
    <row r="714" spans="22:43" x14ac:dyDescent="0.35">
      <c r="V714" s="1013"/>
      <c r="W714" s="138"/>
      <c r="AQ714" s="138"/>
    </row>
    <row r="715" spans="22:43" x14ac:dyDescent="0.35">
      <c r="V715" s="1013"/>
      <c r="W715" s="138"/>
      <c r="AQ715" s="138"/>
    </row>
    <row r="716" spans="22:43" x14ac:dyDescent="0.35">
      <c r="V716" s="1013"/>
      <c r="W716" s="138"/>
      <c r="AQ716" s="138"/>
    </row>
    <row r="717" spans="22:43" x14ac:dyDescent="0.35">
      <c r="V717" s="1013"/>
      <c r="W717" s="138"/>
      <c r="AQ717" s="138"/>
    </row>
    <row r="718" spans="22:43" x14ac:dyDescent="0.35">
      <c r="V718" s="1013"/>
      <c r="W718" s="138"/>
      <c r="AQ718" s="138"/>
    </row>
    <row r="719" spans="22:43" x14ac:dyDescent="0.35">
      <c r="V719" s="1013"/>
      <c r="W719" s="138"/>
      <c r="AQ719" s="138"/>
    </row>
    <row r="720" spans="22:43" x14ac:dyDescent="0.35">
      <c r="V720" s="1013"/>
      <c r="W720" s="138"/>
      <c r="AQ720" s="138"/>
    </row>
    <row r="721" spans="22:43" x14ac:dyDescent="0.35">
      <c r="V721" s="1013"/>
      <c r="W721" s="138"/>
      <c r="AQ721" s="138"/>
    </row>
    <row r="722" spans="22:43" x14ac:dyDescent="0.35">
      <c r="V722" s="1013"/>
      <c r="W722" s="138"/>
      <c r="AQ722" s="138"/>
    </row>
    <row r="723" spans="22:43" x14ac:dyDescent="0.35">
      <c r="V723" s="1013"/>
      <c r="W723" s="138"/>
      <c r="AQ723" s="138"/>
    </row>
    <row r="724" spans="22:43" x14ac:dyDescent="0.35">
      <c r="V724" s="1013"/>
      <c r="W724" s="138"/>
      <c r="AQ724" s="138"/>
    </row>
    <row r="725" spans="22:43" x14ac:dyDescent="0.35">
      <c r="V725" s="1013"/>
      <c r="W725" s="138"/>
      <c r="AQ725" s="138"/>
    </row>
    <row r="726" spans="22:43" x14ac:dyDescent="0.35">
      <c r="V726" s="1013"/>
      <c r="W726" s="138"/>
      <c r="AQ726" s="138"/>
    </row>
    <row r="727" spans="22:43" x14ac:dyDescent="0.35">
      <c r="V727" s="1013"/>
      <c r="W727" s="138"/>
      <c r="AQ727" s="138"/>
    </row>
    <row r="728" spans="22:43" x14ac:dyDescent="0.35">
      <c r="V728" s="1013"/>
      <c r="W728" s="138"/>
      <c r="AQ728" s="138"/>
    </row>
    <row r="729" spans="22:43" x14ac:dyDescent="0.35">
      <c r="V729" s="1013"/>
      <c r="W729" s="138"/>
      <c r="AQ729" s="138"/>
    </row>
    <row r="730" spans="22:43" x14ac:dyDescent="0.35">
      <c r="V730" s="1013"/>
      <c r="W730" s="138"/>
      <c r="AQ730" s="138"/>
    </row>
    <row r="731" spans="22:43" x14ac:dyDescent="0.35">
      <c r="V731" s="1013"/>
      <c r="W731" s="138"/>
      <c r="AQ731" s="138"/>
    </row>
    <row r="732" spans="22:43" x14ac:dyDescent="0.35">
      <c r="V732" s="1013"/>
      <c r="W732" s="138"/>
      <c r="AQ732" s="138"/>
    </row>
    <row r="733" spans="22:43" x14ac:dyDescent="0.35">
      <c r="V733" s="1013"/>
      <c r="W733" s="138"/>
      <c r="AQ733" s="138"/>
    </row>
    <row r="734" spans="22:43" x14ac:dyDescent="0.35">
      <c r="V734" s="1013"/>
      <c r="W734" s="138"/>
      <c r="AQ734" s="138"/>
    </row>
    <row r="735" spans="22:43" x14ac:dyDescent="0.35">
      <c r="V735" s="1013"/>
      <c r="W735" s="138"/>
      <c r="AQ735" s="138"/>
    </row>
    <row r="736" spans="22:43" x14ac:dyDescent="0.35">
      <c r="V736" s="1013"/>
      <c r="W736" s="138"/>
      <c r="AQ736" s="138"/>
    </row>
    <row r="737" spans="22:43" x14ac:dyDescent="0.35">
      <c r="V737" s="1013"/>
      <c r="W737" s="138"/>
      <c r="AQ737" s="138"/>
    </row>
    <row r="738" spans="22:43" x14ac:dyDescent="0.35">
      <c r="V738" s="1013"/>
      <c r="W738" s="138"/>
      <c r="AQ738" s="138"/>
    </row>
    <row r="739" spans="22:43" x14ac:dyDescent="0.35">
      <c r="V739" s="1013"/>
      <c r="W739" s="138"/>
      <c r="AQ739" s="138"/>
    </row>
    <row r="740" spans="22:43" x14ac:dyDescent="0.35">
      <c r="V740" s="1013"/>
      <c r="W740" s="138"/>
      <c r="AQ740" s="138"/>
    </row>
    <row r="741" spans="22:43" x14ac:dyDescent="0.35">
      <c r="V741" s="1013"/>
      <c r="W741" s="138"/>
      <c r="AQ741" s="138"/>
    </row>
    <row r="742" spans="22:43" x14ac:dyDescent="0.35">
      <c r="V742" s="1013"/>
      <c r="W742" s="138"/>
      <c r="AQ742" s="138"/>
    </row>
    <row r="743" spans="22:43" x14ac:dyDescent="0.35">
      <c r="V743" s="1013"/>
      <c r="W743" s="138"/>
      <c r="AQ743" s="138"/>
    </row>
    <row r="744" spans="22:43" x14ac:dyDescent="0.35">
      <c r="V744" s="1013"/>
      <c r="W744" s="138"/>
      <c r="AQ744" s="138"/>
    </row>
    <row r="745" spans="22:43" x14ac:dyDescent="0.35">
      <c r="V745" s="1013"/>
      <c r="W745" s="138"/>
      <c r="AQ745" s="138"/>
    </row>
    <row r="746" spans="22:43" x14ac:dyDescent="0.35">
      <c r="V746" s="1013"/>
      <c r="W746" s="138"/>
      <c r="AQ746" s="138"/>
    </row>
    <row r="747" spans="22:43" x14ac:dyDescent="0.35">
      <c r="V747" s="1013"/>
      <c r="W747" s="138"/>
      <c r="AQ747" s="138"/>
    </row>
    <row r="748" spans="22:43" x14ac:dyDescent="0.35">
      <c r="V748" s="1013"/>
      <c r="W748" s="138"/>
      <c r="AQ748" s="138"/>
    </row>
    <row r="749" spans="22:43" x14ac:dyDescent="0.35">
      <c r="V749" s="1013"/>
      <c r="W749" s="138"/>
      <c r="AQ749" s="138"/>
    </row>
    <row r="750" spans="22:43" x14ac:dyDescent="0.35">
      <c r="V750" s="1013"/>
      <c r="W750" s="138"/>
      <c r="AQ750" s="138"/>
    </row>
    <row r="751" spans="22:43" x14ac:dyDescent="0.35">
      <c r="V751" s="1013"/>
      <c r="W751" s="138"/>
      <c r="AQ751" s="138"/>
    </row>
    <row r="752" spans="22:43" x14ac:dyDescent="0.35">
      <c r="V752" s="1013"/>
      <c r="W752" s="138"/>
      <c r="AQ752" s="138"/>
    </row>
    <row r="753" spans="22:43" x14ac:dyDescent="0.35">
      <c r="V753" s="1013"/>
      <c r="W753" s="138"/>
      <c r="AQ753" s="138"/>
    </row>
    <row r="754" spans="22:43" x14ac:dyDescent="0.35">
      <c r="V754" s="1013"/>
      <c r="W754" s="138"/>
      <c r="AQ754" s="138"/>
    </row>
    <row r="755" spans="22:43" x14ac:dyDescent="0.35">
      <c r="V755" s="1013"/>
      <c r="W755" s="138"/>
      <c r="AQ755" s="138"/>
    </row>
    <row r="756" spans="22:43" x14ac:dyDescent="0.35">
      <c r="V756" s="1013"/>
      <c r="W756" s="138"/>
      <c r="AQ756" s="138"/>
    </row>
    <row r="757" spans="22:43" x14ac:dyDescent="0.35">
      <c r="V757" s="1013"/>
      <c r="W757" s="138"/>
      <c r="AQ757" s="138"/>
    </row>
    <row r="758" spans="22:43" x14ac:dyDescent="0.35">
      <c r="V758" s="1013"/>
      <c r="W758" s="138"/>
      <c r="AQ758" s="138"/>
    </row>
    <row r="759" spans="22:43" x14ac:dyDescent="0.35">
      <c r="V759" s="1013"/>
      <c r="W759" s="138"/>
      <c r="AQ759" s="138"/>
    </row>
    <row r="760" spans="22:43" x14ac:dyDescent="0.35">
      <c r="V760" s="1013"/>
      <c r="W760" s="138"/>
      <c r="AQ760" s="138"/>
    </row>
    <row r="761" spans="22:43" x14ac:dyDescent="0.35">
      <c r="V761" s="1013"/>
      <c r="W761" s="138"/>
      <c r="AQ761" s="138"/>
    </row>
    <row r="762" spans="22:43" x14ac:dyDescent="0.35">
      <c r="V762" s="1013"/>
      <c r="W762" s="138"/>
      <c r="AQ762" s="138"/>
    </row>
    <row r="763" spans="22:43" x14ac:dyDescent="0.35">
      <c r="V763" s="1013"/>
      <c r="W763" s="138"/>
      <c r="AQ763" s="138"/>
    </row>
    <row r="764" spans="22:43" x14ac:dyDescent="0.35">
      <c r="V764" s="1013"/>
      <c r="W764" s="138"/>
      <c r="AQ764" s="138"/>
    </row>
    <row r="765" spans="22:43" x14ac:dyDescent="0.35">
      <c r="V765" s="1013"/>
      <c r="W765" s="138"/>
      <c r="AQ765" s="138"/>
    </row>
    <row r="766" spans="22:43" x14ac:dyDescent="0.35">
      <c r="V766" s="1013"/>
      <c r="W766" s="138"/>
      <c r="AQ766" s="138"/>
    </row>
    <row r="767" spans="22:43" x14ac:dyDescent="0.35">
      <c r="V767" s="1013"/>
      <c r="W767" s="138"/>
      <c r="AQ767" s="138"/>
    </row>
    <row r="768" spans="22:43" x14ac:dyDescent="0.35">
      <c r="V768" s="1013"/>
      <c r="W768" s="138"/>
      <c r="AQ768" s="138"/>
    </row>
    <row r="769" spans="22:43" x14ac:dyDescent="0.35">
      <c r="V769" s="1013"/>
      <c r="W769" s="138"/>
      <c r="AQ769" s="138"/>
    </row>
    <row r="770" spans="22:43" x14ac:dyDescent="0.35">
      <c r="V770" s="1013"/>
      <c r="W770" s="138"/>
      <c r="AQ770" s="138"/>
    </row>
    <row r="771" spans="22:43" x14ac:dyDescent="0.35">
      <c r="V771" s="1013"/>
      <c r="W771" s="138"/>
      <c r="AQ771" s="138"/>
    </row>
    <row r="772" spans="22:43" x14ac:dyDescent="0.35">
      <c r="V772" s="1013"/>
      <c r="W772" s="138"/>
      <c r="AQ772" s="138"/>
    </row>
    <row r="773" spans="22:43" x14ac:dyDescent="0.35">
      <c r="V773" s="1013"/>
      <c r="W773" s="138"/>
      <c r="AQ773" s="138"/>
    </row>
    <row r="774" spans="22:43" x14ac:dyDescent="0.35">
      <c r="V774" s="1013"/>
      <c r="W774" s="138"/>
      <c r="AQ774" s="138"/>
    </row>
    <row r="775" spans="22:43" x14ac:dyDescent="0.35">
      <c r="V775" s="1013"/>
      <c r="W775" s="138"/>
      <c r="AQ775" s="138"/>
    </row>
    <row r="776" spans="22:43" x14ac:dyDescent="0.35">
      <c r="V776" s="1013"/>
      <c r="W776" s="138"/>
      <c r="AQ776" s="138"/>
    </row>
    <row r="777" spans="22:43" x14ac:dyDescent="0.35">
      <c r="V777" s="1013"/>
      <c r="W777" s="138"/>
      <c r="AQ777" s="138"/>
    </row>
    <row r="778" spans="22:43" x14ac:dyDescent="0.35">
      <c r="V778" s="1013"/>
      <c r="W778" s="138"/>
      <c r="AQ778" s="138"/>
    </row>
    <row r="779" spans="22:43" x14ac:dyDescent="0.35">
      <c r="V779" s="1013"/>
      <c r="W779" s="138"/>
      <c r="AQ779" s="138"/>
    </row>
    <row r="780" spans="22:43" x14ac:dyDescent="0.35">
      <c r="V780" s="1013"/>
      <c r="W780" s="138"/>
      <c r="AQ780" s="138"/>
    </row>
    <row r="781" spans="22:43" x14ac:dyDescent="0.35">
      <c r="V781" s="1013"/>
      <c r="W781" s="138"/>
      <c r="AQ781" s="138"/>
    </row>
    <row r="782" spans="22:43" x14ac:dyDescent="0.35">
      <c r="V782" s="1013"/>
      <c r="W782" s="138"/>
      <c r="AQ782" s="138"/>
    </row>
    <row r="783" spans="22:43" x14ac:dyDescent="0.35">
      <c r="V783" s="1013"/>
      <c r="W783" s="138"/>
      <c r="AQ783" s="138"/>
    </row>
    <row r="784" spans="22:43" x14ac:dyDescent="0.35">
      <c r="V784" s="1013"/>
      <c r="W784" s="138"/>
      <c r="AQ784" s="138"/>
    </row>
    <row r="785" spans="22:43" x14ac:dyDescent="0.35">
      <c r="V785" s="1013"/>
      <c r="W785" s="138"/>
      <c r="AQ785" s="138"/>
    </row>
    <row r="786" spans="22:43" x14ac:dyDescent="0.35">
      <c r="V786" s="1013"/>
      <c r="W786" s="138"/>
      <c r="AQ786" s="138"/>
    </row>
    <row r="787" spans="22:43" x14ac:dyDescent="0.35">
      <c r="V787" s="1013"/>
      <c r="W787" s="138"/>
      <c r="AQ787" s="138"/>
    </row>
    <row r="788" spans="22:43" x14ac:dyDescent="0.35">
      <c r="V788" s="1013"/>
      <c r="W788" s="138"/>
      <c r="AQ788" s="138"/>
    </row>
    <row r="789" spans="22:43" x14ac:dyDescent="0.35">
      <c r="V789" s="1013"/>
      <c r="W789" s="138"/>
      <c r="AQ789" s="138"/>
    </row>
    <row r="790" spans="22:43" x14ac:dyDescent="0.35">
      <c r="V790" s="1013"/>
      <c r="W790" s="138"/>
      <c r="AQ790" s="138"/>
    </row>
    <row r="791" spans="22:43" x14ac:dyDescent="0.35">
      <c r="V791" s="1013"/>
      <c r="W791" s="138"/>
      <c r="AQ791" s="138"/>
    </row>
    <row r="792" spans="22:43" x14ac:dyDescent="0.35">
      <c r="V792" s="1013"/>
      <c r="W792" s="138"/>
      <c r="AQ792" s="138"/>
    </row>
    <row r="793" spans="22:43" x14ac:dyDescent="0.35">
      <c r="V793" s="1013"/>
      <c r="W793" s="138"/>
      <c r="AQ793" s="138"/>
    </row>
    <row r="794" spans="22:43" x14ac:dyDescent="0.35">
      <c r="V794" s="1013"/>
      <c r="W794" s="138"/>
      <c r="AQ794" s="138"/>
    </row>
    <row r="795" spans="22:43" x14ac:dyDescent="0.35">
      <c r="V795" s="1013"/>
      <c r="W795" s="138"/>
      <c r="AQ795" s="138"/>
    </row>
    <row r="796" spans="22:43" x14ac:dyDescent="0.35">
      <c r="V796" s="1013"/>
      <c r="W796" s="138"/>
      <c r="AQ796" s="138"/>
    </row>
    <row r="797" spans="22:43" x14ac:dyDescent="0.35">
      <c r="V797" s="1013"/>
      <c r="W797" s="138"/>
      <c r="AQ797" s="138"/>
    </row>
    <row r="798" spans="22:43" x14ac:dyDescent="0.35">
      <c r="V798" s="1013"/>
      <c r="W798" s="138"/>
      <c r="AQ798" s="138"/>
    </row>
    <row r="799" spans="22:43" x14ac:dyDescent="0.35">
      <c r="V799" s="1013"/>
      <c r="W799" s="138"/>
      <c r="AQ799" s="138"/>
    </row>
    <row r="800" spans="22:43" x14ac:dyDescent="0.35">
      <c r="V800" s="1013"/>
      <c r="W800" s="138"/>
      <c r="AQ800" s="138"/>
    </row>
    <row r="801" spans="22:43" x14ac:dyDescent="0.35">
      <c r="V801" s="1013"/>
      <c r="W801" s="138"/>
      <c r="AQ801" s="138"/>
    </row>
    <row r="802" spans="22:43" x14ac:dyDescent="0.35">
      <c r="V802" s="1013"/>
      <c r="W802" s="138"/>
      <c r="AQ802" s="138"/>
    </row>
    <row r="803" spans="22:43" x14ac:dyDescent="0.35">
      <c r="V803" s="1013"/>
      <c r="W803" s="138"/>
      <c r="AQ803" s="138"/>
    </row>
    <row r="804" spans="22:43" x14ac:dyDescent="0.35">
      <c r="V804" s="1013"/>
      <c r="W804" s="138"/>
      <c r="AQ804" s="138"/>
    </row>
    <row r="805" spans="22:43" x14ac:dyDescent="0.35">
      <c r="V805" s="1013"/>
      <c r="W805" s="138"/>
      <c r="AQ805" s="138"/>
    </row>
    <row r="806" spans="22:43" x14ac:dyDescent="0.35">
      <c r="V806" s="1013"/>
      <c r="W806" s="138"/>
      <c r="AQ806" s="138"/>
    </row>
    <row r="807" spans="22:43" x14ac:dyDescent="0.35">
      <c r="V807" s="1013"/>
      <c r="W807" s="138"/>
      <c r="AQ807" s="138"/>
    </row>
    <row r="808" spans="22:43" x14ac:dyDescent="0.35">
      <c r="V808" s="1013"/>
      <c r="W808" s="138"/>
      <c r="AQ808" s="138"/>
    </row>
    <row r="809" spans="22:43" x14ac:dyDescent="0.35">
      <c r="V809" s="1013"/>
      <c r="W809" s="138"/>
      <c r="AQ809" s="138"/>
    </row>
    <row r="810" spans="22:43" x14ac:dyDescent="0.35">
      <c r="V810" s="1013"/>
      <c r="W810" s="138"/>
      <c r="AQ810" s="138"/>
    </row>
    <row r="811" spans="22:43" x14ac:dyDescent="0.35">
      <c r="V811" s="1013"/>
      <c r="W811" s="138"/>
      <c r="AQ811" s="138"/>
    </row>
    <row r="812" spans="22:43" x14ac:dyDescent="0.35">
      <c r="V812" s="1013"/>
      <c r="W812" s="138"/>
      <c r="AQ812" s="138"/>
    </row>
    <row r="813" spans="22:43" x14ac:dyDescent="0.35">
      <c r="V813" s="1013"/>
      <c r="W813" s="138"/>
      <c r="AQ813" s="138"/>
    </row>
    <row r="814" spans="22:43" x14ac:dyDescent="0.35">
      <c r="V814" s="1013"/>
      <c r="W814" s="138"/>
      <c r="AQ814" s="138"/>
    </row>
    <row r="815" spans="22:43" x14ac:dyDescent="0.35">
      <c r="V815" s="1013"/>
      <c r="W815" s="138"/>
      <c r="AQ815" s="138"/>
    </row>
    <row r="816" spans="22:43" x14ac:dyDescent="0.35">
      <c r="V816" s="1013"/>
      <c r="W816" s="138"/>
      <c r="AQ816" s="138"/>
    </row>
    <row r="817" spans="22:43" x14ac:dyDescent="0.35">
      <c r="V817" s="1013"/>
      <c r="W817" s="138"/>
      <c r="AQ817" s="138"/>
    </row>
    <row r="818" spans="22:43" x14ac:dyDescent="0.35">
      <c r="V818" s="1013"/>
      <c r="W818" s="138"/>
      <c r="AQ818" s="138"/>
    </row>
    <row r="819" spans="22:43" x14ac:dyDescent="0.35">
      <c r="V819" s="1013"/>
      <c r="W819" s="138"/>
      <c r="AQ819" s="138"/>
    </row>
    <row r="820" spans="22:43" x14ac:dyDescent="0.35">
      <c r="V820" s="1013"/>
      <c r="W820" s="138"/>
      <c r="AQ820" s="138"/>
    </row>
    <row r="821" spans="22:43" x14ac:dyDescent="0.35">
      <c r="V821" s="1013"/>
      <c r="W821" s="138"/>
      <c r="AQ821" s="138"/>
    </row>
    <row r="822" spans="22:43" x14ac:dyDescent="0.35">
      <c r="V822" s="1013"/>
      <c r="W822" s="138"/>
      <c r="AQ822" s="138"/>
    </row>
    <row r="823" spans="22:43" x14ac:dyDescent="0.35">
      <c r="V823" s="1013"/>
      <c r="W823" s="138"/>
      <c r="AQ823" s="138"/>
    </row>
    <row r="824" spans="22:43" x14ac:dyDescent="0.35">
      <c r="V824" s="1013"/>
      <c r="W824" s="138"/>
      <c r="AQ824" s="138"/>
    </row>
    <row r="825" spans="22:43" x14ac:dyDescent="0.35">
      <c r="V825" s="1013"/>
      <c r="W825" s="138"/>
      <c r="AQ825" s="138"/>
    </row>
    <row r="826" spans="22:43" x14ac:dyDescent="0.35">
      <c r="V826" s="1013"/>
      <c r="W826" s="138"/>
      <c r="AQ826" s="138"/>
    </row>
    <row r="827" spans="22:43" x14ac:dyDescent="0.35">
      <c r="V827" s="1013"/>
      <c r="W827" s="138"/>
      <c r="AQ827" s="138"/>
    </row>
    <row r="828" spans="22:43" x14ac:dyDescent="0.35">
      <c r="V828" s="1013"/>
      <c r="W828" s="138"/>
      <c r="AQ828" s="138"/>
    </row>
    <row r="829" spans="22:43" x14ac:dyDescent="0.35">
      <c r="V829" s="1013"/>
      <c r="W829" s="138"/>
      <c r="AQ829" s="138"/>
    </row>
    <row r="830" spans="22:43" x14ac:dyDescent="0.35">
      <c r="V830" s="1013"/>
      <c r="W830" s="138"/>
      <c r="AQ830" s="138"/>
    </row>
    <row r="831" spans="22:43" x14ac:dyDescent="0.35">
      <c r="V831" s="1013"/>
      <c r="W831" s="138"/>
      <c r="AQ831" s="138"/>
    </row>
    <row r="832" spans="22:43" x14ac:dyDescent="0.35">
      <c r="V832" s="1013"/>
      <c r="W832" s="138"/>
      <c r="AQ832" s="138"/>
    </row>
    <row r="833" spans="22:43" x14ac:dyDescent="0.35">
      <c r="V833" s="1013"/>
      <c r="W833" s="138"/>
      <c r="AQ833" s="138"/>
    </row>
    <row r="834" spans="22:43" x14ac:dyDescent="0.35">
      <c r="V834" s="1013"/>
      <c r="W834" s="138"/>
      <c r="AQ834" s="138"/>
    </row>
    <row r="835" spans="22:43" x14ac:dyDescent="0.35">
      <c r="V835" s="1013"/>
      <c r="W835" s="138"/>
      <c r="AQ835" s="138"/>
    </row>
    <row r="836" spans="22:43" x14ac:dyDescent="0.35">
      <c r="V836" s="1013"/>
      <c r="W836" s="138"/>
      <c r="AQ836" s="138"/>
    </row>
    <row r="837" spans="22:43" x14ac:dyDescent="0.35">
      <c r="V837" s="1013"/>
      <c r="W837" s="138"/>
      <c r="AQ837" s="138"/>
    </row>
    <row r="838" spans="22:43" x14ac:dyDescent="0.35">
      <c r="V838" s="1013"/>
      <c r="W838" s="138"/>
      <c r="AQ838" s="138"/>
    </row>
    <row r="839" spans="22:43" x14ac:dyDescent="0.35">
      <c r="V839" s="1013"/>
      <c r="W839" s="138"/>
      <c r="AQ839" s="138"/>
    </row>
    <row r="840" spans="22:43" x14ac:dyDescent="0.35">
      <c r="V840" s="1013"/>
      <c r="W840" s="138"/>
      <c r="AQ840" s="138"/>
    </row>
    <row r="841" spans="22:43" x14ac:dyDescent="0.35">
      <c r="V841" s="1013"/>
      <c r="W841" s="138"/>
      <c r="AQ841" s="138"/>
    </row>
    <row r="842" spans="22:43" x14ac:dyDescent="0.35">
      <c r="V842" s="1013"/>
      <c r="W842" s="138"/>
      <c r="AQ842" s="138"/>
    </row>
    <row r="843" spans="22:43" x14ac:dyDescent="0.35">
      <c r="V843" s="1013"/>
      <c r="W843" s="138"/>
      <c r="AQ843" s="138"/>
    </row>
    <row r="844" spans="22:43" x14ac:dyDescent="0.35">
      <c r="V844" s="1013"/>
      <c r="W844" s="138"/>
      <c r="AQ844" s="138"/>
    </row>
    <row r="845" spans="22:43" x14ac:dyDescent="0.35">
      <c r="V845" s="1013"/>
      <c r="W845" s="138"/>
      <c r="AQ845" s="138"/>
    </row>
    <row r="846" spans="22:43" x14ac:dyDescent="0.35">
      <c r="V846" s="1013"/>
      <c r="W846" s="138"/>
      <c r="AQ846" s="138"/>
    </row>
    <row r="847" spans="22:43" x14ac:dyDescent="0.35">
      <c r="V847" s="1013"/>
      <c r="W847" s="138"/>
      <c r="AQ847" s="138"/>
    </row>
    <row r="848" spans="22:43" x14ac:dyDescent="0.35">
      <c r="V848" s="1013"/>
      <c r="W848" s="138"/>
      <c r="AQ848" s="138"/>
    </row>
    <row r="849" spans="22:43" x14ac:dyDescent="0.35">
      <c r="V849" s="1013"/>
      <c r="W849" s="138"/>
      <c r="AQ849" s="138"/>
    </row>
    <row r="850" spans="22:43" x14ac:dyDescent="0.35">
      <c r="V850" s="1013"/>
      <c r="W850" s="138"/>
      <c r="AQ850" s="138"/>
    </row>
    <row r="851" spans="22:43" x14ac:dyDescent="0.35">
      <c r="V851" s="1013"/>
      <c r="W851" s="138"/>
      <c r="AQ851" s="138"/>
    </row>
    <row r="852" spans="22:43" x14ac:dyDescent="0.35">
      <c r="V852" s="1013"/>
      <c r="W852" s="138"/>
      <c r="AQ852" s="138"/>
    </row>
    <row r="853" spans="22:43" x14ac:dyDescent="0.35">
      <c r="V853" s="1013"/>
      <c r="W853" s="138"/>
      <c r="AQ853" s="138"/>
    </row>
    <row r="854" spans="22:43" x14ac:dyDescent="0.35">
      <c r="V854" s="1013"/>
      <c r="W854" s="138"/>
      <c r="AQ854" s="138"/>
    </row>
    <row r="855" spans="22:43" x14ac:dyDescent="0.35">
      <c r="V855" s="1013"/>
      <c r="W855" s="138"/>
      <c r="AQ855" s="138"/>
    </row>
    <row r="856" spans="22:43" x14ac:dyDescent="0.35">
      <c r="V856" s="1013"/>
      <c r="W856" s="138"/>
      <c r="AQ856" s="138"/>
    </row>
    <row r="857" spans="22:43" x14ac:dyDescent="0.35">
      <c r="V857" s="1013"/>
      <c r="W857" s="138"/>
      <c r="AQ857" s="138"/>
    </row>
    <row r="858" spans="22:43" x14ac:dyDescent="0.35">
      <c r="V858" s="1013"/>
      <c r="W858" s="138"/>
      <c r="AQ858" s="138"/>
    </row>
    <row r="859" spans="22:43" x14ac:dyDescent="0.35">
      <c r="V859" s="1013"/>
      <c r="W859" s="138"/>
      <c r="AQ859" s="138"/>
    </row>
    <row r="860" spans="22:43" x14ac:dyDescent="0.35">
      <c r="V860" s="1013"/>
      <c r="W860" s="138"/>
      <c r="AQ860" s="138"/>
    </row>
    <row r="861" spans="22:43" x14ac:dyDescent="0.35">
      <c r="V861" s="1013"/>
      <c r="W861" s="138"/>
      <c r="AQ861" s="138"/>
    </row>
    <row r="862" spans="22:43" x14ac:dyDescent="0.35">
      <c r="V862" s="1013"/>
      <c r="W862" s="138"/>
      <c r="AQ862" s="138"/>
    </row>
    <row r="863" spans="22:43" x14ac:dyDescent="0.35">
      <c r="V863" s="1013"/>
      <c r="W863" s="138"/>
      <c r="AQ863" s="138"/>
    </row>
    <row r="864" spans="22:43" x14ac:dyDescent="0.35">
      <c r="V864" s="1013"/>
      <c r="W864" s="138"/>
      <c r="AQ864" s="138"/>
    </row>
    <row r="865" spans="22:43" x14ac:dyDescent="0.35">
      <c r="V865" s="1013"/>
      <c r="W865" s="138"/>
      <c r="AQ865" s="138"/>
    </row>
    <row r="866" spans="22:43" x14ac:dyDescent="0.35">
      <c r="V866" s="1013"/>
      <c r="W866" s="138"/>
      <c r="AQ866" s="138"/>
    </row>
    <row r="867" spans="22:43" x14ac:dyDescent="0.35">
      <c r="V867" s="1013"/>
      <c r="W867" s="138"/>
      <c r="AQ867" s="138"/>
    </row>
    <row r="868" spans="22:43" x14ac:dyDescent="0.35">
      <c r="V868" s="1013"/>
      <c r="W868" s="138"/>
      <c r="AQ868" s="138"/>
    </row>
    <row r="869" spans="22:43" x14ac:dyDescent="0.35">
      <c r="V869" s="1013"/>
      <c r="W869" s="138"/>
      <c r="AQ869" s="138"/>
    </row>
    <row r="870" spans="22:43" x14ac:dyDescent="0.35">
      <c r="V870" s="1013"/>
      <c r="W870" s="138"/>
      <c r="AQ870" s="138"/>
    </row>
    <row r="871" spans="22:43" x14ac:dyDescent="0.35">
      <c r="V871" s="1013"/>
      <c r="W871" s="138"/>
      <c r="AQ871" s="138"/>
    </row>
    <row r="872" spans="22:43" x14ac:dyDescent="0.35">
      <c r="V872" s="1013"/>
      <c r="W872" s="138"/>
      <c r="AQ872" s="138"/>
    </row>
    <row r="873" spans="22:43" x14ac:dyDescent="0.35">
      <c r="V873" s="1013"/>
      <c r="W873" s="138"/>
      <c r="AQ873" s="138"/>
    </row>
    <row r="874" spans="22:43" x14ac:dyDescent="0.35">
      <c r="V874" s="1013"/>
      <c r="W874" s="138"/>
      <c r="AQ874" s="138"/>
    </row>
    <row r="875" spans="22:43" x14ac:dyDescent="0.35">
      <c r="V875" s="1013"/>
      <c r="W875" s="138"/>
      <c r="AQ875" s="138"/>
    </row>
    <row r="876" spans="22:43" x14ac:dyDescent="0.35">
      <c r="V876" s="1013"/>
      <c r="W876" s="138"/>
      <c r="AQ876" s="138"/>
    </row>
    <row r="877" spans="22:43" x14ac:dyDescent="0.35">
      <c r="V877" s="1013"/>
      <c r="W877" s="138"/>
      <c r="AQ877" s="138"/>
    </row>
    <row r="878" spans="22:43" x14ac:dyDescent="0.35">
      <c r="V878" s="1013"/>
      <c r="W878" s="138"/>
      <c r="AQ878" s="138"/>
    </row>
    <row r="879" spans="22:43" x14ac:dyDescent="0.35">
      <c r="V879" s="1013"/>
      <c r="W879" s="138"/>
      <c r="AQ879" s="138"/>
    </row>
    <row r="880" spans="22:43" x14ac:dyDescent="0.35">
      <c r="V880" s="1013"/>
      <c r="W880" s="138"/>
      <c r="AQ880" s="138"/>
    </row>
    <row r="881" spans="22:43" x14ac:dyDescent="0.35">
      <c r="V881" s="1013"/>
      <c r="W881" s="138"/>
      <c r="AQ881" s="138"/>
    </row>
    <row r="882" spans="22:43" x14ac:dyDescent="0.35">
      <c r="V882" s="1013"/>
      <c r="W882" s="138"/>
      <c r="AQ882" s="138"/>
    </row>
    <row r="883" spans="22:43" x14ac:dyDescent="0.35">
      <c r="V883" s="1013"/>
      <c r="W883" s="138"/>
      <c r="AQ883" s="138"/>
    </row>
    <row r="884" spans="22:43" x14ac:dyDescent="0.35">
      <c r="V884" s="1013"/>
      <c r="W884" s="138"/>
      <c r="AQ884" s="138"/>
    </row>
    <row r="885" spans="22:43" x14ac:dyDescent="0.35">
      <c r="V885" s="1013"/>
      <c r="W885" s="138"/>
      <c r="AQ885" s="138"/>
    </row>
    <row r="886" spans="22:43" x14ac:dyDescent="0.35">
      <c r="V886" s="1013"/>
      <c r="W886" s="138"/>
      <c r="AQ886" s="138"/>
    </row>
    <row r="887" spans="22:43" x14ac:dyDescent="0.35">
      <c r="V887" s="1013"/>
      <c r="W887" s="138"/>
      <c r="AQ887" s="138"/>
    </row>
    <row r="888" spans="22:43" x14ac:dyDescent="0.35">
      <c r="V888" s="1013"/>
      <c r="W888" s="138"/>
      <c r="AQ888" s="138"/>
    </row>
    <row r="889" spans="22:43" x14ac:dyDescent="0.35">
      <c r="V889" s="1013"/>
      <c r="W889" s="138"/>
      <c r="AQ889" s="138"/>
    </row>
    <row r="890" spans="22:43" x14ac:dyDescent="0.35">
      <c r="V890" s="1013"/>
      <c r="W890" s="138"/>
      <c r="AQ890" s="138"/>
    </row>
    <row r="891" spans="22:43" x14ac:dyDescent="0.35">
      <c r="V891" s="1013"/>
      <c r="W891" s="138"/>
      <c r="AQ891" s="138"/>
    </row>
    <row r="892" spans="22:43" x14ac:dyDescent="0.35">
      <c r="V892" s="1013"/>
      <c r="W892" s="138"/>
      <c r="AQ892" s="138"/>
    </row>
    <row r="893" spans="22:43" x14ac:dyDescent="0.35">
      <c r="V893" s="1013"/>
      <c r="W893" s="138"/>
      <c r="AQ893" s="138"/>
    </row>
    <row r="894" spans="22:43" x14ac:dyDescent="0.35">
      <c r="V894" s="1013"/>
      <c r="W894" s="138"/>
      <c r="AQ894" s="138"/>
    </row>
    <row r="895" spans="22:43" x14ac:dyDescent="0.35">
      <c r="V895" s="1013"/>
      <c r="W895" s="138"/>
      <c r="AQ895" s="138"/>
    </row>
    <row r="896" spans="22:43" x14ac:dyDescent="0.35">
      <c r="V896" s="1013"/>
      <c r="W896" s="138"/>
      <c r="AQ896" s="138"/>
    </row>
    <row r="897" spans="22:43" x14ac:dyDescent="0.35">
      <c r="V897" s="1013"/>
      <c r="W897" s="138"/>
      <c r="AQ897" s="138"/>
    </row>
    <row r="898" spans="22:43" x14ac:dyDescent="0.35">
      <c r="V898" s="1013"/>
      <c r="W898" s="138"/>
      <c r="AQ898" s="138"/>
    </row>
    <row r="899" spans="22:43" x14ac:dyDescent="0.35">
      <c r="V899" s="1013"/>
      <c r="W899" s="138"/>
      <c r="AQ899" s="138"/>
    </row>
    <row r="900" spans="22:43" x14ac:dyDescent="0.35">
      <c r="V900" s="1013"/>
      <c r="W900" s="138"/>
      <c r="AQ900" s="138"/>
    </row>
    <row r="901" spans="22:43" x14ac:dyDescent="0.35">
      <c r="V901" s="1013"/>
      <c r="W901" s="138"/>
      <c r="AQ901" s="138"/>
    </row>
    <row r="902" spans="22:43" x14ac:dyDescent="0.35">
      <c r="V902" s="1013"/>
      <c r="W902" s="138"/>
      <c r="AQ902" s="138"/>
    </row>
    <row r="903" spans="22:43" x14ac:dyDescent="0.35">
      <c r="V903" s="1013"/>
      <c r="W903" s="138"/>
      <c r="AQ903" s="138"/>
    </row>
    <row r="904" spans="22:43" x14ac:dyDescent="0.35">
      <c r="V904" s="1013"/>
      <c r="W904" s="138"/>
      <c r="AQ904" s="138"/>
    </row>
    <row r="905" spans="22:43" x14ac:dyDescent="0.35">
      <c r="V905" s="1013"/>
      <c r="W905" s="138"/>
      <c r="AQ905" s="138"/>
    </row>
    <row r="906" spans="22:43" x14ac:dyDescent="0.35">
      <c r="V906" s="1013"/>
      <c r="W906" s="138"/>
      <c r="AQ906" s="138"/>
    </row>
    <row r="907" spans="22:43" x14ac:dyDescent="0.35">
      <c r="V907" s="1013"/>
      <c r="W907" s="138"/>
      <c r="AQ907" s="138"/>
    </row>
    <row r="908" spans="22:43" x14ac:dyDescent="0.35">
      <c r="V908" s="1013"/>
      <c r="W908" s="138"/>
      <c r="AQ908" s="138"/>
    </row>
    <row r="909" spans="22:43" x14ac:dyDescent="0.35">
      <c r="V909" s="1013"/>
      <c r="W909" s="138"/>
      <c r="AQ909" s="138"/>
    </row>
    <row r="910" spans="22:43" x14ac:dyDescent="0.35">
      <c r="V910" s="1013"/>
      <c r="W910" s="138"/>
      <c r="AQ910" s="138"/>
    </row>
    <row r="911" spans="22:43" x14ac:dyDescent="0.35">
      <c r="V911" s="1013"/>
      <c r="W911" s="138"/>
      <c r="AQ911" s="138"/>
    </row>
    <row r="912" spans="22:43" x14ac:dyDescent="0.35">
      <c r="V912" s="1013"/>
      <c r="W912" s="138"/>
      <c r="AQ912" s="138"/>
    </row>
    <row r="913" spans="22:43" x14ac:dyDescent="0.35">
      <c r="V913" s="1013"/>
      <c r="W913" s="138"/>
      <c r="AQ913" s="138"/>
    </row>
    <row r="914" spans="22:43" x14ac:dyDescent="0.35">
      <c r="V914" s="1013"/>
      <c r="W914" s="138"/>
      <c r="AQ914" s="138"/>
    </row>
    <row r="915" spans="22:43" x14ac:dyDescent="0.35">
      <c r="V915" s="1013"/>
      <c r="W915" s="138"/>
      <c r="AQ915" s="138"/>
    </row>
    <row r="916" spans="22:43" x14ac:dyDescent="0.35">
      <c r="V916" s="1013"/>
      <c r="W916" s="138"/>
      <c r="AQ916" s="138"/>
    </row>
    <row r="917" spans="22:43" x14ac:dyDescent="0.35">
      <c r="V917" s="1013"/>
      <c r="W917" s="138"/>
      <c r="AQ917" s="138"/>
    </row>
    <row r="918" spans="22:43" x14ac:dyDescent="0.35">
      <c r="V918" s="1013"/>
      <c r="W918" s="138"/>
      <c r="AQ918" s="138"/>
    </row>
    <row r="919" spans="22:43" x14ac:dyDescent="0.35">
      <c r="V919" s="1013"/>
      <c r="W919" s="138"/>
      <c r="AQ919" s="138"/>
    </row>
    <row r="920" spans="22:43" x14ac:dyDescent="0.35">
      <c r="V920" s="1013"/>
      <c r="W920" s="138"/>
      <c r="AQ920" s="138"/>
    </row>
    <row r="921" spans="22:43" x14ac:dyDescent="0.35">
      <c r="V921" s="1013"/>
      <c r="W921" s="138"/>
      <c r="AQ921" s="138"/>
    </row>
    <row r="922" spans="22:43" x14ac:dyDescent="0.35">
      <c r="V922" s="1013"/>
      <c r="W922" s="138"/>
      <c r="AQ922" s="138"/>
    </row>
    <row r="923" spans="22:43" x14ac:dyDescent="0.35">
      <c r="V923" s="1013"/>
      <c r="W923" s="138"/>
      <c r="AQ923" s="138"/>
    </row>
    <row r="924" spans="22:43" x14ac:dyDescent="0.35">
      <c r="V924" s="1013"/>
      <c r="W924" s="138"/>
      <c r="AQ924" s="138"/>
    </row>
    <row r="925" spans="22:43" x14ac:dyDescent="0.35">
      <c r="V925" s="1013"/>
      <c r="W925" s="138"/>
      <c r="AQ925" s="138"/>
    </row>
    <row r="926" spans="22:43" x14ac:dyDescent="0.35">
      <c r="V926" s="1013"/>
      <c r="W926" s="138"/>
      <c r="AQ926" s="138"/>
    </row>
    <row r="927" spans="22:43" x14ac:dyDescent="0.35">
      <c r="V927" s="1013"/>
      <c r="W927" s="138"/>
      <c r="AQ927" s="138"/>
    </row>
    <row r="928" spans="22:43" x14ac:dyDescent="0.35">
      <c r="V928" s="1013"/>
      <c r="W928" s="138"/>
      <c r="AQ928" s="138"/>
    </row>
    <row r="929" spans="22:43" x14ac:dyDescent="0.35">
      <c r="V929" s="1013"/>
      <c r="W929" s="138"/>
      <c r="AQ929" s="138"/>
    </row>
    <row r="930" spans="22:43" x14ac:dyDescent="0.35">
      <c r="V930" s="1013"/>
      <c r="W930" s="138"/>
      <c r="AQ930" s="138"/>
    </row>
    <row r="931" spans="22:43" x14ac:dyDescent="0.35">
      <c r="V931" s="1013"/>
      <c r="W931" s="138"/>
      <c r="AQ931" s="138"/>
    </row>
    <row r="932" spans="22:43" x14ac:dyDescent="0.35">
      <c r="V932" s="1013"/>
      <c r="W932" s="138"/>
      <c r="AQ932" s="138"/>
    </row>
    <row r="933" spans="22:43" x14ac:dyDescent="0.35">
      <c r="V933" s="1013"/>
      <c r="W933" s="138"/>
      <c r="AQ933" s="138"/>
    </row>
    <row r="934" spans="22:43" x14ac:dyDescent="0.35">
      <c r="V934" s="1013"/>
      <c r="W934" s="138"/>
      <c r="AQ934" s="138"/>
    </row>
    <row r="935" spans="22:43" x14ac:dyDescent="0.35">
      <c r="V935" s="1013"/>
      <c r="W935" s="138"/>
      <c r="AQ935" s="138"/>
    </row>
    <row r="936" spans="22:43" x14ac:dyDescent="0.35">
      <c r="V936" s="1013"/>
      <c r="W936" s="138"/>
      <c r="AQ936" s="138"/>
    </row>
    <row r="937" spans="22:43" x14ac:dyDescent="0.35">
      <c r="V937" s="1013"/>
      <c r="W937" s="138"/>
      <c r="AQ937" s="138"/>
    </row>
    <row r="938" spans="22:43" x14ac:dyDescent="0.35">
      <c r="V938" s="1013"/>
      <c r="W938" s="138"/>
      <c r="AQ938" s="138"/>
    </row>
    <row r="939" spans="22:43" x14ac:dyDescent="0.35">
      <c r="V939" s="1013"/>
      <c r="W939" s="138"/>
      <c r="AQ939" s="138"/>
    </row>
    <row r="940" spans="22:43" x14ac:dyDescent="0.35">
      <c r="V940" s="1013"/>
      <c r="W940" s="138"/>
      <c r="AQ940" s="138"/>
    </row>
    <row r="941" spans="22:43" x14ac:dyDescent="0.35">
      <c r="V941" s="1013"/>
      <c r="W941" s="138"/>
      <c r="AQ941" s="138"/>
    </row>
    <row r="942" spans="22:43" x14ac:dyDescent="0.35">
      <c r="V942" s="1013"/>
      <c r="W942" s="138"/>
      <c r="AQ942" s="138"/>
    </row>
    <row r="943" spans="22:43" x14ac:dyDescent="0.35">
      <c r="V943" s="1013"/>
      <c r="W943" s="138"/>
      <c r="AQ943" s="138"/>
    </row>
    <row r="944" spans="22:43" x14ac:dyDescent="0.35">
      <c r="V944" s="1013"/>
      <c r="W944" s="138"/>
      <c r="AQ944" s="138"/>
    </row>
    <row r="945" spans="22:43" x14ac:dyDescent="0.35">
      <c r="V945" s="1013"/>
      <c r="W945" s="138"/>
      <c r="AQ945" s="138"/>
    </row>
    <row r="946" spans="22:43" x14ac:dyDescent="0.35">
      <c r="V946" s="1013"/>
      <c r="W946" s="138"/>
      <c r="AQ946" s="138"/>
    </row>
    <row r="947" spans="22:43" x14ac:dyDescent="0.35">
      <c r="V947" s="1013"/>
      <c r="W947" s="138"/>
      <c r="AQ947" s="138"/>
    </row>
    <row r="948" spans="22:43" x14ac:dyDescent="0.35">
      <c r="V948" s="1013"/>
      <c r="W948" s="138"/>
      <c r="AQ948" s="138"/>
    </row>
    <row r="949" spans="22:43" x14ac:dyDescent="0.35">
      <c r="V949" s="1013"/>
      <c r="W949" s="138"/>
      <c r="AQ949" s="138"/>
    </row>
    <row r="950" spans="22:43" x14ac:dyDescent="0.35">
      <c r="V950" s="1013"/>
      <c r="W950" s="138"/>
      <c r="AQ950" s="138"/>
    </row>
    <row r="951" spans="22:43" x14ac:dyDescent="0.35">
      <c r="V951" s="1013"/>
      <c r="W951" s="138"/>
      <c r="AQ951" s="138"/>
    </row>
    <row r="952" spans="22:43" x14ac:dyDescent="0.35">
      <c r="V952" s="1013"/>
      <c r="W952" s="138"/>
      <c r="AQ952" s="138"/>
    </row>
    <row r="953" spans="22:43" x14ac:dyDescent="0.35">
      <c r="V953" s="1013"/>
      <c r="W953" s="138"/>
      <c r="AQ953" s="138"/>
    </row>
    <row r="954" spans="22:43" x14ac:dyDescent="0.35">
      <c r="V954" s="1013"/>
      <c r="W954" s="138"/>
      <c r="AQ954" s="138"/>
    </row>
    <row r="955" spans="22:43" x14ac:dyDescent="0.35">
      <c r="V955" s="1013"/>
      <c r="W955" s="138"/>
      <c r="AQ955" s="138"/>
    </row>
    <row r="956" spans="22:43" x14ac:dyDescent="0.35">
      <c r="V956" s="1013"/>
      <c r="W956" s="138"/>
      <c r="AQ956" s="138"/>
    </row>
    <row r="957" spans="22:43" x14ac:dyDescent="0.35">
      <c r="V957" s="1013"/>
      <c r="W957" s="138"/>
      <c r="AQ957" s="138"/>
    </row>
    <row r="958" spans="22:43" x14ac:dyDescent="0.35">
      <c r="V958" s="1013"/>
      <c r="W958" s="138"/>
      <c r="AQ958" s="138"/>
    </row>
    <row r="959" spans="22:43" x14ac:dyDescent="0.35">
      <c r="V959" s="1013"/>
      <c r="W959" s="138"/>
      <c r="AQ959" s="138"/>
    </row>
    <row r="960" spans="22:43" x14ac:dyDescent="0.35">
      <c r="V960" s="1013"/>
      <c r="W960" s="138"/>
      <c r="AQ960" s="138"/>
    </row>
    <row r="961" spans="22:43" x14ac:dyDescent="0.35">
      <c r="V961" s="1013"/>
      <c r="W961" s="138"/>
      <c r="AQ961" s="138"/>
    </row>
    <row r="962" spans="22:43" x14ac:dyDescent="0.35">
      <c r="V962" s="1013"/>
      <c r="W962" s="138"/>
      <c r="AQ962" s="138"/>
    </row>
    <row r="963" spans="22:43" x14ac:dyDescent="0.35">
      <c r="V963" s="1013"/>
      <c r="W963" s="138"/>
      <c r="AQ963" s="138"/>
    </row>
    <row r="964" spans="22:43" x14ac:dyDescent="0.35">
      <c r="V964" s="1013"/>
      <c r="W964" s="138"/>
      <c r="AQ964" s="138"/>
    </row>
    <row r="965" spans="22:43" x14ac:dyDescent="0.35">
      <c r="V965" s="1013"/>
      <c r="W965" s="138"/>
      <c r="AQ965" s="138"/>
    </row>
    <row r="966" spans="22:43" x14ac:dyDescent="0.35">
      <c r="V966" s="1013"/>
      <c r="W966" s="138"/>
      <c r="AQ966" s="138"/>
    </row>
    <row r="967" spans="22:43" x14ac:dyDescent="0.35">
      <c r="V967" s="1013"/>
      <c r="W967" s="138"/>
      <c r="AQ967" s="138"/>
    </row>
    <row r="968" spans="22:43" x14ac:dyDescent="0.35">
      <c r="V968" s="1013"/>
      <c r="W968" s="138"/>
      <c r="AQ968" s="138"/>
    </row>
    <row r="969" spans="22:43" x14ac:dyDescent="0.35">
      <c r="V969" s="1013"/>
      <c r="W969" s="138"/>
      <c r="AQ969" s="138"/>
    </row>
    <row r="970" spans="22:43" x14ac:dyDescent="0.35">
      <c r="V970" s="1013"/>
      <c r="W970" s="138"/>
      <c r="AQ970" s="138"/>
    </row>
    <row r="971" spans="22:43" x14ac:dyDescent="0.35">
      <c r="V971" s="1013"/>
      <c r="W971" s="138"/>
      <c r="AQ971" s="138"/>
    </row>
    <row r="972" spans="22:43" x14ac:dyDescent="0.35">
      <c r="V972" s="1013"/>
      <c r="W972" s="138"/>
      <c r="AQ972" s="138"/>
    </row>
    <row r="973" spans="22:43" x14ac:dyDescent="0.35">
      <c r="V973" s="1013"/>
      <c r="W973" s="138"/>
      <c r="AQ973" s="138"/>
    </row>
    <row r="974" spans="22:43" x14ac:dyDescent="0.35">
      <c r="V974" s="1013"/>
      <c r="W974" s="138"/>
      <c r="AQ974" s="138"/>
    </row>
    <row r="975" spans="22:43" x14ac:dyDescent="0.35">
      <c r="V975" s="1013"/>
      <c r="W975" s="138"/>
      <c r="AQ975" s="138"/>
    </row>
    <row r="976" spans="22:43" x14ac:dyDescent="0.35">
      <c r="V976" s="1013"/>
      <c r="W976" s="138"/>
      <c r="AQ976" s="138"/>
    </row>
    <row r="977" spans="22:43" x14ac:dyDescent="0.35">
      <c r="V977" s="1013"/>
      <c r="W977" s="138"/>
      <c r="AQ977" s="138"/>
    </row>
    <row r="978" spans="22:43" x14ac:dyDescent="0.35">
      <c r="V978" s="1013"/>
      <c r="W978" s="138"/>
      <c r="AQ978" s="138"/>
    </row>
    <row r="979" spans="22:43" x14ac:dyDescent="0.35">
      <c r="V979" s="1013"/>
      <c r="W979" s="138"/>
      <c r="AQ979" s="138"/>
    </row>
    <row r="980" spans="22:43" x14ac:dyDescent="0.35">
      <c r="V980" s="1013"/>
      <c r="W980" s="138"/>
      <c r="AQ980" s="138"/>
    </row>
    <row r="981" spans="22:43" x14ac:dyDescent="0.35">
      <c r="V981" s="1013"/>
      <c r="W981" s="138"/>
      <c r="AQ981" s="138"/>
    </row>
    <row r="982" spans="22:43" x14ac:dyDescent="0.35">
      <c r="V982" s="1013"/>
      <c r="W982" s="138"/>
      <c r="AQ982" s="138"/>
    </row>
    <row r="983" spans="22:43" x14ac:dyDescent="0.35">
      <c r="V983" s="1013"/>
      <c r="W983" s="138"/>
      <c r="AQ983" s="138"/>
    </row>
    <row r="984" spans="22:43" x14ac:dyDescent="0.35">
      <c r="V984" s="1013"/>
      <c r="W984" s="138"/>
      <c r="AQ984" s="138"/>
    </row>
    <row r="985" spans="22:43" x14ac:dyDescent="0.35">
      <c r="V985" s="1013"/>
      <c r="W985" s="138"/>
      <c r="AQ985" s="138"/>
    </row>
    <row r="986" spans="22:43" x14ac:dyDescent="0.35">
      <c r="V986" s="1013"/>
      <c r="W986" s="138"/>
      <c r="AQ986" s="138"/>
    </row>
    <row r="987" spans="22:43" x14ac:dyDescent="0.35">
      <c r="V987" s="1013"/>
      <c r="W987" s="138"/>
      <c r="AQ987" s="138"/>
    </row>
    <row r="988" spans="22:43" x14ac:dyDescent="0.35">
      <c r="V988" s="1013"/>
      <c r="W988" s="138"/>
      <c r="AQ988" s="138"/>
    </row>
    <row r="989" spans="22:43" x14ac:dyDescent="0.35">
      <c r="V989" s="1013"/>
      <c r="W989" s="138"/>
      <c r="AQ989" s="138"/>
    </row>
    <row r="990" spans="22:43" x14ac:dyDescent="0.35">
      <c r="V990" s="1013"/>
      <c r="W990" s="138"/>
      <c r="AQ990" s="138"/>
    </row>
    <row r="991" spans="22:43" x14ac:dyDescent="0.35">
      <c r="V991" s="1013"/>
      <c r="W991" s="138"/>
      <c r="AQ991" s="138"/>
    </row>
    <row r="992" spans="22:43" x14ac:dyDescent="0.35">
      <c r="V992" s="1013"/>
      <c r="W992" s="138"/>
      <c r="AQ992" s="138"/>
    </row>
    <row r="993" spans="22:43" x14ac:dyDescent="0.35">
      <c r="V993" s="1013"/>
      <c r="W993" s="138"/>
      <c r="AQ993" s="138"/>
    </row>
    <row r="994" spans="22:43" x14ac:dyDescent="0.35">
      <c r="V994" s="1013"/>
      <c r="W994" s="138"/>
      <c r="AQ994" s="138"/>
    </row>
    <row r="995" spans="22:43" x14ac:dyDescent="0.35">
      <c r="V995" s="1013"/>
      <c r="W995" s="138"/>
      <c r="AQ995" s="138"/>
    </row>
    <row r="996" spans="22:43" x14ac:dyDescent="0.35">
      <c r="V996" s="1013"/>
      <c r="W996" s="138"/>
      <c r="AQ996" s="138"/>
    </row>
    <row r="997" spans="22:43" x14ac:dyDescent="0.35">
      <c r="V997" s="1013"/>
      <c r="W997" s="138"/>
      <c r="AQ997" s="138"/>
    </row>
    <row r="998" spans="22:43" x14ac:dyDescent="0.35">
      <c r="V998" s="1013"/>
      <c r="W998" s="138"/>
      <c r="AQ998" s="138"/>
    </row>
    <row r="999" spans="22:43" x14ac:dyDescent="0.35">
      <c r="V999" s="1013"/>
      <c r="W999" s="138"/>
      <c r="AQ999" s="138"/>
    </row>
    <row r="1000" spans="22:43" x14ac:dyDescent="0.35">
      <c r="V1000" s="1013"/>
      <c r="W1000" s="138"/>
      <c r="AQ1000" s="138"/>
    </row>
    <row r="1001" spans="22:43" x14ac:dyDescent="0.35">
      <c r="V1001" s="1013"/>
      <c r="W1001" s="138"/>
      <c r="AQ1001" s="138"/>
    </row>
    <row r="1002" spans="22:43" x14ac:dyDescent="0.35">
      <c r="V1002" s="1013"/>
      <c r="W1002" s="138"/>
      <c r="AQ1002" s="138"/>
    </row>
    <row r="1003" spans="22:43" x14ac:dyDescent="0.35">
      <c r="V1003" s="1013"/>
      <c r="W1003" s="138"/>
      <c r="AQ1003" s="138"/>
    </row>
    <row r="1004" spans="22:43" x14ac:dyDescent="0.35">
      <c r="V1004" s="1013"/>
      <c r="W1004" s="138"/>
      <c r="AQ1004" s="138"/>
    </row>
    <row r="1005" spans="22:43" x14ac:dyDescent="0.35">
      <c r="V1005" s="1013"/>
      <c r="W1005" s="138"/>
      <c r="AQ1005" s="138"/>
    </row>
    <row r="1006" spans="22:43" x14ac:dyDescent="0.35">
      <c r="V1006" s="1013"/>
      <c r="W1006" s="138"/>
      <c r="AQ1006" s="138"/>
    </row>
    <row r="1007" spans="22:43" x14ac:dyDescent="0.35">
      <c r="V1007" s="1013"/>
      <c r="W1007" s="138"/>
      <c r="AQ1007" s="138"/>
    </row>
    <row r="1008" spans="22:43" x14ac:dyDescent="0.35">
      <c r="V1008" s="1013"/>
      <c r="W1008" s="138"/>
      <c r="AQ1008" s="138"/>
    </row>
    <row r="1009" spans="22:43" x14ac:dyDescent="0.35">
      <c r="V1009" s="1013"/>
      <c r="W1009" s="138"/>
      <c r="AQ1009" s="138"/>
    </row>
    <row r="1010" spans="22:43" x14ac:dyDescent="0.35">
      <c r="V1010" s="1013"/>
      <c r="W1010" s="138"/>
      <c r="AQ1010" s="138"/>
    </row>
    <row r="1011" spans="22:43" x14ac:dyDescent="0.35">
      <c r="V1011" s="1013"/>
      <c r="W1011" s="138"/>
      <c r="AQ1011" s="138"/>
    </row>
    <row r="1012" spans="22:43" x14ac:dyDescent="0.35">
      <c r="V1012" s="1013"/>
      <c r="W1012" s="138"/>
      <c r="AQ1012" s="138"/>
    </row>
    <row r="1013" spans="22:43" x14ac:dyDescent="0.35">
      <c r="V1013" s="1013"/>
      <c r="W1013" s="138"/>
      <c r="AQ1013" s="138"/>
    </row>
    <row r="1014" spans="22:43" x14ac:dyDescent="0.35">
      <c r="V1014" s="1013"/>
      <c r="W1014" s="138"/>
      <c r="AQ1014" s="138"/>
    </row>
    <row r="1015" spans="22:43" x14ac:dyDescent="0.35">
      <c r="V1015" s="1013"/>
      <c r="W1015" s="138"/>
      <c r="AQ1015" s="138"/>
    </row>
    <row r="1016" spans="22:43" x14ac:dyDescent="0.35">
      <c r="V1016" s="1013"/>
      <c r="W1016" s="138"/>
      <c r="AQ1016" s="138"/>
    </row>
    <row r="1017" spans="22:43" x14ac:dyDescent="0.35">
      <c r="V1017" s="1013"/>
      <c r="W1017" s="138"/>
      <c r="AQ1017" s="138"/>
    </row>
    <row r="1018" spans="22:43" x14ac:dyDescent="0.35">
      <c r="V1018" s="1013"/>
      <c r="W1018" s="138"/>
      <c r="AQ1018" s="138"/>
    </row>
    <row r="1019" spans="22:43" x14ac:dyDescent="0.35">
      <c r="V1019" s="1013"/>
      <c r="W1019" s="138"/>
      <c r="AQ1019" s="138"/>
    </row>
    <row r="1020" spans="22:43" x14ac:dyDescent="0.35">
      <c r="V1020" s="1013"/>
      <c r="W1020" s="138"/>
      <c r="AQ1020" s="138"/>
    </row>
    <row r="1021" spans="22:43" x14ac:dyDescent="0.35">
      <c r="V1021" s="1013"/>
      <c r="W1021" s="138"/>
      <c r="AQ1021" s="138"/>
    </row>
    <row r="1022" spans="22:43" x14ac:dyDescent="0.35">
      <c r="V1022" s="1013"/>
      <c r="W1022" s="138"/>
      <c r="AQ1022" s="138"/>
    </row>
    <row r="1023" spans="22:43" x14ac:dyDescent="0.35">
      <c r="V1023" s="1013"/>
      <c r="W1023" s="138"/>
      <c r="AQ1023" s="138"/>
    </row>
    <row r="1024" spans="22:43" x14ac:dyDescent="0.35">
      <c r="V1024" s="1013"/>
      <c r="W1024" s="138"/>
      <c r="AQ1024" s="138"/>
    </row>
    <row r="1025" spans="22:43" x14ac:dyDescent="0.35">
      <c r="V1025" s="1013"/>
      <c r="W1025" s="138"/>
      <c r="AQ1025" s="138"/>
    </row>
    <row r="1026" spans="22:43" x14ac:dyDescent="0.35">
      <c r="V1026" s="1013"/>
      <c r="W1026" s="138"/>
      <c r="AQ1026" s="138"/>
    </row>
    <row r="1027" spans="22:43" x14ac:dyDescent="0.35">
      <c r="V1027" s="1013"/>
      <c r="W1027" s="138"/>
      <c r="AQ1027" s="138"/>
    </row>
    <row r="1028" spans="22:43" x14ac:dyDescent="0.35">
      <c r="V1028" s="1013"/>
      <c r="W1028" s="138"/>
      <c r="AQ1028" s="138"/>
    </row>
    <row r="1029" spans="22:43" x14ac:dyDescent="0.35">
      <c r="V1029" s="1013"/>
      <c r="W1029" s="138"/>
      <c r="AQ1029" s="138"/>
    </row>
    <row r="1030" spans="22:43" x14ac:dyDescent="0.35">
      <c r="V1030" s="1013"/>
      <c r="W1030" s="138"/>
      <c r="AQ1030" s="138"/>
    </row>
    <row r="1031" spans="22:43" x14ac:dyDescent="0.35">
      <c r="V1031" s="1013"/>
      <c r="W1031" s="138"/>
      <c r="AQ1031" s="138"/>
    </row>
    <row r="1032" spans="22:43" x14ac:dyDescent="0.35">
      <c r="V1032" s="1013"/>
      <c r="W1032" s="138"/>
      <c r="AQ1032" s="138"/>
    </row>
    <row r="1033" spans="22:43" x14ac:dyDescent="0.35">
      <c r="V1033" s="1013"/>
      <c r="W1033" s="138"/>
      <c r="AQ1033" s="138"/>
    </row>
    <row r="1034" spans="22:43" x14ac:dyDescent="0.35">
      <c r="V1034" s="1013"/>
      <c r="W1034" s="138"/>
      <c r="AQ1034" s="138"/>
    </row>
    <row r="1035" spans="22:43" x14ac:dyDescent="0.35">
      <c r="V1035" s="1013"/>
      <c r="W1035" s="138"/>
      <c r="AQ1035" s="138"/>
    </row>
    <row r="1036" spans="22:43" x14ac:dyDescent="0.35">
      <c r="V1036" s="1013"/>
      <c r="W1036" s="138"/>
      <c r="AQ1036" s="138"/>
    </row>
    <row r="1037" spans="22:43" x14ac:dyDescent="0.35">
      <c r="V1037" s="1013"/>
      <c r="W1037" s="138"/>
      <c r="AQ1037" s="138"/>
    </row>
    <row r="1038" spans="22:43" x14ac:dyDescent="0.35">
      <c r="V1038" s="1013"/>
      <c r="W1038" s="138"/>
      <c r="AQ1038" s="138"/>
    </row>
    <row r="1039" spans="22:43" x14ac:dyDescent="0.35">
      <c r="V1039" s="1013"/>
      <c r="W1039" s="138"/>
      <c r="AQ1039" s="138"/>
    </row>
    <row r="1040" spans="22:43" x14ac:dyDescent="0.35">
      <c r="V1040" s="1013"/>
      <c r="W1040" s="138"/>
      <c r="AQ1040" s="138"/>
    </row>
    <row r="1041" spans="22:43" x14ac:dyDescent="0.35">
      <c r="V1041" s="1013"/>
      <c r="W1041" s="138"/>
      <c r="AQ1041" s="138"/>
    </row>
    <row r="1042" spans="22:43" x14ac:dyDescent="0.35">
      <c r="V1042" s="1013"/>
      <c r="W1042" s="138"/>
      <c r="AQ1042" s="138"/>
    </row>
    <row r="1043" spans="22:43" x14ac:dyDescent="0.35">
      <c r="V1043" s="1013"/>
      <c r="W1043" s="138"/>
      <c r="AQ1043" s="138"/>
    </row>
    <row r="1044" spans="22:43" x14ac:dyDescent="0.35">
      <c r="V1044" s="1013"/>
      <c r="W1044" s="138"/>
      <c r="AQ1044" s="138"/>
    </row>
    <row r="1045" spans="22:43" x14ac:dyDescent="0.35">
      <c r="V1045" s="1013"/>
      <c r="W1045" s="138"/>
      <c r="AQ1045" s="138"/>
    </row>
    <row r="1046" spans="22:43" x14ac:dyDescent="0.35">
      <c r="V1046" s="1013"/>
      <c r="W1046" s="138"/>
      <c r="AQ1046" s="138"/>
    </row>
    <row r="1047" spans="22:43" x14ac:dyDescent="0.35">
      <c r="V1047" s="1013"/>
      <c r="W1047" s="138"/>
      <c r="AQ1047" s="138"/>
    </row>
    <row r="1048" spans="22:43" x14ac:dyDescent="0.35">
      <c r="V1048" s="1013"/>
      <c r="W1048" s="138"/>
      <c r="AQ1048" s="138"/>
    </row>
    <row r="1049" spans="22:43" x14ac:dyDescent="0.35">
      <c r="V1049" s="1013"/>
      <c r="W1049" s="138"/>
      <c r="AQ1049" s="138"/>
    </row>
    <row r="1050" spans="22:43" x14ac:dyDescent="0.35">
      <c r="V1050" s="1013"/>
      <c r="W1050" s="138"/>
      <c r="AQ1050" s="138"/>
    </row>
    <row r="1051" spans="22:43" x14ac:dyDescent="0.35">
      <c r="V1051" s="1013"/>
      <c r="W1051" s="138"/>
      <c r="AQ1051" s="138"/>
    </row>
    <row r="1052" spans="22:43" x14ac:dyDescent="0.35">
      <c r="V1052" s="1013"/>
      <c r="W1052" s="138"/>
      <c r="AQ1052" s="138"/>
    </row>
    <row r="1053" spans="22:43" x14ac:dyDescent="0.35">
      <c r="V1053" s="1013"/>
      <c r="W1053" s="138"/>
      <c r="AQ1053" s="138"/>
    </row>
    <row r="1054" spans="22:43" x14ac:dyDescent="0.35">
      <c r="V1054" s="1013"/>
      <c r="W1054" s="138"/>
      <c r="AQ1054" s="138"/>
    </row>
    <row r="1055" spans="22:43" x14ac:dyDescent="0.35">
      <c r="V1055" s="1013"/>
      <c r="W1055" s="138"/>
      <c r="AQ1055" s="138"/>
    </row>
    <row r="1056" spans="22:43" x14ac:dyDescent="0.35">
      <c r="V1056" s="1013"/>
      <c r="W1056" s="138"/>
      <c r="AQ1056" s="138"/>
    </row>
    <row r="1057" spans="22:43" x14ac:dyDescent="0.35">
      <c r="V1057" s="1013"/>
      <c r="W1057" s="138"/>
      <c r="AQ1057" s="138"/>
    </row>
    <row r="1058" spans="22:43" x14ac:dyDescent="0.35">
      <c r="V1058" s="1013"/>
      <c r="W1058" s="138"/>
      <c r="AQ1058" s="138"/>
    </row>
    <row r="1059" spans="22:43" x14ac:dyDescent="0.35">
      <c r="V1059" s="1013"/>
      <c r="W1059" s="138"/>
      <c r="AQ1059" s="138"/>
    </row>
    <row r="1060" spans="22:43" x14ac:dyDescent="0.35">
      <c r="V1060" s="1013"/>
      <c r="W1060" s="138"/>
      <c r="AQ1060" s="138"/>
    </row>
    <row r="1061" spans="22:43" x14ac:dyDescent="0.35">
      <c r="V1061" s="1013"/>
      <c r="W1061" s="138"/>
      <c r="AQ1061" s="138"/>
    </row>
    <row r="1062" spans="22:43" x14ac:dyDescent="0.35">
      <c r="V1062" s="1013"/>
      <c r="W1062" s="138"/>
      <c r="AQ1062" s="138"/>
    </row>
    <row r="1063" spans="22:43" x14ac:dyDescent="0.35">
      <c r="V1063" s="1013"/>
      <c r="W1063" s="138"/>
      <c r="AQ1063" s="138"/>
    </row>
    <row r="1064" spans="22:43" x14ac:dyDescent="0.35">
      <c r="V1064" s="1013"/>
      <c r="W1064" s="138"/>
      <c r="AQ1064" s="138"/>
    </row>
    <row r="1065" spans="22:43" x14ac:dyDescent="0.35">
      <c r="V1065" s="1013"/>
      <c r="W1065" s="138"/>
      <c r="AQ1065" s="138"/>
    </row>
    <row r="1066" spans="22:43" x14ac:dyDescent="0.35">
      <c r="V1066" s="1013"/>
      <c r="W1066" s="138"/>
      <c r="AQ1066" s="138"/>
    </row>
    <row r="1067" spans="22:43" x14ac:dyDescent="0.35">
      <c r="V1067" s="1013"/>
      <c r="W1067" s="138"/>
      <c r="AQ1067" s="138"/>
    </row>
    <row r="1068" spans="22:43" x14ac:dyDescent="0.35">
      <c r="V1068" s="1013"/>
      <c r="W1068" s="138"/>
      <c r="AQ1068" s="138"/>
    </row>
    <row r="1069" spans="22:43" x14ac:dyDescent="0.35">
      <c r="V1069" s="1013"/>
      <c r="W1069" s="138"/>
      <c r="AQ1069" s="138"/>
    </row>
    <row r="1070" spans="22:43" x14ac:dyDescent="0.35">
      <c r="V1070" s="1013"/>
      <c r="W1070" s="138"/>
      <c r="AQ1070" s="138"/>
    </row>
    <row r="1071" spans="22:43" x14ac:dyDescent="0.35">
      <c r="V1071" s="1013"/>
      <c r="W1071" s="138"/>
      <c r="AQ1071" s="138"/>
    </row>
    <row r="1072" spans="22:43" x14ac:dyDescent="0.35">
      <c r="V1072" s="1013"/>
      <c r="W1072" s="138"/>
      <c r="AQ1072" s="138"/>
    </row>
    <row r="1073" spans="22:43" x14ac:dyDescent="0.35">
      <c r="V1073" s="1013"/>
      <c r="W1073" s="138"/>
      <c r="AQ1073" s="138"/>
    </row>
    <row r="1074" spans="22:43" x14ac:dyDescent="0.35">
      <c r="V1074" s="1013"/>
      <c r="W1074" s="138"/>
      <c r="AQ1074" s="138"/>
    </row>
    <row r="1075" spans="22:43" x14ac:dyDescent="0.35">
      <c r="V1075" s="1013"/>
      <c r="W1075" s="138"/>
      <c r="AQ1075" s="138"/>
    </row>
    <row r="1076" spans="22:43" x14ac:dyDescent="0.35">
      <c r="V1076" s="1013"/>
      <c r="W1076" s="138"/>
      <c r="AQ1076" s="138"/>
    </row>
    <row r="1077" spans="22:43" x14ac:dyDescent="0.35">
      <c r="V1077" s="1013"/>
      <c r="W1077" s="138"/>
      <c r="AQ1077" s="138"/>
    </row>
    <row r="1078" spans="22:43" x14ac:dyDescent="0.35">
      <c r="V1078" s="1013"/>
      <c r="W1078" s="138"/>
      <c r="AQ1078" s="138"/>
    </row>
    <row r="1079" spans="22:43" x14ac:dyDescent="0.35">
      <c r="V1079" s="1013"/>
      <c r="W1079" s="138"/>
      <c r="AQ1079" s="138"/>
    </row>
    <row r="1080" spans="22:43" x14ac:dyDescent="0.35">
      <c r="V1080" s="1013"/>
      <c r="W1080" s="138"/>
      <c r="AQ1080" s="138"/>
    </row>
    <row r="1081" spans="22:43" x14ac:dyDescent="0.35">
      <c r="V1081" s="1013"/>
      <c r="W1081" s="138"/>
      <c r="AQ1081" s="138"/>
    </row>
    <row r="1082" spans="22:43" x14ac:dyDescent="0.35">
      <c r="V1082" s="1013"/>
      <c r="W1082" s="138"/>
      <c r="AQ1082" s="138"/>
    </row>
    <row r="1083" spans="22:43" x14ac:dyDescent="0.35">
      <c r="V1083" s="1013"/>
      <c r="W1083" s="138"/>
      <c r="AQ1083" s="138"/>
    </row>
    <row r="1084" spans="22:43" x14ac:dyDescent="0.35">
      <c r="V1084" s="1013"/>
      <c r="W1084" s="138"/>
      <c r="AQ1084" s="138"/>
    </row>
    <row r="1085" spans="22:43" x14ac:dyDescent="0.35">
      <c r="V1085" s="1013"/>
      <c r="W1085" s="138"/>
      <c r="AQ1085" s="138"/>
    </row>
    <row r="1086" spans="22:43" x14ac:dyDescent="0.35">
      <c r="V1086" s="1013"/>
      <c r="W1086" s="138"/>
      <c r="AQ1086" s="138"/>
    </row>
    <row r="1087" spans="22:43" x14ac:dyDescent="0.35">
      <c r="V1087" s="1013"/>
      <c r="W1087" s="138"/>
      <c r="AQ1087" s="138"/>
    </row>
    <row r="1088" spans="22:43" x14ac:dyDescent="0.35">
      <c r="V1088" s="1013"/>
      <c r="W1088" s="138"/>
      <c r="AQ1088" s="138"/>
    </row>
    <row r="1089" spans="22:43" x14ac:dyDescent="0.35">
      <c r="V1089" s="1013"/>
      <c r="W1089" s="138"/>
      <c r="AQ1089" s="138"/>
    </row>
    <row r="1090" spans="22:43" x14ac:dyDescent="0.35">
      <c r="V1090" s="1013"/>
      <c r="W1090" s="138"/>
      <c r="AQ1090" s="138"/>
    </row>
    <row r="1091" spans="22:43" x14ac:dyDescent="0.35">
      <c r="V1091" s="1013"/>
      <c r="W1091" s="138"/>
      <c r="AQ1091" s="138"/>
    </row>
    <row r="1092" spans="22:43" x14ac:dyDescent="0.35">
      <c r="V1092" s="1013"/>
      <c r="W1092" s="138"/>
      <c r="AQ1092" s="138"/>
    </row>
    <row r="1093" spans="22:43" x14ac:dyDescent="0.35">
      <c r="V1093" s="1013"/>
      <c r="W1093" s="138"/>
      <c r="AQ1093" s="138"/>
    </row>
    <row r="1094" spans="22:43" x14ac:dyDescent="0.35">
      <c r="V1094" s="1013"/>
      <c r="W1094" s="138"/>
      <c r="AQ1094" s="138"/>
    </row>
    <row r="1095" spans="22:43" x14ac:dyDescent="0.35">
      <c r="V1095" s="1013"/>
      <c r="W1095" s="138"/>
      <c r="AQ1095" s="138"/>
    </row>
    <row r="1096" spans="22:43" x14ac:dyDescent="0.35">
      <c r="V1096" s="1013"/>
      <c r="W1096" s="138"/>
      <c r="AQ1096" s="138"/>
    </row>
    <row r="1097" spans="22:43" x14ac:dyDescent="0.35">
      <c r="V1097" s="1013"/>
      <c r="W1097" s="138"/>
      <c r="AQ1097" s="138"/>
    </row>
    <row r="1098" spans="22:43" x14ac:dyDescent="0.35">
      <c r="V1098" s="1013"/>
      <c r="W1098" s="138"/>
      <c r="AQ1098" s="138"/>
    </row>
    <row r="1099" spans="22:43" x14ac:dyDescent="0.35">
      <c r="V1099" s="1013"/>
      <c r="W1099" s="138"/>
      <c r="AQ1099" s="138"/>
    </row>
    <row r="1100" spans="22:43" x14ac:dyDescent="0.35">
      <c r="V1100" s="1013"/>
      <c r="W1100" s="138"/>
      <c r="AQ1100" s="138"/>
    </row>
    <row r="1101" spans="22:43" x14ac:dyDescent="0.35">
      <c r="V1101" s="1013"/>
      <c r="W1101" s="138"/>
      <c r="AQ1101" s="138"/>
    </row>
    <row r="1102" spans="22:43" x14ac:dyDescent="0.35">
      <c r="V1102" s="1013"/>
      <c r="W1102" s="138"/>
      <c r="AQ1102" s="138"/>
    </row>
    <row r="1103" spans="22:43" x14ac:dyDescent="0.35">
      <c r="V1103" s="1013"/>
      <c r="W1103" s="138"/>
      <c r="AQ1103" s="138"/>
    </row>
    <row r="1104" spans="22:43" x14ac:dyDescent="0.35">
      <c r="V1104" s="1013"/>
      <c r="W1104" s="138"/>
      <c r="AQ1104" s="138"/>
    </row>
    <row r="1105" spans="22:43" x14ac:dyDescent="0.35">
      <c r="V1105" s="1013"/>
      <c r="W1105" s="138"/>
      <c r="AQ1105" s="138"/>
    </row>
    <row r="1106" spans="22:43" x14ac:dyDescent="0.35">
      <c r="V1106" s="1013"/>
      <c r="W1106" s="138"/>
      <c r="AQ1106" s="138"/>
    </row>
    <row r="1107" spans="22:43" x14ac:dyDescent="0.35">
      <c r="V1107" s="1013"/>
      <c r="W1107" s="138"/>
      <c r="AQ1107" s="138"/>
    </row>
    <row r="1108" spans="22:43" x14ac:dyDescent="0.35">
      <c r="V1108" s="1013"/>
      <c r="W1108" s="138"/>
      <c r="AQ1108" s="138"/>
    </row>
    <row r="1109" spans="22:43" x14ac:dyDescent="0.35">
      <c r="V1109" s="1013"/>
      <c r="W1109" s="138"/>
      <c r="AQ1109" s="138"/>
    </row>
    <row r="1110" spans="22:43" x14ac:dyDescent="0.35">
      <c r="V1110" s="1013"/>
      <c r="W1110" s="138"/>
      <c r="AQ1110" s="138"/>
    </row>
    <row r="1111" spans="22:43" x14ac:dyDescent="0.35">
      <c r="V1111" s="1013"/>
      <c r="W1111" s="138"/>
      <c r="AQ1111" s="138"/>
    </row>
    <row r="1112" spans="22:43" x14ac:dyDescent="0.35">
      <c r="V1112" s="1013"/>
      <c r="W1112" s="138"/>
      <c r="AQ1112" s="138"/>
    </row>
    <row r="1113" spans="22:43" x14ac:dyDescent="0.35">
      <c r="V1113" s="1013"/>
      <c r="W1113" s="138"/>
      <c r="AQ1113" s="138"/>
    </row>
    <row r="1114" spans="22:43" x14ac:dyDescent="0.35">
      <c r="V1114" s="1013"/>
      <c r="W1114" s="138"/>
      <c r="AQ1114" s="138"/>
    </row>
    <row r="1115" spans="22:43" x14ac:dyDescent="0.35">
      <c r="V1115" s="1013"/>
      <c r="W1115" s="138"/>
      <c r="AQ1115" s="138"/>
    </row>
    <row r="1116" spans="22:43" x14ac:dyDescent="0.35">
      <c r="V1116" s="1013"/>
      <c r="W1116" s="138"/>
      <c r="AQ1116" s="138"/>
    </row>
    <row r="1117" spans="22:43" x14ac:dyDescent="0.35">
      <c r="V1117" s="1013"/>
      <c r="W1117" s="138"/>
      <c r="AQ1117" s="138"/>
    </row>
    <row r="1118" spans="22:43" x14ac:dyDescent="0.35">
      <c r="V1118" s="1013"/>
      <c r="W1118" s="138"/>
      <c r="AQ1118" s="138"/>
    </row>
    <row r="1119" spans="22:43" x14ac:dyDescent="0.35">
      <c r="V1119" s="1013"/>
      <c r="W1119" s="138"/>
      <c r="AQ1119" s="138"/>
    </row>
    <row r="1120" spans="22:43" x14ac:dyDescent="0.35">
      <c r="V1120" s="1013"/>
      <c r="W1120" s="138"/>
      <c r="AQ1120" s="138"/>
    </row>
    <row r="1121" spans="22:43" x14ac:dyDescent="0.35">
      <c r="V1121" s="1013"/>
      <c r="W1121" s="138"/>
      <c r="AQ1121" s="138"/>
    </row>
    <row r="1122" spans="22:43" x14ac:dyDescent="0.35">
      <c r="V1122" s="1013"/>
      <c r="W1122" s="138"/>
      <c r="AQ1122" s="138"/>
    </row>
    <row r="1123" spans="22:43" x14ac:dyDescent="0.35">
      <c r="V1123" s="1013"/>
      <c r="W1123" s="138"/>
      <c r="AQ1123" s="138"/>
    </row>
    <row r="1124" spans="22:43" x14ac:dyDescent="0.35">
      <c r="V1124" s="1013"/>
      <c r="W1124" s="138"/>
      <c r="AQ1124" s="138"/>
    </row>
    <row r="1125" spans="22:43" x14ac:dyDescent="0.35">
      <c r="V1125" s="1013"/>
      <c r="W1125" s="138"/>
      <c r="AQ1125" s="138"/>
    </row>
    <row r="1126" spans="22:43" x14ac:dyDescent="0.35">
      <c r="V1126" s="1013"/>
      <c r="W1126" s="138"/>
      <c r="AQ1126" s="138"/>
    </row>
    <row r="1127" spans="22:43" x14ac:dyDescent="0.35">
      <c r="V1127" s="1013"/>
      <c r="W1127" s="138"/>
      <c r="AQ1127" s="138"/>
    </row>
    <row r="1128" spans="22:43" x14ac:dyDescent="0.35">
      <c r="V1128" s="1013"/>
      <c r="W1128" s="138"/>
      <c r="AQ1128" s="138"/>
    </row>
    <row r="1129" spans="22:43" x14ac:dyDescent="0.35">
      <c r="V1129" s="1013"/>
      <c r="W1129" s="138"/>
      <c r="AQ1129" s="138"/>
    </row>
    <row r="1130" spans="22:43" x14ac:dyDescent="0.35">
      <c r="V1130" s="1013"/>
      <c r="W1130" s="138"/>
      <c r="AQ1130" s="138"/>
    </row>
    <row r="1131" spans="22:43" x14ac:dyDescent="0.35">
      <c r="V1131" s="1013"/>
      <c r="W1131" s="138"/>
      <c r="AQ1131" s="138"/>
    </row>
    <row r="1132" spans="22:43" x14ac:dyDescent="0.35">
      <c r="V1132" s="1013"/>
      <c r="W1132" s="138"/>
      <c r="AQ1132" s="138"/>
    </row>
    <row r="1133" spans="22:43" x14ac:dyDescent="0.35">
      <c r="V1133" s="1013"/>
      <c r="W1133" s="138"/>
      <c r="AQ1133" s="138"/>
    </row>
    <row r="1134" spans="22:43" x14ac:dyDescent="0.35">
      <c r="V1134" s="1013"/>
      <c r="W1134" s="138"/>
      <c r="AQ1134" s="138"/>
    </row>
    <row r="1135" spans="22:43" x14ac:dyDescent="0.35">
      <c r="V1135" s="1013"/>
      <c r="W1135" s="138"/>
      <c r="AQ1135" s="138"/>
    </row>
    <row r="1136" spans="22:43" x14ac:dyDescent="0.35">
      <c r="V1136" s="1013"/>
      <c r="W1136" s="138"/>
      <c r="AQ1136" s="138"/>
    </row>
    <row r="1137" spans="22:43" x14ac:dyDescent="0.35">
      <c r="V1137" s="1013"/>
      <c r="W1137" s="138"/>
      <c r="AQ1137" s="138"/>
    </row>
    <row r="1138" spans="22:43" x14ac:dyDescent="0.35">
      <c r="V1138" s="1013"/>
      <c r="W1138" s="138"/>
      <c r="AQ1138" s="138"/>
    </row>
    <row r="1139" spans="22:43" x14ac:dyDescent="0.35">
      <c r="V1139" s="1013"/>
      <c r="W1139" s="138"/>
      <c r="AQ1139" s="138"/>
    </row>
    <row r="1140" spans="22:43" x14ac:dyDescent="0.35">
      <c r="V1140" s="1013"/>
      <c r="W1140" s="138"/>
      <c r="AQ1140" s="138"/>
    </row>
    <row r="1141" spans="22:43" x14ac:dyDescent="0.35">
      <c r="V1141" s="1013"/>
      <c r="W1141" s="138"/>
      <c r="AQ1141" s="138"/>
    </row>
    <row r="1142" spans="22:43" x14ac:dyDescent="0.35">
      <c r="V1142" s="1013"/>
      <c r="W1142" s="138"/>
      <c r="AQ1142" s="138"/>
    </row>
    <row r="1143" spans="22:43" x14ac:dyDescent="0.35">
      <c r="V1143" s="1013"/>
      <c r="W1143" s="138"/>
      <c r="AQ1143" s="138"/>
    </row>
    <row r="1144" spans="22:43" x14ac:dyDescent="0.35">
      <c r="V1144" s="1013"/>
      <c r="W1144" s="138"/>
      <c r="AQ1144" s="138"/>
    </row>
    <row r="1145" spans="22:43" x14ac:dyDescent="0.35">
      <c r="V1145" s="1013"/>
      <c r="W1145" s="138"/>
      <c r="AQ1145" s="138"/>
    </row>
    <row r="1146" spans="22:43" x14ac:dyDescent="0.35">
      <c r="V1146" s="1013"/>
      <c r="W1146" s="138"/>
      <c r="AQ1146" s="138"/>
    </row>
    <row r="1147" spans="22:43" x14ac:dyDescent="0.35">
      <c r="V1147" s="1013"/>
      <c r="W1147" s="138"/>
      <c r="AQ1147" s="138"/>
    </row>
    <row r="1148" spans="22:43" x14ac:dyDescent="0.35">
      <c r="V1148" s="1013"/>
      <c r="W1148" s="138"/>
      <c r="AQ1148" s="138"/>
    </row>
    <row r="1149" spans="22:43" x14ac:dyDescent="0.35">
      <c r="V1149" s="1013"/>
      <c r="W1149" s="138"/>
      <c r="AQ1149" s="138"/>
    </row>
    <row r="1150" spans="22:43" x14ac:dyDescent="0.35">
      <c r="V1150" s="1013"/>
      <c r="W1150" s="138"/>
      <c r="AQ1150" s="138"/>
    </row>
    <row r="1151" spans="22:43" x14ac:dyDescent="0.35">
      <c r="V1151" s="1013"/>
      <c r="W1151" s="138"/>
      <c r="AQ1151" s="138"/>
    </row>
    <row r="1152" spans="22:43" x14ac:dyDescent="0.35">
      <c r="V1152" s="1013"/>
      <c r="W1152" s="138"/>
      <c r="AQ1152" s="138"/>
    </row>
    <row r="1153" spans="22:43" x14ac:dyDescent="0.35">
      <c r="V1153" s="1013"/>
      <c r="W1153" s="138"/>
      <c r="AQ1153" s="138"/>
    </row>
    <row r="1154" spans="22:43" x14ac:dyDescent="0.35">
      <c r="V1154" s="1013"/>
      <c r="W1154" s="138"/>
      <c r="AQ1154" s="138"/>
    </row>
    <row r="1155" spans="22:43" x14ac:dyDescent="0.35">
      <c r="V1155" s="1013"/>
      <c r="W1155" s="138"/>
      <c r="AQ1155" s="138"/>
    </row>
    <row r="1156" spans="22:43" x14ac:dyDescent="0.35">
      <c r="V1156" s="1013"/>
      <c r="W1156" s="138"/>
      <c r="AQ1156" s="138"/>
    </row>
    <row r="1157" spans="22:43" x14ac:dyDescent="0.35">
      <c r="V1157" s="1013"/>
      <c r="W1157" s="138"/>
      <c r="AQ1157" s="138"/>
    </row>
    <row r="1158" spans="22:43" x14ac:dyDescent="0.35">
      <c r="V1158" s="1013"/>
      <c r="W1158" s="138"/>
      <c r="AQ1158" s="138"/>
    </row>
    <row r="1159" spans="22:43" x14ac:dyDescent="0.35">
      <c r="V1159" s="1013"/>
      <c r="W1159" s="138"/>
      <c r="AQ1159" s="138"/>
    </row>
    <row r="1160" spans="22:43" x14ac:dyDescent="0.35">
      <c r="V1160" s="1013"/>
      <c r="W1160" s="138"/>
      <c r="AQ1160" s="138"/>
    </row>
    <row r="1161" spans="22:43" x14ac:dyDescent="0.35">
      <c r="V1161" s="1013"/>
      <c r="W1161" s="138"/>
      <c r="AQ1161" s="138"/>
    </row>
    <row r="1162" spans="22:43" x14ac:dyDescent="0.35">
      <c r="V1162" s="1013"/>
      <c r="W1162" s="138"/>
      <c r="AQ1162" s="138"/>
    </row>
    <row r="1163" spans="22:43" x14ac:dyDescent="0.35">
      <c r="V1163" s="1013"/>
      <c r="W1163" s="138"/>
      <c r="AQ1163" s="138"/>
    </row>
    <row r="1164" spans="22:43" x14ac:dyDescent="0.35">
      <c r="V1164" s="1013"/>
      <c r="W1164" s="138"/>
      <c r="AQ1164" s="138"/>
    </row>
    <row r="1165" spans="22:43" x14ac:dyDescent="0.35">
      <c r="V1165" s="1013"/>
      <c r="W1165" s="138"/>
      <c r="AQ1165" s="138"/>
    </row>
    <row r="1166" spans="22:43" x14ac:dyDescent="0.35">
      <c r="V1166" s="1013"/>
      <c r="W1166" s="138"/>
      <c r="AQ1166" s="138"/>
    </row>
    <row r="1167" spans="22:43" x14ac:dyDescent="0.35">
      <c r="V1167" s="1013"/>
      <c r="W1167" s="138"/>
      <c r="AQ1167" s="138"/>
    </row>
    <row r="1168" spans="22:43" x14ac:dyDescent="0.35">
      <c r="V1168" s="1013"/>
      <c r="W1168" s="138"/>
      <c r="AQ1168" s="138"/>
    </row>
    <row r="1169" spans="22:43" x14ac:dyDescent="0.35">
      <c r="V1169" s="1013"/>
      <c r="W1169" s="138"/>
      <c r="AQ1169" s="138"/>
    </row>
    <row r="1170" spans="22:43" x14ac:dyDescent="0.35">
      <c r="V1170" s="1013"/>
      <c r="W1170" s="138"/>
      <c r="AQ1170" s="138"/>
    </row>
    <row r="1171" spans="22:43" x14ac:dyDescent="0.35">
      <c r="V1171" s="1013"/>
      <c r="W1171" s="138"/>
      <c r="AQ1171" s="138"/>
    </row>
    <row r="1172" spans="22:43" x14ac:dyDescent="0.35">
      <c r="V1172" s="1013"/>
      <c r="W1172" s="138"/>
      <c r="AQ1172" s="138"/>
    </row>
    <row r="1173" spans="22:43" x14ac:dyDescent="0.35">
      <c r="V1173" s="1013"/>
      <c r="W1173" s="138"/>
      <c r="AQ1173" s="138"/>
    </row>
    <row r="1174" spans="22:43" x14ac:dyDescent="0.35">
      <c r="V1174" s="1013"/>
      <c r="W1174" s="138"/>
      <c r="AQ1174" s="138"/>
    </row>
    <row r="1175" spans="22:43" x14ac:dyDescent="0.35">
      <c r="V1175" s="1013"/>
      <c r="W1175" s="138"/>
      <c r="AQ1175" s="138"/>
    </row>
    <row r="1176" spans="22:43" x14ac:dyDescent="0.35">
      <c r="V1176" s="1013"/>
      <c r="W1176" s="138"/>
      <c r="AQ1176" s="138"/>
    </row>
    <row r="1177" spans="22:43" x14ac:dyDescent="0.35">
      <c r="V1177" s="1013"/>
      <c r="W1177" s="138"/>
      <c r="AQ1177" s="138"/>
    </row>
    <row r="1178" spans="22:43" x14ac:dyDescent="0.35">
      <c r="V1178" s="1013"/>
      <c r="W1178" s="138"/>
      <c r="AQ1178" s="138"/>
    </row>
    <row r="1179" spans="22:43" x14ac:dyDescent="0.35">
      <c r="V1179" s="1013"/>
      <c r="W1179" s="138"/>
      <c r="AQ1179" s="138"/>
    </row>
    <row r="1180" spans="22:43" x14ac:dyDescent="0.35">
      <c r="V1180" s="1013"/>
      <c r="W1180" s="138"/>
      <c r="AQ1180" s="138"/>
    </row>
    <row r="1181" spans="22:43" x14ac:dyDescent="0.35">
      <c r="V1181" s="1013"/>
      <c r="W1181" s="138"/>
      <c r="AQ1181" s="138"/>
    </row>
    <row r="1182" spans="22:43" x14ac:dyDescent="0.35">
      <c r="V1182" s="1013"/>
      <c r="W1182" s="138"/>
      <c r="AQ1182" s="138"/>
    </row>
    <row r="1183" spans="22:43" x14ac:dyDescent="0.35">
      <c r="V1183" s="1013"/>
      <c r="W1183" s="138"/>
      <c r="AQ1183" s="138"/>
    </row>
    <row r="1184" spans="22:43" x14ac:dyDescent="0.35">
      <c r="V1184" s="1013"/>
      <c r="W1184" s="138"/>
      <c r="AQ1184" s="138"/>
    </row>
    <row r="1185" spans="22:43" x14ac:dyDescent="0.35">
      <c r="V1185" s="1013"/>
      <c r="W1185" s="138"/>
      <c r="AQ1185" s="138"/>
    </row>
    <row r="1186" spans="22:43" x14ac:dyDescent="0.35">
      <c r="V1186" s="1013"/>
      <c r="W1186" s="138"/>
      <c r="AQ1186" s="138"/>
    </row>
    <row r="1187" spans="22:43" x14ac:dyDescent="0.35">
      <c r="V1187" s="1013"/>
      <c r="W1187" s="138"/>
      <c r="AQ1187" s="138"/>
    </row>
    <row r="1188" spans="22:43" x14ac:dyDescent="0.35">
      <c r="V1188" s="1013"/>
      <c r="W1188" s="138"/>
      <c r="AQ1188" s="138"/>
    </row>
    <row r="1189" spans="22:43" x14ac:dyDescent="0.35">
      <c r="V1189" s="1013"/>
      <c r="W1189" s="138"/>
      <c r="AQ1189" s="138"/>
    </row>
    <row r="1190" spans="22:43" x14ac:dyDescent="0.35">
      <c r="V1190" s="1013"/>
      <c r="W1190" s="138"/>
      <c r="AQ1190" s="138"/>
    </row>
    <row r="1191" spans="22:43" x14ac:dyDescent="0.35">
      <c r="V1191" s="1013"/>
      <c r="W1191" s="138"/>
      <c r="AQ1191" s="138"/>
    </row>
    <row r="1192" spans="22:43" x14ac:dyDescent="0.35">
      <c r="V1192" s="1013"/>
      <c r="W1192" s="138"/>
      <c r="AQ1192" s="138"/>
    </row>
    <row r="1193" spans="22:43" x14ac:dyDescent="0.35">
      <c r="V1193" s="1013"/>
      <c r="W1193" s="138"/>
      <c r="AQ1193" s="138"/>
    </row>
    <row r="1194" spans="22:43" x14ac:dyDescent="0.35">
      <c r="V1194" s="1013"/>
      <c r="W1194" s="138"/>
      <c r="AQ1194" s="138"/>
    </row>
    <row r="1195" spans="22:43" x14ac:dyDescent="0.35">
      <c r="V1195" s="1013"/>
      <c r="W1195" s="138"/>
      <c r="AQ1195" s="138"/>
    </row>
    <row r="1196" spans="22:43" x14ac:dyDescent="0.35">
      <c r="V1196" s="1013"/>
      <c r="W1196" s="138"/>
      <c r="AQ1196" s="138"/>
    </row>
    <row r="1197" spans="22:43" x14ac:dyDescent="0.35">
      <c r="V1197" s="1013"/>
      <c r="W1197" s="138"/>
      <c r="AQ1197" s="138"/>
    </row>
    <row r="1198" spans="22:43" x14ac:dyDescent="0.35">
      <c r="V1198" s="1013"/>
      <c r="W1198" s="138"/>
      <c r="AQ1198" s="138"/>
    </row>
    <row r="1199" spans="22:43" x14ac:dyDescent="0.35">
      <c r="V1199" s="1013"/>
      <c r="W1199" s="138"/>
      <c r="AQ1199" s="138"/>
    </row>
    <row r="1200" spans="22:43" x14ac:dyDescent="0.35">
      <c r="V1200" s="1013"/>
      <c r="W1200" s="138"/>
      <c r="AQ1200" s="138"/>
    </row>
    <row r="1201" spans="22:43" x14ac:dyDescent="0.35">
      <c r="V1201" s="1013"/>
      <c r="W1201" s="138"/>
      <c r="AQ1201" s="138"/>
    </row>
    <row r="1202" spans="22:43" x14ac:dyDescent="0.35">
      <c r="V1202" s="1013"/>
      <c r="W1202" s="138"/>
      <c r="AQ1202" s="138"/>
    </row>
    <row r="1203" spans="22:43" x14ac:dyDescent="0.35">
      <c r="V1203" s="1013"/>
      <c r="W1203" s="138"/>
      <c r="AQ1203" s="138"/>
    </row>
    <row r="1204" spans="22:43" x14ac:dyDescent="0.35">
      <c r="V1204" s="1013"/>
      <c r="W1204" s="138"/>
      <c r="AQ1204" s="138"/>
    </row>
    <row r="1205" spans="22:43" x14ac:dyDescent="0.35">
      <c r="V1205" s="1013"/>
      <c r="W1205" s="138"/>
      <c r="AQ1205" s="138"/>
    </row>
    <row r="1206" spans="22:43" x14ac:dyDescent="0.35">
      <c r="V1206" s="1013"/>
      <c r="W1206" s="138"/>
      <c r="AQ1206" s="138"/>
    </row>
    <row r="1207" spans="22:43" x14ac:dyDescent="0.35">
      <c r="V1207" s="1013"/>
      <c r="W1207" s="138"/>
      <c r="AQ1207" s="138"/>
    </row>
    <row r="1208" spans="22:43" x14ac:dyDescent="0.35">
      <c r="V1208" s="1013"/>
      <c r="W1208" s="138"/>
      <c r="AQ1208" s="138"/>
    </row>
    <row r="1209" spans="22:43" x14ac:dyDescent="0.35">
      <c r="V1209" s="1013"/>
      <c r="W1209" s="138"/>
      <c r="AQ1209" s="138"/>
    </row>
    <row r="1210" spans="22:43" x14ac:dyDescent="0.35">
      <c r="V1210" s="1013"/>
      <c r="W1210" s="138"/>
      <c r="AQ1210" s="138"/>
    </row>
    <row r="1211" spans="22:43" x14ac:dyDescent="0.35">
      <c r="V1211" s="1013"/>
      <c r="W1211" s="138"/>
      <c r="AQ1211" s="138"/>
    </row>
    <row r="1212" spans="22:43" x14ac:dyDescent="0.35">
      <c r="V1212" s="1013"/>
      <c r="W1212" s="138"/>
      <c r="AQ1212" s="138"/>
    </row>
    <row r="1213" spans="22:43" x14ac:dyDescent="0.35">
      <c r="V1213" s="1013"/>
      <c r="W1213" s="138"/>
      <c r="AQ1213" s="138"/>
    </row>
    <row r="1214" spans="22:43" x14ac:dyDescent="0.35">
      <c r="V1214" s="1013"/>
      <c r="W1214" s="138"/>
      <c r="AQ1214" s="138"/>
    </row>
    <row r="1215" spans="22:43" x14ac:dyDescent="0.35">
      <c r="V1215" s="1013"/>
      <c r="W1215" s="138"/>
      <c r="AQ1215" s="138"/>
    </row>
    <row r="1216" spans="22:43" x14ac:dyDescent="0.35">
      <c r="V1216" s="1013"/>
      <c r="W1216" s="138"/>
      <c r="AQ1216" s="138"/>
    </row>
    <row r="1217" spans="22:43" x14ac:dyDescent="0.35">
      <c r="V1217" s="1013"/>
      <c r="W1217" s="138"/>
      <c r="AQ1217" s="138"/>
    </row>
    <row r="1218" spans="22:43" x14ac:dyDescent="0.35">
      <c r="V1218" s="1013"/>
      <c r="W1218" s="138"/>
      <c r="AQ1218" s="138"/>
    </row>
    <row r="1219" spans="22:43" x14ac:dyDescent="0.35">
      <c r="V1219" s="1013"/>
      <c r="W1219" s="138"/>
      <c r="AQ1219" s="138"/>
    </row>
    <row r="1220" spans="22:43" x14ac:dyDescent="0.35">
      <c r="V1220" s="1013"/>
      <c r="W1220" s="138"/>
      <c r="AQ1220" s="138"/>
    </row>
    <row r="1221" spans="22:43" x14ac:dyDescent="0.35">
      <c r="V1221" s="1013"/>
      <c r="W1221" s="138"/>
      <c r="AQ1221" s="138"/>
    </row>
    <row r="1222" spans="22:43" x14ac:dyDescent="0.35">
      <c r="V1222" s="1013"/>
      <c r="W1222" s="138"/>
      <c r="AQ1222" s="138"/>
    </row>
    <row r="1223" spans="22:43" x14ac:dyDescent="0.35">
      <c r="V1223" s="1013"/>
      <c r="W1223" s="138"/>
      <c r="AQ1223" s="138"/>
    </row>
    <row r="1224" spans="22:43" x14ac:dyDescent="0.35">
      <c r="V1224" s="1013"/>
      <c r="W1224" s="138"/>
      <c r="AQ1224" s="138"/>
    </row>
    <row r="1225" spans="22:43" x14ac:dyDescent="0.35">
      <c r="V1225" s="1013"/>
      <c r="W1225" s="138"/>
      <c r="AQ1225" s="138"/>
    </row>
    <row r="1226" spans="22:43" x14ac:dyDescent="0.35">
      <c r="V1226" s="1013"/>
      <c r="W1226" s="138"/>
      <c r="AQ1226" s="138"/>
    </row>
    <row r="1227" spans="22:43" x14ac:dyDescent="0.35">
      <c r="V1227" s="1013"/>
      <c r="W1227" s="138"/>
      <c r="AQ1227" s="138"/>
    </row>
    <row r="1228" spans="22:43" x14ac:dyDescent="0.35">
      <c r="V1228" s="1013"/>
      <c r="W1228" s="138"/>
      <c r="AQ1228" s="138"/>
    </row>
    <row r="1229" spans="22:43" x14ac:dyDescent="0.35">
      <c r="V1229" s="1013"/>
      <c r="W1229" s="138"/>
      <c r="AQ1229" s="138"/>
    </row>
    <row r="1230" spans="22:43" x14ac:dyDescent="0.35">
      <c r="V1230" s="1013"/>
      <c r="W1230" s="138"/>
      <c r="AQ1230" s="138"/>
    </row>
    <row r="1231" spans="22:43" x14ac:dyDescent="0.35">
      <c r="V1231" s="1013"/>
      <c r="W1231" s="138"/>
      <c r="AQ1231" s="138"/>
    </row>
    <row r="1232" spans="22:43" x14ac:dyDescent="0.35">
      <c r="V1232" s="1013"/>
      <c r="W1232" s="138"/>
      <c r="AQ1232" s="138"/>
    </row>
    <row r="1233" spans="22:43" x14ac:dyDescent="0.35">
      <c r="V1233" s="1013"/>
      <c r="W1233" s="138"/>
      <c r="AQ1233" s="138"/>
    </row>
    <row r="1234" spans="22:43" x14ac:dyDescent="0.35">
      <c r="V1234" s="1013"/>
      <c r="W1234" s="138"/>
      <c r="AQ1234" s="138"/>
    </row>
    <row r="1235" spans="22:43" x14ac:dyDescent="0.35">
      <c r="V1235" s="1013"/>
      <c r="W1235" s="138"/>
      <c r="AQ1235" s="138"/>
    </row>
    <row r="1236" spans="22:43" x14ac:dyDescent="0.35">
      <c r="V1236" s="1013"/>
      <c r="W1236" s="138"/>
      <c r="AQ1236" s="138"/>
    </row>
    <row r="1237" spans="22:43" x14ac:dyDescent="0.35">
      <c r="V1237" s="1013"/>
      <c r="W1237" s="138"/>
      <c r="AQ1237" s="138"/>
    </row>
    <row r="1238" spans="22:43" x14ac:dyDescent="0.35">
      <c r="V1238" s="1013"/>
      <c r="W1238" s="138"/>
      <c r="AQ1238" s="138"/>
    </row>
    <row r="1239" spans="22:43" x14ac:dyDescent="0.35">
      <c r="V1239" s="1013"/>
      <c r="W1239" s="138"/>
      <c r="AQ1239" s="138"/>
    </row>
    <row r="1240" spans="22:43" x14ac:dyDescent="0.35">
      <c r="V1240" s="1013"/>
      <c r="W1240" s="138"/>
      <c r="AQ1240" s="138"/>
    </row>
    <row r="1241" spans="22:43" x14ac:dyDescent="0.35">
      <c r="V1241" s="1013"/>
      <c r="W1241" s="138"/>
      <c r="AQ1241" s="138"/>
    </row>
    <row r="1242" spans="22:43" x14ac:dyDescent="0.35">
      <c r="V1242" s="1013"/>
      <c r="W1242" s="138"/>
      <c r="AQ1242" s="138"/>
    </row>
    <row r="1243" spans="22:43" x14ac:dyDescent="0.35">
      <c r="V1243" s="1013"/>
      <c r="W1243" s="138"/>
      <c r="AQ1243" s="138"/>
    </row>
    <row r="1244" spans="22:43" x14ac:dyDescent="0.35">
      <c r="V1244" s="1013"/>
      <c r="W1244" s="138"/>
      <c r="AQ1244" s="138"/>
    </row>
    <row r="1245" spans="22:43" x14ac:dyDescent="0.35">
      <c r="V1245" s="1013"/>
      <c r="W1245" s="138"/>
      <c r="AQ1245" s="138"/>
    </row>
    <row r="1246" spans="22:43" x14ac:dyDescent="0.35">
      <c r="V1246" s="1013"/>
      <c r="W1246" s="138"/>
      <c r="AQ1246" s="138"/>
    </row>
    <row r="1247" spans="22:43" x14ac:dyDescent="0.35">
      <c r="V1247" s="1013"/>
      <c r="W1247" s="138"/>
      <c r="AQ1247" s="138"/>
    </row>
    <row r="1248" spans="22:43" x14ac:dyDescent="0.35">
      <c r="V1248" s="1013"/>
      <c r="W1248" s="138"/>
      <c r="AQ1248" s="138"/>
    </row>
    <row r="1249" spans="22:43" x14ac:dyDescent="0.35">
      <c r="V1249" s="1013"/>
      <c r="W1249" s="138"/>
      <c r="AQ1249" s="138"/>
    </row>
    <row r="1250" spans="22:43" x14ac:dyDescent="0.35">
      <c r="V1250" s="1013"/>
      <c r="W1250" s="138"/>
      <c r="AQ1250" s="138"/>
    </row>
    <row r="1251" spans="22:43" x14ac:dyDescent="0.35">
      <c r="V1251" s="1013"/>
      <c r="W1251" s="138"/>
      <c r="AQ1251" s="138"/>
    </row>
    <row r="1252" spans="22:43" x14ac:dyDescent="0.35">
      <c r="V1252" s="1013"/>
      <c r="W1252" s="138"/>
      <c r="AQ1252" s="138"/>
    </row>
    <row r="1253" spans="22:43" x14ac:dyDescent="0.35">
      <c r="V1253" s="1013"/>
      <c r="W1253" s="138"/>
      <c r="AQ1253" s="138"/>
    </row>
    <row r="1254" spans="22:43" x14ac:dyDescent="0.35">
      <c r="V1254" s="1013"/>
      <c r="W1254" s="138"/>
      <c r="AQ1254" s="138"/>
    </row>
    <row r="1255" spans="22:43" x14ac:dyDescent="0.35">
      <c r="V1255" s="1013"/>
      <c r="W1255" s="138"/>
      <c r="AQ1255" s="138"/>
    </row>
    <row r="1256" spans="22:43" x14ac:dyDescent="0.35">
      <c r="V1256" s="1013"/>
      <c r="W1256" s="138"/>
      <c r="AQ1256" s="138"/>
    </row>
    <row r="1257" spans="22:43" x14ac:dyDescent="0.35">
      <c r="V1257" s="1013"/>
      <c r="W1257" s="138"/>
      <c r="AQ1257" s="138"/>
    </row>
    <row r="1258" spans="22:43" x14ac:dyDescent="0.35">
      <c r="V1258" s="1013"/>
      <c r="W1258" s="138"/>
      <c r="AQ1258" s="138"/>
    </row>
    <row r="1259" spans="22:43" x14ac:dyDescent="0.35">
      <c r="V1259" s="1013"/>
      <c r="W1259" s="138"/>
      <c r="AQ1259" s="138"/>
    </row>
    <row r="1260" spans="22:43" x14ac:dyDescent="0.35">
      <c r="V1260" s="1013"/>
      <c r="W1260" s="138"/>
      <c r="AQ1260" s="138"/>
    </row>
    <row r="1261" spans="22:43" x14ac:dyDescent="0.35">
      <c r="V1261" s="1013"/>
      <c r="W1261" s="138"/>
      <c r="AQ1261" s="138"/>
    </row>
    <row r="1262" spans="22:43" x14ac:dyDescent="0.35">
      <c r="V1262" s="1013"/>
      <c r="W1262" s="138"/>
      <c r="AQ1262" s="138"/>
    </row>
    <row r="1263" spans="22:43" x14ac:dyDescent="0.35">
      <c r="V1263" s="1013"/>
      <c r="W1263" s="138"/>
      <c r="AQ1263" s="138"/>
    </row>
    <row r="1264" spans="22:43" x14ac:dyDescent="0.35">
      <c r="V1264" s="1013"/>
      <c r="W1264" s="138"/>
      <c r="AQ1264" s="138"/>
    </row>
    <row r="1265" spans="22:43" x14ac:dyDescent="0.35">
      <c r="V1265" s="1013"/>
      <c r="W1265" s="138"/>
      <c r="AQ1265" s="138"/>
    </row>
    <row r="1266" spans="22:43" x14ac:dyDescent="0.35">
      <c r="V1266" s="1013"/>
      <c r="W1266" s="138"/>
      <c r="AQ1266" s="138"/>
    </row>
    <row r="1267" spans="22:43" x14ac:dyDescent="0.35">
      <c r="V1267" s="1013"/>
      <c r="W1267" s="138"/>
      <c r="AQ1267" s="138"/>
    </row>
    <row r="1268" spans="22:43" x14ac:dyDescent="0.35">
      <c r="V1268" s="1013"/>
      <c r="W1268" s="138"/>
      <c r="AQ1268" s="138"/>
    </row>
    <row r="1269" spans="22:43" x14ac:dyDescent="0.35">
      <c r="V1269" s="1013"/>
      <c r="W1269" s="138"/>
      <c r="AQ1269" s="138"/>
    </row>
    <row r="1270" spans="22:43" x14ac:dyDescent="0.35">
      <c r="V1270" s="1013"/>
      <c r="W1270" s="138"/>
      <c r="AQ1270" s="138"/>
    </row>
    <row r="1271" spans="22:43" x14ac:dyDescent="0.35">
      <c r="V1271" s="1013"/>
      <c r="W1271" s="138"/>
      <c r="AQ1271" s="138"/>
    </row>
    <row r="1272" spans="22:43" x14ac:dyDescent="0.35">
      <c r="V1272" s="1013"/>
      <c r="W1272" s="138"/>
      <c r="AQ1272" s="138"/>
    </row>
    <row r="1273" spans="22:43" x14ac:dyDescent="0.35">
      <c r="V1273" s="1013"/>
      <c r="W1273" s="138"/>
      <c r="AQ1273" s="138"/>
    </row>
    <row r="1274" spans="22:43" x14ac:dyDescent="0.35">
      <c r="V1274" s="1013"/>
      <c r="W1274" s="138"/>
      <c r="AQ1274" s="138"/>
    </row>
    <row r="1275" spans="22:43" x14ac:dyDescent="0.35">
      <c r="V1275" s="1013"/>
      <c r="W1275" s="138"/>
      <c r="AQ1275" s="138"/>
    </row>
    <row r="1276" spans="22:43" x14ac:dyDescent="0.35">
      <c r="V1276" s="1013"/>
      <c r="W1276" s="138"/>
      <c r="AQ1276" s="138"/>
    </row>
    <row r="1277" spans="22:43" x14ac:dyDescent="0.35">
      <c r="V1277" s="1013"/>
      <c r="W1277" s="138"/>
      <c r="AQ1277" s="138"/>
    </row>
    <row r="1278" spans="22:43" x14ac:dyDescent="0.35">
      <c r="V1278" s="1013"/>
      <c r="W1278" s="138"/>
      <c r="AQ1278" s="138"/>
    </row>
    <row r="1279" spans="22:43" x14ac:dyDescent="0.35">
      <c r="V1279" s="1013"/>
      <c r="W1279" s="138"/>
      <c r="AQ1279" s="138"/>
    </row>
    <row r="1280" spans="22:43" x14ac:dyDescent="0.35">
      <c r="V1280" s="1013"/>
      <c r="W1280" s="138"/>
      <c r="AQ1280" s="138"/>
    </row>
    <row r="1281" spans="22:43" x14ac:dyDescent="0.35">
      <c r="V1281" s="1013"/>
      <c r="W1281" s="138"/>
      <c r="AQ1281" s="138"/>
    </row>
    <row r="1282" spans="22:43" x14ac:dyDescent="0.35">
      <c r="V1282" s="1013"/>
      <c r="W1282" s="138"/>
      <c r="AQ1282" s="138"/>
    </row>
    <row r="1283" spans="22:43" x14ac:dyDescent="0.35">
      <c r="V1283" s="1013"/>
      <c r="W1283" s="138"/>
      <c r="AQ1283" s="138"/>
    </row>
    <row r="1284" spans="22:43" x14ac:dyDescent="0.35">
      <c r="V1284" s="1013"/>
      <c r="W1284" s="138"/>
      <c r="AQ1284" s="138"/>
    </row>
    <row r="1285" spans="22:43" x14ac:dyDescent="0.35">
      <c r="V1285" s="1013"/>
      <c r="W1285" s="138"/>
      <c r="AQ1285" s="138"/>
    </row>
    <row r="1286" spans="22:43" x14ac:dyDescent="0.35">
      <c r="V1286" s="1013"/>
      <c r="W1286" s="138"/>
      <c r="AQ1286" s="138"/>
    </row>
    <row r="1287" spans="22:43" x14ac:dyDescent="0.35">
      <c r="V1287" s="1013"/>
      <c r="W1287" s="138"/>
      <c r="AQ1287" s="138"/>
    </row>
    <row r="1288" spans="22:43" x14ac:dyDescent="0.35">
      <c r="V1288" s="1013"/>
      <c r="W1288" s="138"/>
      <c r="AQ1288" s="138"/>
    </row>
    <row r="1289" spans="22:43" x14ac:dyDescent="0.35">
      <c r="V1289" s="1013"/>
      <c r="W1289" s="138"/>
      <c r="AQ1289" s="138"/>
    </row>
    <row r="1290" spans="22:43" x14ac:dyDescent="0.35">
      <c r="V1290" s="1013"/>
      <c r="W1290" s="138"/>
      <c r="AQ1290" s="138"/>
    </row>
    <row r="1291" spans="22:43" x14ac:dyDescent="0.35">
      <c r="V1291" s="1013"/>
      <c r="W1291" s="138"/>
      <c r="AQ1291" s="138"/>
    </row>
    <row r="1292" spans="22:43" x14ac:dyDescent="0.35">
      <c r="V1292" s="1013"/>
      <c r="W1292" s="138"/>
      <c r="AQ1292" s="138"/>
    </row>
    <row r="1293" spans="22:43" x14ac:dyDescent="0.35">
      <c r="V1293" s="1013"/>
      <c r="W1293" s="138"/>
      <c r="AQ1293" s="138"/>
    </row>
    <row r="1294" spans="22:43" x14ac:dyDescent="0.35">
      <c r="V1294" s="1013"/>
      <c r="W1294" s="138"/>
      <c r="AQ1294" s="138"/>
    </row>
    <row r="1295" spans="22:43" x14ac:dyDescent="0.35">
      <c r="V1295" s="1013"/>
      <c r="W1295" s="138"/>
      <c r="AQ1295" s="138"/>
    </row>
    <row r="1296" spans="22:43" x14ac:dyDescent="0.35">
      <c r="V1296" s="1013"/>
      <c r="W1296" s="138"/>
      <c r="AQ1296" s="138"/>
    </row>
    <row r="1297" spans="22:43" x14ac:dyDescent="0.35">
      <c r="V1297" s="1013"/>
      <c r="W1297" s="138"/>
      <c r="AQ1297" s="138"/>
    </row>
    <row r="1298" spans="22:43" x14ac:dyDescent="0.35">
      <c r="V1298" s="1013"/>
      <c r="W1298" s="138"/>
      <c r="AQ1298" s="138"/>
    </row>
    <row r="1299" spans="22:43" x14ac:dyDescent="0.35">
      <c r="V1299" s="1013"/>
      <c r="W1299" s="138"/>
      <c r="AQ1299" s="138"/>
    </row>
    <row r="1300" spans="22:43" x14ac:dyDescent="0.35">
      <c r="V1300" s="1013"/>
      <c r="W1300" s="138"/>
      <c r="AQ1300" s="138"/>
    </row>
    <row r="1301" spans="22:43" x14ac:dyDescent="0.35">
      <c r="V1301" s="1013"/>
      <c r="W1301" s="138"/>
      <c r="AQ1301" s="138"/>
    </row>
    <row r="1302" spans="22:43" x14ac:dyDescent="0.35">
      <c r="V1302" s="1013"/>
      <c r="W1302" s="138"/>
      <c r="AQ1302" s="138"/>
    </row>
    <row r="1303" spans="22:43" x14ac:dyDescent="0.35">
      <c r="V1303" s="1013"/>
      <c r="W1303" s="138"/>
      <c r="AQ1303" s="138"/>
    </row>
    <row r="1304" spans="22:43" x14ac:dyDescent="0.35">
      <c r="V1304" s="1013"/>
      <c r="W1304" s="138"/>
      <c r="AQ1304" s="138"/>
    </row>
    <row r="1305" spans="22:43" x14ac:dyDescent="0.35">
      <c r="V1305" s="1013"/>
      <c r="W1305" s="138"/>
      <c r="AQ1305" s="138"/>
    </row>
    <row r="1306" spans="22:43" x14ac:dyDescent="0.35">
      <c r="V1306" s="1013"/>
      <c r="W1306" s="138"/>
      <c r="AQ1306" s="138"/>
    </row>
    <row r="1307" spans="22:43" x14ac:dyDescent="0.35">
      <c r="V1307" s="1013"/>
      <c r="W1307" s="138"/>
      <c r="AQ1307" s="138"/>
    </row>
    <row r="1308" spans="22:43" x14ac:dyDescent="0.35">
      <c r="V1308" s="1013"/>
      <c r="W1308" s="138"/>
      <c r="AQ1308" s="138"/>
    </row>
    <row r="1309" spans="22:43" x14ac:dyDescent="0.35">
      <c r="V1309" s="1013"/>
      <c r="W1309" s="138"/>
      <c r="AQ1309" s="138"/>
    </row>
    <row r="1310" spans="22:43" x14ac:dyDescent="0.35">
      <c r="V1310" s="1013"/>
      <c r="W1310" s="138"/>
      <c r="AQ1310" s="138"/>
    </row>
    <row r="1311" spans="22:43" x14ac:dyDescent="0.35">
      <c r="V1311" s="1013"/>
      <c r="W1311" s="138"/>
      <c r="AQ1311" s="138"/>
    </row>
    <row r="1312" spans="22:43" x14ac:dyDescent="0.35">
      <c r="V1312" s="1013"/>
      <c r="W1312" s="138"/>
      <c r="AQ1312" s="138"/>
    </row>
    <row r="1313" spans="22:43" x14ac:dyDescent="0.35">
      <c r="V1313" s="1013"/>
      <c r="W1313" s="138"/>
      <c r="AQ1313" s="138"/>
    </row>
    <row r="1314" spans="22:43" x14ac:dyDescent="0.35">
      <c r="V1314" s="1013"/>
      <c r="W1314" s="138"/>
      <c r="AQ1314" s="138"/>
    </row>
    <row r="1315" spans="22:43" x14ac:dyDescent="0.35">
      <c r="V1315" s="1013"/>
      <c r="W1315" s="138"/>
      <c r="AQ1315" s="138"/>
    </row>
    <row r="1316" spans="22:43" x14ac:dyDescent="0.35">
      <c r="V1316" s="1013"/>
      <c r="W1316" s="138"/>
      <c r="AQ1316" s="138"/>
    </row>
    <row r="1317" spans="22:43" x14ac:dyDescent="0.35">
      <c r="V1317" s="1013"/>
      <c r="W1317" s="138"/>
      <c r="AQ1317" s="138"/>
    </row>
    <row r="1318" spans="22:43" x14ac:dyDescent="0.35">
      <c r="V1318" s="1013"/>
      <c r="W1318" s="138"/>
      <c r="AQ1318" s="138"/>
    </row>
    <row r="1319" spans="22:43" x14ac:dyDescent="0.35">
      <c r="V1319" s="1013"/>
      <c r="W1319" s="138"/>
      <c r="AQ1319" s="138"/>
    </row>
    <row r="1320" spans="22:43" x14ac:dyDescent="0.35">
      <c r="V1320" s="1013"/>
      <c r="W1320" s="138"/>
      <c r="AQ1320" s="138"/>
    </row>
    <row r="1321" spans="22:43" x14ac:dyDescent="0.35">
      <c r="V1321" s="1013"/>
      <c r="W1321" s="138"/>
      <c r="AQ1321" s="138"/>
    </row>
    <row r="1322" spans="22:43" x14ac:dyDescent="0.35">
      <c r="V1322" s="1013"/>
      <c r="W1322" s="138"/>
      <c r="AQ1322" s="138"/>
    </row>
    <row r="1323" spans="22:43" x14ac:dyDescent="0.35">
      <c r="V1323" s="1013"/>
      <c r="W1323" s="138"/>
      <c r="AQ1323" s="138"/>
    </row>
    <row r="1324" spans="22:43" x14ac:dyDescent="0.35">
      <c r="V1324" s="1013"/>
      <c r="W1324" s="138"/>
      <c r="AQ1324" s="138"/>
    </row>
    <row r="1325" spans="22:43" x14ac:dyDescent="0.35">
      <c r="V1325" s="1013"/>
      <c r="W1325" s="138"/>
      <c r="AQ1325" s="138"/>
    </row>
    <row r="1326" spans="22:43" x14ac:dyDescent="0.35">
      <c r="V1326" s="1013"/>
      <c r="W1326" s="138"/>
      <c r="AQ1326" s="138"/>
    </row>
    <row r="1327" spans="22:43" x14ac:dyDescent="0.35">
      <c r="V1327" s="1013"/>
      <c r="W1327" s="138"/>
      <c r="AQ1327" s="138"/>
    </row>
    <row r="1328" spans="22:43" x14ac:dyDescent="0.35">
      <c r="V1328" s="1013"/>
      <c r="W1328" s="138"/>
      <c r="AQ1328" s="138"/>
    </row>
    <row r="1329" spans="22:43" x14ac:dyDescent="0.35">
      <c r="V1329" s="1013"/>
      <c r="W1329" s="138"/>
      <c r="AQ1329" s="138"/>
    </row>
    <row r="1330" spans="22:43" x14ac:dyDescent="0.35">
      <c r="V1330" s="1013"/>
      <c r="W1330" s="138"/>
      <c r="AQ1330" s="138"/>
    </row>
    <row r="1331" spans="22:43" x14ac:dyDescent="0.35">
      <c r="V1331" s="1013"/>
      <c r="W1331" s="138"/>
      <c r="AQ1331" s="138"/>
    </row>
    <row r="1332" spans="22:43" x14ac:dyDescent="0.35">
      <c r="V1332" s="1013"/>
      <c r="W1332" s="138"/>
      <c r="AQ1332" s="138"/>
    </row>
    <row r="1333" spans="22:43" x14ac:dyDescent="0.35">
      <c r="V1333" s="1013"/>
      <c r="W1333" s="138"/>
      <c r="AQ1333" s="138"/>
    </row>
    <row r="1334" spans="22:43" x14ac:dyDescent="0.35">
      <c r="V1334" s="1013"/>
      <c r="W1334" s="138"/>
      <c r="AQ1334" s="138"/>
    </row>
    <row r="1335" spans="22:43" x14ac:dyDescent="0.35">
      <c r="V1335" s="1013"/>
      <c r="W1335" s="138"/>
      <c r="AQ1335" s="138"/>
    </row>
    <row r="1336" spans="22:43" x14ac:dyDescent="0.35">
      <c r="V1336" s="1013"/>
      <c r="W1336" s="138"/>
      <c r="AQ1336" s="138"/>
    </row>
    <row r="1337" spans="22:43" x14ac:dyDescent="0.35">
      <c r="V1337" s="1013"/>
      <c r="W1337" s="138"/>
      <c r="AQ1337" s="138"/>
    </row>
    <row r="1338" spans="22:43" x14ac:dyDescent="0.35">
      <c r="V1338" s="1013"/>
      <c r="W1338" s="138"/>
      <c r="AQ1338" s="138"/>
    </row>
    <row r="1339" spans="22:43" x14ac:dyDescent="0.35">
      <c r="V1339" s="1013"/>
      <c r="W1339" s="138"/>
      <c r="AQ1339" s="138"/>
    </row>
    <row r="1340" spans="22:43" x14ac:dyDescent="0.35">
      <c r="V1340" s="1013"/>
      <c r="W1340" s="138"/>
      <c r="AQ1340" s="138"/>
    </row>
    <row r="1341" spans="22:43" x14ac:dyDescent="0.35">
      <c r="V1341" s="1013"/>
      <c r="W1341" s="138"/>
      <c r="AQ1341" s="138"/>
    </row>
    <row r="1342" spans="22:43" x14ac:dyDescent="0.35">
      <c r="V1342" s="1013"/>
      <c r="W1342" s="138"/>
      <c r="AQ1342" s="138"/>
    </row>
    <row r="1343" spans="22:43" x14ac:dyDescent="0.35">
      <c r="V1343" s="1013"/>
      <c r="W1343" s="138"/>
      <c r="AQ1343" s="138"/>
    </row>
    <row r="1344" spans="22:43" x14ac:dyDescent="0.35">
      <c r="V1344" s="1013"/>
      <c r="W1344" s="138"/>
      <c r="AQ1344" s="138"/>
    </row>
    <row r="1345" spans="22:43" x14ac:dyDescent="0.35">
      <c r="V1345" s="1013"/>
      <c r="W1345" s="138"/>
      <c r="AQ1345" s="138"/>
    </row>
    <row r="1346" spans="22:43" x14ac:dyDescent="0.35">
      <c r="V1346" s="1013"/>
      <c r="W1346" s="138"/>
      <c r="AQ1346" s="138"/>
    </row>
    <row r="1347" spans="22:43" x14ac:dyDescent="0.35">
      <c r="V1347" s="1013"/>
      <c r="W1347" s="138"/>
      <c r="AQ1347" s="138"/>
    </row>
    <row r="1348" spans="22:43" x14ac:dyDescent="0.35">
      <c r="V1348" s="1013"/>
      <c r="W1348" s="138"/>
      <c r="AQ1348" s="138"/>
    </row>
    <row r="1349" spans="22:43" x14ac:dyDescent="0.35">
      <c r="V1349" s="1013"/>
      <c r="W1349" s="138"/>
      <c r="AQ1349" s="138"/>
    </row>
    <row r="1350" spans="22:43" x14ac:dyDescent="0.35">
      <c r="V1350" s="1013"/>
      <c r="W1350" s="138"/>
      <c r="AQ1350" s="138"/>
    </row>
    <row r="1351" spans="22:43" x14ac:dyDescent="0.35">
      <c r="V1351" s="1013"/>
      <c r="W1351" s="138"/>
      <c r="AQ1351" s="138"/>
    </row>
    <row r="1352" spans="22:43" x14ac:dyDescent="0.35">
      <c r="V1352" s="1013"/>
      <c r="W1352" s="138"/>
      <c r="AQ1352" s="138"/>
    </row>
    <row r="1353" spans="22:43" x14ac:dyDescent="0.35">
      <c r="V1353" s="1013"/>
      <c r="W1353" s="138"/>
      <c r="AQ1353" s="138"/>
    </row>
    <row r="1354" spans="22:43" x14ac:dyDescent="0.35">
      <c r="V1354" s="1013"/>
      <c r="W1354" s="138"/>
      <c r="AQ1354" s="138"/>
    </row>
    <row r="1355" spans="22:43" x14ac:dyDescent="0.35">
      <c r="V1355" s="1013"/>
      <c r="W1355" s="138"/>
      <c r="AQ1355" s="138"/>
    </row>
    <row r="1356" spans="22:43" x14ac:dyDescent="0.35">
      <c r="V1356" s="1013"/>
      <c r="W1356" s="138"/>
      <c r="AQ1356" s="138"/>
    </row>
    <row r="1357" spans="22:43" x14ac:dyDescent="0.35">
      <c r="V1357" s="1013"/>
      <c r="W1357" s="138"/>
      <c r="AQ1357" s="138"/>
    </row>
    <row r="1358" spans="22:43" x14ac:dyDescent="0.35">
      <c r="V1358" s="1013"/>
      <c r="W1358" s="138"/>
      <c r="AQ1358" s="138"/>
    </row>
    <row r="1359" spans="22:43" x14ac:dyDescent="0.35">
      <c r="V1359" s="1013"/>
      <c r="W1359" s="138"/>
      <c r="AQ1359" s="138"/>
    </row>
    <row r="1360" spans="22:43" x14ac:dyDescent="0.35">
      <c r="V1360" s="1013"/>
      <c r="W1360" s="138"/>
      <c r="AQ1360" s="138"/>
    </row>
    <row r="1361" spans="22:43" x14ac:dyDescent="0.35">
      <c r="V1361" s="1013"/>
      <c r="W1361" s="138"/>
      <c r="AQ1361" s="138"/>
    </row>
    <row r="1362" spans="22:43" x14ac:dyDescent="0.35">
      <c r="V1362" s="1013"/>
      <c r="W1362" s="138"/>
      <c r="AQ1362" s="138"/>
    </row>
    <row r="1363" spans="22:43" x14ac:dyDescent="0.35">
      <c r="V1363" s="1013"/>
      <c r="W1363" s="138"/>
      <c r="AQ1363" s="138"/>
    </row>
    <row r="1364" spans="22:43" x14ac:dyDescent="0.35">
      <c r="V1364" s="1013"/>
      <c r="W1364" s="138"/>
      <c r="AQ1364" s="138"/>
    </row>
    <row r="1365" spans="22:43" x14ac:dyDescent="0.35">
      <c r="V1365" s="1013"/>
      <c r="W1365" s="138"/>
      <c r="AQ1365" s="138"/>
    </row>
    <row r="1366" spans="22:43" x14ac:dyDescent="0.35">
      <c r="V1366" s="1013"/>
      <c r="W1366" s="138"/>
      <c r="AQ1366" s="138"/>
    </row>
    <row r="1367" spans="22:43" x14ac:dyDescent="0.35">
      <c r="V1367" s="1013"/>
      <c r="W1367" s="138"/>
      <c r="AQ1367" s="138"/>
    </row>
    <row r="1368" spans="22:43" x14ac:dyDescent="0.35">
      <c r="V1368" s="1013"/>
      <c r="W1368" s="138"/>
      <c r="AQ1368" s="138"/>
    </row>
    <row r="1369" spans="22:43" x14ac:dyDescent="0.35">
      <c r="V1369" s="1013"/>
      <c r="W1369" s="138"/>
      <c r="AQ1369" s="138"/>
    </row>
    <row r="1370" spans="22:43" x14ac:dyDescent="0.35">
      <c r="V1370" s="1013"/>
      <c r="W1370" s="138"/>
      <c r="AQ1370" s="138"/>
    </row>
    <row r="1371" spans="22:43" x14ac:dyDescent="0.35">
      <c r="V1371" s="1013"/>
      <c r="W1371" s="138"/>
      <c r="AQ1371" s="138"/>
    </row>
    <row r="1372" spans="22:43" x14ac:dyDescent="0.35">
      <c r="V1372" s="1013"/>
      <c r="W1372" s="138"/>
      <c r="AQ1372" s="138"/>
    </row>
    <row r="1373" spans="22:43" x14ac:dyDescent="0.35">
      <c r="V1373" s="1013"/>
      <c r="W1373" s="138"/>
      <c r="AQ1373" s="138"/>
    </row>
    <row r="1374" spans="22:43" x14ac:dyDescent="0.35">
      <c r="V1374" s="1013"/>
      <c r="W1374" s="138"/>
      <c r="AQ1374" s="138"/>
    </row>
    <row r="1375" spans="22:43" x14ac:dyDescent="0.35">
      <c r="V1375" s="1013"/>
      <c r="W1375" s="138"/>
      <c r="AQ1375" s="138"/>
    </row>
    <row r="1376" spans="22:43" x14ac:dyDescent="0.35">
      <c r="V1376" s="1013"/>
      <c r="W1376" s="138"/>
      <c r="AQ1376" s="138"/>
    </row>
    <row r="1377" spans="22:43" x14ac:dyDescent="0.35">
      <c r="V1377" s="1013"/>
      <c r="W1377" s="138"/>
      <c r="AQ1377" s="138"/>
    </row>
    <row r="1378" spans="22:43" x14ac:dyDescent="0.35">
      <c r="V1378" s="1013"/>
      <c r="W1378" s="138"/>
      <c r="AQ1378" s="138"/>
    </row>
    <row r="1379" spans="22:43" x14ac:dyDescent="0.35">
      <c r="V1379" s="1013"/>
      <c r="W1379" s="138"/>
      <c r="AQ1379" s="138"/>
    </row>
    <row r="1380" spans="22:43" x14ac:dyDescent="0.35">
      <c r="V1380" s="1013"/>
      <c r="W1380" s="138"/>
      <c r="AQ1380" s="138"/>
    </row>
    <row r="1381" spans="22:43" x14ac:dyDescent="0.35">
      <c r="V1381" s="1013"/>
      <c r="W1381" s="138"/>
      <c r="AQ1381" s="138"/>
    </row>
    <row r="1382" spans="22:43" x14ac:dyDescent="0.35">
      <c r="V1382" s="1013"/>
      <c r="W1382" s="138"/>
      <c r="AQ1382" s="138"/>
    </row>
    <row r="1383" spans="22:43" x14ac:dyDescent="0.35">
      <c r="V1383" s="1013"/>
      <c r="W1383" s="138"/>
      <c r="AQ1383" s="138"/>
    </row>
    <row r="1384" spans="22:43" x14ac:dyDescent="0.35">
      <c r="V1384" s="1013"/>
      <c r="W1384" s="138"/>
      <c r="AQ1384" s="138"/>
    </row>
    <row r="1385" spans="22:43" x14ac:dyDescent="0.35">
      <c r="V1385" s="1013"/>
      <c r="W1385" s="138"/>
      <c r="AQ1385" s="138"/>
    </row>
    <row r="1386" spans="22:43" x14ac:dyDescent="0.35">
      <c r="V1386" s="1013"/>
      <c r="W1386" s="138"/>
      <c r="AQ1386" s="138"/>
    </row>
    <row r="1387" spans="22:43" x14ac:dyDescent="0.35">
      <c r="V1387" s="1013"/>
      <c r="W1387" s="138"/>
      <c r="AQ1387" s="138"/>
    </row>
    <row r="1388" spans="22:43" x14ac:dyDescent="0.35">
      <c r="V1388" s="1013"/>
      <c r="W1388" s="138"/>
      <c r="AQ1388" s="138"/>
    </row>
    <row r="1389" spans="22:43" x14ac:dyDescent="0.35">
      <c r="V1389" s="1013"/>
      <c r="W1389" s="138"/>
      <c r="AQ1389" s="138"/>
    </row>
    <row r="1390" spans="22:43" x14ac:dyDescent="0.35">
      <c r="V1390" s="1013"/>
      <c r="W1390" s="138"/>
      <c r="AQ1390" s="138"/>
    </row>
    <row r="1391" spans="22:43" x14ac:dyDescent="0.35">
      <c r="V1391" s="1013"/>
      <c r="W1391" s="138"/>
      <c r="AQ1391" s="138"/>
    </row>
    <row r="1392" spans="22:43" x14ac:dyDescent="0.35">
      <c r="V1392" s="1013"/>
      <c r="W1392" s="138"/>
      <c r="AQ1392" s="138"/>
    </row>
    <row r="1393" spans="22:43" x14ac:dyDescent="0.35">
      <c r="V1393" s="1013"/>
      <c r="W1393" s="138"/>
      <c r="AQ1393" s="138"/>
    </row>
    <row r="1394" spans="22:43" x14ac:dyDescent="0.35">
      <c r="V1394" s="1013"/>
      <c r="W1394" s="138"/>
      <c r="AQ1394" s="138"/>
    </row>
    <row r="1395" spans="22:43" x14ac:dyDescent="0.35">
      <c r="V1395" s="1013"/>
      <c r="W1395" s="138"/>
      <c r="AQ1395" s="138"/>
    </row>
    <row r="1396" spans="22:43" x14ac:dyDescent="0.35">
      <c r="V1396" s="1013"/>
      <c r="W1396" s="138"/>
      <c r="AQ1396" s="138"/>
    </row>
    <row r="1397" spans="22:43" x14ac:dyDescent="0.35">
      <c r="V1397" s="1013"/>
      <c r="W1397" s="138"/>
      <c r="AQ1397" s="138"/>
    </row>
    <row r="1398" spans="22:43" x14ac:dyDescent="0.35">
      <c r="V1398" s="1013"/>
      <c r="W1398" s="138"/>
      <c r="AQ1398" s="138"/>
    </row>
    <row r="1399" spans="22:43" x14ac:dyDescent="0.35">
      <c r="V1399" s="1013"/>
      <c r="W1399" s="138"/>
      <c r="AQ1399" s="138"/>
    </row>
    <row r="1400" spans="22:43" x14ac:dyDescent="0.35">
      <c r="V1400" s="1013"/>
      <c r="W1400" s="138"/>
      <c r="AQ1400" s="138"/>
    </row>
    <row r="1401" spans="22:43" x14ac:dyDescent="0.35">
      <c r="V1401" s="1013"/>
      <c r="W1401" s="138"/>
      <c r="AQ1401" s="138"/>
    </row>
    <row r="1402" spans="22:43" x14ac:dyDescent="0.35">
      <c r="V1402" s="1013"/>
      <c r="W1402" s="138"/>
      <c r="AQ1402" s="138"/>
    </row>
    <row r="1403" spans="22:43" x14ac:dyDescent="0.35">
      <c r="V1403" s="1013"/>
      <c r="W1403" s="138"/>
      <c r="AQ1403" s="138"/>
    </row>
    <row r="1404" spans="22:43" x14ac:dyDescent="0.35">
      <c r="V1404" s="1013"/>
      <c r="W1404" s="138"/>
      <c r="AQ1404" s="138"/>
    </row>
    <row r="1405" spans="22:43" x14ac:dyDescent="0.35">
      <c r="V1405" s="1013"/>
      <c r="W1405" s="138"/>
      <c r="AQ1405" s="138"/>
    </row>
    <row r="1406" spans="22:43" x14ac:dyDescent="0.35">
      <c r="V1406" s="1013"/>
      <c r="W1406" s="138"/>
      <c r="AQ1406" s="138"/>
    </row>
    <row r="1407" spans="22:43" x14ac:dyDescent="0.35">
      <c r="V1407" s="1013"/>
      <c r="W1407" s="138"/>
      <c r="AQ1407" s="138"/>
    </row>
    <row r="1408" spans="22:43" x14ac:dyDescent="0.35">
      <c r="V1408" s="1013"/>
      <c r="W1408" s="138"/>
      <c r="AQ1408" s="138"/>
    </row>
    <row r="1409" spans="22:43" x14ac:dyDescent="0.35">
      <c r="V1409" s="1013"/>
      <c r="W1409" s="138"/>
      <c r="AQ1409" s="138"/>
    </row>
    <row r="1410" spans="22:43" x14ac:dyDescent="0.35">
      <c r="V1410" s="1013"/>
      <c r="W1410" s="138"/>
      <c r="AQ1410" s="138"/>
    </row>
    <row r="1411" spans="22:43" x14ac:dyDescent="0.35">
      <c r="V1411" s="1013"/>
      <c r="W1411" s="138"/>
      <c r="AQ1411" s="138"/>
    </row>
    <row r="1412" spans="22:43" x14ac:dyDescent="0.35">
      <c r="V1412" s="1013"/>
      <c r="W1412" s="138"/>
      <c r="AQ1412" s="138"/>
    </row>
    <row r="1413" spans="22:43" x14ac:dyDescent="0.35">
      <c r="V1413" s="1013"/>
      <c r="W1413" s="138"/>
      <c r="AQ1413" s="138"/>
    </row>
    <row r="1414" spans="22:43" x14ac:dyDescent="0.35">
      <c r="V1414" s="1013"/>
      <c r="W1414" s="138"/>
      <c r="AQ1414" s="138"/>
    </row>
    <row r="1415" spans="22:43" x14ac:dyDescent="0.35">
      <c r="V1415" s="1013"/>
      <c r="W1415" s="138"/>
      <c r="AQ1415" s="138"/>
    </row>
    <row r="1416" spans="22:43" x14ac:dyDescent="0.35">
      <c r="V1416" s="1013"/>
      <c r="W1416" s="138"/>
      <c r="AQ1416" s="138"/>
    </row>
    <row r="1417" spans="22:43" x14ac:dyDescent="0.35">
      <c r="V1417" s="1013"/>
      <c r="W1417" s="138"/>
      <c r="AQ1417" s="138"/>
    </row>
    <row r="1418" spans="22:43" x14ac:dyDescent="0.35">
      <c r="V1418" s="1013"/>
      <c r="W1418" s="138"/>
      <c r="AQ1418" s="138"/>
    </row>
    <row r="1419" spans="22:43" x14ac:dyDescent="0.35">
      <c r="V1419" s="1013"/>
      <c r="W1419" s="138"/>
      <c r="AQ1419" s="138"/>
    </row>
    <row r="1420" spans="22:43" x14ac:dyDescent="0.35">
      <c r="V1420" s="1013"/>
      <c r="W1420" s="138"/>
      <c r="AQ1420" s="138"/>
    </row>
    <row r="1421" spans="22:43" x14ac:dyDescent="0.35">
      <c r="V1421" s="1013"/>
      <c r="W1421" s="138"/>
      <c r="AQ1421" s="138"/>
    </row>
    <row r="1422" spans="22:43" x14ac:dyDescent="0.35">
      <c r="V1422" s="1013"/>
      <c r="W1422" s="138"/>
      <c r="AQ1422" s="138"/>
    </row>
    <row r="1423" spans="22:43" x14ac:dyDescent="0.35">
      <c r="V1423" s="1013"/>
      <c r="W1423" s="138"/>
      <c r="AQ1423" s="138"/>
    </row>
    <row r="1424" spans="22:43" x14ac:dyDescent="0.35">
      <c r="V1424" s="1013"/>
      <c r="W1424" s="138"/>
      <c r="AQ1424" s="138"/>
    </row>
    <row r="1425" spans="22:43" x14ac:dyDescent="0.35">
      <c r="V1425" s="1013"/>
      <c r="W1425" s="138"/>
      <c r="AQ1425" s="138"/>
    </row>
    <row r="1426" spans="22:43" x14ac:dyDescent="0.35">
      <c r="V1426" s="1013"/>
      <c r="W1426" s="138"/>
      <c r="AQ1426" s="138"/>
    </row>
    <row r="1427" spans="22:43" x14ac:dyDescent="0.35">
      <c r="V1427" s="1013"/>
      <c r="W1427" s="138"/>
      <c r="AQ1427" s="138"/>
    </row>
    <row r="1428" spans="22:43" x14ac:dyDescent="0.35">
      <c r="V1428" s="1013"/>
      <c r="W1428" s="138"/>
      <c r="AQ1428" s="138"/>
    </row>
    <row r="1429" spans="22:43" x14ac:dyDescent="0.35">
      <c r="V1429" s="1013"/>
      <c r="W1429" s="138"/>
      <c r="AQ1429" s="138"/>
    </row>
    <row r="1430" spans="22:43" x14ac:dyDescent="0.35">
      <c r="V1430" s="1013"/>
      <c r="W1430" s="138"/>
      <c r="AQ1430" s="138"/>
    </row>
    <row r="1431" spans="22:43" x14ac:dyDescent="0.35">
      <c r="V1431" s="1013"/>
      <c r="W1431" s="138"/>
      <c r="AQ1431" s="138"/>
    </row>
    <row r="1432" spans="22:43" x14ac:dyDescent="0.35">
      <c r="V1432" s="1013"/>
      <c r="W1432" s="138"/>
      <c r="AQ1432" s="138"/>
    </row>
    <row r="1433" spans="22:43" x14ac:dyDescent="0.35">
      <c r="V1433" s="1013"/>
      <c r="W1433" s="138"/>
      <c r="AQ1433" s="138"/>
    </row>
    <row r="1434" spans="22:43" x14ac:dyDescent="0.35">
      <c r="V1434" s="1013"/>
      <c r="W1434" s="138"/>
      <c r="AQ1434" s="138"/>
    </row>
    <row r="1435" spans="22:43" x14ac:dyDescent="0.35">
      <c r="V1435" s="1013"/>
      <c r="W1435" s="138"/>
      <c r="AQ1435" s="138"/>
    </row>
    <row r="1436" spans="22:43" x14ac:dyDescent="0.35">
      <c r="V1436" s="1013"/>
      <c r="W1436" s="138"/>
      <c r="AQ1436" s="138"/>
    </row>
    <row r="1437" spans="22:43" x14ac:dyDescent="0.35">
      <c r="V1437" s="1013"/>
      <c r="W1437" s="138"/>
      <c r="AQ1437" s="138"/>
    </row>
    <row r="1438" spans="22:43" x14ac:dyDescent="0.35">
      <c r="V1438" s="1013"/>
      <c r="W1438" s="138"/>
      <c r="AQ1438" s="138"/>
    </row>
    <row r="1439" spans="22:43" x14ac:dyDescent="0.35">
      <c r="V1439" s="1013"/>
      <c r="W1439" s="138"/>
      <c r="AQ1439" s="138"/>
    </row>
    <row r="1440" spans="22:43" x14ac:dyDescent="0.35">
      <c r="V1440" s="1013"/>
      <c r="W1440" s="138"/>
      <c r="AQ1440" s="138"/>
    </row>
    <row r="1441" spans="22:43" x14ac:dyDescent="0.35">
      <c r="V1441" s="1013"/>
      <c r="W1441" s="138"/>
      <c r="AQ1441" s="138"/>
    </row>
    <row r="1442" spans="22:43" x14ac:dyDescent="0.35">
      <c r="V1442" s="1013"/>
      <c r="W1442" s="138"/>
      <c r="AQ1442" s="138"/>
    </row>
    <row r="1443" spans="22:43" x14ac:dyDescent="0.35">
      <c r="V1443" s="1013"/>
      <c r="W1443" s="138"/>
      <c r="AQ1443" s="138"/>
    </row>
    <row r="1444" spans="22:43" x14ac:dyDescent="0.35">
      <c r="V1444" s="1013"/>
      <c r="W1444" s="138"/>
      <c r="AQ1444" s="138"/>
    </row>
    <row r="1445" spans="22:43" x14ac:dyDescent="0.35">
      <c r="V1445" s="1013"/>
      <c r="W1445" s="138"/>
      <c r="AQ1445" s="138"/>
    </row>
    <row r="1446" spans="22:43" x14ac:dyDescent="0.35">
      <c r="V1446" s="1013"/>
      <c r="W1446" s="138"/>
      <c r="AQ1446" s="138"/>
    </row>
    <row r="1447" spans="22:43" x14ac:dyDescent="0.35">
      <c r="V1447" s="1013"/>
      <c r="W1447" s="138"/>
      <c r="AQ1447" s="138"/>
    </row>
    <row r="1448" spans="22:43" x14ac:dyDescent="0.35">
      <c r="V1448" s="1013"/>
      <c r="W1448" s="138"/>
      <c r="AQ1448" s="138"/>
    </row>
    <row r="1449" spans="22:43" x14ac:dyDescent="0.35">
      <c r="V1449" s="1013"/>
      <c r="W1449" s="138"/>
      <c r="AQ1449" s="138"/>
    </row>
    <row r="1450" spans="22:43" x14ac:dyDescent="0.35">
      <c r="V1450" s="1013"/>
      <c r="W1450" s="138"/>
      <c r="AQ1450" s="138"/>
    </row>
    <row r="1451" spans="22:43" x14ac:dyDescent="0.35">
      <c r="V1451" s="1013"/>
      <c r="W1451" s="138"/>
      <c r="AQ1451" s="138"/>
    </row>
    <row r="1452" spans="22:43" x14ac:dyDescent="0.35">
      <c r="V1452" s="1013"/>
      <c r="W1452" s="138"/>
      <c r="AQ1452" s="138"/>
    </row>
    <row r="1453" spans="22:43" x14ac:dyDescent="0.35">
      <c r="V1453" s="1013"/>
      <c r="W1453" s="138"/>
      <c r="AQ1453" s="138"/>
    </row>
    <row r="1454" spans="22:43" x14ac:dyDescent="0.35">
      <c r="V1454" s="1013"/>
      <c r="W1454" s="138"/>
      <c r="AQ1454" s="138"/>
    </row>
    <row r="1455" spans="22:43" x14ac:dyDescent="0.35">
      <c r="V1455" s="1013"/>
      <c r="W1455" s="138"/>
      <c r="AQ1455" s="138"/>
    </row>
    <row r="1456" spans="22:43" x14ac:dyDescent="0.35">
      <c r="V1456" s="1013"/>
      <c r="W1456" s="138"/>
      <c r="AQ1456" s="138"/>
    </row>
    <row r="1457" spans="22:43" x14ac:dyDescent="0.35">
      <c r="V1457" s="1013"/>
      <c r="W1457" s="138"/>
      <c r="AQ1457" s="138"/>
    </row>
    <row r="1458" spans="22:43" x14ac:dyDescent="0.35">
      <c r="V1458" s="1013"/>
      <c r="W1458" s="138"/>
      <c r="AQ1458" s="138"/>
    </row>
    <row r="1459" spans="22:43" x14ac:dyDescent="0.35">
      <c r="V1459" s="1013"/>
      <c r="W1459" s="138"/>
      <c r="AQ1459" s="138"/>
    </row>
    <row r="1460" spans="22:43" x14ac:dyDescent="0.35">
      <c r="V1460" s="1013"/>
      <c r="W1460" s="138"/>
      <c r="AQ1460" s="138"/>
    </row>
    <row r="1461" spans="22:43" x14ac:dyDescent="0.35">
      <c r="V1461" s="1013"/>
      <c r="W1461" s="138"/>
      <c r="AQ1461" s="138"/>
    </row>
    <row r="1462" spans="22:43" x14ac:dyDescent="0.35">
      <c r="V1462" s="1013"/>
      <c r="W1462" s="138"/>
      <c r="AQ1462" s="138"/>
    </row>
    <row r="1463" spans="22:43" x14ac:dyDescent="0.35">
      <c r="V1463" s="1013"/>
      <c r="W1463" s="138"/>
      <c r="AQ1463" s="138"/>
    </row>
    <row r="1464" spans="22:43" x14ac:dyDescent="0.35">
      <c r="V1464" s="1013"/>
      <c r="W1464" s="138"/>
      <c r="AQ1464" s="138"/>
    </row>
    <row r="1465" spans="22:43" x14ac:dyDescent="0.35">
      <c r="V1465" s="1013"/>
      <c r="W1465" s="138"/>
      <c r="AQ1465" s="138"/>
    </row>
    <row r="1466" spans="22:43" x14ac:dyDescent="0.35">
      <c r="V1466" s="1013"/>
      <c r="W1466" s="138"/>
      <c r="AQ1466" s="138"/>
    </row>
    <row r="1467" spans="22:43" x14ac:dyDescent="0.35">
      <c r="V1467" s="1013"/>
      <c r="W1467" s="138"/>
      <c r="AQ1467" s="138"/>
    </row>
    <row r="1468" spans="22:43" x14ac:dyDescent="0.35">
      <c r="V1468" s="1013"/>
      <c r="W1468" s="138"/>
      <c r="AQ1468" s="138"/>
    </row>
    <row r="1469" spans="22:43" x14ac:dyDescent="0.35">
      <c r="V1469" s="1013"/>
      <c r="W1469" s="138"/>
      <c r="AQ1469" s="138"/>
    </row>
    <row r="1470" spans="22:43" x14ac:dyDescent="0.35">
      <c r="V1470" s="1013"/>
      <c r="W1470" s="138"/>
      <c r="AQ1470" s="138"/>
    </row>
    <row r="1471" spans="22:43" x14ac:dyDescent="0.35">
      <c r="V1471" s="1013"/>
      <c r="W1471" s="138"/>
      <c r="AQ1471" s="138"/>
    </row>
    <row r="1472" spans="22:43" x14ac:dyDescent="0.35">
      <c r="V1472" s="1013"/>
      <c r="W1472" s="138"/>
      <c r="AQ1472" s="138"/>
    </row>
    <row r="1473" spans="22:43" x14ac:dyDescent="0.35">
      <c r="V1473" s="1013"/>
      <c r="W1473" s="138"/>
      <c r="AQ1473" s="138"/>
    </row>
    <row r="1474" spans="22:43" x14ac:dyDescent="0.35">
      <c r="V1474" s="1013"/>
      <c r="W1474" s="138"/>
      <c r="AQ1474" s="138"/>
    </row>
    <row r="1475" spans="22:43" x14ac:dyDescent="0.35">
      <c r="V1475" s="1013"/>
      <c r="W1475" s="138"/>
      <c r="AQ1475" s="138"/>
    </row>
    <row r="1476" spans="22:43" x14ac:dyDescent="0.35">
      <c r="V1476" s="1013"/>
      <c r="W1476" s="138"/>
      <c r="AQ1476" s="138"/>
    </row>
    <row r="1477" spans="22:43" x14ac:dyDescent="0.35">
      <c r="V1477" s="1013"/>
      <c r="W1477" s="138"/>
      <c r="AQ1477" s="138"/>
    </row>
    <row r="1478" spans="22:43" x14ac:dyDescent="0.35">
      <c r="V1478" s="1013"/>
      <c r="W1478" s="138"/>
      <c r="AQ1478" s="138"/>
    </row>
    <row r="1479" spans="22:43" x14ac:dyDescent="0.35">
      <c r="V1479" s="1013"/>
      <c r="W1479" s="138"/>
      <c r="AQ1479" s="138"/>
    </row>
    <row r="1480" spans="22:43" x14ac:dyDescent="0.35">
      <c r="V1480" s="1013"/>
      <c r="W1480" s="138"/>
      <c r="AQ1480" s="138"/>
    </row>
    <row r="1481" spans="22:43" x14ac:dyDescent="0.35">
      <c r="V1481" s="1013"/>
      <c r="W1481" s="138"/>
      <c r="AQ1481" s="138"/>
    </row>
    <row r="1482" spans="22:43" x14ac:dyDescent="0.35">
      <c r="V1482" s="1013"/>
      <c r="W1482" s="138"/>
      <c r="AQ1482" s="138"/>
    </row>
    <row r="1483" spans="22:43" x14ac:dyDescent="0.35">
      <c r="V1483" s="1013"/>
      <c r="W1483" s="138"/>
      <c r="AQ1483" s="138"/>
    </row>
    <row r="1484" spans="22:43" x14ac:dyDescent="0.35">
      <c r="V1484" s="1013"/>
      <c r="W1484" s="138"/>
      <c r="AQ1484" s="138"/>
    </row>
    <row r="1485" spans="22:43" x14ac:dyDescent="0.35">
      <c r="V1485" s="1013"/>
      <c r="W1485" s="138"/>
      <c r="AQ1485" s="138"/>
    </row>
    <row r="1486" spans="22:43" x14ac:dyDescent="0.35">
      <c r="V1486" s="1013"/>
      <c r="W1486" s="138"/>
      <c r="AQ1486" s="138"/>
    </row>
    <row r="1487" spans="22:43" x14ac:dyDescent="0.35">
      <c r="V1487" s="1013"/>
      <c r="W1487" s="138"/>
      <c r="AQ1487" s="138"/>
    </row>
    <row r="1488" spans="22:43" x14ac:dyDescent="0.35">
      <c r="V1488" s="1013"/>
      <c r="W1488" s="138"/>
      <c r="AQ1488" s="138"/>
    </row>
    <row r="1489" spans="22:43" x14ac:dyDescent="0.35">
      <c r="V1489" s="1013"/>
      <c r="W1489" s="138"/>
      <c r="AQ1489" s="138"/>
    </row>
    <row r="1490" spans="22:43" x14ac:dyDescent="0.35">
      <c r="V1490" s="1013"/>
      <c r="W1490" s="138"/>
      <c r="AQ1490" s="138"/>
    </row>
    <row r="1491" spans="22:43" x14ac:dyDescent="0.35">
      <c r="V1491" s="1013"/>
      <c r="W1491" s="138"/>
      <c r="AQ1491" s="138"/>
    </row>
    <row r="1492" spans="22:43" x14ac:dyDescent="0.35">
      <c r="V1492" s="1013"/>
      <c r="W1492" s="138"/>
      <c r="AQ1492" s="138"/>
    </row>
    <row r="1493" spans="22:43" x14ac:dyDescent="0.35">
      <c r="V1493" s="1013"/>
      <c r="W1493" s="138"/>
      <c r="AQ1493" s="138"/>
    </row>
    <row r="1494" spans="22:43" x14ac:dyDescent="0.35">
      <c r="V1494" s="1013"/>
      <c r="W1494" s="138"/>
      <c r="AQ1494" s="138"/>
    </row>
    <row r="1495" spans="22:43" x14ac:dyDescent="0.35">
      <c r="V1495" s="1013"/>
      <c r="W1495" s="138"/>
      <c r="AQ1495" s="138"/>
    </row>
    <row r="1496" spans="22:43" x14ac:dyDescent="0.35">
      <c r="V1496" s="1013"/>
      <c r="W1496" s="138"/>
      <c r="AQ1496" s="138"/>
    </row>
    <row r="1497" spans="22:43" x14ac:dyDescent="0.35">
      <c r="V1497" s="1013"/>
      <c r="W1497" s="138"/>
      <c r="AQ1497" s="138"/>
    </row>
    <row r="1498" spans="22:43" x14ac:dyDescent="0.35">
      <c r="V1498" s="1013"/>
      <c r="W1498" s="138"/>
      <c r="AQ1498" s="138"/>
    </row>
    <row r="1499" spans="22:43" x14ac:dyDescent="0.35">
      <c r="V1499" s="1013"/>
      <c r="W1499" s="138"/>
      <c r="AQ1499" s="138"/>
    </row>
    <row r="1500" spans="22:43" x14ac:dyDescent="0.35">
      <c r="V1500" s="1013"/>
      <c r="W1500" s="138"/>
      <c r="AQ1500" s="138"/>
    </row>
    <row r="1501" spans="22:43" x14ac:dyDescent="0.35">
      <c r="V1501" s="1013"/>
      <c r="W1501" s="138"/>
      <c r="AQ1501" s="138"/>
    </row>
    <row r="1502" spans="22:43" x14ac:dyDescent="0.35">
      <c r="V1502" s="1013"/>
      <c r="W1502" s="138"/>
      <c r="AQ1502" s="138"/>
    </row>
    <row r="1503" spans="22:43" x14ac:dyDescent="0.35">
      <c r="V1503" s="1013"/>
      <c r="W1503" s="138"/>
      <c r="AQ1503" s="138"/>
    </row>
    <row r="1504" spans="22:43" x14ac:dyDescent="0.35">
      <c r="V1504" s="1013"/>
      <c r="W1504" s="138"/>
      <c r="AQ1504" s="138"/>
    </row>
    <row r="1505" spans="22:43" x14ac:dyDescent="0.35">
      <c r="V1505" s="1013"/>
      <c r="W1505" s="138"/>
      <c r="AQ1505" s="138"/>
    </row>
    <row r="1506" spans="22:43" x14ac:dyDescent="0.35">
      <c r="V1506" s="1013"/>
      <c r="W1506" s="138"/>
      <c r="AQ1506" s="138"/>
    </row>
    <row r="1507" spans="22:43" x14ac:dyDescent="0.35">
      <c r="V1507" s="1013"/>
      <c r="W1507" s="138"/>
      <c r="AQ1507" s="138"/>
    </row>
    <row r="1508" spans="22:43" x14ac:dyDescent="0.35">
      <c r="V1508" s="1013"/>
      <c r="W1508" s="138"/>
      <c r="AQ1508" s="138"/>
    </row>
    <row r="1509" spans="22:43" x14ac:dyDescent="0.35">
      <c r="V1509" s="1013"/>
      <c r="W1509" s="138"/>
      <c r="AQ1509" s="138"/>
    </row>
    <row r="1510" spans="22:43" x14ac:dyDescent="0.35">
      <c r="V1510" s="1013"/>
      <c r="W1510" s="138"/>
      <c r="AQ1510" s="138"/>
    </row>
    <row r="1511" spans="22:43" x14ac:dyDescent="0.35">
      <c r="V1511" s="1013"/>
      <c r="W1511" s="138"/>
      <c r="AQ1511" s="138"/>
    </row>
    <row r="1512" spans="22:43" x14ac:dyDescent="0.35">
      <c r="V1512" s="1013"/>
      <c r="W1512" s="138"/>
      <c r="AQ1512" s="138"/>
    </row>
    <row r="1513" spans="22:43" x14ac:dyDescent="0.35">
      <c r="V1513" s="1013"/>
      <c r="W1513" s="138"/>
      <c r="AQ1513" s="138"/>
    </row>
    <row r="1514" spans="22:43" x14ac:dyDescent="0.35">
      <c r="V1514" s="1013"/>
      <c r="W1514" s="138"/>
      <c r="AQ1514" s="138"/>
    </row>
    <row r="1515" spans="22:43" x14ac:dyDescent="0.35">
      <c r="V1515" s="1013"/>
      <c r="W1515" s="138"/>
      <c r="AQ1515" s="138"/>
    </row>
    <row r="1516" spans="22:43" x14ac:dyDescent="0.35">
      <c r="V1516" s="1013"/>
      <c r="W1516" s="138"/>
      <c r="AQ1516" s="138"/>
    </row>
    <row r="1517" spans="22:43" x14ac:dyDescent="0.35">
      <c r="V1517" s="1013"/>
      <c r="W1517" s="138"/>
      <c r="AQ1517" s="138"/>
    </row>
    <row r="1518" spans="22:43" x14ac:dyDescent="0.35">
      <c r="V1518" s="1013"/>
      <c r="W1518" s="138"/>
      <c r="AQ1518" s="138"/>
    </row>
    <row r="1519" spans="22:43" x14ac:dyDescent="0.35">
      <c r="V1519" s="1013"/>
      <c r="W1519" s="138"/>
      <c r="AQ1519" s="138"/>
    </row>
    <row r="1520" spans="22:43" x14ac:dyDescent="0.35">
      <c r="V1520" s="1013"/>
      <c r="W1520" s="138"/>
      <c r="AQ1520" s="138"/>
    </row>
    <row r="1521" spans="22:43" x14ac:dyDescent="0.35">
      <c r="V1521" s="1013"/>
      <c r="W1521" s="138"/>
      <c r="AQ1521" s="138"/>
    </row>
    <row r="1522" spans="22:43" x14ac:dyDescent="0.35">
      <c r="V1522" s="1013"/>
      <c r="W1522" s="138"/>
      <c r="AQ1522" s="138"/>
    </row>
    <row r="1523" spans="22:43" x14ac:dyDescent="0.35">
      <c r="V1523" s="1013"/>
      <c r="W1523" s="138"/>
      <c r="AQ1523" s="138"/>
    </row>
    <row r="1524" spans="22:43" x14ac:dyDescent="0.35">
      <c r="V1524" s="1013"/>
      <c r="W1524" s="138"/>
      <c r="AQ1524" s="138"/>
    </row>
    <row r="1525" spans="22:43" x14ac:dyDescent="0.35">
      <c r="V1525" s="1013"/>
      <c r="W1525" s="138"/>
      <c r="AQ1525" s="138"/>
    </row>
    <row r="1526" spans="22:43" x14ac:dyDescent="0.35">
      <c r="V1526" s="1013"/>
      <c r="W1526" s="138"/>
      <c r="AQ1526" s="138"/>
    </row>
    <row r="1527" spans="22:43" x14ac:dyDescent="0.35">
      <c r="V1527" s="1013"/>
      <c r="W1527" s="138"/>
      <c r="AQ1527" s="138"/>
    </row>
    <row r="1528" spans="22:43" x14ac:dyDescent="0.35">
      <c r="V1528" s="1013"/>
      <c r="W1528" s="138"/>
      <c r="AQ1528" s="138"/>
    </row>
    <row r="1529" spans="22:43" x14ac:dyDescent="0.35">
      <c r="V1529" s="1013"/>
      <c r="W1529" s="138"/>
      <c r="AQ1529" s="138"/>
    </row>
    <row r="1530" spans="22:43" x14ac:dyDescent="0.35">
      <c r="V1530" s="1013"/>
      <c r="W1530" s="138"/>
      <c r="AQ1530" s="138"/>
    </row>
    <row r="1531" spans="22:43" x14ac:dyDescent="0.35">
      <c r="V1531" s="1013"/>
      <c r="W1531" s="138"/>
      <c r="AQ1531" s="138"/>
    </row>
    <row r="1532" spans="22:43" x14ac:dyDescent="0.35">
      <c r="V1532" s="1013"/>
      <c r="W1532" s="138"/>
      <c r="AQ1532" s="138"/>
    </row>
    <row r="1533" spans="22:43" x14ac:dyDescent="0.35">
      <c r="V1533" s="1013"/>
      <c r="W1533" s="138"/>
      <c r="AQ1533" s="138"/>
    </row>
    <row r="1534" spans="22:43" x14ac:dyDescent="0.35">
      <c r="V1534" s="1013"/>
      <c r="W1534" s="138"/>
      <c r="AQ1534" s="138"/>
    </row>
    <row r="1535" spans="22:43" x14ac:dyDescent="0.35">
      <c r="V1535" s="1013"/>
      <c r="W1535" s="138"/>
      <c r="AQ1535" s="138"/>
    </row>
    <row r="1536" spans="22:43" x14ac:dyDescent="0.35">
      <c r="V1536" s="1013"/>
      <c r="W1536" s="138"/>
      <c r="AQ1536" s="138"/>
    </row>
    <row r="1537" spans="22:43" x14ac:dyDescent="0.35">
      <c r="V1537" s="1013"/>
      <c r="W1537" s="138"/>
      <c r="AQ1537" s="138"/>
    </row>
    <row r="1538" spans="22:43" x14ac:dyDescent="0.35">
      <c r="V1538" s="1013"/>
      <c r="W1538" s="138"/>
      <c r="AQ1538" s="138"/>
    </row>
    <row r="1539" spans="22:43" x14ac:dyDescent="0.35">
      <c r="V1539" s="1013"/>
      <c r="W1539" s="138"/>
      <c r="AQ1539" s="138"/>
    </row>
    <row r="1540" spans="22:43" x14ac:dyDescent="0.35">
      <c r="V1540" s="1013"/>
      <c r="W1540" s="138"/>
      <c r="AQ1540" s="138"/>
    </row>
    <row r="1541" spans="22:43" x14ac:dyDescent="0.35">
      <c r="V1541" s="1013"/>
      <c r="W1541" s="138"/>
      <c r="AQ1541" s="138"/>
    </row>
    <row r="1542" spans="22:43" x14ac:dyDescent="0.35">
      <c r="V1542" s="1013"/>
      <c r="W1542" s="138"/>
      <c r="AQ1542" s="138"/>
    </row>
    <row r="1543" spans="22:43" x14ac:dyDescent="0.35">
      <c r="V1543" s="1013"/>
      <c r="W1543" s="138"/>
      <c r="AQ1543" s="138"/>
    </row>
    <row r="1544" spans="22:43" x14ac:dyDescent="0.35">
      <c r="V1544" s="1013"/>
      <c r="W1544" s="138"/>
      <c r="AQ1544" s="138"/>
    </row>
    <row r="1545" spans="22:43" x14ac:dyDescent="0.35">
      <c r="V1545" s="1013"/>
      <c r="W1545" s="138"/>
      <c r="AQ1545" s="138"/>
    </row>
    <row r="1546" spans="22:43" x14ac:dyDescent="0.35">
      <c r="V1546" s="1013"/>
      <c r="W1546" s="138"/>
      <c r="AQ1546" s="138"/>
    </row>
    <row r="1547" spans="22:43" x14ac:dyDescent="0.35">
      <c r="V1547" s="1013"/>
      <c r="W1547" s="138"/>
      <c r="AQ1547" s="138"/>
    </row>
    <row r="1548" spans="22:43" x14ac:dyDescent="0.35">
      <c r="V1548" s="1013"/>
      <c r="W1548" s="138"/>
      <c r="AQ1548" s="138"/>
    </row>
    <row r="1549" spans="22:43" x14ac:dyDescent="0.35">
      <c r="V1549" s="1013"/>
      <c r="W1549" s="138"/>
      <c r="AQ1549" s="138"/>
    </row>
    <row r="1550" spans="22:43" x14ac:dyDescent="0.35">
      <c r="V1550" s="1013"/>
      <c r="W1550" s="138"/>
      <c r="AQ1550" s="138"/>
    </row>
    <row r="1551" spans="22:43" x14ac:dyDescent="0.35">
      <c r="V1551" s="1013"/>
      <c r="W1551" s="138"/>
      <c r="AQ1551" s="138"/>
    </row>
    <row r="1552" spans="22:43" x14ac:dyDescent="0.35">
      <c r="V1552" s="1013"/>
      <c r="W1552" s="138"/>
      <c r="AQ1552" s="138"/>
    </row>
    <row r="1553" spans="22:43" x14ac:dyDescent="0.35">
      <c r="V1553" s="1013"/>
      <c r="W1553" s="138"/>
      <c r="AQ1553" s="138"/>
    </row>
    <row r="1554" spans="22:43" x14ac:dyDescent="0.35">
      <c r="V1554" s="1013"/>
      <c r="W1554" s="138"/>
      <c r="AQ1554" s="138"/>
    </row>
    <row r="1555" spans="22:43" x14ac:dyDescent="0.35">
      <c r="V1555" s="1013"/>
      <c r="W1555" s="138"/>
      <c r="AQ1555" s="138"/>
    </row>
    <row r="1556" spans="22:43" x14ac:dyDescent="0.35">
      <c r="V1556" s="1013"/>
      <c r="W1556" s="138"/>
      <c r="AQ1556" s="138"/>
    </row>
    <row r="1557" spans="22:43" x14ac:dyDescent="0.35">
      <c r="V1557" s="1013"/>
      <c r="W1557" s="138"/>
      <c r="AQ1557" s="138"/>
    </row>
    <row r="1558" spans="22:43" x14ac:dyDescent="0.35">
      <c r="V1558" s="1013"/>
      <c r="W1558" s="138"/>
      <c r="AQ1558" s="138"/>
    </row>
    <row r="1559" spans="22:43" x14ac:dyDescent="0.35">
      <c r="V1559" s="1013"/>
      <c r="W1559" s="138"/>
      <c r="AQ1559" s="138"/>
    </row>
    <row r="1560" spans="22:43" x14ac:dyDescent="0.35">
      <c r="V1560" s="1013"/>
      <c r="W1560" s="138"/>
      <c r="AQ1560" s="138"/>
    </row>
    <row r="1561" spans="22:43" x14ac:dyDescent="0.35">
      <c r="V1561" s="1013"/>
      <c r="W1561" s="138"/>
      <c r="AQ1561" s="138"/>
    </row>
    <row r="1562" spans="22:43" x14ac:dyDescent="0.35">
      <c r="V1562" s="1013"/>
      <c r="W1562" s="138"/>
      <c r="AQ1562" s="138"/>
    </row>
    <row r="1563" spans="22:43" x14ac:dyDescent="0.35">
      <c r="V1563" s="1013"/>
      <c r="W1563" s="138"/>
      <c r="AQ1563" s="138"/>
    </row>
    <row r="1564" spans="22:43" x14ac:dyDescent="0.35">
      <c r="V1564" s="1013"/>
      <c r="W1564" s="138"/>
      <c r="AQ1564" s="138"/>
    </row>
    <row r="1565" spans="22:43" x14ac:dyDescent="0.35">
      <c r="V1565" s="1013"/>
      <c r="W1565" s="138"/>
      <c r="AQ1565" s="138"/>
    </row>
    <row r="1566" spans="22:43" x14ac:dyDescent="0.35">
      <c r="V1566" s="1013"/>
      <c r="W1566" s="138"/>
      <c r="AQ1566" s="138"/>
    </row>
    <row r="1567" spans="22:43" x14ac:dyDescent="0.35">
      <c r="V1567" s="1013"/>
      <c r="W1567" s="138"/>
      <c r="AQ1567" s="138"/>
    </row>
    <row r="1568" spans="22:43" x14ac:dyDescent="0.35">
      <c r="V1568" s="1013"/>
      <c r="W1568" s="138"/>
      <c r="AQ1568" s="138"/>
    </row>
    <row r="1569" spans="22:43" x14ac:dyDescent="0.35">
      <c r="V1569" s="1013"/>
      <c r="W1569" s="138"/>
      <c r="AQ1569" s="138"/>
    </row>
    <row r="1570" spans="22:43" x14ac:dyDescent="0.35">
      <c r="V1570" s="1013"/>
      <c r="W1570" s="138"/>
      <c r="AQ1570" s="138"/>
    </row>
    <row r="1571" spans="22:43" x14ac:dyDescent="0.35">
      <c r="V1571" s="1013"/>
      <c r="W1571" s="138"/>
      <c r="AQ1571" s="138"/>
    </row>
    <row r="1572" spans="22:43" x14ac:dyDescent="0.35">
      <c r="V1572" s="1013"/>
      <c r="W1572" s="138"/>
      <c r="AQ1572" s="138"/>
    </row>
    <row r="1573" spans="22:43" x14ac:dyDescent="0.35">
      <c r="V1573" s="1013"/>
      <c r="W1573" s="138"/>
      <c r="AQ1573" s="138"/>
    </row>
    <row r="1574" spans="22:43" x14ac:dyDescent="0.35">
      <c r="V1574" s="1013"/>
      <c r="W1574" s="138"/>
      <c r="AQ1574" s="138"/>
    </row>
    <row r="1575" spans="22:43" x14ac:dyDescent="0.35">
      <c r="V1575" s="1013"/>
      <c r="W1575" s="138"/>
      <c r="AQ1575" s="138"/>
    </row>
    <row r="1576" spans="22:43" x14ac:dyDescent="0.35">
      <c r="V1576" s="1013"/>
      <c r="W1576" s="138"/>
      <c r="AQ1576" s="138"/>
    </row>
    <row r="1577" spans="22:43" x14ac:dyDescent="0.35">
      <c r="V1577" s="1013"/>
      <c r="W1577" s="138"/>
      <c r="AQ1577" s="138"/>
    </row>
    <row r="1578" spans="22:43" x14ac:dyDescent="0.35">
      <c r="V1578" s="1013"/>
      <c r="W1578" s="138"/>
      <c r="AQ1578" s="138"/>
    </row>
    <row r="1579" spans="22:43" x14ac:dyDescent="0.35">
      <c r="V1579" s="1013"/>
      <c r="W1579" s="138"/>
      <c r="AQ1579" s="138"/>
    </row>
    <row r="1580" spans="22:43" x14ac:dyDescent="0.35">
      <c r="V1580" s="1013"/>
      <c r="W1580" s="138"/>
      <c r="AQ1580" s="138"/>
    </row>
    <row r="1581" spans="22:43" x14ac:dyDescent="0.35">
      <c r="V1581" s="1013"/>
      <c r="W1581" s="138"/>
      <c r="AQ1581" s="138"/>
    </row>
    <row r="1582" spans="22:43" x14ac:dyDescent="0.35">
      <c r="V1582" s="1013"/>
      <c r="W1582" s="138"/>
      <c r="AQ1582" s="138"/>
    </row>
    <row r="1583" spans="22:43" x14ac:dyDescent="0.35">
      <c r="V1583" s="1013"/>
      <c r="W1583" s="138"/>
      <c r="AQ1583" s="138"/>
    </row>
    <row r="1584" spans="22:43" x14ac:dyDescent="0.35">
      <c r="V1584" s="1013"/>
      <c r="W1584" s="138"/>
      <c r="AQ1584" s="138"/>
    </row>
    <row r="1585" spans="22:43" x14ac:dyDescent="0.35">
      <c r="V1585" s="1013"/>
      <c r="W1585" s="138"/>
      <c r="AQ1585" s="138"/>
    </row>
    <row r="1586" spans="22:43" x14ac:dyDescent="0.35">
      <c r="V1586" s="1013"/>
      <c r="W1586" s="138"/>
      <c r="AQ1586" s="138"/>
    </row>
    <row r="1587" spans="22:43" x14ac:dyDescent="0.35">
      <c r="V1587" s="1013"/>
      <c r="W1587" s="138"/>
      <c r="AQ1587" s="138"/>
    </row>
    <row r="1588" spans="22:43" x14ac:dyDescent="0.35">
      <c r="V1588" s="1013"/>
      <c r="W1588" s="138"/>
      <c r="AQ1588" s="138"/>
    </row>
    <row r="1589" spans="22:43" x14ac:dyDescent="0.35">
      <c r="V1589" s="1013"/>
      <c r="W1589" s="138"/>
      <c r="AQ1589" s="138"/>
    </row>
    <row r="1590" spans="22:43" x14ac:dyDescent="0.35">
      <c r="V1590" s="1013"/>
      <c r="W1590" s="138"/>
      <c r="AQ1590" s="138"/>
    </row>
    <row r="1591" spans="22:43" x14ac:dyDescent="0.35">
      <c r="V1591" s="1013"/>
      <c r="W1591" s="138"/>
      <c r="AQ1591" s="138"/>
    </row>
    <row r="1592" spans="22:43" x14ac:dyDescent="0.35">
      <c r="V1592" s="1013"/>
      <c r="W1592" s="138"/>
      <c r="AQ1592" s="138"/>
    </row>
    <row r="1593" spans="22:43" x14ac:dyDescent="0.35">
      <c r="V1593" s="1013"/>
      <c r="W1593" s="138"/>
      <c r="AQ1593" s="138"/>
    </row>
    <row r="1594" spans="22:43" x14ac:dyDescent="0.35">
      <c r="V1594" s="1013"/>
      <c r="W1594" s="138"/>
      <c r="AQ1594" s="138"/>
    </row>
    <row r="1595" spans="22:43" x14ac:dyDescent="0.35">
      <c r="V1595" s="1013"/>
      <c r="W1595" s="138"/>
      <c r="AQ1595" s="138"/>
    </row>
    <row r="1596" spans="22:43" x14ac:dyDescent="0.35">
      <c r="V1596" s="1013"/>
      <c r="W1596" s="138"/>
      <c r="AQ1596" s="138"/>
    </row>
    <row r="1597" spans="22:43" x14ac:dyDescent="0.35">
      <c r="V1597" s="1013"/>
      <c r="W1597" s="138"/>
      <c r="AQ1597" s="138"/>
    </row>
    <row r="1598" spans="22:43" x14ac:dyDescent="0.35">
      <c r="V1598" s="1013"/>
      <c r="W1598" s="138"/>
      <c r="AQ1598" s="138"/>
    </row>
    <row r="1599" spans="22:43" x14ac:dyDescent="0.35">
      <c r="V1599" s="1013"/>
      <c r="W1599" s="138"/>
      <c r="AQ1599" s="138"/>
    </row>
    <row r="1600" spans="22:43" x14ac:dyDescent="0.35">
      <c r="V1600" s="1013"/>
      <c r="W1600" s="138"/>
      <c r="AQ1600" s="138"/>
    </row>
    <row r="1601" spans="22:43" x14ac:dyDescent="0.35">
      <c r="V1601" s="1013"/>
      <c r="W1601" s="138"/>
      <c r="AQ1601" s="138"/>
    </row>
    <row r="1602" spans="22:43" x14ac:dyDescent="0.35">
      <c r="V1602" s="1013"/>
      <c r="W1602" s="138"/>
      <c r="AQ1602" s="138"/>
    </row>
    <row r="1603" spans="22:43" x14ac:dyDescent="0.35">
      <c r="V1603" s="1013"/>
      <c r="W1603" s="138"/>
      <c r="AQ1603" s="138"/>
    </row>
    <row r="1604" spans="22:43" x14ac:dyDescent="0.35">
      <c r="V1604" s="1013"/>
      <c r="W1604" s="138"/>
      <c r="AQ1604" s="138"/>
    </row>
    <row r="1605" spans="22:43" x14ac:dyDescent="0.35">
      <c r="V1605" s="1013"/>
      <c r="W1605" s="138"/>
      <c r="AQ1605" s="138"/>
    </row>
    <row r="1606" spans="22:43" x14ac:dyDescent="0.35">
      <c r="V1606" s="1013"/>
      <c r="W1606" s="138"/>
      <c r="AQ1606" s="138"/>
    </row>
    <row r="1607" spans="22:43" x14ac:dyDescent="0.35">
      <c r="V1607" s="1013"/>
      <c r="W1607" s="138"/>
      <c r="AQ1607" s="138"/>
    </row>
    <row r="1608" spans="22:43" x14ac:dyDescent="0.35">
      <c r="V1608" s="1013"/>
      <c r="W1608" s="138"/>
      <c r="AQ1608" s="138"/>
    </row>
    <row r="1609" spans="22:43" x14ac:dyDescent="0.35">
      <c r="V1609" s="1013"/>
      <c r="W1609" s="138"/>
      <c r="AQ1609" s="138"/>
    </row>
    <row r="1610" spans="22:43" x14ac:dyDescent="0.35">
      <c r="V1610" s="1013"/>
      <c r="W1610" s="138"/>
      <c r="AQ1610" s="138"/>
    </row>
    <row r="1611" spans="22:43" x14ac:dyDescent="0.35">
      <c r="V1611" s="1013"/>
      <c r="W1611" s="138"/>
      <c r="AQ1611" s="138"/>
    </row>
    <row r="1612" spans="22:43" x14ac:dyDescent="0.35">
      <c r="V1612" s="1013"/>
      <c r="W1612" s="138"/>
      <c r="AQ1612" s="138"/>
    </row>
    <row r="1613" spans="22:43" x14ac:dyDescent="0.35">
      <c r="V1613" s="1013"/>
      <c r="W1613" s="138"/>
      <c r="AQ1613" s="138"/>
    </row>
    <row r="1614" spans="22:43" x14ac:dyDescent="0.35">
      <c r="V1614" s="1013"/>
      <c r="W1614" s="138"/>
      <c r="AQ1614" s="138"/>
    </row>
    <row r="1615" spans="22:43" x14ac:dyDescent="0.35">
      <c r="V1615" s="1013"/>
      <c r="W1615" s="138"/>
      <c r="AQ1615" s="138"/>
    </row>
    <row r="1616" spans="22:43" x14ac:dyDescent="0.35">
      <c r="V1616" s="1013"/>
      <c r="W1616" s="138"/>
      <c r="AQ1616" s="138"/>
    </row>
    <row r="1617" spans="22:43" x14ac:dyDescent="0.35">
      <c r="V1617" s="1013"/>
      <c r="W1617" s="138"/>
      <c r="AQ1617" s="138"/>
    </row>
    <row r="1618" spans="22:43" x14ac:dyDescent="0.35">
      <c r="V1618" s="1013"/>
      <c r="W1618" s="138"/>
      <c r="AQ1618" s="138"/>
    </row>
    <row r="1619" spans="22:43" x14ac:dyDescent="0.35">
      <c r="V1619" s="1013"/>
      <c r="W1619" s="138"/>
      <c r="AQ1619" s="138"/>
    </row>
    <row r="1620" spans="22:43" x14ac:dyDescent="0.35">
      <c r="V1620" s="1013"/>
      <c r="W1620" s="138"/>
      <c r="AQ1620" s="138"/>
    </row>
    <row r="1621" spans="22:43" x14ac:dyDescent="0.35">
      <c r="V1621" s="1013"/>
      <c r="W1621" s="138"/>
      <c r="AQ1621" s="138"/>
    </row>
    <row r="1622" spans="22:43" x14ac:dyDescent="0.35">
      <c r="V1622" s="1013"/>
      <c r="W1622" s="138"/>
      <c r="AQ1622" s="138"/>
    </row>
    <row r="1623" spans="22:43" x14ac:dyDescent="0.35">
      <c r="V1623" s="1013"/>
      <c r="W1623" s="138"/>
      <c r="AQ1623" s="138"/>
    </row>
    <row r="1624" spans="22:43" x14ac:dyDescent="0.35">
      <c r="V1624" s="1013"/>
      <c r="W1624" s="138"/>
      <c r="AQ1624" s="138"/>
    </row>
    <row r="1625" spans="22:43" x14ac:dyDescent="0.35">
      <c r="V1625" s="1013"/>
      <c r="W1625" s="138"/>
      <c r="AQ1625" s="138"/>
    </row>
    <row r="1626" spans="22:43" x14ac:dyDescent="0.35">
      <c r="V1626" s="1013"/>
      <c r="W1626" s="138"/>
      <c r="AQ1626" s="138"/>
    </row>
    <row r="1627" spans="22:43" x14ac:dyDescent="0.35">
      <c r="V1627" s="1013"/>
      <c r="W1627" s="138"/>
      <c r="AQ1627" s="138"/>
    </row>
    <row r="1628" spans="22:43" x14ac:dyDescent="0.35">
      <c r="V1628" s="1013"/>
      <c r="W1628" s="138"/>
      <c r="AQ1628" s="138"/>
    </row>
    <row r="1629" spans="22:43" x14ac:dyDescent="0.35">
      <c r="V1629" s="1013"/>
      <c r="W1629" s="138"/>
      <c r="AQ1629" s="138"/>
    </row>
    <row r="1630" spans="22:43" x14ac:dyDescent="0.35">
      <c r="V1630" s="1013"/>
      <c r="W1630" s="138"/>
      <c r="AQ1630" s="138"/>
    </row>
    <row r="1631" spans="22:43" x14ac:dyDescent="0.35">
      <c r="V1631" s="1013"/>
      <c r="W1631" s="138"/>
      <c r="AQ1631" s="138"/>
    </row>
    <row r="1632" spans="22:43" x14ac:dyDescent="0.35">
      <c r="V1632" s="1013"/>
      <c r="W1632" s="138"/>
      <c r="AQ1632" s="138"/>
    </row>
    <row r="1633" spans="22:43" x14ac:dyDescent="0.35">
      <c r="V1633" s="1013"/>
      <c r="W1633" s="138"/>
      <c r="AQ1633" s="138"/>
    </row>
    <row r="1634" spans="22:43" x14ac:dyDescent="0.35">
      <c r="V1634" s="1013"/>
      <c r="W1634" s="138"/>
      <c r="AQ1634" s="138"/>
    </row>
    <row r="1635" spans="22:43" x14ac:dyDescent="0.35">
      <c r="V1635" s="1013"/>
      <c r="W1635" s="138"/>
      <c r="AQ1635" s="138"/>
    </row>
    <row r="1636" spans="22:43" x14ac:dyDescent="0.35">
      <c r="V1636" s="1013"/>
      <c r="W1636" s="138"/>
      <c r="AQ1636" s="138"/>
    </row>
    <row r="1637" spans="22:43" x14ac:dyDescent="0.35">
      <c r="V1637" s="1013"/>
      <c r="W1637" s="138"/>
      <c r="AQ1637" s="138"/>
    </row>
    <row r="1638" spans="22:43" x14ac:dyDescent="0.35">
      <c r="V1638" s="1013"/>
      <c r="W1638" s="138"/>
      <c r="AQ1638" s="138"/>
    </row>
    <row r="1639" spans="22:43" x14ac:dyDescent="0.35">
      <c r="V1639" s="1013"/>
      <c r="W1639" s="138"/>
      <c r="AQ1639" s="138"/>
    </row>
    <row r="1640" spans="22:43" x14ac:dyDescent="0.35">
      <c r="V1640" s="1013"/>
      <c r="W1640" s="138"/>
      <c r="AQ1640" s="138"/>
    </row>
    <row r="1641" spans="22:43" x14ac:dyDescent="0.35">
      <c r="V1641" s="1013"/>
      <c r="W1641" s="138"/>
      <c r="AQ1641" s="138"/>
    </row>
    <row r="1642" spans="22:43" x14ac:dyDescent="0.35">
      <c r="V1642" s="1013"/>
      <c r="W1642" s="138"/>
      <c r="AQ1642" s="138"/>
    </row>
    <row r="1643" spans="22:43" x14ac:dyDescent="0.35">
      <c r="V1643" s="1013"/>
      <c r="W1643" s="138"/>
      <c r="AQ1643" s="138"/>
    </row>
    <row r="1644" spans="22:43" x14ac:dyDescent="0.35">
      <c r="V1644" s="1013"/>
      <c r="W1644" s="138"/>
      <c r="AQ1644" s="138"/>
    </row>
    <row r="1645" spans="22:43" x14ac:dyDescent="0.35">
      <c r="V1645" s="1013"/>
      <c r="W1645" s="138"/>
      <c r="AQ1645" s="138"/>
    </row>
    <row r="1646" spans="22:43" x14ac:dyDescent="0.35">
      <c r="V1646" s="1013"/>
      <c r="W1646" s="138"/>
      <c r="AQ1646" s="138"/>
    </row>
    <row r="1647" spans="22:43" x14ac:dyDescent="0.35">
      <c r="V1647" s="1013"/>
      <c r="W1647" s="138"/>
      <c r="AQ1647" s="138"/>
    </row>
    <row r="1648" spans="22:43" x14ac:dyDescent="0.35">
      <c r="V1648" s="1013"/>
      <c r="W1648" s="138"/>
      <c r="AQ1648" s="138"/>
    </row>
    <row r="1649" spans="22:43" x14ac:dyDescent="0.35">
      <c r="V1649" s="1013"/>
      <c r="W1649" s="138"/>
      <c r="AQ1649" s="138"/>
    </row>
    <row r="1650" spans="22:43" x14ac:dyDescent="0.35">
      <c r="V1650" s="1013"/>
      <c r="W1650" s="138"/>
      <c r="AQ1650" s="138"/>
    </row>
    <row r="1651" spans="22:43" x14ac:dyDescent="0.35">
      <c r="V1651" s="1013"/>
      <c r="W1651" s="138"/>
      <c r="AQ1651" s="138"/>
    </row>
    <row r="1652" spans="22:43" x14ac:dyDescent="0.35">
      <c r="V1652" s="1013"/>
      <c r="W1652" s="138"/>
      <c r="AQ1652" s="138"/>
    </row>
    <row r="1653" spans="22:43" x14ac:dyDescent="0.35">
      <c r="V1653" s="1013"/>
      <c r="W1653" s="138"/>
      <c r="AQ1653" s="138"/>
    </row>
    <row r="1654" spans="22:43" x14ac:dyDescent="0.35">
      <c r="V1654" s="1013"/>
      <c r="W1654" s="138"/>
      <c r="AQ1654" s="138"/>
    </row>
    <row r="1655" spans="22:43" x14ac:dyDescent="0.35">
      <c r="V1655" s="1013"/>
      <c r="W1655" s="138"/>
      <c r="AQ1655" s="138"/>
    </row>
    <row r="1656" spans="22:43" x14ac:dyDescent="0.35">
      <c r="V1656" s="1013"/>
      <c r="W1656" s="138"/>
      <c r="AQ1656" s="138"/>
    </row>
    <row r="1657" spans="22:43" x14ac:dyDescent="0.35">
      <c r="V1657" s="1013"/>
      <c r="W1657" s="138"/>
      <c r="AQ1657" s="138"/>
    </row>
    <row r="1658" spans="22:43" x14ac:dyDescent="0.35">
      <c r="V1658" s="1013"/>
      <c r="W1658" s="138"/>
      <c r="AQ1658" s="138"/>
    </row>
    <row r="1659" spans="22:43" x14ac:dyDescent="0.35">
      <c r="V1659" s="1013"/>
      <c r="W1659" s="138"/>
      <c r="AQ1659" s="138"/>
    </row>
    <row r="1660" spans="22:43" x14ac:dyDescent="0.35">
      <c r="V1660" s="1013"/>
      <c r="W1660" s="138"/>
      <c r="AQ1660" s="138"/>
    </row>
    <row r="1661" spans="22:43" x14ac:dyDescent="0.35">
      <c r="V1661" s="1013"/>
      <c r="W1661" s="138"/>
      <c r="AQ1661" s="138"/>
    </row>
    <row r="1662" spans="22:43" x14ac:dyDescent="0.35">
      <c r="V1662" s="1013"/>
      <c r="W1662" s="138"/>
      <c r="AQ1662" s="138"/>
    </row>
    <row r="1663" spans="22:43" x14ac:dyDescent="0.35">
      <c r="V1663" s="1013"/>
      <c r="W1663" s="138"/>
      <c r="AQ1663" s="138"/>
    </row>
    <row r="1664" spans="22:43" x14ac:dyDescent="0.35">
      <c r="V1664" s="1013"/>
      <c r="W1664" s="138"/>
      <c r="AQ1664" s="138"/>
    </row>
    <row r="1665" spans="22:43" x14ac:dyDescent="0.35">
      <c r="V1665" s="1013"/>
      <c r="W1665" s="138"/>
      <c r="AQ1665" s="138"/>
    </row>
    <row r="1666" spans="22:43" x14ac:dyDescent="0.35">
      <c r="V1666" s="1013"/>
      <c r="W1666" s="138"/>
      <c r="AQ1666" s="138"/>
    </row>
    <row r="1667" spans="22:43" x14ac:dyDescent="0.35">
      <c r="V1667" s="1013"/>
      <c r="W1667" s="138"/>
      <c r="AQ1667" s="138"/>
    </row>
    <row r="1668" spans="22:43" x14ac:dyDescent="0.35">
      <c r="V1668" s="1013"/>
      <c r="W1668" s="138"/>
      <c r="AQ1668" s="138"/>
    </row>
    <row r="1669" spans="22:43" x14ac:dyDescent="0.35">
      <c r="V1669" s="1013"/>
      <c r="W1669" s="138"/>
      <c r="AQ1669" s="138"/>
    </row>
    <row r="1670" spans="22:43" x14ac:dyDescent="0.35">
      <c r="V1670" s="1013"/>
      <c r="W1670" s="138"/>
      <c r="AQ1670" s="138"/>
    </row>
    <row r="1671" spans="22:43" x14ac:dyDescent="0.35">
      <c r="V1671" s="1013"/>
      <c r="W1671" s="138"/>
      <c r="AQ1671" s="138"/>
    </row>
    <row r="1672" spans="22:43" x14ac:dyDescent="0.35">
      <c r="V1672" s="1013"/>
      <c r="W1672" s="138"/>
      <c r="AQ1672" s="138"/>
    </row>
    <row r="1673" spans="22:43" x14ac:dyDescent="0.35">
      <c r="V1673" s="1013"/>
      <c r="W1673" s="138"/>
      <c r="AQ1673" s="138"/>
    </row>
    <row r="1674" spans="22:43" x14ac:dyDescent="0.35">
      <c r="V1674" s="1013"/>
      <c r="W1674" s="138"/>
      <c r="AQ1674" s="138"/>
    </row>
    <row r="1675" spans="22:43" x14ac:dyDescent="0.35">
      <c r="V1675" s="1013"/>
      <c r="W1675" s="138"/>
      <c r="AQ1675" s="138"/>
    </row>
    <row r="1676" spans="22:43" x14ac:dyDescent="0.35">
      <c r="V1676" s="1013"/>
      <c r="W1676" s="138"/>
      <c r="AQ1676" s="138"/>
    </row>
    <row r="1677" spans="22:43" x14ac:dyDescent="0.35">
      <c r="V1677" s="1013"/>
      <c r="W1677" s="138"/>
      <c r="AQ1677" s="138"/>
    </row>
    <row r="1678" spans="22:43" x14ac:dyDescent="0.35">
      <c r="V1678" s="1013"/>
      <c r="W1678" s="138"/>
      <c r="AQ1678" s="138"/>
    </row>
    <row r="1679" spans="22:43" x14ac:dyDescent="0.35">
      <c r="V1679" s="1013"/>
      <c r="W1679" s="138"/>
      <c r="AQ1679" s="138"/>
    </row>
    <row r="1680" spans="22:43" x14ac:dyDescent="0.35">
      <c r="V1680" s="1013"/>
      <c r="W1680" s="138"/>
      <c r="AQ1680" s="138"/>
    </row>
    <row r="1681" spans="22:43" x14ac:dyDescent="0.35">
      <c r="V1681" s="1013"/>
      <c r="W1681" s="138"/>
      <c r="AQ1681" s="138"/>
    </row>
    <row r="1682" spans="22:43" x14ac:dyDescent="0.35">
      <c r="V1682" s="1013"/>
      <c r="W1682" s="138"/>
      <c r="AQ1682" s="138"/>
    </row>
    <row r="1683" spans="22:43" x14ac:dyDescent="0.35">
      <c r="V1683" s="1013"/>
      <c r="W1683" s="138"/>
      <c r="AQ1683" s="138"/>
    </row>
    <row r="1684" spans="22:43" x14ac:dyDescent="0.35">
      <c r="V1684" s="1013"/>
      <c r="W1684" s="138"/>
      <c r="AQ1684" s="138"/>
    </row>
    <row r="1685" spans="22:43" x14ac:dyDescent="0.35">
      <c r="V1685" s="1013"/>
      <c r="W1685" s="138"/>
      <c r="AQ1685" s="138"/>
    </row>
    <row r="1686" spans="22:43" x14ac:dyDescent="0.35">
      <c r="V1686" s="1013"/>
      <c r="W1686" s="138"/>
      <c r="AQ1686" s="138"/>
    </row>
    <row r="1687" spans="22:43" x14ac:dyDescent="0.35">
      <c r="V1687" s="1013"/>
      <c r="W1687" s="138"/>
      <c r="AQ1687" s="138"/>
    </row>
    <row r="1688" spans="22:43" x14ac:dyDescent="0.35">
      <c r="V1688" s="1013"/>
      <c r="W1688" s="138"/>
      <c r="AQ1688" s="138"/>
    </row>
    <row r="1689" spans="22:43" x14ac:dyDescent="0.35">
      <c r="V1689" s="1013"/>
      <c r="W1689" s="138"/>
      <c r="AQ1689" s="138"/>
    </row>
    <row r="1690" spans="22:43" x14ac:dyDescent="0.35">
      <c r="V1690" s="1013"/>
      <c r="W1690" s="138"/>
      <c r="AQ1690" s="138"/>
    </row>
    <row r="1691" spans="22:43" x14ac:dyDescent="0.35">
      <c r="V1691" s="1013"/>
      <c r="W1691" s="138"/>
      <c r="AQ1691" s="138"/>
    </row>
    <row r="1692" spans="22:43" x14ac:dyDescent="0.35">
      <c r="V1692" s="1013"/>
      <c r="W1692" s="138"/>
      <c r="AQ1692" s="138"/>
    </row>
    <row r="1693" spans="22:43" x14ac:dyDescent="0.35">
      <c r="V1693" s="1013"/>
      <c r="W1693" s="138"/>
      <c r="AQ1693" s="138"/>
    </row>
    <row r="1694" spans="22:43" x14ac:dyDescent="0.35">
      <c r="V1694" s="1013"/>
      <c r="W1694" s="138"/>
      <c r="AQ1694" s="138"/>
    </row>
    <row r="1695" spans="22:43" x14ac:dyDescent="0.35">
      <c r="V1695" s="1013"/>
      <c r="W1695" s="138"/>
      <c r="AQ1695" s="138"/>
    </row>
    <row r="1696" spans="22:43" x14ac:dyDescent="0.35">
      <c r="V1696" s="1013"/>
      <c r="W1696" s="138"/>
      <c r="AQ1696" s="138"/>
    </row>
    <row r="1697" spans="22:43" x14ac:dyDescent="0.35">
      <c r="V1697" s="1013"/>
      <c r="W1697" s="138"/>
      <c r="AQ1697" s="138"/>
    </row>
    <row r="1698" spans="22:43" x14ac:dyDescent="0.35">
      <c r="V1698" s="1013"/>
      <c r="W1698" s="138"/>
      <c r="AQ1698" s="138"/>
    </row>
    <row r="1699" spans="22:43" x14ac:dyDescent="0.35">
      <c r="V1699" s="1013"/>
      <c r="W1699" s="138"/>
      <c r="AQ1699" s="138"/>
    </row>
    <row r="1700" spans="22:43" x14ac:dyDescent="0.35">
      <c r="V1700" s="1013"/>
      <c r="W1700" s="138"/>
      <c r="AQ1700" s="138"/>
    </row>
    <row r="1701" spans="22:43" x14ac:dyDescent="0.35">
      <c r="V1701" s="1013"/>
      <c r="W1701" s="138"/>
      <c r="AQ1701" s="138"/>
    </row>
    <row r="1702" spans="22:43" x14ac:dyDescent="0.35">
      <c r="V1702" s="1013"/>
      <c r="W1702" s="138"/>
      <c r="AQ1702" s="138"/>
    </row>
    <row r="1703" spans="22:43" x14ac:dyDescent="0.35">
      <c r="V1703" s="1013"/>
      <c r="W1703" s="138"/>
      <c r="AQ1703" s="138"/>
    </row>
    <row r="1704" spans="22:43" x14ac:dyDescent="0.35">
      <c r="V1704" s="1013"/>
      <c r="W1704" s="138"/>
      <c r="AQ1704" s="138"/>
    </row>
    <row r="1705" spans="22:43" x14ac:dyDescent="0.35">
      <c r="V1705" s="1013"/>
      <c r="W1705" s="138"/>
      <c r="AQ1705" s="138"/>
    </row>
    <row r="1706" spans="22:43" x14ac:dyDescent="0.35">
      <c r="V1706" s="1013"/>
      <c r="W1706" s="138"/>
      <c r="AQ1706" s="138"/>
    </row>
    <row r="1707" spans="22:43" x14ac:dyDescent="0.35">
      <c r="V1707" s="1013"/>
      <c r="W1707" s="138"/>
      <c r="AQ1707" s="138"/>
    </row>
    <row r="1708" spans="22:43" x14ac:dyDescent="0.35">
      <c r="V1708" s="1013"/>
      <c r="W1708" s="138"/>
      <c r="AQ1708" s="138"/>
    </row>
    <row r="1709" spans="22:43" x14ac:dyDescent="0.35">
      <c r="V1709" s="1013"/>
      <c r="W1709" s="138"/>
      <c r="AQ1709" s="138"/>
    </row>
    <row r="1710" spans="22:43" x14ac:dyDescent="0.35">
      <c r="V1710" s="1013"/>
      <c r="W1710" s="138"/>
      <c r="AQ1710" s="138"/>
    </row>
    <row r="1711" spans="22:43" x14ac:dyDescent="0.35">
      <c r="V1711" s="1013"/>
      <c r="W1711" s="138"/>
      <c r="AQ1711" s="138"/>
    </row>
    <row r="1712" spans="22:43" x14ac:dyDescent="0.35">
      <c r="V1712" s="1013"/>
      <c r="W1712" s="138"/>
      <c r="AQ1712" s="138"/>
    </row>
    <row r="1713" spans="22:43" x14ac:dyDescent="0.35">
      <c r="V1713" s="1013"/>
      <c r="W1713" s="138"/>
      <c r="AQ1713" s="138"/>
    </row>
    <row r="1714" spans="22:43" x14ac:dyDescent="0.35">
      <c r="V1714" s="1013"/>
      <c r="W1714" s="138"/>
      <c r="AQ1714" s="138"/>
    </row>
    <row r="1715" spans="22:43" x14ac:dyDescent="0.35">
      <c r="V1715" s="1013"/>
      <c r="W1715" s="138"/>
      <c r="AQ1715" s="138"/>
    </row>
    <row r="1716" spans="22:43" x14ac:dyDescent="0.35">
      <c r="V1716" s="1013"/>
      <c r="W1716" s="138"/>
      <c r="AQ1716" s="138"/>
    </row>
    <row r="1717" spans="22:43" x14ac:dyDescent="0.35">
      <c r="V1717" s="1013"/>
      <c r="W1717" s="138"/>
      <c r="AQ1717" s="138"/>
    </row>
    <row r="1718" spans="22:43" x14ac:dyDescent="0.35">
      <c r="V1718" s="1013"/>
      <c r="W1718" s="138"/>
      <c r="AQ1718" s="138"/>
    </row>
    <row r="1719" spans="22:43" x14ac:dyDescent="0.35">
      <c r="V1719" s="1013"/>
      <c r="W1719" s="138"/>
      <c r="AQ1719" s="138"/>
    </row>
    <row r="1720" spans="22:43" x14ac:dyDescent="0.35">
      <c r="V1720" s="1013"/>
      <c r="W1720" s="138"/>
      <c r="AQ1720" s="138"/>
    </row>
    <row r="1721" spans="22:43" x14ac:dyDescent="0.35">
      <c r="V1721" s="1013"/>
      <c r="W1721" s="138"/>
      <c r="AQ1721" s="138"/>
    </row>
    <row r="1722" spans="22:43" x14ac:dyDescent="0.35">
      <c r="V1722" s="1013"/>
      <c r="W1722" s="138"/>
      <c r="AQ1722" s="138"/>
    </row>
    <row r="1723" spans="22:43" x14ac:dyDescent="0.35">
      <c r="V1723" s="1013"/>
      <c r="W1723" s="138"/>
      <c r="AQ1723" s="138"/>
    </row>
    <row r="1724" spans="22:43" x14ac:dyDescent="0.35">
      <c r="V1724" s="1013"/>
      <c r="W1724" s="138"/>
      <c r="AQ1724" s="138"/>
    </row>
    <row r="1725" spans="22:43" x14ac:dyDescent="0.35">
      <c r="V1725" s="1013"/>
      <c r="W1725" s="138"/>
      <c r="AQ1725" s="138"/>
    </row>
    <row r="1726" spans="22:43" x14ac:dyDescent="0.35">
      <c r="V1726" s="1013"/>
      <c r="W1726" s="138"/>
      <c r="AQ1726" s="138"/>
    </row>
    <row r="1727" spans="22:43" x14ac:dyDescent="0.35">
      <c r="V1727" s="1013"/>
      <c r="W1727" s="138"/>
      <c r="AQ1727" s="138"/>
    </row>
    <row r="1728" spans="22:43" x14ac:dyDescent="0.35">
      <c r="V1728" s="1013"/>
      <c r="W1728" s="138"/>
      <c r="AQ1728" s="138"/>
    </row>
    <row r="1729" spans="22:43" x14ac:dyDescent="0.35">
      <c r="V1729" s="1013"/>
      <c r="W1729" s="138"/>
      <c r="AQ1729" s="138"/>
    </row>
    <row r="1730" spans="22:43" x14ac:dyDescent="0.35">
      <c r="V1730" s="1013"/>
      <c r="W1730" s="138"/>
      <c r="AQ1730" s="138"/>
    </row>
    <row r="1731" spans="22:43" x14ac:dyDescent="0.35">
      <c r="V1731" s="1013"/>
      <c r="W1731" s="138"/>
      <c r="AQ1731" s="138"/>
    </row>
    <row r="1732" spans="22:43" x14ac:dyDescent="0.35">
      <c r="V1732" s="1013"/>
      <c r="W1732" s="138"/>
      <c r="AQ1732" s="138"/>
    </row>
    <row r="1733" spans="22:43" x14ac:dyDescent="0.35">
      <c r="V1733" s="1013"/>
      <c r="W1733" s="138"/>
      <c r="AQ1733" s="138"/>
    </row>
    <row r="1734" spans="22:43" x14ac:dyDescent="0.35">
      <c r="V1734" s="1013"/>
      <c r="W1734" s="138"/>
      <c r="AQ1734" s="138"/>
    </row>
    <row r="1735" spans="22:43" x14ac:dyDescent="0.35">
      <c r="V1735" s="1013"/>
      <c r="W1735" s="138"/>
      <c r="AQ1735" s="138"/>
    </row>
    <row r="1736" spans="22:43" x14ac:dyDescent="0.35">
      <c r="V1736" s="1013"/>
      <c r="W1736" s="138"/>
      <c r="AQ1736" s="138"/>
    </row>
    <row r="1737" spans="22:43" x14ac:dyDescent="0.35">
      <c r="V1737" s="1013"/>
      <c r="W1737" s="138"/>
      <c r="AQ1737" s="138"/>
    </row>
    <row r="1738" spans="22:43" x14ac:dyDescent="0.35">
      <c r="V1738" s="1013"/>
      <c r="W1738" s="138"/>
      <c r="AQ1738" s="138"/>
    </row>
    <row r="1739" spans="22:43" x14ac:dyDescent="0.35">
      <c r="V1739" s="1013"/>
      <c r="W1739" s="138"/>
      <c r="AQ1739" s="138"/>
    </row>
    <row r="1740" spans="22:43" x14ac:dyDescent="0.35">
      <c r="V1740" s="1013"/>
      <c r="W1740" s="138"/>
      <c r="AQ1740" s="138"/>
    </row>
    <row r="1741" spans="22:43" x14ac:dyDescent="0.35">
      <c r="V1741" s="1013"/>
      <c r="W1741" s="138"/>
      <c r="AQ1741" s="138"/>
    </row>
    <row r="1742" spans="22:43" x14ac:dyDescent="0.35">
      <c r="V1742" s="1013"/>
      <c r="W1742" s="138"/>
      <c r="AQ1742" s="138"/>
    </row>
    <row r="1743" spans="22:43" x14ac:dyDescent="0.35">
      <c r="V1743" s="1013"/>
      <c r="W1743" s="138"/>
      <c r="AQ1743" s="138"/>
    </row>
    <row r="1744" spans="22:43" x14ac:dyDescent="0.35">
      <c r="V1744" s="1013"/>
      <c r="W1744" s="138"/>
      <c r="AQ1744" s="138"/>
    </row>
    <row r="1745" spans="22:43" x14ac:dyDescent="0.35">
      <c r="V1745" s="1013"/>
      <c r="W1745" s="138"/>
      <c r="AQ1745" s="138"/>
    </row>
    <row r="1746" spans="22:43" x14ac:dyDescent="0.35">
      <c r="V1746" s="1013"/>
      <c r="W1746" s="138"/>
      <c r="AQ1746" s="138"/>
    </row>
    <row r="1747" spans="22:43" x14ac:dyDescent="0.35">
      <c r="V1747" s="1013"/>
      <c r="W1747" s="138"/>
      <c r="AQ1747" s="138"/>
    </row>
    <row r="1748" spans="22:43" x14ac:dyDescent="0.35">
      <c r="V1748" s="1013"/>
      <c r="W1748" s="138"/>
      <c r="AQ1748" s="138"/>
    </row>
    <row r="1749" spans="22:43" x14ac:dyDescent="0.35">
      <c r="V1749" s="1013"/>
      <c r="W1749" s="138"/>
      <c r="AQ1749" s="138"/>
    </row>
    <row r="1750" spans="22:43" x14ac:dyDescent="0.35">
      <c r="V1750" s="1013"/>
      <c r="W1750" s="138"/>
      <c r="AQ1750" s="138"/>
    </row>
    <row r="1751" spans="22:43" x14ac:dyDescent="0.35">
      <c r="V1751" s="1013"/>
      <c r="W1751" s="138"/>
      <c r="AQ1751" s="138"/>
    </row>
    <row r="1752" spans="22:43" x14ac:dyDescent="0.35">
      <c r="V1752" s="1013"/>
      <c r="W1752" s="138"/>
      <c r="AQ1752" s="138"/>
    </row>
    <row r="1753" spans="22:43" x14ac:dyDescent="0.35">
      <c r="V1753" s="1013"/>
      <c r="W1753" s="138"/>
      <c r="AQ1753" s="138"/>
    </row>
    <row r="1754" spans="22:43" x14ac:dyDescent="0.35">
      <c r="V1754" s="1013"/>
      <c r="W1754" s="138"/>
      <c r="AQ1754" s="138"/>
    </row>
    <row r="1755" spans="22:43" x14ac:dyDescent="0.35">
      <c r="V1755" s="1013"/>
      <c r="W1755" s="138"/>
      <c r="AQ1755" s="138"/>
    </row>
    <row r="1756" spans="22:43" x14ac:dyDescent="0.35">
      <c r="V1756" s="1013"/>
      <c r="W1756" s="138"/>
      <c r="AQ1756" s="138"/>
    </row>
    <row r="1757" spans="22:43" x14ac:dyDescent="0.35">
      <c r="V1757" s="1013"/>
      <c r="W1757" s="138"/>
      <c r="AQ1757" s="138"/>
    </row>
    <row r="1758" spans="22:43" x14ac:dyDescent="0.35">
      <c r="V1758" s="1013"/>
      <c r="W1758" s="138"/>
      <c r="AQ1758" s="138"/>
    </row>
    <row r="1759" spans="22:43" x14ac:dyDescent="0.35">
      <c r="V1759" s="1013"/>
      <c r="W1759" s="138"/>
      <c r="AQ1759" s="138"/>
    </row>
    <row r="1760" spans="22:43" x14ac:dyDescent="0.35">
      <c r="V1760" s="1013"/>
      <c r="W1760" s="138"/>
      <c r="AQ1760" s="138"/>
    </row>
    <row r="1761" spans="22:43" x14ac:dyDescent="0.35">
      <c r="V1761" s="1013"/>
      <c r="W1761" s="138"/>
      <c r="AQ1761" s="138"/>
    </row>
    <row r="1762" spans="22:43" x14ac:dyDescent="0.35">
      <c r="V1762" s="1013"/>
      <c r="W1762" s="138"/>
      <c r="AQ1762" s="138"/>
    </row>
    <row r="1763" spans="22:43" x14ac:dyDescent="0.35">
      <c r="V1763" s="1013"/>
      <c r="W1763" s="138"/>
      <c r="AQ1763" s="138"/>
    </row>
    <row r="1764" spans="22:43" x14ac:dyDescent="0.35">
      <c r="V1764" s="1013"/>
      <c r="W1764" s="138"/>
      <c r="AQ1764" s="138"/>
    </row>
    <row r="1765" spans="22:43" x14ac:dyDescent="0.35">
      <c r="V1765" s="1013"/>
      <c r="W1765" s="138"/>
      <c r="AQ1765" s="138"/>
    </row>
    <row r="1766" spans="22:43" x14ac:dyDescent="0.35">
      <c r="V1766" s="1013"/>
      <c r="W1766" s="138"/>
      <c r="AQ1766" s="138"/>
    </row>
    <row r="1767" spans="22:43" x14ac:dyDescent="0.35">
      <c r="V1767" s="1013"/>
      <c r="W1767" s="138"/>
      <c r="AQ1767" s="138"/>
    </row>
    <row r="1768" spans="22:43" x14ac:dyDescent="0.35">
      <c r="V1768" s="1013"/>
      <c r="W1768" s="138"/>
      <c r="AQ1768" s="138"/>
    </row>
    <row r="1769" spans="22:43" x14ac:dyDescent="0.35">
      <c r="V1769" s="1013"/>
      <c r="W1769" s="138"/>
      <c r="AQ1769" s="138"/>
    </row>
    <row r="1770" spans="22:43" x14ac:dyDescent="0.35">
      <c r="V1770" s="1013"/>
      <c r="W1770" s="138"/>
      <c r="AQ1770" s="138"/>
    </row>
    <row r="1771" spans="22:43" x14ac:dyDescent="0.35">
      <c r="V1771" s="1013"/>
      <c r="W1771" s="138"/>
      <c r="AQ1771" s="138"/>
    </row>
    <row r="1772" spans="22:43" x14ac:dyDescent="0.35">
      <c r="V1772" s="1013"/>
      <c r="W1772" s="138"/>
      <c r="AQ1772" s="138"/>
    </row>
    <row r="1773" spans="22:43" x14ac:dyDescent="0.35">
      <c r="V1773" s="1013"/>
      <c r="W1773" s="138"/>
      <c r="AQ1773" s="138"/>
    </row>
    <row r="1774" spans="22:43" x14ac:dyDescent="0.35">
      <c r="V1774" s="1013"/>
      <c r="W1774" s="138"/>
      <c r="AQ1774" s="138"/>
    </row>
    <row r="1775" spans="22:43" x14ac:dyDescent="0.35">
      <c r="V1775" s="1013"/>
      <c r="W1775" s="138"/>
      <c r="AQ1775" s="138"/>
    </row>
    <row r="1776" spans="22:43" x14ac:dyDescent="0.35">
      <c r="V1776" s="1013"/>
      <c r="W1776" s="138"/>
      <c r="AQ1776" s="138"/>
    </row>
    <row r="1777" spans="22:43" x14ac:dyDescent="0.35">
      <c r="V1777" s="1013"/>
      <c r="W1777" s="138"/>
      <c r="AQ1777" s="138"/>
    </row>
    <row r="1778" spans="22:43" x14ac:dyDescent="0.35">
      <c r="V1778" s="1013"/>
      <c r="W1778" s="138"/>
      <c r="AQ1778" s="138"/>
    </row>
    <row r="1779" spans="22:43" x14ac:dyDescent="0.35">
      <c r="V1779" s="1013"/>
      <c r="W1779" s="138"/>
      <c r="AQ1779" s="138"/>
    </row>
    <row r="1780" spans="22:43" x14ac:dyDescent="0.35">
      <c r="V1780" s="1013"/>
      <c r="W1780" s="138"/>
      <c r="AQ1780" s="138"/>
    </row>
    <row r="1781" spans="22:43" x14ac:dyDescent="0.35">
      <c r="V1781" s="1013"/>
      <c r="W1781" s="138"/>
      <c r="AQ1781" s="138"/>
    </row>
    <row r="1782" spans="22:43" x14ac:dyDescent="0.35">
      <c r="V1782" s="1013"/>
      <c r="W1782" s="138"/>
      <c r="AQ1782" s="138"/>
    </row>
    <row r="1783" spans="22:43" x14ac:dyDescent="0.35">
      <c r="V1783" s="1013"/>
      <c r="W1783" s="138"/>
      <c r="AQ1783" s="138"/>
    </row>
    <row r="1784" spans="22:43" x14ac:dyDescent="0.35">
      <c r="V1784" s="1013"/>
      <c r="W1784" s="138"/>
      <c r="AQ1784" s="138"/>
    </row>
    <row r="1785" spans="22:43" x14ac:dyDescent="0.35">
      <c r="V1785" s="1013"/>
      <c r="W1785" s="138"/>
      <c r="AQ1785" s="138"/>
    </row>
    <row r="1786" spans="22:43" x14ac:dyDescent="0.35">
      <c r="V1786" s="1013"/>
      <c r="W1786" s="138"/>
      <c r="AQ1786" s="138"/>
    </row>
    <row r="1787" spans="22:43" x14ac:dyDescent="0.35">
      <c r="V1787" s="1013"/>
      <c r="W1787" s="138"/>
      <c r="AQ1787" s="138"/>
    </row>
    <row r="1788" spans="22:43" x14ac:dyDescent="0.35">
      <c r="V1788" s="1013"/>
      <c r="W1788" s="138"/>
      <c r="AQ1788" s="138"/>
    </row>
    <row r="1789" spans="22:43" x14ac:dyDescent="0.35">
      <c r="V1789" s="1013"/>
      <c r="W1789" s="138"/>
      <c r="AQ1789" s="138"/>
    </row>
    <row r="1790" spans="22:43" x14ac:dyDescent="0.35">
      <c r="V1790" s="1013"/>
      <c r="W1790" s="138"/>
      <c r="AQ1790" s="138"/>
    </row>
    <row r="1791" spans="22:43" x14ac:dyDescent="0.35">
      <c r="V1791" s="1013"/>
      <c r="W1791" s="138"/>
      <c r="AQ1791" s="138"/>
    </row>
    <row r="1792" spans="22:43" x14ac:dyDescent="0.35">
      <c r="V1792" s="1013"/>
      <c r="W1792" s="138"/>
      <c r="AQ1792" s="138"/>
    </row>
    <row r="1793" spans="22:43" x14ac:dyDescent="0.35">
      <c r="V1793" s="1013"/>
      <c r="W1793" s="138"/>
      <c r="AQ1793" s="138"/>
    </row>
    <row r="1794" spans="22:43" x14ac:dyDescent="0.35">
      <c r="V1794" s="1013"/>
      <c r="W1794" s="138"/>
      <c r="AQ1794" s="138"/>
    </row>
    <row r="1795" spans="22:43" x14ac:dyDescent="0.35">
      <c r="V1795" s="1013"/>
      <c r="W1795" s="138"/>
      <c r="AQ1795" s="138"/>
    </row>
    <row r="1796" spans="22:43" x14ac:dyDescent="0.35">
      <c r="V1796" s="1013"/>
      <c r="W1796" s="138"/>
      <c r="AQ1796" s="138"/>
    </row>
    <row r="1797" spans="22:43" x14ac:dyDescent="0.35">
      <c r="V1797" s="1013"/>
      <c r="W1797" s="138"/>
      <c r="AQ1797" s="138"/>
    </row>
    <row r="1798" spans="22:43" x14ac:dyDescent="0.35">
      <c r="V1798" s="1013"/>
      <c r="W1798" s="138"/>
      <c r="AQ1798" s="138"/>
    </row>
    <row r="1799" spans="22:43" x14ac:dyDescent="0.35">
      <c r="V1799" s="1013"/>
      <c r="W1799" s="138"/>
      <c r="AQ1799" s="138"/>
    </row>
    <row r="1800" spans="22:43" x14ac:dyDescent="0.35">
      <c r="V1800" s="1013"/>
      <c r="W1800" s="138"/>
      <c r="AQ1800" s="138"/>
    </row>
    <row r="1801" spans="22:43" x14ac:dyDescent="0.35">
      <c r="V1801" s="1013"/>
      <c r="W1801" s="138"/>
      <c r="AQ1801" s="138"/>
    </row>
    <row r="1802" spans="22:43" x14ac:dyDescent="0.35">
      <c r="V1802" s="1013"/>
      <c r="W1802" s="138"/>
      <c r="AQ1802" s="138"/>
    </row>
    <row r="1803" spans="22:43" x14ac:dyDescent="0.35">
      <c r="V1803" s="1013"/>
      <c r="W1803" s="138"/>
      <c r="AQ1803" s="138"/>
    </row>
    <row r="1804" spans="22:43" x14ac:dyDescent="0.35">
      <c r="V1804" s="1013"/>
      <c r="W1804" s="138"/>
      <c r="AQ1804" s="138"/>
    </row>
    <row r="1805" spans="22:43" x14ac:dyDescent="0.35">
      <c r="V1805" s="1013"/>
      <c r="W1805" s="138"/>
      <c r="AQ1805" s="138"/>
    </row>
    <row r="1806" spans="22:43" x14ac:dyDescent="0.35">
      <c r="V1806" s="1013"/>
      <c r="W1806" s="138"/>
      <c r="AQ1806" s="138"/>
    </row>
    <row r="1807" spans="22:43" x14ac:dyDescent="0.35">
      <c r="V1807" s="1013"/>
      <c r="W1807" s="138"/>
      <c r="AQ1807" s="138"/>
    </row>
    <row r="1808" spans="22:43" x14ac:dyDescent="0.35">
      <c r="V1808" s="1013"/>
      <c r="W1808" s="138"/>
      <c r="AQ1808" s="138"/>
    </row>
    <row r="1809" spans="22:43" x14ac:dyDescent="0.35">
      <c r="V1809" s="1013"/>
      <c r="W1809" s="138"/>
      <c r="AQ1809" s="138"/>
    </row>
    <row r="1810" spans="22:43" x14ac:dyDescent="0.35">
      <c r="V1810" s="1013"/>
      <c r="W1810" s="138"/>
      <c r="AQ1810" s="138"/>
    </row>
    <row r="1811" spans="22:43" x14ac:dyDescent="0.35">
      <c r="V1811" s="1013"/>
      <c r="W1811" s="138"/>
      <c r="AQ1811" s="138"/>
    </row>
    <row r="1812" spans="22:43" x14ac:dyDescent="0.35">
      <c r="V1812" s="1013"/>
      <c r="W1812" s="138"/>
      <c r="AQ1812" s="138"/>
    </row>
    <row r="1813" spans="22:43" x14ac:dyDescent="0.35">
      <c r="V1813" s="1013"/>
      <c r="W1813" s="138"/>
      <c r="AQ1813" s="138"/>
    </row>
    <row r="1814" spans="22:43" x14ac:dyDescent="0.35">
      <c r="V1814" s="1013"/>
      <c r="W1814" s="138"/>
      <c r="AQ1814" s="138"/>
    </row>
    <row r="1815" spans="22:43" x14ac:dyDescent="0.35">
      <c r="V1815" s="1013"/>
      <c r="W1815" s="138"/>
      <c r="AQ1815" s="138"/>
    </row>
    <row r="1816" spans="22:43" x14ac:dyDescent="0.35">
      <c r="V1816" s="1013"/>
      <c r="W1816" s="138"/>
      <c r="AQ1816" s="138"/>
    </row>
    <row r="1817" spans="22:43" x14ac:dyDescent="0.35">
      <c r="V1817" s="1013"/>
      <c r="W1817" s="138"/>
      <c r="AQ1817" s="138"/>
    </row>
    <row r="1818" spans="22:43" x14ac:dyDescent="0.35">
      <c r="V1818" s="1013"/>
      <c r="W1818" s="138"/>
      <c r="AQ1818" s="138"/>
    </row>
    <row r="1819" spans="22:43" x14ac:dyDescent="0.35">
      <c r="V1819" s="1013"/>
      <c r="W1819" s="138"/>
      <c r="AQ1819" s="138"/>
    </row>
    <row r="1820" spans="22:43" x14ac:dyDescent="0.35">
      <c r="V1820" s="1013"/>
      <c r="W1820" s="138"/>
      <c r="AQ1820" s="138"/>
    </row>
    <row r="1821" spans="22:43" x14ac:dyDescent="0.35">
      <c r="V1821" s="1013"/>
      <c r="W1821" s="138"/>
      <c r="AQ1821" s="138"/>
    </row>
    <row r="1822" spans="22:43" x14ac:dyDescent="0.35">
      <c r="V1822" s="1013"/>
      <c r="W1822" s="138"/>
      <c r="AQ1822" s="138"/>
    </row>
    <row r="1823" spans="22:43" x14ac:dyDescent="0.35">
      <c r="V1823" s="1013"/>
      <c r="W1823" s="138"/>
      <c r="AQ1823" s="138"/>
    </row>
    <row r="1824" spans="22:43" x14ac:dyDescent="0.35">
      <c r="V1824" s="1013"/>
      <c r="W1824" s="138"/>
      <c r="AQ1824" s="138"/>
    </row>
    <row r="1825" spans="22:43" x14ac:dyDescent="0.35">
      <c r="V1825" s="1013"/>
      <c r="W1825" s="138"/>
      <c r="AQ1825" s="138"/>
    </row>
    <row r="1826" spans="22:43" x14ac:dyDescent="0.35">
      <c r="V1826" s="1013"/>
      <c r="W1826" s="138"/>
      <c r="AQ1826" s="138"/>
    </row>
    <row r="1827" spans="22:43" x14ac:dyDescent="0.35">
      <c r="V1827" s="1013"/>
      <c r="W1827" s="138"/>
      <c r="AQ1827" s="138"/>
    </row>
    <row r="1828" spans="22:43" x14ac:dyDescent="0.35">
      <c r="V1828" s="1013"/>
      <c r="W1828" s="138"/>
      <c r="AQ1828" s="138"/>
    </row>
    <row r="1829" spans="22:43" x14ac:dyDescent="0.35">
      <c r="V1829" s="1013"/>
      <c r="W1829" s="138"/>
      <c r="AQ1829" s="138"/>
    </row>
    <row r="1830" spans="22:43" x14ac:dyDescent="0.35">
      <c r="V1830" s="1013"/>
      <c r="W1830" s="138"/>
      <c r="AQ1830" s="138"/>
    </row>
    <row r="1831" spans="22:43" x14ac:dyDescent="0.35">
      <c r="V1831" s="1013"/>
      <c r="W1831" s="138"/>
      <c r="AQ1831" s="138"/>
    </row>
    <row r="1832" spans="22:43" x14ac:dyDescent="0.35">
      <c r="V1832" s="1013"/>
      <c r="W1832" s="138"/>
      <c r="AQ1832" s="138"/>
    </row>
    <row r="1833" spans="22:43" x14ac:dyDescent="0.35">
      <c r="V1833" s="1013"/>
      <c r="W1833" s="138"/>
      <c r="AQ1833" s="138"/>
    </row>
    <row r="1834" spans="22:43" x14ac:dyDescent="0.35">
      <c r="V1834" s="1013"/>
      <c r="W1834" s="138"/>
      <c r="AQ1834" s="138"/>
    </row>
    <row r="1835" spans="22:43" x14ac:dyDescent="0.35">
      <c r="V1835" s="1013"/>
      <c r="W1835" s="138"/>
      <c r="AQ1835" s="138"/>
    </row>
    <row r="1836" spans="22:43" x14ac:dyDescent="0.35">
      <c r="V1836" s="1013"/>
      <c r="W1836" s="138"/>
      <c r="AQ1836" s="138"/>
    </row>
    <row r="1837" spans="22:43" x14ac:dyDescent="0.35">
      <c r="V1837" s="1013"/>
      <c r="W1837" s="138"/>
      <c r="AQ1837" s="138"/>
    </row>
    <row r="1838" spans="22:43" x14ac:dyDescent="0.35">
      <c r="V1838" s="1013"/>
      <c r="W1838" s="138"/>
      <c r="AQ1838" s="138"/>
    </row>
    <row r="1839" spans="22:43" x14ac:dyDescent="0.35">
      <c r="V1839" s="1013"/>
      <c r="W1839" s="138"/>
      <c r="AQ1839" s="138"/>
    </row>
    <row r="1840" spans="22:43" x14ac:dyDescent="0.35">
      <c r="V1840" s="1013"/>
      <c r="W1840" s="138"/>
      <c r="AQ1840" s="138"/>
    </row>
    <row r="1841" spans="22:43" x14ac:dyDescent="0.35">
      <c r="V1841" s="1013"/>
      <c r="W1841" s="138"/>
      <c r="AQ1841" s="138"/>
    </row>
    <row r="1842" spans="22:43" x14ac:dyDescent="0.35">
      <c r="V1842" s="1013"/>
      <c r="W1842" s="138"/>
      <c r="AQ1842" s="138"/>
    </row>
    <row r="1843" spans="22:43" x14ac:dyDescent="0.35">
      <c r="V1843" s="1013"/>
      <c r="W1843" s="138"/>
      <c r="AQ1843" s="138"/>
    </row>
    <row r="1844" spans="22:43" x14ac:dyDescent="0.35">
      <c r="V1844" s="1013"/>
      <c r="W1844" s="138"/>
      <c r="AQ1844" s="138"/>
    </row>
    <row r="1845" spans="22:43" x14ac:dyDescent="0.35">
      <c r="V1845" s="1013"/>
      <c r="W1845" s="138"/>
      <c r="AQ1845" s="138"/>
    </row>
    <row r="1846" spans="22:43" x14ac:dyDescent="0.35">
      <c r="V1846" s="1013"/>
      <c r="W1846" s="138"/>
      <c r="AQ1846" s="138"/>
    </row>
    <row r="1847" spans="22:43" x14ac:dyDescent="0.35">
      <c r="V1847" s="1013"/>
      <c r="W1847" s="138"/>
      <c r="AQ1847" s="138"/>
    </row>
    <row r="1848" spans="22:43" x14ac:dyDescent="0.35">
      <c r="V1848" s="1013"/>
      <c r="W1848" s="138"/>
      <c r="AQ1848" s="138"/>
    </row>
    <row r="1849" spans="22:43" x14ac:dyDescent="0.35">
      <c r="V1849" s="1013"/>
      <c r="W1849" s="138"/>
      <c r="AQ1849" s="138"/>
    </row>
    <row r="1850" spans="22:43" x14ac:dyDescent="0.35">
      <c r="V1850" s="1013"/>
      <c r="W1850" s="138"/>
      <c r="AQ1850" s="138"/>
    </row>
    <row r="1851" spans="22:43" x14ac:dyDescent="0.35">
      <c r="V1851" s="1013"/>
      <c r="W1851" s="138"/>
      <c r="AQ1851" s="138"/>
    </row>
    <row r="1852" spans="22:43" x14ac:dyDescent="0.35">
      <c r="V1852" s="1013"/>
      <c r="W1852" s="138"/>
      <c r="AQ1852" s="138"/>
    </row>
    <row r="1853" spans="22:43" x14ac:dyDescent="0.35">
      <c r="V1853" s="1013"/>
      <c r="W1853" s="138"/>
      <c r="AQ1853" s="138"/>
    </row>
    <row r="1854" spans="22:43" x14ac:dyDescent="0.35">
      <c r="V1854" s="1013"/>
      <c r="W1854" s="138"/>
      <c r="AQ1854" s="138"/>
    </row>
    <row r="1855" spans="22:43" x14ac:dyDescent="0.35">
      <c r="V1855" s="1013"/>
      <c r="W1855" s="138"/>
      <c r="AQ1855" s="138"/>
    </row>
    <row r="1856" spans="22:43" x14ac:dyDescent="0.35">
      <c r="V1856" s="1013"/>
      <c r="W1856" s="138"/>
      <c r="AQ1856" s="138"/>
    </row>
    <row r="1857" spans="22:43" x14ac:dyDescent="0.35">
      <c r="V1857" s="1013"/>
      <c r="W1857" s="138"/>
      <c r="AQ1857" s="138"/>
    </row>
    <row r="1858" spans="22:43" x14ac:dyDescent="0.35">
      <c r="V1858" s="1013"/>
      <c r="W1858" s="138"/>
      <c r="AQ1858" s="138"/>
    </row>
    <row r="1859" spans="22:43" x14ac:dyDescent="0.35">
      <c r="V1859" s="1013"/>
      <c r="W1859" s="138"/>
      <c r="AQ1859" s="138"/>
    </row>
    <row r="1860" spans="22:43" x14ac:dyDescent="0.35">
      <c r="V1860" s="1013"/>
      <c r="W1860" s="138"/>
      <c r="AQ1860" s="138"/>
    </row>
    <row r="1861" spans="22:43" x14ac:dyDescent="0.35">
      <c r="V1861" s="1013"/>
      <c r="W1861" s="138"/>
      <c r="AQ1861" s="138"/>
    </row>
    <row r="1862" spans="22:43" x14ac:dyDescent="0.35">
      <c r="V1862" s="1013"/>
      <c r="W1862" s="138"/>
      <c r="AQ1862" s="138"/>
    </row>
    <row r="1863" spans="22:43" x14ac:dyDescent="0.35">
      <c r="V1863" s="1013"/>
      <c r="W1863" s="138"/>
      <c r="AQ1863" s="138"/>
    </row>
    <row r="1864" spans="22:43" x14ac:dyDescent="0.35">
      <c r="V1864" s="1013"/>
      <c r="W1864" s="138"/>
      <c r="AQ1864" s="138"/>
    </row>
    <row r="1865" spans="22:43" x14ac:dyDescent="0.35">
      <c r="V1865" s="1013"/>
      <c r="W1865" s="138"/>
      <c r="AQ1865" s="138"/>
    </row>
    <row r="1866" spans="22:43" x14ac:dyDescent="0.35">
      <c r="V1866" s="1013"/>
      <c r="W1866" s="138"/>
      <c r="AQ1866" s="138"/>
    </row>
    <row r="1867" spans="22:43" x14ac:dyDescent="0.35">
      <c r="V1867" s="1013"/>
      <c r="W1867" s="138"/>
      <c r="AQ1867" s="138"/>
    </row>
    <row r="1868" spans="22:43" x14ac:dyDescent="0.35">
      <c r="V1868" s="1013"/>
      <c r="W1868" s="138"/>
      <c r="AQ1868" s="138"/>
    </row>
    <row r="1869" spans="22:43" x14ac:dyDescent="0.35">
      <c r="V1869" s="1013"/>
      <c r="W1869" s="138"/>
      <c r="AQ1869" s="138"/>
    </row>
    <row r="1870" spans="22:43" x14ac:dyDescent="0.35">
      <c r="V1870" s="1013"/>
      <c r="W1870" s="138"/>
      <c r="AQ1870" s="138"/>
    </row>
    <row r="1871" spans="22:43" x14ac:dyDescent="0.35">
      <c r="V1871" s="1013"/>
      <c r="W1871" s="138"/>
      <c r="AQ1871" s="138"/>
    </row>
    <row r="1872" spans="22:43" x14ac:dyDescent="0.35">
      <c r="V1872" s="1013"/>
      <c r="W1872" s="138"/>
      <c r="AQ1872" s="138"/>
    </row>
    <row r="1873" spans="22:43" x14ac:dyDescent="0.35">
      <c r="V1873" s="1013"/>
      <c r="W1873" s="138"/>
      <c r="AQ1873" s="138"/>
    </row>
    <row r="1874" spans="22:43" x14ac:dyDescent="0.35">
      <c r="V1874" s="1013"/>
      <c r="W1874" s="138"/>
      <c r="AQ1874" s="138"/>
    </row>
    <row r="1875" spans="22:43" x14ac:dyDescent="0.35">
      <c r="V1875" s="1013"/>
      <c r="W1875" s="138"/>
      <c r="AQ1875" s="138"/>
    </row>
    <row r="1876" spans="22:43" x14ac:dyDescent="0.35">
      <c r="V1876" s="1013"/>
      <c r="W1876" s="138"/>
      <c r="AQ1876" s="138"/>
    </row>
    <row r="1877" spans="22:43" x14ac:dyDescent="0.35">
      <c r="V1877" s="1013"/>
      <c r="W1877" s="138"/>
      <c r="AQ1877" s="138"/>
    </row>
    <row r="1878" spans="22:43" x14ac:dyDescent="0.35">
      <c r="V1878" s="1013"/>
      <c r="W1878" s="138"/>
      <c r="AQ1878" s="138"/>
    </row>
    <row r="1879" spans="22:43" x14ac:dyDescent="0.35">
      <c r="V1879" s="1013"/>
      <c r="W1879" s="138"/>
      <c r="AQ1879" s="138"/>
    </row>
    <row r="1880" spans="22:43" x14ac:dyDescent="0.35">
      <c r="V1880" s="1013"/>
      <c r="W1880" s="138"/>
      <c r="AQ1880" s="138"/>
    </row>
    <row r="1881" spans="22:43" x14ac:dyDescent="0.35">
      <c r="V1881" s="1013"/>
      <c r="W1881" s="138"/>
      <c r="AQ1881" s="138"/>
    </row>
    <row r="1882" spans="22:43" x14ac:dyDescent="0.35">
      <c r="V1882" s="1013"/>
      <c r="W1882" s="138"/>
      <c r="AQ1882" s="138"/>
    </row>
    <row r="1883" spans="22:43" x14ac:dyDescent="0.35">
      <c r="V1883" s="1013"/>
      <c r="W1883" s="138"/>
      <c r="AQ1883" s="138"/>
    </row>
    <row r="1884" spans="22:43" x14ac:dyDescent="0.35">
      <c r="V1884" s="1013"/>
      <c r="W1884" s="138"/>
      <c r="AQ1884" s="138"/>
    </row>
    <row r="1885" spans="22:43" x14ac:dyDescent="0.35">
      <c r="V1885" s="1013"/>
      <c r="W1885" s="138"/>
      <c r="AQ1885" s="138"/>
    </row>
    <row r="1886" spans="22:43" x14ac:dyDescent="0.35">
      <c r="V1886" s="1013"/>
      <c r="W1886" s="138"/>
      <c r="AQ1886" s="138"/>
    </row>
    <row r="1887" spans="22:43" x14ac:dyDescent="0.35">
      <c r="V1887" s="1013"/>
      <c r="W1887" s="138"/>
      <c r="AQ1887" s="138"/>
    </row>
    <row r="1888" spans="22:43" x14ac:dyDescent="0.35">
      <c r="V1888" s="1013"/>
      <c r="W1888" s="138"/>
      <c r="AQ1888" s="138"/>
    </row>
    <row r="1889" spans="22:43" x14ac:dyDescent="0.35">
      <c r="V1889" s="1013"/>
      <c r="W1889" s="138"/>
      <c r="AQ1889" s="138"/>
    </row>
    <row r="1890" spans="22:43" x14ac:dyDescent="0.35">
      <c r="V1890" s="1013"/>
      <c r="W1890" s="138"/>
      <c r="AQ1890" s="138"/>
    </row>
    <row r="1891" spans="22:43" x14ac:dyDescent="0.35">
      <c r="V1891" s="1013"/>
      <c r="W1891" s="138"/>
      <c r="AQ1891" s="138"/>
    </row>
    <row r="1892" spans="22:43" x14ac:dyDescent="0.35">
      <c r="V1892" s="1013"/>
      <c r="W1892" s="138"/>
      <c r="AQ1892" s="138"/>
    </row>
    <row r="1893" spans="22:43" x14ac:dyDescent="0.35">
      <c r="V1893" s="1013"/>
      <c r="W1893" s="138"/>
      <c r="AQ1893" s="138"/>
    </row>
    <row r="1894" spans="22:43" x14ac:dyDescent="0.35">
      <c r="V1894" s="1013"/>
      <c r="W1894" s="138"/>
      <c r="AQ1894" s="138"/>
    </row>
    <row r="1895" spans="22:43" x14ac:dyDescent="0.35">
      <c r="V1895" s="1013"/>
      <c r="W1895" s="138"/>
      <c r="AQ1895" s="138"/>
    </row>
    <row r="1896" spans="22:43" x14ac:dyDescent="0.35">
      <c r="V1896" s="1013"/>
      <c r="W1896" s="138"/>
      <c r="AQ1896" s="138"/>
    </row>
    <row r="1897" spans="22:43" x14ac:dyDescent="0.35">
      <c r="V1897" s="1013"/>
      <c r="W1897" s="138"/>
      <c r="AQ1897" s="138"/>
    </row>
    <row r="1898" spans="22:43" x14ac:dyDescent="0.35">
      <c r="V1898" s="1013"/>
      <c r="W1898" s="138"/>
      <c r="AQ1898" s="138"/>
    </row>
    <row r="1899" spans="22:43" x14ac:dyDescent="0.35">
      <c r="V1899" s="1013"/>
      <c r="W1899" s="138"/>
      <c r="AQ1899" s="138"/>
    </row>
    <row r="1900" spans="22:43" x14ac:dyDescent="0.35">
      <c r="V1900" s="1013"/>
      <c r="W1900" s="138"/>
      <c r="AQ1900" s="138"/>
    </row>
    <row r="1901" spans="22:43" x14ac:dyDescent="0.35">
      <c r="V1901" s="1013"/>
      <c r="W1901" s="138"/>
      <c r="AQ1901" s="138"/>
    </row>
    <row r="1902" spans="22:43" x14ac:dyDescent="0.35">
      <c r="V1902" s="1013"/>
      <c r="W1902" s="138"/>
      <c r="AQ1902" s="138"/>
    </row>
    <row r="1903" spans="22:43" x14ac:dyDescent="0.35">
      <c r="V1903" s="1013"/>
      <c r="W1903" s="138"/>
      <c r="AQ1903" s="138"/>
    </row>
    <row r="1904" spans="22:43" x14ac:dyDescent="0.35">
      <c r="V1904" s="1013"/>
      <c r="W1904" s="138"/>
      <c r="AQ1904" s="138"/>
    </row>
    <row r="1905" spans="22:43" x14ac:dyDescent="0.35">
      <c r="V1905" s="1013"/>
      <c r="W1905" s="138"/>
      <c r="AQ1905" s="138"/>
    </row>
    <row r="1906" spans="22:43" x14ac:dyDescent="0.35">
      <c r="V1906" s="1013"/>
      <c r="W1906" s="138"/>
      <c r="AQ1906" s="138"/>
    </row>
    <row r="1907" spans="22:43" x14ac:dyDescent="0.35">
      <c r="V1907" s="1013"/>
      <c r="W1907" s="138"/>
      <c r="AQ1907" s="138"/>
    </row>
    <row r="1908" spans="22:43" x14ac:dyDescent="0.35">
      <c r="V1908" s="1013"/>
      <c r="W1908" s="138"/>
      <c r="AQ1908" s="138"/>
    </row>
    <row r="1909" spans="22:43" x14ac:dyDescent="0.35">
      <c r="V1909" s="1013"/>
      <c r="W1909" s="138"/>
      <c r="AQ1909" s="138"/>
    </row>
    <row r="1910" spans="22:43" x14ac:dyDescent="0.35">
      <c r="V1910" s="1013"/>
      <c r="W1910" s="138"/>
      <c r="AQ1910" s="138"/>
    </row>
    <row r="1911" spans="22:43" x14ac:dyDescent="0.35">
      <c r="V1911" s="1013"/>
      <c r="W1911" s="138"/>
      <c r="AQ1911" s="138"/>
    </row>
    <row r="1912" spans="22:43" x14ac:dyDescent="0.35">
      <c r="V1912" s="1013"/>
      <c r="W1912" s="138"/>
      <c r="AQ1912" s="138"/>
    </row>
    <row r="1913" spans="22:43" x14ac:dyDescent="0.35">
      <c r="V1913" s="1013"/>
      <c r="W1913" s="138"/>
      <c r="AQ1913" s="138"/>
    </row>
    <row r="1914" spans="22:43" x14ac:dyDescent="0.35">
      <c r="V1914" s="1013"/>
      <c r="W1914" s="138"/>
      <c r="AQ1914" s="138"/>
    </row>
    <row r="1915" spans="22:43" x14ac:dyDescent="0.35">
      <c r="V1915" s="1013"/>
      <c r="W1915" s="138"/>
      <c r="AQ1915" s="138"/>
    </row>
    <row r="1916" spans="22:43" x14ac:dyDescent="0.35">
      <c r="V1916" s="1013"/>
      <c r="W1916" s="138"/>
      <c r="AQ1916" s="138"/>
    </row>
    <row r="1917" spans="22:43" x14ac:dyDescent="0.35">
      <c r="V1917" s="1013"/>
      <c r="W1917" s="138"/>
      <c r="AQ1917" s="138"/>
    </row>
    <row r="1918" spans="22:43" x14ac:dyDescent="0.35">
      <c r="V1918" s="1013"/>
      <c r="W1918" s="138"/>
      <c r="AQ1918" s="138"/>
    </row>
    <row r="1919" spans="22:43" x14ac:dyDescent="0.35">
      <c r="V1919" s="1013"/>
      <c r="W1919" s="138"/>
      <c r="AQ1919" s="138"/>
    </row>
    <row r="1920" spans="22:43" x14ac:dyDescent="0.35">
      <c r="V1920" s="1013"/>
      <c r="W1920" s="138"/>
      <c r="AQ1920" s="138"/>
    </row>
    <row r="1921" spans="22:43" x14ac:dyDescent="0.35">
      <c r="V1921" s="1013"/>
      <c r="W1921" s="138"/>
      <c r="AQ1921" s="138"/>
    </row>
    <row r="1922" spans="22:43" x14ac:dyDescent="0.35">
      <c r="V1922" s="1013"/>
      <c r="W1922" s="138"/>
      <c r="AQ1922" s="138"/>
    </row>
    <row r="1923" spans="22:43" x14ac:dyDescent="0.35">
      <c r="V1923" s="1013"/>
      <c r="W1923" s="138"/>
      <c r="AQ1923" s="138"/>
    </row>
    <row r="1924" spans="22:43" x14ac:dyDescent="0.35">
      <c r="V1924" s="1013"/>
      <c r="W1924" s="138"/>
      <c r="AQ1924" s="138"/>
    </row>
    <row r="1925" spans="22:43" x14ac:dyDescent="0.35">
      <c r="V1925" s="1013"/>
      <c r="W1925" s="138"/>
      <c r="AQ1925" s="138"/>
    </row>
    <row r="1926" spans="22:43" x14ac:dyDescent="0.35">
      <c r="V1926" s="1013"/>
      <c r="W1926" s="138"/>
      <c r="AQ1926" s="138"/>
    </row>
    <row r="1927" spans="22:43" x14ac:dyDescent="0.35">
      <c r="V1927" s="1013"/>
      <c r="W1927" s="138"/>
      <c r="AQ1927" s="138"/>
    </row>
    <row r="1928" spans="22:43" x14ac:dyDescent="0.35">
      <c r="V1928" s="1013"/>
      <c r="W1928" s="138"/>
      <c r="AQ1928" s="138"/>
    </row>
    <row r="1929" spans="22:43" x14ac:dyDescent="0.35">
      <c r="V1929" s="1013"/>
      <c r="W1929" s="138"/>
      <c r="AQ1929" s="138"/>
    </row>
    <row r="1930" spans="22:43" x14ac:dyDescent="0.35">
      <c r="V1930" s="1013"/>
      <c r="W1930" s="138"/>
      <c r="AQ1930" s="138"/>
    </row>
    <row r="1931" spans="22:43" x14ac:dyDescent="0.35">
      <c r="V1931" s="1013"/>
      <c r="W1931" s="138"/>
      <c r="AQ1931" s="138"/>
    </row>
    <row r="1932" spans="22:43" x14ac:dyDescent="0.35">
      <c r="V1932" s="1013"/>
      <c r="W1932" s="138"/>
      <c r="AQ1932" s="138"/>
    </row>
    <row r="1933" spans="22:43" x14ac:dyDescent="0.35">
      <c r="V1933" s="1013"/>
      <c r="W1933" s="138"/>
      <c r="AQ1933" s="138"/>
    </row>
    <row r="1934" spans="22:43" x14ac:dyDescent="0.35">
      <c r="V1934" s="1013"/>
      <c r="W1934" s="138"/>
      <c r="AQ1934" s="138"/>
    </row>
    <row r="1935" spans="22:43" x14ac:dyDescent="0.35">
      <c r="V1935" s="1013"/>
      <c r="W1935" s="138"/>
      <c r="AQ1935" s="138"/>
    </row>
    <row r="1936" spans="22:43" x14ac:dyDescent="0.35">
      <c r="V1936" s="1013"/>
      <c r="W1936" s="138"/>
      <c r="AQ1936" s="138"/>
    </row>
    <row r="1937" spans="22:43" x14ac:dyDescent="0.35">
      <c r="V1937" s="1013"/>
      <c r="W1937" s="138"/>
      <c r="AQ1937" s="138"/>
    </row>
    <row r="1938" spans="22:43" x14ac:dyDescent="0.35">
      <c r="V1938" s="1013"/>
      <c r="W1938" s="138"/>
      <c r="AQ1938" s="138"/>
    </row>
    <row r="1939" spans="22:43" x14ac:dyDescent="0.35">
      <c r="V1939" s="1013"/>
      <c r="W1939" s="138"/>
      <c r="AQ1939" s="138"/>
    </row>
    <row r="1940" spans="22:43" x14ac:dyDescent="0.35">
      <c r="V1940" s="1013"/>
      <c r="W1940" s="138"/>
      <c r="AQ1940" s="138"/>
    </row>
    <row r="1941" spans="22:43" x14ac:dyDescent="0.35">
      <c r="V1941" s="1013"/>
      <c r="W1941" s="138"/>
      <c r="AQ1941" s="138"/>
    </row>
    <row r="1942" spans="22:43" x14ac:dyDescent="0.35">
      <c r="V1942" s="1013"/>
      <c r="W1942" s="138"/>
      <c r="AQ1942" s="138"/>
    </row>
    <row r="1943" spans="22:43" x14ac:dyDescent="0.35">
      <c r="V1943" s="1013"/>
      <c r="W1943" s="138"/>
      <c r="AQ1943" s="138"/>
    </row>
    <row r="1944" spans="22:43" x14ac:dyDescent="0.35">
      <c r="V1944" s="1013"/>
      <c r="W1944" s="138"/>
      <c r="AQ1944" s="138"/>
    </row>
    <row r="1945" spans="22:43" x14ac:dyDescent="0.35">
      <c r="V1945" s="1013"/>
      <c r="W1945" s="138"/>
      <c r="AQ1945" s="138"/>
    </row>
    <row r="1946" spans="22:43" x14ac:dyDescent="0.35">
      <c r="V1946" s="1013"/>
      <c r="W1946" s="138"/>
      <c r="AQ1946" s="138"/>
    </row>
    <row r="1947" spans="22:43" x14ac:dyDescent="0.35">
      <c r="V1947" s="1013"/>
      <c r="W1947" s="138"/>
      <c r="AQ1947" s="138"/>
    </row>
    <row r="1948" spans="22:43" x14ac:dyDescent="0.35">
      <c r="V1948" s="1013"/>
      <c r="W1948" s="138"/>
      <c r="AQ1948" s="138"/>
    </row>
    <row r="1949" spans="22:43" x14ac:dyDescent="0.35">
      <c r="V1949" s="1013"/>
      <c r="W1949" s="138"/>
      <c r="AQ1949" s="138"/>
    </row>
    <row r="1950" spans="22:43" x14ac:dyDescent="0.35">
      <c r="V1950" s="1013"/>
      <c r="W1950" s="138"/>
      <c r="AQ1950" s="138"/>
    </row>
    <row r="1951" spans="22:43" x14ac:dyDescent="0.35">
      <c r="V1951" s="1013"/>
      <c r="W1951" s="138"/>
      <c r="AQ1951" s="138"/>
    </row>
    <row r="1952" spans="22:43" x14ac:dyDescent="0.35">
      <c r="V1952" s="1013"/>
      <c r="W1952" s="138"/>
      <c r="AQ1952" s="138"/>
    </row>
    <row r="1953" spans="22:43" x14ac:dyDescent="0.35">
      <c r="V1953" s="1013"/>
      <c r="W1953" s="138"/>
      <c r="AQ1953" s="138"/>
    </row>
    <row r="1954" spans="22:43" x14ac:dyDescent="0.35">
      <c r="V1954" s="1013"/>
      <c r="W1954" s="138"/>
      <c r="AQ1954" s="138"/>
    </row>
    <row r="1955" spans="22:43" x14ac:dyDescent="0.35">
      <c r="V1955" s="1013"/>
      <c r="W1955" s="138"/>
      <c r="AQ1955" s="138"/>
    </row>
    <row r="1956" spans="22:43" x14ac:dyDescent="0.35">
      <c r="V1956" s="1013"/>
      <c r="W1956" s="138"/>
      <c r="AQ1956" s="138"/>
    </row>
    <row r="1957" spans="22:43" x14ac:dyDescent="0.35">
      <c r="V1957" s="1013"/>
      <c r="W1957" s="138"/>
      <c r="AQ1957" s="138"/>
    </row>
    <row r="1958" spans="22:43" x14ac:dyDescent="0.35">
      <c r="V1958" s="1013"/>
      <c r="W1958" s="138"/>
      <c r="AQ1958" s="138"/>
    </row>
    <row r="1959" spans="22:43" x14ac:dyDescent="0.35">
      <c r="V1959" s="1013"/>
      <c r="W1959" s="138"/>
      <c r="AQ1959" s="138"/>
    </row>
    <row r="1960" spans="22:43" x14ac:dyDescent="0.35">
      <c r="V1960" s="1013"/>
      <c r="W1960" s="138"/>
      <c r="AQ1960" s="138"/>
    </row>
    <row r="1961" spans="22:43" x14ac:dyDescent="0.35">
      <c r="V1961" s="1013"/>
      <c r="W1961" s="138"/>
      <c r="AQ1961" s="138"/>
    </row>
    <row r="1962" spans="22:43" x14ac:dyDescent="0.35">
      <c r="V1962" s="1013"/>
      <c r="W1962" s="138"/>
      <c r="AQ1962" s="138"/>
    </row>
    <row r="1963" spans="22:43" x14ac:dyDescent="0.35">
      <c r="V1963" s="1013"/>
      <c r="W1963" s="138"/>
      <c r="AQ1963" s="138"/>
    </row>
    <row r="1964" spans="22:43" x14ac:dyDescent="0.35">
      <c r="V1964" s="1013"/>
      <c r="W1964" s="138"/>
      <c r="AQ1964" s="138"/>
    </row>
    <row r="1965" spans="22:43" x14ac:dyDescent="0.35">
      <c r="V1965" s="1013"/>
      <c r="W1965" s="138"/>
      <c r="AQ1965" s="138"/>
    </row>
    <row r="1966" spans="22:43" x14ac:dyDescent="0.35">
      <c r="V1966" s="1013"/>
      <c r="W1966" s="138"/>
      <c r="AQ1966" s="138"/>
    </row>
    <row r="1967" spans="22:43" x14ac:dyDescent="0.35">
      <c r="V1967" s="1013"/>
      <c r="W1967" s="138"/>
      <c r="AQ1967" s="138"/>
    </row>
    <row r="1968" spans="22:43" x14ac:dyDescent="0.35">
      <c r="V1968" s="1013"/>
      <c r="W1968" s="138"/>
      <c r="AQ1968" s="138"/>
    </row>
    <row r="1969" spans="22:43" x14ac:dyDescent="0.35">
      <c r="V1969" s="1013"/>
      <c r="W1969" s="138"/>
      <c r="AQ1969" s="138"/>
    </row>
    <row r="1970" spans="22:43" x14ac:dyDescent="0.35">
      <c r="V1970" s="1013"/>
      <c r="W1970" s="138"/>
      <c r="AQ1970" s="138"/>
    </row>
    <row r="1971" spans="22:43" x14ac:dyDescent="0.35">
      <c r="V1971" s="1013"/>
      <c r="W1971" s="138"/>
      <c r="AQ1971" s="138"/>
    </row>
    <row r="1972" spans="22:43" x14ac:dyDescent="0.35">
      <c r="V1972" s="1013"/>
      <c r="W1972" s="138"/>
      <c r="AQ1972" s="138"/>
    </row>
    <row r="1973" spans="22:43" x14ac:dyDescent="0.35">
      <c r="V1973" s="1013"/>
      <c r="W1973" s="138"/>
      <c r="AQ1973" s="138"/>
    </row>
    <row r="1974" spans="22:43" x14ac:dyDescent="0.35">
      <c r="V1974" s="1013"/>
      <c r="W1974" s="138"/>
      <c r="AQ1974" s="138"/>
    </row>
    <row r="1975" spans="22:43" x14ac:dyDescent="0.35">
      <c r="V1975" s="1013"/>
      <c r="W1975" s="138"/>
      <c r="AQ1975" s="138"/>
    </row>
    <row r="1976" spans="22:43" x14ac:dyDescent="0.35">
      <c r="V1976" s="1013"/>
      <c r="W1976" s="138"/>
      <c r="AQ1976" s="138"/>
    </row>
    <row r="1977" spans="22:43" x14ac:dyDescent="0.35">
      <c r="V1977" s="1013"/>
      <c r="W1977" s="138"/>
      <c r="AQ1977" s="138"/>
    </row>
    <row r="1978" spans="22:43" x14ac:dyDescent="0.35">
      <c r="V1978" s="1013"/>
      <c r="W1978" s="138"/>
      <c r="AQ1978" s="138"/>
    </row>
    <row r="1979" spans="22:43" x14ac:dyDescent="0.35">
      <c r="V1979" s="1013"/>
      <c r="W1979" s="138"/>
      <c r="AQ1979" s="138"/>
    </row>
    <row r="1980" spans="22:43" x14ac:dyDescent="0.35">
      <c r="V1980" s="1013"/>
      <c r="W1980" s="138"/>
      <c r="AQ1980" s="138"/>
    </row>
    <row r="1981" spans="22:43" x14ac:dyDescent="0.35">
      <c r="V1981" s="1013"/>
      <c r="W1981" s="138"/>
      <c r="AQ1981" s="138"/>
    </row>
    <row r="1982" spans="22:43" x14ac:dyDescent="0.35">
      <c r="V1982" s="1013"/>
      <c r="W1982" s="138"/>
      <c r="AQ1982" s="138"/>
    </row>
    <row r="1983" spans="22:43" x14ac:dyDescent="0.35">
      <c r="V1983" s="1013"/>
      <c r="W1983" s="138"/>
      <c r="AQ1983" s="138"/>
    </row>
    <row r="1984" spans="22:43" x14ac:dyDescent="0.35">
      <c r="V1984" s="1013"/>
      <c r="W1984" s="138"/>
      <c r="AQ1984" s="138"/>
    </row>
    <row r="1985" spans="22:43" x14ac:dyDescent="0.35">
      <c r="V1985" s="1013"/>
      <c r="W1985" s="138"/>
      <c r="AQ1985" s="138"/>
    </row>
    <row r="1986" spans="22:43" x14ac:dyDescent="0.35">
      <c r="V1986" s="1013"/>
      <c r="W1986" s="138"/>
      <c r="AQ1986" s="138"/>
    </row>
    <row r="1987" spans="22:43" x14ac:dyDescent="0.35">
      <c r="V1987" s="1013"/>
      <c r="W1987" s="138"/>
      <c r="AQ1987" s="138"/>
    </row>
    <row r="1988" spans="22:43" x14ac:dyDescent="0.35">
      <c r="V1988" s="1013"/>
      <c r="W1988" s="138"/>
      <c r="AQ1988" s="138"/>
    </row>
    <row r="1989" spans="22:43" x14ac:dyDescent="0.35">
      <c r="V1989" s="1013"/>
      <c r="W1989" s="138"/>
      <c r="AQ1989" s="138"/>
    </row>
    <row r="1990" spans="22:43" x14ac:dyDescent="0.35">
      <c r="V1990" s="1013"/>
      <c r="W1990" s="138"/>
      <c r="AQ1990" s="138"/>
    </row>
    <row r="1991" spans="22:43" x14ac:dyDescent="0.35">
      <c r="V1991" s="1013"/>
      <c r="W1991" s="138"/>
      <c r="AQ1991" s="138"/>
    </row>
    <row r="1992" spans="22:43" x14ac:dyDescent="0.35">
      <c r="V1992" s="1013"/>
      <c r="W1992" s="138"/>
      <c r="AQ1992" s="138"/>
    </row>
    <row r="1993" spans="22:43" x14ac:dyDescent="0.35">
      <c r="V1993" s="1013"/>
      <c r="W1993" s="138"/>
      <c r="AQ1993" s="138"/>
    </row>
    <row r="1994" spans="22:43" x14ac:dyDescent="0.35">
      <c r="V1994" s="1013"/>
      <c r="W1994" s="138"/>
      <c r="AQ1994" s="138"/>
    </row>
    <row r="1995" spans="22:43" x14ac:dyDescent="0.35">
      <c r="V1995" s="1013"/>
      <c r="W1995" s="138"/>
      <c r="AQ1995" s="138"/>
    </row>
    <row r="1996" spans="22:43" x14ac:dyDescent="0.35">
      <c r="V1996" s="1013"/>
      <c r="W1996" s="138"/>
      <c r="AQ1996" s="138"/>
    </row>
    <row r="1997" spans="22:43" x14ac:dyDescent="0.35">
      <c r="V1997" s="1013"/>
      <c r="W1997" s="138"/>
      <c r="AQ1997" s="138"/>
    </row>
    <row r="1998" spans="22:43" x14ac:dyDescent="0.35">
      <c r="V1998" s="1013"/>
      <c r="W1998" s="138"/>
      <c r="AQ1998" s="138"/>
    </row>
    <row r="1999" spans="22:43" x14ac:dyDescent="0.35">
      <c r="V1999" s="1013"/>
      <c r="W1999" s="138"/>
      <c r="AQ1999" s="138"/>
    </row>
    <row r="2000" spans="22:43" x14ac:dyDescent="0.35">
      <c r="V2000" s="1013"/>
      <c r="W2000" s="138"/>
      <c r="AQ2000" s="138"/>
    </row>
    <row r="2001" spans="22:43" x14ac:dyDescent="0.35">
      <c r="V2001" s="1013"/>
      <c r="W2001" s="138"/>
      <c r="AQ2001" s="138"/>
    </row>
    <row r="2002" spans="22:43" x14ac:dyDescent="0.35">
      <c r="V2002" s="1013"/>
      <c r="W2002" s="138"/>
      <c r="AQ2002" s="138"/>
    </row>
    <row r="2003" spans="22:43" x14ac:dyDescent="0.35">
      <c r="V2003" s="1013"/>
      <c r="W2003" s="138"/>
      <c r="AQ2003" s="138"/>
    </row>
    <row r="2004" spans="22:43" x14ac:dyDescent="0.35">
      <c r="V2004" s="1013"/>
      <c r="W2004" s="138"/>
      <c r="AQ2004" s="138"/>
    </row>
    <row r="2005" spans="22:43" x14ac:dyDescent="0.35">
      <c r="V2005" s="1013"/>
      <c r="W2005" s="138"/>
      <c r="AQ2005" s="138"/>
    </row>
    <row r="2006" spans="22:43" x14ac:dyDescent="0.35">
      <c r="V2006" s="1013"/>
      <c r="W2006" s="138"/>
      <c r="AQ2006" s="138"/>
    </row>
    <row r="2007" spans="22:43" x14ac:dyDescent="0.35">
      <c r="V2007" s="1013"/>
      <c r="W2007" s="138"/>
      <c r="AQ2007" s="138"/>
    </row>
    <row r="2008" spans="22:43" x14ac:dyDescent="0.35">
      <c r="V2008" s="1013"/>
      <c r="W2008" s="138"/>
      <c r="AQ2008" s="138"/>
    </row>
    <row r="2009" spans="22:43" x14ac:dyDescent="0.35">
      <c r="V2009" s="1013"/>
      <c r="W2009" s="138"/>
      <c r="AQ2009" s="138"/>
    </row>
    <row r="2010" spans="22:43" x14ac:dyDescent="0.35">
      <c r="V2010" s="1013"/>
      <c r="W2010" s="138"/>
      <c r="AQ2010" s="138"/>
    </row>
    <row r="2011" spans="22:43" x14ac:dyDescent="0.35">
      <c r="V2011" s="1013"/>
      <c r="W2011" s="138"/>
      <c r="AQ2011" s="138"/>
    </row>
    <row r="2012" spans="22:43" x14ac:dyDescent="0.35">
      <c r="V2012" s="1013"/>
      <c r="W2012" s="138"/>
      <c r="AQ2012" s="138"/>
    </row>
    <row r="2013" spans="22:43" x14ac:dyDescent="0.35">
      <c r="V2013" s="1013"/>
      <c r="W2013" s="138"/>
      <c r="AQ2013" s="138"/>
    </row>
    <row r="2014" spans="22:43" x14ac:dyDescent="0.35">
      <c r="V2014" s="1013"/>
      <c r="W2014" s="138"/>
      <c r="AQ2014" s="138"/>
    </row>
    <row r="2015" spans="22:43" x14ac:dyDescent="0.35">
      <c r="V2015" s="1013"/>
      <c r="W2015" s="138"/>
      <c r="AQ2015" s="138"/>
    </row>
    <row r="2016" spans="22:43" x14ac:dyDescent="0.35">
      <c r="V2016" s="1013"/>
      <c r="W2016" s="138"/>
      <c r="AQ2016" s="138"/>
    </row>
    <row r="2017" spans="22:43" x14ac:dyDescent="0.35">
      <c r="V2017" s="1013"/>
      <c r="W2017" s="138"/>
      <c r="AQ2017" s="138"/>
    </row>
    <row r="2018" spans="22:43" x14ac:dyDescent="0.35">
      <c r="V2018" s="1013"/>
      <c r="W2018" s="138"/>
      <c r="AQ2018" s="138"/>
    </row>
    <row r="2019" spans="22:43" x14ac:dyDescent="0.35">
      <c r="V2019" s="1013"/>
      <c r="W2019" s="138"/>
      <c r="AQ2019" s="138"/>
    </row>
    <row r="2020" spans="22:43" x14ac:dyDescent="0.35">
      <c r="V2020" s="1013"/>
      <c r="W2020" s="138"/>
      <c r="AQ2020" s="138"/>
    </row>
    <row r="2021" spans="22:43" x14ac:dyDescent="0.35">
      <c r="V2021" s="1013"/>
      <c r="W2021" s="138"/>
      <c r="AQ2021" s="138"/>
    </row>
    <row r="2022" spans="22:43" x14ac:dyDescent="0.35">
      <c r="V2022" s="1013"/>
      <c r="W2022" s="138"/>
      <c r="AQ2022" s="138"/>
    </row>
    <row r="2023" spans="22:43" x14ac:dyDescent="0.35">
      <c r="V2023" s="1013"/>
      <c r="W2023" s="138"/>
      <c r="AQ2023" s="138"/>
    </row>
    <row r="2024" spans="22:43" x14ac:dyDescent="0.35">
      <c r="V2024" s="1013"/>
      <c r="W2024" s="138"/>
      <c r="AQ2024" s="138"/>
    </row>
    <row r="2025" spans="22:43" x14ac:dyDescent="0.35">
      <c r="V2025" s="1013"/>
      <c r="W2025" s="138"/>
      <c r="AQ2025" s="138"/>
    </row>
    <row r="2026" spans="22:43" x14ac:dyDescent="0.35">
      <c r="V2026" s="1013"/>
      <c r="W2026" s="138"/>
      <c r="AQ2026" s="138"/>
    </row>
    <row r="2027" spans="22:43" x14ac:dyDescent="0.35">
      <c r="V2027" s="1013"/>
      <c r="W2027" s="138"/>
      <c r="AQ2027" s="138"/>
    </row>
    <row r="2028" spans="22:43" x14ac:dyDescent="0.35">
      <c r="V2028" s="1013"/>
      <c r="W2028" s="138"/>
      <c r="AQ2028" s="138"/>
    </row>
    <row r="2029" spans="22:43" x14ac:dyDescent="0.35">
      <c r="V2029" s="1013"/>
      <c r="W2029" s="138"/>
      <c r="AQ2029" s="138"/>
    </row>
    <row r="2030" spans="22:43" x14ac:dyDescent="0.35">
      <c r="V2030" s="1013"/>
      <c r="W2030" s="138"/>
      <c r="AQ2030" s="138"/>
    </row>
    <row r="2031" spans="22:43" x14ac:dyDescent="0.35">
      <c r="V2031" s="1013"/>
      <c r="W2031" s="138"/>
      <c r="AQ2031" s="138"/>
    </row>
    <row r="2032" spans="22:43" x14ac:dyDescent="0.35">
      <c r="V2032" s="1013"/>
      <c r="W2032" s="138"/>
      <c r="AQ2032" s="138"/>
    </row>
    <row r="2033" spans="22:43" x14ac:dyDescent="0.35">
      <c r="V2033" s="1013"/>
      <c r="W2033" s="138"/>
      <c r="AQ2033" s="138"/>
    </row>
    <row r="2034" spans="22:43" x14ac:dyDescent="0.35">
      <c r="V2034" s="1013"/>
      <c r="W2034" s="138"/>
      <c r="AQ2034" s="138"/>
    </row>
    <row r="2035" spans="22:43" x14ac:dyDescent="0.35">
      <c r="V2035" s="1013"/>
      <c r="W2035" s="138"/>
      <c r="AQ2035" s="138"/>
    </row>
    <row r="2036" spans="22:43" x14ac:dyDescent="0.35">
      <c r="V2036" s="1013"/>
      <c r="W2036" s="138"/>
      <c r="AQ2036" s="138"/>
    </row>
    <row r="2037" spans="22:43" x14ac:dyDescent="0.35">
      <c r="V2037" s="1013"/>
      <c r="W2037" s="138"/>
      <c r="AQ2037" s="138"/>
    </row>
    <row r="2038" spans="22:43" x14ac:dyDescent="0.35">
      <c r="V2038" s="1013"/>
      <c r="W2038" s="138"/>
      <c r="AQ2038" s="138"/>
    </row>
    <row r="2039" spans="22:43" x14ac:dyDescent="0.35">
      <c r="V2039" s="1013"/>
      <c r="W2039" s="138"/>
      <c r="AQ2039" s="138"/>
    </row>
    <row r="2040" spans="22:43" x14ac:dyDescent="0.35">
      <c r="V2040" s="1013"/>
      <c r="W2040" s="138"/>
      <c r="AQ2040" s="138"/>
    </row>
    <row r="2041" spans="22:43" x14ac:dyDescent="0.35">
      <c r="V2041" s="1013"/>
      <c r="W2041" s="138"/>
      <c r="AQ2041" s="138"/>
    </row>
    <row r="2042" spans="22:43" x14ac:dyDescent="0.35">
      <c r="V2042" s="1013"/>
      <c r="W2042" s="138"/>
      <c r="AQ2042" s="138"/>
    </row>
    <row r="2043" spans="22:43" x14ac:dyDescent="0.35">
      <c r="V2043" s="1013"/>
      <c r="W2043" s="138"/>
      <c r="AQ2043" s="138"/>
    </row>
    <row r="2044" spans="22:43" x14ac:dyDescent="0.35">
      <c r="V2044" s="1013"/>
      <c r="W2044" s="138"/>
      <c r="AQ2044" s="138"/>
    </row>
    <row r="2045" spans="22:43" x14ac:dyDescent="0.35">
      <c r="V2045" s="1013"/>
      <c r="W2045" s="138"/>
      <c r="AQ2045" s="138"/>
    </row>
    <row r="2046" spans="22:43" x14ac:dyDescent="0.35">
      <c r="V2046" s="1013"/>
      <c r="W2046" s="138"/>
      <c r="AQ2046" s="138"/>
    </row>
    <row r="2047" spans="22:43" x14ac:dyDescent="0.35">
      <c r="V2047" s="1013"/>
      <c r="W2047" s="138"/>
      <c r="AQ2047" s="138"/>
    </row>
    <row r="2048" spans="22:43" x14ac:dyDescent="0.35">
      <c r="V2048" s="1013"/>
      <c r="W2048" s="138"/>
      <c r="AQ2048" s="138"/>
    </row>
    <row r="2049" spans="22:43" x14ac:dyDescent="0.35">
      <c r="V2049" s="1013"/>
      <c r="W2049" s="138"/>
      <c r="AQ2049" s="138"/>
    </row>
    <row r="2050" spans="22:43" x14ac:dyDescent="0.35">
      <c r="V2050" s="1013"/>
      <c r="W2050" s="138"/>
      <c r="AQ2050" s="138"/>
    </row>
    <row r="2051" spans="22:43" x14ac:dyDescent="0.35">
      <c r="V2051" s="1013"/>
      <c r="W2051" s="138"/>
      <c r="AQ2051" s="138"/>
    </row>
    <row r="2052" spans="22:43" x14ac:dyDescent="0.35">
      <c r="V2052" s="1013"/>
      <c r="W2052" s="138"/>
      <c r="AQ2052" s="138"/>
    </row>
    <row r="2053" spans="22:43" x14ac:dyDescent="0.35">
      <c r="V2053" s="1013"/>
      <c r="W2053" s="138"/>
      <c r="AQ2053" s="138"/>
    </row>
    <row r="2054" spans="22:43" x14ac:dyDescent="0.35">
      <c r="V2054" s="1013"/>
      <c r="W2054" s="138"/>
      <c r="AQ2054" s="138"/>
    </row>
    <row r="2055" spans="22:43" x14ac:dyDescent="0.35">
      <c r="V2055" s="1013"/>
      <c r="W2055" s="138"/>
      <c r="AQ2055" s="138"/>
    </row>
    <row r="2056" spans="22:43" x14ac:dyDescent="0.35">
      <c r="V2056" s="1013"/>
      <c r="W2056" s="138"/>
      <c r="AQ2056" s="138"/>
    </row>
    <row r="2057" spans="22:43" x14ac:dyDescent="0.35">
      <c r="V2057" s="1013"/>
      <c r="W2057" s="138"/>
      <c r="AQ2057" s="138"/>
    </row>
    <row r="2058" spans="22:43" x14ac:dyDescent="0.35">
      <c r="V2058" s="1013"/>
      <c r="W2058" s="138"/>
      <c r="AQ2058" s="138"/>
    </row>
    <row r="2059" spans="22:43" x14ac:dyDescent="0.35">
      <c r="V2059" s="1013"/>
      <c r="W2059" s="138"/>
      <c r="AQ2059" s="138"/>
    </row>
    <row r="2060" spans="22:43" x14ac:dyDescent="0.35">
      <c r="V2060" s="1013"/>
      <c r="W2060" s="138"/>
      <c r="AQ2060" s="138"/>
    </row>
    <row r="2061" spans="22:43" x14ac:dyDescent="0.35">
      <c r="V2061" s="1013"/>
      <c r="W2061" s="138"/>
      <c r="AQ2061" s="138"/>
    </row>
    <row r="2062" spans="22:43" x14ac:dyDescent="0.35">
      <c r="V2062" s="1013"/>
      <c r="W2062" s="138"/>
      <c r="AQ2062" s="138"/>
    </row>
    <row r="2063" spans="22:43" x14ac:dyDescent="0.35">
      <c r="V2063" s="1013"/>
      <c r="W2063" s="138"/>
      <c r="AQ2063" s="138"/>
    </row>
    <row r="2064" spans="22:43" x14ac:dyDescent="0.35">
      <c r="V2064" s="1013"/>
      <c r="W2064" s="138"/>
      <c r="AQ2064" s="138"/>
    </row>
    <row r="2065" spans="22:43" x14ac:dyDescent="0.35">
      <c r="V2065" s="1013"/>
      <c r="W2065" s="138"/>
      <c r="AQ2065" s="138"/>
    </row>
    <row r="2066" spans="22:43" x14ac:dyDescent="0.35">
      <c r="V2066" s="1013"/>
      <c r="W2066" s="138"/>
      <c r="AQ2066" s="138"/>
    </row>
    <row r="2067" spans="22:43" x14ac:dyDescent="0.35">
      <c r="V2067" s="1013"/>
      <c r="W2067" s="138"/>
      <c r="AQ2067" s="138"/>
    </row>
    <row r="2068" spans="22:43" x14ac:dyDescent="0.35">
      <c r="V2068" s="1013"/>
      <c r="W2068" s="138"/>
      <c r="AQ2068" s="138"/>
    </row>
    <row r="2069" spans="22:43" x14ac:dyDescent="0.35">
      <c r="V2069" s="1013"/>
      <c r="W2069" s="138"/>
      <c r="AQ2069" s="138"/>
    </row>
    <row r="2070" spans="22:43" x14ac:dyDescent="0.35">
      <c r="V2070" s="1013"/>
      <c r="W2070" s="138"/>
      <c r="AQ2070" s="138"/>
    </row>
    <row r="2071" spans="22:43" x14ac:dyDescent="0.35">
      <c r="V2071" s="1013"/>
      <c r="W2071" s="138"/>
      <c r="AQ2071" s="138"/>
    </row>
    <row r="2072" spans="22:43" x14ac:dyDescent="0.35">
      <c r="V2072" s="1013"/>
      <c r="W2072" s="138"/>
      <c r="AQ2072" s="138"/>
    </row>
    <row r="2073" spans="22:43" x14ac:dyDescent="0.35">
      <c r="V2073" s="1013"/>
      <c r="W2073" s="138"/>
      <c r="AQ2073" s="138"/>
    </row>
    <row r="2074" spans="22:43" x14ac:dyDescent="0.35">
      <c r="V2074" s="1013"/>
      <c r="W2074" s="138"/>
      <c r="AQ2074" s="138"/>
    </row>
    <row r="2075" spans="22:43" x14ac:dyDescent="0.35">
      <c r="V2075" s="1013"/>
      <c r="W2075" s="138"/>
      <c r="AQ2075" s="138"/>
    </row>
    <row r="2076" spans="22:43" x14ac:dyDescent="0.35">
      <c r="V2076" s="1013"/>
      <c r="W2076" s="138"/>
      <c r="AQ2076" s="138"/>
    </row>
    <row r="2077" spans="22:43" x14ac:dyDescent="0.35">
      <c r="V2077" s="1013"/>
      <c r="W2077" s="138"/>
      <c r="AQ2077" s="138"/>
    </row>
    <row r="2078" spans="22:43" x14ac:dyDescent="0.35">
      <c r="V2078" s="1013"/>
      <c r="W2078" s="138"/>
      <c r="AQ2078" s="138"/>
    </row>
    <row r="2079" spans="22:43" x14ac:dyDescent="0.35">
      <c r="V2079" s="1013"/>
      <c r="W2079" s="138"/>
      <c r="AQ2079" s="138"/>
    </row>
    <row r="2080" spans="22:43" x14ac:dyDescent="0.35">
      <c r="V2080" s="1013"/>
      <c r="W2080" s="138"/>
      <c r="AQ2080" s="138"/>
    </row>
    <row r="2081" spans="22:43" x14ac:dyDescent="0.35">
      <c r="V2081" s="1013"/>
      <c r="W2081" s="138"/>
      <c r="AQ2081" s="138"/>
    </row>
    <row r="2082" spans="22:43" x14ac:dyDescent="0.35">
      <c r="V2082" s="1013"/>
      <c r="W2082" s="138"/>
      <c r="AQ2082" s="138"/>
    </row>
    <row r="2083" spans="22:43" x14ac:dyDescent="0.35">
      <c r="V2083" s="1013"/>
      <c r="W2083" s="138"/>
      <c r="AQ2083" s="138"/>
    </row>
    <row r="2084" spans="22:43" x14ac:dyDescent="0.35">
      <c r="V2084" s="1013"/>
      <c r="W2084" s="138"/>
      <c r="AQ2084" s="138"/>
    </row>
    <row r="2085" spans="22:43" x14ac:dyDescent="0.35">
      <c r="V2085" s="1013"/>
      <c r="W2085" s="138"/>
      <c r="AQ2085" s="138"/>
    </row>
    <row r="2086" spans="22:43" x14ac:dyDescent="0.35">
      <c r="V2086" s="1013"/>
      <c r="W2086" s="138"/>
      <c r="AQ2086" s="138"/>
    </row>
    <row r="2087" spans="22:43" x14ac:dyDescent="0.35">
      <c r="V2087" s="1013"/>
      <c r="W2087" s="138"/>
      <c r="AQ2087" s="138"/>
    </row>
    <row r="2088" spans="22:43" x14ac:dyDescent="0.35">
      <c r="V2088" s="1013"/>
      <c r="W2088" s="138"/>
      <c r="AQ2088" s="138"/>
    </row>
    <row r="2089" spans="22:43" x14ac:dyDescent="0.35">
      <c r="V2089" s="1013"/>
      <c r="W2089" s="138"/>
      <c r="AQ2089" s="138"/>
    </row>
    <row r="2090" spans="22:43" x14ac:dyDescent="0.35">
      <c r="V2090" s="1013"/>
      <c r="W2090" s="138"/>
      <c r="AQ2090" s="138"/>
    </row>
    <row r="2091" spans="22:43" x14ac:dyDescent="0.35">
      <c r="V2091" s="1013"/>
      <c r="W2091" s="138"/>
      <c r="AQ2091" s="138"/>
    </row>
    <row r="2092" spans="22:43" x14ac:dyDescent="0.35">
      <c r="V2092" s="1013"/>
      <c r="W2092" s="138"/>
      <c r="AQ2092" s="138"/>
    </row>
    <row r="2093" spans="22:43" x14ac:dyDescent="0.35">
      <c r="V2093" s="1013"/>
      <c r="W2093" s="138"/>
      <c r="AQ2093" s="138"/>
    </row>
    <row r="2094" spans="22:43" x14ac:dyDescent="0.35">
      <c r="V2094" s="1013"/>
      <c r="W2094" s="138"/>
      <c r="AQ2094" s="138"/>
    </row>
    <row r="2095" spans="22:43" x14ac:dyDescent="0.35">
      <c r="V2095" s="1013"/>
      <c r="W2095" s="138"/>
      <c r="AQ2095" s="138"/>
    </row>
    <row r="2096" spans="22:43" x14ac:dyDescent="0.35">
      <c r="V2096" s="1013"/>
      <c r="W2096" s="138"/>
      <c r="AQ2096" s="138"/>
    </row>
    <row r="2097" spans="22:43" x14ac:dyDescent="0.35">
      <c r="V2097" s="1013"/>
      <c r="W2097" s="138"/>
      <c r="AQ2097" s="138"/>
    </row>
    <row r="2098" spans="22:43" x14ac:dyDescent="0.35">
      <c r="V2098" s="1013"/>
      <c r="W2098" s="138"/>
      <c r="AQ2098" s="138"/>
    </row>
    <row r="2099" spans="22:43" x14ac:dyDescent="0.35">
      <c r="V2099" s="1013"/>
      <c r="W2099" s="138"/>
      <c r="AQ2099" s="138"/>
    </row>
    <row r="2100" spans="22:43" x14ac:dyDescent="0.35">
      <c r="V2100" s="1013"/>
      <c r="W2100" s="138"/>
      <c r="AQ2100" s="138"/>
    </row>
    <row r="2101" spans="22:43" x14ac:dyDescent="0.35">
      <c r="V2101" s="1013"/>
      <c r="W2101" s="138"/>
      <c r="AQ2101" s="138"/>
    </row>
    <row r="2102" spans="22:43" x14ac:dyDescent="0.35">
      <c r="V2102" s="1013"/>
      <c r="W2102" s="138"/>
      <c r="AQ2102" s="138"/>
    </row>
    <row r="2103" spans="22:43" x14ac:dyDescent="0.35">
      <c r="V2103" s="1013"/>
      <c r="W2103" s="138"/>
      <c r="AQ2103" s="138"/>
    </row>
    <row r="2104" spans="22:43" x14ac:dyDescent="0.35">
      <c r="V2104" s="1013"/>
      <c r="W2104" s="138"/>
      <c r="AQ2104" s="138"/>
    </row>
    <row r="2105" spans="22:43" x14ac:dyDescent="0.35">
      <c r="V2105" s="1013"/>
      <c r="W2105" s="138"/>
      <c r="AQ2105" s="138"/>
    </row>
    <row r="2106" spans="22:43" x14ac:dyDescent="0.35">
      <c r="V2106" s="1013"/>
      <c r="W2106" s="138"/>
      <c r="AQ2106" s="138"/>
    </row>
    <row r="2107" spans="22:43" x14ac:dyDescent="0.35">
      <c r="V2107" s="1013"/>
      <c r="W2107" s="138"/>
      <c r="AQ2107" s="138"/>
    </row>
    <row r="2108" spans="22:43" x14ac:dyDescent="0.35">
      <c r="V2108" s="1013"/>
      <c r="W2108" s="138"/>
      <c r="AQ2108" s="138"/>
    </row>
    <row r="2109" spans="22:43" x14ac:dyDescent="0.35">
      <c r="V2109" s="1013"/>
      <c r="W2109" s="138"/>
      <c r="AQ2109" s="138"/>
    </row>
    <row r="2110" spans="22:43" x14ac:dyDescent="0.35">
      <c r="V2110" s="1013"/>
      <c r="W2110" s="138"/>
      <c r="AQ2110" s="138"/>
    </row>
    <row r="2111" spans="22:43" x14ac:dyDescent="0.35">
      <c r="V2111" s="1013"/>
      <c r="W2111" s="138"/>
      <c r="AQ2111" s="138"/>
    </row>
    <row r="2112" spans="22:43" x14ac:dyDescent="0.35">
      <c r="V2112" s="1013"/>
      <c r="W2112" s="138"/>
      <c r="AQ2112" s="138"/>
    </row>
    <row r="2113" spans="22:43" x14ac:dyDescent="0.35">
      <c r="V2113" s="1013"/>
      <c r="W2113" s="138"/>
      <c r="AQ2113" s="138"/>
    </row>
    <row r="2114" spans="22:43" x14ac:dyDescent="0.35">
      <c r="V2114" s="1013"/>
      <c r="W2114" s="138"/>
      <c r="AQ2114" s="138"/>
    </row>
    <row r="2115" spans="22:43" x14ac:dyDescent="0.35">
      <c r="V2115" s="1013"/>
      <c r="W2115" s="138"/>
      <c r="AQ2115" s="138"/>
    </row>
    <row r="2116" spans="22:43" x14ac:dyDescent="0.35">
      <c r="V2116" s="1013"/>
      <c r="W2116" s="138"/>
      <c r="AQ2116" s="138"/>
    </row>
    <row r="2117" spans="22:43" x14ac:dyDescent="0.35">
      <c r="V2117" s="1013"/>
      <c r="W2117" s="138"/>
      <c r="AQ2117" s="138"/>
    </row>
    <row r="2118" spans="22:43" x14ac:dyDescent="0.35">
      <c r="V2118" s="1013"/>
      <c r="W2118" s="138"/>
      <c r="AQ2118" s="138"/>
    </row>
    <row r="2119" spans="22:43" x14ac:dyDescent="0.35">
      <c r="V2119" s="1013"/>
      <c r="W2119" s="138"/>
      <c r="AQ2119" s="138"/>
    </row>
    <row r="2120" spans="22:43" x14ac:dyDescent="0.35">
      <c r="V2120" s="1013"/>
      <c r="W2120" s="138"/>
      <c r="AQ2120" s="138"/>
    </row>
    <row r="2121" spans="22:43" x14ac:dyDescent="0.35">
      <c r="V2121" s="1013"/>
      <c r="W2121" s="138"/>
      <c r="AQ2121" s="138"/>
    </row>
    <row r="2122" spans="22:43" x14ac:dyDescent="0.35">
      <c r="V2122" s="1013"/>
      <c r="W2122" s="138"/>
      <c r="AQ2122" s="138"/>
    </row>
    <row r="2123" spans="22:43" x14ac:dyDescent="0.35">
      <c r="V2123" s="1013"/>
      <c r="W2123" s="138"/>
      <c r="AQ2123" s="138"/>
    </row>
    <row r="2124" spans="22:43" x14ac:dyDescent="0.35">
      <c r="V2124" s="1013"/>
      <c r="W2124" s="138"/>
      <c r="AQ2124" s="138"/>
    </row>
    <row r="2125" spans="22:43" x14ac:dyDescent="0.35">
      <c r="V2125" s="1013"/>
      <c r="W2125" s="138"/>
      <c r="AQ2125" s="138"/>
    </row>
    <row r="2126" spans="22:43" x14ac:dyDescent="0.35">
      <c r="V2126" s="1013"/>
      <c r="W2126" s="138"/>
      <c r="AQ2126" s="138"/>
    </row>
    <row r="2127" spans="22:43" x14ac:dyDescent="0.35">
      <c r="V2127" s="1013"/>
      <c r="W2127" s="138"/>
      <c r="AQ2127" s="138"/>
    </row>
    <row r="2128" spans="22:43" x14ac:dyDescent="0.35">
      <c r="V2128" s="1013"/>
      <c r="W2128" s="138"/>
      <c r="AQ2128" s="138"/>
    </row>
    <row r="2129" spans="22:43" x14ac:dyDescent="0.35">
      <c r="V2129" s="1013"/>
      <c r="W2129" s="138"/>
      <c r="AQ2129" s="138"/>
    </row>
    <row r="2130" spans="22:43" x14ac:dyDescent="0.35">
      <c r="V2130" s="1013"/>
      <c r="W2130" s="138"/>
      <c r="AQ2130" s="138"/>
    </row>
    <row r="2131" spans="22:43" x14ac:dyDescent="0.35">
      <c r="V2131" s="1013"/>
      <c r="W2131" s="138"/>
      <c r="AQ2131" s="138"/>
    </row>
    <row r="2132" spans="22:43" x14ac:dyDescent="0.35">
      <c r="V2132" s="1013"/>
      <c r="W2132" s="138"/>
      <c r="AQ2132" s="138"/>
    </row>
    <row r="2133" spans="22:43" x14ac:dyDescent="0.35">
      <c r="V2133" s="1013"/>
      <c r="W2133" s="138"/>
      <c r="AQ2133" s="138"/>
    </row>
    <row r="2134" spans="22:43" x14ac:dyDescent="0.35">
      <c r="V2134" s="1013"/>
      <c r="W2134" s="138"/>
      <c r="AQ2134" s="138"/>
    </row>
    <row r="2135" spans="22:43" x14ac:dyDescent="0.35">
      <c r="V2135" s="1013"/>
      <c r="W2135" s="138"/>
      <c r="AQ2135" s="138"/>
    </row>
    <row r="2136" spans="22:43" x14ac:dyDescent="0.35">
      <c r="V2136" s="1013"/>
      <c r="W2136" s="138"/>
      <c r="AQ2136" s="138"/>
    </row>
    <row r="2137" spans="22:43" x14ac:dyDescent="0.35">
      <c r="V2137" s="1013"/>
      <c r="W2137" s="138"/>
      <c r="AQ2137" s="138"/>
    </row>
    <row r="2138" spans="22:43" x14ac:dyDescent="0.35">
      <c r="V2138" s="1013"/>
      <c r="W2138" s="138"/>
      <c r="AQ2138" s="138"/>
    </row>
    <row r="2139" spans="22:43" x14ac:dyDescent="0.35">
      <c r="V2139" s="1013"/>
      <c r="W2139" s="138"/>
      <c r="AQ2139" s="138"/>
    </row>
    <row r="2140" spans="22:43" x14ac:dyDescent="0.35">
      <c r="V2140" s="1013"/>
      <c r="W2140" s="138"/>
      <c r="AQ2140" s="138"/>
    </row>
    <row r="2141" spans="22:43" x14ac:dyDescent="0.35">
      <c r="V2141" s="1013"/>
      <c r="W2141" s="138"/>
      <c r="AQ2141" s="138"/>
    </row>
    <row r="2142" spans="22:43" x14ac:dyDescent="0.35">
      <c r="V2142" s="1013"/>
      <c r="W2142" s="138"/>
      <c r="AQ2142" s="138"/>
    </row>
    <row r="2143" spans="22:43" x14ac:dyDescent="0.35">
      <c r="V2143" s="1013"/>
      <c r="W2143" s="138"/>
      <c r="AQ2143" s="138"/>
    </row>
    <row r="2144" spans="22:43" x14ac:dyDescent="0.35">
      <c r="V2144" s="1013"/>
      <c r="W2144" s="138"/>
      <c r="AQ2144" s="138"/>
    </row>
    <row r="2145" spans="22:43" x14ac:dyDescent="0.35">
      <c r="V2145" s="1013"/>
      <c r="W2145" s="138"/>
      <c r="AQ2145" s="138"/>
    </row>
    <row r="2146" spans="22:43" x14ac:dyDescent="0.35">
      <c r="V2146" s="1013"/>
      <c r="W2146" s="138"/>
      <c r="AQ2146" s="138"/>
    </row>
    <row r="2147" spans="22:43" x14ac:dyDescent="0.35">
      <c r="V2147" s="1013"/>
      <c r="W2147" s="138"/>
      <c r="AQ2147" s="138"/>
    </row>
    <row r="2148" spans="22:43" x14ac:dyDescent="0.35">
      <c r="V2148" s="1013"/>
      <c r="W2148" s="138"/>
      <c r="AQ2148" s="138"/>
    </row>
    <row r="2149" spans="22:43" x14ac:dyDescent="0.35">
      <c r="V2149" s="1013"/>
      <c r="W2149" s="138"/>
      <c r="AQ2149" s="138"/>
    </row>
    <row r="2150" spans="22:43" x14ac:dyDescent="0.35">
      <c r="V2150" s="1013"/>
      <c r="W2150" s="138"/>
      <c r="AQ2150" s="138"/>
    </row>
    <row r="2151" spans="22:43" x14ac:dyDescent="0.35">
      <c r="V2151" s="1013"/>
      <c r="W2151" s="138"/>
      <c r="AQ2151" s="138"/>
    </row>
    <row r="2152" spans="22:43" x14ac:dyDescent="0.35">
      <c r="V2152" s="1013"/>
      <c r="W2152" s="138"/>
      <c r="AQ2152" s="138"/>
    </row>
    <row r="2153" spans="22:43" x14ac:dyDescent="0.35">
      <c r="V2153" s="1013"/>
      <c r="W2153" s="138"/>
      <c r="AQ2153" s="138"/>
    </row>
    <row r="2154" spans="22:43" x14ac:dyDescent="0.35">
      <c r="V2154" s="1013"/>
      <c r="W2154" s="138"/>
      <c r="AQ2154" s="138"/>
    </row>
    <row r="2155" spans="22:43" x14ac:dyDescent="0.35">
      <c r="V2155" s="1013"/>
      <c r="W2155" s="138"/>
      <c r="AQ2155" s="138"/>
    </row>
    <row r="2156" spans="22:43" x14ac:dyDescent="0.35">
      <c r="V2156" s="1013"/>
      <c r="W2156" s="138"/>
      <c r="AQ2156" s="138"/>
    </row>
    <row r="2157" spans="22:43" x14ac:dyDescent="0.35">
      <c r="V2157" s="1013"/>
      <c r="W2157" s="138"/>
      <c r="AQ2157" s="138"/>
    </row>
    <row r="2158" spans="22:43" x14ac:dyDescent="0.35">
      <c r="V2158" s="1013"/>
      <c r="W2158" s="138"/>
      <c r="AQ2158" s="138"/>
    </row>
    <row r="2159" spans="22:43" x14ac:dyDescent="0.35">
      <c r="V2159" s="1013"/>
      <c r="W2159" s="138"/>
      <c r="AQ2159" s="138"/>
    </row>
    <row r="2160" spans="22:43" x14ac:dyDescent="0.35">
      <c r="V2160" s="1013"/>
      <c r="W2160" s="138"/>
      <c r="AQ2160" s="138"/>
    </row>
    <row r="2161" spans="22:43" x14ac:dyDescent="0.35">
      <c r="V2161" s="1013"/>
      <c r="W2161" s="138"/>
      <c r="AQ2161" s="138"/>
    </row>
    <row r="2162" spans="22:43" x14ac:dyDescent="0.35">
      <c r="V2162" s="1013"/>
      <c r="W2162" s="138"/>
      <c r="AQ2162" s="138"/>
    </row>
    <row r="2163" spans="22:43" x14ac:dyDescent="0.35">
      <c r="V2163" s="1013"/>
      <c r="W2163" s="138"/>
      <c r="AQ2163" s="138"/>
    </row>
    <row r="2164" spans="22:43" x14ac:dyDescent="0.35">
      <c r="V2164" s="1013"/>
      <c r="W2164" s="138"/>
      <c r="AQ2164" s="138"/>
    </row>
    <row r="2165" spans="22:43" x14ac:dyDescent="0.35">
      <c r="V2165" s="1013"/>
      <c r="W2165" s="138"/>
      <c r="AQ2165" s="138"/>
    </row>
    <row r="2166" spans="22:43" x14ac:dyDescent="0.35">
      <c r="V2166" s="1013"/>
      <c r="W2166" s="138"/>
      <c r="AQ2166" s="138"/>
    </row>
    <row r="2167" spans="22:43" x14ac:dyDescent="0.35">
      <c r="V2167" s="1013"/>
      <c r="W2167" s="138"/>
      <c r="AQ2167" s="138"/>
    </row>
    <row r="2168" spans="22:43" x14ac:dyDescent="0.35">
      <c r="V2168" s="1013"/>
      <c r="W2168" s="138"/>
      <c r="AQ2168" s="138"/>
    </row>
    <row r="2169" spans="22:43" x14ac:dyDescent="0.35">
      <c r="V2169" s="1013"/>
      <c r="W2169" s="138"/>
      <c r="AQ2169" s="138"/>
    </row>
    <row r="2170" spans="22:43" x14ac:dyDescent="0.35">
      <c r="V2170" s="1013"/>
      <c r="W2170" s="138"/>
      <c r="AQ2170" s="138"/>
    </row>
    <row r="2171" spans="22:43" x14ac:dyDescent="0.35">
      <c r="V2171" s="1013"/>
      <c r="W2171" s="138"/>
      <c r="AQ2171" s="138"/>
    </row>
    <row r="2172" spans="22:43" x14ac:dyDescent="0.35">
      <c r="V2172" s="1013"/>
      <c r="W2172" s="138"/>
      <c r="AQ2172" s="138"/>
    </row>
    <row r="2173" spans="22:43" x14ac:dyDescent="0.35">
      <c r="V2173" s="1013"/>
      <c r="W2173" s="138"/>
      <c r="AQ2173" s="138"/>
    </row>
    <row r="2174" spans="22:43" x14ac:dyDescent="0.35">
      <c r="V2174" s="1013"/>
      <c r="W2174" s="138"/>
      <c r="AQ2174" s="138"/>
    </row>
    <row r="2175" spans="22:43" x14ac:dyDescent="0.35">
      <c r="V2175" s="1013"/>
      <c r="W2175" s="138"/>
      <c r="AQ2175" s="138"/>
    </row>
    <row r="2176" spans="22:43" x14ac:dyDescent="0.35">
      <c r="V2176" s="1013"/>
      <c r="W2176" s="138"/>
      <c r="AQ2176" s="138"/>
    </row>
    <row r="2177" spans="22:43" x14ac:dyDescent="0.35">
      <c r="V2177" s="1013"/>
      <c r="W2177" s="138"/>
      <c r="AQ2177" s="138"/>
    </row>
    <row r="2178" spans="22:43" x14ac:dyDescent="0.35">
      <c r="V2178" s="1013"/>
      <c r="W2178" s="138"/>
      <c r="AQ2178" s="138"/>
    </row>
    <row r="2179" spans="22:43" x14ac:dyDescent="0.35">
      <c r="V2179" s="1013"/>
      <c r="W2179" s="138"/>
      <c r="AQ2179" s="138"/>
    </row>
    <row r="2180" spans="22:43" x14ac:dyDescent="0.35">
      <c r="V2180" s="1013"/>
      <c r="W2180" s="138"/>
      <c r="AQ2180" s="138"/>
    </row>
    <row r="2181" spans="22:43" x14ac:dyDescent="0.35">
      <c r="V2181" s="1013"/>
      <c r="W2181" s="138"/>
      <c r="AQ2181" s="138"/>
    </row>
    <row r="2182" spans="22:43" x14ac:dyDescent="0.35">
      <c r="V2182" s="1013"/>
      <c r="W2182" s="138"/>
      <c r="AQ2182" s="138"/>
    </row>
    <row r="2183" spans="22:43" x14ac:dyDescent="0.35">
      <c r="V2183" s="1013"/>
      <c r="W2183" s="138"/>
      <c r="AQ2183" s="138"/>
    </row>
    <row r="2184" spans="22:43" x14ac:dyDescent="0.35">
      <c r="V2184" s="1013"/>
      <c r="W2184" s="138"/>
      <c r="AQ2184" s="138"/>
    </row>
    <row r="2185" spans="22:43" x14ac:dyDescent="0.35">
      <c r="V2185" s="1013"/>
      <c r="W2185" s="138"/>
      <c r="AQ2185" s="138"/>
    </row>
    <row r="2186" spans="22:43" x14ac:dyDescent="0.35">
      <c r="V2186" s="1013"/>
      <c r="W2186" s="138"/>
      <c r="AQ2186" s="138"/>
    </row>
    <row r="2187" spans="22:43" x14ac:dyDescent="0.35">
      <c r="V2187" s="1013"/>
      <c r="W2187" s="138"/>
      <c r="AQ2187" s="138"/>
    </row>
    <row r="2188" spans="22:43" x14ac:dyDescent="0.35">
      <c r="V2188" s="1013"/>
      <c r="W2188" s="138"/>
      <c r="AQ2188" s="138"/>
    </row>
    <row r="2189" spans="22:43" x14ac:dyDescent="0.35">
      <c r="V2189" s="1013"/>
      <c r="W2189" s="138"/>
      <c r="AQ2189" s="138"/>
    </row>
    <row r="2190" spans="22:43" x14ac:dyDescent="0.35">
      <c r="V2190" s="1013"/>
      <c r="W2190" s="138"/>
      <c r="AQ2190" s="138"/>
    </row>
    <row r="2191" spans="22:43" x14ac:dyDescent="0.35">
      <c r="V2191" s="1013"/>
      <c r="W2191" s="138"/>
      <c r="AQ2191" s="138"/>
    </row>
    <row r="2192" spans="22:43" x14ac:dyDescent="0.35">
      <c r="V2192" s="1013"/>
      <c r="W2192" s="138"/>
      <c r="AQ2192" s="138"/>
    </row>
    <row r="2193" spans="22:43" x14ac:dyDescent="0.35">
      <c r="V2193" s="1013"/>
      <c r="W2193" s="138"/>
      <c r="AQ2193" s="138"/>
    </row>
    <row r="2194" spans="22:43" x14ac:dyDescent="0.35">
      <c r="V2194" s="1013"/>
      <c r="W2194" s="138"/>
      <c r="AQ2194" s="138"/>
    </row>
    <row r="2195" spans="22:43" x14ac:dyDescent="0.35">
      <c r="V2195" s="1013"/>
      <c r="W2195" s="138"/>
      <c r="AQ2195" s="138"/>
    </row>
    <row r="2196" spans="22:43" x14ac:dyDescent="0.35">
      <c r="V2196" s="1013"/>
      <c r="W2196" s="138"/>
      <c r="AQ2196" s="138"/>
    </row>
    <row r="2197" spans="22:43" x14ac:dyDescent="0.35">
      <c r="V2197" s="1013"/>
      <c r="W2197" s="138"/>
      <c r="AQ2197" s="138"/>
    </row>
    <row r="2198" spans="22:43" x14ac:dyDescent="0.35">
      <c r="V2198" s="1013"/>
      <c r="W2198" s="138"/>
      <c r="AQ2198" s="138"/>
    </row>
    <row r="2199" spans="22:43" x14ac:dyDescent="0.35">
      <c r="V2199" s="1013"/>
      <c r="W2199" s="138"/>
      <c r="AQ2199" s="138"/>
    </row>
    <row r="2200" spans="22:43" x14ac:dyDescent="0.35">
      <c r="V2200" s="1013"/>
      <c r="W2200" s="138"/>
      <c r="AQ2200" s="138"/>
    </row>
    <row r="2201" spans="22:43" x14ac:dyDescent="0.35">
      <c r="V2201" s="1013"/>
      <c r="W2201" s="138"/>
      <c r="AQ2201" s="138"/>
    </row>
    <row r="2202" spans="22:43" x14ac:dyDescent="0.35">
      <c r="V2202" s="1013"/>
      <c r="W2202" s="138"/>
      <c r="AQ2202" s="138"/>
    </row>
    <row r="2203" spans="22:43" x14ac:dyDescent="0.35">
      <c r="V2203" s="1013"/>
      <c r="W2203" s="138"/>
      <c r="AQ2203" s="138"/>
    </row>
    <row r="2204" spans="22:43" x14ac:dyDescent="0.35">
      <c r="V2204" s="1013"/>
      <c r="W2204" s="138"/>
      <c r="AQ2204" s="138"/>
    </row>
    <row r="2205" spans="22:43" x14ac:dyDescent="0.35">
      <c r="V2205" s="1013"/>
      <c r="W2205" s="138"/>
      <c r="AQ2205" s="138"/>
    </row>
    <row r="2206" spans="22:43" x14ac:dyDescent="0.35">
      <c r="V2206" s="1013"/>
      <c r="W2206" s="138"/>
      <c r="AQ2206" s="138"/>
    </row>
    <row r="2207" spans="22:43" x14ac:dyDescent="0.35">
      <c r="V2207" s="1013"/>
      <c r="W2207" s="138"/>
      <c r="AQ2207" s="138"/>
    </row>
    <row r="2208" spans="22:43" x14ac:dyDescent="0.35">
      <c r="V2208" s="1013"/>
      <c r="W2208" s="138"/>
      <c r="AQ2208" s="138"/>
    </row>
    <row r="2209" spans="22:43" x14ac:dyDescent="0.35">
      <c r="V2209" s="1013"/>
      <c r="W2209" s="138"/>
      <c r="AQ2209" s="138"/>
    </row>
    <row r="2210" spans="22:43" x14ac:dyDescent="0.35">
      <c r="V2210" s="1013"/>
      <c r="W2210" s="138"/>
      <c r="AQ2210" s="138"/>
    </row>
    <row r="2211" spans="22:43" x14ac:dyDescent="0.35">
      <c r="V2211" s="1013"/>
      <c r="W2211" s="138"/>
      <c r="AQ2211" s="138"/>
    </row>
    <row r="2212" spans="22:43" x14ac:dyDescent="0.35">
      <c r="V2212" s="1013"/>
      <c r="W2212" s="138"/>
      <c r="AQ2212" s="138"/>
    </row>
    <row r="2213" spans="22:43" x14ac:dyDescent="0.35">
      <c r="V2213" s="1013"/>
      <c r="W2213" s="138"/>
      <c r="AQ2213" s="138"/>
    </row>
    <row r="2214" spans="22:43" x14ac:dyDescent="0.35">
      <c r="V2214" s="1013"/>
      <c r="W2214" s="138"/>
      <c r="AQ2214" s="138"/>
    </row>
    <row r="2215" spans="22:43" x14ac:dyDescent="0.35">
      <c r="V2215" s="1013"/>
      <c r="W2215" s="138"/>
      <c r="AQ2215" s="138"/>
    </row>
    <row r="2216" spans="22:43" x14ac:dyDescent="0.35">
      <c r="V2216" s="1013"/>
      <c r="W2216" s="138"/>
      <c r="AQ2216" s="138"/>
    </row>
    <row r="2217" spans="22:43" x14ac:dyDescent="0.35">
      <c r="V2217" s="1013"/>
      <c r="W2217" s="138"/>
      <c r="AQ2217" s="138"/>
    </row>
    <row r="2218" spans="22:43" x14ac:dyDescent="0.35">
      <c r="V2218" s="1013"/>
      <c r="W2218" s="138"/>
      <c r="AQ2218" s="138"/>
    </row>
    <row r="2219" spans="22:43" x14ac:dyDescent="0.35">
      <c r="V2219" s="1013"/>
      <c r="W2219" s="138"/>
      <c r="AQ2219" s="138"/>
    </row>
    <row r="2220" spans="22:43" x14ac:dyDescent="0.35">
      <c r="V2220" s="1013"/>
      <c r="W2220" s="138"/>
      <c r="AQ2220" s="138"/>
    </row>
    <row r="2221" spans="22:43" x14ac:dyDescent="0.35">
      <c r="V2221" s="1013"/>
      <c r="W2221" s="138"/>
      <c r="AQ2221" s="138"/>
    </row>
    <row r="2222" spans="22:43" x14ac:dyDescent="0.35">
      <c r="V2222" s="1013"/>
      <c r="W2222" s="138"/>
      <c r="AQ2222" s="138"/>
    </row>
    <row r="2223" spans="22:43" x14ac:dyDescent="0.35">
      <c r="V2223" s="1013"/>
      <c r="W2223" s="138"/>
      <c r="AQ2223" s="138"/>
    </row>
    <row r="2224" spans="22:43" x14ac:dyDescent="0.35">
      <c r="V2224" s="1013"/>
      <c r="W2224" s="138"/>
      <c r="AQ2224" s="138"/>
    </row>
    <row r="2225" spans="22:43" x14ac:dyDescent="0.35">
      <c r="V2225" s="1013"/>
      <c r="W2225" s="138"/>
      <c r="AQ2225" s="138"/>
    </row>
    <row r="2226" spans="22:43" x14ac:dyDescent="0.35">
      <c r="V2226" s="1013"/>
      <c r="W2226" s="138"/>
      <c r="AQ2226" s="138"/>
    </row>
    <row r="2227" spans="22:43" x14ac:dyDescent="0.35">
      <c r="V2227" s="1013"/>
      <c r="W2227" s="138"/>
      <c r="AQ2227" s="138"/>
    </row>
    <row r="2228" spans="22:43" x14ac:dyDescent="0.35">
      <c r="V2228" s="1013"/>
      <c r="W2228" s="138"/>
      <c r="AQ2228" s="138"/>
    </row>
    <row r="2229" spans="22:43" x14ac:dyDescent="0.35">
      <c r="V2229" s="1013"/>
      <c r="W2229" s="138"/>
      <c r="AQ2229" s="138"/>
    </row>
    <row r="2230" spans="22:43" x14ac:dyDescent="0.35">
      <c r="V2230" s="1013"/>
      <c r="W2230" s="138"/>
      <c r="AQ2230" s="138"/>
    </row>
    <row r="2231" spans="22:43" x14ac:dyDescent="0.35">
      <c r="V2231" s="1013"/>
      <c r="W2231" s="138"/>
      <c r="AQ2231" s="138"/>
    </row>
    <row r="2232" spans="22:43" x14ac:dyDescent="0.35">
      <c r="V2232" s="1013"/>
      <c r="W2232" s="138"/>
      <c r="AQ2232" s="138"/>
    </row>
    <row r="2233" spans="22:43" x14ac:dyDescent="0.35">
      <c r="V2233" s="1013"/>
      <c r="W2233" s="138"/>
      <c r="AQ2233" s="138"/>
    </row>
    <row r="2234" spans="22:43" x14ac:dyDescent="0.35">
      <c r="V2234" s="1013"/>
      <c r="W2234" s="138"/>
      <c r="AQ2234" s="138"/>
    </row>
    <row r="2235" spans="22:43" x14ac:dyDescent="0.35">
      <c r="V2235" s="1013"/>
      <c r="W2235" s="138"/>
      <c r="AQ2235" s="138"/>
    </row>
    <row r="2236" spans="22:43" x14ac:dyDescent="0.35">
      <c r="V2236" s="1013"/>
      <c r="W2236" s="138"/>
      <c r="AQ2236" s="138"/>
    </row>
    <row r="2237" spans="22:43" x14ac:dyDescent="0.35">
      <c r="V2237" s="1013"/>
      <c r="W2237" s="138"/>
      <c r="AQ2237" s="138"/>
    </row>
    <row r="2238" spans="22:43" x14ac:dyDescent="0.35">
      <c r="V2238" s="1013"/>
      <c r="W2238" s="138"/>
      <c r="AQ2238" s="138"/>
    </row>
    <row r="2239" spans="22:43" x14ac:dyDescent="0.35">
      <c r="V2239" s="1013"/>
      <c r="W2239" s="138"/>
      <c r="AQ2239" s="138"/>
    </row>
    <row r="2240" spans="22:43" x14ac:dyDescent="0.35">
      <c r="V2240" s="1013"/>
      <c r="W2240" s="138"/>
      <c r="AQ2240" s="138"/>
    </row>
    <row r="2241" spans="22:43" x14ac:dyDescent="0.35">
      <c r="V2241" s="1013"/>
      <c r="W2241" s="138"/>
      <c r="AQ2241" s="138"/>
    </row>
    <row r="2242" spans="22:43" x14ac:dyDescent="0.35">
      <c r="V2242" s="1013"/>
      <c r="W2242" s="138"/>
      <c r="AQ2242" s="138"/>
    </row>
    <row r="2243" spans="22:43" x14ac:dyDescent="0.35">
      <c r="V2243" s="1013"/>
      <c r="W2243" s="138"/>
      <c r="AQ2243" s="138"/>
    </row>
    <row r="2244" spans="22:43" x14ac:dyDescent="0.35">
      <c r="V2244" s="1013"/>
      <c r="W2244" s="138"/>
      <c r="AQ2244" s="138"/>
    </row>
    <row r="2245" spans="22:43" x14ac:dyDescent="0.35">
      <c r="V2245" s="1013"/>
      <c r="W2245" s="138"/>
      <c r="AQ2245" s="138"/>
    </row>
    <row r="2246" spans="22:43" x14ac:dyDescent="0.35">
      <c r="V2246" s="1013"/>
      <c r="W2246" s="138"/>
      <c r="AQ2246" s="138"/>
    </row>
    <row r="2247" spans="22:43" x14ac:dyDescent="0.35">
      <c r="V2247" s="1013"/>
      <c r="W2247" s="138"/>
      <c r="AQ2247" s="138"/>
    </row>
    <row r="2248" spans="22:43" x14ac:dyDescent="0.35">
      <c r="V2248" s="1013"/>
      <c r="W2248" s="138"/>
      <c r="AQ2248" s="138"/>
    </row>
    <row r="2249" spans="22:43" x14ac:dyDescent="0.35">
      <c r="V2249" s="1013"/>
      <c r="W2249" s="138"/>
      <c r="AQ2249" s="138"/>
    </row>
    <row r="2250" spans="22:43" x14ac:dyDescent="0.35">
      <c r="V2250" s="1013"/>
      <c r="W2250" s="138"/>
      <c r="AQ2250" s="138"/>
    </row>
    <row r="2251" spans="22:43" x14ac:dyDescent="0.35">
      <c r="V2251" s="1013"/>
      <c r="W2251" s="138"/>
      <c r="AQ2251" s="138"/>
    </row>
    <row r="2252" spans="22:43" x14ac:dyDescent="0.35">
      <c r="V2252" s="1013"/>
      <c r="W2252" s="138"/>
      <c r="AQ2252" s="138"/>
    </row>
    <row r="2253" spans="22:43" x14ac:dyDescent="0.35">
      <c r="V2253" s="1013"/>
      <c r="W2253" s="138"/>
      <c r="AQ2253" s="138"/>
    </row>
    <row r="2254" spans="22:43" x14ac:dyDescent="0.35">
      <c r="V2254" s="1013"/>
      <c r="W2254" s="138"/>
      <c r="AQ2254" s="138"/>
    </row>
    <row r="2255" spans="22:43" x14ac:dyDescent="0.35">
      <c r="V2255" s="1013"/>
      <c r="W2255" s="138"/>
      <c r="AQ2255" s="138"/>
    </row>
    <row r="2256" spans="22:43" x14ac:dyDescent="0.35">
      <c r="V2256" s="1013"/>
      <c r="W2256" s="138"/>
      <c r="AQ2256" s="138"/>
    </row>
    <row r="2257" spans="22:43" x14ac:dyDescent="0.35">
      <c r="V2257" s="1013"/>
      <c r="W2257" s="138"/>
      <c r="AQ2257" s="138"/>
    </row>
    <row r="2258" spans="22:43" x14ac:dyDescent="0.35">
      <c r="V2258" s="1013"/>
      <c r="W2258" s="138"/>
      <c r="AQ2258" s="138"/>
    </row>
    <row r="2259" spans="22:43" x14ac:dyDescent="0.35">
      <c r="V2259" s="1013"/>
      <c r="W2259" s="138"/>
      <c r="AQ2259" s="138"/>
    </row>
    <row r="2260" spans="22:43" x14ac:dyDescent="0.35">
      <c r="V2260" s="1013"/>
      <c r="W2260" s="138"/>
      <c r="AQ2260" s="138"/>
    </row>
    <row r="2261" spans="22:43" x14ac:dyDescent="0.35">
      <c r="V2261" s="1013"/>
      <c r="W2261" s="138"/>
      <c r="AQ2261" s="138"/>
    </row>
    <row r="2262" spans="22:43" x14ac:dyDescent="0.35">
      <c r="V2262" s="1013"/>
      <c r="W2262" s="138"/>
      <c r="AQ2262" s="138"/>
    </row>
    <row r="2263" spans="22:43" x14ac:dyDescent="0.35">
      <c r="V2263" s="1013"/>
      <c r="W2263" s="138"/>
      <c r="AQ2263" s="138"/>
    </row>
    <row r="2264" spans="22:43" x14ac:dyDescent="0.35">
      <c r="V2264" s="1013"/>
      <c r="W2264" s="138"/>
      <c r="AQ2264" s="138"/>
    </row>
    <row r="2265" spans="22:43" x14ac:dyDescent="0.35">
      <c r="V2265" s="1013"/>
      <c r="W2265" s="138"/>
      <c r="AQ2265" s="138"/>
    </row>
    <row r="2266" spans="22:43" x14ac:dyDescent="0.35">
      <c r="V2266" s="1013"/>
      <c r="W2266" s="138"/>
      <c r="AQ2266" s="138"/>
    </row>
    <row r="2267" spans="22:43" x14ac:dyDescent="0.35">
      <c r="V2267" s="1013"/>
      <c r="W2267" s="138"/>
      <c r="AQ2267" s="138"/>
    </row>
    <row r="2268" spans="22:43" x14ac:dyDescent="0.35">
      <c r="V2268" s="1013"/>
      <c r="W2268" s="138"/>
      <c r="AQ2268" s="138"/>
    </row>
    <row r="2269" spans="22:43" x14ac:dyDescent="0.35">
      <c r="V2269" s="1013"/>
      <c r="W2269" s="138"/>
      <c r="AQ2269" s="138"/>
    </row>
    <row r="2270" spans="22:43" x14ac:dyDescent="0.35">
      <c r="V2270" s="1013"/>
      <c r="W2270" s="138"/>
      <c r="AQ2270" s="138"/>
    </row>
    <row r="2271" spans="22:43" x14ac:dyDescent="0.35">
      <c r="V2271" s="1013"/>
      <c r="W2271" s="138"/>
      <c r="AQ2271" s="138"/>
    </row>
    <row r="2272" spans="22:43" x14ac:dyDescent="0.35">
      <c r="V2272" s="1013"/>
      <c r="W2272" s="138"/>
      <c r="AQ2272" s="138"/>
    </row>
    <row r="2273" spans="22:43" x14ac:dyDescent="0.35">
      <c r="V2273" s="1013"/>
      <c r="W2273" s="138"/>
      <c r="AQ2273" s="138"/>
    </row>
    <row r="2274" spans="22:43" x14ac:dyDescent="0.35">
      <c r="V2274" s="1013"/>
      <c r="W2274" s="138"/>
      <c r="AQ2274" s="138"/>
    </row>
    <row r="2275" spans="22:43" x14ac:dyDescent="0.35">
      <c r="V2275" s="1013"/>
      <c r="W2275" s="138"/>
      <c r="AQ2275" s="138"/>
    </row>
    <row r="2276" spans="22:43" x14ac:dyDescent="0.35">
      <c r="V2276" s="1013"/>
      <c r="W2276" s="138"/>
      <c r="AQ2276" s="138"/>
    </row>
    <row r="2277" spans="22:43" x14ac:dyDescent="0.35">
      <c r="V2277" s="1013"/>
      <c r="W2277" s="138"/>
      <c r="AQ2277" s="138"/>
    </row>
    <row r="2278" spans="22:43" x14ac:dyDescent="0.35">
      <c r="V2278" s="1013"/>
      <c r="W2278" s="138"/>
      <c r="AQ2278" s="138"/>
    </row>
    <row r="2279" spans="22:43" x14ac:dyDescent="0.35">
      <c r="V2279" s="1013"/>
      <c r="W2279" s="138"/>
      <c r="AQ2279" s="138"/>
    </row>
    <row r="2280" spans="22:43" x14ac:dyDescent="0.35">
      <c r="V2280" s="1013"/>
      <c r="W2280" s="138"/>
      <c r="AQ2280" s="138"/>
    </row>
    <row r="2281" spans="22:43" x14ac:dyDescent="0.35">
      <c r="V2281" s="1013"/>
      <c r="W2281" s="138"/>
      <c r="AQ2281" s="138"/>
    </row>
    <row r="2282" spans="22:43" x14ac:dyDescent="0.35">
      <c r="V2282" s="1013"/>
      <c r="W2282" s="138"/>
      <c r="AQ2282" s="138"/>
    </row>
    <row r="2283" spans="22:43" x14ac:dyDescent="0.35">
      <c r="V2283" s="1013"/>
      <c r="W2283" s="138"/>
      <c r="AQ2283" s="138"/>
    </row>
    <row r="2284" spans="22:43" x14ac:dyDescent="0.35">
      <c r="V2284" s="1013"/>
      <c r="W2284" s="138"/>
      <c r="AQ2284" s="138"/>
    </row>
    <row r="2285" spans="22:43" x14ac:dyDescent="0.35">
      <c r="V2285" s="1013"/>
      <c r="W2285" s="138"/>
      <c r="AQ2285" s="138"/>
    </row>
    <row r="2286" spans="22:43" x14ac:dyDescent="0.35">
      <c r="V2286" s="1013"/>
      <c r="W2286" s="138"/>
      <c r="AQ2286" s="138"/>
    </row>
    <row r="2287" spans="22:43" x14ac:dyDescent="0.35">
      <c r="V2287" s="1013"/>
      <c r="W2287" s="138"/>
      <c r="AQ2287" s="138"/>
    </row>
    <row r="2288" spans="22:43" x14ac:dyDescent="0.35">
      <c r="V2288" s="1013"/>
      <c r="W2288" s="138"/>
      <c r="AQ2288" s="138"/>
    </row>
    <row r="2289" spans="22:43" x14ac:dyDescent="0.35">
      <c r="V2289" s="1013"/>
      <c r="W2289" s="138"/>
      <c r="AQ2289" s="138"/>
    </row>
    <row r="2290" spans="22:43" x14ac:dyDescent="0.35">
      <c r="V2290" s="1013"/>
      <c r="W2290" s="138"/>
      <c r="AQ2290" s="138"/>
    </row>
    <row r="2291" spans="22:43" x14ac:dyDescent="0.35">
      <c r="V2291" s="1013"/>
      <c r="W2291" s="138"/>
      <c r="AQ2291" s="138"/>
    </row>
    <row r="2292" spans="22:43" x14ac:dyDescent="0.35">
      <c r="V2292" s="1013"/>
      <c r="W2292" s="138"/>
      <c r="AQ2292" s="138"/>
    </row>
    <row r="2293" spans="22:43" x14ac:dyDescent="0.35">
      <c r="V2293" s="1013"/>
      <c r="W2293" s="138"/>
      <c r="AQ2293" s="138"/>
    </row>
    <row r="2294" spans="22:43" x14ac:dyDescent="0.35">
      <c r="V2294" s="1013"/>
      <c r="W2294" s="138"/>
      <c r="AQ2294" s="138"/>
    </row>
    <row r="2295" spans="22:43" x14ac:dyDescent="0.35">
      <c r="V2295" s="1013"/>
      <c r="W2295" s="138"/>
      <c r="AQ2295" s="138"/>
    </row>
    <row r="2296" spans="22:43" x14ac:dyDescent="0.35">
      <c r="V2296" s="1013"/>
      <c r="W2296" s="138"/>
      <c r="AQ2296" s="138"/>
    </row>
    <row r="2297" spans="22:43" x14ac:dyDescent="0.35">
      <c r="V2297" s="1013"/>
      <c r="W2297" s="138"/>
      <c r="AQ2297" s="138"/>
    </row>
    <row r="2298" spans="22:43" x14ac:dyDescent="0.35">
      <c r="V2298" s="1013"/>
      <c r="W2298" s="138"/>
      <c r="AQ2298" s="138"/>
    </row>
    <row r="2299" spans="22:43" x14ac:dyDescent="0.35">
      <c r="V2299" s="1013"/>
      <c r="W2299" s="138"/>
      <c r="AQ2299" s="138"/>
    </row>
    <row r="2300" spans="22:43" x14ac:dyDescent="0.35">
      <c r="V2300" s="1013"/>
      <c r="W2300" s="138"/>
      <c r="AQ2300" s="138"/>
    </row>
    <row r="2301" spans="22:43" x14ac:dyDescent="0.35">
      <c r="V2301" s="1013"/>
      <c r="W2301" s="138"/>
      <c r="AQ2301" s="138"/>
    </row>
    <row r="2302" spans="22:43" x14ac:dyDescent="0.35">
      <c r="V2302" s="1013"/>
      <c r="W2302" s="138"/>
      <c r="AQ2302" s="138"/>
    </row>
    <row r="2303" spans="22:43" x14ac:dyDescent="0.35">
      <c r="V2303" s="1013"/>
      <c r="W2303" s="138"/>
      <c r="AQ2303" s="138"/>
    </row>
    <row r="2304" spans="22:43" x14ac:dyDescent="0.35">
      <c r="V2304" s="1013"/>
      <c r="W2304" s="138"/>
      <c r="AQ2304" s="138"/>
    </row>
    <row r="2305" spans="22:43" x14ac:dyDescent="0.35">
      <c r="V2305" s="1013"/>
      <c r="W2305" s="138"/>
      <c r="AQ2305" s="138"/>
    </row>
    <row r="2306" spans="22:43" x14ac:dyDescent="0.35">
      <c r="V2306" s="1013"/>
      <c r="W2306" s="138"/>
      <c r="AQ2306" s="138"/>
    </row>
    <row r="2307" spans="22:43" x14ac:dyDescent="0.35">
      <c r="V2307" s="1013"/>
      <c r="W2307" s="138"/>
      <c r="AQ2307" s="138"/>
    </row>
    <row r="2308" spans="22:43" x14ac:dyDescent="0.35">
      <c r="V2308" s="1013"/>
      <c r="W2308" s="138"/>
      <c r="AQ2308" s="138"/>
    </row>
    <row r="2309" spans="22:43" x14ac:dyDescent="0.35">
      <c r="V2309" s="1013"/>
      <c r="W2309" s="138"/>
      <c r="AQ2309" s="138"/>
    </row>
    <row r="2310" spans="22:43" x14ac:dyDescent="0.35">
      <c r="V2310" s="1013"/>
      <c r="W2310" s="138"/>
      <c r="AQ2310" s="138"/>
    </row>
    <row r="2311" spans="22:43" x14ac:dyDescent="0.35">
      <c r="V2311" s="1013"/>
      <c r="W2311" s="138"/>
      <c r="AQ2311" s="138"/>
    </row>
    <row r="2312" spans="22:43" x14ac:dyDescent="0.35">
      <c r="V2312" s="1013"/>
      <c r="W2312" s="138"/>
      <c r="AQ2312" s="138"/>
    </row>
    <row r="2313" spans="22:43" x14ac:dyDescent="0.35">
      <c r="V2313" s="1013"/>
      <c r="W2313" s="138"/>
      <c r="AQ2313" s="138"/>
    </row>
    <row r="2314" spans="22:43" x14ac:dyDescent="0.35">
      <c r="V2314" s="1013"/>
      <c r="W2314" s="138"/>
      <c r="AQ2314" s="138"/>
    </row>
    <row r="2315" spans="22:43" x14ac:dyDescent="0.35">
      <c r="V2315" s="1013"/>
      <c r="W2315" s="138"/>
      <c r="AQ2315" s="138"/>
    </row>
    <row r="2316" spans="22:43" x14ac:dyDescent="0.35">
      <c r="V2316" s="1013"/>
      <c r="W2316" s="138"/>
      <c r="AQ2316" s="138"/>
    </row>
    <row r="2317" spans="22:43" x14ac:dyDescent="0.35">
      <c r="V2317" s="1013"/>
      <c r="W2317" s="138"/>
      <c r="AQ2317" s="138"/>
    </row>
    <row r="2318" spans="22:43" x14ac:dyDescent="0.35">
      <c r="V2318" s="1013"/>
      <c r="W2318" s="138"/>
      <c r="AQ2318" s="138"/>
    </row>
    <row r="2319" spans="22:43" x14ac:dyDescent="0.35">
      <c r="V2319" s="1013"/>
      <c r="W2319" s="138"/>
      <c r="AQ2319" s="138"/>
    </row>
    <row r="2320" spans="22:43" x14ac:dyDescent="0.35">
      <c r="V2320" s="1013"/>
      <c r="W2320" s="138"/>
      <c r="AQ2320" s="138"/>
    </row>
    <row r="2321" spans="22:43" x14ac:dyDescent="0.35">
      <c r="V2321" s="1013"/>
      <c r="W2321" s="138"/>
      <c r="AQ2321" s="138"/>
    </row>
    <row r="2322" spans="22:43" x14ac:dyDescent="0.35">
      <c r="V2322" s="1013"/>
      <c r="W2322" s="138"/>
      <c r="AQ2322" s="138"/>
    </row>
    <row r="2323" spans="22:43" x14ac:dyDescent="0.35">
      <c r="V2323" s="1013"/>
      <c r="W2323" s="138"/>
      <c r="AQ2323" s="138"/>
    </row>
    <row r="2324" spans="22:43" x14ac:dyDescent="0.35">
      <c r="V2324" s="1013"/>
      <c r="W2324" s="138"/>
      <c r="AQ2324" s="138"/>
    </row>
    <row r="2325" spans="22:43" x14ac:dyDescent="0.35">
      <c r="V2325" s="1013"/>
      <c r="W2325" s="138"/>
      <c r="AQ2325" s="138"/>
    </row>
    <row r="2326" spans="22:43" x14ac:dyDescent="0.35">
      <c r="V2326" s="1013"/>
      <c r="W2326" s="138"/>
      <c r="AQ2326" s="138"/>
    </row>
    <row r="2327" spans="22:43" x14ac:dyDescent="0.35">
      <c r="V2327" s="1013"/>
      <c r="W2327" s="138"/>
      <c r="AQ2327" s="138"/>
    </row>
    <row r="2328" spans="22:43" x14ac:dyDescent="0.35">
      <c r="V2328" s="1013"/>
      <c r="W2328" s="138"/>
      <c r="AQ2328" s="138"/>
    </row>
    <row r="2329" spans="22:43" x14ac:dyDescent="0.35">
      <c r="V2329" s="1013"/>
      <c r="W2329" s="138"/>
      <c r="AQ2329" s="138"/>
    </row>
    <row r="2330" spans="22:43" x14ac:dyDescent="0.35">
      <c r="V2330" s="1013"/>
      <c r="W2330" s="138"/>
      <c r="AQ2330" s="138"/>
    </row>
    <row r="2331" spans="22:43" x14ac:dyDescent="0.35">
      <c r="V2331" s="1013"/>
      <c r="W2331" s="138"/>
      <c r="AQ2331" s="138"/>
    </row>
    <row r="2332" spans="22:43" x14ac:dyDescent="0.35">
      <c r="V2332" s="1013"/>
      <c r="W2332" s="138"/>
      <c r="AQ2332" s="138"/>
    </row>
    <row r="2333" spans="22:43" x14ac:dyDescent="0.35">
      <c r="V2333" s="1013"/>
      <c r="W2333" s="138"/>
      <c r="AQ2333" s="138"/>
    </row>
    <row r="2334" spans="22:43" x14ac:dyDescent="0.35">
      <c r="V2334" s="1013"/>
      <c r="W2334" s="138"/>
      <c r="AQ2334" s="138"/>
    </row>
    <row r="2335" spans="22:43" x14ac:dyDescent="0.35">
      <c r="V2335" s="1013"/>
      <c r="W2335" s="138"/>
      <c r="AQ2335" s="138"/>
    </row>
    <row r="2336" spans="22:43" x14ac:dyDescent="0.35">
      <c r="V2336" s="1013"/>
      <c r="W2336" s="138"/>
      <c r="AQ2336" s="138"/>
    </row>
    <row r="2337" spans="22:43" x14ac:dyDescent="0.35">
      <c r="V2337" s="1013"/>
      <c r="W2337" s="138"/>
      <c r="AQ2337" s="138"/>
    </row>
    <row r="2338" spans="22:43" x14ac:dyDescent="0.35">
      <c r="V2338" s="1013"/>
      <c r="W2338" s="138"/>
      <c r="AQ2338" s="138"/>
    </row>
    <row r="2339" spans="22:43" x14ac:dyDescent="0.35">
      <c r="V2339" s="1013"/>
      <c r="W2339" s="138"/>
      <c r="AQ2339" s="138"/>
    </row>
    <row r="2340" spans="22:43" x14ac:dyDescent="0.35">
      <c r="V2340" s="1013"/>
      <c r="W2340" s="138"/>
      <c r="AQ2340" s="138"/>
    </row>
    <row r="2341" spans="22:43" x14ac:dyDescent="0.35">
      <c r="V2341" s="1013"/>
      <c r="W2341" s="138"/>
      <c r="AQ2341" s="138"/>
    </row>
    <row r="2342" spans="22:43" x14ac:dyDescent="0.35">
      <c r="V2342" s="1013"/>
      <c r="W2342" s="138"/>
      <c r="AQ2342" s="138"/>
    </row>
    <row r="2343" spans="22:43" x14ac:dyDescent="0.35">
      <c r="V2343" s="1013"/>
      <c r="W2343" s="138"/>
      <c r="AQ2343" s="138"/>
    </row>
    <row r="2344" spans="22:43" x14ac:dyDescent="0.35">
      <c r="V2344" s="1013"/>
      <c r="W2344" s="138"/>
      <c r="AQ2344" s="138"/>
    </row>
    <row r="2345" spans="22:43" x14ac:dyDescent="0.35">
      <c r="V2345" s="1013"/>
      <c r="W2345" s="138"/>
      <c r="AQ2345" s="138"/>
    </row>
    <row r="2346" spans="22:43" x14ac:dyDescent="0.35">
      <c r="V2346" s="1013"/>
      <c r="W2346" s="138"/>
      <c r="AQ2346" s="138"/>
    </row>
    <row r="2347" spans="22:43" x14ac:dyDescent="0.35">
      <c r="V2347" s="1013"/>
      <c r="W2347" s="138"/>
      <c r="AQ2347" s="138"/>
    </row>
    <row r="2348" spans="22:43" x14ac:dyDescent="0.35">
      <c r="V2348" s="1013"/>
      <c r="W2348" s="138"/>
      <c r="AQ2348" s="138"/>
    </row>
    <row r="2349" spans="22:43" x14ac:dyDescent="0.35">
      <c r="V2349" s="1013"/>
      <c r="W2349" s="138"/>
      <c r="AQ2349" s="138"/>
    </row>
    <row r="2350" spans="22:43" x14ac:dyDescent="0.35">
      <c r="V2350" s="1013"/>
      <c r="W2350" s="138"/>
      <c r="AQ2350" s="138"/>
    </row>
    <row r="2351" spans="22:43" x14ac:dyDescent="0.35">
      <c r="V2351" s="1013"/>
      <c r="W2351" s="138"/>
      <c r="AQ2351" s="138"/>
    </row>
    <row r="2352" spans="22:43" x14ac:dyDescent="0.35">
      <c r="V2352" s="1013"/>
      <c r="W2352" s="138"/>
      <c r="AQ2352" s="138"/>
    </row>
    <row r="2353" spans="22:43" x14ac:dyDescent="0.35">
      <c r="V2353" s="1013"/>
      <c r="W2353" s="138"/>
      <c r="AQ2353" s="138"/>
    </row>
    <row r="2354" spans="22:43" x14ac:dyDescent="0.35">
      <c r="V2354" s="1013"/>
      <c r="W2354" s="138"/>
      <c r="AQ2354" s="138"/>
    </row>
    <row r="2355" spans="22:43" x14ac:dyDescent="0.35">
      <c r="V2355" s="1013"/>
      <c r="W2355" s="138"/>
      <c r="AQ2355" s="138"/>
    </row>
    <row r="2356" spans="22:43" x14ac:dyDescent="0.35">
      <c r="V2356" s="1013"/>
      <c r="W2356" s="138"/>
      <c r="AQ2356" s="138"/>
    </row>
    <row r="2357" spans="22:43" x14ac:dyDescent="0.35">
      <c r="V2357" s="1013"/>
      <c r="W2357" s="138"/>
      <c r="AQ2357" s="138"/>
    </row>
    <row r="2358" spans="22:43" x14ac:dyDescent="0.35">
      <c r="V2358" s="1013"/>
      <c r="W2358" s="138"/>
      <c r="AQ2358" s="138"/>
    </row>
    <row r="2359" spans="22:43" x14ac:dyDescent="0.35">
      <c r="V2359" s="1013"/>
      <c r="W2359" s="138"/>
      <c r="AQ2359" s="138"/>
    </row>
    <row r="2360" spans="22:43" x14ac:dyDescent="0.35">
      <c r="V2360" s="1013"/>
      <c r="W2360" s="138"/>
      <c r="AQ2360" s="138"/>
    </row>
    <row r="2361" spans="22:43" x14ac:dyDescent="0.35">
      <c r="V2361" s="1013"/>
      <c r="W2361" s="138"/>
      <c r="AQ2361" s="138"/>
    </row>
    <row r="2362" spans="22:43" x14ac:dyDescent="0.35">
      <c r="V2362" s="1013"/>
      <c r="W2362" s="138"/>
      <c r="AQ2362" s="138"/>
    </row>
    <row r="2363" spans="22:43" x14ac:dyDescent="0.35">
      <c r="V2363" s="1013"/>
      <c r="W2363" s="138"/>
      <c r="AQ2363" s="138"/>
    </row>
    <row r="2364" spans="22:43" x14ac:dyDescent="0.35">
      <c r="V2364" s="1013"/>
      <c r="W2364" s="138"/>
      <c r="AQ2364" s="138"/>
    </row>
    <row r="2365" spans="22:43" x14ac:dyDescent="0.35">
      <c r="V2365" s="1013"/>
      <c r="W2365" s="138"/>
      <c r="AQ2365" s="138"/>
    </row>
    <row r="2366" spans="22:43" x14ac:dyDescent="0.35">
      <c r="V2366" s="1013"/>
      <c r="W2366" s="138"/>
      <c r="AQ2366" s="138"/>
    </row>
    <row r="2367" spans="22:43" x14ac:dyDescent="0.35">
      <c r="V2367" s="1013"/>
      <c r="W2367" s="138"/>
      <c r="AQ2367" s="138"/>
    </row>
    <row r="2368" spans="22:43" x14ac:dyDescent="0.35">
      <c r="V2368" s="1013"/>
      <c r="W2368" s="138"/>
      <c r="AQ2368" s="138"/>
    </row>
    <row r="2369" spans="22:43" x14ac:dyDescent="0.35">
      <c r="V2369" s="1013"/>
      <c r="W2369" s="138"/>
      <c r="AQ2369" s="138"/>
    </row>
    <row r="2370" spans="22:43" x14ac:dyDescent="0.35">
      <c r="V2370" s="1013"/>
      <c r="W2370" s="138"/>
      <c r="AQ2370" s="138"/>
    </row>
    <row r="2371" spans="22:43" x14ac:dyDescent="0.35">
      <c r="V2371" s="1013"/>
      <c r="W2371" s="138"/>
      <c r="AQ2371" s="138"/>
    </row>
    <row r="2372" spans="22:43" x14ac:dyDescent="0.35">
      <c r="V2372" s="1013"/>
      <c r="W2372" s="138"/>
      <c r="AQ2372" s="138"/>
    </row>
    <row r="2373" spans="22:43" x14ac:dyDescent="0.35">
      <c r="V2373" s="1013"/>
      <c r="W2373" s="138"/>
      <c r="AQ2373" s="138"/>
    </row>
    <row r="2374" spans="22:43" x14ac:dyDescent="0.35">
      <c r="V2374" s="1013"/>
      <c r="W2374" s="138"/>
      <c r="AQ2374" s="138"/>
    </row>
    <row r="2375" spans="22:43" x14ac:dyDescent="0.35">
      <c r="V2375" s="1013"/>
      <c r="W2375" s="138"/>
      <c r="AQ2375" s="138"/>
    </row>
    <row r="2376" spans="22:43" x14ac:dyDescent="0.35">
      <c r="V2376" s="1013"/>
      <c r="W2376" s="138"/>
      <c r="AQ2376" s="138"/>
    </row>
    <row r="2377" spans="22:43" x14ac:dyDescent="0.35">
      <c r="V2377" s="1013"/>
      <c r="W2377" s="138"/>
      <c r="AQ2377" s="138"/>
    </row>
    <row r="2378" spans="22:43" x14ac:dyDescent="0.35">
      <c r="V2378" s="1013"/>
      <c r="W2378" s="138"/>
      <c r="AQ2378" s="138"/>
    </row>
    <row r="2379" spans="22:43" x14ac:dyDescent="0.35">
      <c r="V2379" s="1013"/>
      <c r="W2379" s="138"/>
      <c r="AQ2379" s="138"/>
    </row>
    <row r="2380" spans="22:43" x14ac:dyDescent="0.35">
      <c r="V2380" s="1013"/>
      <c r="W2380" s="138"/>
      <c r="AQ2380" s="138"/>
    </row>
    <row r="2381" spans="22:43" x14ac:dyDescent="0.35">
      <c r="V2381" s="1013"/>
      <c r="W2381" s="138"/>
      <c r="AQ2381" s="138"/>
    </row>
    <row r="2382" spans="22:43" x14ac:dyDescent="0.35">
      <c r="V2382" s="1013"/>
      <c r="W2382" s="138"/>
      <c r="AQ2382" s="138"/>
    </row>
    <row r="2383" spans="22:43" x14ac:dyDescent="0.35">
      <c r="V2383" s="1013"/>
      <c r="W2383" s="138"/>
      <c r="AQ2383" s="138"/>
    </row>
    <row r="2384" spans="22:43" x14ac:dyDescent="0.35">
      <c r="V2384" s="1013"/>
      <c r="W2384" s="138"/>
      <c r="AQ2384" s="138"/>
    </row>
    <row r="2385" spans="22:43" x14ac:dyDescent="0.35">
      <c r="V2385" s="1013"/>
      <c r="W2385" s="138"/>
      <c r="AQ2385" s="138"/>
    </row>
    <row r="2386" spans="22:43" x14ac:dyDescent="0.35">
      <c r="V2386" s="1013"/>
      <c r="W2386" s="138"/>
      <c r="AQ2386" s="138"/>
    </row>
    <row r="2387" spans="22:43" x14ac:dyDescent="0.35">
      <c r="V2387" s="1013"/>
      <c r="W2387" s="138"/>
      <c r="AQ2387" s="138"/>
    </row>
    <row r="2388" spans="22:43" x14ac:dyDescent="0.35">
      <c r="V2388" s="1013"/>
      <c r="W2388" s="138"/>
      <c r="AQ2388" s="138"/>
    </row>
    <row r="2389" spans="22:43" x14ac:dyDescent="0.35">
      <c r="V2389" s="1013"/>
      <c r="W2389" s="138"/>
      <c r="AQ2389" s="138"/>
    </row>
    <row r="2390" spans="22:43" x14ac:dyDescent="0.35">
      <c r="V2390" s="1013"/>
      <c r="W2390" s="138"/>
      <c r="AQ2390" s="138"/>
    </row>
    <row r="2391" spans="22:43" x14ac:dyDescent="0.35">
      <c r="V2391" s="1013"/>
      <c r="W2391" s="138"/>
      <c r="AQ2391" s="138"/>
    </row>
    <row r="2392" spans="22:43" x14ac:dyDescent="0.35">
      <c r="V2392" s="1013"/>
      <c r="W2392" s="138"/>
      <c r="AQ2392" s="138"/>
    </row>
    <row r="2393" spans="22:43" x14ac:dyDescent="0.35">
      <c r="V2393" s="1013"/>
      <c r="W2393" s="138"/>
      <c r="AQ2393" s="138"/>
    </row>
    <row r="2394" spans="22:43" x14ac:dyDescent="0.35">
      <c r="V2394" s="1013"/>
      <c r="W2394" s="138"/>
      <c r="AQ2394" s="138"/>
    </row>
    <row r="2395" spans="22:43" x14ac:dyDescent="0.35">
      <c r="V2395" s="1013"/>
      <c r="W2395" s="138"/>
      <c r="AQ2395" s="138"/>
    </row>
    <row r="2396" spans="22:43" x14ac:dyDescent="0.35">
      <c r="V2396" s="1013"/>
      <c r="W2396" s="138"/>
      <c r="AQ2396" s="138"/>
    </row>
    <row r="2397" spans="22:43" x14ac:dyDescent="0.35">
      <c r="V2397" s="1013"/>
      <c r="W2397" s="138"/>
      <c r="AQ2397" s="138"/>
    </row>
    <row r="2398" spans="22:43" x14ac:dyDescent="0.35">
      <c r="V2398" s="1013"/>
      <c r="W2398" s="138"/>
      <c r="AQ2398" s="138"/>
    </row>
    <row r="2399" spans="22:43" x14ac:dyDescent="0.35">
      <c r="V2399" s="1013"/>
      <c r="W2399" s="138"/>
      <c r="AQ2399" s="138"/>
    </row>
    <row r="2400" spans="22:43" x14ac:dyDescent="0.35">
      <c r="V2400" s="1013"/>
      <c r="W2400" s="138"/>
      <c r="AQ2400" s="138"/>
    </row>
    <row r="2401" spans="22:43" x14ac:dyDescent="0.35">
      <c r="V2401" s="1013"/>
      <c r="W2401" s="138"/>
      <c r="AQ2401" s="138"/>
    </row>
    <row r="2402" spans="22:43" x14ac:dyDescent="0.35">
      <c r="V2402" s="1013"/>
      <c r="W2402" s="138"/>
      <c r="AQ2402" s="138"/>
    </row>
    <row r="2403" spans="22:43" x14ac:dyDescent="0.35">
      <c r="V2403" s="1013"/>
      <c r="W2403" s="138"/>
      <c r="AQ2403" s="138"/>
    </row>
    <row r="2404" spans="22:43" x14ac:dyDescent="0.35">
      <c r="V2404" s="1013"/>
      <c r="W2404" s="138"/>
      <c r="AQ2404" s="138"/>
    </row>
    <row r="2405" spans="22:43" x14ac:dyDescent="0.35">
      <c r="V2405" s="1013"/>
      <c r="W2405" s="138"/>
      <c r="AQ2405" s="138"/>
    </row>
    <row r="2406" spans="22:43" x14ac:dyDescent="0.35">
      <c r="V2406" s="1013"/>
      <c r="W2406" s="138"/>
      <c r="AQ2406" s="138"/>
    </row>
    <row r="2407" spans="22:43" x14ac:dyDescent="0.35">
      <c r="V2407" s="1013"/>
      <c r="W2407" s="138"/>
      <c r="AQ2407" s="138"/>
    </row>
    <row r="2408" spans="22:43" x14ac:dyDescent="0.35">
      <c r="V2408" s="1013"/>
      <c r="W2408" s="138"/>
      <c r="AQ2408" s="138"/>
    </row>
    <row r="2409" spans="22:43" x14ac:dyDescent="0.35">
      <c r="V2409" s="1013"/>
      <c r="W2409" s="138"/>
      <c r="AQ2409" s="138"/>
    </row>
    <row r="2410" spans="22:43" x14ac:dyDescent="0.35">
      <c r="V2410" s="1013"/>
      <c r="W2410" s="138"/>
      <c r="AQ2410" s="138"/>
    </row>
    <row r="2411" spans="22:43" x14ac:dyDescent="0.35">
      <c r="V2411" s="1013"/>
      <c r="W2411" s="138"/>
      <c r="AQ2411" s="138"/>
    </row>
    <row r="2412" spans="22:43" x14ac:dyDescent="0.35">
      <c r="V2412" s="1013"/>
      <c r="W2412" s="138"/>
      <c r="AQ2412" s="138"/>
    </row>
    <row r="2413" spans="22:43" x14ac:dyDescent="0.35">
      <c r="V2413" s="1013"/>
      <c r="W2413" s="138"/>
      <c r="AQ2413" s="138"/>
    </row>
    <row r="2414" spans="22:43" x14ac:dyDescent="0.35">
      <c r="V2414" s="1013"/>
      <c r="W2414" s="138"/>
      <c r="AQ2414" s="138"/>
    </row>
    <row r="2415" spans="22:43" x14ac:dyDescent="0.35">
      <c r="V2415" s="1013"/>
      <c r="W2415" s="138"/>
      <c r="AQ2415" s="138"/>
    </row>
    <row r="2416" spans="22:43" x14ac:dyDescent="0.35">
      <c r="V2416" s="1013"/>
      <c r="W2416" s="138"/>
      <c r="AQ2416" s="138"/>
    </row>
    <row r="2417" spans="22:43" x14ac:dyDescent="0.35">
      <c r="V2417" s="1013"/>
      <c r="W2417" s="138"/>
      <c r="AQ2417" s="138"/>
    </row>
    <row r="2418" spans="22:43" x14ac:dyDescent="0.35">
      <c r="V2418" s="1013"/>
      <c r="W2418" s="138"/>
      <c r="AQ2418" s="138"/>
    </row>
    <row r="2419" spans="22:43" x14ac:dyDescent="0.35">
      <c r="V2419" s="1013"/>
      <c r="W2419" s="138"/>
      <c r="AQ2419" s="138"/>
    </row>
    <row r="2420" spans="22:43" x14ac:dyDescent="0.35">
      <c r="V2420" s="1013"/>
      <c r="W2420" s="138"/>
      <c r="AQ2420" s="138"/>
    </row>
    <row r="2421" spans="22:43" x14ac:dyDescent="0.35">
      <c r="V2421" s="1013"/>
      <c r="W2421" s="138"/>
      <c r="AQ2421" s="138"/>
    </row>
    <row r="2422" spans="22:43" x14ac:dyDescent="0.35">
      <c r="V2422" s="1013"/>
      <c r="W2422" s="138"/>
      <c r="AQ2422" s="138"/>
    </row>
    <row r="2423" spans="22:43" x14ac:dyDescent="0.35">
      <c r="V2423" s="1013"/>
      <c r="W2423" s="138"/>
      <c r="AQ2423" s="138"/>
    </row>
    <row r="2424" spans="22:43" x14ac:dyDescent="0.35">
      <c r="V2424" s="1013"/>
      <c r="W2424" s="138"/>
      <c r="AQ2424" s="138"/>
    </row>
    <row r="2425" spans="22:43" x14ac:dyDescent="0.35">
      <c r="V2425" s="1013"/>
      <c r="W2425" s="138"/>
      <c r="AQ2425" s="138"/>
    </row>
    <row r="2426" spans="22:43" x14ac:dyDescent="0.35">
      <c r="V2426" s="1013"/>
      <c r="W2426" s="138"/>
      <c r="AQ2426" s="138"/>
    </row>
    <row r="2427" spans="22:43" x14ac:dyDescent="0.35">
      <c r="V2427" s="1013"/>
      <c r="W2427" s="138"/>
      <c r="AQ2427" s="138"/>
    </row>
    <row r="2428" spans="22:43" x14ac:dyDescent="0.35">
      <c r="V2428" s="1013"/>
      <c r="W2428" s="138"/>
      <c r="AQ2428" s="138"/>
    </row>
    <row r="2429" spans="22:43" x14ac:dyDescent="0.35">
      <c r="V2429" s="1013"/>
      <c r="W2429" s="138"/>
      <c r="AQ2429" s="138"/>
    </row>
    <row r="2430" spans="22:43" x14ac:dyDescent="0.35">
      <c r="V2430" s="1013"/>
      <c r="W2430" s="138"/>
      <c r="AQ2430" s="138"/>
    </row>
    <row r="2431" spans="22:43" x14ac:dyDescent="0.35">
      <c r="V2431" s="1013"/>
      <c r="W2431" s="138"/>
      <c r="AQ2431" s="138"/>
    </row>
    <row r="2432" spans="22:43" x14ac:dyDescent="0.35">
      <c r="V2432" s="1013"/>
      <c r="W2432" s="138"/>
      <c r="AQ2432" s="138"/>
    </row>
    <row r="2433" spans="22:43" x14ac:dyDescent="0.35">
      <c r="V2433" s="1013"/>
      <c r="W2433" s="138"/>
      <c r="AQ2433" s="138"/>
    </row>
    <row r="2434" spans="22:43" x14ac:dyDescent="0.35">
      <c r="V2434" s="1013"/>
      <c r="W2434" s="138"/>
      <c r="AQ2434" s="138"/>
    </row>
    <row r="2435" spans="22:43" x14ac:dyDescent="0.35">
      <c r="V2435" s="1013"/>
      <c r="W2435" s="138"/>
      <c r="AQ2435" s="138"/>
    </row>
    <row r="2436" spans="22:43" x14ac:dyDescent="0.35">
      <c r="V2436" s="1013"/>
      <c r="W2436" s="138"/>
      <c r="AQ2436" s="138"/>
    </row>
    <row r="2437" spans="22:43" x14ac:dyDescent="0.35">
      <c r="V2437" s="1013"/>
      <c r="W2437" s="138"/>
      <c r="AQ2437" s="138"/>
    </row>
    <row r="2438" spans="22:43" x14ac:dyDescent="0.35">
      <c r="V2438" s="1013"/>
      <c r="W2438" s="138"/>
      <c r="AQ2438" s="138"/>
    </row>
    <row r="2439" spans="22:43" x14ac:dyDescent="0.35">
      <c r="V2439" s="1013"/>
      <c r="W2439" s="138"/>
      <c r="AQ2439" s="138"/>
    </row>
    <row r="2440" spans="22:43" x14ac:dyDescent="0.35">
      <c r="V2440" s="1013"/>
      <c r="W2440" s="138"/>
      <c r="AQ2440" s="138"/>
    </row>
    <row r="2441" spans="22:43" x14ac:dyDescent="0.35">
      <c r="V2441" s="1013"/>
      <c r="W2441" s="138"/>
      <c r="AQ2441" s="138"/>
    </row>
    <row r="2442" spans="22:43" x14ac:dyDescent="0.35">
      <c r="V2442" s="1013"/>
      <c r="W2442" s="138"/>
      <c r="AQ2442" s="138"/>
    </row>
    <row r="2443" spans="22:43" x14ac:dyDescent="0.35">
      <c r="V2443" s="1013"/>
      <c r="W2443" s="138"/>
      <c r="AQ2443" s="138"/>
    </row>
    <row r="2444" spans="22:43" x14ac:dyDescent="0.35">
      <c r="V2444" s="1013"/>
      <c r="W2444" s="138"/>
      <c r="AQ2444" s="138"/>
    </row>
    <row r="2445" spans="22:43" x14ac:dyDescent="0.35">
      <c r="V2445" s="1013"/>
      <c r="W2445" s="138"/>
      <c r="AQ2445" s="138"/>
    </row>
    <row r="2446" spans="22:43" x14ac:dyDescent="0.35">
      <c r="V2446" s="1013"/>
      <c r="W2446" s="138"/>
      <c r="AQ2446" s="138"/>
    </row>
    <row r="2447" spans="22:43" x14ac:dyDescent="0.35">
      <c r="V2447" s="1013"/>
      <c r="W2447" s="138"/>
      <c r="AQ2447" s="138"/>
    </row>
    <row r="2448" spans="22:43" x14ac:dyDescent="0.35">
      <c r="V2448" s="1013"/>
      <c r="W2448" s="138"/>
      <c r="AQ2448" s="138"/>
    </row>
    <row r="2449" spans="22:43" x14ac:dyDescent="0.35">
      <c r="V2449" s="1013"/>
      <c r="W2449" s="138"/>
      <c r="AQ2449" s="138"/>
    </row>
    <row r="2450" spans="22:43" x14ac:dyDescent="0.35">
      <c r="V2450" s="1013"/>
      <c r="W2450" s="138"/>
      <c r="AQ2450" s="138"/>
    </row>
    <row r="2451" spans="22:43" x14ac:dyDescent="0.35">
      <c r="V2451" s="1013"/>
      <c r="W2451" s="138"/>
      <c r="AQ2451" s="138"/>
    </row>
    <row r="2452" spans="22:43" x14ac:dyDescent="0.35">
      <c r="V2452" s="1013"/>
      <c r="W2452" s="138"/>
      <c r="AQ2452" s="138"/>
    </row>
    <row r="2453" spans="22:43" x14ac:dyDescent="0.35">
      <c r="V2453" s="1013"/>
      <c r="W2453" s="138"/>
      <c r="AQ2453" s="138"/>
    </row>
    <row r="2454" spans="22:43" x14ac:dyDescent="0.35">
      <c r="V2454" s="1013"/>
      <c r="W2454" s="138"/>
      <c r="AQ2454" s="138"/>
    </row>
    <row r="2455" spans="22:43" x14ac:dyDescent="0.35">
      <c r="V2455" s="1013"/>
      <c r="W2455" s="138"/>
      <c r="AQ2455" s="138"/>
    </row>
    <row r="2456" spans="22:43" x14ac:dyDescent="0.35">
      <c r="V2456" s="1013"/>
      <c r="W2456" s="138"/>
      <c r="AQ2456" s="138"/>
    </row>
    <row r="2457" spans="22:43" x14ac:dyDescent="0.35">
      <c r="V2457" s="1013"/>
      <c r="W2457" s="138"/>
      <c r="AQ2457" s="138"/>
    </row>
    <row r="2458" spans="22:43" x14ac:dyDescent="0.35">
      <c r="V2458" s="1013"/>
      <c r="W2458" s="138"/>
      <c r="AQ2458" s="138"/>
    </row>
    <row r="2459" spans="22:43" x14ac:dyDescent="0.35">
      <c r="V2459" s="1013"/>
      <c r="W2459" s="138"/>
      <c r="AQ2459" s="138"/>
    </row>
    <row r="2460" spans="22:43" x14ac:dyDescent="0.35">
      <c r="V2460" s="1013"/>
      <c r="W2460" s="138"/>
      <c r="AQ2460" s="138"/>
    </row>
    <row r="2461" spans="22:43" x14ac:dyDescent="0.35">
      <c r="V2461" s="1013"/>
      <c r="W2461" s="138"/>
      <c r="AQ2461" s="138"/>
    </row>
    <row r="2462" spans="22:43" x14ac:dyDescent="0.35">
      <c r="V2462" s="1013"/>
      <c r="W2462" s="138"/>
      <c r="AQ2462" s="138"/>
    </row>
    <row r="2463" spans="22:43" x14ac:dyDescent="0.35">
      <c r="V2463" s="1013"/>
      <c r="W2463" s="138"/>
      <c r="AQ2463" s="138"/>
    </row>
    <row r="2464" spans="22:43" x14ac:dyDescent="0.35">
      <c r="V2464" s="1013"/>
      <c r="W2464" s="138"/>
      <c r="AQ2464" s="138"/>
    </row>
    <row r="2465" spans="22:43" x14ac:dyDescent="0.35">
      <c r="V2465" s="1013"/>
      <c r="W2465" s="138"/>
      <c r="AQ2465" s="138"/>
    </row>
    <row r="2466" spans="22:43" x14ac:dyDescent="0.35">
      <c r="V2466" s="1013"/>
      <c r="W2466" s="138"/>
      <c r="AQ2466" s="138"/>
    </row>
    <row r="2467" spans="22:43" x14ac:dyDescent="0.35">
      <c r="V2467" s="1013"/>
      <c r="W2467" s="138"/>
      <c r="AQ2467" s="138"/>
    </row>
    <row r="2468" spans="22:43" x14ac:dyDescent="0.35">
      <c r="V2468" s="1013"/>
      <c r="W2468" s="138"/>
      <c r="AQ2468" s="138"/>
    </row>
    <row r="2469" spans="22:43" x14ac:dyDescent="0.35">
      <c r="V2469" s="1013"/>
      <c r="W2469" s="138"/>
      <c r="AQ2469" s="138"/>
    </row>
    <row r="2470" spans="22:43" x14ac:dyDescent="0.35">
      <c r="V2470" s="1013"/>
      <c r="W2470" s="138"/>
      <c r="AQ2470" s="138"/>
    </row>
    <row r="2471" spans="22:43" x14ac:dyDescent="0.35">
      <c r="V2471" s="1013"/>
      <c r="W2471" s="138"/>
      <c r="AQ2471" s="138"/>
    </row>
    <row r="2472" spans="22:43" x14ac:dyDescent="0.35">
      <c r="V2472" s="1013"/>
      <c r="W2472" s="138"/>
      <c r="AQ2472" s="138"/>
    </row>
    <row r="2473" spans="22:43" x14ac:dyDescent="0.35">
      <c r="V2473" s="1013"/>
      <c r="W2473" s="138"/>
      <c r="AQ2473" s="138"/>
    </row>
    <row r="2474" spans="22:43" x14ac:dyDescent="0.35">
      <c r="V2474" s="1013"/>
      <c r="W2474" s="138"/>
      <c r="AQ2474" s="138"/>
    </row>
    <row r="2475" spans="22:43" x14ac:dyDescent="0.35">
      <c r="V2475" s="1013"/>
      <c r="W2475" s="138"/>
      <c r="AQ2475" s="138"/>
    </row>
    <row r="2476" spans="22:43" x14ac:dyDescent="0.35">
      <c r="V2476" s="1013"/>
      <c r="W2476" s="138"/>
      <c r="AQ2476" s="138"/>
    </row>
    <row r="2477" spans="22:43" x14ac:dyDescent="0.35">
      <c r="V2477" s="1013"/>
      <c r="W2477" s="138"/>
      <c r="AQ2477" s="138"/>
    </row>
    <row r="2478" spans="22:43" x14ac:dyDescent="0.35">
      <c r="V2478" s="1013"/>
      <c r="W2478" s="138"/>
      <c r="AQ2478" s="138"/>
    </row>
    <row r="2479" spans="22:43" x14ac:dyDescent="0.35">
      <c r="V2479" s="1013"/>
      <c r="W2479" s="138"/>
      <c r="AQ2479" s="138"/>
    </row>
    <row r="2480" spans="22:43" x14ac:dyDescent="0.35">
      <c r="V2480" s="1013"/>
      <c r="W2480" s="138"/>
      <c r="AQ2480" s="138"/>
    </row>
    <row r="2481" spans="22:43" x14ac:dyDescent="0.35">
      <c r="V2481" s="1013"/>
      <c r="W2481" s="138"/>
      <c r="AQ2481" s="138"/>
    </row>
    <row r="2482" spans="22:43" x14ac:dyDescent="0.35">
      <c r="V2482" s="1013"/>
      <c r="W2482" s="138"/>
      <c r="AQ2482" s="138"/>
    </row>
    <row r="2483" spans="22:43" x14ac:dyDescent="0.35">
      <c r="V2483" s="1013"/>
      <c r="W2483" s="138"/>
      <c r="AQ2483" s="138"/>
    </row>
    <row r="2484" spans="22:43" x14ac:dyDescent="0.35">
      <c r="V2484" s="1013"/>
      <c r="W2484" s="138"/>
      <c r="AQ2484" s="138"/>
    </row>
    <row r="2485" spans="22:43" x14ac:dyDescent="0.35">
      <c r="V2485" s="1013"/>
      <c r="W2485" s="138"/>
      <c r="AQ2485" s="138"/>
    </row>
    <row r="2486" spans="22:43" x14ac:dyDescent="0.35">
      <c r="V2486" s="1013"/>
      <c r="W2486" s="138"/>
      <c r="AQ2486" s="138"/>
    </row>
    <row r="2487" spans="22:43" x14ac:dyDescent="0.35">
      <c r="V2487" s="1013"/>
      <c r="W2487" s="138"/>
      <c r="AQ2487" s="138"/>
    </row>
    <row r="2488" spans="22:43" x14ac:dyDescent="0.35">
      <c r="V2488" s="1013"/>
      <c r="W2488" s="138"/>
      <c r="AQ2488" s="138"/>
    </row>
    <row r="2489" spans="22:43" x14ac:dyDescent="0.35">
      <c r="V2489" s="1013"/>
      <c r="W2489" s="138"/>
      <c r="AQ2489" s="138"/>
    </row>
    <row r="2490" spans="22:43" x14ac:dyDescent="0.35">
      <c r="V2490" s="1013"/>
      <c r="W2490" s="138"/>
      <c r="AQ2490" s="138"/>
    </row>
    <row r="2491" spans="22:43" x14ac:dyDescent="0.35">
      <c r="V2491" s="1013"/>
      <c r="W2491" s="138"/>
      <c r="AQ2491" s="138"/>
    </row>
    <row r="2492" spans="22:43" x14ac:dyDescent="0.35">
      <c r="V2492" s="1013"/>
      <c r="W2492" s="138"/>
      <c r="AQ2492" s="138"/>
    </row>
    <row r="2493" spans="22:43" x14ac:dyDescent="0.35">
      <c r="V2493" s="1013"/>
      <c r="W2493" s="138"/>
      <c r="AQ2493" s="138"/>
    </row>
    <row r="2494" spans="22:43" x14ac:dyDescent="0.35">
      <c r="V2494" s="1013"/>
      <c r="W2494" s="138"/>
      <c r="AQ2494" s="138"/>
    </row>
    <row r="2495" spans="22:43" x14ac:dyDescent="0.35">
      <c r="V2495" s="1013"/>
      <c r="W2495" s="138"/>
      <c r="AQ2495" s="138"/>
    </row>
    <row r="2496" spans="22:43" x14ac:dyDescent="0.35">
      <c r="V2496" s="1013"/>
      <c r="W2496" s="138"/>
      <c r="AQ2496" s="138"/>
    </row>
    <row r="2497" spans="22:43" x14ac:dyDescent="0.35">
      <c r="V2497" s="1013"/>
      <c r="W2497" s="138"/>
      <c r="AQ2497" s="138"/>
    </row>
    <row r="2498" spans="22:43" x14ac:dyDescent="0.35">
      <c r="V2498" s="1013"/>
      <c r="W2498" s="138"/>
      <c r="AQ2498" s="138"/>
    </row>
    <row r="2499" spans="22:43" x14ac:dyDescent="0.35">
      <c r="V2499" s="1013"/>
      <c r="W2499" s="138"/>
      <c r="AQ2499" s="138"/>
    </row>
    <row r="2500" spans="22:43" x14ac:dyDescent="0.35">
      <c r="V2500" s="1013"/>
      <c r="W2500" s="138"/>
      <c r="AQ2500" s="138"/>
    </row>
    <row r="2501" spans="22:43" x14ac:dyDescent="0.35">
      <c r="V2501" s="1013"/>
      <c r="W2501" s="138"/>
      <c r="AQ2501" s="138"/>
    </row>
    <row r="2502" spans="22:43" x14ac:dyDescent="0.35">
      <c r="V2502" s="1013"/>
      <c r="W2502" s="138"/>
      <c r="AQ2502" s="138"/>
    </row>
    <row r="2503" spans="22:43" x14ac:dyDescent="0.35">
      <c r="V2503" s="1013"/>
      <c r="W2503" s="138"/>
      <c r="AQ2503" s="138"/>
    </row>
    <row r="2504" spans="22:43" x14ac:dyDescent="0.35">
      <c r="V2504" s="1013"/>
      <c r="W2504" s="138"/>
      <c r="AQ2504" s="138"/>
    </row>
    <row r="2505" spans="22:43" x14ac:dyDescent="0.35">
      <c r="V2505" s="1013"/>
      <c r="W2505" s="138"/>
      <c r="AQ2505" s="138"/>
    </row>
    <row r="2506" spans="22:43" x14ac:dyDescent="0.35">
      <c r="V2506" s="1013"/>
      <c r="W2506" s="138"/>
      <c r="AQ2506" s="138"/>
    </row>
    <row r="2507" spans="22:43" x14ac:dyDescent="0.35">
      <c r="V2507" s="1013"/>
      <c r="W2507" s="138"/>
      <c r="AQ2507" s="138"/>
    </row>
    <row r="2508" spans="22:43" x14ac:dyDescent="0.35">
      <c r="V2508" s="1013"/>
      <c r="W2508" s="138"/>
      <c r="AQ2508" s="138"/>
    </row>
    <row r="2509" spans="22:43" x14ac:dyDescent="0.35">
      <c r="V2509" s="1013"/>
      <c r="W2509" s="138"/>
      <c r="AQ2509" s="138"/>
    </row>
    <row r="2510" spans="22:43" x14ac:dyDescent="0.35">
      <c r="V2510" s="1013"/>
      <c r="W2510" s="138"/>
      <c r="AQ2510" s="138"/>
    </row>
    <row r="2511" spans="22:43" x14ac:dyDescent="0.35">
      <c r="V2511" s="1013"/>
      <c r="W2511" s="138"/>
      <c r="AQ2511" s="138"/>
    </row>
    <row r="2512" spans="22:43" x14ac:dyDescent="0.35">
      <c r="V2512" s="1013"/>
      <c r="W2512" s="138"/>
      <c r="AQ2512" s="138"/>
    </row>
    <row r="2513" spans="22:43" x14ac:dyDescent="0.35">
      <c r="V2513" s="1013"/>
      <c r="W2513" s="138"/>
      <c r="AQ2513" s="138"/>
    </row>
    <row r="2514" spans="22:43" x14ac:dyDescent="0.35">
      <c r="V2514" s="1013"/>
      <c r="W2514" s="138"/>
      <c r="AQ2514" s="138"/>
    </row>
    <row r="2515" spans="22:43" x14ac:dyDescent="0.35">
      <c r="V2515" s="1013"/>
      <c r="W2515" s="138"/>
      <c r="AQ2515" s="138"/>
    </row>
    <row r="2516" spans="22:43" x14ac:dyDescent="0.35">
      <c r="V2516" s="1013"/>
      <c r="W2516" s="138"/>
      <c r="AQ2516" s="138"/>
    </row>
    <row r="2517" spans="22:43" x14ac:dyDescent="0.35">
      <c r="V2517" s="1013"/>
      <c r="W2517" s="138"/>
      <c r="AQ2517" s="138"/>
    </row>
    <row r="2518" spans="22:43" x14ac:dyDescent="0.35">
      <c r="V2518" s="1013"/>
      <c r="W2518" s="138"/>
      <c r="AQ2518" s="138"/>
    </row>
    <row r="2519" spans="22:43" x14ac:dyDescent="0.35">
      <c r="V2519" s="1013"/>
      <c r="W2519" s="138"/>
      <c r="AQ2519" s="138"/>
    </row>
    <row r="2520" spans="22:43" x14ac:dyDescent="0.35">
      <c r="V2520" s="1013"/>
      <c r="W2520" s="138"/>
      <c r="AQ2520" s="138"/>
    </row>
    <row r="2521" spans="22:43" x14ac:dyDescent="0.35">
      <c r="V2521" s="1013"/>
      <c r="W2521" s="138"/>
      <c r="AQ2521" s="138"/>
    </row>
    <row r="2522" spans="22:43" x14ac:dyDescent="0.35">
      <c r="V2522" s="1013"/>
      <c r="W2522" s="138"/>
      <c r="AQ2522" s="138"/>
    </row>
    <row r="2523" spans="22:43" x14ac:dyDescent="0.35">
      <c r="V2523" s="1013"/>
      <c r="W2523" s="138"/>
      <c r="AQ2523" s="138"/>
    </row>
    <row r="2524" spans="22:43" x14ac:dyDescent="0.35">
      <c r="V2524" s="1013"/>
      <c r="W2524" s="138"/>
      <c r="AQ2524" s="138"/>
    </row>
    <row r="2525" spans="22:43" x14ac:dyDescent="0.35">
      <c r="V2525" s="1013"/>
      <c r="W2525" s="138"/>
      <c r="AQ2525" s="138"/>
    </row>
    <row r="2526" spans="22:43" x14ac:dyDescent="0.35">
      <c r="V2526" s="1013"/>
      <c r="W2526" s="138"/>
      <c r="AQ2526" s="138"/>
    </row>
    <row r="2527" spans="22:43" x14ac:dyDescent="0.35">
      <c r="V2527" s="1013"/>
      <c r="W2527" s="138"/>
      <c r="AQ2527" s="138"/>
    </row>
    <row r="2528" spans="22:43" x14ac:dyDescent="0.35">
      <c r="V2528" s="1013"/>
      <c r="W2528" s="138"/>
      <c r="AQ2528" s="138"/>
    </row>
    <row r="2529" spans="22:43" x14ac:dyDescent="0.35">
      <c r="V2529" s="1013"/>
      <c r="W2529" s="138"/>
      <c r="AQ2529" s="138"/>
    </row>
    <row r="2530" spans="22:43" x14ac:dyDescent="0.35">
      <c r="V2530" s="1013"/>
      <c r="W2530" s="138"/>
      <c r="AQ2530" s="138"/>
    </row>
    <row r="2531" spans="22:43" x14ac:dyDescent="0.35">
      <c r="V2531" s="1013"/>
      <c r="W2531" s="138"/>
      <c r="AQ2531" s="138"/>
    </row>
    <row r="2532" spans="22:43" x14ac:dyDescent="0.35">
      <c r="V2532" s="1013"/>
      <c r="W2532" s="138"/>
      <c r="AQ2532" s="138"/>
    </row>
    <row r="2533" spans="22:43" x14ac:dyDescent="0.35">
      <c r="V2533" s="1013"/>
      <c r="W2533" s="138"/>
      <c r="AQ2533" s="138"/>
    </row>
    <row r="2534" spans="22:43" x14ac:dyDescent="0.35">
      <c r="V2534" s="1013"/>
      <c r="W2534" s="138"/>
      <c r="AQ2534" s="138"/>
    </row>
    <row r="2535" spans="22:43" x14ac:dyDescent="0.35">
      <c r="V2535" s="1013"/>
      <c r="W2535" s="138"/>
      <c r="AQ2535" s="138"/>
    </row>
    <row r="2536" spans="22:43" x14ac:dyDescent="0.35">
      <c r="V2536" s="1013"/>
      <c r="W2536" s="138"/>
      <c r="AQ2536" s="138"/>
    </row>
    <row r="2537" spans="22:43" x14ac:dyDescent="0.35">
      <c r="V2537" s="1013"/>
      <c r="W2537" s="138"/>
      <c r="AQ2537" s="138"/>
    </row>
    <row r="2538" spans="22:43" x14ac:dyDescent="0.35">
      <c r="V2538" s="1013"/>
      <c r="W2538" s="138"/>
      <c r="AQ2538" s="138"/>
    </row>
    <row r="2539" spans="22:43" x14ac:dyDescent="0.35">
      <c r="V2539" s="1013"/>
      <c r="W2539" s="138"/>
      <c r="AQ2539" s="138"/>
    </row>
    <row r="2540" spans="22:43" x14ac:dyDescent="0.35">
      <c r="V2540" s="1013"/>
      <c r="W2540" s="138"/>
      <c r="AQ2540" s="138"/>
    </row>
    <row r="2541" spans="22:43" x14ac:dyDescent="0.35">
      <c r="V2541" s="1013"/>
      <c r="W2541" s="138"/>
      <c r="AQ2541" s="138"/>
    </row>
    <row r="2542" spans="22:43" x14ac:dyDescent="0.35">
      <c r="V2542" s="1013"/>
      <c r="W2542" s="138"/>
      <c r="AQ2542" s="138"/>
    </row>
    <row r="2543" spans="22:43" x14ac:dyDescent="0.35">
      <c r="V2543" s="1013"/>
      <c r="W2543" s="138"/>
      <c r="AQ2543" s="138"/>
    </row>
    <row r="2544" spans="22:43" x14ac:dyDescent="0.35">
      <c r="V2544" s="1013"/>
      <c r="W2544" s="138"/>
      <c r="AQ2544" s="138"/>
    </row>
    <row r="2545" spans="22:43" x14ac:dyDescent="0.35">
      <c r="V2545" s="1013"/>
      <c r="W2545" s="138"/>
      <c r="AQ2545" s="138"/>
    </row>
    <row r="2546" spans="22:43" x14ac:dyDescent="0.35">
      <c r="V2546" s="1013"/>
      <c r="W2546" s="138"/>
      <c r="AQ2546" s="138"/>
    </row>
    <row r="2547" spans="22:43" x14ac:dyDescent="0.35">
      <c r="V2547" s="1013"/>
      <c r="W2547" s="138"/>
      <c r="AQ2547" s="138"/>
    </row>
    <row r="2548" spans="22:43" x14ac:dyDescent="0.35">
      <c r="V2548" s="1013"/>
      <c r="W2548" s="138"/>
      <c r="AQ2548" s="138"/>
    </row>
    <row r="2549" spans="22:43" x14ac:dyDescent="0.35">
      <c r="V2549" s="1013"/>
      <c r="W2549" s="138"/>
      <c r="AQ2549" s="138"/>
    </row>
    <row r="2550" spans="22:43" x14ac:dyDescent="0.35">
      <c r="V2550" s="1013"/>
      <c r="W2550" s="138"/>
      <c r="AQ2550" s="138"/>
    </row>
    <row r="2551" spans="22:43" x14ac:dyDescent="0.35">
      <c r="V2551" s="1013"/>
      <c r="W2551" s="138"/>
      <c r="AQ2551" s="138"/>
    </row>
    <row r="2552" spans="22:43" x14ac:dyDescent="0.35">
      <c r="V2552" s="1013"/>
      <c r="W2552" s="138"/>
      <c r="AQ2552" s="138"/>
    </row>
    <row r="2553" spans="22:43" x14ac:dyDescent="0.35">
      <c r="V2553" s="1013"/>
      <c r="W2553" s="138"/>
      <c r="AQ2553" s="138"/>
    </row>
    <row r="2554" spans="22:43" x14ac:dyDescent="0.35">
      <c r="V2554" s="1013"/>
      <c r="W2554" s="138"/>
      <c r="AQ2554" s="138"/>
    </row>
    <row r="2555" spans="22:43" x14ac:dyDescent="0.35">
      <c r="V2555" s="1013"/>
      <c r="W2555" s="138"/>
      <c r="AQ2555" s="138"/>
    </row>
    <row r="2556" spans="22:43" x14ac:dyDescent="0.35">
      <c r="V2556" s="1013"/>
      <c r="W2556" s="138"/>
      <c r="AQ2556" s="138"/>
    </row>
    <row r="2557" spans="22:43" x14ac:dyDescent="0.35">
      <c r="V2557" s="1013"/>
      <c r="W2557" s="138"/>
      <c r="AQ2557" s="138"/>
    </row>
    <row r="2558" spans="22:43" x14ac:dyDescent="0.35">
      <c r="V2558" s="1013"/>
      <c r="W2558" s="138"/>
      <c r="AQ2558" s="138"/>
    </row>
    <row r="2559" spans="22:43" x14ac:dyDescent="0.35">
      <c r="V2559" s="1013"/>
      <c r="W2559" s="138"/>
      <c r="AQ2559" s="138"/>
    </row>
    <row r="2560" spans="22:43" x14ac:dyDescent="0.35">
      <c r="V2560" s="1013"/>
      <c r="W2560" s="138"/>
      <c r="AQ2560" s="138"/>
    </row>
    <row r="2561" spans="22:43" x14ac:dyDescent="0.35">
      <c r="V2561" s="1013"/>
      <c r="W2561" s="138"/>
      <c r="AQ2561" s="138"/>
    </row>
    <row r="2562" spans="22:43" x14ac:dyDescent="0.35">
      <c r="V2562" s="1013"/>
      <c r="W2562" s="138"/>
      <c r="AQ2562" s="138"/>
    </row>
    <row r="2563" spans="22:43" x14ac:dyDescent="0.35">
      <c r="V2563" s="1013"/>
      <c r="W2563" s="138"/>
      <c r="AQ2563" s="138"/>
    </row>
    <row r="2564" spans="22:43" x14ac:dyDescent="0.35">
      <c r="V2564" s="1013"/>
      <c r="W2564" s="138"/>
      <c r="AQ2564" s="138"/>
    </row>
    <row r="2565" spans="22:43" x14ac:dyDescent="0.35">
      <c r="V2565" s="1013"/>
      <c r="W2565" s="138"/>
      <c r="AQ2565" s="138"/>
    </row>
    <row r="2566" spans="22:43" x14ac:dyDescent="0.35">
      <c r="V2566" s="1013"/>
      <c r="W2566" s="138"/>
      <c r="AQ2566" s="138"/>
    </row>
    <row r="2567" spans="22:43" x14ac:dyDescent="0.35">
      <c r="V2567" s="1013"/>
      <c r="W2567" s="138"/>
      <c r="AQ2567" s="138"/>
    </row>
    <row r="2568" spans="22:43" x14ac:dyDescent="0.35">
      <c r="V2568" s="1013"/>
      <c r="W2568" s="138"/>
      <c r="AQ2568" s="138"/>
    </row>
    <row r="2569" spans="22:43" x14ac:dyDescent="0.35">
      <c r="V2569" s="1013"/>
      <c r="W2569" s="138"/>
      <c r="AQ2569" s="138"/>
    </row>
    <row r="2570" spans="22:43" x14ac:dyDescent="0.35">
      <c r="V2570" s="1013"/>
      <c r="W2570" s="138"/>
      <c r="AQ2570" s="138"/>
    </row>
    <row r="2571" spans="22:43" x14ac:dyDescent="0.35">
      <c r="V2571" s="1013"/>
      <c r="W2571" s="138"/>
      <c r="AQ2571" s="138"/>
    </row>
    <row r="2572" spans="22:43" x14ac:dyDescent="0.35">
      <c r="V2572" s="1013"/>
      <c r="W2572" s="138"/>
      <c r="AQ2572" s="138"/>
    </row>
    <row r="2573" spans="22:43" x14ac:dyDescent="0.35">
      <c r="V2573" s="1013"/>
      <c r="W2573" s="138"/>
      <c r="AQ2573" s="138"/>
    </row>
    <row r="2574" spans="22:43" x14ac:dyDescent="0.35">
      <c r="V2574" s="1013"/>
      <c r="W2574" s="138"/>
      <c r="AQ2574" s="138"/>
    </row>
    <row r="2575" spans="22:43" x14ac:dyDescent="0.35">
      <c r="V2575" s="1013"/>
      <c r="W2575" s="138"/>
      <c r="AQ2575" s="138"/>
    </row>
    <row r="2576" spans="22:43" x14ac:dyDescent="0.35">
      <c r="V2576" s="1013"/>
      <c r="W2576" s="138"/>
      <c r="AQ2576" s="138"/>
    </row>
    <row r="2577" spans="22:43" x14ac:dyDescent="0.35">
      <c r="V2577" s="1013"/>
      <c r="W2577" s="138"/>
      <c r="AQ2577" s="138"/>
    </row>
    <row r="2578" spans="22:43" x14ac:dyDescent="0.35">
      <c r="V2578" s="1013"/>
      <c r="W2578" s="138"/>
      <c r="AQ2578" s="138"/>
    </row>
    <row r="2579" spans="22:43" x14ac:dyDescent="0.35">
      <c r="V2579" s="1013"/>
      <c r="W2579" s="138"/>
      <c r="AQ2579" s="138"/>
    </row>
    <row r="2580" spans="22:43" x14ac:dyDescent="0.35">
      <c r="V2580" s="1013"/>
      <c r="W2580" s="138"/>
      <c r="AQ2580" s="138"/>
    </row>
    <row r="2581" spans="22:43" x14ac:dyDescent="0.35">
      <c r="V2581" s="1013"/>
      <c r="W2581" s="138"/>
      <c r="AQ2581" s="138"/>
    </row>
    <row r="2582" spans="22:43" x14ac:dyDescent="0.35">
      <c r="V2582" s="1013"/>
      <c r="W2582" s="138"/>
      <c r="AQ2582" s="138"/>
    </row>
    <row r="2583" spans="22:43" x14ac:dyDescent="0.35">
      <c r="V2583" s="1013"/>
      <c r="W2583" s="138"/>
      <c r="AQ2583" s="138"/>
    </row>
    <row r="2584" spans="22:43" x14ac:dyDescent="0.35">
      <c r="V2584" s="1013"/>
      <c r="W2584" s="138"/>
      <c r="AQ2584" s="138"/>
    </row>
    <row r="2585" spans="22:43" x14ac:dyDescent="0.35">
      <c r="V2585" s="1013"/>
      <c r="W2585" s="138"/>
      <c r="AQ2585" s="138"/>
    </row>
    <row r="2586" spans="22:43" x14ac:dyDescent="0.35">
      <c r="V2586" s="1013"/>
      <c r="W2586" s="138"/>
      <c r="AQ2586" s="138"/>
    </row>
    <row r="2587" spans="22:43" x14ac:dyDescent="0.35">
      <c r="V2587" s="1013"/>
      <c r="W2587" s="138"/>
      <c r="AQ2587" s="138"/>
    </row>
    <row r="2588" spans="22:43" x14ac:dyDescent="0.35">
      <c r="V2588" s="1013"/>
      <c r="W2588" s="138"/>
      <c r="AQ2588" s="138"/>
    </row>
    <row r="2589" spans="22:43" x14ac:dyDescent="0.35">
      <c r="V2589" s="1013"/>
      <c r="W2589" s="138"/>
      <c r="AQ2589" s="138"/>
    </row>
    <row r="2590" spans="22:43" x14ac:dyDescent="0.35">
      <c r="V2590" s="1013"/>
      <c r="W2590" s="138"/>
      <c r="AQ2590" s="138"/>
    </row>
    <row r="2591" spans="22:43" x14ac:dyDescent="0.35">
      <c r="V2591" s="1013"/>
      <c r="W2591" s="138"/>
      <c r="AQ2591" s="138"/>
    </row>
    <row r="2592" spans="22:43" x14ac:dyDescent="0.35">
      <c r="V2592" s="1013"/>
      <c r="W2592" s="138"/>
      <c r="AQ2592" s="138"/>
    </row>
    <row r="2593" spans="22:43" x14ac:dyDescent="0.35">
      <c r="V2593" s="1013"/>
      <c r="W2593" s="138"/>
      <c r="AQ2593" s="138"/>
    </row>
    <row r="2594" spans="22:43" x14ac:dyDescent="0.35">
      <c r="V2594" s="1013"/>
      <c r="W2594" s="138"/>
      <c r="AQ2594" s="138"/>
    </row>
    <row r="2595" spans="22:43" x14ac:dyDescent="0.35">
      <c r="V2595" s="1013"/>
      <c r="W2595" s="138"/>
      <c r="AQ2595" s="138"/>
    </row>
    <row r="2596" spans="22:43" x14ac:dyDescent="0.35">
      <c r="V2596" s="1013"/>
      <c r="W2596" s="138"/>
      <c r="AQ2596" s="138"/>
    </row>
    <row r="2597" spans="22:43" x14ac:dyDescent="0.35">
      <c r="V2597" s="1013"/>
      <c r="W2597" s="138"/>
      <c r="AQ2597" s="138"/>
    </row>
    <row r="2598" spans="22:43" x14ac:dyDescent="0.35">
      <c r="V2598" s="1013"/>
      <c r="W2598" s="138"/>
      <c r="AQ2598" s="138"/>
    </row>
    <row r="2599" spans="22:43" x14ac:dyDescent="0.35">
      <c r="V2599" s="1013"/>
      <c r="W2599" s="138"/>
      <c r="AQ2599" s="138"/>
    </row>
    <row r="2600" spans="22:43" x14ac:dyDescent="0.35">
      <c r="V2600" s="1013"/>
      <c r="W2600" s="138"/>
      <c r="AQ2600" s="138"/>
    </row>
    <row r="2601" spans="22:43" x14ac:dyDescent="0.35">
      <c r="V2601" s="1013"/>
      <c r="W2601" s="138"/>
      <c r="AQ2601" s="138"/>
    </row>
    <row r="2602" spans="22:43" x14ac:dyDescent="0.35">
      <c r="V2602" s="1013"/>
      <c r="W2602" s="138"/>
      <c r="AQ2602" s="138"/>
    </row>
    <row r="2603" spans="22:43" x14ac:dyDescent="0.35">
      <c r="V2603" s="1013"/>
      <c r="W2603" s="138"/>
      <c r="AQ2603" s="138"/>
    </row>
    <row r="2604" spans="22:43" x14ac:dyDescent="0.35">
      <c r="V2604" s="1013"/>
      <c r="W2604" s="138"/>
      <c r="AQ2604" s="138"/>
    </row>
    <row r="2605" spans="22:43" x14ac:dyDescent="0.35">
      <c r="V2605" s="1013"/>
      <c r="W2605" s="138"/>
      <c r="AQ2605" s="138"/>
    </row>
    <row r="2606" spans="22:43" x14ac:dyDescent="0.35">
      <c r="V2606" s="1013"/>
      <c r="W2606" s="138"/>
      <c r="AQ2606" s="138"/>
    </row>
    <row r="2607" spans="22:43" x14ac:dyDescent="0.35">
      <c r="V2607" s="1013"/>
      <c r="W2607" s="138"/>
      <c r="AQ2607" s="138"/>
    </row>
    <row r="2608" spans="22:43" x14ac:dyDescent="0.35">
      <c r="V2608" s="1013"/>
      <c r="W2608" s="138"/>
      <c r="AQ2608" s="138"/>
    </row>
    <row r="2609" spans="22:43" x14ac:dyDescent="0.35">
      <c r="V2609" s="1013"/>
      <c r="W2609" s="138"/>
      <c r="AQ2609" s="138"/>
    </row>
    <row r="2610" spans="22:43" x14ac:dyDescent="0.35">
      <c r="V2610" s="1013"/>
      <c r="W2610" s="138"/>
      <c r="AQ2610" s="138"/>
    </row>
    <row r="2611" spans="22:43" x14ac:dyDescent="0.35">
      <c r="V2611" s="1013"/>
      <c r="W2611" s="138"/>
      <c r="AQ2611" s="138"/>
    </row>
    <row r="2612" spans="22:43" x14ac:dyDescent="0.35">
      <c r="V2612" s="1013"/>
      <c r="W2612" s="138"/>
      <c r="AQ2612" s="138"/>
    </row>
    <row r="2613" spans="22:43" x14ac:dyDescent="0.35">
      <c r="V2613" s="1013"/>
      <c r="W2613" s="138"/>
      <c r="AQ2613" s="138"/>
    </row>
    <row r="2614" spans="22:43" x14ac:dyDescent="0.35">
      <c r="V2614" s="1013"/>
      <c r="W2614" s="138"/>
      <c r="AQ2614" s="138"/>
    </row>
    <row r="2615" spans="22:43" x14ac:dyDescent="0.35">
      <c r="V2615" s="1013"/>
      <c r="W2615" s="138"/>
      <c r="AQ2615" s="138"/>
    </row>
    <row r="2616" spans="22:43" x14ac:dyDescent="0.35">
      <c r="V2616" s="1013"/>
      <c r="W2616" s="138"/>
      <c r="AQ2616" s="138"/>
    </row>
    <row r="2617" spans="22:43" x14ac:dyDescent="0.35">
      <c r="V2617" s="1013"/>
      <c r="W2617" s="138"/>
      <c r="AQ2617" s="138"/>
    </row>
    <row r="2618" spans="22:43" x14ac:dyDescent="0.35">
      <c r="V2618" s="1013"/>
      <c r="W2618" s="138"/>
      <c r="AQ2618" s="138"/>
    </row>
    <row r="2619" spans="22:43" x14ac:dyDescent="0.35">
      <c r="V2619" s="1013"/>
      <c r="W2619" s="138"/>
      <c r="AQ2619" s="138"/>
    </row>
    <row r="2620" spans="22:43" x14ac:dyDescent="0.35">
      <c r="V2620" s="1013"/>
      <c r="W2620" s="138"/>
      <c r="AQ2620" s="138"/>
    </row>
    <row r="2621" spans="22:43" x14ac:dyDescent="0.35">
      <c r="V2621" s="1013"/>
      <c r="W2621" s="138"/>
      <c r="AQ2621" s="138"/>
    </row>
    <row r="2622" spans="22:43" x14ac:dyDescent="0.35">
      <c r="V2622" s="1013"/>
      <c r="W2622" s="138"/>
      <c r="AQ2622" s="138"/>
    </row>
    <row r="2623" spans="22:43" x14ac:dyDescent="0.35">
      <c r="V2623" s="1013"/>
      <c r="W2623" s="138"/>
      <c r="AQ2623" s="138"/>
    </row>
    <row r="2624" spans="22:43" x14ac:dyDescent="0.35">
      <c r="V2624" s="1013"/>
      <c r="W2624" s="138"/>
      <c r="AQ2624" s="138"/>
    </row>
    <row r="2625" spans="22:43" x14ac:dyDescent="0.35">
      <c r="V2625" s="1013"/>
      <c r="W2625" s="138"/>
      <c r="AQ2625" s="138"/>
    </row>
    <row r="2626" spans="22:43" x14ac:dyDescent="0.35">
      <c r="V2626" s="1013"/>
      <c r="W2626" s="138"/>
      <c r="AQ2626" s="138"/>
    </row>
    <row r="2627" spans="22:43" x14ac:dyDescent="0.35">
      <c r="V2627" s="1013"/>
      <c r="W2627" s="138"/>
      <c r="AQ2627" s="138"/>
    </row>
    <row r="2628" spans="22:43" x14ac:dyDescent="0.35">
      <c r="V2628" s="1013"/>
      <c r="W2628" s="138"/>
      <c r="AQ2628" s="138"/>
    </row>
    <row r="2629" spans="22:43" x14ac:dyDescent="0.35">
      <c r="V2629" s="1013"/>
      <c r="W2629" s="138"/>
      <c r="AQ2629" s="138"/>
    </row>
    <row r="2630" spans="22:43" x14ac:dyDescent="0.35">
      <c r="V2630" s="1013"/>
      <c r="W2630" s="138"/>
      <c r="AQ2630" s="138"/>
    </row>
    <row r="2631" spans="22:43" x14ac:dyDescent="0.35">
      <c r="V2631" s="1013"/>
      <c r="W2631" s="138"/>
      <c r="AQ2631" s="138"/>
    </row>
    <row r="2632" spans="22:43" x14ac:dyDescent="0.35">
      <c r="V2632" s="1013"/>
      <c r="W2632" s="138"/>
      <c r="AQ2632" s="138"/>
    </row>
    <row r="2633" spans="22:43" x14ac:dyDescent="0.35">
      <c r="V2633" s="1013"/>
      <c r="W2633" s="138"/>
      <c r="AQ2633" s="138"/>
    </row>
    <row r="2634" spans="22:43" x14ac:dyDescent="0.35">
      <c r="V2634" s="1013"/>
      <c r="W2634" s="138"/>
      <c r="AQ2634" s="138"/>
    </row>
    <row r="2635" spans="22:43" x14ac:dyDescent="0.35">
      <c r="V2635" s="1013"/>
      <c r="W2635" s="138"/>
      <c r="AQ2635" s="138"/>
    </row>
    <row r="2636" spans="22:43" x14ac:dyDescent="0.35">
      <c r="V2636" s="1013"/>
      <c r="W2636" s="138"/>
      <c r="AQ2636" s="138"/>
    </row>
    <row r="2637" spans="22:43" x14ac:dyDescent="0.35">
      <c r="V2637" s="1013"/>
      <c r="W2637" s="138"/>
      <c r="AQ2637" s="138"/>
    </row>
    <row r="2638" spans="22:43" x14ac:dyDescent="0.35">
      <c r="V2638" s="1013"/>
      <c r="W2638" s="138"/>
      <c r="AQ2638" s="138"/>
    </row>
    <row r="2639" spans="22:43" x14ac:dyDescent="0.35">
      <c r="V2639" s="1013"/>
      <c r="W2639" s="138"/>
      <c r="AQ2639" s="138"/>
    </row>
    <row r="2640" spans="22:43" x14ac:dyDescent="0.35">
      <c r="V2640" s="1013"/>
      <c r="W2640" s="138"/>
      <c r="AQ2640" s="138"/>
    </row>
    <row r="2641" spans="22:43" x14ac:dyDescent="0.35">
      <c r="V2641" s="1013"/>
      <c r="W2641" s="138"/>
      <c r="AQ2641" s="138"/>
    </row>
    <row r="2642" spans="22:43" x14ac:dyDescent="0.35">
      <c r="V2642" s="1013"/>
      <c r="W2642" s="138"/>
      <c r="AQ2642" s="138"/>
    </row>
    <row r="2643" spans="22:43" x14ac:dyDescent="0.35">
      <c r="V2643" s="1013"/>
      <c r="W2643" s="138"/>
      <c r="AQ2643" s="138"/>
    </row>
    <row r="2644" spans="22:43" x14ac:dyDescent="0.35">
      <c r="V2644" s="1013"/>
      <c r="W2644" s="138"/>
      <c r="AQ2644" s="138"/>
    </row>
    <row r="2645" spans="22:43" x14ac:dyDescent="0.35">
      <c r="V2645" s="1013"/>
      <c r="W2645" s="138"/>
      <c r="AQ2645" s="138"/>
    </row>
    <row r="2646" spans="22:43" x14ac:dyDescent="0.35">
      <c r="V2646" s="1013"/>
      <c r="W2646" s="138"/>
      <c r="AQ2646" s="138"/>
    </row>
    <row r="2647" spans="22:43" x14ac:dyDescent="0.35">
      <c r="V2647" s="1013"/>
      <c r="W2647" s="138"/>
      <c r="AQ2647" s="138"/>
    </row>
    <row r="2648" spans="22:43" x14ac:dyDescent="0.35">
      <c r="V2648" s="1013"/>
      <c r="W2648" s="138"/>
      <c r="AQ2648" s="138"/>
    </row>
    <row r="2649" spans="22:43" x14ac:dyDescent="0.35">
      <c r="V2649" s="1013"/>
      <c r="W2649" s="138"/>
      <c r="AQ2649" s="138"/>
    </row>
    <row r="2650" spans="22:43" x14ac:dyDescent="0.35">
      <c r="V2650" s="1013"/>
      <c r="W2650" s="138"/>
      <c r="AQ2650" s="138"/>
    </row>
    <row r="2651" spans="22:43" x14ac:dyDescent="0.35">
      <c r="V2651" s="1013"/>
      <c r="W2651" s="138"/>
      <c r="AQ2651" s="138"/>
    </row>
    <row r="2652" spans="22:43" x14ac:dyDescent="0.35">
      <c r="V2652" s="1013"/>
      <c r="W2652" s="138"/>
      <c r="AQ2652" s="138"/>
    </row>
    <row r="2653" spans="22:43" x14ac:dyDescent="0.35">
      <c r="V2653" s="1013"/>
      <c r="W2653" s="138"/>
      <c r="AQ2653" s="138"/>
    </row>
    <row r="2654" spans="22:43" x14ac:dyDescent="0.35">
      <c r="V2654" s="1013"/>
      <c r="W2654" s="138"/>
      <c r="AQ2654" s="138"/>
    </row>
    <row r="2655" spans="22:43" x14ac:dyDescent="0.35">
      <c r="V2655" s="1013"/>
      <c r="W2655" s="138"/>
      <c r="AQ2655" s="138"/>
    </row>
    <row r="2656" spans="22:43" x14ac:dyDescent="0.35">
      <c r="V2656" s="1013"/>
      <c r="W2656" s="138"/>
      <c r="AQ2656" s="138"/>
    </row>
    <row r="2657" spans="22:43" x14ac:dyDescent="0.35">
      <c r="V2657" s="1013"/>
      <c r="W2657" s="138"/>
      <c r="AQ2657" s="138"/>
    </row>
    <row r="2658" spans="22:43" x14ac:dyDescent="0.35">
      <c r="V2658" s="1013"/>
      <c r="W2658" s="138"/>
      <c r="AQ2658" s="138"/>
    </row>
    <row r="2659" spans="22:43" x14ac:dyDescent="0.35">
      <c r="V2659" s="1013"/>
      <c r="W2659" s="138"/>
      <c r="AQ2659" s="138"/>
    </row>
    <row r="2660" spans="22:43" x14ac:dyDescent="0.35">
      <c r="V2660" s="1013"/>
      <c r="W2660" s="138"/>
      <c r="AQ2660" s="138"/>
    </row>
    <row r="2661" spans="22:43" x14ac:dyDescent="0.35">
      <c r="V2661" s="1013"/>
      <c r="W2661" s="138"/>
      <c r="AQ2661" s="138"/>
    </row>
    <row r="2662" spans="22:43" x14ac:dyDescent="0.35">
      <c r="V2662" s="1013"/>
      <c r="W2662" s="138"/>
      <c r="AQ2662" s="138"/>
    </row>
    <row r="2663" spans="22:43" x14ac:dyDescent="0.35">
      <c r="V2663" s="1013"/>
      <c r="W2663" s="138"/>
      <c r="AQ2663" s="138"/>
    </row>
    <row r="2664" spans="22:43" x14ac:dyDescent="0.35">
      <c r="V2664" s="1013"/>
      <c r="W2664" s="138"/>
      <c r="AQ2664" s="138"/>
    </row>
    <row r="2665" spans="22:43" x14ac:dyDescent="0.35">
      <c r="V2665" s="1013"/>
      <c r="W2665" s="138"/>
      <c r="AQ2665" s="138"/>
    </row>
    <row r="2666" spans="22:43" x14ac:dyDescent="0.35">
      <c r="V2666" s="1013"/>
      <c r="W2666" s="138"/>
      <c r="AQ2666" s="138"/>
    </row>
    <row r="2667" spans="22:43" x14ac:dyDescent="0.35">
      <c r="V2667" s="1013"/>
      <c r="W2667" s="138"/>
      <c r="AQ2667" s="138"/>
    </row>
    <row r="2668" spans="22:43" x14ac:dyDescent="0.35">
      <c r="V2668" s="1013"/>
      <c r="W2668" s="138"/>
      <c r="AQ2668" s="138"/>
    </row>
    <row r="2669" spans="22:43" x14ac:dyDescent="0.35">
      <c r="V2669" s="1013"/>
      <c r="W2669" s="138"/>
      <c r="AQ2669" s="138"/>
    </row>
    <row r="2670" spans="22:43" x14ac:dyDescent="0.35">
      <c r="V2670" s="1013"/>
      <c r="W2670" s="138"/>
      <c r="AQ2670" s="138"/>
    </row>
    <row r="2671" spans="22:43" x14ac:dyDescent="0.35">
      <c r="V2671" s="1013"/>
      <c r="W2671" s="138"/>
      <c r="AQ2671" s="138"/>
    </row>
    <row r="2672" spans="22:43" x14ac:dyDescent="0.35">
      <c r="V2672" s="1013"/>
      <c r="W2672" s="138"/>
      <c r="AQ2672" s="138"/>
    </row>
    <row r="2673" spans="22:43" x14ac:dyDescent="0.35">
      <c r="V2673" s="1013"/>
      <c r="W2673" s="138"/>
      <c r="AQ2673" s="138"/>
    </row>
    <row r="2674" spans="22:43" x14ac:dyDescent="0.35">
      <c r="V2674" s="1013"/>
      <c r="W2674" s="138"/>
      <c r="AQ2674" s="138"/>
    </row>
    <row r="2675" spans="22:43" x14ac:dyDescent="0.35">
      <c r="V2675" s="1013"/>
      <c r="W2675" s="138"/>
      <c r="AQ2675" s="138"/>
    </row>
    <row r="2676" spans="22:43" x14ac:dyDescent="0.35">
      <c r="V2676" s="1013"/>
      <c r="W2676" s="138"/>
      <c r="AQ2676" s="138"/>
    </row>
    <row r="2677" spans="22:43" x14ac:dyDescent="0.35">
      <c r="V2677" s="1013"/>
      <c r="W2677" s="138"/>
      <c r="AQ2677" s="138"/>
    </row>
    <row r="2678" spans="22:43" x14ac:dyDescent="0.35">
      <c r="V2678" s="1013"/>
      <c r="W2678" s="138"/>
      <c r="AQ2678" s="138"/>
    </row>
    <row r="2679" spans="22:43" x14ac:dyDescent="0.35">
      <c r="V2679" s="1013"/>
      <c r="W2679" s="138"/>
      <c r="AQ2679" s="138"/>
    </row>
    <row r="2680" spans="22:43" x14ac:dyDescent="0.35">
      <c r="V2680" s="1013"/>
      <c r="W2680" s="138"/>
      <c r="AQ2680" s="138"/>
    </row>
    <row r="2681" spans="22:43" x14ac:dyDescent="0.35">
      <c r="V2681" s="1013"/>
      <c r="W2681" s="138"/>
      <c r="AQ2681" s="138"/>
    </row>
    <row r="2682" spans="22:43" x14ac:dyDescent="0.35">
      <c r="V2682" s="1013"/>
      <c r="W2682" s="138"/>
      <c r="AQ2682" s="138"/>
    </row>
    <row r="2683" spans="22:43" x14ac:dyDescent="0.35">
      <c r="V2683" s="1013"/>
      <c r="W2683" s="138"/>
      <c r="AQ2683" s="138"/>
    </row>
    <row r="2684" spans="22:43" x14ac:dyDescent="0.35">
      <c r="V2684" s="1013"/>
      <c r="W2684" s="138"/>
      <c r="AQ2684" s="138"/>
    </row>
    <row r="2685" spans="22:43" x14ac:dyDescent="0.35">
      <c r="V2685" s="1013"/>
      <c r="W2685" s="138"/>
      <c r="AQ2685" s="138"/>
    </row>
    <row r="2686" spans="22:43" x14ac:dyDescent="0.35">
      <c r="V2686" s="1013"/>
      <c r="W2686" s="138"/>
      <c r="AQ2686" s="138"/>
    </row>
    <row r="2687" spans="22:43" x14ac:dyDescent="0.35">
      <c r="V2687" s="1013"/>
      <c r="W2687" s="138"/>
      <c r="AQ2687" s="138"/>
    </row>
    <row r="2688" spans="22:43" x14ac:dyDescent="0.35">
      <c r="V2688" s="1013"/>
      <c r="W2688" s="138"/>
      <c r="AQ2688" s="138"/>
    </row>
    <row r="2689" spans="22:43" x14ac:dyDescent="0.35">
      <c r="V2689" s="1013"/>
      <c r="W2689" s="138"/>
      <c r="AQ2689" s="138"/>
    </row>
    <row r="2690" spans="22:43" x14ac:dyDescent="0.35">
      <c r="V2690" s="1013"/>
      <c r="W2690" s="138"/>
      <c r="AQ2690" s="138"/>
    </row>
    <row r="2691" spans="22:43" x14ac:dyDescent="0.35">
      <c r="V2691" s="1013"/>
      <c r="W2691" s="138"/>
      <c r="AQ2691" s="138"/>
    </row>
    <row r="2692" spans="22:43" x14ac:dyDescent="0.35">
      <c r="V2692" s="1013"/>
      <c r="W2692" s="138"/>
      <c r="AQ2692" s="138"/>
    </row>
    <row r="2693" spans="22:43" x14ac:dyDescent="0.35">
      <c r="V2693" s="1013"/>
      <c r="W2693" s="138"/>
      <c r="AQ2693" s="138"/>
    </row>
    <row r="2694" spans="22:43" x14ac:dyDescent="0.35">
      <c r="V2694" s="1013"/>
      <c r="W2694" s="138"/>
      <c r="AQ2694" s="138"/>
    </row>
    <row r="2695" spans="22:43" x14ac:dyDescent="0.35">
      <c r="V2695" s="1013"/>
      <c r="W2695" s="138"/>
      <c r="AQ2695" s="138"/>
    </row>
    <row r="2696" spans="22:43" x14ac:dyDescent="0.35">
      <c r="V2696" s="1013"/>
      <c r="W2696" s="138"/>
      <c r="AQ2696" s="138"/>
    </row>
    <row r="2697" spans="22:43" x14ac:dyDescent="0.35">
      <c r="V2697" s="1013"/>
      <c r="W2697" s="138"/>
      <c r="AQ2697" s="138"/>
    </row>
    <row r="2698" spans="22:43" x14ac:dyDescent="0.35">
      <c r="V2698" s="1013"/>
      <c r="W2698" s="138"/>
      <c r="AQ2698" s="138"/>
    </row>
    <row r="2699" spans="22:43" x14ac:dyDescent="0.35">
      <c r="V2699" s="1013"/>
      <c r="W2699" s="138"/>
      <c r="AQ2699" s="138"/>
    </row>
    <row r="2700" spans="22:43" x14ac:dyDescent="0.35">
      <c r="V2700" s="1013"/>
      <c r="W2700" s="138"/>
      <c r="AQ2700" s="138"/>
    </row>
    <row r="2701" spans="22:43" x14ac:dyDescent="0.35">
      <c r="V2701" s="1013"/>
      <c r="W2701" s="138"/>
      <c r="AQ2701" s="138"/>
    </row>
    <row r="2702" spans="22:43" x14ac:dyDescent="0.35">
      <c r="V2702" s="1013"/>
      <c r="W2702" s="138"/>
      <c r="AQ2702" s="138"/>
    </row>
    <row r="2703" spans="22:43" x14ac:dyDescent="0.35">
      <c r="V2703" s="1013"/>
      <c r="W2703" s="138"/>
      <c r="AQ2703" s="138"/>
    </row>
    <row r="2704" spans="22:43" x14ac:dyDescent="0.35">
      <c r="V2704" s="1013"/>
      <c r="W2704" s="138"/>
      <c r="AQ2704" s="138"/>
    </row>
    <row r="2705" spans="22:43" x14ac:dyDescent="0.35">
      <c r="V2705" s="1013"/>
      <c r="W2705" s="138"/>
      <c r="AQ2705" s="138"/>
    </row>
    <row r="2706" spans="22:43" x14ac:dyDescent="0.35">
      <c r="V2706" s="1013"/>
      <c r="W2706" s="138"/>
      <c r="AQ2706" s="138"/>
    </row>
    <row r="2707" spans="22:43" x14ac:dyDescent="0.35">
      <c r="V2707" s="1013"/>
      <c r="W2707" s="138"/>
      <c r="AQ2707" s="138"/>
    </row>
    <row r="2708" spans="22:43" x14ac:dyDescent="0.35">
      <c r="V2708" s="1013"/>
      <c r="W2708" s="138"/>
      <c r="AQ2708" s="138"/>
    </row>
    <row r="2709" spans="22:43" x14ac:dyDescent="0.35">
      <c r="V2709" s="1013"/>
      <c r="W2709" s="138"/>
      <c r="AQ2709" s="138"/>
    </row>
    <row r="2710" spans="22:43" x14ac:dyDescent="0.35">
      <c r="V2710" s="1013"/>
      <c r="W2710" s="138"/>
      <c r="AQ2710" s="138"/>
    </row>
    <row r="2711" spans="22:43" x14ac:dyDescent="0.35">
      <c r="V2711" s="1013"/>
      <c r="W2711" s="138"/>
      <c r="AQ2711" s="138"/>
    </row>
    <row r="2712" spans="22:43" x14ac:dyDescent="0.35">
      <c r="V2712" s="1013"/>
      <c r="W2712" s="138"/>
      <c r="AQ2712" s="138"/>
    </row>
    <row r="2713" spans="22:43" x14ac:dyDescent="0.35">
      <c r="V2713" s="1013"/>
      <c r="W2713" s="138"/>
      <c r="AQ2713" s="138"/>
    </row>
    <row r="2714" spans="22:43" x14ac:dyDescent="0.35">
      <c r="V2714" s="1013"/>
      <c r="W2714" s="138"/>
      <c r="AQ2714" s="138"/>
    </row>
    <row r="2715" spans="22:43" x14ac:dyDescent="0.35">
      <c r="V2715" s="1013"/>
      <c r="W2715" s="138"/>
      <c r="AQ2715" s="138"/>
    </row>
    <row r="2716" spans="22:43" x14ac:dyDescent="0.35">
      <c r="V2716" s="1013"/>
      <c r="W2716" s="138"/>
      <c r="AQ2716" s="138"/>
    </row>
    <row r="2717" spans="22:43" x14ac:dyDescent="0.35">
      <c r="V2717" s="1013"/>
      <c r="W2717" s="138"/>
      <c r="AQ2717" s="138"/>
    </row>
    <row r="2718" spans="22:43" x14ac:dyDescent="0.35">
      <c r="V2718" s="1013"/>
      <c r="W2718" s="138"/>
      <c r="AQ2718" s="138"/>
    </row>
    <row r="2719" spans="22:43" x14ac:dyDescent="0.35">
      <c r="V2719" s="1013"/>
      <c r="W2719" s="138"/>
      <c r="AQ2719" s="138"/>
    </row>
    <row r="2720" spans="22:43" x14ac:dyDescent="0.35">
      <c r="V2720" s="1013"/>
      <c r="W2720" s="138"/>
      <c r="AQ2720" s="138"/>
    </row>
    <row r="2721" spans="22:43" x14ac:dyDescent="0.35">
      <c r="V2721" s="1013"/>
      <c r="W2721" s="138"/>
      <c r="AQ2721" s="138"/>
    </row>
    <row r="2722" spans="22:43" x14ac:dyDescent="0.35">
      <c r="V2722" s="1013"/>
      <c r="W2722" s="138"/>
      <c r="AQ2722" s="138"/>
    </row>
    <row r="2723" spans="22:43" x14ac:dyDescent="0.35">
      <c r="V2723" s="1013"/>
      <c r="W2723" s="138"/>
      <c r="AQ2723" s="138"/>
    </row>
    <row r="2724" spans="22:43" x14ac:dyDescent="0.35">
      <c r="V2724" s="1013"/>
      <c r="W2724" s="138"/>
      <c r="AQ2724" s="138"/>
    </row>
    <row r="2725" spans="22:43" x14ac:dyDescent="0.35">
      <c r="V2725" s="1013"/>
      <c r="W2725" s="138"/>
      <c r="AQ2725" s="138"/>
    </row>
    <row r="2726" spans="22:43" x14ac:dyDescent="0.35">
      <c r="V2726" s="1013"/>
      <c r="W2726" s="138"/>
      <c r="AQ2726" s="138"/>
    </row>
    <row r="2727" spans="22:43" x14ac:dyDescent="0.35">
      <c r="V2727" s="1013"/>
      <c r="W2727" s="138"/>
      <c r="AQ2727" s="138"/>
    </row>
    <row r="2728" spans="22:43" x14ac:dyDescent="0.35">
      <c r="V2728" s="1013"/>
      <c r="W2728" s="138"/>
      <c r="AQ2728" s="138"/>
    </row>
    <row r="2729" spans="22:43" x14ac:dyDescent="0.35">
      <c r="V2729" s="1013"/>
      <c r="W2729" s="138"/>
      <c r="AQ2729" s="138"/>
    </row>
    <row r="2730" spans="22:43" x14ac:dyDescent="0.35">
      <c r="V2730" s="1013"/>
      <c r="W2730" s="138"/>
      <c r="AQ2730" s="138"/>
    </row>
    <row r="2731" spans="22:43" x14ac:dyDescent="0.35">
      <c r="V2731" s="1013"/>
      <c r="W2731" s="138"/>
      <c r="AQ2731" s="138"/>
    </row>
    <row r="2732" spans="22:43" x14ac:dyDescent="0.35">
      <c r="V2732" s="1013"/>
      <c r="W2732" s="138"/>
      <c r="AQ2732" s="138"/>
    </row>
    <row r="2733" spans="22:43" x14ac:dyDescent="0.35">
      <c r="V2733" s="1013"/>
      <c r="W2733" s="138"/>
      <c r="AQ2733" s="138"/>
    </row>
    <row r="2734" spans="22:43" x14ac:dyDescent="0.35">
      <c r="V2734" s="1013"/>
      <c r="W2734" s="138"/>
      <c r="AQ2734" s="138"/>
    </row>
    <row r="2735" spans="22:43" x14ac:dyDescent="0.35">
      <c r="V2735" s="1013"/>
      <c r="W2735" s="138"/>
      <c r="AQ2735" s="138"/>
    </row>
    <row r="2736" spans="22:43" x14ac:dyDescent="0.35">
      <c r="V2736" s="1013"/>
      <c r="W2736" s="138"/>
      <c r="AQ2736" s="138"/>
    </row>
    <row r="2737" spans="22:43" x14ac:dyDescent="0.35">
      <c r="V2737" s="1013"/>
      <c r="W2737" s="138"/>
      <c r="AQ2737" s="138"/>
    </row>
    <row r="2738" spans="22:43" x14ac:dyDescent="0.35">
      <c r="V2738" s="1013"/>
      <c r="W2738" s="138"/>
      <c r="AQ2738" s="138"/>
    </row>
    <row r="2739" spans="22:43" x14ac:dyDescent="0.35">
      <c r="V2739" s="1013"/>
      <c r="W2739" s="138"/>
      <c r="AQ2739" s="138"/>
    </row>
    <row r="2740" spans="22:43" x14ac:dyDescent="0.35">
      <c r="V2740" s="1013"/>
      <c r="W2740" s="138"/>
      <c r="AQ2740" s="138"/>
    </row>
    <row r="2741" spans="22:43" x14ac:dyDescent="0.35">
      <c r="V2741" s="1013"/>
      <c r="W2741" s="138"/>
      <c r="AQ2741" s="138"/>
    </row>
    <row r="2742" spans="22:43" x14ac:dyDescent="0.35">
      <c r="V2742" s="1013"/>
      <c r="W2742" s="138"/>
      <c r="AQ2742" s="138"/>
    </row>
    <row r="2743" spans="22:43" x14ac:dyDescent="0.35">
      <c r="V2743" s="1013"/>
      <c r="W2743" s="138"/>
      <c r="AQ2743" s="138"/>
    </row>
    <row r="2744" spans="22:43" x14ac:dyDescent="0.35">
      <c r="V2744" s="1013"/>
      <c r="W2744" s="138"/>
      <c r="AQ2744" s="138"/>
    </row>
    <row r="2745" spans="22:43" x14ac:dyDescent="0.35">
      <c r="V2745" s="1013"/>
      <c r="W2745" s="138"/>
      <c r="AQ2745" s="138"/>
    </row>
    <row r="2746" spans="22:43" x14ac:dyDescent="0.35">
      <c r="V2746" s="1013"/>
      <c r="W2746" s="138"/>
      <c r="AQ2746" s="138"/>
    </row>
    <row r="2747" spans="22:43" x14ac:dyDescent="0.35">
      <c r="V2747" s="1013"/>
      <c r="W2747" s="138"/>
      <c r="AQ2747" s="138"/>
    </row>
    <row r="2748" spans="22:43" x14ac:dyDescent="0.35">
      <c r="V2748" s="1013"/>
      <c r="W2748" s="138"/>
      <c r="AQ2748" s="138"/>
    </row>
    <row r="2749" spans="22:43" x14ac:dyDescent="0.35">
      <c r="V2749" s="1013"/>
      <c r="W2749" s="138"/>
      <c r="AQ2749" s="138"/>
    </row>
    <row r="2750" spans="22:43" x14ac:dyDescent="0.35">
      <c r="V2750" s="1013"/>
      <c r="W2750" s="138"/>
      <c r="AQ2750" s="138"/>
    </row>
    <row r="2751" spans="22:43" x14ac:dyDescent="0.35">
      <c r="V2751" s="1013"/>
      <c r="W2751" s="138"/>
      <c r="AQ2751" s="138"/>
    </row>
    <row r="2752" spans="22:43" x14ac:dyDescent="0.35">
      <c r="V2752" s="1013"/>
      <c r="W2752" s="138"/>
      <c r="AQ2752" s="138"/>
    </row>
    <row r="2753" spans="22:43" x14ac:dyDescent="0.35">
      <c r="V2753" s="1013"/>
      <c r="W2753" s="138"/>
      <c r="AQ2753" s="138"/>
    </row>
    <row r="2754" spans="22:43" x14ac:dyDescent="0.35">
      <c r="V2754" s="1013"/>
      <c r="W2754" s="138"/>
      <c r="AQ2754" s="138"/>
    </row>
    <row r="2755" spans="22:43" x14ac:dyDescent="0.35">
      <c r="V2755" s="1013"/>
      <c r="W2755" s="138"/>
      <c r="AQ2755" s="138"/>
    </row>
    <row r="2756" spans="22:43" x14ac:dyDescent="0.35">
      <c r="V2756" s="1013"/>
      <c r="W2756" s="138"/>
      <c r="AQ2756" s="138"/>
    </row>
    <row r="2757" spans="22:43" x14ac:dyDescent="0.35">
      <c r="V2757" s="1013"/>
      <c r="W2757" s="138"/>
      <c r="AQ2757" s="138"/>
    </row>
    <row r="2758" spans="22:43" x14ac:dyDescent="0.35">
      <c r="V2758" s="1013"/>
      <c r="W2758" s="138"/>
      <c r="AQ2758" s="138"/>
    </row>
    <row r="2759" spans="22:43" x14ac:dyDescent="0.35">
      <c r="V2759" s="1013"/>
      <c r="W2759" s="138"/>
      <c r="AQ2759" s="138"/>
    </row>
    <row r="2760" spans="22:43" x14ac:dyDescent="0.35">
      <c r="V2760" s="1013"/>
      <c r="W2760" s="138"/>
      <c r="AQ2760" s="138"/>
    </row>
    <row r="2761" spans="22:43" x14ac:dyDescent="0.35">
      <c r="V2761" s="1013"/>
      <c r="W2761" s="138"/>
      <c r="AQ2761" s="138"/>
    </row>
    <row r="2762" spans="22:43" x14ac:dyDescent="0.35">
      <c r="V2762" s="1013"/>
      <c r="W2762" s="138"/>
      <c r="AQ2762" s="138"/>
    </row>
    <row r="2763" spans="22:43" x14ac:dyDescent="0.35">
      <c r="V2763" s="1013"/>
      <c r="W2763" s="138"/>
      <c r="AQ2763" s="138"/>
    </row>
    <row r="2764" spans="22:43" x14ac:dyDescent="0.35">
      <c r="V2764" s="1013"/>
      <c r="W2764" s="138"/>
      <c r="AQ2764" s="138"/>
    </row>
    <row r="2765" spans="22:43" x14ac:dyDescent="0.35">
      <c r="V2765" s="1013"/>
      <c r="W2765" s="138"/>
      <c r="AQ2765" s="138"/>
    </row>
    <row r="2766" spans="22:43" x14ac:dyDescent="0.35">
      <c r="V2766" s="1013"/>
      <c r="W2766" s="138"/>
      <c r="AQ2766" s="138"/>
    </row>
    <row r="2767" spans="22:43" x14ac:dyDescent="0.35">
      <c r="V2767" s="1013"/>
      <c r="W2767" s="138"/>
      <c r="AQ2767" s="138"/>
    </row>
    <row r="2768" spans="22:43" x14ac:dyDescent="0.35">
      <c r="V2768" s="1013"/>
      <c r="W2768" s="138"/>
      <c r="AQ2768" s="138"/>
    </row>
    <row r="2769" spans="22:43" x14ac:dyDescent="0.35">
      <c r="V2769" s="1013"/>
      <c r="W2769" s="138"/>
      <c r="AQ2769" s="138"/>
    </row>
    <row r="2770" spans="22:43" x14ac:dyDescent="0.35">
      <c r="V2770" s="1013"/>
      <c r="W2770" s="138"/>
      <c r="AQ2770" s="138"/>
    </row>
    <row r="2771" spans="22:43" x14ac:dyDescent="0.35">
      <c r="V2771" s="1013"/>
      <c r="W2771" s="138"/>
      <c r="AQ2771" s="138"/>
    </row>
    <row r="2772" spans="22:43" x14ac:dyDescent="0.35">
      <c r="V2772" s="1013"/>
      <c r="W2772" s="138"/>
      <c r="AQ2772" s="138"/>
    </row>
    <row r="2773" spans="22:43" x14ac:dyDescent="0.35">
      <c r="V2773" s="1013"/>
      <c r="W2773" s="138"/>
      <c r="AQ2773" s="138"/>
    </row>
    <row r="2774" spans="22:43" x14ac:dyDescent="0.35">
      <c r="V2774" s="1013"/>
      <c r="W2774" s="138"/>
      <c r="AQ2774" s="138"/>
    </row>
    <row r="2775" spans="22:43" x14ac:dyDescent="0.35">
      <c r="V2775" s="1013"/>
      <c r="W2775" s="138"/>
      <c r="AQ2775" s="138"/>
    </row>
    <row r="2776" spans="22:43" x14ac:dyDescent="0.35">
      <c r="V2776" s="1013"/>
      <c r="W2776" s="138"/>
      <c r="AQ2776" s="138"/>
    </row>
    <row r="2777" spans="22:43" x14ac:dyDescent="0.35">
      <c r="V2777" s="1013"/>
      <c r="W2777" s="138"/>
      <c r="AQ2777" s="138"/>
    </row>
    <row r="2778" spans="22:43" x14ac:dyDescent="0.35">
      <c r="V2778" s="1013"/>
      <c r="W2778" s="138"/>
      <c r="AQ2778" s="138"/>
    </row>
    <row r="2779" spans="22:43" x14ac:dyDescent="0.35">
      <c r="V2779" s="1013"/>
      <c r="W2779" s="138"/>
      <c r="AQ2779" s="138"/>
    </row>
    <row r="2780" spans="22:43" x14ac:dyDescent="0.35">
      <c r="V2780" s="1013"/>
      <c r="W2780" s="138"/>
      <c r="AQ2780" s="138"/>
    </row>
    <row r="2781" spans="22:43" x14ac:dyDescent="0.35">
      <c r="V2781" s="1013"/>
      <c r="W2781" s="138"/>
      <c r="AQ2781" s="138"/>
    </row>
    <row r="2782" spans="22:43" x14ac:dyDescent="0.35">
      <c r="V2782" s="1013"/>
      <c r="W2782" s="138"/>
      <c r="AQ2782" s="138"/>
    </row>
    <row r="2783" spans="22:43" x14ac:dyDescent="0.35">
      <c r="V2783" s="1013"/>
      <c r="W2783" s="138"/>
      <c r="AQ2783" s="138"/>
    </row>
    <row r="2784" spans="22:43" x14ac:dyDescent="0.35">
      <c r="V2784" s="1013"/>
      <c r="W2784" s="138"/>
      <c r="AQ2784" s="138"/>
    </row>
    <row r="2785" spans="22:43" x14ac:dyDescent="0.35">
      <c r="V2785" s="1013"/>
      <c r="W2785" s="138"/>
      <c r="AQ2785" s="138"/>
    </row>
    <row r="2786" spans="22:43" x14ac:dyDescent="0.35">
      <c r="V2786" s="1013"/>
      <c r="W2786" s="138"/>
      <c r="AQ2786" s="138"/>
    </row>
    <row r="2787" spans="22:43" x14ac:dyDescent="0.35">
      <c r="V2787" s="1013"/>
      <c r="W2787" s="138"/>
      <c r="AQ2787" s="138"/>
    </row>
    <row r="2788" spans="22:43" x14ac:dyDescent="0.35">
      <c r="V2788" s="1013"/>
      <c r="W2788" s="138"/>
      <c r="AQ2788" s="138"/>
    </row>
    <row r="2789" spans="22:43" x14ac:dyDescent="0.35">
      <c r="V2789" s="1013"/>
      <c r="W2789" s="138"/>
      <c r="AQ2789" s="138"/>
    </row>
    <row r="2790" spans="22:43" x14ac:dyDescent="0.35">
      <c r="V2790" s="1013"/>
      <c r="W2790" s="138"/>
      <c r="AQ2790" s="138"/>
    </row>
    <row r="2791" spans="22:43" x14ac:dyDescent="0.35">
      <c r="V2791" s="1013"/>
      <c r="W2791" s="138"/>
      <c r="AQ2791" s="138"/>
    </row>
    <row r="2792" spans="22:43" x14ac:dyDescent="0.35">
      <c r="V2792" s="1013"/>
      <c r="W2792" s="138"/>
      <c r="AQ2792" s="138"/>
    </row>
    <row r="2793" spans="22:43" x14ac:dyDescent="0.35">
      <c r="V2793" s="1013"/>
      <c r="W2793" s="138"/>
      <c r="AQ2793" s="138"/>
    </row>
    <row r="2794" spans="22:43" x14ac:dyDescent="0.35">
      <c r="V2794" s="1013"/>
      <c r="W2794" s="138"/>
      <c r="AQ2794" s="138"/>
    </row>
    <row r="2795" spans="22:43" x14ac:dyDescent="0.35">
      <c r="V2795" s="1013"/>
      <c r="W2795" s="138"/>
      <c r="AQ2795" s="138"/>
    </row>
    <row r="2796" spans="22:43" x14ac:dyDescent="0.35">
      <c r="V2796" s="1013"/>
      <c r="W2796" s="138"/>
      <c r="AQ2796" s="138"/>
    </row>
    <row r="2797" spans="22:43" x14ac:dyDescent="0.35">
      <c r="V2797" s="1013"/>
      <c r="W2797" s="138"/>
      <c r="AQ2797" s="138"/>
    </row>
    <row r="2798" spans="22:43" x14ac:dyDescent="0.35">
      <c r="V2798" s="1013"/>
      <c r="W2798" s="138"/>
      <c r="AQ2798" s="138"/>
    </row>
    <row r="2799" spans="22:43" x14ac:dyDescent="0.35">
      <c r="V2799" s="1013"/>
      <c r="W2799" s="138"/>
      <c r="AQ2799" s="138"/>
    </row>
    <row r="2800" spans="22:43" x14ac:dyDescent="0.35">
      <c r="V2800" s="1013"/>
      <c r="W2800" s="138"/>
      <c r="AQ2800" s="138"/>
    </row>
    <row r="2801" spans="22:43" x14ac:dyDescent="0.35">
      <c r="V2801" s="1013"/>
      <c r="W2801" s="138"/>
      <c r="AQ2801" s="138"/>
    </row>
    <row r="2802" spans="22:43" x14ac:dyDescent="0.35">
      <c r="V2802" s="1013"/>
      <c r="W2802" s="138"/>
      <c r="AQ2802" s="138"/>
    </row>
    <row r="2803" spans="22:43" x14ac:dyDescent="0.35">
      <c r="V2803" s="1013"/>
      <c r="W2803" s="138"/>
      <c r="AQ2803" s="138"/>
    </row>
    <row r="2804" spans="22:43" x14ac:dyDescent="0.35">
      <c r="V2804" s="1013"/>
      <c r="W2804" s="138"/>
      <c r="AQ2804" s="138"/>
    </row>
    <row r="2805" spans="22:43" x14ac:dyDescent="0.35">
      <c r="V2805" s="1013"/>
      <c r="W2805" s="138"/>
      <c r="AQ2805" s="138"/>
    </row>
    <row r="2806" spans="22:43" x14ac:dyDescent="0.35">
      <c r="V2806" s="1013"/>
      <c r="W2806" s="138"/>
      <c r="AQ2806" s="138"/>
    </row>
    <row r="2807" spans="22:43" x14ac:dyDescent="0.35">
      <c r="V2807" s="1013"/>
      <c r="W2807" s="138"/>
      <c r="AQ2807" s="138"/>
    </row>
    <row r="2808" spans="22:43" x14ac:dyDescent="0.35">
      <c r="V2808" s="1013"/>
      <c r="W2808" s="138"/>
      <c r="AQ2808" s="138"/>
    </row>
    <row r="2809" spans="22:43" x14ac:dyDescent="0.35">
      <c r="V2809" s="1013"/>
      <c r="W2809" s="138"/>
      <c r="AQ2809" s="138"/>
    </row>
    <row r="2810" spans="22:43" x14ac:dyDescent="0.35">
      <c r="V2810" s="1013"/>
      <c r="W2810" s="138"/>
      <c r="AQ2810" s="138"/>
    </row>
    <row r="2811" spans="22:43" x14ac:dyDescent="0.35">
      <c r="V2811" s="1013"/>
      <c r="W2811" s="138"/>
      <c r="AQ2811" s="138"/>
    </row>
    <row r="2812" spans="22:43" x14ac:dyDescent="0.35">
      <c r="V2812" s="1013"/>
      <c r="W2812" s="138"/>
      <c r="AQ2812" s="138"/>
    </row>
    <row r="2813" spans="22:43" x14ac:dyDescent="0.35">
      <c r="V2813" s="1013"/>
      <c r="W2813" s="138"/>
      <c r="AQ2813" s="138"/>
    </row>
    <row r="2814" spans="22:43" x14ac:dyDescent="0.35">
      <c r="V2814" s="1013"/>
      <c r="W2814" s="138"/>
      <c r="AQ2814" s="138"/>
    </row>
    <row r="2815" spans="22:43" x14ac:dyDescent="0.35">
      <c r="V2815" s="1013"/>
      <c r="W2815" s="138"/>
      <c r="AQ2815" s="138"/>
    </row>
    <row r="2816" spans="22:43" x14ac:dyDescent="0.35">
      <c r="V2816" s="1013"/>
      <c r="W2816" s="138"/>
      <c r="AQ2816" s="138"/>
    </row>
    <row r="2817" spans="22:43" x14ac:dyDescent="0.35">
      <c r="V2817" s="1013"/>
      <c r="W2817" s="138"/>
      <c r="AQ2817" s="138"/>
    </row>
    <row r="2818" spans="22:43" x14ac:dyDescent="0.35">
      <c r="V2818" s="1013"/>
      <c r="W2818" s="138"/>
      <c r="AQ2818" s="138"/>
    </row>
    <row r="2819" spans="22:43" x14ac:dyDescent="0.35">
      <c r="V2819" s="1013"/>
      <c r="W2819" s="138"/>
      <c r="AQ2819" s="138"/>
    </row>
    <row r="2820" spans="22:43" x14ac:dyDescent="0.35">
      <c r="V2820" s="1013"/>
      <c r="W2820" s="138"/>
      <c r="AQ2820" s="138"/>
    </row>
    <row r="2821" spans="22:43" x14ac:dyDescent="0.35">
      <c r="V2821" s="1013"/>
      <c r="W2821" s="138"/>
      <c r="AQ2821" s="138"/>
    </row>
    <row r="2822" spans="22:43" x14ac:dyDescent="0.35">
      <c r="V2822" s="1013"/>
      <c r="W2822" s="138"/>
      <c r="AQ2822" s="138"/>
    </row>
    <row r="2823" spans="22:43" x14ac:dyDescent="0.35">
      <c r="V2823" s="1013"/>
      <c r="W2823" s="138"/>
      <c r="AQ2823" s="138"/>
    </row>
    <row r="2824" spans="22:43" x14ac:dyDescent="0.35">
      <c r="V2824" s="1013"/>
      <c r="W2824" s="138"/>
      <c r="AQ2824" s="138"/>
    </row>
    <row r="2825" spans="22:43" x14ac:dyDescent="0.35">
      <c r="V2825" s="1013"/>
      <c r="W2825" s="138"/>
      <c r="AQ2825" s="138"/>
    </row>
    <row r="2826" spans="22:43" x14ac:dyDescent="0.35">
      <c r="V2826" s="1013"/>
      <c r="W2826" s="138"/>
      <c r="AQ2826" s="138"/>
    </row>
    <row r="2827" spans="22:43" x14ac:dyDescent="0.35">
      <c r="V2827" s="1013"/>
      <c r="W2827" s="138"/>
      <c r="AQ2827" s="138"/>
    </row>
    <row r="2828" spans="22:43" x14ac:dyDescent="0.35">
      <c r="V2828" s="1013"/>
      <c r="W2828" s="138"/>
      <c r="AQ2828" s="138"/>
    </row>
    <row r="2829" spans="22:43" x14ac:dyDescent="0.35">
      <c r="V2829" s="1013"/>
      <c r="W2829" s="138"/>
      <c r="AQ2829" s="138"/>
    </row>
    <row r="2830" spans="22:43" x14ac:dyDescent="0.35">
      <c r="V2830" s="1013"/>
      <c r="W2830" s="138"/>
      <c r="AQ2830" s="138"/>
    </row>
    <row r="2831" spans="22:43" x14ac:dyDescent="0.35">
      <c r="V2831" s="1013"/>
      <c r="W2831" s="138"/>
      <c r="AQ2831" s="138"/>
    </row>
    <row r="2832" spans="22:43" x14ac:dyDescent="0.35">
      <c r="V2832" s="1013"/>
      <c r="W2832" s="138"/>
      <c r="AQ2832" s="138"/>
    </row>
    <row r="2833" spans="22:43" x14ac:dyDescent="0.35">
      <c r="V2833" s="1013"/>
      <c r="W2833" s="138"/>
      <c r="AQ2833" s="138"/>
    </row>
    <row r="2834" spans="22:43" x14ac:dyDescent="0.35">
      <c r="V2834" s="1013"/>
      <c r="W2834" s="138"/>
      <c r="AQ2834" s="138"/>
    </row>
    <row r="2835" spans="22:43" x14ac:dyDescent="0.35">
      <c r="V2835" s="1013"/>
      <c r="W2835" s="138"/>
      <c r="AQ2835" s="138"/>
    </row>
    <row r="2836" spans="22:43" x14ac:dyDescent="0.35">
      <c r="V2836" s="1013"/>
      <c r="W2836" s="138"/>
      <c r="AQ2836" s="138"/>
    </row>
    <row r="2837" spans="22:43" x14ac:dyDescent="0.35">
      <c r="V2837" s="1013"/>
      <c r="W2837" s="138"/>
      <c r="AQ2837" s="138"/>
    </row>
    <row r="2838" spans="22:43" x14ac:dyDescent="0.35">
      <c r="V2838" s="1013"/>
      <c r="W2838" s="138"/>
      <c r="AQ2838" s="138"/>
    </row>
    <row r="2839" spans="22:43" x14ac:dyDescent="0.35">
      <c r="V2839" s="1013"/>
      <c r="W2839" s="138"/>
      <c r="AQ2839" s="138"/>
    </row>
    <row r="2840" spans="22:43" x14ac:dyDescent="0.35">
      <c r="V2840" s="1013"/>
      <c r="W2840" s="138"/>
      <c r="AQ2840" s="138"/>
    </row>
    <row r="2841" spans="22:43" x14ac:dyDescent="0.35">
      <c r="V2841" s="1013"/>
      <c r="W2841" s="138"/>
      <c r="AQ2841" s="138"/>
    </row>
    <row r="2842" spans="22:43" x14ac:dyDescent="0.35">
      <c r="V2842" s="1013"/>
      <c r="W2842" s="138"/>
      <c r="AQ2842" s="138"/>
    </row>
    <row r="2843" spans="22:43" x14ac:dyDescent="0.35">
      <c r="V2843" s="1013"/>
      <c r="W2843" s="138"/>
      <c r="AQ2843" s="138"/>
    </row>
    <row r="2844" spans="22:43" x14ac:dyDescent="0.35">
      <c r="V2844" s="1013"/>
      <c r="W2844" s="138"/>
      <c r="AQ2844" s="138"/>
    </row>
    <row r="2845" spans="22:43" x14ac:dyDescent="0.35">
      <c r="V2845" s="1013"/>
      <c r="W2845" s="138"/>
      <c r="AQ2845" s="138"/>
    </row>
    <row r="2846" spans="22:43" x14ac:dyDescent="0.35">
      <c r="V2846" s="1013"/>
      <c r="W2846" s="138"/>
      <c r="AQ2846" s="138"/>
    </row>
    <row r="2847" spans="22:43" x14ac:dyDescent="0.35">
      <c r="V2847" s="1013"/>
      <c r="W2847" s="138"/>
      <c r="AQ2847" s="138"/>
    </row>
    <row r="2848" spans="22:43" x14ac:dyDescent="0.35">
      <c r="V2848" s="1013"/>
      <c r="W2848" s="138"/>
      <c r="AQ2848" s="138"/>
    </row>
    <row r="2849" spans="22:43" x14ac:dyDescent="0.35">
      <c r="V2849" s="1013"/>
      <c r="W2849" s="138"/>
      <c r="AQ2849" s="138"/>
    </row>
    <row r="2850" spans="22:43" x14ac:dyDescent="0.35">
      <c r="V2850" s="1013"/>
      <c r="W2850" s="138"/>
      <c r="AQ2850" s="138"/>
    </row>
    <row r="2851" spans="22:43" x14ac:dyDescent="0.35">
      <c r="V2851" s="1013"/>
      <c r="W2851" s="138"/>
      <c r="AQ2851" s="138"/>
    </row>
    <row r="2852" spans="22:43" x14ac:dyDescent="0.35">
      <c r="V2852" s="1013"/>
      <c r="W2852" s="138"/>
      <c r="AQ2852" s="138"/>
    </row>
    <row r="2853" spans="22:43" x14ac:dyDescent="0.35">
      <c r="V2853" s="1013"/>
      <c r="W2853" s="138"/>
      <c r="AQ2853" s="138"/>
    </row>
    <row r="2854" spans="22:43" x14ac:dyDescent="0.35">
      <c r="V2854" s="1013"/>
      <c r="W2854" s="138"/>
      <c r="AQ2854" s="138"/>
    </row>
    <row r="2855" spans="22:43" x14ac:dyDescent="0.35">
      <c r="V2855" s="1013"/>
      <c r="W2855" s="138"/>
      <c r="AQ2855" s="138"/>
    </row>
    <row r="2856" spans="22:43" x14ac:dyDescent="0.35">
      <c r="V2856" s="1013"/>
      <c r="W2856" s="138"/>
      <c r="AQ2856" s="138"/>
    </row>
    <row r="2857" spans="22:43" x14ac:dyDescent="0.35">
      <c r="V2857" s="1013"/>
      <c r="W2857" s="138"/>
      <c r="AQ2857" s="138"/>
    </row>
    <row r="2858" spans="22:43" x14ac:dyDescent="0.35">
      <c r="V2858" s="1013"/>
      <c r="W2858" s="138"/>
      <c r="AQ2858" s="138"/>
    </row>
    <row r="2859" spans="22:43" x14ac:dyDescent="0.35">
      <c r="V2859" s="1013"/>
      <c r="W2859" s="138"/>
      <c r="AQ2859" s="138"/>
    </row>
    <row r="2860" spans="22:43" x14ac:dyDescent="0.35">
      <c r="V2860" s="1013"/>
      <c r="W2860" s="138"/>
      <c r="AQ2860" s="138"/>
    </row>
    <row r="2861" spans="22:43" x14ac:dyDescent="0.35">
      <c r="V2861" s="1013"/>
      <c r="W2861" s="138"/>
      <c r="AQ2861" s="138"/>
    </row>
    <row r="2862" spans="22:43" x14ac:dyDescent="0.35">
      <c r="V2862" s="1013"/>
      <c r="W2862" s="138"/>
      <c r="AQ2862" s="138"/>
    </row>
    <row r="2863" spans="22:43" x14ac:dyDescent="0.35">
      <c r="V2863" s="1013"/>
      <c r="W2863" s="138"/>
      <c r="AQ2863" s="138"/>
    </row>
    <row r="2864" spans="22:43" x14ac:dyDescent="0.35">
      <c r="V2864" s="1013"/>
      <c r="W2864" s="138"/>
      <c r="AQ2864" s="138"/>
    </row>
    <row r="2865" spans="22:43" x14ac:dyDescent="0.35">
      <c r="V2865" s="1013"/>
      <c r="W2865" s="138"/>
      <c r="AQ2865" s="138"/>
    </row>
    <row r="2866" spans="22:43" x14ac:dyDescent="0.35">
      <c r="V2866" s="1013"/>
      <c r="W2866" s="138"/>
      <c r="AQ2866" s="138"/>
    </row>
    <row r="2867" spans="22:43" x14ac:dyDescent="0.35">
      <c r="V2867" s="1013"/>
      <c r="W2867" s="138"/>
      <c r="AQ2867" s="138"/>
    </row>
    <row r="2868" spans="22:43" x14ac:dyDescent="0.35">
      <c r="V2868" s="1013"/>
      <c r="W2868" s="138"/>
      <c r="AQ2868" s="138"/>
    </row>
    <row r="2869" spans="22:43" x14ac:dyDescent="0.35">
      <c r="V2869" s="1013"/>
      <c r="W2869" s="138"/>
      <c r="AQ2869" s="138"/>
    </row>
    <row r="2870" spans="22:43" x14ac:dyDescent="0.35">
      <c r="V2870" s="1013"/>
      <c r="W2870" s="138"/>
      <c r="AQ2870" s="138"/>
    </row>
    <row r="2871" spans="22:43" x14ac:dyDescent="0.35">
      <c r="V2871" s="1013"/>
      <c r="W2871" s="138"/>
      <c r="AQ2871" s="138"/>
    </row>
    <row r="2872" spans="22:43" x14ac:dyDescent="0.35">
      <c r="V2872" s="1013"/>
      <c r="W2872" s="138"/>
      <c r="AQ2872" s="138"/>
    </row>
    <row r="2873" spans="22:43" x14ac:dyDescent="0.35">
      <c r="V2873" s="1013"/>
      <c r="W2873" s="138"/>
      <c r="AQ2873" s="138"/>
    </row>
    <row r="2874" spans="22:43" x14ac:dyDescent="0.35">
      <c r="V2874" s="1013"/>
      <c r="W2874" s="138"/>
      <c r="AQ2874" s="138"/>
    </row>
    <row r="2875" spans="22:43" x14ac:dyDescent="0.35">
      <c r="V2875" s="1013"/>
      <c r="W2875" s="138"/>
      <c r="AQ2875" s="138"/>
    </row>
    <row r="2876" spans="22:43" x14ac:dyDescent="0.35">
      <c r="V2876" s="1013"/>
      <c r="W2876" s="138"/>
      <c r="AQ2876" s="138"/>
    </row>
    <row r="2877" spans="22:43" x14ac:dyDescent="0.35">
      <c r="V2877" s="1013"/>
      <c r="W2877" s="138"/>
      <c r="AQ2877" s="138"/>
    </row>
    <row r="2878" spans="22:43" x14ac:dyDescent="0.35">
      <c r="V2878" s="1013"/>
      <c r="W2878" s="138"/>
      <c r="AQ2878" s="138"/>
    </row>
    <row r="2879" spans="22:43" x14ac:dyDescent="0.35">
      <c r="V2879" s="1013"/>
      <c r="W2879" s="138"/>
      <c r="AQ2879" s="138"/>
    </row>
    <row r="2880" spans="22:43" x14ac:dyDescent="0.35">
      <c r="V2880" s="1013"/>
      <c r="W2880" s="138"/>
      <c r="AQ2880" s="138"/>
    </row>
    <row r="2881" spans="22:43" x14ac:dyDescent="0.35">
      <c r="V2881" s="1013"/>
      <c r="W2881" s="138"/>
      <c r="AQ2881" s="138"/>
    </row>
    <row r="2882" spans="22:43" x14ac:dyDescent="0.35">
      <c r="V2882" s="1013"/>
      <c r="W2882" s="138"/>
      <c r="AQ2882" s="138"/>
    </row>
    <row r="2883" spans="22:43" x14ac:dyDescent="0.35">
      <c r="V2883" s="1013"/>
      <c r="W2883" s="138"/>
      <c r="AQ2883" s="138"/>
    </row>
    <row r="2884" spans="22:43" x14ac:dyDescent="0.35">
      <c r="V2884" s="1013"/>
      <c r="W2884" s="138"/>
      <c r="AQ2884" s="138"/>
    </row>
    <row r="2885" spans="22:43" x14ac:dyDescent="0.35">
      <c r="V2885" s="1013"/>
      <c r="W2885" s="138"/>
      <c r="AQ2885" s="138"/>
    </row>
    <row r="2886" spans="22:43" x14ac:dyDescent="0.35">
      <c r="V2886" s="1013"/>
      <c r="W2886" s="138"/>
      <c r="AQ2886" s="138"/>
    </row>
    <row r="2887" spans="22:43" x14ac:dyDescent="0.35">
      <c r="V2887" s="1013"/>
      <c r="W2887" s="138"/>
      <c r="AQ2887" s="138"/>
    </row>
    <row r="2888" spans="22:43" x14ac:dyDescent="0.35">
      <c r="V2888" s="1013"/>
      <c r="W2888" s="138"/>
      <c r="AQ2888" s="138"/>
    </row>
    <row r="2889" spans="22:43" x14ac:dyDescent="0.35">
      <c r="V2889" s="1013"/>
      <c r="W2889" s="138"/>
      <c r="AQ2889" s="138"/>
    </row>
    <row r="2890" spans="22:43" x14ac:dyDescent="0.35">
      <c r="V2890" s="1013"/>
      <c r="W2890" s="138"/>
      <c r="AQ2890" s="138"/>
    </row>
    <row r="2891" spans="22:43" x14ac:dyDescent="0.35">
      <c r="V2891" s="1013"/>
      <c r="W2891" s="138"/>
      <c r="AQ2891" s="138"/>
    </row>
    <row r="2892" spans="22:43" x14ac:dyDescent="0.35">
      <c r="V2892" s="1013"/>
      <c r="W2892" s="138"/>
      <c r="AQ2892" s="138"/>
    </row>
    <row r="2893" spans="22:43" x14ac:dyDescent="0.35">
      <c r="V2893" s="1013"/>
      <c r="W2893" s="138"/>
      <c r="AQ2893" s="138"/>
    </row>
    <row r="2894" spans="22:43" x14ac:dyDescent="0.35">
      <c r="V2894" s="1013"/>
      <c r="W2894" s="138"/>
      <c r="AQ2894" s="138"/>
    </row>
    <row r="2895" spans="22:43" x14ac:dyDescent="0.35">
      <c r="V2895" s="1013"/>
      <c r="W2895" s="138"/>
      <c r="AQ2895" s="138"/>
    </row>
    <row r="2896" spans="22:43" x14ac:dyDescent="0.35">
      <c r="V2896" s="1013"/>
      <c r="W2896" s="138"/>
      <c r="AQ2896" s="138"/>
    </row>
    <row r="2897" spans="22:43" x14ac:dyDescent="0.35">
      <c r="V2897" s="1013"/>
      <c r="W2897" s="138"/>
      <c r="AQ2897" s="138"/>
    </row>
    <row r="2898" spans="22:43" x14ac:dyDescent="0.35">
      <c r="V2898" s="1013"/>
      <c r="W2898" s="138"/>
      <c r="AQ2898" s="138"/>
    </row>
    <row r="2899" spans="22:43" x14ac:dyDescent="0.35">
      <c r="V2899" s="1013"/>
      <c r="W2899" s="138"/>
      <c r="AQ2899" s="138"/>
    </row>
    <row r="2900" spans="22:43" x14ac:dyDescent="0.35">
      <c r="V2900" s="1013"/>
      <c r="W2900" s="138"/>
      <c r="AQ2900" s="138"/>
    </row>
    <row r="2901" spans="22:43" x14ac:dyDescent="0.35">
      <c r="V2901" s="1013"/>
      <c r="W2901" s="138"/>
      <c r="AQ2901" s="138"/>
    </row>
    <row r="2902" spans="22:43" x14ac:dyDescent="0.35">
      <c r="V2902" s="1013"/>
      <c r="W2902" s="138"/>
      <c r="AQ2902" s="138"/>
    </row>
    <row r="2903" spans="22:43" x14ac:dyDescent="0.35">
      <c r="V2903" s="1013"/>
      <c r="W2903" s="138"/>
      <c r="AQ2903" s="138"/>
    </row>
    <row r="2904" spans="22:43" x14ac:dyDescent="0.35">
      <c r="V2904" s="1013"/>
      <c r="W2904" s="138"/>
      <c r="AQ2904" s="138"/>
    </row>
    <row r="2905" spans="22:43" x14ac:dyDescent="0.35">
      <c r="V2905" s="1013"/>
      <c r="W2905" s="138"/>
      <c r="AQ2905" s="138"/>
    </row>
    <row r="2906" spans="22:43" x14ac:dyDescent="0.35">
      <c r="V2906" s="1013"/>
      <c r="W2906" s="138"/>
      <c r="AQ2906" s="138"/>
    </row>
    <row r="2907" spans="22:43" x14ac:dyDescent="0.35">
      <c r="V2907" s="1013"/>
      <c r="W2907" s="138"/>
      <c r="AQ2907" s="138"/>
    </row>
    <row r="2908" spans="22:43" x14ac:dyDescent="0.35">
      <c r="V2908" s="1013"/>
      <c r="W2908" s="138"/>
      <c r="AQ2908" s="138"/>
    </row>
    <row r="2909" spans="22:43" x14ac:dyDescent="0.35">
      <c r="V2909" s="1013"/>
      <c r="W2909" s="138"/>
      <c r="AQ2909" s="138"/>
    </row>
    <row r="2910" spans="22:43" x14ac:dyDescent="0.35">
      <c r="V2910" s="1013"/>
      <c r="W2910" s="138"/>
      <c r="AQ2910" s="138"/>
    </row>
    <row r="2911" spans="22:43" x14ac:dyDescent="0.35">
      <c r="V2911" s="1013"/>
      <c r="W2911" s="138"/>
      <c r="AQ2911" s="138"/>
    </row>
    <row r="2912" spans="22:43" x14ac:dyDescent="0.35">
      <c r="V2912" s="1013"/>
      <c r="W2912" s="138"/>
      <c r="AQ2912" s="138"/>
    </row>
    <row r="2913" spans="22:43" x14ac:dyDescent="0.35">
      <c r="V2913" s="1013"/>
      <c r="W2913" s="138"/>
      <c r="AQ2913" s="138"/>
    </row>
    <row r="2914" spans="22:43" x14ac:dyDescent="0.35">
      <c r="V2914" s="1013"/>
      <c r="W2914" s="138"/>
      <c r="AQ2914" s="138"/>
    </row>
    <row r="2915" spans="22:43" x14ac:dyDescent="0.35">
      <c r="V2915" s="1013"/>
      <c r="W2915" s="138"/>
      <c r="AQ2915" s="138"/>
    </row>
    <row r="2916" spans="22:43" x14ac:dyDescent="0.35">
      <c r="V2916" s="1013"/>
      <c r="W2916" s="138"/>
      <c r="AQ2916" s="138"/>
    </row>
    <row r="2917" spans="22:43" x14ac:dyDescent="0.35">
      <c r="V2917" s="1013"/>
      <c r="W2917" s="138"/>
      <c r="AQ2917" s="138"/>
    </row>
    <row r="2918" spans="22:43" x14ac:dyDescent="0.35">
      <c r="V2918" s="1013"/>
      <c r="W2918" s="138"/>
      <c r="AQ2918" s="138"/>
    </row>
    <row r="2919" spans="22:43" x14ac:dyDescent="0.35">
      <c r="V2919" s="1013"/>
      <c r="W2919" s="138"/>
      <c r="AQ2919" s="138"/>
    </row>
    <row r="2920" spans="22:43" x14ac:dyDescent="0.35">
      <c r="V2920" s="1013"/>
      <c r="W2920" s="138"/>
      <c r="AQ2920" s="138"/>
    </row>
    <row r="2921" spans="22:43" x14ac:dyDescent="0.35">
      <c r="V2921" s="1013"/>
      <c r="W2921" s="138"/>
      <c r="AQ2921" s="138"/>
    </row>
    <row r="2922" spans="22:43" x14ac:dyDescent="0.35">
      <c r="V2922" s="1013"/>
      <c r="W2922" s="138"/>
      <c r="AQ2922" s="138"/>
    </row>
    <row r="2923" spans="22:43" x14ac:dyDescent="0.35">
      <c r="V2923" s="1013"/>
      <c r="W2923" s="138"/>
      <c r="AQ2923" s="138"/>
    </row>
    <row r="2924" spans="22:43" x14ac:dyDescent="0.35">
      <c r="V2924" s="1013"/>
      <c r="W2924" s="138"/>
      <c r="AQ2924" s="138"/>
    </row>
    <row r="2925" spans="22:43" x14ac:dyDescent="0.35">
      <c r="V2925" s="1013"/>
      <c r="W2925" s="138"/>
      <c r="AQ2925" s="138"/>
    </row>
    <row r="2926" spans="22:43" x14ac:dyDescent="0.35">
      <c r="V2926" s="1013"/>
      <c r="W2926" s="138"/>
      <c r="AQ2926" s="138"/>
    </row>
    <row r="2927" spans="22:43" x14ac:dyDescent="0.35">
      <c r="V2927" s="1013"/>
      <c r="W2927" s="138"/>
      <c r="AQ2927" s="138"/>
    </row>
    <row r="2928" spans="22:43" x14ac:dyDescent="0.35">
      <c r="V2928" s="1013"/>
      <c r="W2928" s="138"/>
      <c r="AQ2928" s="138"/>
    </row>
    <row r="2929" spans="22:43" x14ac:dyDescent="0.35">
      <c r="V2929" s="1013"/>
      <c r="W2929" s="138"/>
      <c r="AQ2929" s="138"/>
    </row>
    <row r="2930" spans="22:43" x14ac:dyDescent="0.35">
      <c r="V2930" s="1013"/>
      <c r="W2930" s="138"/>
      <c r="AQ2930" s="138"/>
    </row>
    <row r="2931" spans="22:43" x14ac:dyDescent="0.35">
      <c r="V2931" s="1013"/>
      <c r="W2931" s="138"/>
      <c r="AQ2931" s="138"/>
    </row>
    <row r="2932" spans="22:43" x14ac:dyDescent="0.35">
      <c r="V2932" s="1013"/>
      <c r="W2932" s="138"/>
      <c r="AQ2932" s="138"/>
    </row>
    <row r="2933" spans="22:43" x14ac:dyDescent="0.35">
      <c r="V2933" s="1013"/>
      <c r="W2933" s="138"/>
      <c r="AQ2933" s="138"/>
    </row>
    <row r="2934" spans="22:43" x14ac:dyDescent="0.35">
      <c r="V2934" s="1013"/>
      <c r="W2934" s="138"/>
      <c r="AQ2934" s="138"/>
    </row>
    <row r="2935" spans="22:43" x14ac:dyDescent="0.35">
      <c r="V2935" s="1013"/>
      <c r="W2935" s="138"/>
      <c r="AQ2935" s="138"/>
    </row>
    <row r="2936" spans="22:43" x14ac:dyDescent="0.35">
      <c r="V2936" s="1013"/>
      <c r="W2936" s="138"/>
      <c r="AQ2936" s="138"/>
    </row>
    <row r="2937" spans="22:43" x14ac:dyDescent="0.35">
      <c r="V2937" s="1013"/>
      <c r="W2937" s="138"/>
      <c r="AQ2937" s="138"/>
    </row>
    <row r="2938" spans="22:43" x14ac:dyDescent="0.35">
      <c r="V2938" s="1013"/>
      <c r="W2938" s="138"/>
      <c r="AQ2938" s="138"/>
    </row>
    <row r="2939" spans="22:43" x14ac:dyDescent="0.35">
      <c r="V2939" s="1013"/>
      <c r="W2939" s="138"/>
      <c r="AQ2939" s="138"/>
    </row>
    <row r="2940" spans="22:43" x14ac:dyDescent="0.35">
      <c r="V2940" s="1013"/>
      <c r="W2940" s="138"/>
      <c r="AQ2940" s="138"/>
    </row>
    <row r="2941" spans="22:43" x14ac:dyDescent="0.35">
      <c r="V2941" s="1013"/>
      <c r="W2941" s="138"/>
      <c r="AQ2941" s="138"/>
    </row>
    <row r="2942" spans="22:43" x14ac:dyDescent="0.35">
      <c r="V2942" s="1013"/>
      <c r="W2942" s="138"/>
      <c r="AQ2942" s="138"/>
    </row>
    <row r="2943" spans="22:43" x14ac:dyDescent="0.35">
      <c r="V2943" s="1013"/>
      <c r="W2943" s="138"/>
      <c r="AQ2943" s="138"/>
    </row>
    <row r="2944" spans="22:43" x14ac:dyDescent="0.35">
      <c r="V2944" s="1013"/>
      <c r="W2944" s="138"/>
      <c r="AQ2944" s="138"/>
    </row>
    <row r="2945" spans="22:43" x14ac:dyDescent="0.35">
      <c r="V2945" s="1013"/>
      <c r="W2945" s="138"/>
      <c r="AQ2945" s="138"/>
    </row>
    <row r="2946" spans="22:43" x14ac:dyDescent="0.35">
      <c r="V2946" s="1013"/>
      <c r="W2946" s="138"/>
      <c r="AQ2946" s="138"/>
    </row>
    <row r="2947" spans="22:43" x14ac:dyDescent="0.35">
      <c r="V2947" s="1013"/>
      <c r="W2947" s="138"/>
      <c r="AQ2947" s="138"/>
    </row>
    <row r="2948" spans="22:43" x14ac:dyDescent="0.35">
      <c r="V2948" s="1013"/>
      <c r="W2948" s="138"/>
      <c r="AQ2948" s="138"/>
    </row>
    <row r="2949" spans="22:43" x14ac:dyDescent="0.35">
      <c r="V2949" s="1013"/>
      <c r="W2949" s="138"/>
      <c r="AQ2949" s="138"/>
    </row>
    <row r="2950" spans="22:43" x14ac:dyDescent="0.35">
      <c r="V2950" s="1013"/>
      <c r="W2950" s="138"/>
      <c r="AQ2950" s="138"/>
    </row>
    <row r="2951" spans="22:43" x14ac:dyDescent="0.35">
      <c r="V2951" s="1013"/>
      <c r="W2951" s="138"/>
      <c r="AQ2951" s="138"/>
    </row>
    <row r="2952" spans="22:43" x14ac:dyDescent="0.35">
      <c r="V2952" s="1013"/>
      <c r="W2952" s="138"/>
      <c r="AQ2952" s="138"/>
    </row>
    <row r="2953" spans="22:43" x14ac:dyDescent="0.35">
      <c r="V2953" s="1013"/>
      <c r="W2953" s="138"/>
      <c r="AQ2953" s="138"/>
    </row>
    <row r="2954" spans="22:43" x14ac:dyDescent="0.35">
      <c r="V2954" s="1013"/>
      <c r="W2954" s="138"/>
      <c r="AQ2954" s="138"/>
    </row>
    <row r="2955" spans="22:43" x14ac:dyDescent="0.35">
      <c r="V2955" s="1013"/>
      <c r="W2955" s="138"/>
      <c r="AQ2955" s="138"/>
    </row>
    <row r="2956" spans="22:43" x14ac:dyDescent="0.35">
      <c r="V2956" s="1013"/>
      <c r="W2956" s="138"/>
      <c r="AQ2956" s="138"/>
    </row>
    <row r="2957" spans="22:43" x14ac:dyDescent="0.35">
      <c r="V2957" s="1013"/>
      <c r="W2957" s="138"/>
      <c r="AQ2957" s="138"/>
    </row>
    <row r="2958" spans="22:43" x14ac:dyDescent="0.35">
      <c r="V2958" s="1013"/>
      <c r="W2958" s="138"/>
      <c r="AQ2958" s="138"/>
    </row>
    <row r="2959" spans="22:43" x14ac:dyDescent="0.35">
      <c r="V2959" s="1013"/>
      <c r="W2959" s="138"/>
      <c r="AQ2959" s="138"/>
    </row>
    <row r="2960" spans="22:43" x14ac:dyDescent="0.35">
      <c r="V2960" s="1013"/>
      <c r="W2960" s="138"/>
      <c r="AQ2960" s="138"/>
    </row>
    <row r="2961" spans="22:43" x14ac:dyDescent="0.35">
      <c r="V2961" s="1013"/>
      <c r="W2961" s="138"/>
      <c r="AQ2961" s="138"/>
    </row>
    <row r="2962" spans="22:43" x14ac:dyDescent="0.35">
      <c r="V2962" s="1013"/>
      <c r="W2962" s="138"/>
      <c r="AQ2962" s="138"/>
    </row>
    <row r="2963" spans="22:43" x14ac:dyDescent="0.35">
      <c r="V2963" s="1013"/>
      <c r="W2963" s="138"/>
      <c r="AQ2963" s="138"/>
    </row>
    <row r="2964" spans="22:43" x14ac:dyDescent="0.35">
      <c r="V2964" s="1013"/>
      <c r="W2964" s="138"/>
      <c r="AQ2964" s="138"/>
    </row>
    <row r="2965" spans="22:43" x14ac:dyDescent="0.35">
      <c r="V2965" s="1013"/>
      <c r="W2965" s="138"/>
      <c r="AQ2965" s="138"/>
    </row>
    <row r="2966" spans="22:43" x14ac:dyDescent="0.35">
      <c r="V2966" s="1013"/>
      <c r="W2966" s="138"/>
      <c r="AQ2966" s="138"/>
    </row>
    <row r="2967" spans="22:43" x14ac:dyDescent="0.35">
      <c r="V2967" s="1013"/>
      <c r="W2967" s="138"/>
      <c r="AQ2967" s="138"/>
    </row>
    <row r="2968" spans="22:43" x14ac:dyDescent="0.35">
      <c r="V2968" s="1013"/>
      <c r="W2968" s="138"/>
      <c r="AQ2968" s="138"/>
    </row>
    <row r="2969" spans="22:43" x14ac:dyDescent="0.35">
      <c r="V2969" s="1013"/>
      <c r="W2969" s="138"/>
      <c r="AQ2969" s="138"/>
    </row>
    <row r="2970" spans="22:43" x14ac:dyDescent="0.35">
      <c r="V2970" s="1013"/>
      <c r="W2970" s="138"/>
      <c r="AQ2970" s="138"/>
    </row>
    <row r="2971" spans="22:43" x14ac:dyDescent="0.35">
      <c r="V2971" s="1013"/>
      <c r="W2971" s="138"/>
      <c r="AQ2971" s="138"/>
    </row>
    <row r="2972" spans="22:43" x14ac:dyDescent="0.35">
      <c r="V2972" s="1013"/>
      <c r="W2972" s="138"/>
      <c r="AQ2972" s="138"/>
    </row>
    <row r="2973" spans="22:43" x14ac:dyDescent="0.35">
      <c r="V2973" s="1013"/>
      <c r="W2973" s="138"/>
      <c r="AQ2973" s="138"/>
    </row>
    <row r="2974" spans="22:43" x14ac:dyDescent="0.35">
      <c r="V2974" s="1013"/>
      <c r="W2974" s="138"/>
      <c r="AQ2974" s="138"/>
    </row>
    <row r="2975" spans="22:43" x14ac:dyDescent="0.35">
      <c r="V2975" s="1013"/>
      <c r="W2975" s="138"/>
      <c r="AQ2975" s="138"/>
    </row>
    <row r="2976" spans="22:43" x14ac:dyDescent="0.35">
      <c r="V2976" s="1013"/>
      <c r="W2976" s="138"/>
      <c r="AQ2976" s="138"/>
    </row>
    <row r="2977" spans="22:43" x14ac:dyDescent="0.35">
      <c r="V2977" s="1013"/>
      <c r="W2977" s="138"/>
      <c r="AQ2977" s="138"/>
    </row>
    <row r="2978" spans="22:43" x14ac:dyDescent="0.35">
      <c r="V2978" s="1013"/>
      <c r="W2978" s="138"/>
      <c r="AQ2978" s="138"/>
    </row>
    <row r="2979" spans="22:43" x14ac:dyDescent="0.35">
      <c r="V2979" s="1013"/>
      <c r="W2979" s="138"/>
      <c r="AQ2979" s="138"/>
    </row>
    <row r="2980" spans="22:43" x14ac:dyDescent="0.35">
      <c r="V2980" s="1013"/>
      <c r="W2980" s="138"/>
      <c r="AQ2980" s="138"/>
    </row>
    <row r="2981" spans="22:43" x14ac:dyDescent="0.35">
      <c r="V2981" s="1013"/>
      <c r="W2981" s="138"/>
      <c r="AQ2981" s="138"/>
    </row>
    <row r="2982" spans="22:43" x14ac:dyDescent="0.35">
      <c r="V2982" s="1013"/>
      <c r="W2982" s="138"/>
      <c r="AQ2982" s="138"/>
    </row>
    <row r="2983" spans="22:43" x14ac:dyDescent="0.35">
      <c r="V2983" s="1013"/>
      <c r="W2983" s="138"/>
      <c r="AQ2983" s="138"/>
    </row>
    <row r="2984" spans="22:43" x14ac:dyDescent="0.35">
      <c r="V2984" s="1013"/>
      <c r="W2984" s="138"/>
      <c r="AQ2984" s="138"/>
    </row>
    <row r="2985" spans="22:43" x14ac:dyDescent="0.35">
      <c r="V2985" s="1013"/>
      <c r="W2985" s="138"/>
      <c r="AQ2985" s="138"/>
    </row>
    <row r="2986" spans="22:43" x14ac:dyDescent="0.35">
      <c r="V2986" s="1013"/>
      <c r="W2986" s="138"/>
      <c r="AQ2986" s="138"/>
    </row>
    <row r="2987" spans="22:43" x14ac:dyDescent="0.35">
      <c r="V2987" s="1013"/>
      <c r="W2987" s="138"/>
      <c r="AQ2987" s="138"/>
    </row>
    <row r="2988" spans="22:43" x14ac:dyDescent="0.35">
      <c r="V2988" s="1013"/>
      <c r="W2988" s="138"/>
      <c r="AQ2988" s="138"/>
    </row>
    <row r="2989" spans="22:43" x14ac:dyDescent="0.35">
      <c r="V2989" s="1013"/>
      <c r="W2989" s="138"/>
      <c r="AQ2989" s="138"/>
    </row>
    <row r="2990" spans="22:43" x14ac:dyDescent="0.35">
      <c r="V2990" s="1013"/>
      <c r="W2990" s="138"/>
      <c r="AQ2990" s="138"/>
    </row>
    <row r="2991" spans="22:43" x14ac:dyDescent="0.35">
      <c r="V2991" s="1013"/>
      <c r="W2991" s="138"/>
      <c r="AQ2991" s="138"/>
    </row>
    <row r="2992" spans="22:43" x14ac:dyDescent="0.35">
      <c r="V2992" s="1013"/>
      <c r="W2992" s="138"/>
      <c r="AQ2992" s="138"/>
    </row>
    <row r="2993" spans="22:43" x14ac:dyDescent="0.35">
      <c r="V2993" s="1013"/>
      <c r="W2993" s="138"/>
      <c r="AQ2993" s="138"/>
    </row>
    <row r="2994" spans="22:43" x14ac:dyDescent="0.35">
      <c r="V2994" s="1013"/>
      <c r="W2994" s="138"/>
      <c r="AQ2994" s="138"/>
    </row>
    <row r="2995" spans="22:43" x14ac:dyDescent="0.35">
      <c r="V2995" s="1013"/>
      <c r="W2995" s="138"/>
      <c r="AQ2995" s="138"/>
    </row>
    <row r="2996" spans="22:43" x14ac:dyDescent="0.35">
      <c r="V2996" s="1013"/>
      <c r="W2996" s="138"/>
      <c r="AQ2996" s="138"/>
    </row>
    <row r="2997" spans="22:43" x14ac:dyDescent="0.35">
      <c r="V2997" s="1013"/>
      <c r="W2997" s="138"/>
      <c r="AQ2997" s="138"/>
    </row>
    <row r="2998" spans="22:43" x14ac:dyDescent="0.35">
      <c r="V2998" s="1013"/>
      <c r="W2998" s="138"/>
      <c r="AQ2998" s="138"/>
    </row>
    <row r="2999" spans="22:43" x14ac:dyDescent="0.35">
      <c r="V2999" s="1013"/>
      <c r="W2999" s="138"/>
      <c r="AQ2999" s="138"/>
    </row>
    <row r="3000" spans="22:43" x14ac:dyDescent="0.35">
      <c r="V3000" s="1013"/>
      <c r="W3000" s="138"/>
      <c r="AQ3000" s="138"/>
    </row>
    <row r="3001" spans="22:43" x14ac:dyDescent="0.35">
      <c r="V3001" s="1013"/>
      <c r="W3001" s="138"/>
      <c r="AQ3001" s="138"/>
    </row>
    <row r="3002" spans="22:43" x14ac:dyDescent="0.35">
      <c r="V3002" s="1013"/>
      <c r="W3002" s="138"/>
      <c r="AQ3002" s="138"/>
    </row>
    <row r="3003" spans="22:43" x14ac:dyDescent="0.35">
      <c r="V3003" s="1013"/>
      <c r="W3003" s="138"/>
      <c r="AQ3003" s="138"/>
    </row>
    <row r="3004" spans="22:43" x14ac:dyDescent="0.35">
      <c r="V3004" s="1013"/>
      <c r="W3004" s="138"/>
      <c r="AQ3004" s="138"/>
    </row>
    <row r="3005" spans="22:43" x14ac:dyDescent="0.35">
      <c r="V3005" s="1013"/>
      <c r="W3005" s="138"/>
      <c r="AQ3005" s="138"/>
    </row>
    <row r="3006" spans="22:43" x14ac:dyDescent="0.35">
      <c r="V3006" s="1013"/>
      <c r="W3006" s="138"/>
      <c r="AQ3006" s="138"/>
    </row>
    <row r="3007" spans="22:43" x14ac:dyDescent="0.35">
      <c r="V3007" s="1013"/>
      <c r="W3007" s="138"/>
      <c r="AQ3007" s="138"/>
    </row>
    <row r="3008" spans="22:43" x14ac:dyDescent="0.35">
      <c r="V3008" s="1013"/>
      <c r="W3008" s="138"/>
      <c r="AQ3008" s="138"/>
    </row>
    <row r="3009" spans="22:43" x14ac:dyDescent="0.35">
      <c r="V3009" s="1013"/>
      <c r="W3009" s="138"/>
      <c r="AQ3009" s="138"/>
    </row>
    <row r="3010" spans="22:43" x14ac:dyDescent="0.35">
      <c r="V3010" s="1013"/>
      <c r="W3010" s="138"/>
      <c r="AQ3010" s="138"/>
    </row>
    <row r="3011" spans="22:43" x14ac:dyDescent="0.35">
      <c r="V3011" s="1013"/>
      <c r="W3011" s="138"/>
      <c r="AQ3011" s="138"/>
    </row>
    <row r="3012" spans="22:43" x14ac:dyDescent="0.35">
      <c r="V3012" s="1013"/>
      <c r="W3012" s="138"/>
      <c r="AQ3012" s="138"/>
    </row>
    <row r="3013" spans="22:43" x14ac:dyDescent="0.35">
      <c r="V3013" s="1013"/>
      <c r="W3013" s="138"/>
      <c r="AQ3013" s="138"/>
    </row>
    <row r="3014" spans="22:43" x14ac:dyDescent="0.35">
      <c r="V3014" s="1013"/>
      <c r="W3014" s="138"/>
      <c r="AQ3014" s="138"/>
    </row>
    <row r="3015" spans="22:43" x14ac:dyDescent="0.35">
      <c r="V3015" s="1013"/>
      <c r="W3015" s="138"/>
      <c r="AQ3015" s="138"/>
    </row>
    <row r="3016" spans="22:43" x14ac:dyDescent="0.35">
      <c r="V3016" s="1013"/>
      <c r="W3016" s="138"/>
      <c r="AQ3016" s="138"/>
    </row>
    <row r="3017" spans="22:43" x14ac:dyDescent="0.35">
      <c r="V3017" s="1013"/>
      <c r="W3017" s="138"/>
      <c r="AQ3017" s="138"/>
    </row>
    <row r="3018" spans="22:43" x14ac:dyDescent="0.35">
      <c r="V3018" s="1013"/>
      <c r="W3018" s="138"/>
      <c r="AQ3018" s="138"/>
    </row>
    <row r="3019" spans="22:43" x14ac:dyDescent="0.35">
      <c r="V3019" s="1013"/>
      <c r="W3019" s="138"/>
      <c r="AQ3019" s="138"/>
    </row>
    <row r="3020" spans="22:43" x14ac:dyDescent="0.35">
      <c r="V3020" s="1013"/>
      <c r="W3020" s="138"/>
      <c r="AQ3020" s="138"/>
    </row>
    <row r="3021" spans="22:43" x14ac:dyDescent="0.35">
      <c r="V3021" s="1013"/>
      <c r="W3021" s="138"/>
      <c r="AQ3021" s="138"/>
    </row>
    <row r="3022" spans="22:43" x14ac:dyDescent="0.35">
      <c r="V3022" s="1013"/>
      <c r="W3022" s="138"/>
      <c r="AQ3022" s="138"/>
    </row>
    <row r="3023" spans="22:43" x14ac:dyDescent="0.35">
      <c r="V3023" s="1013"/>
      <c r="W3023" s="138"/>
      <c r="AQ3023" s="138"/>
    </row>
    <row r="3024" spans="22:43" x14ac:dyDescent="0.35">
      <c r="V3024" s="1013"/>
      <c r="W3024" s="138"/>
      <c r="AQ3024" s="138"/>
    </row>
    <row r="3025" spans="22:43" x14ac:dyDescent="0.35">
      <c r="V3025" s="1013"/>
      <c r="W3025" s="138"/>
      <c r="AQ3025" s="138"/>
    </row>
    <row r="3026" spans="22:43" x14ac:dyDescent="0.35">
      <c r="V3026" s="1013"/>
      <c r="W3026" s="138"/>
      <c r="AQ3026" s="138"/>
    </row>
    <row r="3027" spans="22:43" x14ac:dyDescent="0.35">
      <c r="V3027" s="1013"/>
      <c r="W3027" s="138"/>
      <c r="AQ3027" s="138"/>
    </row>
    <row r="3028" spans="22:43" x14ac:dyDescent="0.35">
      <c r="V3028" s="1013"/>
      <c r="W3028" s="138"/>
      <c r="AQ3028" s="138"/>
    </row>
    <row r="3029" spans="22:43" x14ac:dyDescent="0.35">
      <c r="V3029" s="1013"/>
      <c r="W3029" s="138"/>
      <c r="AQ3029" s="138"/>
    </row>
    <row r="3030" spans="22:43" x14ac:dyDescent="0.35">
      <c r="V3030" s="1013"/>
      <c r="W3030" s="138"/>
      <c r="AQ3030" s="138"/>
    </row>
    <row r="3031" spans="22:43" x14ac:dyDescent="0.35">
      <c r="V3031" s="1013"/>
      <c r="W3031" s="138"/>
      <c r="AQ3031" s="138"/>
    </row>
    <row r="3032" spans="22:43" x14ac:dyDescent="0.35">
      <c r="V3032" s="1013"/>
      <c r="W3032" s="138"/>
      <c r="AQ3032" s="138"/>
    </row>
    <row r="3033" spans="22:43" x14ac:dyDescent="0.35">
      <c r="V3033" s="1013"/>
      <c r="W3033" s="138"/>
      <c r="AQ3033" s="138"/>
    </row>
    <row r="3034" spans="22:43" x14ac:dyDescent="0.35">
      <c r="V3034" s="1013"/>
      <c r="W3034" s="138"/>
      <c r="AQ3034" s="138"/>
    </row>
    <row r="3035" spans="22:43" x14ac:dyDescent="0.35">
      <c r="V3035" s="1013"/>
      <c r="W3035" s="138"/>
      <c r="AQ3035" s="138"/>
    </row>
    <row r="3036" spans="22:43" x14ac:dyDescent="0.35">
      <c r="V3036" s="1013"/>
      <c r="W3036" s="138"/>
      <c r="AQ3036" s="138"/>
    </row>
    <row r="3037" spans="22:43" x14ac:dyDescent="0.35">
      <c r="V3037" s="1013"/>
      <c r="W3037" s="138"/>
      <c r="AQ3037" s="138"/>
    </row>
    <row r="3038" spans="22:43" x14ac:dyDescent="0.35">
      <c r="V3038" s="1013"/>
      <c r="W3038" s="138"/>
      <c r="AQ3038" s="138"/>
    </row>
    <row r="3039" spans="22:43" x14ac:dyDescent="0.35">
      <c r="V3039" s="1013"/>
      <c r="W3039" s="138"/>
      <c r="AQ3039" s="138"/>
    </row>
    <row r="3040" spans="22:43" x14ac:dyDescent="0.35">
      <c r="V3040" s="1013"/>
      <c r="W3040" s="138"/>
      <c r="AQ3040" s="138"/>
    </row>
    <row r="3041" spans="22:43" x14ac:dyDescent="0.35">
      <c r="V3041" s="1013"/>
      <c r="W3041" s="138"/>
      <c r="AQ3041" s="138"/>
    </row>
    <row r="3042" spans="22:43" x14ac:dyDescent="0.35">
      <c r="V3042" s="1013"/>
      <c r="W3042" s="138"/>
      <c r="AQ3042" s="138"/>
    </row>
    <row r="3043" spans="22:43" x14ac:dyDescent="0.35">
      <c r="V3043" s="1013"/>
      <c r="W3043" s="138"/>
      <c r="AQ3043" s="138"/>
    </row>
    <row r="3044" spans="22:43" x14ac:dyDescent="0.35">
      <c r="V3044" s="1013"/>
      <c r="W3044" s="138"/>
      <c r="AQ3044" s="138"/>
    </row>
    <row r="3045" spans="22:43" x14ac:dyDescent="0.35">
      <c r="V3045" s="1013"/>
      <c r="W3045" s="138"/>
      <c r="AQ3045" s="138"/>
    </row>
    <row r="3046" spans="22:43" x14ac:dyDescent="0.35">
      <c r="V3046" s="1013"/>
      <c r="W3046" s="138"/>
      <c r="AQ3046" s="138"/>
    </row>
    <row r="3047" spans="22:43" x14ac:dyDescent="0.35">
      <c r="V3047" s="1013"/>
      <c r="W3047" s="138"/>
      <c r="AQ3047" s="138"/>
    </row>
    <row r="3048" spans="22:43" x14ac:dyDescent="0.35">
      <c r="V3048" s="1013"/>
      <c r="W3048" s="138"/>
      <c r="AQ3048" s="138"/>
    </row>
    <row r="3049" spans="22:43" x14ac:dyDescent="0.35">
      <c r="V3049" s="1013"/>
      <c r="W3049" s="138"/>
      <c r="AQ3049" s="138"/>
    </row>
    <row r="3050" spans="22:43" x14ac:dyDescent="0.35">
      <c r="V3050" s="1013"/>
      <c r="W3050" s="138"/>
      <c r="AQ3050" s="138"/>
    </row>
    <row r="3051" spans="22:43" x14ac:dyDescent="0.35">
      <c r="V3051" s="1013"/>
      <c r="W3051" s="138"/>
      <c r="AQ3051" s="138"/>
    </row>
    <row r="3052" spans="22:43" x14ac:dyDescent="0.35">
      <c r="V3052" s="1013"/>
      <c r="W3052" s="138"/>
      <c r="AQ3052" s="138"/>
    </row>
    <row r="3053" spans="22:43" x14ac:dyDescent="0.35">
      <c r="V3053" s="1013"/>
      <c r="W3053" s="138"/>
      <c r="AQ3053" s="138"/>
    </row>
    <row r="3054" spans="22:43" x14ac:dyDescent="0.35">
      <c r="V3054" s="1013"/>
      <c r="W3054" s="138"/>
      <c r="AQ3054" s="138"/>
    </row>
    <row r="3055" spans="22:43" x14ac:dyDescent="0.35">
      <c r="V3055" s="1013"/>
      <c r="W3055" s="138"/>
      <c r="AQ3055" s="138"/>
    </row>
    <row r="3056" spans="22:43" x14ac:dyDescent="0.35">
      <c r="V3056" s="1013"/>
      <c r="W3056" s="138"/>
      <c r="AQ3056" s="138"/>
    </row>
    <row r="3057" spans="22:43" x14ac:dyDescent="0.35">
      <c r="V3057" s="1013"/>
      <c r="W3057" s="138"/>
      <c r="AQ3057" s="138"/>
    </row>
    <row r="3058" spans="22:43" x14ac:dyDescent="0.35">
      <c r="V3058" s="1013"/>
      <c r="W3058" s="138"/>
      <c r="AQ3058" s="138"/>
    </row>
    <row r="3059" spans="22:43" x14ac:dyDescent="0.35">
      <c r="V3059" s="1013"/>
      <c r="W3059" s="138"/>
      <c r="AQ3059" s="138"/>
    </row>
    <row r="3060" spans="22:43" x14ac:dyDescent="0.35">
      <c r="V3060" s="1013"/>
      <c r="W3060" s="138"/>
      <c r="AQ3060" s="138"/>
    </row>
    <row r="3061" spans="22:43" x14ac:dyDescent="0.35">
      <c r="V3061" s="1013"/>
      <c r="W3061" s="138"/>
      <c r="AQ3061" s="138"/>
    </row>
    <row r="3062" spans="22:43" x14ac:dyDescent="0.35">
      <c r="V3062" s="1013"/>
      <c r="W3062" s="138"/>
      <c r="AQ3062" s="138"/>
    </row>
    <row r="3063" spans="22:43" x14ac:dyDescent="0.35">
      <c r="V3063" s="1013"/>
      <c r="W3063" s="138"/>
      <c r="AQ3063" s="138"/>
    </row>
    <row r="3064" spans="22:43" x14ac:dyDescent="0.35">
      <c r="V3064" s="1013"/>
      <c r="W3064" s="138"/>
      <c r="AQ3064" s="138"/>
    </row>
    <row r="3065" spans="22:43" x14ac:dyDescent="0.35">
      <c r="V3065" s="1013"/>
      <c r="W3065" s="138"/>
      <c r="AQ3065" s="138"/>
    </row>
    <row r="3066" spans="22:43" x14ac:dyDescent="0.35">
      <c r="V3066" s="1013"/>
      <c r="W3066" s="138"/>
      <c r="AQ3066" s="138"/>
    </row>
    <row r="3067" spans="22:43" x14ac:dyDescent="0.35">
      <c r="V3067" s="1013"/>
      <c r="W3067" s="138"/>
      <c r="AQ3067" s="138"/>
    </row>
    <row r="3068" spans="22:43" x14ac:dyDescent="0.35">
      <c r="V3068" s="1013"/>
      <c r="W3068" s="138"/>
      <c r="AQ3068" s="138"/>
    </row>
    <row r="3069" spans="22:43" x14ac:dyDescent="0.35">
      <c r="V3069" s="1013"/>
      <c r="W3069" s="138"/>
      <c r="AQ3069" s="138"/>
    </row>
    <row r="3070" spans="22:43" x14ac:dyDescent="0.35">
      <c r="V3070" s="1013"/>
      <c r="W3070" s="138"/>
      <c r="AQ3070" s="138"/>
    </row>
    <row r="3071" spans="22:43" x14ac:dyDescent="0.35">
      <c r="V3071" s="1013"/>
      <c r="W3071" s="138"/>
      <c r="AQ3071" s="138"/>
    </row>
    <row r="3072" spans="22:43" x14ac:dyDescent="0.35">
      <c r="V3072" s="1013"/>
      <c r="W3072" s="138"/>
      <c r="AQ3072" s="138"/>
    </row>
    <row r="3073" spans="22:43" x14ac:dyDescent="0.35">
      <c r="V3073" s="1013"/>
      <c r="W3073" s="138"/>
      <c r="AQ3073" s="138"/>
    </row>
    <row r="3074" spans="22:43" x14ac:dyDescent="0.35">
      <c r="V3074" s="1013"/>
      <c r="W3074" s="138"/>
      <c r="AQ3074" s="138"/>
    </row>
    <row r="3075" spans="22:43" x14ac:dyDescent="0.35">
      <c r="V3075" s="1013"/>
      <c r="W3075" s="138"/>
      <c r="AQ3075" s="138"/>
    </row>
    <row r="3076" spans="22:43" x14ac:dyDescent="0.35">
      <c r="V3076" s="1013"/>
      <c r="W3076" s="138"/>
      <c r="AQ3076" s="138"/>
    </row>
    <row r="3077" spans="22:43" x14ac:dyDescent="0.35">
      <c r="V3077" s="1013"/>
      <c r="W3077" s="138"/>
      <c r="AQ3077" s="138"/>
    </row>
    <row r="3078" spans="22:43" x14ac:dyDescent="0.35">
      <c r="V3078" s="1013"/>
      <c r="W3078" s="138"/>
      <c r="AQ3078" s="138"/>
    </row>
    <row r="3079" spans="22:43" x14ac:dyDescent="0.35">
      <c r="V3079" s="1013"/>
      <c r="W3079" s="138"/>
      <c r="AQ3079" s="138"/>
    </row>
    <row r="3080" spans="22:43" x14ac:dyDescent="0.35">
      <c r="V3080" s="1013"/>
      <c r="W3080" s="138"/>
      <c r="AQ3080" s="138"/>
    </row>
    <row r="3081" spans="22:43" x14ac:dyDescent="0.35">
      <c r="V3081" s="1013"/>
      <c r="W3081" s="138"/>
      <c r="AQ3081" s="138"/>
    </row>
    <row r="3082" spans="22:43" x14ac:dyDescent="0.35">
      <c r="V3082" s="1013"/>
      <c r="W3082" s="138"/>
      <c r="AQ3082" s="138"/>
    </row>
    <row r="3083" spans="22:43" x14ac:dyDescent="0.35">
      <c r="V3083" s="1013"/>
      <c r="W3083" s="138"/>
      <c r="AQ3083" s="138"/>
    </row>
    <row r="3084" spans="22:43" x14ac:dyDescent="0.35">
      <c r="V3084" s="1013"/>
      <c r="W3084" s="138"/>
      <c r="AQ3084" s="138"/>
    </row>
    <row r="3085" spans="22:43" x14ac:dyDescent="0.35">
      <c r="V3085" s="1013"/>
      <c r="W3085" s="138"/>
      <c r="AQ3085" s="138"/>
    </row>
    <row r="3086" spans="22:43" x14ac:dyDescent="0.35">
      <c r="V3086" s="1013"/>
      <c r="W3086" s="138"/>
      <c r="AQ3086" s="138"/>
    </row>
    <row r="3087" spans="22:43" x14ac:dyDescent="0.35">
      <c r="V3087" s="1013"/>
      <c r="W3087" s="138"/>
      <c r="AQ3087" s="138"/>
    </row>
    <row r="3088" spans="22:43" x14ac:dyDescent="0.35">
      <c r="V3088" s="1013"/>
      <c r="W3088" s="138"/>
      <c r="AQ3088" s="138"/>
    </row>
    <row r="3089" spans="22:43" x14ac:dyDescent="0.35">
      <c r="V3089" s="1013"/>
      <c r="W3089" s="138"/>
      <c r="AQ3089" s="138"/>
    </row>
    <row r="3090" spans="22:43" x14ac:dyDescent="0.35">
      <c r="V3090" s="1013"/>
      <c r="W3090" s="138"/>
      <c r="AQ3090" s="138"/>
    </row>
    <row r="3091" spans="22:43" x14ac:dyDescent="0.35">
      <c r="V3091" s="1013"/>
      <c r="W3091" s="138"/>
      <c r="AQ3091" s="138"/>
    </row>
    <row r="3092" spans="22:43" x14ac:dyDescent="0.35">
      <c r="V3092" s="1013"/>
      <c r="W3092" s="138"/>
      <c r="AQ3092" s="138"/>
    </row>
    <row r="3093" spans="22:43" x14ac:dyDescent="0.35">
      <c r="V3093" s="1013"/>
      <c r="W3093" s="138"/>
      <c r="AQ3093" s="138"/>
    </row>
    <row r="3094" spans="22:43" x14ac:dyDescent="0.35">
      <c r="V3094" s="1013"/>
      <c r="W3094" s="138"/>
      <c r="AQ3094" s="138"/>
    </row>
    <row r="3095" spans="22:43" x14ac:dyDescent="0.35">
      <c r="V3095" s="1013"/>
      <c r="W3095" s="138"/>
      <c r="AQ3095" s="138"/>
    </row>
    <row r="3096" spans="22:43" x14ac:dyDescent="0.35">
      <c r="V3096" s="1013"/>
      <c r="W3096" s="138"/>
      <c r="AQ3096" s="138"/>
    </row>
    <row r="3097" spans="22:43" x14ac:dyDescent="0.35">
      <c r="V3097" s="1013"/>
      <c r="W3097" s="138"/>
      <c r="AQ3097" s="138"/>
    </row>
    <row r="3098" spans="22:43" x14ac:dyDescent="0.35">
      <c r="V3098" s="1013"/>
      <c r="W3098" s="138"/>
      <c r="AQ3098" s="138"/>
    </row>
    <row r="3099" spans="22:43" x14ac:dyDescent="0.35">
      <c r="V3099" s="1013"/>
      <c r="W3099" s="138"/>
      <c r="AQ3099" s="138"/>
    </row>
    <row r="3100" spans="22:43" x14ac:dyDescent="0.35">
      <c r="V3100" s="1013"/>
      <c r="W3100" s="138"/>
      <c r="AQ3100" s="138"/>
    </row>
    <row r="3101" spans="22:43" x14ac:dyDescent="0.35">
      <c r="V3101" s="1013"/>
      <c r="W3101" s="138"/>
      <c r="AQ3101" s="138"/>
    </row>
    <row r="3102" spans="22:43" x14ac:dyDescent="0.35">
      <c r="V3102" s="1013"/>
      <c r="W3102" s="138"/>
      <c r="AQ3102" s="138"/>
    </row>
    <row r="3103" spans="22:43" x14ac:dyDescent="0.35">
      <c r="V3103" s="1013"/>
      <c r="W3103" s="138"/>
      <c r="AQ3103" s="138"/>
    </row>
    <row r="3104" spans="22:43" x14ac:dyDescent="0.35">
      <c r="V3104" s="1013"/>
      <c r="W3104" s="138"/>
      <c r="AQ3104" s="138"/>
    </row>
    <row r="3105" spans="22:43" x14ac:dyDescent="0.35">
      <c r="V3105" s="1013"/>
      <c r="W3105" s="138"/>
      <c r="AQ3105" s="138"/>
    </row>
    <row r="3106" spans="22:43" x14ac:dyDescent="0.35">
      <c r="V3106" s="1013"/>
      <c r="W3106" s="138"/>
      <c r="AQ3106" s="138"/>
    </row>
    <row r="3107" spans="22:43" x14ac:dyDescent="0.35">
      <c r="V3107" s="1013"/>
      <c r="W3107" s="138"/>
      <c r="AQ3107" s="138"/>
    </row>
    <row r="3108" spans="22:43" x14ac:dyDescent="0.35">
      <c r="V3108" s="1013"/>
      <c r="W3108" s="138"/>
      <c r="AQ3108" s="138"/>
    </row>
    <row r="3109" spans="22:43" x14ac:dyDescent="0.35">
      <c r="V3109" s="1013"/>
      <c r="W3109" s="138"/>
      <c r="AQ3109" s="138"/>
    </row>
    <row r="3110" spans="22:43" x14ac:dyDescent="0.35">
      <c r="V3110" s="1013"/>
      <c r="W3110" s="138"/>
      <c r="AQ3110" s="138"/>
    </row>
    <row r="3111" spans="22:43" x14ac:dyDescent="0.35">
      <c r="V3111" s="1013"/>
      <c r="W3111" s="138"/>
      <c r="AQ3111" s="138"/>
    </row>
    <row r="3112" spans="22:43" x14ac:dyDescent="0.35">
      <c r="V3112" s="1013"/>
      <c r="W3112" s="138"/>
      <c r="AQ3112" s="138"/>
    </row>
    <row r="3113" spans="22:43" x14ac:dyDescent="0.35">
      <c r="V3113" s="1013"/>
      <c r="W3113" s="138"/>
      <c r="AQ3113" s="138"/>
    </row>
    <row r="3114" spans="22:43" x14ac:dyDescent="0.35">
      <c r="V3114" s="1013"/>
      <c r="W3114" s="138"/>
      <c r="AQ3114" s="138"/>
    </row>
    <row r="3115" spans="22:43" x14ac:dyDescent="0.35">
      <c r="V3115" s="1013"/>
      <c r="W3115" s="138"/>
      <c r="AQ3115" s="138"/>
    </row>
    <row r="3116" spans="22:43" x14ac:dyDescent="0.35">
      <c r="V3116" s="1013"/>
      <c r="W3116" s="138"/>
      <c r="AQ3116" s="138"/>
    </row>
    <row r="3117" spans="22:43" x14ac:dyDescent="0.35">
      <c r="V3117" s="1013"/>
      <c r="W3117" s="138"/>
      <c r="AQ3117" s="138"/>
    </row>
    <row r="3118" spans="22:43" x14ac:dyDescent="0.35">
      <c r="V3118" s="1013"/>
      <c r="W3118" s="138"/>
      <c r="AQ3118" s="138"/>
    </row>
    <row r="3119" spans="22:43" x14ac:dyDescent="0.35">
      <c r="V3119" s="1013"/>
      <c r="W3119" s="138"/>
      <c r="AQ3119" s="138"/>
    </row>
    <row r="3120" spans="22:43" x14ac:dyDescent="0.35">
      <c r="V3120" s="1013"/>
      <c r="W3120" s="138"/>
      <c r="AQ3120" s="138"/>
    </row>
    <row r="3121" spans="22:43" x14ac:dyDescent="0.35">
      <c r="V3121" s="1013"/>
      <c r="W3121" s="138"/>
      <c r="AQ3121" s="138"/>
    </row>
    <row r="3122" spans="22:43" x14ac:dyDescent="0.35">
      <c r="V3122" s="1013"/>
      <c r="W3122" s="138"/>
      <c r="AQ3122" s="138"/>
    </row>
    <row r="3123" spans="22:43" x14ac:dyDescent="0.35">
      <c r="V3123" s="1013"/>
      <c r="W3123" s="138"/>
      <c r="AQ3123" s="138"/>
    </row>
    <row r="3124" spans="22:43" x14ac:dyDescent="0.35">
      <c r="V3124" s="1013"/>
      <c r="W3124" s="138"/>
      <c r="AQ3124" s="138"/>
    </row>
    <row r="3125" spans="22:43" x14ac:dyDescent="0.35">
      <c r="V3125" s="1013"/>
      <c r="W3125" s="138"/>
      <c r="AQ3125" s="138"/>
    </row>
    <row r="3126" spans="22:43" x14ac:dyDescent="0.35">
      <c r="V3126" s="1013"/>
      <c r="W3126" s="138"/>
      <c r="AQ3126" s="138"/>
    </row>
    <row r="3127" spans="22:43" x14ac:dyDescent="0.35">
      <c r="V3127" s="1013"/>
      <c r="W3127" s="138"/>
      <c r="AQ3127" s="138"/>
    </row>
    <row r="3128" spans="22:43" x14ac:dyDescent="0.35">
      <c r="V3128" s="1013"/>
      <c r="W3128" s="138"/>
      <c r="AQ3128" s="138"/>
    </row>
    <row r="3129" spans="22:43" x14ac:dyDescent="0.35">
      <c r="V3129" s="1013"/>
      <c r="W3129" s="138"/>
      <c r="AQ3129" s="138"/>
    </row>
    <row r="3130" spans="22:43" x14ac:dyDescent="0.35">
      <c r="V3130" s="1013"/>
      <c r="W3130" s="138"/>
      <c r="AQ3130" s="138"/>
    </row>
    <row r="3131" spans="22:43" x14ac:dyDescent="0.35">
      <c r="V3131" s="1013"/>
      <c r="W3131" s="138"/>
      <c r="AQ3131" s="138"/>
    </row>
    <row r="3132" spans="22:43" x14ac:dyDescent="0.35">
      <c r="V3132" s="1013"/>
      <c r="W3132" s="138"/>
      <c r="AQ3132" s="138"/>
    </row>
    <row r="3133" spans="22:43" x14ac:dyDescent="0.35">
      <c r="V3133" s="1013"/>
      <c r="W3133" s="138"/>
      <c r="AQ3133" s="138"/>
    </row>
    <row r="3134" spans="22:43" x14ac:dyDescent="0.35">
      <c r="V3134" s="1013"/>
      <c r="W3134" s="138"/>
      <c r="AQ3134" s="138"/>
    </row>
    <row r="3135" spans="22:43" x14ac:dyDescent="0.35">
      <c r="V3135" s="1013"/>
      <c r="W3135" s="138"/>
      <c r="AQ3135" s="138"/>
    </row>
    <row r="3136" spans="22:43" x14ac:dyDescent="0.35">
      <c r="V3136" s="1013"/>
      <c r="W3136" s="138"/>
      <c r="AQ3136" s="138"/>
    </row>
    <row r="3137" spans="22:43" x14ac:dyDescent="0.35">
      <c r="V3137" s="1013"/>
      <c r="W3137" s="138"/>
      <c r="AQ3137" s="138"/>
    </row>
    <row r="3138" spans="22:43" x14ac:dyDescent="0.35">
      <c r="V3138" s="1013"/>
      <c r="W3138" s="138"/>
      <c r="AQ3138" s="138"/>
    </row>
    <row r="3139" spans="22:43" x14ac:dyDescent="0.35">
      <c r="V3139" s="1013"/>
      <c r="W3139" s="138"/>
      <c r="AQ3139" s="138"/>
    </row>
    <row r="3140" spans="22:43" x14ac:dyDescent="0.35">
      <c r="V3140" s="1013"/>
      <c r="W3140" s="138"/>
      <c r="AQ3140" s="138"/>
    </row>
    <row r="3141" spans="22:43" x14ac:dyDescent="0.35">
      <c r="V3141" s="1013"/>
      <c r="W3141" s="138"/>
      <c r="AQ3141" s="138"/>
    </row>
    <row r="3142" spans="22:43" x14ac:dyDescent="0.35">
      <c r="V3142" s="1013"/>
      <c r="W3142" s="138"/>
      <c r="AQ3142" s="138"/>
    </row>
    <row r="3143" spans="22:43" x14ac:dyDescent="0.35">
      <c r="V3143" s="1013"/>
      <c r="W3143" s="138"/>
      <c r="AQ3143" s="138"/>
    </row>
    <row r="3144" spans="22:43" x14ac:dyDescent="0.35">
      <c r="V3144" s="1013"/>
      <c r="W3144" s="138"/>
      <c r="AQ3144" s="138"/>
    </row>
    <row r="3145" spans="22:43" x14ac:dyDescent="0.35">
      <c r="V3145" s="1013"/>
      <c r="W3145" s="138"/>
      <c r="AQ3145" s="138"/>
    </row>
    <row r="3146" spans="22:43" x14ac:dyDescent="0.35">
      <c r="V3146" s="1013"/>
      <c r="W3146" s="138"/>
      <c r="AQ3146" s="138"/>
    </row>
    <row r="3147" spans="22:43" x14ac:dyDescent="0.35">
      <c r="V3147" s="1013"/>
      <c r="W3147" s="138"/>
      <c r="AQ3147" s="138"/>
    </row>
    <row r="3148" spans="22:43" x14ac:dyDescent="0.35">
      <c r="V3148" s="1013"/>
      <c r="W3148" s="138"/>
      <c r="AQ3148" s="138"/>
    </row>
    <row r="3149" spans="22:43" x14ac:dyDescent="0.35">
      <c r="V3149" s="1013"/>
      <c r="W3149" s="138"/>
      <c r="AQ3149" s="138"/>
    </row>
    <row r="3150" spans="22:43" x14ac:dyDescent="0.35">
      <c r="V3150" s="1013"/>
      <c r="W3150" s="138"/>
      <c r="AQ3150" s="138"/>
    </row>
    <row r="3151" spans="22:43" x14ac:dyDescent="0.35">
      <c r="V3151" s="1013"/>
      <c r="W3151" s="138"/>
      <c r="AQ3151" s="138"/>
    </row>
    <row r="3152" spans="22:43" x14ac:dyDescent="0.35">
      <c r="V3152" s="1013"/>
      <c r="W3152" s="138"/>
      <c r="AQ3152" s="138"/>
    </row>
    <row r="3153" spans="22:43" x14ac:dyDescent="0.35">
      <c r="V3153" s="1013"/>
      <c r="W3153" s="138"/>
      <c r="AQ3153" s="138"/>
    </row>
    <row r="3154" spans="22:43" x14ac:dyDescent="0.35">
      <c r="V3154" s="1013"/>
      <c r="W3154" s="138"/>
      <c r="AQ3154" s="138"/>
    </row>
    <row r="3155" spans="22:43" x14ac:dyDescent="0.35">
      <c r="V3155" s="1013"/>
      <c r="W3155" s="138"/>
      <c r="AQ3155" s="138"/>
    </row>
    <row r="3156" spans="22:43" x14ac:dyDescent="0.35">
      <c r="V3156" s="1013"/>
      <c r="W3156" s="138"/>
      <c r="AQ3156" s="138"/>
    </row>
    <row r="3157" spans="22:43" x14ac:dyDescent="0.35">
      <c r="V3157" s="1013"/>
      <c r="W3157" s="138"/>
      <c r="AQ3157" s="138"/>
    </row>
    <row r="3158" spans="22:43" x14ac:dyDescent="0.35">
      <c r="V3158" s="1013"/>
      <c r="W3158" s="138"/>
      <c r="AQ3158" s="138"/>
    </row>
    <row r="3159" spans="22:43" x14ac:dyDescent="0.35">
      <c r="V3159" s="1013"/>
      <c r="W3159" s="138"/>
      <c r="AQ3159" s="138"/>
    </row>
    <row r="3160" spans="22:43" x14ac:dyDescent="0.35">
      <c r="V3160" s="1013"/>
      <c r="W3160" s="138"/>
      <c r="AQ3160" s="138"/>
    </row>
    <row r="3161" spans="22:43" x14ac:dyDescent="0.35">
      <c r="V3161" s="1013"/>
      <c r="W3161" s="138"/>
      <c r="AQ3161" s="138"/>
    </row>
    <row r="3162" spans="22:43" x14ac:dyDescent="0.35">
      <c r="V3162" s="1013"/>
      <c r="W3162" s="138"/>
      <c r="AQ3162" s="138"/>
    </row>
    <row r="3163" spans="22:43" x14ac:dyDescent="0.35">
      <c r="V3163" s="1013"/>
      <c r="W3163" s="138"/>
      <c r="AQ3163" s="138"/>
    </row>
    <row r="3164" spans="22:43" x14ac:dyDescent="0.35">
      <c r="V3164" s="1013"/>
      <c r="W3164" s="138"/>
      <c r="AQ3164" s="138"/>
    </row>
    <row r="3165" spans="22:43" x14ac:dyDescent="0.35">
      <c r="V3165" s="1013"/>
      <c r="W3165" s="138"/>
      <c r="AQ3165" s="138"/>
    </row>
    <row r="3166" spans="22:43" x14ac:dyDescent="0.35">
      <c r="V3166" s="1013"/>
      <c r="W3166" s="138"/>
      <c r="AQ3166" s="138"/>
    </row>
    <row r="3167" spans="22:43" x14ac:dyDescent="0.35">
      <c r="V3167" s="1013"/>
      <c r="W3167" s="138"/>
      <c r="AQ3167" s="138"/>
    </row>
    <row r="3168" spans="22:43" x14ac:dyDescent="0.35">
      <c r="V3168" s="1013"/>
      <c r="W3168" s="138"/>
      <c r="AQ3168" s="138"/>
    </row>
    <row r="3169" spans="22:43" x14ac:dyDescent="0.35">
      <c r="V3169" s="1013"/>
      <c r="W3169" s="138"/>
      <c r="AQ3169" s="138"/>
    </row>
    <row r="3170" spans="22:43" x14ac:dyDescent="0.35">
      <c r="V3170" s="1013"/>
      <c r="W3170" s="138"/>
      <c r="AQ3170" s="138"/>
    </row>
    <row r="3171" spans="22:43" x14ac:dyDescent="0.35">
      <c r="V3171" s="1013"/>
      <c r="W3171" s="138"/>
      <c r="AQ3171" s="138"/>
    </row>
    <row r="3172" spans="22:43" x14ac:dyDescent="0.35">
      <c r="V3172" s="1013"/>
      <c r="W3172" s="138"/>
      <c r="AQ3172" s="138"/>
    </row>
    <row r="3173" spans="22:43" x14ac:dyDescent="0.35">
      <c r="V3173" s="1013"/>
      <c r="W3173" s="138"/>
      <c r="AQ3173" s="138"/>
    </row>
    <row r="3174" spans="22:43" x14ac:dyDescent="0.35">
      <c r="V3174" s="1013"/>
      <c r="W3174" s="138"/>
      <c r="AQ3174" s="138"/>
    </row>
    <row r="3175" spans="22:43" x14ac:dyDescent="0.35">
      <c r="V3175" s="1013"/>
      <c r="W3175" s="138"/>
      <c r="AQ3175" s="138"/>
    </row>
    <row r="3176" spans="22:43" x14ac:dyDescent="0.35">
      <c r="V3176" s="1013"/>
      <c r="W3176" s="138"/>
      <c r="AQ3176" s="138"/>
    </row>
    <row r="3177" spans="22:43" x14ac:dyDescent="0.35">
      <c r="V3177" s="1013"/>
      <c r="W3177" s="138"/>
      <c r="AQ3177" s="138"/>
    </row>
    <row r="3178" spans="22:43" x14ac:dyDescent="0.35">
      <c r="V3178" s="1013"/>
      <c r="W3178" s="138"/>
      <c r="AQ3178" s="138"/>
    </row>
    <row r="3179" spans="22:43" x14ac:dyDescent="0.35">
      <c r="V3179" s="1013"/>
      <c r="W3179" s="138"/>
      <c r="AQ3179" s="138"/>
    </row>
    <row r="3180" spans="22:43" x14ac:dyDescent="0.35">
      <c r="V3180" s="1013"/>
      <c r="W3180" s="138"/>
      <c r="AQ3180" s="138"/>
    </row>
    <row r="3181" spans="22:43" x14ac:dyDescent="0.35">
      <c r="V3181" s="1013"/>
      <c r="W3181" s="138"/>
      <c r="AQ3181" s="138"/>
    </row>
    <row r="3182" spans="22:43" x14ac:dyDescent="0.35">
      <c r="V3182" s="1013"/>
      <c r="W3182" s="138"/>
      <c r="AQ3182" s="138"/>
    </row>
    <row r="3183" spans="22:43" x14ac:dyDescent="0.35">
      <c r="V3183" s="1013"/>
      <c r="W3183" s="138"/>
      <c r="AQ3183" s="138"/>
    </row>
    <row r="3184" spans="22:43" x14ac:dyDescent="0.35">
      <c r="V3184" s="1013"/>
      <c r="W3184" s="138"/>
      <c r="AQ3184" s="138"/>
    </row>
    <row r="3185" spans="22:43" x14ac:dyDescent="0.35">
      <c r="V3185" s="1013"/>
      <c r="W3185" s="138"/>
      <c r="AQ3185" s="138"/>
    </row>
    <row r="3186" spans="22:43" x14ac:dyDescent="0.35">
      <c r="V3186" s="1013"/>
      <c r="W3186" s="138"/>
      <c r="AQ3186" s="138"/>
    </row>
    <row r="3187" spans="22:43" x14ac:dyDescent="0.35">
      <c r="V3187" s="1013"/>
      <c r="W3187" s="138"/>
      <c r="AQ3187" s="138"/>
    </row>
    <row r="3188" spans="22:43" x14ac:dyDescent="0.35">
      <c r="V3188" s="1013"/>
      <c r="W3188" s="138"/>
      <c r="AQ3188" s="138"/>
    </row>
    <row r="3189" spans="22:43" x14ac:dyDescent="0.35">
      <c r="V3189" s="1013"/>
      <c r="W3189" s="138"/>
      <c r="AQ3189" s="138"/>
    </row>
    <row r="3190" spans="22:43" x14ac:dyDescent="0.35">
      <c r="V3190" s="1013"/>
      <c r="W3190" s="138"/>
      <c r="AQ3190" s="138"/>
    </row>
    <row r="3191" spans="22:43" x14ac:dyDescent="0.35">
      <c r="V3191" s="1013"/>
      <c r="W3191" s="138"/>
      <c r="AQ3191" s="138"/>
    </row>
    <row r="3192" spans="22:43" x14ac:dyDescent="0.35">
      <c r="V3192" s="1013"/>
      <c r="W3192" s="138"/>
      <c r="AQ3192" s="138"/>
    </row>
    <row r="3193" spans="22:43" x14ac:dyDescent="0.35">
      <c r="V3193" s="1013"/>
      <c r="W3193" s="138"/>
      <c r="AQ3193" s="138"/>
    </row>
    <row r="3194" spans="22:43" x14ac:dyDescent="0.35">
      <c r="V3194" s="1013"/>
      <c r="W3194" s="138"/>
      <c r="AQ3194" s="138"/>
    </row>
    <row r="3195" spans="22:43" x14ac:dyDescent="0.35">
      <c r="V3195" s="1013"/>
      <c r="W3195" s="138"/>
      <c r="AQ3195" s="138"/>
    </row>
    <row r="3196" spans="22:43" x14ac:dyDescent="0.35">
      <c r="V3196" s="1013"/>
      <c r="W3196" s="138"/>
      <c r="AQ3196" s="138"/>
    </row>
    <row r="3197" spans="22:43" x14ac:dyDescent="0.35">
      <c r="V3197" s="1013"/>
      <c r="W3197" s="138"/>
      <c r="AQ3197" s="138"/>
    </row>
    <row r="3198" spans="22:43" x14ac:dyDescent="0.35">
      <c r="V3198" s="1013"/>
      <c r="W3198" s="138"/>
      <c r="AQ3198" s="138"/>
    </row>
    <row r="3199" spans="22:43" x14ac:dyDescent="0.35">
      <c r="V3199" s="1013"/>
      <c r="W3199" s="138"/>
      <c r="AQ3199" s="138"/>
    </row>
    <row r="3200" spans="22:43" x14ac:dyDescent="0.35">
      <c r="V3200" s="1013"/>
      <c r="W3200" s="138"/>
      <c r="AQ3200" s="138"/>
    </row>
    <row r="3201" spans="22:43" x14ac:dyDescent="0.35">
      <c r="V3201" s="1013"/>
      <c r="W3201" s="138"/>
      <c r="AQ3201" s="138"/>
    </row>
    <row r="3202" spans="22:43" x14ac:dyDescent="0.35">
      <c r="V3202" s="1013"/>
      <c r="W3202" s="138"/>
      <c r="AQ3202" s="138"/>
    </row>
    <row r="3203" spans="22:43" x14ac:dyDescent="0.35">
      <c r="V3203" s="1013"/>
      <c r="W3203" s="138"/>
      <c r="AQ3203" s="138"/>
    </row>
    <row r="3204" spans="22:43" x14ac:dyDescent="0.35">
      <c r="V3204" s="1013"/>
      <c r="W3204" s="138"/>
      <c r="AQ3204" s="138"/>
    </row>
    <row r="3205" spans="22:43" x14ac:dyDescent="0.35">
      <c r="V3205" s="1013"/>
      <c r="W3205" s="138"/>
      <c r="AQ3205" s="138"/>
    </row>
    <row r="3206" spans="22:43" x14ac:dyDescent="0.35">
      <c r="V3206" s="1013"/>
      <c r="W3206" s="138"/>
      <c r="AQ3206" s="138"/>
    </row>
    <row r="3207" spans="22:43" x14ac:dyDescent="0.35">
      <c r="V3207" s="1013"/>
      <c r="W3207" s="138"/>
      <c r="AQ3207" s="138"/>
    </row>
    <row r="3208" spans="22:43" x14ac:dyDescent="0.35">
      <c r="V3208" s="1013"/>
      <c r="W3208" s="138"/>
      <c r="AQ3208" s="138"/>
    </row>
    <row r="3209" spans="22:43" x14ac:dyDescent="0.35">
      <c r="V3209" s="1013"/>
      <c r="W3209" s="138"/>
      <c r="AQ3209" s="138"/>
    </row>
    <row r="3210" spans="22:43" x14ac:dyDescent="0.35">
      <c r="V3210" s="1013"/>
      <c r="W3210" s="138"/>
      <c r="AQ3210" s="138"/>
    </row>
    <row r="3211" spans="22:43" x14ac:dyDescent="0.35">
      <c r="V3211" s="1013"/>
      <c r="W3211" s="138"/>
      <c r="AQ3211" s="138"/>
    </row>
    <row r="3212" spans="22:43" x14ac:dyDescent="0.35">
      <c r="V3212" s="1013"/>
      <c r="W3212" s="138"/>
      <c r="AQ3212" s="138"/>
    </row>
    <row r="3213" spans="22:43" x14ac:dyDescent="0.35">
      <c r="V3213" s="1013"/>
      <c r="W3213" s="138"/>
      <c r="AQ3213" s="138"/>
    </row>
    <row r="3214" spans="22:43" x14ac:dyDescent="0.35">
      <c r="V3214" s="1013"/>
      <c r="W3214" s="138"/>
      <c r="AQ3214" s="138"/>
    </row>
    <row r="3215" spans="22:43" x14ac:dyDescent="0.35">
      <c r="V3215" s="1013"/>
      <c r="W3215" s="138"/>
      <c r="AQ3215" s="138"/>
    </row>
    <row r="3216" spans="22:43" x14ac:dyDescent="0.35">
      <c r="V3216" s="1013"/>
      <c r="W3216" s="138"/>
      <c r="AQ3216" s="138"/>
    </row>
    <row r="3217" spans="22:43" x14ac:dyDescent="0.35">
      <c r="V3217" s="1013"/>
      <c r="W3217" s="138"/>
      <c r="AQ3217" s="138"/>
    </row>
    <row r="3218" spans="22:43" x14ac:dyDescent="0.35">
      <c r="V3218" s="1013"/>
      <c r="W3218" s="138"/>
      <c r="AQ3218" s="138"/>
    </row>
    <row r="3219" spans="22:43" x14ac:dyDescent="0.35">
      <c r="V3219" s="1013"/>
      <c r="W3219" s="138"/>
      <c r="AQ3219" s="138"/>
    </row>
    <row r="3220" spans="22:43" x14ac:dyDescent="0.35">
      <c r="V3220" s="1013"/>
      <c r="W3220" s="138"/>
      <c r="AQ3220" s="138"/>
    </row>
    <row r="3221" spans="22:43" x14ac:dyDescent="0.35">
      <c r="V3221" s="1013"/>
      <c r="W3221" s="138"/>
      <c r="AQ3221" s="138"/>
    </row>
    <row r="3222" spans="22:43" x14ac:dyDescent="0.35">
      <c r="V3222" s="1013"/>
      <c r="W3222" s="138"/>
      <c r="AQ3222" s="138"/>
    </row>
    <row r="3223" spans="22:43" x14ac:dyDescent="0.35">
      <c r="V3223" s="1013"/>
      <c r="W3223" s="138"/>
      <c r="AQ3223" s="138"/>
    </row>
    <row r="3224" spans="22:43" x14ac:dyDescent="0.35">
      <c r="V3224" s="1013"/>
      <c r="W3224" s="138"/>
      <c r="AQ3224" s="138"/>
    </row>
    <row r="3225" spans="22:43" x14ac:dyDescent="0.35">
      <c r="V3225" s="1013"/>
      <c r="W3225" s="138"/>
      <c r="AQ3225" s="138"/>
    </row>
    <row r="3226" spans="22:43" x14ac:dyDescent="0.35">
      <c r="V3226" s="1013"/>
      <c r="W3226" s="138"/>
      <c r="AQ3226" s="138"/>
    </row>
    <row r="3227" spans="22:43" x14ac:dyDescent="0.35">
      <c r="V3227" s="1013"/>
      <c r="W3227" s="138"/>
      <c r="AQ3227" s="138"/>
    </row>
    <row r="3228" spans="22:43" x14ac:dyDescent="0.35">
      <c r="V3228" s="1013"/>
      <c r="W3228" s="138"/>
      <c r="AQ3228" s="138"/>
    </row>
    <row r="3229" spans="22:43" x14ac:dyDescent="0.35">
      <c r="V3229" s="1013"/>
      <c r="W3229" s="138"/>
      <c r="AQ3229" s="138"/>
    </row>
    <row r="3230" spans="22:43" x14ac:dyDescent="0.35">
      <c r="V3230" s="1013"/>
      <c r="W3230" s="138"/>
      <c r="AQ3230" s="138"/>
    </row>
    <row r="3231" spans="22:43" x14ac:dyDescent="0.35">
      <c r="V3231" s="1013"/>
      <c r="W3231" s="138"/>
      <c r="AQ3231" s="138"/>
    </row>
    <row r="3232" spans="22:43" x14ac:dyDescent="0.35">
      <c r="V3232" s="1013"/>
      <c r="W3232" s="138"/>
      <c r="AQ3232" s="138"/>
    </row>
    <row r="3233" spans="22:43" x14ac:dyDescent="0.35">
      <c r="V3233" s="1013"/>
      <c r="W3233" s="138"/>
      <c r="AQ3233" s="138"/>
    </row>
    <row r="3234" spans="22:43" x14ac:dyDescent="0.35">
      <c r="V3234" s="1013"/>
      <c r="W3234" s="138"/>
      <c r="AQ3234" s="138"/>
    </row>
    <row r="3235" spans="22:43" x14ac:dyDescent="0.35">
      <c r="V3235" s="1013"/>
      <c r="W3235" s="138"/>
      <c r="AQ3235" s="138"/>
    </row>
    <row r="3236" spans="22:43" x14ac:dyDescent="0.35">
      <c r="V3236" s="1013"/>
      <c r="W3236" s="138"/>
      <c r="AQ3236" s="138"/>
    </row>
    <row r="3237" spans="22:43" x14ac:dyDescent="0.35">
      <c r="V3237" s="1013"/>
      <c r="W3237" s="138"/>
      <c r="AQ3237" s="138"/>
    </row>
    <row r="3238" spans="22:43" x14ac:dyDescent="0.35">
      <c r="V3238" s="1013"/>
      <c r="W3238" s="138"/>
      <c r="AQ3238" s="138"/>
    </row>
    <row r="3239" spans="22:43" x14ac:dyDescent="0.35">
      <c r="V3239" s="1013"/>
      <c r="W3239" s="138"/>
      <c r="AQ3239" s="138"/>
    </row>
    <row r="3240" spans="22:43" x14ac:dyDescent="0.35">
      <c r="V3240" s="1013"/>
      <c r="W3240" s="138"/>
      <c r="AQ3240" s="138"/>
    </row>
    <row r="3241" spans="22:43" x14ac:dyDescent="0.35">
      <c r="V3241" s="1013"/>
      <c r="W3241" s="138"/>
      <c r="AQ3241" s="138"/>
    </row>
    <row r="3242" spans="22:43" x14ac:dyDescent="0.35">
      <c r="V3242" s="1013"/>
      <c r="W3242" s="138"/>
      <c r="AQ3242" s="138"/>
    </row>
    <row r="3243" spans="22:43" x14ac:dyDescent="0.35">
      <c r="V3243" s="1013"/>
      <c r="W3243" s="138"/>
      <c r="AQ3243" s="138"/>
    </row>
    <row r="3244" spans="22:43" x14ac:dyDescent="0.35">
      <c r="V3244" s="1013"/>
      <c r="W3244" s="138"/>
      <c r="AQ3244" s="138"/>
    </row>
    <row r="3245" spans="22:43" x14ac:dyDescent="0.35">
      <c r="V3245" s="1013"/>
      <c r="W3245" s="138"/>
      <c r="AQ3245" s="138"/>
    </row>
    <row r="3246" spans="22:43" x14ac:dyDescent="0.35">
      <c r="V3246" s="1013"/>
      <c r="W3246" s="138"/>
      <c r="AQ3246" s="138"/>
    </row>
    <row r="3247" spans="22:43" x14ac:dyDescent="0.35">
      <c r="V3247" s="1013"/>
      <c r="W3247" s="138"/>
      <c r="AQ3247" s="138"/>
    </row>
    <row r="3248" spans="22:43" x14ac:dyDescent="0.35">
      <c r="V3248" s="1013"/>
      <c r="W3248" s="138"/>
      <c r="AQ3248" s="138"/>
    </row>
    <row r="3249" spans="22:43" x14ac:dyDescent="0.35">
      <c r="V3249" s="1013"/>
      <c r="W3249" s="138"/>
      <c r="AQ3249" s="138"/>
    </row>
    <row r="3250" spans="22:43" x14ac:dyDescent="0.35">
      <c r="V3250" s="1013"/>
      <c r="W3250" s="138"/>
      <c r="AQ3250" s="138"/>
    </row>
    <row r="3251" spans="22:43" x14ac:dyDescent="0.35">
      <c r="V3251" s="1013"/>
      <c r="W3251" s="138"/>
      <c r="AQ3251" s="138"/>
    </row>
    <row r="3252" spans="22:43" x14ac:dyDescent="0.35">
      <c r="V3252" s="1013"/>
      <c r="W3252" s="138"/>
      <c r="AQ3252" s="138"/>
    </row>
    <row r="3253" spans="22:43" x14ac:dyDescent="0.35">
      <c r="V3253" s="1013"/>
      <c r="W3253" s="138"/>
      <c r="AQ3253" s="138"/>
    </row>
    <row r="3254" spans="22:43" x14ac:dyDescent="0.35">
      <c r="V3254" s="1013"/>
      <c r="W3254" s="138"/>
      <c r="AQ3254" s="138"/>
    </row>
    <row r="3255" spans="22:43" x14ac:dyDescent="0.35">
      <c r="V3255" s="1013"/>
      <c r="W3255" s="138"/>
      <c r="AQ3255" s="138"/>
    </row>
    <row r="3256" spans="22:43" x14ac:dyDescent="0.35">
      <c r="V3256" s="1013"/>
      <c r="W3256" s="138"/>
      <c r="AQ3256" s="138"/>
    </row>
    <row r="3257" spans="22:43" x14ac:dyDescent="0.35">
      <c r="V3257" s="1013"/>
      <c r="W3257" s="138"/>
      <c r="AQ3257" s="138"/>
    </row>
    <row r="3258" spans="22:43" x14ac:dyDescent="0.35">
      <c r="V3258" s="1013"/>
      <c r="W3258" s="138"/>
      <c r="AQ3258" s="138"/>
    </row>
    <row r="3259" spans="22:43" x14ac:dyDescent="0.35">
      <c r="V3259" s="1013"/>
      <c r="W3259" s="138"/>
      <c r="AQ3259" s="138"/>
    </row>
    <row r="3260" spans="22:43" x14ac:dyDescent="0.35">
      <c r="V3260" s="1013"/>
      <c r="W3260" s="138"/>
      <c r="AQ3260" s="138"/>
    </row>
    <row r="3261" spans="22:43" x14ac:dyDescent="0.35">
      <c r="V3261" s="1013"/>
      <c r="W3261" s="138"/>
      <c r="AQ3261" s="138"/>
    </row>
    <row r="3262" spans="22:43" x14ac:dyDescent="0.35">
      <c r="V3262" s="1013"/>
      <c r="W3262" s="138"/>
      <c r="AQ3262" s="138"/>
    </row>
    <row r="3263" spans="22:43" x14ac:dyDescent="0.35">
      <c r="V3263" s="1013"/>
      <c r="W3263" s="138"/>
      <c r="AQ3263" s="138"/>
    </row>
    <row r="3264" spans="22:43" x14ac:dyDescent="0.35">
      <c r="V3264" s="1013"/>
      <c r="W3264" s="138"/>
      <c r="AQ3264" s="138"/>
    </row>
    <row r="3265" spans="22:43" x14ac:dyDescent="0.35">
      <c r="V3265" s="1013"/>
      <c r="W3265" s="138"/>
      <c r="AQ3265" s="138"/>
    </row>
    <row r="3266" spans="22:43" x14ac:dyDescent="0.35">
      <c r="V3266" s="1013"/>
      <c r="W3266" s="138"/>
      <c r="AQ3266" s="138"/>
    </row>
    <row r="3267" spans="22:43" x14ac:dyDescent="0.35">
      <c r="V3267" s="1013"/>
      <c r="W3267" s="138"/>
      <c r="AQ3267" s="138"/>
    </row>
    <row r="3268" spans="22:43" x14ac:dyDescent="0.35">
      <c r="V3268" s="1013"/>
      <c r="W3268" s="138"/>
      <c r="AQ3268" s="138"/>
    </row>
    <row r="3269" spans="22:43" x14ac:dyDescent="0.35">
      <c r="V3269" s="1013"/>
      <c r="W3269" s="138"/>
      <c r="AQ3269" s="138"/>
    </row>
    <row r="3270" spans="22:43" x14ac:dyDescent="0.35">
      <c r="V3270" s="1013"/>
      <c r="W3270" s="138"/>
      <c r="AQ3270" s="138"/>
    </row>
    <row r="3271" spans="22:43" x14ac:dyDescent="0.35">
      <c r="V3271" s="1013"/>
      <c r="W3271" s="138"/>
      <c r="AQ3271" s="138"/>
    </row>
    <row r="3272" spans="22:43" x14ac:dyDescent="0.35">
      <c r="V3272" s="1013"/>
      <c r="W3272" s="138"/>
      <c r="AQ3272" s="138"/>
    </row>
    <row r="3273" spans="22:43" x14ac:dyDescent="0.35">
      <c r="V3273" s="1013"/>
      <c r="W3273" s="138"/>
      <c r="AQ3273" s="138"/>
    </row>
    <row r="3274" spans="22:43" x14ac:dyDescent="0.35">
      <c r="V3274" s="1013"/>
      <c r="W3274" s="138"/>
      <c r="AQ3274" s="138"/>
    </row>
    <row r="3275" spans="22:43" x14ac:dyDescent="0.35">
      <c r="V3275" s="1013"/>
      <c r="W3275" s="138"/>
      <c r="AQ3275" s="138"/>
    </row>
    <row r="3276" spans="22:43" x14ac:dyDescent="0.35">
      <c r="V3276" s="1013"/>
      <c r="W3276" s="138"/>
      <c r="AQ3276" s="138"/>
    </row>
    <row r="3277" spans="22:43" x14ac:dyDescent="0.35">
      <c r="V3277" s="1013"/>
      <c r="W3277" s="138"/>
      <c r="AQ3277" s="138"/>
    </row>
    <row r="3278" spans="22:43" x14ac:dyDescent="0.35">
      <c r="V3278" s="1013"/>
      <c r="W3278" s="138"/>
      <c r="AQ3278" s="138"/>
    </row>
    <row r="3279" spans="22:43" x14ac:dyDescent="0.35">
      <c r="V3279" s="1013"/>
      <c r="W3279" s="138"/>
      <c r="AQ3279" s="138"/>
    </row>
    <row r="3280" spans="22:43" x14ac:dyDescent="0.35">
      <c r="V3280" s="1013"/>
      <c r="W3280" s="138"/>
      <c r="AQ3280" s="138"/>
    </row>
    <row r="3281" spans="22:43" x14ac:dyDescent="0.35">
      <c r="V3281" s="1013"/>
      <c r="W3281" s="138"/>
      <c r="AQ3281" s="138"/>
    </row>
    <row r="3282" spans="22:43" x14ac:dyDescent="0.35">
      <c r="V3282" s="1013"/>
      <c r="W3282" s="138"/>
      <c r="AQ3282" s="138"/>
    </row>
    <row r="3283" spans="22:43" x14ac:dyDescent="0.35">
      <c r="V3283" s="1013"/>
      <c r="W3283" s="138"/>
      <c r="AQ3283" s="138"/>
    </row>
    <row r="3284" spans="22:43" x14ac:dyDescent="0.35">
      <c r="V3284" s="1013"/>
      <c r="W3284" s="138"/>
      <c r="AQ3284" s="138"/>
    </row>
    <row r="3285" spans="22:43" x14ac:dyDescent="0.35">
      <c r="V3285" s="1013"/>
      <c r="W3285" s="138"/>
      <c r="AQ3285" s="138"/>
    </row>
    <row r="3286" spans="22:43" x14ac:dyDescent="0.35">
      <c r="V3286" s="1013"/>
      <c r="W3286" s="138"/>
      <c r="AQ3286" s="138"/>
    </row>
    <row r="3287" spans="22:43" x14ac:dyDescent="0.35">
      <c r="V3287" s="1013"/>
      <c r="W3287" s="138"/>
      <c r="AQ3287" s="138"/>
    </row>
    <row r="3288" spans="22:43" x14ac:dyDescent="0.35">
      <c r="V3288" s="1013"/>
      <c r="W3288" s="138"/>
      <c r="AQ3288" s="138"/>
    </row>
    <row r="3289" spans="22:43" x14ac:dyDescent="0.35">
      <c r="V3289" s="1013"/>
      <c r="W3289" s="138"/>
      <c r="AQ3289" s="138"/>
    </row>
    <row r="3290" spans="22:43" x14ac:dyDescent="0.35">
      <c r="V3290" s="1013"/>
      <c r="W3290" s="138"/>
      <c r="AQ3290" s="138"/>
    </row>
    <row r="3291" spans="22:43" x14ac:dyDescent="0.35">
      <c r="V3291" s="1013"/>
      <c r="W3291" s="138"/>
      <c r="AQ3291" s="138"/>
    </row>
    <row r="3292" spans="22:43" x14ac:dyDescent="0.35">
      <c r="V3292" s="1013"/>
      <c r="W3292" s="138"/>
      <c r="AQ3292" s="138"/>
    </row>
    <row r="3293" spans="22:43" x14ac:dyDescent="0.35">
      <c r="V3293" s="1013"/>
      <c r="W3293" s="138"/>
      <c r="AQ3293" s="138"/>
    </row>
    <row r="3294" spans="22:43" x14ac:dyDescent="0.35">
      <c r="V3294" s="1013"/>
      <c r="W3294" s="138"/>
      <c r="AQ3294" s="138"/>
    </row>
    <row r="3295" spans="22:43" x14ac:dyDescent="0.35">
      <c r="V3295" s="1013"/>
      <c r="W3295" s="138"/>
      <c r="AQ3295" s="138"/>
    </row>
    <row r="3296" spans="22:43" x14ac:dyDescent="0.35">
      <c r="V3296" s="1013"/>
      <c r="W3296" s="138"/>
      <c r="AQ3296" s="138"/>
    </row>
    <row r="3297" spans="22:43" x14ac:dyDescent="0.35">
      <c r="V3297" s="1013"/>
      <c r="W3297" s="138"/>
      <c r="AQ3297" s="138"/>
    </row>
    <row r="3298" spans="22:43" x14ac:dyDescent="0.35">
      <c r="V3298" s="1013"/>
      <c r="W3298" s="138"/>
      <c r="AQ3298" s="138"/>
    </row>
    <row r="3299" spans="22:43" x14ac:dyDescent="0.35">
      <c r="V3299" s="1013"/>
      <c r="W3299" s="138"/>
      <c r="AQ3299" s="138"/>
    </row>
    <row r="3300" spans="22:43" x14ac:dyDescent="0.35">
      <c r="V3300" s="1013"/>
      <c r="W3300" s="138"/>
      <c r="AQ3300" s="138"/>
    </row>
    <row r="3301" spans="22:43" x14ac:dyDescent="0.35">
      <c r="V3301" s="1013"/>
      <c r="W3301" s="138"/>
      <c r="AQ3301" s="138"/>
    </row>
    <row r="3302" spans="22:43" x14ac:dyDescent="0.35">
      <c r="V3302" s="1013"/>
      <c r="W3302" s="138"/>
      <c r="AQ3302" s="138"/>
    </row>
    <row r="3303" spans="22:43" x14ac:dyDescent="0.35">
      <c r="V3303" s="1013"/>
      <c r="W3303" s="138"/>
      <c r="AQ3303" s="138"/>
    </row>
    <row r="3304" spans="22:43" x14ac:dyDescent="0.35">
      <c r="V3304" s="1013"/>
      <c r="W3304" s="138"/>
      <c r="AQ3304" s="138"/>
    </row>
    <row r="3305" spans="22:43" x14ac:dyDescent="0.35">
      <c r="V3305" s="1013"/>
      <c r="W3305" s="138"/>
      <c r="AQ3305" s="138"/>
    </row>
    <row r="3306" spans="22:43" x14ac:dyDescent="0.35">
      <c r="V3306" s="1013"/>
      <c r="W3306" s="138"/>
      <c r="AQ3306" s="138"/>
    </row>
    <row r="3307" spans="22:43" x14ac:dyDescent="0.35">
      <c r="V3307" s="1013"/>
      <c r="W3307" s="138"/>
      <c r="AQ3307" s="138"/>
    </row>
    <row r="3308" spans="22:43" x14ac:dyDescent="0.35">
      <c r="V3308" s="1013"/>
      <c r="W3308" s="138"/>
      <c r="AQ3308" s="138"/>
    </row>
    <row r="3309" spans="22:43" x14ac:dyDescent="0.35">
      <c r="V3309" s="1013"/>
      <c r="W3309" s="138"/>
      <c r="AQ3309" s="138"/>
    </row>
    <row r="3310" spans="22:43" x14ac:dyDescent="0.35">
      <c r="V3310" s="1013"/>
      <c r="W3310" s="138"/>
      <c r="AQ3310" s="138"/>
    </row>
    <row r="3311" spans="22:43" x14ac:dyDescent="0.35">
      <c r="V3311" s="1013"/>
      <c r="W3311" s="138"/>
      <c r="AQ3311" s="138"/>
    </row>
    <row r="3312" spans="22:43" x14ac:dyDescent="0.35">
      <c r="V3312" s="1013"/>
      <c r="W3312" s="138"/>
      <c r="AQ3312" s="138"/>
    </row>
    <row r="3313" spans="22:43" x14ac:dyDescent="0.35">
      <c r="V3313" s="1013"/>
      <c r="W3313" s="138"/>
      <c r="AQ3313" s="138"/>
    </row>
    <row r="3314" spans="22:43" x14ac:dyDescent="0.35">
      <c r="V3314" s="1013"/>
      <c r="W3314" s="138"/>
      <c r="AQ3314" s="138"/>
    </row>
    <row r="3315" spans="22:43" x14ac:dyDescent="0.35">
      <c r="V3315" s="1013"/>
      <c r="W3315" s="138"/>
      <c r="AQ3315" s="138"/>
    </row>
    <row r="3316" spans="22:43" x14ac:dyDescent="0.35">
      <c r="V3316" s="1013"/>
      <c r="W3316" s="138"/>
      <c r="AQ3316" s="138"/>
    </row>
    <row r="3317" spans="22:43" x14ac:dyDescent="0.35">
      <c r="V3317" s="1013"/>
      <c r="W3317" s="138"/>
      <c r="AQ3317" s="138"/>
    </row>
    <row r="3318" spans="22:43" x14ac:dyDescent="0.35">
      <c r="V3318" s="1013"/>
      <c r="W3318" s="138"/>
      <c r="AQ3318" s="138"/>
    </row>
    <row r="3319" spans="22:43" x14ac:dyDescent="0.35">
      <c r="V3319" s="1013"/>
      <c r="W3319" s="138"/>
      <c r="AQ3319" s="138"/>
    </row>
    <row r="3320" spans="22:43" x14ac:dyDescent="0.35">
      <c r="V3320" s="1013"/>
      <c r="W3320" s="138"/>
      <c r="AQ3320" s="138"/>
    </row>
    <row r="3321" spans="22:43" x14ac:dyDescent="0.35">
      <c r="V3321" s="1013"/>
      <c r="W3321" s="138"/>
      <c r="AQ3321" s="138"/>
    </row>
    <row r="3322" spans="22:43" x14ac:dyDescent="0.35">
      <c r="V3322" s="1013"/>
      <c r="W3322" s="138"/>
      <c r="AQ3322" s="138"/>
    </row>
    <row r="3323" spans="22:43" x14ac:dyDescent="0.35">
      <c r="V3323" s="1013"/>
      <c r="W3323" s="138"/>
      <c r="AQ3323" s="138"/>
    </row>
    <row r="3324" spans="22:43" x14ac:dyDescent="0.35">
      <c r="V3324" s="1013"/>
      <c r="W3324" s="138"/>
      <c r="AQ3324" s="138"/>
    </row>
    <row r="3325" spans="22:43" x14ac:dyDescent="0.35">
      <c r="V3325" s="1013"/>
      <c r="W3325" s="138"/>
      <c r="AQ3325" s="138"/>
    </row>
    <row r="3326" spans="22:43" x14ac:dyDescent="0.35">
      <c r="V3326" s="1013"/>
      <c r="W3326" s="138"/>
      <c r="AQ3326" s="138"/>
    </row>
    <row r="3327" spans="22:43" x14ac:dyDescent="0.35">
      <c r="V3327" s="1013"/>
      <c r="W3327" s="138"/>
      <c r="AQ3327" s="138"/>
    </row>
    <row r="3328" spans="22:43" x14ac:dyDescent="0.35">
      <c r="V3328" s="1013"/>
      <c r="W3328" s="138"/>
      <c r="AQ3328" s="138"/>
    </row>
    <row r="3329" spans="22:43" x14ac:dyDescent="0.35">
      <c r="V3329" s="1013"/>
      <c r="W3329" s="138"/>
      <c r="AQ3329" s="138"/>
    </row>
    <row r="3330" spans="22:43" x14ac:dyDescent="0.35">
      <c r="V3330" s="1013"/>
      <c r="W3330" s="138"/>
      <c r="AQ3330" s="138"/>
    </row>
    <row r="3331" spans="22:43" x14ac:dyDescent="0.35">
      <c r="V3331" s="1013"/>
      <c r="W3331" s="138"/>
      <c r="AQ3331" s="138"/>
    </row>
    <row r="3332" spans="22:43" x14ac:dyDescent="0.35">
      <c r="V3332" s="1013"/>
      <c r="W3332" s="138"/>
      <c r="AQ3332" s="138"/>
    </row>
    <row r="3333" spans="22:43" x14ac:dyDescent="0.35">
      <c r="V3333" s="1013"/>
      <c r="W3333" s="138"/>
      <c r="AQ3333" s="138"/>
    </row>
    <row r="3334" spans="22:43" x14ac:dyDescent="0.35">
      <c r="V3334" s="1013"/>
      <c r="W3334" s="138"/>
      <c r="AQ3334" s="138"/>
    </row>
    <row r="3335" spans="22:43" x14ac:dyDescent="0.35">
      <c r="V3335" s="1013"/>
      <c r="W3335" s="138"/>
      <c r="AQ3335" s="138"/>
    </row>
    <row r="3336" spans="22:43" x14ac:dyDescent="0.35">
      <c r="V3336" s="1013"/>
      <c r="W3336" s="138"/>
      <c r="AQ3336" s="138"/>
    </row>
    <row r="3337" spans="22:43" x14ac:dyDescent="0.35">
      <c r="V3337" s="1013"/>
      <c r="W3337" s="138"/>
      <c r="AQ3337" s="138"/>
    </row>
    <row r="3338" spans="22:43" x14ac:dyDescent="0.35">
      <c r="V3338" s="1013"/>
      <c r="W3338" s="138"/>
      <c r="AQ3338" s="138"/>
    </row>
    <row r="3339" spans="22:43" x14ac:dyDescent="0.35">
      <c r="V3339" s="1013"/>
      <c r="W3339" s="138"/>
      <c r="AQ3339" s="138"/>
    </row>
    <row r="3340" spans="22:43" x14ac:dyDescent="0.35">
      <c r="V3340" s="1013"/>
      <c r="W3340" s="138"/>
      <c r="AQ3340" s="138"/>
    </row>
    <row r="3341" spans="22:43" x14ac:dyDescent="0.35">
      <c r="V3341" s="1013"/>
      <c r="W3341" s="138"/>
      <c r="AQ3341" s="138"/>
    </row>
    <row r="3342" spans="22:43" x14ac:dyDescent="0.35">
      <c r="V3342" s="1013"/>
      <c r="W3342" s="138"/>
      <c r="AQ3342" s="138"/>
    </row>
    <row r="3343" spans="22:43" x14ac:dyDescent="0.35">
      <c r="V3343" s="1013"/>
      <c r="W3343" s="138"/>
      <c r="AQ3343" s="138"/>
    </row>
    <row r="3344" spans="22:43" x14ac:dyDescent="0.35">
      <c r="V3344" s="1013"/>
      <c r="W3344" s="138"/>
      <c r="AQ3344" s="138"/>
    </row>
    <row r="3345" spans="22:43" x14ac:dyDescent="0.35">
      <c r="V3345" s="1013"/>
      <c r="W3345" s="138"/>
      <c r="AQ3345" s="138"/>
    </row>
    <row r="3346" spans="22:43" x14ac:dyDescent="0.35">
      <c r="V3346" s="1013"/>
      <c r="W3346" s="138"/>
      <c r="AQ3346" s="138"/>
    </row>
    <row r="3347" spans="22:43" x14ac:dyDescent="0.35">
      <c r="V3347" s="1013"/>
      <c r="W3347" s="138"/>
      <c r="AQ3347" s="138"/>
    </row>
    <row r="3348" spans="22:43" x14ac:dyDescent="0.35">
      <c r="V3348" s="1013"/>
      <c r="W3348" s="138"/>
      <c r="AQ3348" s="138"/>
    </row>
    <row r="3349" spans="22:43" x14ac:dyDescent="0.35">
      <c r="V3349" s="1013"/>
      <c r="W3349" s="138"/>
      <c r="AQ3349" s="138"/>
    </row>
    <row r="3350" spans="22:43" x14ac:dyDescent="0.35">
      <c r="V3350" s="1013"/>
      <c r="W3350" s="138"/>
      <c r="AQ3350" s="138"/>
    </row>
    <row r="3351" spans="22:43" x14ac:dyDescent="0.35">
      <c r="V3351" s="1013"/>
      <c r="W3351" s="138"/>
      <c r="AQ3351" s="138"/>
    </row>
    <row r="3352" spans="22:43" x14ac:dyDescent="0.35">
      <c r="V3352" s="1013"/>
      <c r="W3352" s="138"/>
      <c r="AQ3352" s="138"/>
    </row>
    <row r="3353" spans="22:43" x14ac:dyDescent="0.35">
      <c r="V3353" s="1013"/>
      <c r="W3353" s="138"/>
      <c r="AQ3353" s="138"/>
    </row>
    <row r="3354" spans="22:43" x14ac:dyDescent="0.35">
      <c r="V3354" s="1013"/>
      <c r="W3354" s="138"/>
      <c r="AQ3354" s="138"/>
    </row>
    <row r="3355" spans="22:43" x14ac:dyDescent="0.35">
      <c r="V3355" s="1013"/>
      <c r="W3355" s="138"/>
      <c r="AQ3355" s="138"/>
    </row>
    <row r="3356" spans="22:43" x14ac:dyDescent="0.35">
      <c r="V3356" s="1013"/>
      <c r="W3356" s="138"/>
      <c r="AQ3356" s="138"/>
    </row>
    <row r="3357" spans="22:43" x14ac:dyDescent="0.35">
      <c r="V3357" s="1013"/>
      <c r="W3357" s="138"/>
      <c r="AQ3357" s="138"/>
    </row>
    <row r="3358" spans="22:43" x14ac:dyDescent="0.35">
      <c r="V3358" s="1013"/>
      <c r="W3358" s="138"/>
      <c r="AQ3358" s="138"/>
    </row>
    <row r="3359" spans="22:43" x14ac:dyDescent="0.35">
      <c r="V3359" s="1013"/>
      <c r="W3359" s="138"/>
      <c r="AQ3359" s="138"/>
    </row>
    <row r="3360" spans="22:43" x14ac:dyDescent="0.35">
      <c r="V3360" s="1013"/>
      <c r="W3360" s="138"/>
      <c r="AQ3360" s="138"/>
    </row>
    <row r="3361" spans="22:43" x14ac:dyDescent="0.35">
      <c r="V3361" s="1013"/>
      <c r="W3361" s="138"/>
      <c r="AQ3361" s="138"/>
    </row>
    <row r="3362" spans="22:43" x14ac:dyDescent="0.35">
      <c r="V3362" s="1013"/>
      <c r="W3362" s="138"/>
      <c r="AQ3362" s="138"/>
    </row>
    <row r="3363" spans="22:43" x14ac:dyDescent="0.35">
      <c r="V3363" s="1013"/>
      <c r="W3363" s="138"/>
      <c r="AQ3363" s="138"/>
    </row>
    <row r="3364" spans="22:43" x14ac:dyDescent="0.35">
      <c r="V3364" s="1013"/>
      <c r="W3364" s="138"/>
      <c r="AQ3364" s="138"/>
    </row>
    <row r="3365" spans="22:43" x14ac:dyDescent="0.35">
      <c r="V3365" s="1013"/>
      <c r="W3365" s="138"/>
      <c r="AQ3365" s="138"/>
    </row>
    <row r="3366" spans="22:43" x14ac:dyDescent="0.35">
      <c r="V3366" s="1013"/>
      <c r="W3366" s="138"/>
      <c r="AQ3366" s="138"/>
    </row>
    <row r="3367" spans="22:43" x14ac:dyDescent="0.35">
      <c r="V3367" s="1013"/>
      <c r="W3367" s="138"/>
      <c r="AQ3367" s="138"/>
    </row>
    <row r="3368" spans="22:43" x14ac:dyDescent="0.35">
      <c r="V3368" s="1013"/>
      <c r="W3368" s="138"/>
      <c r="AQ3368" s="138"/>
    </row>
    <row r="3369" spans="22:43" x14ac:dyDescent="0.35">
      <c r="V3369" s="1013"/>
      <c r="W3369" s="138"/>
      <c r="AQ3369" s="138"/>
    </row>
    <row r="3370" spans="22:43" x14ac:dyDescent="0.35">
      <c r="V3370" s="1013"/>
      <c r="W3370" s="138"/>
      <c r="AQ3370" s="138"/>
    </row>
    <row r="3371" spans="22:43" x14ac:dyDescent="0.35">
      <c r="V3371" s="1013"/>
      <c r="W3371" s="138"/>
      <c r="AQ3371" s="138"/>
    </row>
    <row r="3372" spans="22:43" x14ac:dyDescent="0.35">
      <c r="V3372" s="1013"/>
      <c r="W3372" s="138"/>
      <c r="AQ3372" s="138"/>
    </row>
    <row r="3373" spans="22:43" x14ac:dyDescent="0.35">
      <c r="V3373" s="1013"/>
      <c r="W3373" s="138"/>
      <c r="AQ3373" s="138"/>
    </row>
    <row r="3374" spans="22:43" x14ac:dyDescent="0.35">
      <c r="V3374" s="1013"/>
      <c r="W3374" s="138"/>
      <c r="AQ3374" s="138"/>
    </row>
    <row r="3375" spans="22:43" x14ac:dyDescent="0.35">
      <c r="V3375" s="1013"/>
      <c r="W3375" s="138"/>
      <c r="AQ3375" s="138"/>
    </row>
    <row r="3376" spans="22:43" x14ac:dyDescent="0.35">
      <c r="V3376" s="1013"/>
      <c r="W3376" s="138"/>
      <c r="AQ3376" s="138"/>
    </row>
    <row r="3377" spans="22:43" x14ac:dyDescent="0.35">
      <c r="V3377" s="1013"/>
      <c r="W3377" s="138"/>
      <c r="AQ3377" s="138"/>
    </row>
    <row r="3378" spans="22:43" x14ac:dyDescent="0.35">
      <c r="V3378" s="1013"/>
      <c r="W3378" s="138"/>
      <c r="AQ3378" s="138"/>
    </row>
    <row r="3379" spans="22:43" x14ac:dyDescent="0.35">
      <c r="V3379" s="1013"/>
      <c r="W3379" s="138"/>
      <c r="AQ3379" s="138"/>
    </row>
    <row r="3380" spans="22:43" x14ac:dyDescent="0.35">
      <c r="V3380" s="1013"/>
      <c r="W3380" s="138"/>
      <c r="AQ3380" s="138"/>
    </row>
    <row r="3381" spans="22:43" x14ac:dyDescent="0.35">
      <c r="V3381" s="1013"/>
      <c r="W3381" s="138"/>
      <c r="AQ3381" s="138"/>
    </row>
    <row r="3382" spans="22:43" x14ac:dyDescent="0.35">
      <c r="V3382" s="1013"/>
      <c r="W3382" s="138"/>
      <c r="AQ3382" s="138"/>
    </row>
    <row r="3383" spans="22:43" x14ac:dyDescent="0.35">
      <c r="V3383" s="1013"/>
      <c r="W3383" s="138"/>
      <c r="AQ3383" s="138"/>
    </row>
    <row r="3384" spans="22:43" x14ac:dyDescent="0.35">
      <c r="V3384" s="1013"/>
      <c r="W3384" s="138"/>
      <c r="AQ3384" s="138"/>
    </row>
    <row r="3385" spans="22:43" x14ac:dyDescent="0.35">
      <c r="V3385" s="1013"/>
      <c r="W3385" s="138"/>
      <c r="AQ3385" s="138"/>
    </row>
    <row r="3386" spans="22:43" x14ac:dyDescent="0.35">
      <c r="V3386" s="1013"/>
      <c r="W3386" s="138"/>
      <c r="AQ3386" s="138"/>
    </row>
    <row r="3387" spans="22:43" x14ac:dyDescent="0.35">
      <c r="V3387" s="1013"/>
      <c r="W3387" s="138"/>
      <c r="AQ3387" s="138"/>
    </row>
    <row r="3388" spans="22:43" x14ac:dyDescent="0.35">
      <c r="V3388" s="1013"/>
      <c r="W3388" s="138"/>
      <c r="AQ3388" s="138"/>
    </row>
    <row r="3389" spans="22:43" x14ac:dyDescent="0.35">
      <c r="V3389" s="1013"/>
      <c r="W3389" s="138"/>
      <c r="AQ3389" s="138"/>
    </row>
    <row r="3390" spans="22:43" x14ac:dyDescent="0.35">
      <c r="V3390" s="1013"/>
      <c r="W3390" s="138"/>
      <c r="AQ3390" s="138"/>
    </row>
    <row r="3391" spans="22:43" x14ac:dyDescent="0.35">
      <c r="V3391" s="1013"/>
      <c r="W3391" s="138"/>
      <c r="AQ3391" s="138"/>
    </row>
    <row r="3392" spans="22:43" x14ac:dyDescent="0.35">
      <c r="V3392" s="1013"/>
      <c r="W3392" s="138"/>
      <c r="AQ3392" s="138"/>
    </row>
    <row r="3393" spans="22:43" x14ac:dyDescent="0.35">
      <c r="V3393" s="1013"/>
      <c r="W3393" s="138"/>
      <c r="AQ3393" s="138"/>
    </row>
    <row r="3394" spans="22:43" x14ac:dyDescent="0.35">
      <c r="V3394" s="1013"/>
      <c r="W3394" s="138"/>
      <c r="AQ3394" s="138"/>
    </row>
    <row r="3395" spans="22:43" x14ac:dyDescent="0.35">
      <c r="V3395" s="1013"/>
      <c r="W3395" s="138"/>
      <c r="AQ3395" s="138"/>
    </row>
    <row r="3396" spans="22:43" x14ac:dyDescent="0.35">
      <c r="V3396" s="1013"/>
      <c r="W3396" s="138"/>
      <c r="AQ3396" s="138"/>
    </row>
    <row r="3397" spans="22:43" x14ac:dyDescent="0.35">
      <c r="V3397" s="1013"/>
      <c r="W3397" s="138"/>
      <c r="AQ3397" s="138"/>
    </row>
    <row r="3398" spans="22:43" x14ac:dyDescent="0.35">
      <c r="V3398" s="1013"/>
      <c r="W3398" s="138"/>
      <c r="AQ3398" s="138"/>
    </row>
    <row r="3399" spans="22:43" x14ac:dyDescent="0.35">
      <c r="V3399" s="1013"/>
      <c r="W3399" s="138"/>
      <c r="AQ3399" s="138"/>
    </row>
    <row r="3400" spans="22:43" x14ac:dyDescent="0.35">
      <c r="V3400" s="1013"/>
      <c r="W3400" s="138"/>
      <c r="AQ3400" s="138"/>
    </row>
    <row r="3401" spans="22:43" x14ac:dyDescent="0.35">
      <c r="V3401" s="1013"/>
      <c r="W3401" s="138"/>
      <c r="AQ3401" s="138"/>
    </row>
    <row r="3402" spans="22:43" x14ac:dyDescent="0.35">
      <c r="V3402" s="1013"/>
      <c r="W3402" s="138"/>
      <c r="AQ3402" s="138"/>
    </row>
    <row r="3403" spans="22:43" x14ac:dyDescent="0.35">
      <c r="V3403" s="1013"/>
      <c r="W3403" s="138"/>
      <c r="AQ3403" s="138"/>
    </row>
    <row r="3404" spans="22:43" x14ac:dyDescent="0.35">
      <c r="V3404" s="1013"/>
      <c r="W3404" s="138"/>
      <c r="AQ3404" s="138"/>
    </row>
    <row r="3405" spans="22:43" x14ac:dyDescent="0.35">
      <c r="V3405" s="1013"/>
      <c r="W3405" s="138"/>
      <c r="AQ3405" s="138"/>
    </row>
    <row r="3406" spans="22:43" x14ac:dyDescent="0.35">
      <c r="V3406" s="1013"/>
      <c r="W3406" s="138"/>
      <c r="AQ3406" s="138"/>
    </row>
    <row r="3407" spans="22:43" x14ac:dyDescent="0.35">
      <c r="V3407" s="1013"/>
      <c r="W3407" s="138"/>
      <c r="AQ3407" s="138"/>
    </row>
    <row r="3408" spans="22:43" x14ac:dyDescent="0.35">
      <c r="V3408" s="1013"/>
      <c r="W3408" s="138"/>
      <c r="AQ3408" s="138"/>
    </row>
    <row r="3409" spans="22:43" x14ac:dyDescent="0.35">
      <c r="V3409" s="1013"/>
      <c r="W3409" s="138"/>
      <c r="AQ3409" s="138"/>
    </row>
    <row r="3410" spans="22:43" x14ac:dyDescent="0.35">
      <c r="V3410" s="1013"/>
      <c r="W3410" s="138"/>
      <c r="AQ3410" s="138"/>
    </row>
    <row r="3411" spans="22:43" x14ac:dyDescent="0.35">
      <c r="V3411" s="1013"/>
      <c r="W3411" s="138"/>
      <c r="AQ3411" s="138"/>
    </row>
    <row r="3412" spans="22:43" x14ac:dyDescent="0.35">
      <c r="V3412" s="1013"/>
      <c r="W3412" s="138"/>
      <c r="AQ3412" s="138"/>
    </row>
    <row r="3413" spans="22:43" x14ac:dyDescent="0.35">
      <c r="V3413" s="1013"/>
      <c r="W3413" s="138"/>
      <c r="AQ3413" s="138"/>
    </row>
    <row r="3414" spans="22:43" x14ac:dyDescent="0.35">
      <c r="V3414" s="1013"/>
      <c r="W3414" s="138"/>
      <c r="AQ3414" s="138"/>
    </row>
    <row r="3415" spans="22:43" x14ac:dyDescent="0.35">
      <c r="V3415" s="1013"/>
      <c r="W3415" s="138"/>
      <c r="AQ3415" s="138"/>
    </row>
    <row r="3416" spans="22:43" x14ac:dyDescent="0.35">
      <c r="V3416" s="1013"/>
      <c r="W3416" s="138"/>
      <c r="AQ3416" s="138"/>
    </row>
    <row r="3417" spans="22:43" x14ac:dyDescent="0.35">
      <c r="V3417" s="1013"/>
      <c r="W3417" s="138"/>
      <c r="AQ3417" s="138"/>
    </row>
    <row r="3418" spans="22:43" x14ac:dyDescent="0.35">
      <c r="V3418" s="1013"/>
      <c r="W3418" s="138"/>
      <c r="AQ3418" s="138"/>
    </row>
    <row r="3419" spans="22:43" x14ac:dyDescent="0.35">
      <c r="V3419" s="1013"/>
      <c r="W3419" s="138"/>
      <c r="AQ3419" s="138"/>
    </row>
    <row r="3420" spans="22:43" x14ac:dyDescent="0.35">
      <c r="V3420" s="1013"/>
      <c r="W3420" s="138"/>
      <c r="AQ3420" s="138"/>
    </row>
    <row r="3421" spans="22:43" x14ac:dyDescent="0.35">
      <c r="V3421" s="1013"/>
      <c r="W3421" s="138"/>
      <c r="AQ3421" s="138"/>
    </row>
    <row r="3422" spans="22:43" x14ac:dyDescent="0.35">
      <c r="V3422" s="1013"/>
      <c r="W3422" s="138"/>
      <c r="AQ3422" s="138"/>
    </row>
    <row r="3423" spans="22:43" x14ac:dyDescent="0.35">
      <c r="V3423" s="1013"/>
      <c r="W3423" s="138"/>
      <c r="AQ3423" s="138"/>
    </row>
    <row r="3424" spans="22:43" x14ac:dyDescent="0.35">
      <c r="V3424" s="1013"/>
      <c r="W3424" s="138"/>
      <c r="AQ3424" s="138"/>
    </row>
    <row r="3425" spans="22:43" x14ac:dyDescent="0.35">
      <c r="V3425" s="1013"/>
      <c r="W3425" s="138"/>
      <c r="AQ3425" s="138"/>
    </row>
    <row r="3426" spans="22:43" x14ac:dyDescent="0.35">
      <c r="V3426" s="1013"/>
      <c r="W3426" s="138"/>
      <c r="AQ3426" s="138"/>
    </row>
    <row r="3427" spans="22:43" x14ac:dyDescent="0.35">
      <c r="V3427" s="1013"/>
      <c r="W3427" s="138"/>
      <c r="AQ3427" s="138"/>
    </row>
    <row r="3428" spans="22:43" x14ac:dyDescent="0.35">
      <c r="V3428" s="1013"/>
      <c r="W3428" s="138"/>
      <c r="AQ3428" s="138"/>
    </row>
    <row r="3429" spans="22:43" x14ac:dyDescent="0.35">
      <c r="V3429" s="1013"/>
      <c r="W3429" s="138"/>
      <c r="AQ3429" s="138"/>
    </row>
    <row r="3430" spans="22:43" x14ac:dyDescent="0.35">
      <c r="V3430" s="1013"/>
      <c r="W3430" s="138"/>
      <c r="AQ3430" s="138"/>
    </row>
    <row r="3431" spans="22:43" x14ac:dyDescent="0.35">
      <c r="V3431" s="1013"/>
      <c r="W3431" s="138"/>
      <c r="AQ3431" s="138"/>
    </row>
    <row r="3432" spans="22:43" x14ac:dyDescent="0.35">
      <c r="V3432" s="1013"/>
      <c r="W3432" s="138"/>
      <c r="AQ3432" s="138"/>
    </row>
    <row r="3433" spans="22:43" x14ac:dyDescent="0.35">
      <c r="V3433" s="1013"/>
      <c r="W3433" s="138"/>
      <c r="AQ3433" s="138"/>
    </row>
    <row r="3434" spans="22:43" x14ac:dyDescent="0.35">
      <c r="V3434" s="1013"/>
      <c r="W3434" s="138"/>
      <c r="AQ3434" s="138"/>
    </row>
    <row r="3435" spans="22:43" x14ac:dyDescent="0.35">
      <c r="V3435" s="1013"/>
      <c r="W3435" s="138"/>
      <c r="AQ3435" s="138"/>
    </row>
    <row r="3436" spans="22:43" x14ac:dyDescent="0.35">
      <c r="V3436" s="1013"/>
      <c r="W3436" s="138"/>
      <c r="AQ3436" s="138"/>
    </row>
    <row r="3437" spans="22:43" x14ac:dyDescent="0.35">
      <c r="V3437" s="1013"/>
      <c r="W3437" s="138"/>
      <c r="AQ3437" s="138"/>
    </row>
    <row r="3438" spans="22:43" x14ac:dyDescent="0.35">
      <c r="V3438" s="1013"/>
      <c r="W3438" s="138"/>
      <c r="AQ3438" s="138"/>
    </row>
    <row r="3439" spans="22:43" x14ac:dyDescent="0.35">
      <c r="V3439" s="1013"/>
      <c r="W3439" s="138"/>
      <c r="AQ3439" s="138"/>
    </row>
    <row r="3440" spans="22:43" x14ac:dyDescent="0.35">
      <c r="V3440" s="1013"/>
      <c r="W3440" s="138"/>
      <c r="AQ3440" s="138"/>
    </row>
    <row r="3441" spans="22:43" x14ac:dyDescent="0.35">
      <c r="V3441" s="1013"/>
      <c r="W3441" s="138"/>
      <c r="AQ3441" s="138"/>
    </row>
    <row r="3442" spans="22:43" x14ac:dyDescent="0.35">
      <c r="V3442" s="1013"/>
      <c r="W3442" s="138"/>
      <c r="AQ3442" s="138"/>
    </row>
    <row r="3443" spans="22:43" x14ac:dyDescent="0.35">
      <c r="V3443" s="1013"/>
      <c r="W3443" s="138"/>
      <c r="AQ3443" s="138"/>
    </row>
    <row r="3444" spans="22:43" x14ac:dyDescent="0.35">
      <c r="V3444" s="1013"/>
      <c r="W3444" s="138"/>
      <c r="AQ3444" s="138"/>
    </row>
    <row r="3445" spans="22:43" x14ac:dyDescent="0.35">
      <c r="V3445" s="1013"/>
      <c r="W3445" s="138"/>
      <c r="AQ3445" s="138"/>
    </row>
    <row r="3446" spans="22:43" x14ac:dyDescent="0.35">
      <c r="V3446" s="1013"/>
      <c r="W3446" s="138"/>
      <c r="AQ3446" s="138"/>
    </row>
    <row r="3447" spans="22:43" x14ac:dyDescent="0.35">
      <c r="V3447" s="1013"/>
      <c r="W3447" s="138"/>
      <c r="AQ3447" s="138"/>
    </row>
    <row r="3448" spans="22:43" x14ac:dyDescent="0.35">
      <c r="V3448" s="1013"/>
      <c r="W3448" s="138"/>
      <c r="AQ3448" s="138"/>
    </row>
    <row r="3449" spans="22:43" x14ac:dyDescent="0.35">
      <c r="V3449" s="1013"/>
      <c r="W3449" s="138"/>
      <c r="AQ3449" s="138"/>
    </row>
    <row r="3450" spans="22:43" x14ac:dyDescent="0.35">
      <c r="V3450" s="1013"/>
      <c r="W3450" s="138"/>
      <c r="AQ3450" s="138"/>
    </row>
    <row r="3451" spans="22:43" x14ac:dyDescent="0.35">
      <c r="V3451" s="1013"/>
      <c r="W3451" s="138"/>
      <c r="AQ3451" s="138"/>
    </row>
    <row r="3452" spans="22:43" x14ac:dyDescent="0.35">
      <c r="V3452" s="1013"/>
      <c r="W3452" s="138"/>
      <c r="AQ3452" s="138"/>
    </row>
    <row r="3453" spans="22:43" x14ac:dyDescent="0.35">
      <c r="V3453" s="1013"/>
      <c r="W3453" s="138"/>
      <c r="AQ3453" s="138"/>
    </row>
    <row r="3454" spans="22:43" x14ac:dyDescent="0.35">
      <c r="V3454" s="1013"/>
      <c r="W3454" s="138"/>
      <c r="AQ3454" s="138"/>
    </row>
    <row r="3455" spans="22:43" x14ac:dyDescent="0.35">
      <c r="V3455" s="1013"/>
      <c r="W3455" s="138"/>
      <c r="AQ3455" s="138"/>
    </row>
    <row r="3456" spans="22:43" x14ac:dyDescent="0.35">
      <c r="V3456" s="1013"/>
      <c r="W3456" s="138"/>
      <c r="AQ3456" s="138"/>
    </row>
    <row r="3457" spans="22:43" x14ac:dyDescent="0.35">
      <c r="V3457" s="1013"/>
      <c r="W3457" s="138"/>
      <c r="AQ3457" s="138"/>
    </row>
    <row r="3458" spans="22:43" x14ac:dyDescent="0.35">
      <c r="V3458" s="1013"/>
      <c r="W3458" s="138"/>
      <c r="AQ3458" s="138"/>
    </row>
    <row r="3459" spans="22:43" x14ac:dyDescent="0.35">
      <c r="V3459" s="1013"/>
      <c r="W3459" s="138"/>
      <c r="AQ3459" s="138"/>
    </row>
    <row r="3460" spans="22:43" x14ac:dyDescent="0.35">
      <c r="V3460" s="1013"/>
      <c r="W3460" s="138"/>
      <c r="AQ3460" s="138"/>
    </row>
    <row r="3461" spans="22:43" x14ac:dyDescent="0.35">
      <c r="V3461" s="1013"/>
      <c r="W3461" s="138"/>
      <c r="AQ3461" s="138"/>
    </row>
    <row r="3462" spans="22:43" x14ac:dyDescent="0.35">
      <c r="V3462" s="1013"/>
      <c r="W3462" s="138"/>
      <c r="AQ3462" s="138"/>
    </row>
    <row r="3463" spans="22:43" x14ac:dyDescent="0.35">
      <c r="V3463" s="1013"/>
      <c r="W3463" s="138"/>
      <c r="AQ3463" s="138"/>
    </row>
    <row r="3464" spans="22:43" x14ac:dyDescent="0.35">
      <c r="V3464" s="1013"/>
      <c r="W3464" s="138"/>
      <c r="AQ3464" s="138"/>
    </row>
    <row r="3465" spans="22:43" x14ac:dyDescent="0.35">
      <c r="V3465" s="1013"/>
      <c r="W3465" s="138"/>
      <c r="AQ3465" s="138"/>
    </row>
    <row r="3466" spans="22:43" x14ac:dyDescent="0.35">
      <c r="V3466" s="1013"/>
      <c r="W3466" s="138"/>
      <c r="AQ3466" s="138"/>
    </row>
    <row r="3467" spans="22:43" x14ac:dyDescent="0.35">
      <c r="V3467" s="1013"/>
      <c r="W3467" s="138"/>
      <c r="AQ3467" s="138"/>
    </row>
    <row r="3468" spans="22:43" x14ac:dyDescent="0.35">
      <c r="V3468" s="1013"/>
      <c r="W3468" s="138"/>
      <c r="AQ3468" s="138"/>
    </row>
    <row r="3469" spans="22:43" x14ac:dyDescent="0.35">
      <c r="V3469" s="1013"/>
      <c r="W3469" s="138"/>
      <c r="AQ3469" s="138"/>
    </row>
    <row r="3470" spans="22:43" x14ac:dyDescent="0.35">
      <c r="V3470" s="1013"/>
      <c r="W3470" s="138"/>
      <c r="AQ3470" s="138"/>
    </row>
    <row r="3471" spans="22:43" x14ac:dyDescent="0.35">
      <c r="V3471" s="1013"/>
      <c r="W3471" s="138"/>
      <c r="AQ3471" s="138"/>
    </row>
    <row r="3472" spans="22:43" x14ac:dyDescent="0.35">
      <c r="V3472" s="1013"/>
      <c r="W3472" s="138"/>
      <c r="AQ3472" s="138"/>
    </row>
    <row r="3473" spans="22:43" x14ac:dyDescent="0.35">
      <c r="V3473" s="1013"/>
      <c r="W3473" s="138"/>
      <c r="AQ3473" s="138"/>
    </row>
    <row r="3474" spans="22:43" x14ac:dyDescent="0.35">
      <c r="V3474" s="1013"/>
      <c r="W3474" s="138"/>
      <c r="AQ3474" s="138"/>
    </row>
    <row r="3475" spans="22:43" x14ac:dyDescent="0.35">
      <c r="V3475" s="1013"/>
      <c r="W3475" s="138"/>
      <c r="AQ3475" s="138"/>
    </row>
    <row r="3476" spans="22:43" x14ac:dyDescent="0.35">
      <c r="V3476" s="1013"/>
      <c r="W3476" s="138"/>
      <c r="AQ3476" s="138"/>
    </row>
    <row r="3477" spans="22:43" x14ac:dyDescent="0.35">
      <c r="V3477" s="1013"/>
      <c r="W3477" s="138"/>
      <c r="AQ3477" s="138"/>
    </row>
    <row r="3478" spans="22:43" x14ac:dyDescent="0.35">
      <c r="V3478" s="1013"/>
      <c r="W3478" s="138"/>
      <c r="AQ3478" s="138"/>
    </row>
    <row r="3479" spans="22:43" x14ac:dyDescent="0.35">
      <c r="V3479" s="1013"/>
      <c r="W3479" s="138"/>
      <c r="AQ3479" s="138"/>
    </row>
    <row r="3480" spans="22:43" x14ac:dyDescent="0.35">
      <c r="V3480" s="1013"/>
      <c r="W3480" s="138"/>
      <c r="AQ3480" s="138"/>
    </row>
    <row r="3481" spans="22:43" x14ac:dyDescent="0.35">
      <c r="V3481" s="1013"/>
      <c r="W3481" s="138"/>
      <c r="AQ3481" s="138"/>
    </row>
    <row r="3482" spans="22:43" x14ac:dyDescent="0.35">
      <c r="V3482" s="1013"/>
      <c r="W3482" s="138"/>
      <c r="AQ3482" s="138"/>
    </row>
    <row r="3483" spans="22:43" x14ac:dyDescent="0.35">
      <c r="V3483" s="1013"/>
      <c r="W3483" s="138"/>
      <c r="AQ3483" s="138"/>
    </row>
    <row r="3484" spans="22:43" x14ac:dyDescent="0.35">
      <c r="V3484" s="1013"/>
      <c r="W3484" s="138"/>
      <c r="AQ3484" s="138"/>
    </row>
    <row r="3485" spans="22:43" x14ac:dyDescent="0.35">
      <c r="V3485" s="1013"/>
      <c r="W3485" s="138"/>
      <c r="AQ3485" s="138"/>
    </row>
    <row r="3486" spans="22:43" x14ac:dyDescent="0.35">
      <c r="V3486" s="1013"/>
      <c r="W3486" s="138"/>
      <c r="AQ3486" s="138"/>
    </row>
    <row r="3487" spans="22:43" x14ac:dyDescent="0.35">
      <c r="V3487" s="1013"/>
      <c r="W3487" s="138"/>
      <c r="AQ3487" s="138"/>
    </row>
    <row r="3488" spans="22:43" x14ac:dyDescent="0.35">
      <c r="V3488" s="1013"/>
      <c r="W3488" s="138"/>
      <c r="AQ3488" s="138"/>
    </row>
    <row r="3489" spans="22:43" x14ac:dyDescent="0.35">
      <c r="V3489" s="1013"/>
      <c r="W3489" s="138"/>
      <c r="AQ3489" s="138"/>
    </row>
    <row r="3490" spans="22:43" x14ac:dyDescent="0.35">
      <c r="V3490" s="1013"/>
      <c r="W3490" s="138"/>
      <c r="AQ3490" s="138"/>
    </row>
    <row r="3491" spans="22:43" x14ac:dyDescent="0.35">
      <c r="V3491" s="1013"/>
      <c r="W3491" s="138"/>
      <c r="AQ3491" s="138"/>
    </row>
    <row r="3492" spans="22:43" x14ac:dyDescent="0.35">
      <c r="V3492" s="1013"/>
      <c r="W3492" s="138"/>
      <c r="AQ3492" s="138"/>
    </row>
    <row r="3493" spans="22:43" x14ac:dyDescent="0.35">
      <c r="V3493" s="1013"/>
      <c r="W3493" s="138"/>
      <c r="AQ3493" s="138"/>
    </row>
    <row r="3494" spans="22:43" x14ac:dyDescent="0.35">
      <c r="V3494" s="1013"/>
      <c r="W3494" s="138"/>
      <c r="AQ3494" s="138"/>
    </row>
    <row r="3495" spans="22:43" x14ac:dyDescent="0.35">
      <c r="V3495" s="1013"/>
      <c r="W3495" s="138"/>
      <c r="AQ3495" s="138"/>
    </row>
    <row r="3496" spans="22:43" x14ac:dyDescent="0.35">
      <c r="V3496" s="1013"/>
      <c r="W3496" s="138"/>
      <c r="AQ3496" s="138"/>
    </row>
    <row r="3497" spans="22:43" x14ac:dyDescent="0.35">
      <c r="V3497" s="1013"/>
      <c r="W3497" s="138"/>
      <c r="AQ3497" s="138"/>
    </row>
    <row r="3498" spans="22:43" x14ac:dyDescent="0.35">
      <c r="V3498" s="1013"/>
      <c r="W3498" s="138"/>
      <c r="AQ3498" s="138"/>
    </row>
    <row r="3499" spans="22:43" x14ac:dyDescent="0.35">
      <c r="V3499" s="1013"/>
      <c r="W3499" s="138"/>
      <c r="AQ3499" s="138"/>
    </row>
    <row r="3500" spans="22:43" x14ac:dyDescent="0.35">
      <c r="V3500" s="1013"/>
      <c r="W3500" s="138"/>
      <c r="AQ3500" s="138"/>
    </row>
    <row r="3501" spans="22:43" x14ac:dyDescent="0.35">
      <c r="V3501" s="1013"/>
      <c r="W3501" s="138"/>
      <c r="AQ3501" s="138"/>
    </row>
    <row r="3502" spans="22:43" x14ac:dyDescent="0.35">
      <c r="V3502" s="1013"/>
      <c r="W3502" s="138"/>
      <c r="AQ3502" s="138"/>
    </row>
    <row r="3503" spans="22:43" x14ac:dyDescent="0.35">
      <c r="V3503" s="1013"/>
      <c r="W3503" s="138"/>
      <c r="AQ3503" s="138"/>
    </row>
    <row r="3504" spans="22:43" x14ac:dyDescent="0.35">
      <c r="V3504" s="1013"/>
      <c r="W3504" s="138"/>
      <c r="AQ3504" s="138"/>
    </row>
    <row r="3505" spans="22:43" x14ac:dyDescent="0.35">
      <c r="V3505" s="1013"/>
      <c r="W3505" s="138"/>
      <c r="AQ3505" s="138"/>
    </row>
    <row r="3506" spans="22:43" x14ac:dyDescent="0.35">
      <c r="V3506" s="1013"/>
      <c r="W3506" s="138"/>
      <c r="AQ3506" s="138"/>
    </row>
    <row r="3507" spans="22:43" x14ac:dyDescent="0.35">
      <c r="V3507" s="1013"/>
      <c r="W3507" s="138"/>
      <c r="AQ3507" s="138"/>
    </row>
    <row r="3508" spans="22:43" x14ac:dyDescent="0.35">
      <c r="V3508" s="1013"/>
      <c r="W3508" s="138"/>
      <c r="AQ3508" s="138"/>
    </row>
    <row r="3509" spans="22:43" x14ac:dyDescent="0.35">
      <c r="V3509" s="1013"/>
      <c r="W3509" s="138"/>
      <c r="AQ3509" s="138"/>
    </row>
    <row r="3510" spans="22:43" x14ac:dyDescent="0.35">
      <c r="V3510" s="1013"/>
      <c r="W3510" s="138"/>
      <c r="AQ3510" s="138"/>
    </row>
    <row r="3511" spans="22:43" x14ac:dyDescent="0.35">
      <c r="V3511" s="1013"/>
      <c r="W3511" s="138"/>
      <c r="AQ3511" s="138"/>
    </row>
    <row r="3512" spans="22:43" x14ac:dyDescent="0.35">
      <c r="V3512" s="1013"/>
      <c r="W3512" s="138"/>
      <c r="AQ3512" s="138"/>
    </row>
    <row r="3513" spans="22:43" x14ac:dyDescent="0.35">
      <c r="V3513" s="1013"/>
      <c r="W3513" s="138"/>
      <c r="AQ3513" s="138"/>
    </row>
    <row r="3514" spans="22:43" x14ac:dyDescent="0.35">
      <c r="V3514" s="1013"/>
      <c r="W3514" s="138"/>
      <c r="AQ3514" s="138"/>
    </row>
    <row r="3515" spans="22:43" x14ac:dyDescent="0.35">
      <c r="V3515" s="1013"/>
      <c r="W3515" s="138"/>
      <c r="AQ3515" s="138"/>
    </row>
    <row r="3516" spans="22:43" x14ac:dyDescent="0.35">
      <c r="V3516" s="1013"/>
      <c r="W3516" s="138"/>
      <c r="AQ3516" s="138"/>
    </row>
    <row r="3517" spans="22:43" x14ac:dyDescent="0.35">
      <c r="V3517" s="1013"/>
      <c r="W3517" s="138"/>
      <c r="AQ3517" s="138"/>
    </row>
    <row r="3518" spans="22:43" x14ac:dyDescent="0.35">
      <c r="V3518" s="1013"/>
      <c r="W3518" s="138"/>
      <c r="AQ3518" s="138"/>
    </row>
    <row r="3519" spans="22:43" x14ac:dyDescent="0.35">
      <c r="V3519" s="1013"/>
      <c r="W3519" s="138"/>
      <c r="AQ3519" s="138"/>
    </row>
    <row r="3520" spans="22:43" x14ac:dyDescent="0.35">
      <c r="V3520" s="1013"/>
      <c r="W3520" s="138"/>
      <c r="AQ3520" s="138"/>
    </row>
    <row r="3521" spans="22:43" x14ac:dyDescent="0.35">
      <c r="V3521" s="1013"/>
      <c r="W3521" s="138"/>
      <c r="AQ3521" s="138"/>
    </row>
    <row r="3522" spans="22:43" x14ac:dyDescent="0.35">
      <c r="V3522" s="1013"/>
      <c r="W3522" s="138"/>
      <c r="AQ3522" s="138"/>
    </row>
    <row r="3523" spans="22:43" x14ac:dyDescent="0.35">
      <c r="V3523" s="1013"/>
      <c r="W3523" s="138"/>
      <c r="AQ3523" s="138"/>
    </row>
    <row r="3524" spans="22:43" x14ac:dyDescent="0.35">
      <c r="V3524" s="1013"/>
      <c r="W3524" s="138"/>
      <c r="AQ3524" s="138"/>
    </row>
    <row r="3525" spans="22:43" x14ac:dyDescent="0.35">
      <c r="V3525" s="1013"/>
      <c r="W3525" s="138"/>
      <c r="AQ3525" s="138"/>
    </row>
    <row r="3526" spans="22:43" x14ac:dyDescent="0.35">
      <c r="V3526" s="1013"/>
      <c r="W3526" s="138"/>
      <c r="AQ3526" s="138"/>
    </row>
    <row r="3527" spans="22:43" x14ac:dyDescent="0.35">
      <c r="V3527" s="1013"/>
      <c r="W3527" s="138"/>
      <c r="AQ3527" s="138"/>
    </row>
    <row r="3528" spans="22:43" x14ac:dyDescent="0.35">
      <c r="V3528" s="1013"/>
      <c r="W3528" s="138"/>
      <c r="AQ3528" s="138"/>
    </row>
    <row r="3529" spans="22:43" x14ac:dyDescent="0.35">
      <c r="V3529" s="1013"/>
      <c r="W3529" s="138"/>
      <c r="AQ3529" s="138"/>
    </row>
    <row r="3530" spans="22:43" x14ac:dyDescent="0.35">
      <c r="V3530" s="1013"/>
      <c r="W3530" s="138"/>
      <c r="AQ3530" s="138"/>
    </row>
    <row r="3531" spans="22:43" x14ac:dyDescent="0.35">
      <c r="V3531" s="1013"/>
      <c r="W3531" s="138"/>
      <c r="AQ3531" s="138"/>
    </row>
    <row r="3532" spans="22:43" x14ac:dyDescent="0.35">
      <c r="V3532" s="1013"/>
      <c r="W3532" s="138"/>
      <c r="AQ3532" s="138"/>
    </row>
    <row r="3533" spans="22:43" x14ac:dyDescent="0.35">
      <c r="V3533" s="1013"/>
      <c r="W3533" s="138"/>
      <c r="AQ3533" s="138"/>
    </row>
    <row r="3534" spans="22:43" x14ac:dyDescent="0.35">
      <c r="V3534" s="1013"/>
      <c r="W3534" s="138"/>
      <c r="AQ3534" s="138"/>
    </row>
    <row r="3535" spans="22:43" x14ac:dyDescent="0.35">
      <c r="V3535" s="1013"/>
      <c r="W3535" s="138"/>
      <c r="AQ3535" s="138"/>
    </row>
    <row r="3536" spans="22:43" x14ac:dyDescent="0.35">
      <c r="V3536" s="1013"/>
      <c r="W3536" s="138"/>
      <c r="AQ3536" s="138"/>
    </row>
    <row r="3537" spans="22:43" x14ac:dyDescent="0.35">
      <c r="V3537" s="1013"/>
      <c r="W3537" s="138"/>
      <c r="AQ3537" s="138"/>
    </row>
    <row r="3538" spans="22:43" x14ac:dyDescent="0.35">
      <c r="V3538" s="1013"/>
      <c r="W3538" s="138"/>
      <c r="AQ3538" s="138"/>
    </row>
    <row r="3539" spans="22:43" x14ac:dyDescent="0.35">
      <c r="V3539" s="1013"/>
      <c r="W3539" s="138"/>
      <c r="AQ3539" s="138"/>
    </row>
    <row r="3540" spans="22:43" x14ac:dyDescent="0.35">
      <c r="V3540" s="1013"/>
      <c r="W3540" s="138"/>
      <c r="AQ3540" s="138"/>
    </row>
    <row r="3541" spans="22:43" x14ac:dyDescent="0.35">
      <c r="V3541" s="1013"/>
      <c r="W3541" s="138"/>
      <c r="AQ3541" s="138"/>
    </row>
    <row r="3542" spans="22:43" x14ac:dyDescent="0.35">
      <c r="V3542" s="1013"/>
      <c r="W3542" s="138"/>
      <c r="AQ3542" s="138"/>
    </row>
    <row r="3543" spans="22:43" x14ac:dyDescent="0.35">
      <c r="V3543" s="1013"/>
      <c r="W3543" s="138"/>
      <c r="AQ3543" s="138"/>
    </row>
  </sheetData>
  <hyperlinks>
    <hyperlink ref="A138" location="Contents!A1" display="Return to Contents Page" xr:uid="{00000000-0004-0000-1A00-000000000000}"/>
    <hyperlink ref="D2" r:id="rId1" xr:uid="{00000000-0004-0000-1A00-000001000000}"/>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W3473"/>
  <sheetViews>
    <sheetView workbookViewId="0">
      <pane xSplit="1" ySplit="9" topLeftCell="B10" activePane="bottomRight" state="frozen"/>
      <selection pane="topRight" activeCell="B1" sqref="B1"/>
      <selection pane="bottomLeft" activeCell="A10" sqref="A10"/>
      <selection pane="bottomRight" activeCell="X1" sqref="X1"/>
    </sheetView>
  </sheetViews>
  <sheetFormatPr defaultColWidth="9.19921875" defaultRowHeight="12.75" x14ac:dyDescent="0.35"/>
  <cols>
    <col min="1" max="1" width="7.46484375" style="138" customWidth="1"/>
    <col min="2" max="2" width="5.796875" style="138" customWidth="1"/>
    <col min="3" max="3" width="6.46484375" style="138" customWidth="1"/>
    <col min="4" max="5" width="6.46484375" style="138" bestFit="1" customWidth="1"/>
    <col min="6" max="6" width="7.46484375" style="138" bestFit="1" customWidth="1"/>
    <col min="7" max="7" width="6.46484375" style="138" bestFit="1" customWidth="1"/>
    <col min="8" max="8" width="1.46484375" style="138" customWidth="1"/>
    <col min="9" max="9" width="2.19921875" style="138" customWidth="1"/>
    <col min="10" max="10" width="2" style="138" customWidth="1"/>
    <col min="11" max="12" width="1.46484375" style="138" customWidth="1"/>
    <col min="13" max="13" width="6.46484375" style="138" customWidth="1"/>
    <col min="14" max="14" width="6.46484375" style="138" bestFit="1" customWidth="1"/>
    <col min="15" max="15" width="7.46484375" style="138" customWidth="1"/>
    <col min="16" max="16" width="7.46484375" style="138" bestFit="1" customWidth="1"/>
    <col min="17" max="17" width="6.46484375" style="138" bestFit="1" customWidth="1"/>
    <col min="18" max="21" width="1" style="138" customWidth="1"/>
    <col min="22" max="22" width="7.19921875" style="977" customWidth="1"/>
    <col min="23" max="23" width="4.46484375" style="978" customWidth="1"/>
    <col min="24" max="24" width="6.796875" style="138" customWidth="1"/>
    <col min="25" max="26" width="6.46484375" style="138" bestFit="1" customWidth="1"/>
    <col min="27" max="27" width="7.46484375" style="138" bestFit="1" customWidth="1"/>
    <col min="28" max="28" width="6.46484375" style="138" bestFit="1" customWidth="1"/>
    <col min="29" max="29" width="1.46484375" style="138" customWidth="1"/>
    <col min="30" max="30" width="2" style="138" customWidth="1"/>
    <col min="31" max="32" width="2.46484375" style="138" customWidth="1"/>
    <col min="33" max="33" width="1.46484375" style="138" customWidth="1"/>
    <col min="34" max="34" width="7.46484375" style="138" customWidth="1"/>
    <col min="35" max="35" width="6.796875" style="138" bestFit="1" customWidth="1"/>
    <col min="36" max="36" width="6.46484375" style="138" bestFit="1" customWidth="1"/>
    <col min="37" max="37" width="7.46484375" style="138" bestFit="1" customWidth="1"/>
    <col min="38" max="38" width="6.46484375" style="138" bestFit="1" customWidth="1"/>
    <col min="39" max="39" width="0.796875" style="138" customWidth="1"/>
    <col min="40" max="42" width="1.46484375" style="138" customWidth="1"/>
    <col min="43" max="43" width="6.46484375" style="977" customWidth="1"/>
    <col min="44" max="16384" width="9.19921875" style="138"/>
  </cols>
  <sheetData>
    <row r="1" spans="1:44" ht="18" customHeight="1" x14ac:dyDescent="0.35">
      <c r="A1" s="1135" t="s">
        <v>2300</v>
      </c>
      <c r="B1" s="979"/>
      <c r="C1" s="979"/>
      <c r="D1" s="980"/>
      <c r="E1" s="979"/>
      <c r="F1" s="979"/>
      <c r="G1" s="979"/>
      <c r="H1" s="979"/>
      <c r="I1" s="979"/>
      <c r="J1" s="979"/>
      <c r="K1" s="979"/>
      <c r="L1" s="979"/>
      <c r="M1" s="981"/>
      <c r="X1" s="1135" t="s">
        <v>2299</v>
      </c>
      <c r="Y1" s="980"/>
      <c r="Z1" s="979"/>
      <c r="AA1" s="979"/>
      <c r="AB1" s="979"/>
    </row>
    <row r="2" spans="1:44" ht="18" customHeight="1" x14ac:dyDescent="0.4">
      <c r="B2" s="1134" t="s">
        <v>2298</v>
      </c>
      <c r="E2" s="508" t="s">
        <v>2207</v>
      </c>
      <c r="V2" s="138"/>
      <c r="W2" s="138"/>
      <c r="AC2" s="979"/>
      <c r="AD2" s="979"/>
      <c r="AE2" s="979"/>
      <c r="AF2" s="979"/>
      <c r="AG2" s="979"/>
      <c r="AH2" s="981"/>
    </row>
    <row r="3" spans="1:44" ht="18" customHeight="1" x14ac:dyDescent="0.35">
      <c r="A3" s="982"/>
      <c r="B3" s="982"/>
      <c r="C3" s="983" t="s">
        <v>2190</v>
      </c>
      <c r="D3" s="983"/>
      <c r="E3" s="983"/>
      <c r="F3" s="983"/>
      <c r="G3" s="983"/>
      <c r="H3" s="982"/>
      <c r="I3" s="983"/>
      <c r="J3" s="984"/>
      <c r="K3" s="985"/>
      <c r="M3" s="986" t="s">
        <v>2191</v>
      </c>
      <c r="N3" s="986"/>
      <c r="O3" s="986"/>
      <c r="P3" s="986"/>
      <c r="Q3" s="986"/>
      <c r="R3" s="982"/>
      <c r="S3" s="986"/>
      <c r="T3" s="985"/>
      <c r="U3" s="987"/>
      <c r="V3" s="988"/>
      <c r="X3" s="983" t="s">
        <v>2190</v>
      </c>
      <c r="Y3" s="983"/>
      <c r="Z3" s="983"/>
      <c r="AA3" s="983"/>
      <c r="AB3" s="983"/>
      <c r="AC3" s="982"/>
      <c r="AD3" s="983"/>
      <c r="AE3" s="984"/>
      <c r="AF3" s="985"/>
      <c r="AH3" s="986" t="s">
        <v>2191</v>
      </c>
      <c r="AI3" s="986"/>
      <c r="AJ3" s="986"/>
      <c r="AK3" s="986"/>
      <c r="AL3" s="986"/>
      <c r="AM3" s="982"/>
      <c r="AN3" s="986"/>
      <c r="AO3" s="985"/>
      <c r="AP3" s="987"/>
      <c r="AQ3" s="988"/>
    </row>
    <row r="4" spans="1:44" x14ac:dyDescent="0.35">
      <c r="A4" s="989"/>
      <c r="B4" s="989"/>
      <c r="C4" s="990" t="s">
        <v>496</v>
      </c>
      <c r="D4" s="990" t="s">
        <v>2192</v>
      </c>
      <c r="E4" s="990" t="s">
        <v>178</v>
      </c>
      <c r="F4" s="990" t="s">
        <v>13</v>
      </c>
      <c r="G4" s="990" t="s">
        <v>211</v>
      </c>
      <c r="H4" s="989"/>
      <c r="I4" s="990"/>
      <c r="J4" s="990"/>
      <c r="K4" s="989"/>
      <c r="M4" s="989" t="s">
        <v>496</v>
      </c>
      <c r="N4" s="989" t="s">
        <v>2192</v>
      </c>
      <c r="O4" s="989" t="s">
        <v>178</v>
      </c>
      <c r="P4" s="989" t="s">
        <v>13</v>
      </c>
      <c r="Q4" s="989" t="s">
        <v>211</v>
      </c>
      <c r="R4" s="991"/>
      <c r="S4" s="989"/>
      <c r="T4" s="989"/>
      <c r="U4" s="989"/>
      <c r="V4" s="992" t="s">
        <v>2193</v>
      </c>
      <c r="X4" s="990" t="s">
        <v>496</v>
      </c>
      <c r="Y4" s="990" t="s">
        <v>2192</v>
      </c>
      <c r="Z4" s="990" t="s">
        <v>178</v>
      </c>
      <c r="AA4" s="990" t="s">
        <v>13</v>
      </c>
      <c r="AB4" s="990" t="s">
        <v>211</v>
      </c>
      <c r="AC4" s="989"/>
      <c r="AD4" s="990"/>
      <c r="AE4" s="990"/>
      <c r="AF4" s="989"/>
      <c r="AH4" s="989" t="s">
        <v>496</v>
      </c>
      <c r="AI4" s="989" t="s">
        <v>2192</v>
      </c>
      <c r="AJ4" s="989" t="s">
        <v>178</v>
      </c>
      <c r="AK4" s="989" t="s">
        <v>13</v>
      </c>
      <c r="AL4" s="989" t="s">
        <v>211</v>
      </c>
      <c r="AM4" s="989"/>
      <c r="AN4" s="989"/>
      <c r="AO4" s="989"/>
      <c r="AP4" s="989"/>
      <c r="AQ4" s="992" t="s">
        <v>2193</v>
      </c>
    </row>
    <row r="5" spans="1:44" ht="13.15" x14ac:dyDescent="0.4">
      <c r="A5" s="989"/>
      <c r="B5" s="989"/>
      <c r="C5" s="993"/>
      <c r="D5" s="993" t="s">
        <v>2194</v>
      </c>
      <c r="E5" s="993"/>
      <c r="F5" s="993"/>
      <c r="G5" s="993" t="s">
        <v>180</v>
      </c>
      <c r="H5" s="987"/>
      <c r="I5" s="993"/>
      <c r="J5" s="993"/>
      <c r="K5" s="987"/>
      <c r="M5" s="987"/>
      <c r="N5" s="987" t="s">
        <v>2194</v>
      </c>
      <c r="O5" s="987"/>
      <c r="P5" s="987"/>
      <c r="Q5" s="987" t="s">
        <v>180</v>
      </c>
      <c r="R5" s="987"/>
      <c r="S5" s="987"/>
      <c r="T5" s="987"/>
      <c r="U5" s="987"/>
      <c r="V5" s="994" t="s">
        <v>2195</v>
      </c>
      <c r="X5" s="993"/>
      <c r="Y5" s="993" t="s">
        <v>2194</v>
      </c>
      <c r="Z5" s="993"/>
      <c r="AA5" s="993"/>
      <c r="AB5" s="993" t="s">
        <v>180</v>
      </c>
      <c r="AC5" s="987"/>
      <c r="AD5" s="993"/>
      <c r="AE5" s="993"/>
      <c r="AF5" s="987"/>
      <c r="AH5" s="987"/>
      <c r="AI5" s="987" t="s">
        <v>2194</v>
      </c>
      <c r="AJ5" s="987"/>
      <c r="AK5" s="987"/>
      <c r="AL5" s="987" t="s">
        <v>180</v>
      </c>
      <c r="AM5" s="987"/>
      <c r="AN5" s="987"/>
      <c r="AO5" s="987"/>
      <c r="AP5" s="987"/>
      <c r="AQ5" s="994" t="s">
        <v>2195</v>
      </c>
    </row>
    <row r="6" spans="1:44" x14ac:dyDescent="0.35">
      <c r="A6" s="995" t="s">
        <v>2196</v>
      </c>
      <c r="B6" s="982"/>
      <c r="C6" s="996" t="s">
        <v>2197</v>
      </c>
      <c r="D6" s="996"/>
      <c r="E6" s="996"/>
      <c r="F6" s="996"/>
      <c r="G6" s="996"/>
      <c r="H6" s="997"/>
      <c r="I6" s="998"/>
      <c r="J6" s="998"/>
      <c r="K6" s="997"/>
      <c r="M6" s="999" t="s">
        <v>2198</v>
      </c>
      <c r="N6" s="999"/>
      <c r="O6" s="999"/>
      <c r="P6" s="999"/>
      <c r="Q6" s="999"/>
      <c r="U6" s="976"/>
      <c r="X6" s="996" t="s">
        <v>2197</v>
      </c>
      <c r="Y6" s="996"/>
      <c r="Z6" s="996"/>
      <c r="AA6" s="996"/>
      <c r="AB6" s="996"/>
      <c r="AC6" s="997"/>
      <c r="AD6" s="998"/>
      <c r="AE6" s="998"/>
      <c r="AF6" s="997"/>
      <c r="AH6" s="999" t="s">
        <v>2198</v>
      </c>
      <c r="AI6" s="999"/>
      <c r="AJ6" s="999"/>
      <c r="AK6" s="999"/>
      <c r="AL6" s="999"/>
      <c r="AP6" s="976"/>
    </row>
    <row r="7" spans="1:44" x14ac:dyDescent="0.35">
      <c r="A7" s="995"/>
      <c r="B7" s="982"/>
      <c r="C7" s="1026"/>
      <c r="D7" s="1026"/>
      <c r="E7" s="1026"/>
      <c r="F7" s="1026"/>
      <c r="G7" s="1026"/>
      <c r="H7" s="1027"/>
      <c r="I7" s="1028"/>
      <c r="J7" s="1028"/>
      <c r="K7" s="1027"/>
      <c r="M7" s="1029"/>
      <c r="N7" s="1029"/>
      <c r="O7" s="1029"/>
      <c r="P7" s="1029"/>
      <c r="Q7" s="1029"/>
      <c r="U7" s="976"/>
      <c r="X7" s="1026"/>
      <c r="Y7" s="1026"/>
      <c r="Z7" s="1026"/>
      <c r="AA7" s="1026"/>
      <c r="AB7" s="1026"/>
      <c r="AC7" s="1027"/>
      <c r="AD7" s="1028"/>
      <c r="AE7" s="1028"/>
      <c r="AF7" s="1027"/>
      <c r="AH7" s="1029"/>
      <c r="AI7" s="1029"/>
      <c r="AJ7" s="1029"/>
      <c r="AK7" s="1029"/>
      <c r="AL7" s="1029"/>
      <c r="AP7" s="976"/>
    </row>
    <row r="8" spans="1:44" x14ac:dyDescent="0.35">
      <c r="A8" s="995"/>
      <c r="B8" s="982"/>
      <c r="C8" s="1026"/>
      <c r="D8" s="1026"/>
      <c r="E8" s="1026"/>
      <c r="F8" s="1026"/>
      <c r="G8" s="1026"/>
      <c r="H8" s="1027"/>
      <c r="I8" s="1028"/>
      <c r="J8" s="1028"/>
      <c r="K8" s="1027"/>
      <c r="M8" s="1029"/>
      <c r="N8" s="1029"/>
      <c r="O8" s="1029"/>
      <c r="P8" s="1029"/>
      <c r="Q8" s="1029"/>
      <c r="U8" s="976"/>
      <c r="X8" s="1026"/>
      <c r="Y8" s="1026"/>
      <c r="Z8" s="1026"/>
      <c r="AA8" s="1026"/>
      <c r="AB8" s="1026"/>
      <c r="AC8" s="1027"/>
      <c r="AD8" s="1028"/>
      <c r="AE8" s="1028"/>
      <c r="AF8" s="1027"/>
      <c r="AH8" s="1029"/>
      <c r="AI8" s="1029"/>
      <c r="AJ8" s="1029"/>
      <c r="AK8" s="1029"/>
      <c r="AL8" s="1029"/>
      <c r="AP8" s="976"/>
    </row>
    <row r="9" spans="1:44" x14ac:dyDescent="0.35">
      <c r="A9" s="995"/>
      <c r="B9" s="982"/>
      <c r="C9" s="1026"/>
      <c r="D9" s="1026"/>
      <c r="E9" s="1026"/>
      <c r="F9" s="1026"/>
      <c r="G9" s="1026"/>
      <c r="H9" s="1027"/>
      <c r="I9" s="1028"/>
      <c r="J9" s="1028"/>
      <c r="K9" s="1027"/>
      <c r="M9" s="1029"/>
      <c r="N9" s="1029"/>
      <c r="O9" s="1029"/>
      <c r="P9" s="1029"/>
      <c r="Q9" s="1029"/>
      <c r="U9" s="976"/>
      <c r="X9" s="1026"/>
      <c r="Y9" s="1026"/>
      <c r="Z9" s="1026"/>
      <c r="AA9" s="1026"/>
      <c r="AB9" s="1026"/>
      <c r="AC9" s="1027"/>
      <c r="AD9" s="1028"/>
      <c r="AE9" s="1028"/>
      <c r="AF9" s="1027"/>
      <c r="AH9" s="1029"/>
      <c r="AI9" s="1029"/>
      <c r="AJ9" s="1029"/>
      <c r="AK9" s="1029"/>
      <c r="AL9" s="1029"/>
      <c r="AP9" s="976"/>
    </row>
    <row r="10" spans="1:44" x14ac:dyDescent="0.35">
      <c r="A10" s="1000">
        <v>1970</v>
      </c>
      <c r="C10" s="1001">
        <v>9.713006561173291</v>
      </c>
      <c r="D10" s="1001">
        <v>2.1339812709455734</v>
      </c>
      <c r="E10" s="1002">
        <v>10.427508452963632</v>
      </c>
      <c r="F10" s="1002">
        <v>8.6970450486548661</v>
      </c>
      <c r="G10" s="1002">
        <v>6.9515023029189615</v>
      </c>
      <c r="I10" s="1003"/>
      <c r="J10" s="1003"/>
      <c r="M10" s="1004">
        <f t="shared" ref="M10:Q49" si="0">C10*100/$V10</f>
        <v>111.90099724854022</v>
      </c>
      <c r="N10" s="1004">
        <f t="shared" si="0"/>
        <v>24.585037683704762</v>
      </c>
      <c r="O10" s="1004">
        <f t="shared" si="0"/>
        <v>120.13258586363632</v>
      </c>
      <c r="P10" s="1004">
        <f t="shared" si="0"/>
        <v>100.19637152828187</v>
      </c>
      <c r="Q10" s="1004">
        <f t="shared" si="0"/>
        <v>80.086432061278359</v>
      </c>
      <c r="U10" s="976"/>
      <c r="V10" s="1005">
        <v>8.68</v>
      </c>
      <c r="W10" s="1006"/>
      <c r="X10" s="1002">
        <v>9.101772151898734</v>
      </c>
      <c r="Y10" s="1002">
        <v>2.1339812709455734</v>
      </c>
      <c r="Z10" s="1002">
        <v>10.149020007484683</v>
      </c>
      <c r="AA10" s="1002">
        <v>8.4021174594492507</v>
      </c>
      <c r="AB10" s="1002">
        <v>6.7044600158697172</v>
      </c>
      <c r="AD10" s="1003"/>
      <c r="AE10" s="1003"/>
      <c r="AH10" s="1004">
        <f t="shared" ref="AH10:AL47" si="1">X10*100/$AQ10</f>
        <v>104.85912617394855</v>
      </c>
      <c r="AI10" s="1004">
        <f t="shared" si="1"/>
        <v>24.585037683704762</v>
      </c>
      <c r="AJ10" s="1004">
        <f t="shared" si="1"/>
        <v>116.92419363461617</v>
      </c>
      <c r="AK10" s="1004">
        <f t="shared" si="1"/>
        <v>96.798588242502888</v>
      </c>
      <c r="AL10" s="1004">
        <f t="shared" si="1"/>
        <v>77.240322763476016</v>
      </c>
      <c r="AP10" s="976"/>
      <c r="AQ10" s="1005">
        <v>8.68</v>
      </c>
      <c r="AR10" s="1007"/>
    </row>
    <row r="11" spans="1:44" x14ac:dyDescent="0.35">
      <c r="A11" s="1000">
        <v>1971</v>
      </c>
      <c r="C11" s="1001">
        <v>11.596140486298722</v>
      </c>
      <c r="D11" s="1001">
        <v>3.2001641920841637</v>
      </c>
      <c r="E11" s="1002">
        <v>7.9428287044058923</v>
      </c>
      <c r="F11" s="1002">
        <v>9.6224863597572003</v>
      </c>
      <c r="G11" s="1002">
        <v>7.6736200374375416</v>
      </c>
      <c r="I11" s="1003"/>
      <c r="J11" s="1003"/>
      <c r="M11" s="1004">
        <f t="shared" si="0"/>
        <v>123.36319666275237</v>
      </c>
      <c r="N11" s="1004">
        <f t="shared" si="0"/>
        <v>34.044299915788976</v>
      </c>
      <c r="O11" s="1004">
        <f t="shared" si="0"/>
        <v>84.498177706445659</v>
      </c>
      <c r="P11" s="1004">
        <f t="shared" si="0"/>
        <v>102.36687616762978</v>
      </c>
      <c r="Q11" s="1004">
        <f t="shared" si="0"/>
        <v>81.634255717420658</v>
      </c>
      <c r="U11" s="976"/>
      <c r="V11" s="1005">
        <v>9.4</v>
      </c>
      <c r="W11" s="1006"/>
      <c r="X11" s="1002">
        <v>10.86640144665461</v>
      </c>
      <c r="Y11" s="1002">
        <v>3.2001641920841637</v>
      </c>
      <c r="Z11" s="1002">
        <v>7.7306988338262244</v>
      </c>
      <c r="AA11" s="1002">
        <v>9.2961759073713015</v>
      </c>
      <c r="AB11" s="1002">
        <v>7.4125774311201598</v>
      </c>
      <c r="AD11" s="1003"/>
      <c r="AE11" s="1003"/>
      <c r="AH11" s="1004">
        <f t="shared" si="1"/>
        <v>115.60001538994267</v>
      </c>
      <c r="AI11" s="1004">
        <f t="shared" si="1"/>
        <v>34.044299915788976</v>
      </c>
      <c r="AJ11" s="1004">
        <f t="shared" si="1"/>
        <v>82.241476955598131</v>
      </c>
      <c r="AK11" s="1004">
        <f t="shared" si="1"/>
        <v>98.895488376290444</v>
      </c>
      <c r="AL11" s="1004">
        <f t="shared" si="1"/>
        <v>78.857206714044253</v>
      </c>
      <c r="AP11" s="976"/>
      <c r="AQ11" s="1005">
        <v>9.4</v>
      </c>
      <c r="AR11" s="1007"/>
    </row>
    <row r="12" spans="1:44" x14ac:dyDescent="0.35">
      <c r="A12" s="1000">
        <v>1972</v>
      </c>
      <c r="C12" s="1001">
        <v>12.481956773446544</v>
      </c>
      <c r="D12" s="1001">
        <v>3.0563910405972932</v>
      </c>
      <c r="E12" s="1002">
        <v>6.3406854785599167</v>
      </c>
      <c r="F12" s="1002">
        <v>9.8328139304622759</v>
      </c>
      <c r="G12" s="1002">
        <v>7.5996956307160124</v>
      </c>
      <c r="I12" s="1003"/>
      <c r="J12" s="1003"/>
      <c r="M12" s="1004">
        <f t="shared" si="0"/>
        <v>123.46149132983724</v>
      </c>
      <c r="N12" s="1004">
        <f t="shared" si="0"/>
        <v>30.231365386719027</v>
      </c>
      <c r="O12" s="1004">
        <f t="shared" si="0"/>
        <v>62.716968136102054</v>
      </c>
      <c r="P12" s="1004">
        <f t="shared" si="0"/>
        <v>97.258298026333094</v>
      </c>
      <c r="Q12" s="1004">
        <f t="shared" si="0"/>
        <v>75.170085368110904</v>
      </c>
      <c r="U12" s="976"/>
      <c r="V12" s="1005">
        <v>10.11</v>
      </c>
      <c r="W12" s="1006"/>
      <c r="X12" s="1002">
        <v>11.696473779385173</v>
      </c>
      <c r="Y12" s="1002">
        <v>3.0563910405972932</v>
      </c>
      <c r="Z12" s="1002">
        <v>6.1713441972595664</v>
      </c>
      <c r="AA12" s="1002">
        <v>9.4993710091717674</v>
      </c>
      <c r="AB12" s="1002">
        <v>7.3448705445634346</v>
      </c>
      <c r="AD12" s="1003"/>
      <c r="AE12" s="1003"/>
      <c r="AH12" s="1004">
        <f t="shared" si="1"/>
        <v>115.69212442517482</v>
      </c>
      <c r="AI12" s="1004">
        <f t="shared" si="1"/>
        <v>30.231365386719027</v>
      </c>
      <c r="AJ12" s="1004">
        <f t="shared" si="1"/>
        <v>61.041980190500162</v>
      </c>
      <c r="AK12" s="1004">
        <f t="shared" si="1"/>
        <v>93.960148458672279</v>
      </c>
      <c r="AL12" s="1004">
        <f t="shared" si="1"/>
        <v>72.649560282526551</v>
      </c>
      <c r="AP12" s="976"/>
      <c r="AQ12" s="1005">
        <v>10.11</v>
      </c>
      <c r="AR12" s="1007"/>
    </row>
    <row r="13" spans="1:44" x14ac:dyDescent="0.35">
      <c r="A13" s="1000">
        <v>1973</v>
      </c>
      <c r="C13" s="1001">
        <v>13.058047086067154</v>
      </c>
      <c r="D13" s="1001">
        <v>2.9885430365248369</v>
      </c>
      <c r="E13" s="1002">
        <v>6.7027517442878217</v>
      </c>
      <c r="F13" s="1002">
        <v>9.8906540124061699</v>
      </c>
      <c r="G13" s="1002">
        <v>7.6316083023072601</v>
      </c>
      <c r="I13" s="1003"/>
      <c r="J13" s="1003"/>
      <c r="M13" s="1004">
        <f t="shared" si="0"/>
        <v>118.70951896424685</v>
      </c>
      <c r="N13" s="1004">
        <f t="shared" si="0"/>
        <v>27.168573059316699</v>
      </c>
      <c r="O13" s="1004">
        <f t="shared" si="0"/>
        <v>60.934106766252924</v>
      </c>
      <c r="P13" s="1004">
        <f t="shared" si="0"/>
        <v>89.915036476419729</v>
      </c>
      <c r="Q13" s="1004">
        <f t="shared" si="0"/>
        <v>69.378257293702362</v>
      </c>
      <c r="U13" s="976"/>
      <c r="V13" s="1005">
        <v>11</v>
      </c>
      <c r="W13" s="1006"/>
      <c r="X13" s="1002">
        <v>12.236311030741408</v>
      </c>
      <c r="Y13" s="1002">
        <v>2.9885430365248369</v>
      </c>
      <c r="Z13" s="1002">
        <v>6.5237407252972304</v>
      </c>
      <c r="AA13" s="1002">
        <v>9.5552496621668936</v>
      </c>
      <c r="AB13" s="1002">
        <v>7.3738613542301232</v>
      </c>
      <c r="AD13" s="1003"/>
      <c r="AE13" s="1003"/>
      <c r="AH13" s="1004">
        <f t="shared" si="1"/>
        <v>111.23919118855825</v>
      </c>
      <c r="AI13" s="1004">
        <f t="shared" si="1"/>
        <v>27.168573059316699</v>
      </c>
      <c r="AJ13" s="1004">
        <f t="shared" si="1"/>
        <v>59.306733866338455</v>
      </c>
      <c r="AK13" s="1004">
        <f t="shared" si="1"/>
        <v>86.865906019699025</v>
      </c>
      <c r="AL13" s="1004">
        <f t="shared" si="1"/>
        <v>67.035103220273854</v>
      </c>
      <c r="AP13" s="976"/>
      <c r="AQ13" s="1005">
        <v>11</v>
      </c>
      <c r="AR13" s="1007"/>
    </row>
    <row r="14" spans="1:44" x14ac:dyDescent="0.35">
      <c r="A14" s="1000">
        <v>1974</v>
      </c>
      <c r="C14" s="1001">
        <v>14.210227711308374</v>
      </c>
      <c r="D14" s="1001">
        <v>7.0820392822296698</v>
      </c>
      <c r="E14" s="1002">
        <v>7.7301147732907474</v>
      </c>
      <c r="F14" s="1002">
        <v>13.497771849998214</v>
      </c>
      <c r="G14" s="1002">
        <v>10.165937144799338</v>
      </c>
      <c r="I14" s="1003"/>
      <c r="J14" s="1003"/>
      <c r="M14" s="1004">
        <f t="shared" si="0"/>
        <v>111.19114015108273</v>
      </c>
      <c r="N14" s="1004">
        <f t="shared" si="0"/>
        <v>55.415017857822143</v>
      </c>
      <c r="O14" s="1004">
        <f t="shared" si="0"/>
        <v>60.486031089911954</v>
      </c>
      <c r="P14" s="1004">
        <f t="shared" si="0"/>
        <v>105.61636815335066</v>
      </c>
      <c r="Q14" s="1004">
        <f t="shared" si="0"/>
        <v>79.545674059462741</v>
      </c>
      <c r="U14" s="976"/>
      <c r="V14" s="1005">
        <v>12.78</v>
      </c>
      <c r="W14" s="1006"/>
      <c r="X14" s="1002">
        <v>13.315985533453887</v>
      </c>
      <c r="Y14" s="1002">
        <v>7.0820392822296698</v>
      </c>
      <c r="Z14" s="1002">
        <v>7.523665873604096</v>
      </c>
      <c r="AA14" s="1002">
        <v>13.04004565804488</v>
      </c>
      <c r="AB14" s="1002">
        <v>9.9013713143588866</v>
      </c>
      <c r="AD14" s="1003"/>
      <c r="AE14" s="1003"/>
      <c r="AH14" s="1004">
        <f t="shared" si="1"/>
        <v>104.19394001137627</v>
      </c>
      <c r="AI14" s="1004">
        <f t="shared" si="1"/>
        <v>55.415017857822143</v>
      </c>
      <c r="AJ14" s="1004">
        <f t="shared" si="1"/>
        <v>58.870624989077442</v>
      </c>
      <c r="AK14" s="1004">
        <f t="shared" si="1"/>
        <v>102.03478605668921</v>
      </c>
      <c r="AL14" s="1004">
        <f t="shared" si="1"/>
        <v>77.475518891697092</v>
      </c>
      <c r="AP14" s="976"/>
      <c r="AQ14" s="1005">
        <v>12.78</v>
      </c>
      <c r="AR14" s="1007"/>
    </row>
    <row r="15" spans="1:44" x14ac:dyDescent="0.35">
      <c r="A15" s="1000">
        <v>1975</v>
      </c>
      <c r="C15" s="1001">
        <v>21.309147047472017</v>
      </c>
      <c r="D15" s="1001">
        <v>8.9171662495227597</v>
      </c>
      <c r="E15" s="1002">
        <v>10.685480667294765</v>
      </c>
      <c r="F15" s="1002">
        <v>17.92516721334005</v>
      </c>
      <c r="G15" s="1002">
        <v>13.943869417306637</v>
      </c>
      <c r="I15" s="1003"/>
      <c r="J15" s="1003"/>
      <c r="M15" s="1004">
        <f t="shared" si="0"/>
        <v>132.1907385078909</v>
      </c>
      <c r="N15" s="1004">
        <f t="shared" si="0"/>
        <v>55.317408495798759</v>
      </c>
      <c r="O15" s="1004">
        <f t="shared" si="0"/>
        <v>66.287100913739224</v>
      </c>
      <c r="P15" s="1004">
        <f t="shared" si="0"/>
        <v>111.19830777506235</v>
      </c>
      <c r="Q15" s="1004">
        <f t="shared" si="0"/>
        <v>86.500430628453074</v>
      </c>
      <c r="U15" s="976"/>
      <c r="V15" s="1005">
        <v>16.12</v>
      </c>
      <c r="W15" s="1006"/>
      <c r="X15" s="1002">
        <v>19.968173598553342</v>
      </c>
      <c r="Y15" s="1002">
        <v>8.9171662495227597</v>
      </c>
      <c r="Z15" s="1002">
        <v>10.400102533711518</v>
      </c>
      <c r="AA15" s="1002">
        <v>17.317302550944682</v>
      </c>
      <c r="AB15" s="1002">
        <v>13.54939700638884</v>
      </c>
      <c r="AD15" s="1003"/>
      <c r="AE15" s="1003"/>
      <c r="AH15" s="1004">
        <f t="shared" si="1"/>
        <v>123.8720446560381</v>
      </c>
      <c r="AI15" s="1004">
        <f t="shared" si="1"/>
        <v>55.317408495798759</v>
      </c>
      <c r="AJ15" s="1004">
        <f t="shared" si="1"/>
        <v>64.516765097465992</v>
      </c>
      <c r="AK15" s="1004">
        <f t="shared" si="1"/>
        <v>107.42743517955758</v>
      </c>
      <c r="AL15" s="1004">
        <f t="shared" si="1"/>
        <v>84.053331305141683</v>
      </c>
      <c r="AP15" s="976"/>
      <c r="AQ15" s="1005">
        <v>16.12</v>
      </c>
      <c r="AR15" s="1007"/>
    </row>
    <row r="16" spans="1:44" x14ac:dyDescent="0.35">
      <c r="A16" s="1000">
        <v>1976</v>
      </c>
      <c r="C16" s="1001">
        <v>26.382458510227707</v>
      </c>
      <c r="D16" s="1001">
        <v>10.214355470241376</v>
      </c>
      <c r="E16" s="1002">
        <v>15.564323597978269</v>
      </c>
      <c r="F16" s="1002">
        <v>20.72778209298518</v>
      </c>
      <c r="G16" s="1002">
        <v>16.604172156287564</v>
      </c>
      <c r="I16" s="1003"/>
      <c r="J16" s="1003"/>
      <c r="M16" s="1004">
        <f t="shared" si="0"/>
        <v>141.68882121497157</v>
      </c>
      <c r="N16" s="1004">
        <f t="shared" si="0"/>
        <v>54.856903706989122</v>
      </c>
      <c r="O16" s="1004">
        <f t="shared" si="0"/>
        <v>83.589278184630871</v>
      </c>
      <c r="P16" s="1004">
        <f t="shared" si="0"/>
        <v>111.31998975824479</v>
      </c>
      <c r="Q16" s="1004">
        <f t="shared" si="0"/>
        <v>89.173856908096468</v>
      </c>
      <c r="U16" s="976"/>
      <c r="V16" s="1005">
        <v>18.62</v>
      </c>
      <c r="W16" s="1006"/>
      <c r="X16" s="1002">
        <v>24.722224231464736</v>
      </c>
      <c r="Y16" s="1002">
        <v>10.214355470241376</v>
      </c>
      <c r="Z16" s="1002">
        <v>15.148645749019021</v>
      </c>
      <c r="AA16" s="1002">
        <v>20.024877282435888</v>
      </c>
      <c r="AB16" s="1002">
        <v>16.128582578609549</v>
      </c>
      <c r="AD16" s="1003"/>
      <c r="AE16" s="1003"/>
      <c r="AH16" s="1004">
        <f t="shared" si="1"/>
        <v>132.77241799927353</v>
      </c>
      <c r="AI16" s="1004">
        <f t="shared" si="1"/>
        <v>54.856903706989122</v>
      </c>
      <c r="AJ16" s="1004">
        <f t="shared" si="1"/>
        <v>81.356851498490983</v>
      </c>
      <c r="AK16" s="1004">
        <f t="shared" si="1"/>
        <v>107.54499077570294</v>
      </c>
      <c r="AL16" s="1004">
        <f t="shared" si="1"/>
        <v>86.619670132167286</v>
      </c>
      <c r="AP16" s="976"/>
      <c r="AQ16" s="1005">
        <v>18.62</v>
      </c>
      <c r="AR16" s="1007"/>
    </row>
    <row r="17" spans="1:44" x14ac:dyDescent="0.35">
      <c r="A17" s="1000">
        <v>1977</v>
      </c>
      <c r="C17" s="1001">
        <v>31.486742570436117</v>
      </c>
      <c r="D17" s="1001">
        <v>12.950891634497093</v>
      </c>
      <c r="E17" s="1002">
        <v>21.244238141584756</v>
      </c>
      <c r="F17" s="1002">
        <v>23.877437464293681</v>
      </c>
      <c r="G17" s="1002">
        <v>19.835380599131479</v>
      </c>
      <c r="I17" s="1003"/>
      <c r="J17" s="1003"/>
      <c r="M17" s="1004">
        <f t="shared" si="0"/>
        <v>148.52237061526472</v>
      </c>
      <c r="N17" s="1004">
        <f t="shared" si="0"/>
        <v>61.089111483476856</v>
      </c>
      <c r="O17" s="1004">
        <f t="shared" si="0"/>
        <v>100.20867047917338</v>
      </c>
      <c r="P17" s="1004">
        <f t="shared" si="0"/>
        <v>112.62942200138529</v>
      </c>
      <c r="Q17" s="1004">
        <f t="shared" si="0"/>
        <v>93.563116033639048</v>
      </c>
      <c r="U17" s="976"/>
      <c r="V17" s="1005">
        <v>21.2</v>
      </c>
      <c r="W17" s="1006"/>
      <c r="X17" s="1002">
        <v>29.505298372513561</v>
      </c>
      <c r="Y17" s="1002">
        <v>12.950891634497093</v>
      </c>
      <c r="Z17" s="1002">
        <v>20.676866282609851</v>
      </c>
      <c r="AA17" s="1002">
        <v>23.067723931897856</v>
      </c>
      <c r="AB17" s="1002">
        <v>19.288992086355769</v>
      </c>
      <c r="AD17" s="1003"/>
      <c r="AE17" s="1003"/>
      <c r="AH17" s="1004">
        <f t="shared" si="1"/>
        <v>139.17593571940361</v>
      </c>
      <c r="AI17" s="1004">
        <f t="shared" si="1"/>
        <v>61.089111483476856</v>
      </c>
      <c r="AJ17" s="1004">
        <f t="shared" si="1"/>
        <v>97.532388125518153</v>
      </c>
      <c r="AK17" s="1004">
        <f t="shared" si="1"/>
        <v>108.810018546688</v>
      </c>
      <c r="AL17" s="1004">
        <f t="shared" si="1"/>
        <v>90.985811728093253</v>
      </c>
      <c r="AP17" s="976"/>
      <c r="AQ17" s="1005">
        <v>21.2</v>
      </c>
      <c r="AR17" s="1007"/>
    </row>
    <row r="18" spans="1:44" x14ac:dyDescent="0.35">
      <c r="A18" s="1000">
        <v>1978</v>
      </c>
      <c r="C18" s="1001">
        <v>34.175164029332301</v>
      </c>
      <c r="D18" s="1001">
        <v>12.143177300301193</v>
      </c>
      <c r="E18" s="1002">
        <v>26.231700951986632</v>
      </c>
      <c r="F18" s="1002">
        <v>26.269913581063918</v>
      </c>
      <c r="G18" s="1002">
        <v>22.208036691965209</v>
      </c>
      <c r="I18" s="1003"/>
      <c r="J18" s="1003"/>
      <c r="M18" s="1004">
        <f t="shared" si="0"/>
        <v>144.13818654294516</v>
      </c>
      <c r="N18" s="1004">
        <f t="shared" si="0"/>
        <v>51.215425138343285</v>
      </c>
      <c r="O18" s="1004">
        <f t="shared" si="0"/>
        <v>110.63560080972852</v>
      </c>
      <c r="P18" s="1004">
        <f t="shared" si="0"/>
        <v>110.79676752873858</v>
      </c>
      <c r="Q18" s="1004">
        <f t="shared" si="0"/>
        <v>93.665274955568151</v>
      </c>
      <c r="U18" s="976"/>
      <c r="V18" s="1005">
        <v>23.71</v>
      </c>
      <c r="W18" s="1006"/>
      <c r="X18" s="1002">
        <v>32.024538878842677</v>
      </c>
      <c r="Y18" s="1002">
        <v>12.143177300301193</v>
      </c>
      <c r="Z18" s="1002">
        <v>25.531128456328656</v>
      </c>
      <c r="AA18" s="1002">
        <v>25.379068214878153</v>
      </c>
      <c r="AB18" s="1002">
        <v>21.556934999220079</v>
      </c>
      <c r="AD18" s="1003"/>
      <c r="AE18" s="1003"/>
      <c r="AH18" s="1004">
        <f t="shared" si="1"/>
        <v>135.06764605163508</v>
      </c>
      <c r="AI18" s="1004">
        <f t="shared" si="1"/>
        <v>51.215425138343285</v>
      </c>
      <c r="AJ18" s="1004">
        <f t="shared" si="1"/>
        <v>107.68084545056371</v>
      </c>
      <c r="AK18" s="1004">
        <f t="shared" si="1"/>
        <v>107.03951166123218</v>
      </c>
      <c r="AL18" s="1004">
        <f t="shared" si="1"/>
        <v>90.919169123661234</v>
      </c>
      <c r="AP18" s="976"/>
      <c r="AQ18" s="1005">
        <v>23.71</v>
      </c>
      <c r="AR18" s="1007"/>
    </row>
    <row r="19" spans="1:44" x14ac:dyDescent="0.35">
      <c r="A19" s="1000">
        <v>1979</v>
      </c>
      <c r="C19" s="1001">
        <v>39.781204168274797</v>
      </c>
      <c r="D19" s="1001">
        <v>15.083257476774273</v>
      </c>
      <c r="E19" s="1002">
        <v>29.920251034089652</v>
      </c>
      <c r="F19" s="1002">
        <v>29.193466813864461</v>
      </c>
      <c r="G19" s="1002">
        <v>25.304745119205364</v>
      </c>
      <c r="I19" s="1003"/>
      <c r="J19" s="1003"/>
      <c r="M19" s="1004">
        <f t="shared" si="0"/>
        <v>146.63178830915888</v>
      </c>
      <c r="N19" s="1004">
        <f t="shared" si="0"/>
        <v>55.596231023863886</v>
      </c>
      <c r="O19" s="1004">
        <f t="shared" si="0"/>
        <v>110.28474395167584</v>
      </c>
      <c r="P19" s="1004">
        <f t="shared" si="0"/>
        <v>107.60584892688708</v>
      </c>
      <c r="Q19" s="1004">
        <f t="shared" si="0"/>
        <v>93.272189897550177</v>
      </c>
      <c r="U19" s="976"/>
      <c r="V19" s="1005">
        <v>27.13</v>
      </c>
      <c r="W19" s="1006"/>
      <c r="X19" s="1002">
        <v>37.277793851717902</v>
      </c>
      <c r="Y19" s="1002">
        <v>15.083257476774273</v>
      </c>
      <c r="Z19" s="1002">
        <v>29.121168085712341</v>
      </c>
      <c r="AA19" s="1002">
        <v>28.203480129904619</v>
      </c>
      <c r="AB19" s="1002">
        <v>24.575552914952212</v>
      </c>
      <c r="AD19" s="1003"/>
      <c r="AE19" s="1003"/>
      <c r="AH19" s="1004">
        <f t="shared" si="1"/>
        <v>137.40432676637636</v>
      </c>
      <c r="AI19" s="1004">
        <f t="shared" si="1"/>
        <v>55.596231023863886</v>
      </c>
      <c r="AJ19" s="1004">
        <f t="shared" si="1"/>
        <v>107.33935895949998</v>
      </c>
      <c r="AK19" s="1004">
        <f t="shared" si="1"/>
        <v>103.95680106857583</v>
      </c>
      <c r="AL19" s="1004">
        <f t="shared" si="1"/>
        <v>90.584419148367914</v>
      </c>
      <c r="AP19" s="976"/>
      <c r="AQ19" s="1005">
        <v>27.13</v>
      </c>
      <c r="AR19" s="1007"/>
    </row>
    <row r="20" spans="1:44" x14ac:dyDescent="0.35">
      <c r="A20" s="1000">
        <v>1980</v>
      </c>
      <c r="C20" s="1001">
        <v>51.569374758780398</v>
      </c>
      <c r="D20" s="1001">
        <v>21.368890425486782</v>
      </c>
      <c r="E20" s="1002">
        <v>40.696248267816401</v>
      </c>
      <c r="F20" s="1002">
        <v>35.997563726173645</v>
      </c>
      <c r="G20" s="1002">
        <v>33.221776450068027</v>
      </c>
      <c r="I20" s="1003"/>
      <c r="J20" s="1003"/>
      <c r="M20" s="1004">
        <f t="shared" si="0"/>
        <v>158.28537372246899</v>
      </c>
      <c r="N20" s="1004">
        <f t="shared" si="0"/>
        <v>65.588982275895589</v>
      </c>
      <c r="O20" s="1004">
        <f t="shared" si="0"/>
        <v>124.91175036162186</v>
      </c>
      <c r="P20" s="1004">
        <f t="shared" si="0"/>
        <v>110.48975974884483</v>
      </c>
      <c r="Q20" s="1004">
        <f t="shared" si="0"/>
        <v>101.96984791303876</v>
      </c>
      <c r="U20" s="976"/>
      <c r="V20" s="1005">
        <v>32.58</v>
      </c>
      <c r="W20" s="1006"/>
      <c r="X20" s="1002">
        <v>48.3241410488246</v>
      </c>
      <c r="Y20" s="1002">
        <v>21.368890425486782</v>
      </c>
      <c r="Z20" s="1002">
        <v>39.609369751433277</v>
      </c>
      <c r="AA20" s="1002">
        <v>34.776841673149676</v>
      </c>
      <c r="AB20" s="1002">
        <v>32.296485680497597</v>
      </c>
      <c r="AD20" s="1003"/>
      <c r="AE20" s="1003"/>
      <c r="AH20" s="1004">
        <f t="shared" si="1"/>
        <v>148.32455816091039</v>
      </c>
      <c r="AI20" s="1004">
        <f t="shared" si="1"/>
        <v>65.588982275895589</v>
      </c>
      <c r="AJ20" s="1004">
        <f t="shared" si="1"/>
        <v>121.57572053846924</v>
      </c>
      <c r="AK20" s="1004">
        <f t="shared" si="1"/>
        <v>106.74291489610091</v>
      </c>
      <c r="AL20" s="1004">
        <f t="shared" si="1"/>
        <v>99.129790302325361</v>
      </c>
      <c r="AP20" s="976"/>
      <c r="AQ20" s="1005">
        <v>32.58</v>
      </c>
      <c r="AR20" s="1007"/>
    </row>
    <row r="21" spans="1:44" x14ac:dyDescent="0.35">
      <c r="A21" s="1000">
        <v>1981</v>
      </c>
      <c r="C21" s="1001">
        <v>59.597472018525657</v>
      </c>
      <c r="D21" s="1001">
        <v>25.602928965341704</v>
      </c>
      <c r="E21" s="1002">
        <v>49.336054533748509</v>
      </c>
      <c r="F21" s="1002">
        <v>41.692182703013572</v>
      </c>
      <c r="G21" s="1002">
        <v>39.111446633190987</v>
      </c>
      <c r="I21" s="1003"/>
      <c r="J21" s="1003"/>
      <c r="M21" s="1004">
        <f t="shared" si="0"/>
        <v>162.70126131183636</v>
      </c>
      <c r="N21" s="1004">
        <f t="shared" si="0"/>
        <v>69.89606597144882</v>
      </c>
      <c r="O21" s="1004">
        <f t="shared" si="0"/>
        <v>134.687563564697</v>
      </c>
      <c r="P21" s="1004">
        <f t="shared" si="0"/>
        <v>113.81977259899963</v>
      </c>
      <c r="Q21" s="1004">
        <f t="shared" si="0"/>
        <v>106.77435608296747</v>
      </c>
      <c r="U21" s="976"/>
      <c r="V21" s="1005">
        <v>36.630000000000003</v>
      </c>
      <c r="W21" s="1006"/>
      <c r="X21" s="1002">
        <v>55.847034358047011</v>
      </c>
      <c r="Y21" s="1002">
        <v>25.602928965341704</v>
      </c>
      <c r="Z21" s="1002">
        <v>48.018431901732008</v>
      </c>
      <c r="AA21" s="1002">
        <v>40.278349054397289</v>
      </c>
      <c r="AB21" s="1002">
        <v>38.039981523325494</v>
      </c>
      <c r="AD21" s="1003"/>
      <c r="AE21" s="1003"/>
      <c r="AH21" s="1004">
        <f t="shared" si="1"/>
        <v>152.4625562600246</v>
      </c>
      <c r="AI21" s="1004">
        <f t="shared" si="1"/>
        <v>69.89606597144882</v>
      </c>
      <c r="AJ21" s="1004">
        <f t="shared" si="1"/>
        <v>131.09045018217856</v>
      </c>
      <c r="AK21" s="1004">
        <f t="shared" si="1"/>
        <v>109.96000287850747</v>
      </c>
      <c r="AL21" s="1004">
        <f t="shared" si="1"/>
        <v>103.84925340793201</v>
      </c>
      <c r="AP21" s="976"/>
      <c r="AQ21" s="1005">
        <v>36.630000000000003</v>
      </c>
      <c r="AR21" s="1007"/>
    </row>
    <row r="22" spans="1:44" x14ac:dyDescent="0.35">
      <c r="A22" s="1000">
        <v>1982</v>
      </c>
      <c r="C22" s="1001">
        <v>70.766190659976829</v>
      </c>
      <c r="D22" s="1001">
        <v>27.047122194883976</v>
      </c>
      <c r="E22" s="1002">
        <v>52.440772762365285</v>
      </c>
      <c r="F22" s="1002">
        <v>45.672631978607114</v>
      </c>
      <c r="G22" s="1002">
        <v>43.071860660408746</v>
      </c>
      <c r="I22" s="1003"/>
      <c r="J22" s="1003"/>
      <c r="M22" s="1004">
        <f t="shared" si="0"/>
        <v>178.88319175929431</v>
      </c>
      <c r="N22" s="1004">
        <f t="shared" si="0"/>
        <v>68.369874102335629</v>
      </c>
      <c r="O22" s="1004">
        <f t="shared" si="0"/>
        <v>132.56009292812254</v>
      </c>
      <c r="P22" s="1004">
        <f t="shared" si="0"/>
        <v>115.45154696311201</v>
      </c>
      <c r="Q22" s="1004">
        <f t="shared" si="0"/>
        <v>108.8773019727218</v>
      </c>
      <c r="U22" s="976"/>
      <c r="V22" s="1005">
        <v>39.56</v>
      </c>
      <c r="W22" s="1006"/>
      <c r="X22" s="1002">
        <v>66.312911392405056</v>
      </c>
      <c r="Y22" s="1002">
        <v>27.047122194883976</v>
      </c>
      <c r="Z22" s="1002">
        <v>51.04023212965496</v>
      </c>
      <c r="AA22" s="1002">
        <v>44.123816355971108</v>
      </c>
      <c r="AB22" s="1002">
        <v>41.841727654239875</v>
      </c>
      <c r="AD22" s="1003"/>
      <c r="AE22" s="1003"/>
      <c r="AH22" s="1004">
        <f t="shared" si="1"/>
        <v>167.62616631042732</v>
      </c>
      <c r="AI22" s="1004">
        <f t="shared" si="1"/>
        <v>68.369874102335629</v>
      </c>
      <c r="AJ22" s="1004">
        <f t="shared" si="1"/>
        <v>129.01979810327339</v>
      </c>
      <c r="AK22" s="1004">
        <f t="shared" si="1"/>
        <v>111.53644174916863</v>
      </c>
      <c r="AL22" s="1004">
        <f t="shared" si="1"/>
        <v>105.7677645456013</v>
      </c>
      <c r="AP22" s="976"/>
      <c r="AQ22" s="1005">
        <v>39.56</v>
      </c>
      <c r="AR22" s="1007"/>
    </row>
    <row r="23" spans="1:44" x14ac:dyDescent="0.35">
      <c r="A23" s="1000">
        <v>1983</v>
      </c>
      <c r="C23" s="1001">
        <v>73.225414897722871</v>
      </c>
      <c r="D23" s="1001">
        <v>29.783658359139693</v>
      </c>
      <c r="E23" s="1002">
        <v>53.341412598363434</v>
      </c>
      <c r="F23" s="1002">
        <v>45.851410413706432</v>
      </c>
      <c r="G23" s="1002">
        <v>44.619693094170287</v>
      </c>
      <c r="I23" s="1003"/>
      <c r="J23" s="1003"/>
      <c r="M23" s="1004">
        <f t="shared" si="0"/>
        <v>175.39021532388711</v>
      </c>
      <c r="N23" s="1004">
        <f t="shared" si="0"/>
        <v>71.338103854226816</v>
      </c>
      <c r="O23" s="1004">
        <f t="shared" si="0"/>
        <v>127.76386251105014</v>
      </c>
      <c r="P23" s="1004">
        <f t="shared" si="0"/>
        <v>109.82373751785973</v>
      </c>
      <c r="Q23" s="1004">
        <f t="shared" si="0"/>
        <v>106.87351639322225</v>
      </c>
      <c r="U23" s="976"/>
      <c r="V23" s="1005">
        <v>41.75</v>
      </c>
      <c r="W23" s="1006"/>
      <c r="X23" s="1002">
        <v>68.61737793851718</v>
      </c>
      <c r="Y23" s="1002">
        <v>29.783658359139693</v>
      </c>
      <c r="Z23" s="1002">
        <v>51.916818493148639</v>
      </c>
      <c r="AA23" s="1002">
        <v>44.296532192501502</v>
      </c>
      <c r="AB23" s="1002">
        <v>43.346782443182853</v>
      </c>
      <c r="AD23" s="1003"/>
      <c r="AE23" s="1003"/>
      <c r="AH23" s="1004">
        <f t="shared" si="1"/>
        <v>164.35300105034057</v>
      </c>
      <c r="AI23" s="1004">
        <f t="shared" si="1"/>
        <v>71.338103854226816</v>
      </c>
      <c r="AJ23" s="1004">
        <f t="shared" si="1"/>
        <v>124.35166106143387</v>
      </c>
      <c r="AK23" s="1004">
        <f t="shared" si="1"/>
        <v>106.09947830539281</v>
      </c>
      <c r="AL23" s="1004">
        <f t="shared" si="1"/>
        <v>103.824628606426</v>
      </c>
      <c r="AP23" s="976"/>
      <c r="AQ23" s="1005">
        <v>41.75</v>
      </c>
      <c r="AR23" s="1007"/>
    </row>
    <row r="24" spans="1:44" x14ac:dyDescent="0.35">
      <c r="A24" s="1000">
        <v>1984</v>
      </c>
      <c r="C24" s="1001">
        <v>73.305943651099952</v>
      </c>
      <c r="D24" s="1001">
        <v>35.415042697153524</v>
      </c>
      <c r="E24" s="1002">
        <v>55.115537300430177</v>
      </c>
      <c r="F24" s="1002">
        <v>45.772537574692038</v>
      </c>
      <c r="G24" s="1002">
        <v>46.576077717060286</v>
      </c>
      <c r="I24" s="1003"/>
      <c r="J24" s="1003"/>
      <c r="M24" s="1004">
        <f t="shared" si="0"/>
        <v>166.8698922173912</v>
      </c>
      <c r="N24" s="1004">
        <f t="shared" si="0"/>
        <v>80.61698770123725</v>
      </c>
      <c r="O24" s="1004">
        <f t="shared" si="0"/>
        <v>125.46218370232228</v>
      </c>
      <c r="P24" s="1004">
        <f t="shared" si="0"/>
        <v>104.19425808033699</v>
      </c>
      <c r="Q24" s="1004">
        <f t="shared" si="0"/>
        <v>106.0233956682456</v>
      </c>
      <c r="U24" s="976"/>
      <c r="V24" s="1005">
        <v>43.93</v>
      </c>
      <c r="W24" s="1006"/>
      <c r="X24" s="1002">
        <v>68.692839059674512</v>
      </c>
      <c r="Y24" s="1002">
        <v>35.415042697153524</v>
      </c>
      <c r="Z24" s="1002">
        <v>53.643561480533187</v>
      </c>
      <c r="AA24" s="1002">
        <v>44.220334029326317</v>
      </c>
      <c r="AB24" s="1002">
        <v>45.319739198968861</v>
      </c>
      <c r="AD24" s="1003"/>
      <c r="AE24" s="1003"/>
      <c r="AH24" s="1004">
        <f t="shared" si="1"/>
        <v>156.36885740877423</v>
      </c>
      <c r="AI24" s="1004">
        <f t="shared" si="1"/>
        <v>80.61698770123725</v>
      </c>
      <c r="AJ24" s="1004">
        <f t="shared" si="1"/>
        <v>122.11145340435509</v>
      </c>
      <c r="AK24" s="1004">
        <f t="shared" si="1"/>
        <v>100.66090150085662</v>
      </c>
      <c r="AL24" s="1004">
        <f t="shared" si="1"/>
        <v>103.16353106981303</v>
      </c>
      <c r="AP24" s="976"/>
      <c r="AQ24" s="1005">
        <v>43.93</v>
      </c>
      <c r="AR24" s="1007"/>
    </row>
    <row r="25" spans="1:44" x14ac:dyDescent="0.35">
      <c r="A25" s="1000">
        <v>1985</v>
      </c>
      <c r="C25" s="1001">
        <v>76.186395214202989</v>
      </c>
      <c r="D25" s="1001">
        <v>35.914210155686582</v>
      </c>
      <c r="E25" s="1002">
        <v>58.840294009105989</v>
      </c>
      <c r="F25" s="1002">
        <v>47.565580114952802</v>
      </c>
      <c r="G25" s="1002">
        <v>49.307908495104584</v>
      </c>
      <c r="I25" s="1003"/>
      <c r="J25" s="1003"/>
      <c r="M25" s="1004">
        <f t="shared" si="0"/>
        <v>164.54944970670192</v>
      </c>
      <c r="N25" s="1004">
        <f t="shared" si="0"/>
        <v>77.568488457206442</v>
      </c>
      <c r="O25" s="1004">
        <f t="shared" si="0"/>
        <v>127.08486827020734</v>
      </c>
      <c r="P25" s="1004">
        <f t="shared" si="0"/>
        <v>102.73343437354816</v>
      </c>
      <c r="Q25" s="1004">
        <f t="shared" si="0"/>
        <v>106.49656262441596</v>
      </c>
      <c r="U25" s="976"/>
      <c r="V25" s="1005">
        <v>46.3</v>
      </c>
      <c r="W25" s="1006"/>
      <c r="X25" s="1002">
        <v>71.392025316455687</v>
      </c>
      <c r="Y25" s="1002">
        <v>35.914210155686582</v>
      </c>
      <c r="Z25" s="1002">
        <v>57.268840762720629</v>
      </c>
      <c r="AA25" s="1002">
        <v>45.952572272175296</v>
      </c>
      <c r="AB25" s="1002">
        <v>47.921909696284438</v>
      </c>
      <c r="AD25" s="1003"/>
      <c r="AE25" s="1003"/>
      <c r="AH25" s="1004">
        <f t="shared" si="1"/>
        <v>154.19443912841402</v>
      </c>
      <c r="AI25" s="1004">
        <f t="shared" si="1"/>
        <v>77.568488457206442</v>
      </c>
      <c r="AJ25" s="1004">
        <f t="shared" si="1"/>
        <v>123.69080078341389</v>
      </c>
      <c r="AK25" s="1004">
        <f t="shared" si="1"/>
        <v>99.24961613860755</v>
      </c>
      <c r="AL25" s="1004">
        <f t="shared" si="1"/>
        <v>103.50304470039836</v>
      </c>
      <c r="AP25" s="976"/>
      <c r="AQ25" s="1005">
        <v>46.3</v>
      </c>
      <c r="AR25" s="1007"/>
    </row>
    <row r="26" spans="1:44" x14ac:dyDescent="0.35">
      <c r="A26" s="1000">
        <v>1986</v>
      </c>
      <c r="C26" s="1001">
        <v>72.382960247008853</v>
      </c>
      <c r="D26" s="1001">
        <v>17.275394179781951</v>
      </c>
      <c r="E26" s="1002">
        <v>51.322893166930385</v>
      </c>
      <c r="F26" s="1002">
        <v>48.044075338306847</v>
      </c>
      <c r="G26" s="1002">
        <v>44.95531101214852</v>
      </c>
      <c r="I26" s="1003"/>
      <c r="J26" s="1003"/>
      <c r="M26" s="1004">
        <f t="shared" si="0"/>
        <v>149.64432550549691</v>
      </c>
      <c r="N26" s="1004">
        <f t="shared" si="0"/>
        <v>35.715100640442323</v>
      </c>
      <c r="O26" s="1004">
        <f t="shared" si="0"/>
        <v>106.10480290868388</v>
      </c>
      <c r="P26" s="1004">
        <f t="shared" si="0"/>
        <v>99.326184284281268</v>
      </c>
      <c r="Q26" s="1004">
        <f t="shared" si="0"/>
        <v>92.940481728651079</v>
      </c>
      <c r="U26" s="976"/>
      <c r="V26" s="1005">
        <v>48.37</v>
      </c>
      <c r="W26" s="1006"/>
      <c r="X26" s="1002">
        <v>67.827938517179021</v>
      </c>
      <c r="Y26" s="1002">
        <v>17.275394179781951</v>
      </c>
      <c r="Z26" s="1002">
        <v>49.952207849338677</v>
      </c>
      <c r="AA26" s="1002">
        <v>46.414841128771357</v>
      </c>
      <c r="AB26" s="1002">
        <v>43.462412691271467</v>
      </c>
      <c r="AD26" s="1003"/>
      <c r="AE26" s="1003"/>
      <c r="AH26" s="1004">
        <f t="shared" si="1"/>
        <v>140.22728657676043</v>
      </c>
      <c r="AI26" s="1004">
        <f t="shared" si="1"/>
        <v>35.715100640442323</v>
      </c>
      <c r="AJ26" s="1004">
        <f t="shared" si="1"/>
        <v>103.27105199367102</v>
      </c>
      <c r="AK26" s="1004">
        <f t="shared" si="1"/>
        <v>95.957910127705929</v>
      </c>
      <c r="AL26" s="1004">
        <f t="shared" si="1"/>
        <v>89.85406799932079</v>
      </c>
      <c r="AP26" s="976"/>
      <c r="AQ26" s="1005">
        <v>48.37</v>
      </c>
      <c r="AR26" s="1007"/>
    </row>
    <row r="27" spans="1:44" x14ac:dyDescent="0.35">
      <c r="A27" s="1000">
        <v>1987</v>
      </c>
      <c r="C27" s="1001">
        <v>69.42817445001927</v>
      </c>
      <c r="D27" s="1001">
        <v>18.485350252407414</v>
      </c>
      <c r="E27" s="1002">
        <v>48.349423959639971</v>
      </c>
      <c r="F27" s="1002">
        <v>46.655913371653355</v>
      </c>
      <c r="G27" s="1002">
        <v>44.175279061865929</v>
      </c>
      <c r="I27" s="1003"/>
      <c r="J27" s="1003"/>
      <c r="M27" s="1004">
        <f t="shared" si="0"/>
        <v>136.1870820910539</v>
      </c>
      <c r="N27" s="1004">
        <f t="shared" si="0"/>
        <v>36.260004418217768</v>
      </c>
      <c r="O27" s="1004">
        <f t="shared" si="0"/>
        <v>94.839984228403239</v>
      </c>
      <c r="P27" s="1004">
        <f t="shared" si="0"/>
        <v>91.518072521877897</v>
      </c>
      <c r="Q27" s="1004">
        <f t="shared" si="0"/>
        <v>86.652175484240743</v>
      </c>
      <c r="U27" s="976"/>
      <c r="V27" s="1005">
        <v>50.98</v>
      </c>
      <c r="W27" s="1006"/>
      <c r="X27" s="1002">
        <v>65.059095840867982</v>
      </c>
      <c r="Y27" s="1002">
        <v>18.485350252407414</v>
      </c>
      <c r="Z27" s="1002">
        <v>47.058151362829364</v>
      </c>
      <c r="AA27" s="1002">
        <v>45.073753456888291</v>
      </c>
      <c r="AB27" s="1002">
        <v>42.738098689254869</v>
      </c>
      <c r="AD27" s="1003"/>
      <c r="AE27" s="1003"/>
      <c r="AH27" s="1004">
        <f t="shared" si="1"/>
        <v>127.61690043324438</v>
      </c>
      <c r="AI27" s="1004">
        <f t="shared" si="1"/>
        <v>36.260004418217768</v>
      </c>
      <c r="AJ27" s="1004">
        <f t="shared" si="1"/>
        <v>92.307083881579771</v>
      </c>
      <c r="AK27" s="1004">
        <f t="shared" si="1"/>
        <v>88.414581123751063</v>
      </c>
      <c r="AL27" s="1004">
        <f t="shared" si="1"/>
        <v>83.833069221763182</v>
      </c>
      <c r="AP27" s="976"/>
      <c r="AQ27" s="1005">
        <v>50.98</v>
      </c>
      <c r="AR27" s="1007"/>
    </row>
    <row r="28" spans="1:44" x14ac:dyDescent="0.35">
      <c r="A28" s="1000">
        <v>1988</v>
      </c>
      <c r="C28" s="1001">
        <v>61.672636047857964</v>
      </c>
      <c r="D28" s="1001">
        <v>13.643910533237177</v>
      </c>
      <c r="E28" s="1002">
        <v>46.023148202338184</v>
      </c>
      <c r="F28" s="1002">
        <v>49.179844220114248</v>
      </c>
      <c r="G28" s="1002">
        <v>44.547670593087098</v>
      </c>
      <c r="I28" s="1003"/>
      <c r="J28" s="1003"/>
      <c r="M28" s="1004">
        <f t="shared" si="0"/>
        <v>114.20858527381104</v>
      </c>
      <c r="N28" s="1004">
        <f t="shared" si="0"/>
        <v>25.266500987476253</v>
      </c>
      <c r="O28" s="1004">
        <f t="shared" si="0"/>
        <v>85.228052226552208</v>
      </c>
      <c r="P28" s="1004">
        <f t="shared" si="0"/>
        <v>91.073785592804157</v>
      </c>
      <c r="Q28" s="1004">
        <f t="shared" si="0"/>
        <v>82.495686283494621</v>
      </c>
      <c r="U28" s="976"/>
      <c r="V28" s="1005">
        <v>54</v>
      </c>
      <c r="W28" s="1006"/>
      <c r="X28" s="1002">
        <v>57.791609403254974</v>
      </c>
      <c r="Y28" s="1002">
        <v>13.643910533237177</v>
      </c>
      <c r="Z28" s="1002">
        <v>44.794003670187379</v>
      </c>
      <c r="AA28" s="1002">
        <v>47.512094678493867</v>
      </c>
      <c r="AB28" s="1002">
        <v>43.064089454119596</v>
      </c>
      <c r="AD28" s="1003"/>
      <c r="AE28" s="1008"/>
      <c r="AH28" s="1004">
        <f t="shared" si="1"/>
        <v>107.0214988949166</v>
      </c>
      <c r="AI28" s="1004">
        <f t="shared" si="1"/>
        <v>25.266500987476253</v>
      </c>
      <c r="AJ28" s="1004">
        <f t="shared" si="1"/>
        <v>82.951858648495147</v>
      </c>
      <c r="AK28" s="1004">
        <f t="shared" si="1"/>
        <v>87.985360515729383</v>
      </c>
      <c r="AL28" s="1004">
        <f t="shared" si="1"/>
        <v>79.748313803925171</v>
      </c>
      <c r="AP28" s="976"/>
      <c r="AQ28" s="1005">
        <v>54</v>
      </c>
      <c r="AR28" s="1007"/>
    </row>
    <row r="29" spans="1:44" x14ac:dyDescent="0.35">
      <c r="A29" s="1000">
        <v>1989</v>
      </c>
      <c r="C29" s="1001">
        <v>60.247896565032796</v>
      </c>
      <c r="D29" s="1001">
        <v>14.85386660586264</v>
      </c>
      <c r="E29" s="1002">
        <v>44.475314916351394</v>
      </c>
      <c r="F29" s="1002">
        <v>52.692314650889003</v>
      </c>
      <c r="G29" s="1002">
        <v>46.484012879996044</v>
      </c>
      <c r="I29" s="1003"/>
      <c r="J29" s="1003"/>
      <c r="M29" s="1004">
        <f t="shared" si="0"/>
        <v>103.48316139648368</v>
      </c>
      <c r="N29" s="1004">
        <f t="shared" si="0"/>
        <v>25.513340099386191</v>
      </c>
      <c r="O29" s="1004">
        <f t="shared" si="0"/>
        <v>76.391815383633443</v>
      </c>
      <c r="P29" s="1004">
        <f t="shared" si="0"/>
        <v>90.505521557693243</v>
      </c>
      <c r="Q29" s="1004">
        <f t="shared" si="0"/>
        <v>79.842000824452157</v>
      </c>
      <c r="U29" s="976"/>
      <c r="V29" s="1005">
        <v>58.22</v>
      </c>
      <c r="W29" s="1006"/>
      <c r="X29" s="1002">
        <v>56.456528028933093</v>
      </c>
      <c r="Y29" s="1002">
        <v>14.85386660586264</v>
      </c>
      <c r="Z29" s="1002">
        <v>43.287508512826371</v>
      </c>
      <c r="AA29" s="1002">
        <v>50.90545287856164</v>
      </c>
      <c r="AB29" s="1002">
        <v>44.94490984181396</v>
      </c>
      <c r="AD29" s="1003"/>
      <c r="AE29" s="1003"/>
      <c r="AH29" s="1004">
        <f t="shared" si="1"/>
        <v>96.971020317645298</v>
      </c>
      <c r="AI29" s="1004">
        <f t="shared" si="1"/>
        <v>25.513340099386191</v>
      </c>
      <c r="AJ29" s="1004">
        <f t="shared" si="1"/>
        <v>74.351612011038085</v>
      </c>
      <c r="AK29" s="1004">
        <f t="shared" si="1"/>
        <v>87.436367019171485</v>
      </c>
      <c r="AL29" s="1004">
        <f t="shared" si="1"/>
        <v>77.198402339082719</v>
      </c>
      <c r="AP29" s="976"/>
      <c r="AQ29" s="1005">
        <v>58.22</v>
      </c>
      <c r="AR29" s="1007"/>
    </row>
    <row r="30" spans="1:44" x14ac:dyDescent="0.35">
      <c r="A30" s="1000">
        <v>1990</v>
      </c>
      <c r="C30" s="1001">
        <v>61.945194905441916</v>
      </c>
      <c r="D30" s="1001">
        <v>16.154286683918041</v>
      </c>
      <c r="E30" s="1002">
        <v>45.258283215987994</v>
      </c>
      <c r="F30" s="1002">
        <v>52.581892676268851</v>
      </c>
      <c r="G30" s="1002">
        <v>46.523028288658317</v>
      </c>
      <c r="I30" s="1003"/>
      <c r="J30" s="1003"/>
      <c r="M30" s="1004">
        <f t="shared" si="0"/>
        <v>98.450722990212824</v>
      </c>
      <c r="N30" s="1004">
        <f t="shared" si="0"/>
        <v>25.674327215381503</v>
      </c>
      <c r="O30" s="1004">
        <f t="shared" si="0"/>
        <v>71.92988432293069</v>
      </c>
      <c r="P30" s="1004">
        <f t="shared" si="0"/>
        <v>83.569441634248022</v>
      </c>
      <c r="Q30" s="1004">
        <f t="shared" si="0"/>
        <v>73.939968672374945</v>
      </c>
      <c r="U30" s="976"/>
      <c r="V30" s="1005">
        <v>62.92</v>
      </c>
      <c r="W30" s="1006"/>
      <c r="X30" s="1002">
        <v>58.047016274864369</v>
      </c>
      <c r="Y30" s="1002">
        <v>16.154286683918041</v>
      </c>
      <c r="Z30" s="1002">
        <v>44.049566004707827</v>
      </c>
      <c r="AA30" s="1002">
        <v>50.798775450116409</v>
      </c>
      <c r="AB30" s="1002">
        <v>44.999071478757543</v>
      </c>
      <c r="AD30" s="1003"/>
      <c r="AE30" s="1003"/>
      <c r="AH30" s="1004">
        <f t="shared" si="1"/>
        <v>92.255270621208467</v>
      </c>
      <c r="AI30" s="1004">
        <f t="shared" si="1"/>
        <v>25.674327215381503</v>
      </c>
      <c r="AJ30" s="1004">
        <f t="shared" si="1"/>
        <v>70.008846161328407</v>
      </c>
      <c r="AK30" s="1004">
        <f t="shared" si="1"/>
        <v>80.735498172467274</v>
      </c>
      <c r="AL30" s="1004">
        <f t="shared" si="1"/>
        <v>71.517913984039325</v>
      </c>
      <c r="AP30" s="976"/>
      <c r="AQ30" s="1005">
        <v>62.92</v>
      </c>
      <c r="AR30" s="1007"/>
    </row>
    <row r="31" spans="1:44" x14ac:dyDescent="0.35">
      <c r="A31" s="1000">
        <v>1991</v>
      </c>
      <c r="C31" s="1001">
        <v>61.01891161713624</v>
      </c>
      <c r="D31" s="1001">
        <v>14.190387307512834</v>
      </c>
      <c r="E31" s="1002">
        <v>45.692762734861482</v>
      </c>
      <c r="F31" s="1002">
        <v>54.324938842333005</v>
      </c>
      <c r="G31" s="1002">
        <v>47.5021975897861</v>
      </c>
      <c r="I31" s="1003"/>
      <c r="J31" s="1003"/>
      <c r="M31" s="1004">
        <f t="shared" si="0"/>
        <v>90.950829657379984</v>
      </c>
      <c r="N31" s="1004">
        <f t="shared" si="0"/>
        <v>21.151270394265662</v>
      </c>
      <c r="O31" s="1004">
        <f t="shared" si="0"/>
        <v>68.106666768313431</v>
      </c>
      <c r="P31" s="1004">
        <f t="shared" si="0"/>
        <v>80.97322826402295</v>
      </c>
      <c r="Q31" s="1004">
        <f t="shared" si="0"/>
        <v>70.803692934544785</v>
      </c>
      <c r="U31" s="976"/>
      <c r="V31" s="1005">
        <v>67.09</v>
      </c>
      <c r="W31" s="1006"/>
      <c r="X31" s="1002">
        <v>57.179023508137426</v>
      </c>
      <c r="Y31" s="1002">
        <v>14.190387307512834</v>
      </c>
      <c r="Z31" s="1002">
        <v>44.472441838353014</v>
      </c>
      <c r="AA31" s="1002">
        <v>52.482712757855069</v>
      </c>
      <c r="AB31" s="1002">
        <v>45.933471549358202</v>
      </c>
      <c r="AD31" s="1003"/>
      <c r="AE31" s="1003"/>
      <c r="AH31" s="1004">
        <f t="shared" si="1"/>
        <v>85.227341642774519</v>
      </c>
      <c r="AI31" s="1004">
        <f t="shared" si="1"/>
        <v>21.151270394265662</v>
      </c>
      <c r="AJ31" s="1004">
        <f t="shared" si="1"/>
        <v>66.287735636239404</v>
      </c>
      <c r="AK31" s="1004">
        <f t="shared" si="1"/>
        <v>78.227325619101308</v>
      </c>
      <c r="AL31" s="1004">
        <f t="shared" si="1"/>
        <v>68.465451705706059</v>
      </c>
      <c r="AP31" s="976"/>
      <c r="AQ31" s="1005">
        <v>67.09</v>
      </c>
      <c r="AR31" s="1007"/>
    </row>
    <row r="32" spans="1:44" x14ac:dyDescent="0.35">
      <c r="A32" s="1000">
        <v>1992</v>
      </c>
      <c r="C32" s="1001">
        <v>61.790814357390964</v>
      </c>
      <c r="D32" s="1001">
        <v>13.647181097017775</v>
      </c>
      <c r="E32" s="1002">
        <v>45.937545392369664</v>
      </c>
      <c r="F32" s="1002">
        <v>57.335654947352907</v>
      </c>
      <c r="G32" s="1002">
        <v>50.205428720261231</v>
      </c>
      <c r="I32" s="1003"/>
      <c r="J32" s="1003"/>
      <c r="M32" s="1004">
        <f t="shared" si="0"/>
        <v>89.280182571002698</v>
      </c>
      <c r="N32" s="1004">
        <f t="shared" si="0"/>
        <v>19.718510471055883</v>
      </c>
      <c r="O32" s="1004">
        <f t="shared" si="0"/>
        <v>66.374144476765892</v>
      </c>
      <c r="P32" s="1004">
        <f t="shared" si="0"/>
        <v>82.843021163636621</v>
      </c>
      <c r="Q32" s="1004">
        <f t="shared" si="0"/>
        <v>72.540714810376016</v>
      </c>
      <c r="U32" s="976"/>
      <c r="V32" s="1005">
        <v>69.209999999999994</v>
      </c>
      <c r="W32" s="1006"/>
      <c r="X32" s="1002">
        <v>57.902350813743219</v>
      </c>
      <c r="Y32" s="1002">
        <v>13.647181097017775</v>
      </c>
      <c r="Z32" s="1002">
        <v>44.636850126110325</v>
      </c>
      <c r="AA32" s="1002">
        <v>55.39133174394911</v>
      </c>
      <c r="AB32" s="1002">
        <v>48.514003828012363</v>
      </c>
      <c r="AD32" s="1003"/>
      <c r="AE32" s="1003"/>
      <c r="AH32" s="1004">
        <f t="shared" si="1"/>
        <v>83.661827501435084</v>
      </c>
      <c r="AI32" s="1004">
        <f t="shared" si="1"/>
        <v>19.718510471055883</v>
      </c>
      <c r="AJ32" s="1004">
        <f t="shared" si="1"/>
        <v>64.494798621745886</v>
      </c>
      <c r="AK32" s="1004">
        <f t="shared" si="1"/>
        <v>80.033711521382912</v>
      </c>
      <c r="AL32" s="1004">
        <f t="shared" si="1"/>
        <v>70.096812350834227</v>
      </c>
      <c r="AP32" s="976"/>
      <c r="AQ32" s="1005">
        <v>69.209999999999994</v>
      </c>
      <c r="AR32" s="1007"/>
    </row>
    <row r="33" spans="1:44" x14ac:dyDescent="0.35">
      <c r="A33" s="1000">
        <v>1993</v>
      </c>
      <c r="C33" s="1001">
        <v>58.008490930142798</v>
      </c>
      <c r="D33" s="1001">
        <v>14.546939294956093</v>
      </c>
      <c r="E33" s="1002">
        <v>44.224066789812362</v>
      </c>
      <c r="F33" s="1002">
        <v>60.069068253226263</v>
      </c>
      <c r="G33" s="1002">
        <v>50.842155315122874</v>
      </c>
      <c r="I33" s="1003"/>
      <c r="J33" s="1003"/>
      <c r="M33" s="1004">
        <f t="shared" si="0"/>
        <v>81.59866497417751</v>
      </c>
      <c r="N33" s="1004">
        <f t="shared" si="0"/>
        <v>20.462708250043736</v>
      </c>
      <c r="O33" s="1004">
        <f t="shared" si="0"/>
        <v>62.208562090044111</v>
      </c>
      <c r="P33" s="1004">
        <f t="shared" si="0"/>
        <v>84.497212341013167</v>
      </c>
      <c r="Q33" s="1004">
        <f t="shared" si="0"/>
        <v>71.518012821948048</v>
      </c>
      <c r="U33" s="976"/>
      <c r="V33" s="1005">
        <v>71.09</v>
      </c>
      <c r="W33" s="1006"/>
      <c r="X33" s="1002">
        <v>54.35804701627486</v>
      </c>
      <c r="Y33" s="1002">
        <v>14.546939294956093</v>
      </c>
      <c r="Z33" s="1002">
        <v>42.992767248537199</v>
      </c>
      <c r="AA33" s="1002">
        <v>58.032051612902947</v>
      </c>
      <c r="AB33" s="1002">
        <v>49.146718479966751</v>
      </c>
      <c r="AD33" s="1003"/>
      <c r="AE33" s="1003"/>
      <c r="AH33" s="1004">
        <f t="shared" si="1"/>
        <v>76.463703778695816</v>
      </c>
      <c r="AI33" s="1004">
        <f t="shared" si="1"/>
        <v>20.462708250043736</v>
      </c>
      <c r="AJ33" s="1004">
        <f t="shared" si="1"/>
        <v>60.47653291396427</v>
      </c>
      <c r="AK33" s="1004">
        <f t="shared" si="1"/>
        <v>81.631807023354824</v>
      </c>
      <c r="AL33" s="1004">
        <f t="shared" si="1"/>
        <v>69.133096750551061</v>
      </c>
      <c r="AP33" s="976"/>
      <c r="AQ33" s="1005">
        <v>71.09</v>
      </c>
      <c r="AR33" s="1007"/>
    </row>
    <row r="34" spans="1:44" x14ac:dyDescent="0.35">
      <c r="A34" s="1000">
        <v>1994</v>
      </c>
      <c r="C34" s="1001">
        <v>57.313778463913543</v>
      </c>
      <c r="D34" s="1001">
        <v>15.740253680057695</v>
      </c>
      <c r="E34" s="1002">
        <v>43.326530378949016</v>
      </c>
      <c r="F34" s="1002">
        <v>57.890260545646065</v>
      </c>
      <c r="G34" s="1002">
        <v>49.336131617451777</v>
      </c>
      <c r="I34" s="1003"/>
      <c r="J34" s="1003"/>
      <c r="M34" s="1004">
        <f t="shared" si="0"/>
        <v>79.547228957548285</v>
      </c>
      <c r="N34" s="1004">
        <f t="shared" si="0"/>
        <v>21.846292408130044</v>
      </c>
      <c r="O34" s="1004">
        <f t="shared" si="0"/>
        <v>60.133976931226954</v>
      </c>
      <c r="P34" s="1004">
        <f t="shared" si="0"/>
        <v>80.347342880841168</v>
      </c>
      <c r="Q34" s="1004">
        <f t="shared" si="0"/>
        <v>68.474853042958742</v>
      </c>
      <c r="U34" s="976"/>
      <c r="V34" s="1005">
        <v>72.05</v>
      </c>
      <c r="W34" s="1006"/>
      <c r="X34" s="1002">
        <v>53.707052441229649</v>
      </c>
      <c r="Y34" s="1002">
        <v>15.740253680057695</v>
      </c>
      <c r="Z34" s="1002">
        <v>42.088521665871987</v>
      </c>
      <c r="AA34" s="1002">
        <v>55.927129978229608</v>
      </c>
      <c r="AB34" s="1002">
        <v>47.704119423497957</v>
      </c>
      <c r="AD34" s="1003"/>
      <c r="AE34" s="1003"/>
      <c r="AH34" s="1004">
        <f t="shared" si="1"/>
        <v>74.541363554794799</v>
      </c>
      <c r="AI34" s="1004">
        <f t="shared" si="1"/>
        <v>21.846292408130044</v>
      </c>
      <c r="AJ34" s="1004">
        <f t="shared" si="1"/>
        <v>58.415713623694636</v>
      </c>
      <c r="AK34" s="1004">
        <f t="shared" si="1"/>
        <v>77.622664785884254</v>
      </c>
      <c r="AL34" s="1004">
        <f t="shared" si="1"/>
        <v>66.209742433723747</v>
      </c>
      <c r="AP34" s="976"/>
      <c r="AQ34" s="1005">
        <v>72.05</v>
      </c>
      <c r="AR34" s="1007"/>
    </row>
    <row r="35" spans="1:44" x14ac:dyDescent="0.35">
      <c r="A35" s="1000">
        <v>1995</v>
      </c>
      <c r="C35" s="1001">
        <v>53.763025858741798</v>
      </c>
      <c r="D35" s="1001">
        <v>18.380350400882367</v>
      </c>
      <c r="E35" s="1002">
        <v>40.470732708020165</v>
      </c>
      <c r="F35" s="1002">
        <v>57.348859842550368</v>
      </c>
      <c r="G35" s="1002">
        <v>48.777337501088766</v>
      </c>
      <c r="I35" s="1003"/>
      <c r="J35" s="1003"/>
      <c r="M35" s="1004">
        <f t="shared" si="0"/>
        <v>72.849628534880495</v>
      </c>
      <c r="N35" s="1004">
        <f t="shared" si="0"/>
        <v>24.9056238494341</v>
      </c>
      <c r="O35" s="1004">
        <f t="shared" si="0"/>
        <v>54.838391203279357</v>
      </c>
      <c r="P35" s="1004">
        <f t="shared" si="0"/>
        <v>77.708482171477456</v>
      </c>
      <c r="Q35" s="1004">
        <f t="shared" si="0"/>
        <v>66.09395325350782</v>
      </c>
      <c r="U35" s="976"/>
      <c r="V35" s="1005">
        <v>73.8</v>
      </c>
      <c r="W35" s="1006"/>
      <c r="X35" s="1002">
        <v>50.379746835443044</v>
      </c>
      <c r="Y35" s="1002">
        <v>18.380350400882367</v>
      </c>
      <c r="Z35" s="1002">
        <v>39.375784917876331</v>
      </c>
      <c r="AA35" s="1002">
        <v>55.404088844765319</v>
      </c>
      <c r="AB35" s="1002">
        <v>47.201861908553113</v>
      </c>
      <c r="AD35" s="1003"/>
      <c r="AE35" s="1003"/>
      <c r="AH35" s="1004">
        <f t="shared" si="1"/>
        <v>68.265239614421475</v>
      </c>
      <c r="AI35" s="1004">
        <f t="shared" si="1"/>
        <v>24.9056238494341</v>
      </c>
      <c r="AJ35" s="1004">
        <f t="shared" si="1"/>
        <v>53.354722110943541</v>
      </c>
      <c r="AK35" s="1004">
        <f t="shared" si="1"/>
        <v>75.073291117568189</v>
      </c>
      <c r="AL35" s="1004">
        <f t="shared" si="1"/>
        <v>63.959162477714244</v>
      </c>
      <c r="AP35" s="976"/>
      <c r="AQ35" s="1005">
        <v>73.8</v>
      </c>
      <c r="AR35" s="1007"/>
    </row>
    <row r="36" spans="1:44" x14ac:dyDescent="0.35">
      <c r="A36" s="1000">
        <v>1996</v>
      </c>
      <c r="C36" s="1001">
        <v>51.138556541875715</v>
      </c>
      <c r="D36" s="1001">
        <v>20.298434649811227</v>
      </c>
      <c r="E36" s="1002">
        <v>30.922489999772861</v>
      </c>
      <c r="F36" s="1002">
        <v>55.368125562932001</v>
      </c>
      <c r="G36" s="1002">
        <v>46.646921070651395</v>
      </c>
      <c r="I36" s="1003"/>
      <c r="J36" s="1003"/>
      <c r="M36" s="1004">
        <f t="shared" si="0"/>
        <v>66.551999664075623</v>
      </c>
      <c r="N36" s="1004">
        <f t="shared" si="0"/>
        <v>26.416494859202533</v>
      </c>
      <c r="O36" s="1004">
        <f t="shared" si="0"/>
        <v>40.242699114748646</v>
      </c>
      <c r="P36" s="1004">
        <f t="shared" si="0"/>
        <v>72.056384126668405</v>
      </c>
      <c r="Q36" s="1004">
        <f t="shared" si="0"/>
        <v>60.706560477162149</v>
      </c>
      <c r="U36" s="976"/>
      <c r="V36" s="1005">
        <v>76.84</v>
      </c>
      <c r="W36" s="1006"/>
      <c r="X36" s="1002">
        <v>47.920433996383359</v>
      </c>
      <c r="Y36" s="1002">
        <v>20.298434649811227</v>
      </c>
      <c r="Z36" s="1002">
        <v>30.061553049313744</v>
      </c>
      <c r="AA36" s="1002">
        <v>53.490523722335013</v>
      </c>
      <c r="AB36" s="1002">
        <v>45.151991063451078</v>
      </c>
      <c r="AD36" s="1003"/>
      <c r="AE36" s="1003"/>
      <c r="AH36" s="1004">
        <f t="shared" si="1"/>
        <v>62.363917225902341</v>
      </c>
      <c r="AI36" s="1004">
        <f t="shared" si="1"/>
        <v>26.416494859202533</v>
      </c>
      <c r="AJ36" s="1004">
        <f t="shared" si="1"/>
        <v>39.122271016806017</v>
      </c>
      <c r="AK36" s="1004">
        <f t="shared" si="1"/>
        <v>69.612862730784755</v>
      </c>
      <c r="AL36" s="1004">
        <f t="shared" si="1"/>
        <v>58.761050316828573</v>
      </c>
      <c r="AP36" s="976"/>
      <c r="AQ36" s="1005">
        <v>76.84</v>
      </c>
      <c r="AR36" s="1007"/>
    </row>
    <row r="37" spans="1:44" x14ac:dyDescent="0.35">
      <c r="A37" s="1000">
        <v>1997</v>
      </c>
      <c r="C37" s="1001">
        <v>49.942107294480891</v>
      </c>
      <c r="D37" s="1001">
        <v>19.419250837822936</v>
      </c>
      <c r="E37" s="1002">
        <v>32.025942356979499</v>
      </c>
      <c r="F37" s="1002">
        <v>52.212155610740083</v>
      </c>
      <c r="G37" s="1002">
        <v>43.704802760494943</v>
      </c>
      <c r="I37" s="1003"/>
      <c r="J37" s="1009"/>
      <c r="M37" s="1004">
        <f t="shared" si="0"/>
        <v>64.308662496112404</v>
      </c>
      <c r="N37" s="1004">
        <f t="shared" si="0"/>
        <v>25.005473651587607</v>
      </c>
      <c r="O37" s="1004">
        <f t="shared" si="0"/>
        <v>41.23865871359709</v>
      </c>
      <c r="P37" s="1004">
        <f t="shared" si="0"/>
        <v>67.231722393433017</v>
      </c>
      <c r="Q37" s="1004">
        <f t="shared" si="0"/>
        <v>56.277108885520143</v>
      </c>
      <c r="U37" s="976"/>
      <c r="V37" s="1005">
        <v>77.66</v>
      </c>
      <c r="W37" s="1006"/>
      <c r="X37" s="1002">
        <v>46.799276672694397</v>
      </c>
      <c r="Y37" s="1002">
        <v>19.419250837822936</v>
      </c>
      <c r="Z37" s="1002">
        <v>31.134283336357285</v>
      </c>
      <c r="AA37" s="1002">
        <v>50.441576627262741</v>
      </c>
      <c r="AB37" s="1002">
        <v>42.319885550681995</v>
      </c>
      <c r="AD37" s="1003"/>
      <c r="AE37" s="1003"/>
      <c r="AH37" s="1004">
        <f t="shared" si="1"/>
        <v>60.261752089485448</v>
      </c>
      <c r="AI37" s="1004">
        <f t="shared" si="1"/>
        <v>25.005473651587607</v>
      </c>
      <c r="AJ37" s="1004">
        <f t="shared" si="1"/>
        <v>40.090501334480152</v>
      </c>
      <c r="AK37" s="1004">
        <f t="shared" si="1"/>
        <v>64.951811263536882</v>
      </c>
      <c r="AL37" s="1004">
        <f t="shared" si="1"/>
        <v>54.493800606080342</v>
      </c>
      <c r="AP37" s="976"/>
      <c r="AQ37" s="1005">
        <v>77.66</v>
      </c>
      <c r="AR37" s="1007"/>
    </row>
    <row r="38" spans="1:44" x14ac:dyDescent="0.35">
      <c r="A38" s="1000">
        <v>1998</v>
      </c>
      <c r="C38" s="1001">
        <v>51.099961404862981</v>
      </c>
      <c r="D38" s="1001">
        <v>16.185890637593857</v>
      </c>
      <c r="E38" s="1002">
        <v>33.713134641218112</v>
      </c>
      <c r="F38" s="1002">
        <v>51.723574488434224</v>
      </c>
      <c r="G38" s="1002">
        <v>43.614998068986679</v>
      </c>
      <c r="I38" s="1003"/>
      <c r="J38" s="1009"/>
      <c r="M38" s="1004">
        <f t="shared" si="0"/>
        <v>65.178522200080323</v>
      </c>
      <c r="N38" s="1004">
        <f t="shared" si="0"/>
        <v>20.645268670400327</v>
      </c>
      <c r="O38" s="1004">
        <f t="shared" si="0"/>
        <v>43.001447246451669</v>
      </c>
      <c r="P38" s="1004">
        <f t="shared" si="0"/>
        <v>65.973947051574257</v>
      </c>
      <c r="Q38" s="1004">
        <f t="shared" si="0"/>
        <v>55.631375087993206</v>
      </c>
      <c r="U38" s="976"/>
      <c r="V38" s="1005">
        <v>78.400000000000006</v>
      </c>
      <c r="W38" s="1006"/>
      <c r="X38" s="1002">
        <v>47.884267631103071</v>
      </c>
      <c r="Y38" s="1002">
        <v>16.185890637593857</v>
      </c>
      <c r="Z38" s="1002">
        <v>32.774501195831235</v>
      </c>
      <c r="AA38" s="1002">
        <v>49.969563897063267</v>
      </c>
      <c r="AB38" s="1002">
        <v>42.208707739390121</v>
      </c>
      <c r="AD38" s="1003"/>
      <c r="AE38" s="1003"/>
      <c r="AH38" s="1004">
        <f t="shared" si="1"/>
        <v>61.076871978447798</v>
      </c>
      <c r="AI38" s="1004">
        <f t="shared" si="1"/>
        <v>20.645268670400327</v>
      </c>
      <c r="AJ38" s="1004">
        <f t="shared" si="1"/>
        <v>41.804210708968412</v>
      </c>
      <c r="AK38" s="1004">
        <f t="shared" si="1"/>
        <v>63.736688644213352</v>
      </c>
      <c r="AL38" s="1004">
        <f t="shared" si="1"/>
        <v>53.837637422691479</v>
      </c>
      <c r="AP38" s="976"/>
      <c r="AQ38" s="1005">
        <v>78.400000000000006</v>
      </c>
      <c r="AR38" s="1007"/>
    </row>
    <row r="39" spans="1:44" x14ac:dyDescent="0.35">
      <c r="A39" s="1000">
        <v>1999</v>
      </c>
      <c r="C39" s="1001">
        <v>50.328058664608257</v>
      </c>
      <c r="D39" s="1001">
        <v>18.527552708607303</v>
      </c>
      <c r="E39" s="1002">
        <v>33.527619643192402</v>
      </c>
      <c r="F39" s="1002">
        <v>52.0272870779757</v>
      </c>
      <c r="G39" s="1002">
        <v>44.322351322883293</v>
      </c>
      <c r="I39" s="1003"/>
      <c r="J39" s="1009"/>
      <c r="M39" s="1004">
        <f t="shared" si="0"/>
        <v>63.617821596016007</v>
      </c>
      <c r="N39" s="1004">
        <f t="shared" si="0"/>
        <v>23.419988255097081</v>
      </c>
      <c r="O39" s="1004">
        <f t="shared" si="0"/>
        <v>42.381013327256227</v>
      </c>
      <c r="P39" s="1004">
        <f t="shared" si="0"/>
        <v>65.765752847902533</v>
      </c>
      <c r="Q39" s="1004">
        <f t="shared" si="0"/>
        <v>56.026230973180759</v>
      </c>
      <c r="U39" s="976"/>
      <c r="V39" s="1005">
        <v>79.11</v>
      </c>
      <c r="W39" s="1006"/>
      <c r="X39" s="1002">
        <v>47.160940325497286</v>
      </c>
      <c r="Y39" s="1002">
        <v>18.527552708607303</v>
      </c>
      <c r="Z39" s="1002">
        <v>32.594151264288392</v>
      </c>
      <c r="AA39" s="1002">
        <v>50.26297721583591</v>
      </c>
      <c r="AB39" s="1002">
        <v>42.907836237781304</v>
      </c>
      <c r="AD39" s="1003"/>
      <c r="AE39" s="1003"/>
      <c r="AH39" s="1004">
        <f t="shared" si="1"/>
        <v>59.614385444946642</v>
      </c>
      <c r="AI39" s="1004">
        <f t="shared" si="1"/>
        <v>23.419988255097081</v>
      </c>
      <c r="AJ39" s="1004">
        <f t="shared" si="1"/>
        <v>41.201050770178732</v>
      </c>
      <c r="AK39" s="1004">
        <f t="shared" si="1"/>
        <v>63.535554564322979</v>
      </c>
      <c r="AL39" s="1004">
        <f t="shared" si="1"/>
        <v>54.238195219038431</v>
      </c>
      <c r="AP39" s="976"/>
      <c r="AQ39" s="1005">
        <v>79.11</v>
      </c>
      <c r="AR39" s="1007"/>
    </row>
    <row r="40" spans="1:44" x14ac:dyDescent="0.35">
      <c r="A40" s="1010">
        <v>2000</v>
      </c>
      <c r="C40" s="1001">
        <v>50.405248938633726</v>
      </c>
      <c r="D40" s="1001">
        <v>26.822211852543166</v>
      </c>
      <c r="E40" s="1002">
        <v>36.485740611711492</v>
      </c>
      <c r="F40" s="1002">
        <v>48.237482156305902</v>
      </c>
      <c r="G40" s="1002">
        <v>41.737580569962773</v>
      </c>
      <c r="I40" s="1003"/>
      <c r="J40" s="1009"/>
      <c r="M40" s="1004">
        <f t="shared" si="0"/>
        <v>62.553051549557857</v>
      </c>
      <c r="N40" s="1004">
        <f t="shared" si="0"/>
        <v>33.286438139169974</v>
      </c>
      <c r="O40" s="1004">
        <f t="shared" si="0"/>
        <v>45.278903712722126</v>
      </c>
      <c r="P40" s="1004">
        <f t="shared" si="0"/>
        <v>59.862847054239147</v>
      </c>
      <c r="Q40" s="1004">
        <f t="shared" si="0"/>
        <v>51.796451439516972</v>
      </c>
      <c r="U40" s="976"/>
      <c r="V40" s="1005">
        <v>80.58</v>
      </c>
      <c r="W40" s="1006"/>
      <c r="X40" s="1002">
        <v>47.233273056057868</v>
      </c>
      <c r="Y40" s="1002">
        <v>26.822211852543166</v>
      </c>
      <c r="Z40" s="1002">
        <v>35.469912899980642</v>
      </c>
      <c r="AA40" s="1002">
        <v>46.601689281585941</v>
      </c>
      <c r="AB40" s="1002">
        <v>40.527930138909298</v>
      </c>
      <c r="AD40" s="1003"/>
      <c r="AE40" s="1003"/>
      <c r="AH40" s="1004">
        <f t="shared" si="1"/>
        <v>58.616620819133622</v>
      </c>
      <c r="AI40" s="1004">
        <f t="shared" si="1"/>
        <v>33.286438139169974</v>
      </c>
      <c r="AJ40" s="1004">
        <f t="shared" si="1"/>
        <v>44.018258749045224</v>
      </c>
      <c r="AK40" s="1004">
        <f t="shared" si="1"/>
        <v>57.832823630660144</v>
      </c>
      <c r="AL40" s="1004">
        <f t="shared" si="1"/>
        <v>50.295271951984731</v>
      </c>
      <c r="AP40" s="976"/>
      <c r="AQ40" s="1005">
        <v>80.58</v>
      </c>
      <c r="AR40" s="1007"/>
    </row>
    <row r="41" spans="1:44" x14ac:dyDescent="0.35">
      <c r="A41" s="1000">
        <v>2001</v>
      </c>
      <c r="C41" s="1001">
        <v>51.717483597066774</v>
      </c>
      <c r="D41" s="1001">
        <v>26.785093115004454</v>
      </c>
      <c r="E41" s="1002">
        <v>48.884888479757286</v>
      </c>
      <c r="F41" s="1002">
        <v>44.143964645094613</v>
      </c>
      <c r="G41" s="1002">
        <v>41.847771729435479</v>
      </c>
      <c r="I41" s="1003"/>
      <c r="J41" s="1009"/>
      <c r="M41" s="1004">
        <f t="shared" si="0"/>
        <v>63.542798374575227</v>
      </c>
      <c r="N41" s="1004">
        <f t="shared" si="0"/>
        <v>32.909562741128454</v>
      </c>
      <c r="O41" s="1004">
        <f t="shared" si="0"/>
        <v>60.062524241009072</v>
      </c>
      <c r="P41" s="1004">
        <f t="shared" si="0"/>
        <v>54.23757789052047</v>
      </c>
      <c r="Q41" s="1004">
        <f t="shared" si="0"/>
        <v>51.416355485238334</v>
      </c>
      <c r="U41" s="976"/>
      <c r="V41" s="1005">
        <v>81.39</v>
      </c>
      <c r="W41" s="1006"/>
      <c r="X41" s="1002">
        <v>54.575045207956599</v>
      </c>
      <c r="Y41" s="1002">
        <v>26.785093115004454</v>
      </c>
      <c r="Z41" s="1002">
        <v>49.917773013282776</v>
      </c>
      <c r="AA41" s="1002">
        <v>45.0708371836417</v>
      </c>
      <c r="AB41" s="1002">
        <v>42.642632916195595</v>
      </c>
      <c r="AC41" s="1011" t="s">
        <v>2199</v>
      </c>
      <c r="AD41" s="1011"/>
      <c r="AE41" s="1003"/>
      <c r="AH41" s="1004">
        <f t="shared" si="1"/>
        <v>67.053747644620472</v>
      </c>
      <c r="AI41" s="1004">
        <f t="shared" si="1"/>
        <v>32.909562741128454</v>
      </c>
      <c r="AJ41" s="1004">
        <f t="shared" si="1"/>
        <v>61.331580063008694</v>
      </c>
      <c r="AK41" s="1004">
        <f t="shared" si="1"/>
        <v>55.376381844995329</v>
      </c>
      <c r="AL41" s="1004">
        <f t="shared" si="1"/>
        <v>52.392963406064133</v>
      </c>
      <c r="AP41" s="976"/>
      <c r="AQ41" s="1005">
        <v>81.39</v>
      </c>
      <c r="AR41" s="1007"/>
    </row>
    <row r="42" spans="1:44" x14ac:dyDescent="0.35">
      <c r="A42" s="1000">
        <v>2002</v>
      </c>
      <c r="C42" s="1001">
        <v>52.991123118487074</v>
      </c>
      <c r="D42" s="1001">
        <v>28.048827047893777</v>
      </c>
      <c r="E42" s="1002">
        <v>46.209841809114785</v>
      </c>
      <c r="F42" s="1002">
        <v>42.55937722139992</v>
      </c>
      <c r="G42" s="1002">
        <v>40.701536361933584</v>
      </c>
      <c r="J42" s="1009"/>
      <c r="M42" s="1004">
        <f t="shared" si="0"/>
        <v>63.76022514557463</v>
      </c>
      <c r="N42" s="1004">
        <f t="shared" si="0"/>
        <v>33.749039884362624</v>
      </c>
      <c r="O42" s="1004">
        <f t="shared" si="0"/>
        <v>55.60082036952808</v>
      </c>
      <c r="P42" s="1004">
        <f t="shared" si="0"/>
        <v>51.208491422692717</v>
      </c>
      <c r="Q42" s="1004">
        <f t="shared" si="0"/>
        <v>48.973091519592813</v>
      </c>
      <c r="V42" s="1005">
        <v>83.11</v>
      </c>
      <c r="W42" s="1006"/>
      <c r="X42" s="1002">
        <v>55.768535262206143</v>
      </c>
      <c r="Y42" s="1002">
        <v>28.048827047893777</v>
      </c>
      <c r="Z42" s="1002">
        <v>48.419044752875656</v>
      </c>
      <c r="AA42" s="1002">
        <v>44.139568824058948</v>
      </c>
      <c r="AB42" s="1002">
        <v>42.134969350480354</v>
      </c>
      <c r="AH42" s="1004">
        <f t="shared" si="1"/>
        <v>67.102075878000406</v>
      </c>
      <c r="AI42" s="1004">
        <f t="shared" si="1"/>
        <v>33.749039884362624</v>
      </c>
      <c r="AJ42" s="1004">
        <f t="shared" si="1"/>
        <v>58.25898779072994</v>
      </c>
      <c r="AK42" s="1004">
        <f t="shared" si="1"/>
        <v>53.109816898157803</v>
      </c>
      <c r="AL42" s="1004">
        <f t="shared" si="1"/>
        <v>50.697833414126279</v>
      </c>
      <c r="AQ42" s="1005">
        <v>83.11</v>
      </c>
      <c r="AR42" s="1007"/>
    </row>
    <row r="43" spans="1:44" x14ac:dyDescent="0.35">
      <c r="A43" s="1000">
        <v>2003</v>
      </c>
      <c r="C43" s="1001">
        <v>48.591277499035115</v>
      </c>
      <c r="D43" s="1001">
        <v>32.377508166122261</v>
      </c>
      <c r="E43" s="1002">
        <v>48.175588293300166</v>
      </c>
      <c r="F43" s="1002">
        <v>41.172863225667065</v>
      </c>
      <c r="G43" s="1002">
        <v>41.019688990701432</v>
      </c>
      <c r="J43" s="1009"/>
      <c r="M43" s="1004">
        <f t="shared" si="0"/>
        <v>57.179662860714416</v>
      </c>
      <c r="N43" s="1004">
        <f t="shared" si="0"/>
        <v>38.100150819160106</v>
      </c>
      <c r="O43" s="1004">
        <f t="shared" si="0"/>
        <v>56.690501639562449</v>
      </c>
      <c r="P43" s="1004">
        <f t="shared" si="0"/>
        <v>48.450062633169047</v>
      </c>
      <c r="Q43" s="1004">
        <f t="shared" si="0"/>
        <v>48.269815239705146</v>
      </c>
      <c r="V43" s="1005">
        <v>84.98</v>
      </c>
      <c r="W43" s="1006"/>
      <c r="X43" s="1002">
        <v>51.645569620253163</v>
      </c>
      <c r="Y43" s="1002">
        <v>32.377508166122261</v>
      </c>
      <c r="Z43" s="1002">
        <v>50.126114289981068</v>
      </c>
      <c r="AA43" s="1002">
        <v>42.710773532644325</v>
      </c>
      <c r="AB43" s="1002">
        <v>42.338984780468692</v>
      </c>
      <c r="AH43" s="1004">
        <f t="shared" si="1"/>
        <v>60.773793386977125</v>
      </c>
      <c r="AI43" s="1004">
        <f t="shared" si="1"/>
        <v>38.100150819160106</v>
      </c>
      <c r="AJ43" s="1004">
        <f t="shared" si="1"/>
        <v>58.985778171312155</v>
      </c>
      <c r="AK43" s="1004">
        <f t="shared" si="1"/>
        <v>50.259794695980609</v>
      </c>
      <c r="AL43" s="1004">
        <f t="shared" si="1"/>
        <v>49.822293222486103</v>
      </c>
      <c r="AQ43" s="1005">
        <v>84.98</v>
      </c>
      <c r="AR43" s="1007"/>
    </row>
    <row r="44" spans="1:44" x14ac:dyDescent="0.35">
      <c r="A44" s="1000">
        <v>2004</v>
      </c>
      <c r="C44" s="1001">
        <v>54.110382091856422</v>
      </c>
      <c r="D44" s="1001">
        <v>32.603190090357614</v>
      </c>
      <c r="E44" s="1002">
        <v>53.653865875527202</v>
      </c>
      <c r="F44" s="1002">
        <v>44.896643671349587</v>
      </c>
      <c r="G44" s="1002">
        <v>44.188901476778341</v>
      </c>
      <c r="J44" s="1009"/>
      <c r="M44" s="1004">
        <f t="shared" si="0"/>
        <v>62.088791843782474</v>
      </c>
      <c r="N44" s="1004">
        <f t="shared" si="0"/>
        <v>37.410430396279537</v>
      </c>
      <c r="O44" s="1004">
        <f t="shared" si="0"/>
        <v>61.564963712595748</v>
      </c>
      <c r="P44" s="1004">
        <f t="shared" si="0"/>
        <v>51.516515974009849</v>
      </c>
      <c r="Q44" s="1004">
        <f t="shared" si="0"/>
        <v>50.704419365207499</v>
      </c>
      <c r="V44" s="1005">
        <v>87.15</v>
      </c>
      <c r="W44" s="1006"/>
      <c r="X44" s="1002">
        <v>56.817359855334537</v>
      </c>
      <c r="Y44" s="1002">
        <v>32.603190090357614</v>
      </c>
      <c r="Z44" s="1002">
        <v>55.155297309381389</v>
      </c>
      <c r="AA44" s="1002">
        <v>46.423089870159103</v>
      </c>
      <c r="AB44" s="1002">
        <v>45.367083552521947</v>
      </c>
      <c r="AH44" s="1004">
        <f t="shared" si="1"/>
        <v>65.194905169632278</v>
      </c>
      <c r="AI44" s="1004">
        <f t="shared" si="1"/>
        <v>37.410430396279537</v>
      </c>
      <c r="AJ44" s="1004">
        <f t="shared" si="1"/>
        <v>63.287776602847252</v>
      </c>
      <c r="AK44" s="1004">
        <f t="shared" si="1"/>
        <v>53.268031979528509</v>
      </c>
      <c r="AL44" s="1004">
        <f t="shared" si="1"/>
        <v>52.056320771683239</v>
      </c>
      <c r="AQ44" s="1005">
        <v>87.15</v>
      </c>
      <c r="AR44" s="1007"/>
    </row>
    <row r="45" spans="1:44" x14ac:dyDescent="0.35">
      <c r="A45" s="1000">
        <v>2005</v>
      </c>
      <c r="C45" s="1001">
        <v>63.56619065997684</v>
      </c>
      <c r="D45" s="1001">
        <v>43.328808382471472</v>
      </c>
      <c r="E45" s="1002">
        <v>81.592641629117253</v>
      </c>
      <c r="F45" s="1002">
        <v>60.161502519608455</v>
      </c>
      <c r="G45" s="1002">
        <v>62.055946854075984</v>
      </c>
      <c r="J45" s="1012"/>
      <c r="M45" s="1004">
        <f t="shared" si="0"/>
        <v>71.158838755151507</v>
      </c>
      <c r="N45" s="1004">
        <f t="shared" si="0"/>
        <v>48.504207301546479</v>
      </c>
      <c r="O45" s="1004">
        <f t="shared" si="0"/>
        <v>91.338454751054797</v>
      </c>
      <c r="P45" s="1004">
        <f t="shared" si="0"/>
        <v>67.34747847263904</v>
      </c>
      <c r="Q45" s="1004">
        <f t="shared" si="0"/>
        <v>69.468204247258456</v>
      </c>
      <c r="V45" s="1005">
        <v>89.33</v>
      </c>
      <c r="W45" s="1006"/>
      <c r="X45" s="1002">
        <v>65.678119349005428</v>
      </c>
      <c r="Y45" s="1002">
        <v>43.328808382471472</v>
      </c>
      <c r="Z45" s="1002">
        <v>82.206681842142757</v>
      </c>
      <c r="AA45" s="1002">
        <v>60.876885094915991</v>
      </c>
      <c r="AB45" s="1002">
        <v>62.623988214056652</v>
      </c>
      <c r="AH45" s="1004">
        <f t="shared" si="1"/>
        <v>73.523026249866149</v>
      </c>
      <c r="AI45" s="1004">
        <f t="shared" si="1"/>
        <v>48.504207301546479</v>
      </c>
      <c r="AJ45" s="1004">
        <f t="shared" si="1"/>
        <v>92.025838847131709</v>
      </c>
      <c r="AK45" s="1004">
        <f t="shared" si="1"/>
        <v>68.148309744672545</v>
      </c>
      <c r="AL45" s="1004">
        <f t="shared" si="1"/>
        <v>70.104095168539857</v>
      </c>
      <c r="AQ45" s="1005">
        <v>89.33</v>
      </c>
      <c r="AR45" s="1007"/>
    </row>
    <row r="46" spans="1:44" x14ac:dyDescent="0.35">
      <c r="A46" s="1000">
        <v>2006</v>
      </c>
      <c r="C46" s="1001">
        <v>60.825935932072561</v>
      </c>
      <c r="D46" s="1001">
        <v>55.246680524328681</v>
      </c>
      <c r="E46" s="1002">
        <v>101.75096554537618</v>
      </c>
      <c r="F46" s="1002">
        <v>80.800753713231799</v>
      </c>
      <c r="G46" s="1002">
        <v>80.96607177166436</v>
      </c>
      <c r="J46" s="1012"/>
      <c r="M46" s="1004">
        <f t="shared" si="0"/>
        <v>66.251972478022608</v>
      </c>
      <c r="N46" s="1004">
        <f t="shared" si="0"/>
        <v>60.17501418617654</v>
      </c>
      <c r="O46" s="1004">
        <f t="shared" si="0"/>
        <v>110.82775900814308</v>
      </c>
      <c r="P46" s="1004">
        <f t="shared" si="0"/>
        <v>88.008663231926576</v>
      </c>
      <c r="Q46" s="1004">
        <f t="shared" si="0"/>
        <v>88.188728647929807</v>
      </c>
      <c r="V46" s="1005">
        <v>91.81</v>
      </c>
      <c r="W46" s="1006"/>
      <c r="X46" s="1002">
        <v>63.110307414104881</v>
      </c>
      <c r="Y46" s="1002">
        <v>55.246680524328681</v>
      </c>
      <c r="Z46" s="1002">
        <v>101.76223282391554</v>
      </c>
      <c r="AA46" s="1002">
        <v>80.982075981250347</v>
      </c>
      <c r="AB46" s="1002">
        <v>81.09302566175316</v>
      </c>
      <c r="AH46" s="1004">
        <f t="shared" si="1"/>
        <v>68.740123531319981</v>
      </c>
      <c r="AI46" s="1004">
        <f t="shared" si="1"/>
        <v>60.17501418617654</v>
      </c>
      <c r="AJ46" s="1004">
        <f t="shared" si="1"/>
        <v>110.84003139518086</v>
      </c>
      <c r="AK46" s="1004">
        <f t="shared" si="1"/>
        <v>88.206160528537566</v>
      </c>
      <c r="AL46" s="1004">
        <f t="shared" si="1"/>
        <v>88.327007582783096</v>
      </c>
      <c r="AQ46" s="1005">
        <v>91.81</v>
      </c>
      <c r="AR46" s="1007"/>
    </row>
    <row r="47" spans="1:44" x14ac:dyDescent="0.35">
      <c r="A47" s="1000">
        <v>2007</v>
      </c>
      <c r="C47" s="1001">
        <v>70.66769587032033</v>
      </c>
      <c r="D47" s="1001">
        <v>57.205277223942645</v>
      </c>
      <c r="E47" s="1002">
        <v>82.050050265526465</v>
      </c>
      <c r="F47" s="1002">
        <v>82.939946735219635</v>
      </c>
      <c r="G47" s="1002">
        <v>77.751177429400215</v>
      </c>
      <c r="J47" s="1012"/>
      <c r="M47" s="1004">
        <f t="shared" si="0"/>
        <v>75.034716362625105</v>
      </c>
      <c r="N47" s="1004">
        <f t="shared" si="0"/>
        <v>60.740366557594655</v>
      </c>
      <c r="O47" s="1004">
        <f t="shared" si="0"/>
        <v>87.120461101642022</v>
      </c>
      <c r="P47" s="1004">
        <f t="shared" si="0"/>
        <v>88.065350111721841</v>
      </c>
      <c r="Q47" s="1004">
        <f t="shared" si="0"/>
        <v>82.555932713315144</v>
      </c>
      <c r="V47" s="1005">
        <v>94.18</v>
      </c>
      <c r="W47" s="1006"/>
      <c r="X47" s="1002">
        <v>72.405063291139228</v>
      </c>
      <c r="Y47" s="1002">
        <v>57.282908412166456</v>
      </c>
      <c r="Z47" s="1002">
        <v>82.087742140432894</v>
      </c>
      <c r="AA47" s="1002">
        <v>82.752429512905138</v>
      </c>
      <c r="AB47" s="1002">
        <v>77.670587758680085</v>
      </c>
      <c r="AH47" s="1004">
        <f t="shared" si="1"/>
        <v>76.879447113122978</v>
      </c>
      <c r="AI47" s="1004">
        <f t="shared" si="1"/>
        <v>60.822795086182253</v>
      </c>
      <c r="AJ47" s="1004">
        <f t="shared" si="1"/>
        <v>87.1604822047493</v>
      </c>
      <c r="AK47" s="1004">
        <f t="shared" si="1"/>
        <v>87.866244970168978</v>
      </c>
      <c r="AL47" s="1004">
        <f t="shared" si="1"/>
        <v>82.470362878190784</v>
      </c>
      <c r="AQ47" s="1005">
        <v>94.18</v>
      </c>
      <c r="AR47" s="1007"/>
    </row>
    <row r="48" spans="1:44" x14ac:dyDescent="0.35">
      <c r="A48" s="1000">
        <v>2008</v>
      </c>
      <c r="C48" s="1001">
        <v>91.663450405248938</v>
      </c>
      <c r="D48" s="1001">
        <v>83.336868451194164</v>
      </c>
      <c r="E48" s="1002">
        <v>123.71820664433069</v>
      </c>
      <c r="F48" s="1002">
        <v>102.11070993379832</v>
      </c>
      <c r="G48" s="1002">
        <v>103.12816416614798</v>
      </c>
      <c r="J48" s="1009"/>
      <c r="M48" s="1004">
        <f t="shared" si="0"/>
        <v>94.60568727964592</v>
      </c>
      <c r="N48" s="1004">
        <f t="shared" si="0"/>
        <v>86.011836568473697</v>
      </c>
      <c r="O48" s="1004">
        <f t="shared" si="0"/>
        <v>127.68934528262018</v>
      </c>
      <c r="P48" s="1004">
        <f t="shared" si="0"/>
        <v>105.38828561647055</v>
      </c>
      <c r="Q48" s="1004">
        <f t="shared" si="0"/>
        <v>106.43839835498811</v>
      </c>
      <c r="V48" s="1005">
        <v>96.89</v>
      </c>
      <c r="W48" s="1006"/>
      <c r="X48" s="1002">
        <v>92.079566003616634</v>
      </c>
      <c r="Y48" s="1002">
        <v>83.336868451194164</v>
      </c>
      <c r="Z48" s="1002">
        <v>123.04832997350302</v>
      </c>
      <c r="AA48" s="1002">
        <v>101.76920760701589</v>
      </c>
      <c r="AB48" s="1002">
        <v>102.78792405120144</v>
      </c>
      <c r="AH48" s="1004">
        <f t="shared" ref="AH48:AL58" si="2">X48*100/$AQ48</f>
        <v>95.035159462913242</v>
      </c>
      <c r="AI48" s="1004">
        <f t="shared" si="2"/>
        <v>86.011836568473697</v>
      </c>
      <c r="AJ48" s="1004">
        <f t="shared" si="2"/>
        <v>126.99796673908868</v>
      </c>
      <c r="AK48" s="1004">
        <f t="shared" si="2"/>
        <v>105.03582166066249</v>
      </c>
      <c r="AL48" s="1004">
        <f t="shared" si="2"/>
        <v>106.08723712581427</v>
      </c>
      <c r="AQ48" s="1005">
        <v>96.89</v>
      </c>
      <c r="AR48" s="1007"/>
    </row>
    <row r="49" spans="1:49" x14ac:dyDescent="0.35">
      <c r="A49" s="1000">
        <v>2009</v>
      </c>
      <c r="C49" s="1001">
        <v>86.260131223465834</v>
      </c>
      <c r="D49" s="1001">
        <v>81.28367199762441</v>
      </c>
      <c r="E49" s="1002">
        <v>103.87569752521533</v>
      </c>
      <c r="F49" s="1002">
        <v>110.12229918925647</v>
      </c>
      <c r="G49" s="1002">
        <v>103.54149154924379</v>
      </c>
      <c r="J49" s="1009"/>
      <c r="M49" s="1004">
        <f t="shared" si="0"/>
        <v>87.582628920160261</v>
      </c>
      <c r="N49" s="1004">
        <f t="shared" si="0"/>
        <v>82.529873081149773</v>
      </c>
      <c r="O49" s="1004">
        <f t="shared" si="0"/>
        <v>105.46826837771889</v>
      </c>
      <c r="P49" s="1004">
        <f t="shared" si="0"/>
        <v>111.81063985100667</v>
      </c>
      <c r="Q49" s="1004">
        <f t="shared" si="0"/>
        <v>105.12893852090953</v>
      </c>
      <c r="V49" s="1005">
        <v>98.49</v>
      </c>
      <c r="W49" s="1006"/>
      <c r="X49" s="1002">
        <v>87.124773960216984</v>
      </c>
      <c r="Y49" s="1002">
        <v>81.28367199762441</v>
      </c>
      <c r="Z49" s="1002">
        <v>104.6521784482178</v>
      </c>
      <c r="AA49" s="1002">
        <v>109.86393041602996</v>
      </c>
      <c r="AB49" s="1002">
        <v>103.54764065434593</v>
      </c>
      <c r="AH49" s="1004">
        <f t="shared" si="2"/>
        <v>88.460527931990043</v>
      </c>
      <c r="AI49" s="1004">
        <f t="shared" si="2"/>
        <v>82.529873081149773</v>
      </c>
      <c r="AJ49" s="1004">
        <f t="shared" si="2"/>
        <v>106.25665392244676</v>
      </c>
      <c r="AK49" s="1004">
        <f t="shared" si="2"/>
        <v>111.54830989545128</v>
      </c>
      <c r="AL49" s="1004">
        <f t="shared" si="2"/>
        <v>105.13518190105181</v>
      </c>
      <c r="AQ49" s="1005">
        <v>98.49</v>
      </c>
      <c r="AR49" s="1007"/>
    </row>
    <row r="50" spans="1:49" x14ac:dyDescent="0.35">
      <c r="A50" s="1000">
        <v>2010</v>
      </c>
      <c r="C50" s="1001">
        <v>100</v>
      </c>
      <c r="D50" s="1001">
        <v>100</v>
      </c>
      <c r="E50" s="1002">
        <v>100.00000000000004</v>
      </c>
      <c r="F50" s="1002">
        <v>100</v>
      </c>
      <c r="G50" s="1002">
        <v>100</v>
      </c>
      <c r="J50" s="1009"/>
      <c r="M50" s="1004">
        <f t="shared" ref="M50:Q58" si="3">C50*100/$V50</f>
        <v>100</v>
      </c>
      <c r="N50" s="1004">
        <f t="shared" si="3"/>
        <v>100</v>
      </c>
      <c r="O50" s="1004">
        <f t="shared" si="3"/>
        <v>100.00000000000004</v>
      </c>
      <c r="P50" s="1004">
        <f t="shared" si="3"/>
        <v>100</v>
      </c>
      <c r="Q50" s="1004">
        <f t="shared" si="3"/>
        <v>100</v>
      </c>
      <c r="V50" s="1005">
        <v>100</v>
      </c>
      <c r="W50" s="1006"/>
      <c r="X50" s="1002">
        <v>100</v>
      </c>
      <c r="Y50" s="1002">
        <v>100</v>
      </c>
      <c r="Z50" s="1002">
        <v>100</v>
      </c>
      <c r="AA50" s="1002">
        <v>100</v>
      </c>
      <c r="AB50" s="1002">
        <v>100</v>
      </c>
      <c r="AH50" s="1004">
        <f t="shared" si="2"/>
        <v>100</v>
      </c>
      <c r="AI50" s="1004">
        <f t="shared" si="2"/>
        <v>100</v>
      </c>
      <c r="AJ50" s="1004">
        <f t="shared" si="2"/>
        <v>100</v>
      </c>
      <c r="AK50" s="1004">
        <f t="shared" si="2"/>
        <v>100</v>
      </c>
      <c r="AL50" s="1004">
        <f t="shared" si="2"/>
        <v>100</v>
      </c>
      <c r="AQ50" s="1005">
        <v>100</v>
      </c>
      <c r="AR50" s="1007"/>
    </row>
    <row r="51" spans="1:49" x14ac:dyDescent="0.35">
      <c r="A51" s="1000">
        <v>2011</v>
      </c>
      <c r="C51" s="1001">
        <v>111.07680432265535</v>
      </c>
      <c r="D51" s="1001">
        <v>121.12225851609892</v>
      </c>
      <c r="E51" s="1002">
        <v>122.33604167411764</v>
      </c>
      <c r="F51" s="1002">
        <v>103.15563754786486</v>
      </c>
      <c r="G51" s="1002">
        <v>111.23215847645733</v>
      </c>
      <c r="J51" s="1009"/>
      <c r="M51" s="1004">
        <f t="shared" si="3"/>
        <v>108.85613908531492</v>
      </c>
      <c r="N51" s="1004">
        <f t="shared" si="3"/>
        <v>118.70076295188055</v>
      </c>
      <c r="O51" s="1004">
        <f t="shared" si="3"/>
        <v>119.89027996287498</v>
      </c>
      <c r="P51" s="1004">
        <f t="shared" si="3"/>
        <v>101.09333354357591</v>
      </c>
      <c r="Q51" s="1004">
        <f t="shared" si="3"/>
        <v>109.00838737402718</v>
      </c>
      <c r="V51" s="1005">
        <v>102.04</v>
      </c>
      <c r="W51" s="1006"/>
      <c r="X51" s="1002">
        <v>110.37974683544303</v>
      </c>
      <c r="Y51" s="1002">
        <v>121.12225851609892</v>
      </c>
      <c r="Z51" s="1002">
        <v>122.15071077760659</v>
      </c>
      <c r="AA51" s="1002">
        <v>103.1106376304831</v>
      </c>
      <c r="AB51" s="1002">
        <v>111.15382378051716</v>
      </c>
      <c r="AH51" s="1004">
        <f t="shared" si="2"/>
        <v>108.17301728287244</v>
      </c>
      <c r="AI51" s="1004">
        <f t="shared" si="2"/>
        <v>118.70076295188055</v>
      </c>
      <c r="AJ51" s="1004">
        <f t="shared" si="2"/>
        <v>119.70865423128829</v>
      </c>
      <c r="AK51" s="1004">
        <f t="shared" si="2"/>
        <v>101.04923327173961</v>
      </c>
      <c r="AL51" s="1004">
        <f t="shared" si="2"/>
        <v>108.93161875785687</v>
      </c>
      <c r="AQ51" s="1005">
        <v>102.04</v>
      </c>
      <c r="AR51" s="1007"/>
    </row>
    <row r="52" spans="1:49" x14ac:dyDescent="0.35">
      <c r="A52" s="1000">
        <v>2012</v>
      </c>
      <c r="C52" s="1001">
        <v>108.45233500578925</v>
      </c>
      <c r="D52" s="1001">
        <v>128.62406142620796</v>
      </c>
      <c r="E52" s="1002">
        <v>133.46704876970006</v>
      </c>
      <c r="F52" s="1002">
        <v>108.39347361196035</v>
      </c>
      <c r="G52" s="1002">
        <v>118.21367287185559</v>
      </c>
      <c r="J52" s="1009"/>
      <c r="M52" s="1004">
        <f t="shared" si="3"/>
        <v>104.54244747039643</v>
      </c>
      <c r="N52" s="1004">
        <f t="shared" si="3"/>
        <v>123.98694951437051</v>
      </c>
      <c r="O52" s="1004">
        <f t="shared" si="3"/>
        <v>128.65533908781575</v>
      </c>
      <c r="P52" s="1004">
        <f t="shared" si="3"/>
        <v>104.48570812797412</v>
      </c>
      <c r="Q52" s="1004">
        <f t="shared" si="3"/>
        <v>113.95187282808521</v>
      </c>
      <c r="V52" s="1005">
        <v>103.74</v>
      </c>
      <c r="W52" s="1006"/>
      <c r="X52" s="1002">
        <v>107.92043399638335</v>
      </c>
      <c r="Y52" s="1002">
        <v>128.62406142620796</v>
      </c>
      <c r="Z52" s="1002">
        <v>133.16828128789027</v>
      </c>
      <c r="AA52" s="1002">
        <v>108.0372338239127</v>
      </c>
      <c r="AB52" s="1002">
        <v>117.94515089107816</v>
      </c>
      <c r="AH52" s="1004">
        <f t="shared" si="2"/>
        <v>104.02972237939402</v>
      </c>
      <c r="AI52" s="1004">
        <f t="shared" si="2"/>
        <v>123.98694951437051</v>
      </c>
      <c r="AJ52" s="1004">
        <f t="shared" si="2"/>
        <v>128.36734267195899</v>
      </c>
      <c r="AK52" s="1004">
        <f t="shared" si="2"/>
        <v>104.14231137836197</v>
      </c>
      <c r="AL52" s="1004">
        <f t="shared" si="2"/>
        <v>113.69303151251027</v>
      </c>
      <c r="AQ52" s="1005">
        <v>103.74</v>
      </c>
      <c r="AR52" s="1007"/>
    </row>
    <row r="53" spans="1:49" x14ac:dyDescent="0.35">
      <c r="A53" s="1000">
        <v>2013</v>
      </c>
      <c r="C53" s="1001">
        <v>114.24160555769971</v>
      </c>
      <c r="D53" s="1001">
        <v>124.03597335935179</v>
      </c>
      <c r="E53" s="1002">
        <v>147.76188431931118</v>
      </c>
      <c r="F53" s="1002">
        <v>114.20173241472182</v>
      </c>
      <c r="G53" s="1002">
        <v>122.84654395795889</v>
      </c>
      <c r="J53" s="1009"/>
      <c r="M53" s="1004">
        <f t="shared" si="3"/>
        <v>108.08098917473956</v>
      </c>
      <c r="N53" s="1004">
        <f t="shared" si="3"/>
        <v>117.3471838782893</v>
      </c>
      <c r="O53" s="1004">
        <f t="shared" si="3"/>
        <v>139.79364647049306</v>
      </c>
      <c r="P53" s="1004">
        <f t="shared" si="3"/>
        <v>108.04326623909348</v>
      </c>
      <c r="Q53" s="1004">
        <f t="shared" si="3"/>
        <v>116.22189589210869</v>
      </c>
      <c r="V53" s="1005">
        <v>105.7</v>
      </c>
      <c r="W53" s="1006"/>
      <c r="X53" s="1002">
        <v>113.34538878842675</v>
      </c>
      <c r="Y53" s="1002">
        <v>124.03597335935179</v>
      </c>
      <c r="Z53" s="1002">
        <v>147.18496677366056</v>
      </c>
      <c r="AA53" s="1002">
        <v>113.46767388036778</v>
      </c>
      <c r="AB53" s="1002">
        <v>122.28825125921534</v>
      </c>
      <c r="AH53" s="1004">
        <f t="shared" si="2"/>
        <v>107.23310197580582</v>
      </c>
      <c r="AI53" s="1004">
        <f t="shared" si="2"/>
        <v>117.3471838782893</v>
      </c>
      <c r="AJ53" s="1004">
        <f t="shared" si="2"/>
        <v>139.24783989939505</v>
      </c>
      <c r="AK53" s="1004">
        <f t="shared" si="2"/>
        <v>107.34879269665826</v>
      </c>
      <c r="AL53" s="1004">
        <f t="shared" si="2"/>
        <v>115.69370980058216</v>
      </c>
      <c r="AQ53" s="1005">
        <v>105.7</v>
      </c>
      <c r="AR53" s="1007"/>
    </row>
    <row r="54" spans="1:49" x14ac:dyDescent="0.35">
      <c r="A54" s="1000">
        <v>2014</v>
      </c>
      <c r="C54" s="1001">
        <v>114.12582014666151</v>
      </c>
      <c r="D54" s="1001">
        <v>110.77461502566497</v>
      </c>
      <c r="E54" s="1002">
        <v>132.71580743256663</v>
      </c>
      <c r="F54" s="1002">
        <v>120.55251434994278</v>
      </c>
      <c r="G54" s="1002">
        <v>120.65160133980845</v>
      </c>
      <c r="H54" s="138">
        <v>107.4</v>
      </c>
      <c r="J54" s="1009"/>
      <c r="M54" s="1004">
        <f t="shared" si="3"/>
        <v>106.03532485985461</v>
      </c>
      <c r="N54" s="1004">
        <f t="shared" si="3"/>
        <v>102.92169007308834</v>
      </c>
      <c r="O54" s="1004">
        <f t="shared" si="3"/>
        <v>123.30744906863016</v>
      </c>
      <c r="P54" s="1004">
        <f t="shared" si="3"/>
        <v>112.00642418465371</v>
      </c>
      <c r="Q54" s="1004">
        <f t="shared" si="3"/>
        <v>112.09848679718337</v>
      </c>
      <c r="V54" s="1005">
        <v>107.63</v>
      </c>
      <c r="W54" s="1006"/>
      <c r="X54" s="1002">
        <v>113.23688969258588</v>
      </c>
      <c r="Y54" s="1002">
        <v>110.77461502566497</v>
      </c>
      <c r="Z54" s="1002">
        <v>132.49860448237763</v>
      </c>
      <c r="AA54" s="1002">
        <v>119.60011933205725</v>
      </c>
      <c r="AB54" s="1002">
        <v>120.03241201155325</v>
      </c>
      <c r="AH54" s="1004">
        <f t="shared" si="2"/>
        <v>105.2094115883916</v>
      </c>
      <c r="AI54" s="1004">
        <f t="shared" si="2"/>
        <v>102.92169007308834</v>
      </c>
      <c r="AJ54" s="1004">
        <f t="shared" si="2"/>
        <v>123.10564385615315</v>
      </c>
      <c r="AK54" s="1004">
        <f t="shared" si="2"/>
        <v>111.12154541675856</v>
      </c>
      <c r="AL54" s="1004">
        <f t="shared" si="2"/>
        <v>111.52319242920491</v>
      </c>
      <c r="AQ54" s="1005">
        <v>107.63</v>
      </c>
      <c r="AR54" s="1007"/>
    </row>
    <row r="55" spans="1:49" x14ac:dyDescent="0.35">
      <c r="A55" s="1000">
        <v>2015</v>
      </c>
      <c r="C55" s="1001">
        <v>100.81049787726745</v>
      </c>
      <c r="D55" s="1001">
        <v>76.419844737623549</v>
      </c>
      <c r="E55" s="1002">
        <v>118.96185867686354</v>
      </c>
      <c r="F55" s="1002">
        <v>122.12822195466725</v>
      </c>
      <c r="G55" s="1002">
        <v>114.14869912393735</v>
      </c>
      <c r="J55" s="1009"/>
      <c r="M55" s="1004">
        <f t="shared" si="3"/>
        <v>93.118878512162794</v>
      </c>
      <c r="N55" s="1004">
        <f t="shared" si="3"/>
        <v>70.589178586387902</v>
      </c>
      <c r="O55" s="1004">
        <f t="shared" si="3"/>
        <v>109.88533038690517</v>
      </c>
      <c r="P55" s="1004">
        <f t="shared" si="3"/>
        <v>112.81010710758106</v>
      </c>
      <c r="Q55" s="1004">
        <f t="shared" si="3"/>
        <v>105.43940432656322</v>
      </c>
      <c r="V55" s="1005">
        <v>108.26</v>
      </c>
      <c r="X55" s="1002">
        <v>100.75949367088609</v>
      </c>
      <c r="Y55" s="1002">
        <v>76.419844737623549</v>
      </c>
      <c r="Z55" s="1002">
        <v>119.10357018577801</v>
      </c>
      <c r="AA55" s="1002">
        <v>121.16507855263245</v>
      </c>
      <c r="AB55" s="1002">
        <v>113.5482929124518</v>
      </c>
      <c r="AH55" s="1004">
        <f t="shared" si="2"/>
        <v>93.071765814600127</v>
      </c>
      <c r="AI55" s="1004">
        <f t="shared" si="2"/>
        <v>70.589178586387902</v>
      </c>
      <c r="AJ55" s="1004">
        <f t="shared" si="2"/>
        <v>110.01622961922963</v>
      </c>
      <c r="AK55" s="1004">
        <f t="shared" si="2"/>
        <v>111.92044942973624</v>
      </c>
      <c r="AL55" s="1004">
        <f t="shared" si="2"/>
        <v>104.88480778907426</v>
      </c>
      <c r="AQ55" s="1005">
        <v>108.26</v>
      </c>
      <c r="AS55" s="1009"/>
    </row>
    <row r="56" spans="1:49" x14ac:dyDescent="0.35">
      <c r="A56" s="1000">
        <v>2016</v>
      </c>
      <c r="C56" s="1001">
        <v>94.258973369355459</v>
      </c>
      <c r="D56" s="1001">
        <v>76.951225978874135</v>
      </c>
      <c r="E56" s="1002">
        <v>99.973394937306992</v>
      </c>
      <c r="F56" s="1002">
        <v>117.98291596903658</v>
      </c>
      <c r="G56" s="1002">
        <v>108.10763134630258</v>
      </c>
      <c r="J56" s="1009"/>
      <c r="M56" s="1004">
        <f t="shared" si="3"/>
        <v>85.248234936560976</v>
      </c>
      <c r="N56" s="1004">
        <f t="shared" si="3"/>
        <v>69.595031182847194</v>
      </c>
      <c r="O56" s="1004">
        <f t="shared" si="3"/>
        <v>90.416383229905932</v>
      </c>
      <c r="P56" s="1004">
        <f t="shared" si="3"/>
        <v>106.7042741874257</v>
      </c>
      <c r="Q56" s="1004">
        <f t="shared" si="3"/>
        <v>97.773022832868406</v>
      </c>
      <c r="V56" s="1005">
        <v>110.57</v>
      </c>
      <c r="X56" s="1002">
        <v>94.620253164556956</v>
      </c>
      <c r="Y56" s="1002">
        <v>76.951225978874135</v>
      </c>
      <c r="Z56" s="1002">
        <v>100.61997729549857</v>
      </c>
      <c r="AA56" s="1002">
        <v>118.38900902044844</v>
      </c>
      <c r="AB56" s="1002">
        <v>108.48632019485554</v>
      </c>
      <c r="AH56" s="1004">
        <f t="shared" si="2"/>
        <v>85.574977990917034</v>
      </c>
      <c r="AI56" s="1004">
        <f t="shared" si="2"/>
        <v>69.595031182847194</v>
      </c>
      <c r="AJ56" s="1004">
        <f t="shared" si="2"/>
        <v>91.001155191732465</v>
      </c>
      <c r="AK56" s="1004">
        <f t="shared" si="2"/>
        <v>107.07154655010261</v>
      </c>
      <c r="AL56" s="1004">
        <f t="shared" si="2"/>
        <v>98.115510712540072</v>
      </c>
      <c r="AQ56" s="1005">
        <v>110.57</v>
      </c>
    </row>
    <row r="57" spans="1:49" x14ac:dyDescent="0.35">
      <c r="A57" s="1000">
        <v>2017</v>
      </c>
      <c r="C57" s="1001">
        <v>109.04091084523351</v>
      </c>
      <c r="D57" s="1001">
        <v>95.166590042280561</v>
      </c>
      <c r="E57" s="1002">
        <v>106.23796607932275</v>
      </c>
      <c r="F57" s="1002">
        <v>123.88997179626418</v>
      </c>
      <c r="G57" s="1002">
        <v>117.22694713384806</v>
      </c>
      <c r="J57" s="1009"/>
      <c r="M57" s="1004">
        <f t="shared" si="3"/>
        <v>96.787600608231429</v>
      </c>
      <c r="N57" s="1004">
        <f t="shared" si="3"/>
        <v>84.472385977525803</v>
      </c>
      <c r="O57" s="1004">
        <f t="shared" si="3"/>
        <v>94.299632593043441</v>
      </c>
      <c r="P57" s="1004">
        <f t="shared" si="3"/>
        <v>109.96802041209318</v>
      </c>
      <c r="Q57" s="1004">
        <f t="shared" si="3"/>
        <v>104.05374323970182</v>
      </c>
      <c r="V57" s="1005">
        <v>112.66</v>
      </c>
      <c r="X57" s="1002">
        <v>108.47197106690778</v>
      </c>
      <c r="Y57" s="1002">
        <v>95.166590042280561</v>
      </c>
      <c r="Z57" s="1002">
        <v>106.70118031651289</v>
      </c>
      <c r="AA57" s="1002">
        <v>124.88163431152377</v>
      </c>
      <c r="AB57" s="1002">
        <v>117.98766178357847</v>
      </c>
      <c r="AH57" s="1004">
        <f t="shared" si="2"/>
        <v>96.282594591609978</v>
      </c>
      <c r="AI57" s="1004">
        <f t="shared" si="2"/>
        <v>84.472385977525803</v>
      </c>
      <c r="AJ57" s="1004">
        <f t="shared" si="2"/>
        <v>94.710793819024403</v>
      </c>
      <c r="AK57" s="1004">
        <f t="shared" si="2"/>
        <v>110.84824632657889</v>
      </c>
      <c r="AL57" s="1004">
        <f t="shared" si="2"/>
        <v>104.72897371167981</v>
      </c>
      <c r="AQ57" s="1005">
        <v>112.66</v>
      </c>
    </row>
    <row r="58" spans="1:49" x14ac:dyDescent="0.35">
      <c r="A58" s="1000">
        <v>2018</v>
      </c>
      <c r="C58" s="1001">
        <v>125.85874179853337</v>
      </c>
      <c r="D58" s="1001">
        <v>103.55349727146526</v>
      </c>
      <c r="E58" s="1002">
        <v>125.4590936785057</v>
      </c>
      <c r="F58" s="1002">
        <v>132.41295172095639</v>
      </c>
      <c r="G58" s="1002">
        <v>127.93721155577015</v>
      </c>
      <c r="J58" s="1009"/>
      <c r="M58" s="1004">
        <f>C58*100/$V58</f>
        <v>109.62350126167875</v>
      </c>
      <c r="N58" s="1004">
        <f t="shared" si="3"/>
        <v>90.195538081582839</v>
      </c>
      <c r="O58" s="1004">
        <f t="shared" si="3"/>
        <v>109.27540604346807</v>
      </c>
      <c r="P58" s="1004">
        <f t="shared" si="3"/>
        <v>115.3322460769588</v>
      </c>
      <c r="Q58" s="1004">
        <f t="shared" si="3"/>
        <v>111.43385729097653</v>
      </c>
      <c r="V58" s="1005">
        <v>114.81</v>
      </c>
      <c r="X58" s="1002">
        <v>124.23146473779386</v>
      </c>
      <c r="Y58" s="1002">
        <v>103.55349727146526</v>
      </c>
      <c r="Z58" s="1002">
        <v>126.11719166784917</v>
      </c>
      <c r="AA58" s="1002">
        <v>133.06070144974996</v>
      </c>
      <c r="AB58" s="1002">
        <v>128.48679682062277</v>
      </c>
      <c r="AH58" s="1004">
        <f>X58*100/$AQ58</f>
        <v>108.20613599668482</v>
      </c>
      <c r="AI58" s="1004">
        <f t="shared" si="2"/>
        <v>90.195538081582839</v>
      </c>
      <c r="AJ58" s="1004">
        <f t="shared" si="2"/>
        <v>109.84861220089641</v>
      </c>
      <c r="AK58" s="1004">
        <f t="shared" si="2"/>
        <v>115.8964388552826</v>
      </c>
      <c r="AL58" s="1004">
        <f t="shared" si="2"/>
        <v>111.9125484022496</v>
      </c>
      <c r="AQ58" s="1005">
        <v>114.81</v>
      </c>
    </row>
    <row r="59" spans="1:49" x14ac:dyDescent="0.35">
      <c r="A59" s="1000"/>
      <c r="C59" s="1001"/>
      <c r="D59" s="1001"/>
      <c r="E59" s="1002"/>
      <c r="F59" s="1002"/>
      <c r="G59" s="1002"/>
      <c r="J59" s="1009"/>
      <c r="M59" s="1002"/>
      <c r="N59" s="1002"/>
      <c r="O59" s="1002"/>
      <c r="P59" s="1002"/>
      <c r="Q59" s="1002"/>
      <c r="V59" s="1013"/>
      <c r="X59" s="1002"/>
      <c r="Y59" s="1002"/>
      <c r="Z59" s="1002"/>
      <c r="AA59" s="1002"/>
      <c r="AB59" s="1002"/>
      <c r="AH59" s="1002"/>
      <c r="AI59" s="1002"/>
      <c r="AJ59" s="1002"/>
      <c r="AK59" s="1002"/>
      <c r="AL59" s="1002"/>
      <c r="AQ59" s="1013"/>
    </row>
    <row r="60" spans="1:49" x14ac:dyDescent="0.35">
      <c r="A60" s="138" t="s">
        <v>2200</v>
      </c>
      <c r="C60" s="1014">
        <f>(C58-C57)/C57</f>
        <v>0.15423413857180757</v>
      </c>
      <c r="D60" s="1014">
        <f t="shared" ref="D60:G60" si="4">(D58-D57)/D57</f>
        <v>8.8128693330911292E-2</v>
      </c>
      <c r="E60" s="1014">
        <f t="shared" si="4"/>
        <v>0.18092522201367695</v>
      </c>
      <c r="F60" s="1014">
        <f t="shared" si="4"/>
        <v>6.8794752320294042E-2</v>
      </c>
      <c r="G60" s="1014">
        <f t="shared" si="4"/>
        <v>9.1363502025632926E-2</v>
      </c>
      <c r="H60" s="1014"/>
      <c r="I60" s="1014"/>
      <c r="J60" s="1014"/>
      <c r="K60" s="1014"/>
      <c r="L60" s="1014"/>
      <c r="M60" s="1014">
        <f>(M58-M57)/M57</f>
        <v>0.13261926706297211</v>
      </c>
      <c r="N60" s="1014">
        <f t="shared" ref="N60:Q60" si="5">(N58-N57)/N57</f>
        <v>6.7751751508234911E-2</v>
      </c>
      <c r="O60" s="1014">
        <f t="shared" si="5"/>
        <v>0.15881051748158562</v>
      </c>
      <c r="P60" s="1014">
        <f t="shared" si="5"/>
        <v>4.8779869318041395E-2</v>
      </c>
      <c r="Q60" s="1014">
        <f t="shared" si="5"/>
        <v>7.0925983261107967E-2</v>
      </c>
      <c r="R60" s="1014"/>
      <c r="S60" s="1014"/>
      <c r="T60" s="1014"/>
      <c r="U60" s="1014"/>
      <c r="V60" s="1014">
        <f t="shared" ref="V60" si="6">(V58-V57)/V57</f>
        <v>1.9083969465648908E-2</v>
      </c>
      <c r="W60" s="1015"/>
      <c r="X60" s="1014">
        <f>(X58-X57)/X57</f>
        <v>0.14528632158039506</v>
      </c>
      <c r="Y60" s="1014">
        <f t="shared" ref="Y60:AB60" si="7">(Y58-Y57)/Y57</f>
        <v>8.8128693330911292E-2</v>
      </c>
      <c r="Z60" s="1014">
        <f t="shared" si="7"/>
        <v>0.18196622843104099</v>
      </c>
      <c r="AA60" s="1014">
        <f t="shared" si="7"/>
        <v>6.5494555571102453E-2</v>
      </c>
      <c r="AB60" s="1014">
        <f t="shared" si="7"/>
        <v>8.8985025030011794E-2</v>
      </c>
      <c r="AC60" s="1014"/>
      <c r="AD60" s="1014"/>
      <c r="AE60" s="1014"/>
      <c r="AF60" s="1014"/>
      <c r="AG60" s="1014"/>
      <c r="AH60" s="1014">
        <f>(AH58-AH57)/AH57</f>
        <v>0.12383901218750347</v>
      </c>
      <c r="AI60" s="1014">
        <f t="shared" ref="AI60:AL60" si="8">(AI58-AI57)/AI57</f>
        <v>6.7751751508234911E-2</v>
      </c>
      <c r="AJ60" s="1014">
        <f t="shared" si="8"/>
        <v>0.15983202939675181</v>
      </c>
      <c r="AK60" s="1014">
        <f t="shared" si="8"/>
        <v>4.5541474006100417E-2</v>
      </c>
      <c r="AL60" s="1014">
        <f t="shared" si="8"/>
        <v>6.8592047033195006E-2</v>
      </c>
      <c r="AM60" s="1014"/>
      <c r="AN60" s="1014"/>
      <c r="AO60" s="1014"/>
      <c r="AP60" s="1014"/>
      <c r="AQ60" s="1014">
        <f t="shared" ref="AQ60" si="9">(AQ58-AQ57)/AQ57</f>
        <v>1.9083969465648908E-2</v>
      </c>
    </row>
    <row r="61" spans="1:49" x14ac:dyDescent="0.35">
      <c r="A61" s="138" t="s">
        <v>2201</v>
      </c>
      <c r="C61" s="1014">
        <f>(C58-C48)/C48</f>
        <v>0.37305263157894725</v>
      </c>
      <c r="D61" s="1014">
        <f t="shared" ref="D61:G61" si="10">(D58-D48)/D48</f>
        <v>0.24258925486396057</v>
      </c>
      <c r="E61" s="1014">
        <f t="shared" si="10"/>
        <v>1.4071389178633702E-2</v>
      </c>
      <c r="F61" s="1014">
        <f t="shared" si="10"/>
        <v>0.29675870245935998</v>
      </c>
      <c r="G61" s="1014">
        <f t="shared" si="10"/>
        <v>0.24056519952835331</v>
      </c>
      <c r="H61" s="1014"/>
      <c r="I61" s="1014"/>
      <c r="J61" s="1014"/>
      <c r="K61" s="1014"/>
      <c r="L61" s="1014"/>
      <c r="M61" s="1014">
        <f>(M58-M48)/M48</f>
        <v>0.15874113294734093</v>
      </c>
      <c r="N61" s="1014">
        <f t="shared" ref="N61:Q61" si="11">(N58-N48)/N48</f>
        <v>4.8640997332716096E-2</v>
      </c>
      <c r="O61" s="1014">
        <f t="shared" si="11"/>
        <v>-0.1442088938461997</v>
      </c>
      <c r="P61" s="1014">
        <f t="shared" si="11"/>
        <v>9.4355462775780788E-2</v>
      </c>
      <c r="Q61" s="1014">
        <f t="shared" si="11"/>
        <v>4.6932864578888296E-2</v>
      </c>
      <c r="R61" s="1014"/>
      <c r="S61" s="1014"/>
      <c r="T61" s="1014"/>
      <c r="U61" s="1014"/>
      <c r="V61" s="1014">
        <f t="shared" ref="V61" si="12">(V58-V48)/V48</f>
        <v>0.18495200743110746</v>
      </c>
      <c r="W61" s="1015"/>
      <c r="X61" s="1014">
        <f>(X58-X48)/X48</f>
        <v>0.34917517674783982</v>
      </c>
      <c r="Y61" s="1014">
        <f t="shared" ref="Y61:AB61" si="13">(Y58-Y48)/Y48</f>
        <v>0.24258925486396057</v>
      </c>
      <c r="Z61" s="1014">
        <f t="shared" si="13"/>
        <v>2.4940295370176876E-2</v>
      </c>
      <c r="AA61" s="1014">
        <f t="shared" si="13"/>
        <v>0.30747506616703635</v>
      </c>
      <c r="AB61" s="1014">
        <f t="shared" si="13"/>
        <v>0.25001840446373863</v>
      </c>
      <c r="AC61" s="1014"/>
      <c r="AD61" s="1014"/>
      <c r="AE61" s="1014"/>
      <c r="AF61" s="1014"/>
      <c r="AG61" s="1014"/>
      <c r="AH61" s="1014">
        <f>(AH58-AH48)/AH48</f>
        <v>0.13859056593587823</v>
      </c>
      <c r="AI61" s="1014">
        <f t="shared" ref="AI61:AL61" si="14">(AI58-AI48)/AI48</f>
        <v>4.8640997332716096E-2</v>
      </c>
      <c r="AJ61" s="1014">
        <f t="shared" si="14"/>
        <v>-0.13503644962619604</v>
      </c>
      <c r="AK61" s="1014">
        <f t="shared" si="14"/>
        <v>0.10339917394760163</v>
      </c>
      <c r="AL61" s="1014">
        <f t="shared" si="14"/>
        <v>5.4910575807783503E-2</v>
      </c>
      <c r="AM61" s="1014"/>
      <c r="AN61" s="1014"/>
      <c r="AO61" s="1014"/>
      <c r="AP61" s="1014"/>
      <c r="AQ61" s="1014">
        <f t="shared" ref="AQ61" si="15">(AQ58-AQ48)/AQ48</f>
        <v>0.18495200743110746</v>
      </c>
    </row>
    <row r="62" spans="1:49" x14ac:dyDescent="0.35">
      <c r="A62" s="138" t="s">
        <v>2202</v>
      </c>
      <c r="C62" s="1014">
        <f>(C58-C53)/C53</f>
        <v>0.10168918918918925</v>
      </c>
      <c r="D62" s="1014">
        <f t="shared" ref="D62:G62" si="16">(D58-D53)/D53</f>
        <v>-0.16513335231018472</v>
      </c>
      <c r="E62" s="1014">
        <f t="shared" si="16"/>
        <v>-0.15093737294666257</v>
      </c>
      <c r="F62" s="1014">
        <f t="shared" si="16"/>
        <v>0.15946535066649259</v>
      </c>
      <c r="G62" s="1014">
        <f t="shared" si="16"/>
        <v>4.1439241461716771E-2</v>
      </c>
      <c r="H62" s="1014"/>
      <c r="I62" s="1014"/>
      <c r="J62" s="1014"/>
      <c r="K62" s="1014"/>
      <c r="L62" s="1014"/>
      <c r="M62" s="1014">
        <f>(M58-M53)/M53</f>
        <v>1.4271816891362333E-2</v>
      </c>
      <c r="N62" s="1014">
        <f t="shared" ref="N62:Q62" si="17">(N58-N53)/N53</f>
        <v>-0.23137875916023457</v>
      </c>
      <c r="O62" s="1014">
        <f t="shared" si="17"/>
        <v>-0.21830920930635161</v>
      </c>
      <c r="P62" s="1014">
        <f t="shared" si="17"/>
        <v>6.7463527266338127E-2</v>
      </c>
      <c r="Q62" s="1014">
        <f t="shared" si="17"/>
        <v>-4.1197388533198577E-2</v>
      </c>
      <c r="R62" s="1014"/>
      <c r="S62" s="1014"/>
      <c r="T62" s="1014"/>
      <c r="U62" s="1014"/>
      <c r="V62" s="1014">
        <f t="shared" ref="V62" si="18">(V58-V53)/V53</f>
        <v>8.6187322611163658E-2</v>
      </c>
      <c r="W62" s="1015"/>
      <c r="X62" s="1014">
        <f>(X58-X53)/X53</f>
        <v>9.6043395022335887E-2</v>
      </c>
      <c r="Y62" s="1014">
        <f t="shared" ref="Y62:AB62" si="19">(Y58-Y53)/Y53</f>
        <v>-0.16513335231018472</v>
      </c>
      <c r="Z62" s="1014">
        <f t="shared" si="19"/>
        <v>-0.14313809057829383</v>
      </c>
      <c r="AA62" s="1014">
        <f t="shared" si="19"/>
        <v>0.17267497340290647</v>
      </c>
      <c r="AB62" s="1014">
        <f t="shared" si="19"/>
        <v>5.068798921875433E-2</v>
      </c>
      <c r="AC62" s="1014"/>
      <c r="AD62" s="1014"/>
      <c r="AE62" s="1014"/>
      <c r="AF62" s="1014"/>
      <c r="AG62" s="1014"/>
      <c r="AH62" s="1014">
        <f>(AH58-AH53)/AH53</f>
        <v>9.0740079597672781E-3</v>
      </c>
      <c r="AI62" s="1014">
        <f t="shared" ref="AI62:AL62" si="20">(AI58-AI53)/AI53</f>
        <v>-0.23137875916023457</v>
      </c>
      <c r="AJ62" s="1014">
        <f t="shared" si="20"/>
        <v>-0.2111287882076967</v>
      </c>
      <c r="AK62" s="1014">
        <f t="shared" si="20"/>
        <v>7.962498640089892E-2</v>
      </c>
      <c r="AL62" s="1014">
        <f t="shared" si="20"/>
        <v>-3.2682514934044678E-2</v>
      </c>
      <c r="AM62" s="1014"/>
      <c r="AN62" s="1014"/>
      <c r="AO62" s="1014"/>
      <c r="AP62" s="1014"/>
      <c r="AQ62" s="1014">
        <f t="shared" ref="AQ62" si="21">(AQ58-AQ53)/AQ53</f>
        <v>8.6187322611163658E-2</v>
      </c>
    </row>
    <row r="63" spans="1:49" x14ac:dyDescent="0.35">
      <c r="C63" s="1001"/>
      <c r="D63" s="1001"/>
      <c r="E63" s="1001"/>
      <c r="F63" s="1001"/>
      <c r="G63" s="1001"/>
      <c r="M63" s="1016"/>
      <c r="N63" s="1016"/>
      <c r="O63" s="1016"/>
      <c r="P63" s="1016"/>
      <c r="Q63" s="1016"/>
      <c r="V63" s="1013"/>
      <c r="X63" s="1002"/>
      <c r="Y63" s="1002"/>
      <c r="Z63" s="1002"/>
      <c r="AA63" s="1002"/>
      <c r="AB63" s="1002"/>
      <c r="AQ63" s="1013"/>
    </row>
    <row r="64" spans="1:49" x14ac:dyDescent="0.35">
      <c r="C64" s="1001"/>
      <c r="D64" s="1001"/>
      <c r="E64" s="1001"/>
      <c r="F64" s="1001"/>
      <c r="G64" s="1001"/>
      <c r="M64" s="1002"/>
      <c r="N64" s="1002"/>
      <c r="O64" s="1017"/>
      <c r="P64" s="1002"/>
      <c r="Q64" s="1002"/>
      <c r="V64" s="1018" t="s">
        <v>2203</v>
      </c>
      <c r="X64" s="1002"/>
      <c r="Y64" s="1002"/>
      <c r="Z64" s="1002"/>
      <c r="AA64" s="1002"/>
      <c r="AB64" s="1002"/>
      <c r="AH64" s="1014"/>
      <c r="AI64" s="1014"/>
      <c r="AJ64" s="1014"/>
      <c r="AK64" s="1014"/>
      <c r="AL64" s="1014"/>
      <c r="AQ64" s="1018" t="s">
        <v>2203</v>
      </c>
      <c r="AR64" s="1019"/>
      <c r="AS64" s="1020"/>
      <c r="AT64" s="1019"/>
      <c r="AU64" s="1019"/>
      <c r="AV64" s="1019"/>
      <c r="AW64" s="1019"/>
    </row>
    <row r="65" spans="1:49" x14ac:dyDescent="0.35">
      <c r="C65" s="1001"/>
      <c r="D65" s="1001"/>
      <c r="E65" s="1001"/>
      <c r="F65" s="1001"/>
      <c r="G65" s="1001"/>
      <c r="M65" s="1002"/>
      <c r="N65" s="1002"/>
      <c r="O65" s="1002"/>
      <c r="P65" s="1002"/>
      <c r="Q65" s="1002"/>
      <c r="V65" s="1021" t="s">
        <v>2204</v>
      </c>
      <c r="X65" s="1002"/>
      <c r="Y65" s="1002"/>
      <c r="Z65" s="1002"/>
      <c r="AA65" s="1002"/>
      <c r="AB65" s="1002"/>
      <c r="AQ65" s="1021" t="s">
        <v>2204</v>
      </c>
      <c r="AR65" s="1019"/>
      <c r="AS65" s="1019"/>
      <c r="AT65" s="1019"/>
      <c r="AU65" s="1019"/>
      <c r="AV65" s="1019"/>
      <c r="AW65" s="1019"/>
    </row>
    <row r="66" spans="1:49" x14ac:dyDescent="0.35">
      <c r="C66" s="1001"/>
      <c r="D66" s="1001"/>
      <c r="E66" s="1001"/>
      <c r="F66" s="1001"/>
      <c r="G66" s="1001"/>
      <c r="M66" s="1002"/>
      <c r="N66" s="1002"/>
      <c r="O66" s="1002"/>
      <c r="P66" s="1002"/>
      <c r="Q66" s="1002"/>
      <c r="V66" s="1021" t="s">
        <v>2205</v>
      </c>
      <c r="X66" s="1002"/>
      <c r="Y66" s="1002"/>
      <c r="Z66" s="1002"/>
      <c r="AA66" s="1002"/>
      <c r="AB66" s="1002"/>
      <c r="AQ66" s="1021" t="s">
        <v>2205</v>
      </c>
      <c r="AR66" s="75"/>
      <c r="AS66" s="75"/>
      <c r="AT66" s="75"/>
      <c r="AU66" s="75"/>
      <c r="AV66" s="75"/>
      <c r="AW66" s="75"/>
    </row>
    <row r="67" spans="1:49" x14ac:dyDescent="0.35">
      <c r="A67" s="1022"/>
      <c r="C67" s="1001"/>
      <c r="D67" s="1001"/>
      <c r="E67" s="1001"/>
      <c r="F67" s="1001"/>
      <c r="G67" s="1001"/>
      <c r="M67" s="1001"/>
      <c r="N67" s="1001"/>
      <c r="O67" s="1002"/>
      <c r="P67" s="1001"/>
      <c r="Q67" s="1001"/>
      <c r="V67" s="1013"/>
      <c r="X67" s="1003"/>
      <c r="Y67" s="1003"/>
      <c r="Z67" s="1003"/>
      <c r="AA67" s="1003"/>
      <c r="AB67" s="1003"/>
      <c r="AI67" s="1023"/>
    </row>
    <row r="68" spans="1:49" x14ac:dyDescent="0.35">
      <c r="A68" s="1024" t="s">
        <v>2206</v>
      </c>
      <c r="C68" s="1001"/>
      <c r="D68" s="1001"/>
      <c r="E68" s="1001"/>
      <c r="F68" s="1001"/>
      <c r="G68" s="1001"/>
      <c r="M68" s="1001"/>
      <c r="N68" s="1001"/>
      <c r="O68" s="1001"/>
      <c r="P68" s="1001"/>
      <c r="Q68" s="1001"/>
      <c r="V68" s="138"/>
      <c r="X68" s="1003"/>
      <c r="Y68" s="1003"/>
      <c r="Z68" s="1003"/>
      <c r="AA68" s="1003"/>
      <c r="AB68" s="1003"/>
    </row>
    <row r="69" spans="1:49" x14ac:dyDescent="0.35">
      <c r="C69" s="1001"/>
      <c r="D69" s="1001"/>
      <c r="E69" s="1001"/>
      <c r="F69" s="1001"/>
      <c r="G69" s="1001"/>
      <c r="M69" s="1001"/>
      <c r="N69" s="1001"/>
      <c r="O69" s="1001"/>
      <c r="P69" s="1001"/>
      <c r="Q69" s="1001"/>
      <c r="V69" s="1003"/>
      <c r="AQ69" s="138"/>
    </row>
    <row r="70" spans="1:49" x14ac:dyDescent="0.35">
      <c r="C70" s="1001"/>
      <c r="D70" s="1001"/>
      <c r="E70" s="1001"/>
      <c r="F70" s="1001"/>
      <c r="G70" s="1001"/>
      <c r="M70" s="1001"/>
      <c r="N70" s="1001"/>
      <c r="O70" s="1001"/>
      <c r="P70" s="1001"/>
      <c r="Q70" s="1001"/>
      <c r="V70" s="1003"/>
      <c r="AQ70" s="138"/>
    </row>
    <row r="71" spans="1:49" x14ac:dyDescent="0.35">
      <c r="A71" s="1025"/>
      <c r="C71" s="1001"/>
      <c r="D71" s="1001"/>
      <c r="E71" s="1001"/>
      <c r="F71" s="1001"/>
      <c r="G71" s="1001"/>
      <c r="M71" s="1001"/>
      <c r="N71" s="1001"/>
      <c r="O71" s="1001"/>
      <c r="P71" s="1001"/>
      <c r="Q71" s="1001"/>
      <c r="V71" s="138"/>
      <c r="AQ71" s="138"/>
    </row>
    <row r="72" spans="1:49" x14ac:dyDescent="0.35">
      <c r="A72" s="1025"/>
      <c r="C72" s="1001"/>
      <c r="D72" s="1001"/>
      <c r="E72" s="1001"/>
      <c r="F72" s="1001"/>
      <c r="G72" s="1003"/>
      <c r="M72" s="1001"/>
      <c r="N72" s="1001"/>
      <c r="O72" s="1001"/>
      <c r="P72" s="1001"/>
      <c r="Q72" s="1001"/>
      <c r="V72" s="138"/>
    </row>
    <row r="73" spans="1:49" x14ac:dyDescent="0.35">
      <c r="A73" s="1025"/>
      <c r="C73" s="1001"/>
      <c r="D73" s="1001"/>
      <c r="E73" s="1001"/>
      <c r="F73" s="1001"/>
      <c r="G73" s="1003"/>
      <c r="M73" s="1001"/>
      <c r="N73" s="1001"/>
      <c r="O73" s="1001"/>
      <c r="P73" s="1001"/>
      <c r="Q73" s="1001"/>
      <c r="V73" s="138"/>
    </row>
    <row r="74" spans="1:49" x14ac:dyDescent="0.35">
      <c r="A74" s="1025"/>
      <c r="C74" s="1001"/>
      <c r="D74" s="1001"/>
      <c r="E74" s="1001"/>
      <c r="F74" s="1001"/>
      <c r="G74" s="1003"/>
      <c r="M74" s="1001"/>
      <c r="N74" s="1001"/>
      <c r="O74" s="1001"/>
      <c r="P74" s="1001"/>
      <c r="Q74" s="1001"/>
      <c r="V74" s="138"/>
    </row>
    <row r="75" spans="1:49" x14ac:dyDescent="0.35">
      <c r="C75" s="1001"/>
      <c r="D75" s="1001"/>
      <c r="E75" s="1001"/>
      <c r="F75" s="1001"/>
      <c r="G75" s="1001"/>
      <c r="M75" s="1001"/>
      <c r="N75" s="1001"/>
      <c r="O75" s="1001"/>
      <c r="P75" s="1001"/>
      <c r="Q75" s="1001"/>
      <c r="V75" s="1013"/>
    </row>
    <row r="76" spans="1:49" x14ac:dyDescent="0.35">
      <c r="C76" s="1001"/>
      <c r="D76" s="1001"/>
      <c r="E76" s="1001"/>
      <c r="F76" s="1001"/>
      <c r="G76" s="1001"/>
      <c r="M76" s="1001"/>
      <c r="N76" s="1001"/>
      <c r="O76" s="1001"/>
      <c r="P76" s="1001"/>
      <c r="Q76" s="1001"/>
      <c r="V76" s="1013"/>
    </row>
    <row r="77" spans="1:49" x14ac:dyDescent="0.35">
      <c r="C77" s="1001"/>
      <c r="D77" s="1001"/>
      <c r="E77" s="1001"/>
      <c r="F77" s="1001"/>
      <c r="G77" s="1001"/>
      <c r="M77" s="1001"/>
      <c r="N77" s="1001"/>
      <c r="O77" s="1001"/>
      <c r="P77" s="1001"/>
      <c r="Q77" s="1001"/>
      <c r="V77" s="1013"/>
    </row>
    <row r="78" spans="1:49" x14ac:dyDescent="0.35">
      <c r="C78" s="1001"/>
      <c r="D78" s="1001"/>
      <c r="E78" s="1001"/>
      <c r="F78" s="1001"/>
      <c r="G78" s="1001"/>
      <c r="M78" s="1001"/>
      <c r="N78" s="1001"/>
      <c r="O78" s="1001"/>
      <c r="P78" s="1001"/>
      <c r="Q78" s="1001"/>
      <c r="V78" s="1013"/>
    </row>
    <row r="79" spans="1:49" x14ac:dyDescent="0.35">
      <c r="C79" s="1001"/>
      <c r="D79" s="1001"/>
      <c r="E79" s="1001"/>
      <c r="F79" s="1001"/>
      <c r="G79" s="1001"/>
      <c r="M79" s="1001"/>
      <c r="N79" s="1001"/>
      <c r="O79" s="1001"/>
      <c r="P79" s="1001"/>
      <c r="Q79" s="1001"/>
      <c r="V79" s="1013"/>
    </row>
    <row r="80" spans="1:49" x14ac:dyDescent="0.35">
      <c r="C80" s="1001"/>
      <c r="D80" s="1001"/>
      <c r="E80" s="1001"/>
      <c r="F80" s="1001"/>
      <c r="G80" s="1001"/>
      <c r="M80" s="1001"/>
      <c r="N80" s="1001"/>
      <c r="O80" s="1001"/>
      <c r="P80" s="1001"/>
      <c r="Q80" s="1001"/>
      <c r="V80" s="1013"/>
    </row>
    <row r="81" spans="3:43" x14ac:dyDescent="0.35">
      <c r="C81" s="1001"/>
      <c r="D81" s="1001"/>
      <c r="E81" s="1001"/>
      <c r="F81" s="1001"/>
      <c r="G81" s="1001"/>
      <c r="M81" s="1001"/>
      <c r="N81" s="1001"/>
      <c r="O81" s="1001"/>
      <c r="P81" s="1001"/>
      <c r="Q81" s="1001"/>
      <c r="V81" s="1013"/>
    </row>
    <row r="82" spans="3:43" x14ac:dyDescent="0.35">
      <c r="C82" s="1001"/>
      <c r="D82" s="1001"/>
      <c r="E82" s="1001"/>
      <c r="F82" s="1001"/>
      <c r="G82" s="1001"/>
      <c r="M82" s="1001"/>
      <c r="N82" s="1001"/>
      <c r="O82" s="1001"/>
      <c r="P82" s="1001"/>
      <c r="Q82" s="1001"/>
      <c r="V82" s="1013"/>
    </row>
    <row r="83" spans="3:43" x14ac:dyDescent="0.35">
      <c r="C83" s="1001"/>
      <c r="D83" s="1001"/>
      <c r="E83" s="1001"/>
      <c r="F83" s="1001"/>
      <c r="G83" s="1001"/>
      <c r="M83" s="1001"/>
      <c r="N83" s="1001"/>
      <c r="O83" s="1001"/>
      <c r="P83" s="1001"/>
      <c r="Q83" s="1001"/>
      <c r="V83" s="1013"/>
    </row>
    <row r="84" spans="3:43" x14ac:dyDescent="0.35">
      <c r="C84" s="1001"/>
      <c r="D84" s="1001"/>
      <c r="E84" s="1001"/>
      <c r="F84" s="1001"/>
      <c r="G84" s="1001"/>
      <c r="M84" s="1001"/>
      <c r="N84" s="1001"/>
      <c r="O84" s="1001"/>
      <c r="P84" s="1001"/>
      <c r="Q84" s="1001"/>
      <c r="V84" s="1013"/>
      <c r="W84" s="138"/>
      <c r="AQ84" s="138"/>
    </row>
    <row r="85" spans="3:43" x14ac:dyDescent="0.35">
      <c r="C85" s="1001"/>
      <c r="D85" s="1001"/>
      <c r="E85" s="1001"/>
      <c r="F85" s="1001"/>
      <c r="G85" s="1001"/>
      <c r="M85" s="1001"/>
      <c r="N85" s="1001"/>
      <c r="O85" s="1001"/>
      <c r="P85" s="1001"/>
      <c r="Q85" s="1001"/>
      <c r="V85" s="1013"/>
      <c r="W85" s="138"/>
      <c r="AQ85" s="138"/>
    </row>
    <row r="86" spans="3:43" x14ac:dyDescent="0.35">
      <c r="C86" s="1001"/>
      <c r="D86" s="1001"/>
      <c r="E86" s="1001"/>
      <c r="F86" s="1001"/>
      <c r="G86" s="1001"/>
      <c r="M86" s="1001"/>
      <c r="N86" s="1001"/>
      <c r="O86" s="1001"/>
      <c r="P86" s="1001"/>
      <c r="Q86" s="1001"/>
      <c r="V86" s="1013"/>
      <c r="W86" s="138"/>
      <c r="AQ86" s="138"/>
    </row>
    <row r="87" spans="3:43" x14ac:dyDescent="0.35">
      <c r="C87" s="1001"/>
      <c r="D87" s="1001"/>
      <c r="E87" s="1001"/>
      <c r="F87" s="1001"/>
      <c r="G87" s="1001"/>
      <c r="M87" s="1001"/>
      <c r="N87" s="1001"/>
      <c r="O87" s="1001"/>
      <c r="P87" s="1001"/>
      <c r="Q87" s="1001"/>
      <c r="V87" s="1013"/>
      <c r="W87" s="138"/>
      <c r="AQ87" s="138"/>
    </row>
    <row r="88" spans="3:43" x14ac:dyDescent="0.35">
      <c r="C88" s="1001"/>
      <c r="D88" s="1001"/>
      <c r="E88" s="1001"/>
      <c r="F88" s="1001"/>
      <c r="G88" s="1001"/>
      <c r="M88" s="1001"/>
      <c r="N88" s="1001"/>
      <c r="O88" s="1001"/>
      <c r="P88" s="1001"/>
      <c r="Q88" s="1001"/>
      <c r="V88" s="1013"/>
      <c r="W88" s="138"/>
      <c r="AQ88" s="138"/>
    </row>
    <row r="89" spans="3:43" x14ac:dyDescent="0.35">
      <c r="C89" s="1001"/>
      <c r="D89" s="1001"/>
      <c r="E89" s="1001"/>
      <c r="F89" s="1001"/>
      <c r="G89" s="1001"/>
      <c r="M89" s="1001"/>
      <c r="N89" s="1001"/>
      <c r="O89" s="1001"/>
      <c r="P89" s="1001"/>
      <c r="Q89" s="1001"/>
      <c r="V89" s="1013"/>
      <c r="W89" s="138"/>
      <c r="AQ89" s="138"/>
    </row>
    <row r="90" spans="3:43" x14ac:dyDescent="0.35">
      <c r="C90" s="1001"/>
      <c r="D90" s="1001"/>
      <c r="E90" s="1001"/>
      <c r="F90" s="1001"/>
      <c r="G90" s="1001"/>
      <c r="M90" s="1001"/>
      <c r="N90" s="1001"/>
      <c r="O90" s="1001"/>
      <c r="P90" s="1001"/>
      <c r="Q90" s="1001"/>
      <c r="V90" s="1013"/>
      <c r="W90" s="138"/>
      <c r="AQ90" s="138"/>
    </row>
    <row r="91" spans="3:43" x14ac:dyDescent="0.35">
      <c r="C91" s="1001"/>
      <c r="D91" s="1001"/>
      <c r="E91" s="1001"/>
      <c r="F91" s="1001"/>
      <c r="G91" s="1001"/>
      <c r="M91" s="1001"/>
      <c r="N91" s="1001"/>
      <c r="O91" s="1001"/>
      <c r="P91" s="1001"/>
      <c r="Q91" s="1001"/>
      <c r="V91" s="1013"/>
      <c r="W91" s="138"/>
      <c r="AQ91" s="138"/>
    </row>
    <row r="92" spans="3:43" x14ac:dyDescent="0.35">
      <c r="C92" s="1001"/>
      <c r="D92" s="1001"/>
      <c r="E92" s="1001"/>
      <c r="F92" s="1001"/>
      <c r="G92" s="1001"/>
      <c r="M92" s="1001"/>
      <c r="N92" s="1001"/>
      <c r="O92" s="1001"/>
      <c r="P92" s="1001"/>
      <c r="Q92" s="1001"/>
      <c r="V92" s="1013"/>
      <c r="W92" s="138"/>
      <c r="AQ92" s="138"/>
    </row>
    <row r="93" spans="3:43" x14ac:dyDescent="0.35">
      <c r="C93" s="1001"/>
      <c r="D93" s="1001"/>
      <c r="E93" s="1001"/>
      <c r="F93" s="1001"/>
      <c r="G93" s="1001"/>
      <c r="M93" s="1001"/>
      <c r="N93" s="1001"/>
      <c r="O93" s="1001"/>
      <c r="P93" s="1001"/>
      <c r="Q93" s="1001"/>
      <c r="V93" s="1013"/>
      <c r="W93" s="138"/>
      <c r="AQ93" s="138"/>
    </row>
    <row r="94" spans="3:43" x14ac:dyDescent="0.35">
      <c r="C94" s="1001"/>
      <c r="D94" s="1001"/>
      <c r="E94" s="1001"/>
      <c r="F94" s="1001"/>
      <c r="G94" s="1001"/>
      <c r="M94" s="1001"/>
      <c r="N94" s="1001"/>
      <c r="O94" s="1001"/>
      <c r="P94" s="1001"/>
      <c r="Q94" s="1001"/>
      <c r="V94" s="1013"/>
      <c r="W94" s="138"/>
      <c r="AQ94" s="138"/>
    </row>
    <row r="95" spans="3:43" x14ac:dyDescent="0.35">
      <c r="C95" s="1001"/>
      <c r="D95" s="1001"/>
      <c r="E95" s="1001"/>
      <c r="F95" s="1001"/>
      <c r="G95" s="1001"/>
      <c r="M95" s="1001"/>
      <c r="N95" s="1001"/>
      <c r="O95" s="1001"/>
      <c r="P95" s="1001"/>
      <c r="Q95" s="1001"/>
      <c r="V95" s="1013"/>
      <c r="W95" s="138"/>
      <c r="AQ95" s="138"/>
    </row>
    <row r="96" spans="3:43" x14ac:dyDescent="0.35">
      <c r="C96" s="1001"/>
      <c r="D96" s="1001"/>
      <c r="E96" s="1001"/>
      <c r="F96" s="1001"/>
      <c r="G96" s="1001"/>
      <c r="M96" s="1001"/>
      <c r="N96" s="1001"/>
      <c r="O96" s="1001"/>
      <c r="P96" s="1001"/>
      <c r="Q96" s="1001"/>
      <c r="V96" s="1013"/>
      <c r="W96" s="138"/>
      <c r="AQ96" s="138"/>
    </row>
    <row r="97" spans="3:43" x14ac:dyDescent="0.35">
      <c r="C97" s="1001"/>
      <c r="D97" s="1001"/>
      <c r="E97" s="1001"/>
      <c r="F97" s="1001"/>
      <c r="G97" s="1001"/>
      <c r="M97" s="1001"/>
      <c r="N97" s="1001"/>
      <c r="O97" s="1001"/>
      <c r="P97" s="1001"/>
      <c r="Q97" s="1001"/>
      <c r="V97" s="1013"/>
      <c r="W97" s="138"/>
      <c r="AQ97" s="138"/>
    </row>
    <row r="98" spans="3:43" x14ac:dyDescent="0.35">
      <c r="C98" s="1001"/>
      <c r="D98" s="1001"/>
      <c r="E98" s="1001"/>
      <c r="F98" s="1001"/>
      <c r="G98" s="1001"/>
      <c r="M98" s="1001"/>
      <c r="N98" s="1001"/>
      <c r="O98" s="1001"/>
      <c r="P98" s="1001"/>
      <c r="Q98" s="1001"/>
      <c r="V98" s="1013"/>
      <c r="W98" s="138"/>
      <c r="AQ98" s="138"/>
    </row>
    <row r="99" spans="3:43" x14ac:dyDescent="0.35">
      <c r="C99" s="1001"/>
      <c r="D99" s="1001"/>
      <c r="E99" s="1001"/>
      <c r="F99" s="1001"/>
      <c r="G99" s="1001"/>
      <c r="M99" s="1001"/>
      <c r="N99" s="1001"/>
      <c r="O99" s="1001"/>
      <c r="P99" s="1001"/>
      <c r="Q99" s="1001"/>
      <c r="V99" s="1013"/>
      <c r="W99" s="138"/>
      <c r="AQ99" s="138"/>
    </row>
    <row r="100" spans="3:43" x14ac:dyDescent="0.35">
      <c r="C100" s="1001"/>
      <c r="D100" s="1001"/>
      <c r="E100" s="1001"/>
      <c r="F100" s="1001"/>
      <c r="G100" s="1001"/>
      <c r="M100" s="1001"/>
      <c r="N100" s="1001"/>
      <c r="O100" s="1001"/>
      <c r="P100" s="1001"/>
      <c r="Q100" s="1001"/>
      <c r="V100" s="1013"/>
      <c r="W100" s="138"/>
      <c r="AQ100" s="138"/>
    </row>
    <row r="101" spans="3:43" x14ac:dyDescent="0.35">
      <c r="C101" s="1001"/>
      <c r="D101" s="1001"/>
      <c r="E101" s="1001"/>
      <c r="F101" s="1001"/>
      <c r="G101" s="1001"/>
      <c r="M101" s="1001"/>
      <c r="N101" s="1001"/>
      <c r="O101" s="1001"/>
      <c r="P101" s="1001"/>
      <c r="Q101" s="1001"/>
      <c r="V101" s="1013"/>
      <c r="W101" s="138"/>
      <c r="AQ101" s="138"/>
    </row>
    <row r="102" spans="3:43" x14ac:dyDescent="0.35">
      <c r="C102" s="1001"/>
      <c r="D102" s="1001"/>
      <c r="E102" s="1001"/>
      <c r="F102" s="1001"/>
      <c r="G102" s="1001"/>
      <c r="M102" s="1001"/>
      <c r="N102" s="1001"/>
      <c r="O102" s="1001"/>
      <c r="P102" s="1001"/>
      <c r="Q102" s="1001"/>
      <c r="V102" s="1013"/>
      <c r="W102" s="138"/>
      <c r="AQ102" s="138"/>
    </row>
    <row r="103" spans="3:43" x14ac:dyDescent="0.35">
      <c r="C103" s="1001"/>
      <c r="D103" s="1001"/>
      <c r="E103" s="1001"/>
      <c r="F103" s="1001"/>
      <c r="G103" s="1001"/>
      <c r="M103" s="1001"/>
      <c r="N103" s="1001"/>
      <c r="O103" s="1001"/>
      <c r="P103" s="1001"/>
      <c r="Q103" s="1001"/>
      <c r="V103" s="1013"/>
      <c r="W103" s="138"/>
      <c r="AQ103" s="138"/>
    </row>
    <row r="104" spans="3:43" x14ac:dyDescent="0.35">
      <c r="C104" s="1001"/>
      <c r="D104" s="1001"/>
      <c r="E104" s="1001"/>
      <c r="F104" s="1001"/>
      <c r="G104" s="1001"/>
      <c r="M104" s="1001"/>
      <c r="N104" s="1001"/>
      <c r="O104" s="1001"/>
      <c r="P104" s="1001"/>
      <c r="Q104" s="1001"/>
      <c r="V104" s="1013"/>
      <c r="W104" s="138"/>
      <c r="AQ104" s="138"/>
    </row>
    <row r="105" spans="3:43" x14ac:dyDescent="0.35">
      <c r="C105" s="1001"/>
      <c r="D105" s="1001"/>
      <c r="E105" s="1001"/>
      <c r="F105" s="1001"/>
      <c r="G105" s="1001"/>
      <c r="M105" s="1001"/>
      <c r="N105" s="1001"/>
      <c r="O105" s="1001"/>
      <c r="P105" s="1001"/>
      <c r="Q105" s="1001"/>
      <c r="V105" s="1013"/>
      <c r="W105" s="138"/>
      <c r="AQ105" s="138"/>
    </row>
    <row r="106" spans="3:43" x14ac:dyDescent="0.35">
      <c r="C106" s="1001"/>
      <c r="D106" s="1001"/>
      <c r="E106" s="1001"/>
      <c r="F106" s="1001"/>
      <c r="G106" s="1001"/>
      <c r="M106" s="1001"/>
      <c r="N106" s="1001"/>
      <c r="O106" s="1001"/>
      <c r="P106" s="1001"/>
      <c r="Q106" s="1001"/>
      <c r="V106" s="1013"/>
      <c r="W106" s="138"/>
      <c r="AQ106" s="138"/>
    </row>
    <row r="107" spans="3:43" x14ac:dyDescent="0.35">
      <c r="C107" s="1001"/>
      <c r="D107" s="1001"/>
      <c r="E107" s="1001"/>
      <c r="F107" s="1001"/>
      <c r="G107" s="1001"/>
      <c r="M107" s="1001"/>
      <c r="N107" s="1001"/>
      <c r="O107" s="1001"/>
      <c r="P107" s="1001"/>
      <c r="Q107" s="1001"/>
      <c r="V107" s="1013"/>
      <c r="W107" s="138"/>
      <c r="AQ107" s="138"/>
    </row>
    <row r="108" spans="3:43" x14ac:dyDescent="0.35">
      <c r="C108" s="1001"/>
      <c r="D108" s="1001"/>
      <c r="E108" s="1001"/>
      <c r="F108" s="1001"/>
      <c r="G108" s="1001"/>
      <c r="M108" s="1001"/>
      <c r="N108" s="1001"/>
      <c r="O108" s="1001"/>
      <c r="P108" s="1001"/>
      <c r="Q108" s="1001"/>
      <c r="V108" s="1013"/>
      <c r="W108" s="138"/>
      <c r="AQ108" s="138"/>
    </row>
    <row r="109" spans="3:43" x14ac:dyDescent="0.35">
      <c r="C109" s="1001"/>
      <c r="D109" s="1001"/>
      <c r="E109" s="1001"/>
      <c r="F109" s="1001"/>
      <c r="G109" s="1001"/>
      <c r="M109" s="1001"/>
      <c r="N109" s="1001"/>
      <c r="O109" s="1001"/>
      <c r="P109" s="1001"/>
      <c r="Q109" s="1001"/>
      <c r="V109" s="1013"/>
      <c r="W109" s="138"/>
      <c r="AQ109" s="138"/>
    </row>
    <row r="110" spans="3:43" x14ac:dyDescent="0.35">
      <c r="C110" s="1001"/>
      <c r="D110" s="1001"/>
      <c r="E110" s="1001"/>
      <c r="F110" s="1001"/>
      <c r="G110" s="1001"/>
      <c r="M110" s="1001"/>
      <c r="N110" s="1001"/>
      <c r="O110" s="1001"/>
      <c r="P110" s="1001"/>
      <c r="Q110" s="1001"/>
      <c r="V110" s="1013"/>
      <c r="W110" s="138"/>
      <c r="AQ110" s="138"/>
    </row>
    <row r="111" spans="3:43" x14ac:dyDescent="0.35">
      <c r="C111" s="1001"/>
      <c r="D111" s="1001"/>
      <c r="E111" s="1001"/>
      <c r="F111" s="1001"/>
      <c r="G111" s="1001"/>
      <c r="M111" s="1001"/>
      <c r="N111" s="1001"/>
      <c r="O111" s="1001"/>
      <c r="P111" s="1001"/>
      <c r="Q111" s="1001"/>
      <c r="V111" s="1013"/>
      <c r="W111" s="138"/>
      <c r="AQ111" s="138"/>
    </row>
    <row r="112" spans="3:43" x14ac:dyDescent="0.35">
      <c r="C112" s="1001"/>
      <c r="D112" s="1001"/>
      <c r="E112" s="1001"/>
      <c r="F112" s="1001"/>
      <c r="G112" s="1001"/>
      <c r="M112" s="1001"/>
      <c r="N112" s="1001"/>
      <c r="O112" s="1001"/>
      <c r="P112" s="1001"/>
      <c r="Q112" s="1001"/>
      <c r="V112" s="1013"/>
      <c r="W112" s="138"/>
      <c r="AQ112" s="138"/>
    </row>
    <row r="113" spans="3:43" x14ac:dyDescent="0.35">
      <c r="C113" s="1001"/>
      <c r="D113" s="1001"/>
      <c r="E113" s="1001"/>
      <c r="F113" s="1001"/>
      <c r="G113" s="1001"/>
      <c r="M113" s="1001"/>
      <c r="N113" s="1001"/>
      <c r="O113" s="1001"/>
      <c r="P113" s="1001"/>
      <c r="Q113" s="1001"/>
      <c r="V113" s="1013"/>
      <c r="W113" s="138"/>
      <c r="AQ113" s="138"/>
    </row>
    <row r="114" spans="3:43" x14ac:dyDescent="0.35">
      <c r="C114" s="1001"/>
      <c r="D114" s="1001"/>
      <c r="E114" s="1001"/>
      <c r="F114" s="1001"/>
      <c r="G114" s="1001"/>
      <c r="M114" s="1001"/>
      <c r="N114" s="1001"/>
      <c r="O114" s="1001"/>
      <c r="P114" s="1001"/>
      <c r="Q114" s="1001"/>
      <c r="V114" s="1013"/>
      <c r="W114" s="138"/>
      <c r="AQ114" s="138"/>
    </row>
    <row r="115" spans="3:43" x14ac:dyDescent="0.35">
      <c r="C115" s="1001"/>
      <c r="D115" s="1001"/>
      <c r="E115" s="1001"/>
      <c r="F115" s="1001"/>
      <c r="G115" s="1001"/>
      <c r="M115" s="1001"/>
      <c r="N115" s="1001"/>
      <c r="O115" s="1001"/>
      <c r="P115" s="1001"/>
      <c r="Q115" s="1001"/>
      <c r="V115" s="1013"/>
      <c r="W115" s="138"/>
      <c r="AQ115" s="138"/>
    </row>
    <row r="116" spans="3:43" x14ac:dyDescent="0.35">
      <c r="C116" s="1001"/>
      <c r="D116" s="1001"/>
      <c r="E116" s="1001"/>
      <c r="F116" s="1001"/>
      <c r="G116" s="1001"/>
      <c r="M116" s="1001"/>
      <c r="N116" s="1001"/>
      <c r="O116" s="1001"/>
      <c r="P116" s="1001"/>
      <c r="Q116" s="1001"/>
      <c r="V116" s="1013"/>
      <c r="W116" s="138"/>
      <c r="AQ116" s="138"/>
    </row>
    <row r="117" spans="3:43" x14ac:dyDescent="0.35">
      <c r="C117" s="1001"/>
      <c r="D117" s="1001"/>
      <c r="E117" s="1001"/>
      <c r="F117" s="1001"/>
      <c r="G117" s="1001"/>
      <c r="M117" s="1001"/>
      <c r="N117" s="1001"/>
      <c r="O117" s="1001"/>
      <c r="P117" s="1001"/>
      <c r="Q117" s="1001"/>
      <c r="V117" s="1013"/>
      <c r="W117" s="138"/>
      <c r="AQ117" s="138"/>
    </row>
    <row r="118" spans="3:43" x14ac:dyDescent="0.35">
      <c r="C118" s="1001"/>
      <c r="D118" s="1001"/>
      <c r="E118" s="1001"/>
      <c r="F118" s="1001"/>
      <c r="G118" s="1001"/>
      <c r="M118" s="1001"/>
      <c r="N118" s="1001"/>
      <c r="O118" s="1001"/>
      <c r="P118" s="1001"/>
      <c r="Q118" s="1001"/>
      <c r="V118" s="1013"/>
      <c r="W118" s="138"/>
      <c r="AQ118" s="138"/>
    </row>
    <row r="119" spans="3:43" x14ac:dyDescent="0.35">
      <c r="C119" s="1001"/>
      <c r="D119" s="1001"/>
      <c r="E119" s="1001"/>
      <c r="F119" s="1001"/>
      <c r="G119" s="1001"/>
      <c r="M119" s="1001"/>
      <c r="N119" s="1001"/>
      <c r="O119" s="1001"/>
      <c r="P119" s="1001"/>
      <c r="Q119" s="1001"/>
      <c r="V119" s="1013"/>
      <c r="W119" s="138"/>
      <c r="AQ119" s="138"/>
    </row>
    <row r="120" spans="3:43" x14ac:dyDescent="0.35">
      <c r="C120" s="1001"/>
      <c r="D120" s="1001"/>
      <c r="E120" s="1001"/>
      <c r="F120" s="1001"/>
      <c r="G120" s="1001"/>
      <c r="M120" s="1001"/>
      <c r="N120" s="1001"/>
      <c r="O120" s="1001"/>
      <c r="P120" s="1001"/>
      <c r="Q120" s="1001"/>
      <c r="V120" s="1013"/>
      <c r="W120" s="138"/>
      <c r="AQ120" s="138"/>
    </row>
    <row r="121" spans="3:43" x14ac:dyDescent="0.35">
      <c r="C121" s="1001"/>
      <c r="D121" s="1001"/>
      <c r="E121" s="1001"/>
      <c r="F121" s="1001"/>
      <c r="G121" s="1001"/>
      <c r="M121" s="1001"/>
      <c r="N121" s="1001"/>
      <c r="O121" s="1001"/>
      <c r="P121" s="1001"/>
      <c r="Q121" s="1001"/>
      <c r="V121" s="1013"/>
      <c r="W121" s="138"/>
      <c r="AQ121" s="138"/>
    </row>
    <row r="122" spans="3:43" x14ac:dyDescent="0.35">
      <c r="C122" s="1001"/>
      <c r="D122" s="1001"/>
      <c r="E122" s="1001"/>
      <c r="F122" s="1001"/>
      <c r="G122" s="1001"/>
      <c r="M122" s="1001"/>
      <c r="N122" s="1001"/>
      <c r="O122" s="1001"/>
      <c r="P122" s="1001"/>
      <c r="Q122" s="1001"/>
      <c r="V122" s="1013"/>
      <c r="W122" s="138"/>
      <c r="AQ122" s="138"/>
    </row>
    <row r="123" spans="3:43" x14ac:dyDescent="0.35">
      <c r="C123" s="1001"/>
      <c r="D123" s="1001"/>
      <c r="E123" s="1001"/>
      <c r="F123" s="1001"/>
      <c r="G123" s="1001"/>
      <c r="M123" s="1001"/>
      <c r="N123" s="1001"/>
      <c r="O123" s="1001"/>
      <c r="P123" s="1001"/>
      <c r="Q123" s="1001"/>
      <c r="V123" s="1013"/>
      <c r="W123" s="138"/>
      <c r="AQ123" s="138"/>
    </row>
    <row r="124" spans="3:43" x14ac:dyDescent="0.35">
      <c r="C124" s="1001"/>
      <c r="D124" s="1001"/>
      <c r="E124" s="1001"/>
      <c r="F124" s="1001"/>
      <c r="G124" s="1001"/>
      <c r="M124" s="1001"/>
      <c r="N124" s="1001"/>
      <c r="O124" s="1001"/>
      <c r="P124" s="1001"/>
      <c r="Q124" s="1001"/>
      <c r="V124" s="1013"/>
      <c r="W124" s="138"/>
      <c r="AQ124" s="138"/>
    </row>
    <row r="125" spans="3:43" x14ac:dyDescent="0.35">
      <c r="C125" s="1001"/>
      <c r="D125" s="1001"/>
      <c r="E125" s="1001"/>
      <c r="F125" s="1001"/>
      <c r="G125" s="1001"/>
      <c r="M125" s="1001"/>
      <c r="N125" s="1001"/>
      <c r="O125" s="1001"/>
      <c r="P125" s="1001"/>
      <c r="Q125" s="1001"/>
      <c r="V125" s="1013"/>
      <c r="W125" s="138"/>
      <c r="AQ125" s="138"/>
    </row>
    <row r="126" spans="3:43" x14ac:dyDescent="0.35">
      <c r="C126" s="1001"/>
      <c r="D126" s="1001"/>
      <c r="E126" s="1001"/>
      <c r="F126" s="1001"/>
      <c r="G126" s="1001"/>
      <c r="M126" s="1001"/>
      <c r="N126" s="1001"/>
      <c r="O126" s="1001"/>
      <c r="P126" s="1001"/>
      <c r="Q126" s="1001"/>
      <c r="V126" s="1013"/>
      <c r="W126" s="138"/>
      <c r="AQ126" s="138"/>
    </row>
    <row r="127" spans="3:43" x14ac:dyDescent="0.35">
      <c r="C127" s="1001"/>
      <c r="D127" s="1001"/>
      <c r="E127" s="1001"/>
      <c r="F127" s="1001"/>
      <c r="G127" s="1001"/>
      <c r="M127" s="1001"/>
      <c r="N127" s="1001"/>
      <c r="O127" s="1001"/>
      <c r="P127" s="1001"/>
      <c r="Q127" s="1001"/>
      <c r="V127" s="1013"/>
      <c r="W127" s="138"/>
      <c r="AQ127" s="138"/>
    </row>
    <row r="128" spans="3:43" x14ac:dyDescent="0.35">
      <c r="C128" s="1001"/>
      <c r="D128" s="1001"/>
      <c r="E128" s="1001"/>
      <c r="F128" s="1001"/>
      <c r="G128" s="1001"/>
      <c r="M128" s="1001"/>
      <c r="N128" s="1001"/>
      <c r="O128" s="1001"/>
      <c r="P128" s="1001"/>
      <c r="Q128" s="1001"/>
      <c r="V128" s="1013"/>
      <c r="W128" s="138"/>
      <c r="AQ128" s="138"/>
    </row>
    <row r="129" spans="3:43" x14ac:dyDescent="0.35">
      <c r="C129" s="1001"/>
      <c r="D129" s="1001"/>
      <c r="E129" s="1001"/>
      <c r="F129" s="1001"/>
      <c r="G129" s="1001"/>
      <c r="M129" s="1001"/>
      <c r="N129" s="1001"/>
      <c r="O129" s="1001"/>
      <c r="P129" s="1001"/>
      <c r="Q129" s="1001"/>
      <c r="V129" s="1013"/>
      <c r="W129" s="138"/>
      <c r="AQ129" s="138"/>
    </row>
    <row r="130" spans="3:43" x14ac:dyDescent="0.35">
      <c r="C130" s="1001"/>
      <c r="D130" s="1001"/>
      <c r="E130" s="1001"/>
      <c r="F130" s="1001"/>
      <c r="G130" s="1001"/>
      <c r="M130" s="1001"/>
      <c r="N130" s="1001"/>
      <c r="O130" s="1001"/>
      <c r="P130" s="1001"/>
      <c r="Q130" s="1001"/>
      <c r="V130" s="1013"/>
      <c r="W130" s="138"/>
      <c r="AQ130" s="138"/>
    </row>
    <row r="131" spans="3:43" x14ac:dyDescent="0.35">
      <c r="C131" s="1001"/>
      <c r="D131" s="1001"/>
      <c r="E131" s="1001"/>
      <c r="F131" s="1001"/>
      <c r="G131" s="1001"/>
      <c r="M131" s="1001"/>
      <c r="N131" s="1001"/>
      <c r="O131" s="1001"/>
      <c r="P131" s="1001"/>
      <c r="Q131" s="1001"/>
      <c r="V131" s="1013"/>
      <c r="W131" s="138"/>
      <c r="AQ131" s="138"/>
    </row>
    <row r="132" spans="3:43" x14ac:dyDescent="0.35">
      <c r="C132" s="1001"/>
      <c r="D132" s="1001"/>
      <c r="E132" s="1001"/>
      <c r="F132" s="1001"/>
      <c r="G132" s="1001"/>
      <c r="M132" s="1001"/>
      <c r="N132" s="1001"/>
      <c r="O132" s="1001"/>
      <c r="P132" s="1001"/>
      <c r="Q132" s="1001"/>
      <c r="V132" s="1013"/>
      <c r="W132" s="138"/>
      <c r="AQ132" s="138"/>
    </row>
    <row r="133" spans="3:43" x14ac:dyDescent="0.35">
      <c r="C133" s="1001"/>
      <c r="D133" s="1001"/>
      <c r="E133" s="1001"/>
      <c r="F133" s="1001"/>
      <c r="G133" s="1001"/>
      <c r="M133" s="1001"/>
      <c r="N133" s="1001"/>
      <c r="O133" s="1001"/>
      <c r="P133" s="1001"/>
      <c r="Q133" s="1001"/>
      <c r="V133" s="1013"/>
      <c r="W133" s="138"/>
      <c r="AQ133" s="138"/>
    </row>
    <row r="134" spans="3:43" x14ac:dyDescent="0.35">
      <c r="C134" s="1001"/>
      <c r="D134" s="1001"/>
      <c r="E134" s="1001"/>
      <c r="F134" s="1001"/>
      <c r="G134" s="1001"/>
      <c r="M134" s="1001"/>
      <c r="N134" s="1001"/>
      <c r="O134" s="1001"/>
      <c r="P134" s="1001"/>
      <c r="Q134" s="1001"/>
      <c r="V134" s="1013"/>
      <c r="W134" s="138"/>
      <c r="AQ134" s="138"/>
    </row>
    <row r="135" spans="3:43" x14ac:dyDescent="0.35">
      <c r="C135" s="1001"/>
      <c r="D135" s="1001"/>
      <c r="E135" s="1001"/>
      <c r="F135" s="1001"/>
      <c r="G135" s="1001"/>
      <c r="M135" s="1001"/>
      <c r="N135" s="1001"/>
      <c r="O135" s="1001"/>
      <c r="P135" s="1001"/>
      <c r="Q135" s="1001"/>
      <c r="V135" s="1013"/>
      <c r="W135" s="138"/>
      <c r="AQ135" s="138"/>
    </row>
    <row r="136" spans="3:43" x14ac:dyDescent="0.35">
      <c r="C136" s="1001"/>
      <c r="D136" s="1001"/>
      <c r="E136" s="1001"/>
      <c r="F136" s="1001"/>
      <c r="G136" s="1001"/>
      <c r="M136" s="1001"/>
      <c r="N136" s="1001"/>
      <c r="O136" s="1001"/>
      <c r="P136" s="1001"/>
      <c r="Q136" s="1001"/>
      <c r="V136" s="1013"/>
      <c r="W136" s="138"/>
      <c r="AQ136" s="138"/>
    </row>
    <row r="137" spans="3:43" x14ac:dyDescent="0.35">
      <c r="C137" s="1001"/>
      <c r="D137" s="1001"/>
      <c r="E137" s="1001"/>
      <c r="F137" s="1001"/>
      <c r="G137" s="1001"/>
      <c r="M137" s="1001"/>
      <c r="N137" s="1001"/>
      <c r="O137" s="1001"/>
      <c r="P137" s="1001"/>
      <c r="Q137" s="1001"/>
      <c r="V137" s="1013"/>
      <c r="W137" s="138"/>
      <c r="AQ137" s="138"/>
    </row>
    <row r="138" spans="3:43" x14ac:dyDescent="0.35">
      <c r="C138" s="1001"/>
      <c r="D138" s="1001"/>
      <c r="E138" s="1001"/>
      <c r="F138" s="1001"/>
      <c r="G138" s="1001"/>
      <c r="M138" s="1001"/>
      <c r="N138" s="1001"/>
      <c r="O138" s="1001"/>
      <c r="P138" s="1001"/>
      <c r="Q138" s="1001"/>
      <c r="V138" s="1013"/>
      <c r="W138" s="138"/>
      <c r="AQ138" s="138"/>
    </row>
    <row r="139" spans="3:43" x14ac:dyDescent="0.35">
      <c r="C139" s="1001"/>
      <c r="D139" s="1001"/>
      <c r="E139" s="1001"/>
      <c r="F139" s="1001"/>
      <c r="G139" s="1001"/>
      <c r="M139" s="1001"/>
      <c r="N139" s="1001"/>
      <c r="O139" s="1001"/>
      <c r="P139" s="1001"/>
      <c r="Q139" s="1001"/>
      <c r="V139" s="1013"/>
      <c r="W139" s="138"/>
      <c r="AQ139" s="138"/>
    </row>
    <row r="140" spans="3:43" x14ac:dyDescent="0.35">
      <c r="C140" s="1001"/>
      <c r="D140" s="1001"/>
      <c r="E140" s="1001"/>
      <c r="F140" s="1001"/>
      <c r="G140" s="1001"/>
      <c r="M140" s="1001"/>
      <c r="N140" s="1001"/>
      <c r="O140" s="1001"/>
      <c r="P140" s="1001"/>
      <c r="Q140" s="1001"/>
      <c r="V140" s="1013"/>
      <c r="W140" s="138"/>
      <c r="AQ140" s="138"/>
    </row>
    <row r="141" spans="3:43" x14ac:dyDescent="0.35">
      <c r="C141" s="1001"/>
      <c r="D141" s="1001"/>
      <c r="E141" s="1001"/>
      <c r="F141" s="1001"/>
      <c r="G141" s="1001"/>
      <c r="M141" s="1001"/>
      <c r="N141" s="1001"/>
      <c r="O141" s="1001"/>
      <c r="P141" s="1001"/>
      <c r="Q141" s="1001"/>
      <c r="V141" s="1013"/>
      <c r="W141" s="138"/>
      <c r="AQ141" s="138"/>
    </row>
    <row r="142" spans="3:43" x14ac:dyDescent="0.35">
      <c r="C142" s="1001"/>
      <c r="D142" s="1001"/>
      <c r="E142" s="1001"/>
      <c r="F142" s="1001"/>
      <c r="G142" s="1001"/>
      <c r="M142" s="1001"/>
      <c r="N142" s="1001"/>
      <c r="O142" s="1001"/>
      <c r="P142" s="1001"/>
      <c r="Q142" s="1001"/>
      <c r="V142" s="1013"/>
      <c r="W142" s="138"/>
      <c r="AQ142" s="138"/>
    </row>
    <row r="143" spans="3:43" x14ac:dyDescent="0.35">
      <c r="C143" s="1001"/>
      <c r="D143" s="1001"/>
      <c r="E143" s="1001"/>
      <c r="F143" s="1001"/>
      <c r="G143" s="1001"/>
      <c r="M143" s="1001"/>
      <c r="N143" s="1001"/>
      <c r="O143" s="1001"/>
      <c r="P143" s="1001"/>
      <c r="Q143" s="1001"/>
      <c r="V143" s="1013"/>
      <c r="W143" s="138"/>
      <c r="AQ143" s="138"/>
    </row>
    <row r="144" spans="3:43" x14ac:dyDescent="0.35">
      <c r="C144" s="1001"/>
      <c r="D144" s="1001"/>
      <c r="E144" s="1001"/>
      <c r="F144" s="1001"/>
      <c r="G144" s="1001"/>
      <c r="M144" s="1001"/>
      <c r="N144" s="1001"/>
      <c r="O144" s="1001"/>
      <c r="P144" s="1001"/>
      <c r="Q144" s="1001"/>
      <c r="V144" s="1013"/>
      <c r="W144" s="138"/>
      <c r="AQ144" s="138"/>
    </row>
    <row r="145" spans="3:43" x14ac:dyDescent="0.35">
      <c r="C145" s="1001"/>
      <c r="D145" s="1001"/>
      <c r="E145" s="1001"/>
      <c r="F145" s="1001"/>
      <c r="G145" s="1001"/>
      <c r="M145" s="1001"/>
      <c r="N145" s="1001"/>
      <c r="O145" s="1001"/>
      <c r="P145" s="1001"/>
      <c r="Q145" s="1001"/>
      <c r="V145" s="1013"/>
      <c r="W145" s="138"/>
      <c r="AQ145" s="138"/>
    </row>
    <row r="146" spans="3:43" x14ac:dyDescent="0.35">
      <c r="C146" s="1001"/>
      <c r="D146" s="1001"/>
      <c r="E146" s="1001"/>
      <c r="F146" s="1001"/>
      <c r="G146" s="1001"/>
      <c r="M146" s="1001"/>
      <c r="N146" s="1001"/>
      <c r="O146" s="1001"/>
      <c r="P146" s="1001"/>
      <c r="Q146" s="1001"/>
      <c r="V146" s="1013"/>
      <c r="W146" s="138"/>
      <c r="AQ146" s="138"/>
    </row>
    <row r="147" spans="3:43" x14ac:dyDescent="0.35">
      <c r="C147" s="1001"/>
      <c r="D147" s="1001"/>
      <c r="E147" s="1001"/>
      <c r="F147" s="1001"/>
      <c r="G147" s="1001"/>
      <c r="M147" s="1001"/>
      <c r="N147" s="1001"/>
      <c r="O147" s="1001"/>
      <c r="P147" s="1001"/>
      <c r="Q147" s="1001"/>
      <c r="V147" s="1013"/>
      <c r="W147" s="138"/>
      <c r="AQ147" s="138"/>
    </row>
    <row r="148" spans="3:43" x14ac:dyDescent="0.35">
      <c r="C148" s="1001"/>
      <c r="D148" s="1001"/>
      <c r="E148" s="1001"/>
      <c r="F148" s="1001"/>
      <c r="G148" s="1001"/>
      <c r="M148" s="1001"/>
      <c r="N148" s="1001"/>
      <c r="O148" s="1001"/>
      <c r="P148" s="1001"/>
      <c r="Q148" s="1001"/>
      <c r="V148" s="1013"/>
      <c r="W148" s="138"/>
      <c r="AQ148" s="138"/>
    </row>
    <row r="149" spans="3:43" x14ac:dyDescent="0.35">
      <c r="C149" s="1001"/>
      <c r="D149" s="1001"/>
      <c r="E149" s="1001"/>
      <c r="F149" s="1001"/>
      <c r="G149" s="1001"/>
      <c r="M149" s="1001"/>
      <c r="N149" s="1001"/>
      <c r="O149" s="1001"/>
      <c r="P149" s="1001"/>
      <c r="Q149" s="1001"/>
      <c r="V149" s="1013"/>
      <c r="W149" s="138"/>
      <c r="AQ149" s="138"/>
    </row>
    <row r="150" spans="3:43" x14ac:dyDescent="0.35">
      <c r="C150" s="1001"/>
      <c r="D150" s="1001"/>
      <c r="E150" s="1001"/>
      <c r="F150" s="1001"/>
      <c r="G150" s="1001"/>
      <c r="M150" s="1001"/>
      <c r="N150" s="1001"/>
      <c r="O150" s="1001"/>
      <c r="P150" s="1001"/>
      <c r="Q150" s="1001"/>
      <c r="V150" s="1013"/>
      <c r="W150" s="138"/>
      <c r="AQ150" s="138"/>
    </row>
    <row r="151" spans="3:43" x14ac:dyDescent="0.35">
      <c r="C151" s="1001"/>
      <c r="D151" s="1001"/>
      <c r="E151" s="1001"/>
      <c r="F151" s="1001"/>
      <c r="G151" s="1001"/>
      <c r="M151" s="1001"/>
      <c r="N151" s="1001"/>
      <c r="O151" s="1001"/>
      <c r="P151" s="1001"/>
      <c r="Q151" s="1001"/>
      <c r="V151" s="1013"/>
      <c r="W151" s="138"/>
      <c r="AQ151" s="138"/>
    </row>
    <row r="152" spans="3:43" x14ac:dyDescent="0.35">
      <c r="C152" s="1001"/>
      <c r="D152" s="1001"/>
      <c r="E152" s="1001"/>
      <c r="F152" s="1001"/>
      <c r="G152" s="1001"/>
      <c r="M152" s="1001"/>
      <c r="N152" s="1001"/>
      <c r="O152" s="1001"/>
      <c r="P152" s="1001"/>
      <c r="Q152" s="1001"/>
      <c r="V152" s="1013"/>
      <c r="W152" s="138"/>
      <c r="AQ152" s="138"/>
    </row>
    <row r="153" spans="3:43" x14ac:dyDescent="0.35">
      <c r="C153" s="1001"/>
      <c r="D153" s="1001"/>
      <c r="E153" s="1001"/>
      <c r="F153" s="1001"/>
      <c r="G153" s="1001"/>
      <c r="M153" s="1001"/>
      <c r="N153" s="1001"/>
      <c r="O153" s="1001"/>
      <c r="P153" s="1001"/>
      <c r="Q153" s="1001"/>
      <c r="V153" s="1013"/>
      <c r="W153" s="138"/>
      <c r="AQ153" s="138"/>
    </row>
    <row r="154" spans="3:43" x14ac:dyDescent="0.35">
      <c r="C154" s="1001"/>
      <c r="D154" s="1001"/>
      <c r="E154" s="1001"/>
      <c r="F154" s="1001"/>
      <c r="G154" s="1001"/>
      <c r="M154" s="1001"/>
      <c r="N154" s="1001"/>
      <c r="O154" s="1001"/>
      <c r="P154" s="1001"/>
      <c r="Q154" s="1001"/>
      <c r="V154" s="1013"/>
      <c r="W154" s="138"/>
      <c r="AQ154" s="138"/>
    </row>
    <row r="155" spans="3:43" x14ac:dyDescent="0.35">
      <c r="C155" s="1001"/>
      <c r="D155" s="1001"/>
      <c r="E155" s="1001"/>
      <c r="F155" s="1001"/>
      <c r="G155" s="1001"/>
      <c r="M155" s="1001"/>
      <c r="N155" s="1001"/>
      <c r="O155" s="1001"/>
      <c r="P155" s="1001"/>
      <c r="Q155" s="1001"/>
      <c r="V155" s="1013"/>
      <c r="W155" s="138"/>
      <c r="AQ155" s="138"/>
    </row>
    <row r="156" spans="3:43" x14ac:dyDescent="0.35">
      <c r="C156" s="1001"/>
      <c r="D156" s="1001"/>
      <c r="E156" s="1001"/>
      <c r="F156" s="1001"/>
      <c r="G156" s="1001"/>
      <c r="M156" s="1001"/>
      <c r="N156" s="1001"/>
      <c r="O156" s="1001"/>
      <c r="P156" s="1001"/>
      <c r="Q156" s="1001"/>
      <c r="V156" s="1013"/>
      <c r="W156" s="138"/>
      <c r="AQ156" s="138"/>
    </row>
    <row r="157" spans="3:43" x14ac:dyDescent="0.35">
      <c r="C157" s="1001"/>
      <c r="D157" s="1001"/>
      <c r="E157" s="1001"/>
      <c r="F157" s="1001"/>
      <c r="G157" s="1001"/>
      <c r="M157" s="1001"/>
      <c r="N157" s="1001"/>
      <c r="O157" s="1001"/>
      <c r="P157" s="1001"/>
      <c r="Q157" s="1001"/>
      <c r="V157" s="1013"/>
      <c r="W157" s="138"/>
      <c r="AQ157" s="138"/>
    </row>
    <row r="158" spans="3:43" x14ac:dyDescent="0.35">
      <c r="C158" s="1001"/>
      <c r="D158" s="1001"/>
      <c r="E158" s="1001"/>
      <c r="F158" s="1001"/>
      <c r="G158" s="1001"/>
      <c r="M158" s="1001"/>
      <c r="N158" s="1001"/>
      <c r="O158" s="1001"/>
      <c r="P158" s="1001"/>
      <c r="Q158" s="1001"/>
      <c r="V158" s="1013"/>
      <c r="W158" s="138"/>
      <c r="AQ158" s="138"/>
    </row>
    <row r="159" spans="3:43" x14ac:dyDescent="0.35">
      <c r="C159" s="1001"/>
      <c r="D159" s="1001"/>
      <c r="E159" s="1001"/>
      <c r="F159" s="1001"/>
      <c r="G159" s="1001"/>
      <c r="M159" s="1001"/>
      <c r="N159" s="1001"/>
      <c r="O159" s="1001"/>
      <c r="P159" s="1001"/>
      <c r="Q159" s="1001"/>
      <c r="V159" s="1013"/>
      <c r="W159" s="138"/>
      <c r="AQ159" s="138"/>
    </row>
    <row r="160" spans="3:43" x14ac:dyDescent="0.35">
      <c r="C160" s="1001"/>
      <c r="D160" s="1001"/>
      <c r="E160" s="1001"/>
      <c r="F160" s="1001"/>
      <c r="G160" s="1001"/>
      <c r="M160" s="1001"/>
      <c r="N160" s="1001"/>
      <c r="O160" s="1001"/>
      <c r="P160" s="1001"/>
      <c r="Q160" s="1001"/>
      <c r="V160" s="1013"/>
      <c r="W160" s="138"/>
      <c r="AQ160" s="138"/>
    </row>
    <row r="161" spans="3:43" x14ac:dyDescent="0.35">
      <c r="C161" s="1001"/>
      <c r="D161" s="1001"/>
      <c r="E161" s="1001"/>
      <c r="F161" s="1001"/>
      <c r="G161" s="1001"/>
      <c r="M161" s="1001"/>
      <c r="N161" s="1001"/>
      <c r="O161" s="1001"/>
      <c r="P161" s="1001"/>
      <c r="Q161" s="1001"/>
      <c r="V161" s="1013"/>
      <c r="W161" s="138"/>
      <c r="AQ161" s="138"/>
    </row>
    <row r="162" spans="3:43" x14ac:dyDescent="0.35">
      <c r="C162" s="1001"/>
      <c r="D162" s="1001"/>
      <c r="E162" s="1001"/>
      <c r="F162" s="1001"/>
      <c r="G162" s="1001"/>
      <c r="M162" s="1001"/>
      <c r="N162" s="1001"/>
      <c r="O162" s="1001"/>
      <c r="P162" s="1001"/>
      <c r="Q162" s="1001"/>
      <c r="V162" s="1013"/>
      <c r="W162" s="138"/>
      <c r="AQ162" s="138"/>
    </row>
    <row r="163" spans="3:43" x14ac:dyDescent="0.35">
      <c r="C163" s="1001"/>
      <c r="D163" s="1001"/>
      <c r="E163" s="1001"/>
      <c r="F163" s="1001"/>
      <c r="G163" s="1001"/>
      <c r="M163" s="1001"/>
      <c r="N163" s="1001"/>
      <c r="O163" s="1001"/>
      <c r="P163" s="1001"/>
      <c r="Q163" s="1001"/>
      <c r="V163" s="1013"/>
      <c r="W163" s="138"/>
      <c r="AQ163" s="138"/>
    </row>
    <row r="164" spans="3:43" x14ac:dyDescent="0.35">
      <c r="C164" s="1001"/>
      <c r="D164" s="1001"/>
      <c r="E164" s="1001"/>
      <c r="F164" s="1001"/>
      <c r="G164" s="1001"/>
      <c r="M164" s="1001"/>
      <c r="N164" s="1001"/>
      <c r="O164" s="1001"/>
      <c r="P164" s="1001"/>
      <c r="Q164" s="1001"/>
      <c r="V164" s="1013"/>
      <c r="W164" s="138"/>
      <c r="AQ164" s="138"/>
    </row>
    <row r="165" spans="3:43" x14ac:dyDescent="0.35">
      <c r="C165" s="1001"/>
      <c r="D165" s="1001"/>
      <c r="E165" s="1001"/>
      <c r="F165" s="1001"/>
      <c r="G165" s="1001"/>
      <c r="M165" s="1001"/>
      <c r="N165" s="1001"/>
      <c r="O165" s="1001"/>
      <c r="P165" s="1001"/>
      <c r="Q165" s="1001"/>
      <c r="V165" s="1013"/>
      <c r="W165" s="138"/>
      <c r="AQ165" s="138"/>
    </row>
    <row r="166" spans="3:43" x14ac:dyDescent="0.35">
      <c r="C166" s="1001"/>
      <c r="D166" s="1001"/>
      <c r="E166" s="1001"/>
      <c r="F166" s="1001"/>
      <c r="G166" s="1001"/>
      <c r="M166" s="1001"/>
      <c r="N166" s="1001"/>
      <c r="O166" s="1001"/>
      <c r="P166" s="1001"/>
      <c r="Q166" s="1001"/>
      <c r="V166" s="1013"/>
      <c r="W166" s="138"/>
      <c r="AQ166" s="138"/>
    </row>
    <row r="167" spans="3:43" x14ac:dyDescent="0.35">
      <c r="C167" s="1001"/>
      <c r="D167" s="1001"/>
      <c r="E167" s="1001"/>
      <c r="F167" s="1001"/>
      <c r="G167" s="1001"/>
      <c r="M167" s="1001"/>
      <c r="N167" s="1001"/>
      <c r="O167" s="1001"/>
      <c r="P167" s="1001"/>
      <c r="Q167" s="1001"/>
      <c r="V167" s="1013"/>
      <c r="W167" s="138"/>
      <c r="AQ167" s="138"/>
    </row>
    <row r="168" spans="3:43" x14ac:dyDescent="0.35">
      <c r="C168" s="1001"/>
      <c r="D168" s="1001"/>
      <c r="E168" s="1001"/>
      <c r="F168" s="1001"/>
      <c r="G168" s="1001"/>
      <c r="M168" s="1001"/>
      <c r="N168" s="1001"/>
      <c r="O168" s="1001"/>
      <c r="P168" s="1001"/>
      <c r="Q168" s="1001"/>
      <c r="V168" s="1013"/>
      <c r="W168" s="138"/>
      <c r="AQ168" s="138"/>
    </row>
    <row r="169" spans="3:43" x14ac:dyDescent="0.35">
      <c r="C169" s="1001"/>
      <c r="D169" s="1001"/>
      <c r="E169" s="1001"/>
      <c r="F169" s="1001"/>
      <c r="G169" s="1001"/>
      <c r="M169" s="1001"/>
      <c r="N169" s="1001"/>
      <c r="O169" s="1001"/>
      <c r="P169" s="1001"/>
      <c r="Q169" s="1001"/>
      <c r="V169" s="1013"/>
      <c r="W169" s="138"/>
      <c r="AQ169" s="138"/>
    </row>
    <row r="170" spans="3:43" x14ac:dyDescent="0.35">
      <c r="C170" s="1001"/>
      <c r="D170" s="1001"/>
      <c r="E170" s="1001"/>
      <c r="F170" s="1001"/>
      <c r="G170" s="1001"/>
      <c r="M170" s="1001"/>
      <c r="N170" s="1001"/>
      <c r="O170" s="1001"/>
      <c r="P170" s="1001"/>
      <c r="Q170" s="1001"/>
      <c r="V170" s="1013"/>
      <c r="W170" s="138"/>
      <c r="AQ170" s="138"/>
    </row>
    <row r="171" spans="3:43" x14ac:dyDescent="0.35">
      <c r="C171" s="1001"/>
      <c r="D171" s="1001"/>
      <c r="E171" s="1001"/>
      <c r="F171" s="1001"/>
      <c r="G171" s="1001"/>
      <c r="M171" s="1001"/>
      <c r="N171" s="1001"/>
      <c r="O171" s="1001"/>
      <c r="P171" s="1001"/>
      <c r="Q171" s="1001"/>
      <c r="V171" s="1013"/>
      <c r="W171" s="138"/>
      <c r="AQ171" s="138"/>
    </row>
    <row r="172" spans="3:43" x14ac:dyDescent="0.35">
      <c r="C172" s="1001"/>
      <c r="D172" s="1001"/>
      <c r="E172" s="1001"/>
      <c r="F172" s="1001"/>
      <c r="G172" s="1001"/>
      <c r="M172" s="1001"/>
      <c r="N172" s="1001"/>
      <c r="O172" s="1001"/>
      <c r="P172" s="1001"/>
      <c r="Q172" s="1001"/>
      <c r="V172" s="1013"/>
      <c r="W172" s="138"/>
      <c r="AQ172" s="138"/>
    </row>
    <row r="173" spans="3:43" x14ac:dyDescent="0.35">
      <c r="C173" s="1001"/>
      <c r="D173" s="1001"/>
      <c r="E173" s="1001"/>
      <c r="F173" s="1001"/>
      <c r="G173" s="1001"/>
      <c r="M173" s="1001"/>
      <c r="N173" s="1001"/>
      <c r="O173" s="1001"/>
      <c r="P173" s="1001"/>
      <c r="Q173" s="1001"/>
      <c r="V173" s="1013"/>
      <c r="W173" s="138"/>
      <c r="AQ173" s="138"/>
    </row>
    <row r="174" spans="3:43" x14ac:dyDescent="0.35">
      <c r="C174" s="1001"/>
      <c r="D174" s="1001"/>
      <c r="E174" s="1001"/>
      <c r="F174" s="1001"/>
      <c r="G174" s="1001"/>
      <c r="M174" s="1001"/>
      <c r="N174" s="1001"/>
      <c r="O174" s="1001"/>
      <c r="P174" s="1001"/>
      <c r="Q174" s="1001"/>
      <c r="V174" s="1013"/>
      <c r="W174" s="138"/>
      <c r="AQ174" s="138"/>
    </row>
    <row r="175" spans="3:43" x14ac:dyDescent="0.35">
      <c r="C175" s="1001"/>
      <c r="D175" s="1001"/>
      <c r="E175" s="1001"/>
      <c r="F175" s="1001"/>
      <c r="G175" s="1001"/>
      <c r="M175" s="1001"/>
      <c r="N175" s="1001"/>
      <c r="O175" s="1001"/>
      <c r="P175" s="1001"/>
      <c r="Q175" s="1001"/>
      <c r="V175" s="1013"/>
      <c r="W175" s="138"/>
      <c r="AQ175" s="138"/>
    </row>
    <row r="176" spans="3:43" x14ac:dyDescent="0.35">
      <c r="C176" s="1001"/>
      <c r="D176" s="1001"/>
      <c r="E176" s="1001"/>
      <c r="F176" s="1001"/>
      <c r="G176" s="1001"/>
      <c r="M176" s="1001"/>
      <c r="N176" s="1001"/>
      <c r="O176" s="1001"/>
      <c r="P176" s="1001"/>
      <c r="Q176" s="1001"/>
      <c r="V176" s="1013"/>
      <c r="W176" s="138"/>
      <c r="AQ176" s="138"/>
    </row>
    <row r="177" spans="3:43" x14ac:dyDescent="0.35">
      <c r="C177" s="1001"/>
      <c r="D177" s="1001"/>
      <c r="E177" s="1001"/>
      <c r="F177" s="1001"/>
      <c r="G177" s="1001"/>
      <c r="M177" s="1001"/>
      <c r="N177" s="1001"/>
      <c r="O177" s="1001"/>
      <c r="P177" s="1001"/>
      <c r="Q177" s="1001"/>
      <c r="V177" s="1013"/>
      <c r="W177" s="138"/>
      <c r="AQ177" s="138"/>
    </row>
    <row r="178" spans="3:43" x14ac:dyDescent="0.35">
      <c r="C178" s="1001"/>
      <c r="D178" s="1001"/>
      <c r="E178" s="1001"/>
      <c r="F178" s="1001"/>
      <c r="G178" s="1001"/>
      <c r="M178" s="1001"/>
      <c r="N178" s="1001"/>
      <c r="O178" s="1001"/>
      <c r="P178" s="1001"/>
      <c r="Q178" s="1001"/>
      <c r="V178" s="1013"/>
      <c r="W178" s="138"/>
      <c r="AQ178" s="138"/>
    </row>
    <row r="179" spans="3:43" x14ac:dyDescent="0.35">
      <c r="C179" s="1001"/>
      <c r="D179" s="1001"/>
      <c r="E179" s="1001"/>
      <c r="F179" s="1001"/>
      <c r="G179" s="1001"/>
      <c r="M179" s="1001"/>
      <c r="N179" s="1001"/>
      <c r="O179" s="1001"/>
      <c r="P179" s="1001"/>
      <c r="Q179" s="1001"/>
      <c r="V179" s="1013"/>
      <c r="W179" s="138"/>
      <c r="AQ179" s="138"/>
    </row>
    <row r="180" spans="3:43" x14ac:dyDescent="0.35">
      <c r="C180" s="1001"/>
      <c r="D180" s="1001"/>
      <c r="E180" s="1001"/>
      <c r="F180" s="1001"/>
      <c r="G180" s="1001"/>
      <c r="M180" s="1001"/>
      <c r="N180" s="1001"/>
      <c r="O180" s="1001"/>
      <c r="P180" s="1001"/>
      <c r="Q180" s="1001"/>
      <c r="V180" s="1013"/>
      <c r="W180" s="138"/>
      <c r="AQ180" s="138"/>
    </row>
    <row r="181" spans="3:43" x14ac:dyDescent="0.35">
      <c r="C181" s="1001"/>
      <c r="D181" s="1001"/>
      <c r="E181" s="1001"/>
      <c r="F181" s="1001"/>
      <c r="G181" s="1001"/>
      <c r="M181" s="1001"/>
      <c r="N181" s="1001"/>
      <c r="O181" s="1001"/>
      <c r="P181" s="1001"/>
      <c r="Q181" s="1001"/>
      <c r="V181" s="1013"/>
      <c r="W181" s="138"/>
      <c r="AQ181" s="138"/>
    </row>
    <row r="182" spans="3:43" x14ac:dyDescent="0.35">
      <c r="C182" s="1001"/>
      <c r="D182" s="1001"/>
      <c r="E182" s="1001"/>
      <c r="F182" s="1001"/>
      <c r="G182" s="1001"/>
      <c r="M182" s="1001"/>
      <c r="N182" s="1001"/>
      <c r="O182" s="1001"/>
      <c r="P182" s="1001"/>
      <c r="Q182" s="1001"/>
      <c r="V182" s="1013"/>
      <c r="W182" s="138"/>
      <c r="AQ182" s="138"/>
    </row>
    <row r="183" spans="3:43" x14ac:dyDescent="0.35">
      <c r="C183" s="1001"/>
      <c r="D183" s="1001"/>
      <c r="E183" s="1001"/>
      <c r="F183" s="1001"/>
      <c r="G183" s="1001"/>
      <c r="M183" s="1001"/>
      <c r="N183" s="1001"/>
      <c r="O183" s="1001"/>
      <c r="P183" s="1001"/>
      <c r="Q183" s="1001"/>
      <c r="V183" s="1013"/>
      <c r="W183" s="138"/>
      <c r="AQ183" s="138"/>
    </row>
    <row r="184" spans="3:43" x14ac:dyDescent="0.35">
      <c r="C184" s="1001"/>
      <c r="D184" s="1001"/>
      <c r="E184" s="1001"/>
      <c r="F184" s="1001"/>
      <c r="G184" s="1001"/>
      <c r="M184" s="1001"/>
      <c r="N184" s="1001"/>
      <c r="O184" s="1001"/>
      <c r="P184" s="1001"/>
      <c r="Q184" s="1001"/>
      <c r="V184" s="1013"/>
      <c r="W184" s="138"/>
      <c r="AQ184" s="138"/>
    </row>
    <row r="185" spans="3:43" x14ac:dyDescent="0.35">
      <c r="C185" s="1001"/>
      <c r="D185" s="1001"/>
      <c r="E185" s="1001"/>
      <c r="F185" s="1001"/>
      <c r="G185" s="1001"/>
      <c r="M185" s="1001"/>
      <c r="N185" s="1001"/>
      <c r="O185" s="1001"/>
      <c r="P185" s="1001"/>
      <c r="Q185" s="1001"/>
      <c r="V185" s="1013"/>
      <c r="W185" s="138"/>
      <c r="AQ185" s="138"/>
    </row>
    <row r="186" spans="3:43" x14ac:dyDescent="0.35">
      <c r="C186" s="1001"/>
      <c r="D186" s="1001"/>
      <c r="E186" s="1001"/>
      <c r="F186" s="1001"/>
      <c r="G186" s="1001"/>
      <c r="M186" s="1001"/>
      <c r="N186" s="1001"/>
      <c r="O186" s="1001"/>
      <c r="P186" s="1001"/>
      <c r="Q186" s="1001"/>
      <c r="V186" s="1013"/>
      <c r="W186" s="138"/>
      <c r="AQ186" s="138"/>
    </row>
    <row r="187" spans="3:43" x14ac:dyDescent="0.35">
      <c r="C187" s="1001"/>
      <c r="D187" s="1001"/>
      <c r="E187" s="1001"/>
      <c r="F187" s="1001"/>
      <c r="G187" s="1001"/>
      <c r="M187" s="1001"/>
      <c r="N187" s="1001"/>
      <c r="O187" s="1001"/>
      <c r="P187" s="1001"/>
      <c r="Q187" s="1001"/>
      <c r="V187" s="1013"/>
      <c r="W187" s="138"/>
      <c r="AQ187" s="138"/>
    </row>
    <row r="188" spans="3:43" x14ac:dyDescent="0.35">
      <c r="C188" s="1001"/>
      <c r="D188" s="1001"/>
      <c r="E188" s="1001"/>
      <c r="F188" s="1001"/>
      <c r="G188" s="1001"/>
      <c r="M188" s="1001"/>
      <c r="N188" s="1001"/>
      <c r="O188" s="1001"/>
      <c r="P188" s="1001"/>
      <c r="Q188" s="1001"/>
      <c r="V188" s="1013"/>
      <c r="W188" s="138"/>
      <c r="AQ188" s="138"/>
    </row>
    <row r="189" spans="3:43" x14ac:dyDescent="0.35">
      <c r="C189" s="1001"/>
      <c r="D189" s="1001"/>
      <c r="E189" s="1001"/>
      <c r="F189" s="1001"/>
      <c r="G189" s="1001"/>
      <c r="M189" s="1001"/>
      <c r="N189" s="1001"/>
      <c r="O189" s="1001"/>
      <c r="P189" s="1001"/>
      <c r="Q189" s="1001"/>
      <c r="V189" s="1013"/>
      <c r="W189" s="138"/>
      <c r="AQ189" s="138"/>
    </row>
    <row r="190" spans="3:43" x14ac:dyDescent="0.35">
      <c r="C190" s="1001"/>
      <c r="D190" s="1001"/>
      <c r="E190" s="1001"/>
      <c r="F190" s="1001"/>
      <c r="G190" s="1001"/>
      <c r="M190" s="1001"/>
      <c r="N190" s="1001"/>
      <c r="O190" s="1001"/>
      <c r="P190" s="1001"/>
      <c r="Q190" s="1001"/>
      <c r="V190" s="1013"/>
      <c r="W190" s="138"/>
      <c r="AQ190" s="138"/>
    </row>
    <row r="191" spans="3:43" x14ac:dyDescent="0.35">
      <c r="C191" s="1001"/>
      <c r="D191" s="1001"/>
      <c r="E191" s="1001"/>
      <c r="F191" s="1001"/>
      <c r="G191" s="1001"/>
      <c r="M191" s="1001"/>
      <c r="N191" s="1001"/>
      <c r="O191" s="1001"/>
      <c r="P191" s="1001"/>
      <c r="Q191" s="1001"/>
      <c r="V191" s="1013"/>
      <c r="W191" s="138"/>
      <c r="AQ191" s="138"/>
    </row>
    <row r="192" spans="3:43" x14ac:dyDescent="0.35">
      <c r="C192" s="1001"/>
      <c r="D192" s="1001"/>
      <c r="E192" s="1001"/>
      <c r="F192" s="1001"/>
      <c r="G192" s="1001"/>
      <c r="M192" s="1001"/>
      <c r="N192" s="1001"/>
      <c r="O192" s="1001"/>
      <c r="P192" s="1001"/>
      <c r="Q192" s="1001"/>
      <c r="V192" s="1013"/>
      <c r="W192" s="138"/>
      <c r="AQ192" s="138"/>
    </row>
    <row r="193" spans="3:43" x14ac:dyDescent="0.35">
      <c r="C193" s="1001"/>
      <c r="D193" s="1001"/>
      <c r="E193" s="1001"/>
      <c r="F193" s="1001"/>
      <c r="G193" s="1001"/>
      <c r="M193" s="1001"/>
      <c r="N193" s="1001"/>
      <c r="O193" s="1001"/>
      <c r="P193" s="1001"/>
      <c r="Q193" s="1001"/>
      <c r="V193" s="1013"/>
      <c r="W193" s="138"/>
      <c r="AQ193" s="138"/>
    </row>
    <row r="194" spans="3:43" x14ac:dyDescent="0.35">
      <c r="C194" s="1001"/>
      <c r="D194" s="1001"/>
      <c r="E194" s="1001"/>
      <c r="F194" s="1001"/>
      <c r="G194" s="1001"/>
      <c r="M194" s="1001"/>
      <c r="N194" s="1001"/>
      <c r="O194" s="1001"/>
      <c r="P194" s="1001"/>
      <c r="Q194" s="1001"/>
      <c r="V194" s="1013"/>
      <c r="W194" s="138"/>
      <c r="AQ194" s="138"/>
    </row>
    <row r="195" spans="3:43" x14ac:dyDescent="0.35">
      <c r="C195" s="1001"/>
      <c r="D195" s="1001"/>
      <c r="E195" s="1001"/>
      <c r="F195" s="1001"/>
      <c r="G195" s="1001"/>
      <c r="M195" s="1001"/>
      <c r="N195" s="1001"/>
      <c r="O195" s="1001"/>
      <c r="P195" s="1001"/>
      <c r="Q195" s="1001"/>
      <c r="V195" s="1013"/>
      <c r="W195" s="138"/>
      <c r="AQ195" s="138"/>
    </row>
    <row r="196" spans="3:43" x14ac:dyDescent="0.35">
      <c r="C196" s="1001"/>
      <c r="D196" s="1001"/>
      <c r="E196" s="1001"/>
      <c r="F196" s="1001"/>
      <c r="G196" s="1001"/>
      <c r="M196" s="1001"/>
      <c r="N196" s="1001"/>
      <c r="O196" s="1001"/>
      <c r="P196" s="1001"/>
      <c r="Q196" s="1001"/>
      <c r="V196" s="1013"/>
      <c r="W196" s="138"/>
      <c r="AQ196" s="138"/>
    </row>
    <row r="197" spans="3:43" x14ac:dyDescent="0.35">
      <c r="C197" s="1001"/>
      <c r="D197" s="1001"/>
      <c r="E197" s="1001"/>
      <c r="F197" s="1001"/>
      <c r="G197" s="1001"/>
      <c r="M197" s="1001"/>
      <c r="N197" s="1001"/>
      <c r="O197" s="1001"/>
      <c r="P197" s="1001"/>
      <c r="Q197" s="1001"/>
      <c r="V197" s="1013"/>
      <c r="W197" s="138"/>
      <c r="AQ197" s="138"/>
    </row>
    <row r="198" spans="3:43" x14ac:dyDescent="0.35">
      <c r="C198" s="1001"/>
      <c r="D198" s="1001"/>
      <c r="E198" s="1001"/>
      <c r="F198" s="1001"/>
      <c r="G198" s="1001"/>
      <c r="M198" s="1001"/>
      <c r="N198" s="1001"/>
      <c r="O198" s="1001"/>
      <c r="P198" s="1001"/>
      <c r="Q198" s="1001"/>
      <c r="V198" s="1013"/>
      <c r="W198" s="138"/>
      <c r="AQ198" s="138"/>
    </row>
    <row r="199" spans="3:43" x14ac:dyDescent="0.35">
      <c r="C199" s="1001"/>
      <c r="D199" s="1001"/>
      <c r="E199" s="1001"/>
      <c r="F199" s="1001"/>
      <c r="G199" s="1001"/>
      <c r="M199" s="1001"/>
      <c r="N199" s="1001"/>
      <c r="O199" s="1001"/>
      <c r="P199" s="1001"/>
      <c r="Q199" s="1001"/>
      <c r="V199" s="1013"/>
      <c r="W199" s="138"/>
      <c r="AQ199" s="138"/>
    </row>
    <row r="200" spans="3:43" x14ac:dyDescent="0.35">
      <c r="C200" s="1001"/>
      <c r="D200" s="1001"/>
      <c r="E200" s="1001"/>
      <c r="F200" s="1001"/>
      <c r="G200" s="1001"/>
      <c r="M200" s="1001"/>
      <c r="N200" s="1001"/>
      <c r="O200" s="1001"/>
      <c r="P200" s="1001"/>
      <c r="Q200" s="1001"/>
      <c r="V200" s="1013"/>
      <c r="W200" s="138"/>
      <c r="AQ200" s="138"/>
    </row>
    <row r="201" spans="3:43" x14ac:dyDescent="0.35">
      <c r="C201" s="1001"/>
      <c r="D201" s="1001"/>
      <c r="E201" s="1001"/>
      <c r="F201" s="1001"/>
      <c r="G201" s="1001"/>
      <c r="M201" s="1001"/>
      <c r="N201" s="1001"/>
      <c r="O201" s="1001"/>
      <c r="P201" s="1001"/>
      <c r="Q201" s="1001"/>
      <c r="V201" s="1013"/>
      <c r="W201" s="138"/>
      <c r="AQ201" s="138"/>
    </row>
    <row r="202" spans="3:43" x14ac:dyDescent="0.35">
      <c r="C202" s="1001"/>
      <c r="D202" s="1001"/>
      <c r="E202" s="1001"/>
      <c r="F202" s="1001"/>
      <c r="G202" s="1001"/>
      <c r="M202" s="1001"/>
      <c r="N202" s="1001"/>
      <c r="O202" s="1001"/>
      <c r="P202" s="1001"/>
      <c r="Q202" s="1001"/>
      <c r="V202" s="1013"/>
      <c r="W202" s="138"/>
      <c r="AQ202" s="138"/>
    </row>
    <row r="203" spans="3:43" x14ac:dyDescent="0.35">
      <c r="C203" s="1001"/>
      <c r="D203" s="1001"/>
      <c r="E203" s="1001"/>
      <c r="F203" s="1001"/>
      <c r="G203" s="1001"/>
      <c r="M203" s="1001"/>
      <c r="N203" s="1001"/>
      <c r="O203" s="1001"/>
      <c r="P203" s="1001"/>
      <c r="Q203" s="1001"/>
      <c r="V203" s="1013"/>
      <c r="W203" s="138"/>
      <c r="AQ203" s="138"/>
    </row>
    <row r="204" spans="3:43" x14ac:dyDescent="0.35">
      <c r="C204" s="1001"/>
      <c r="D204" s="1001"/>
      <c r="E204" s="1001"/>
      <c r="F204" s="1001"/>
      <c r="G204" s="1001"/>
      <c r="M204" s="1001"/>
      <c r="N204" s="1001"/>
      <c r="O204" s="1001"/>
      <c r="P204" s="1001"/>
      <c r="Q204" s="1001"/>
      <c r="V204" s="1013"/>
      <c r="W204" s="138"/>
      <c r="AQ204" s="138"/>
    </row>
    <row r="205" spans="3:43" x14ac:dyDescent="0.35">
      <c r="C205" s="1001"/>
      <c r="D205" s="1001"/>
      <c r="E205" s="1001"/>
      <c r="F205" s="1001"/>
      <c r="G205" s="1001"/>
      <c r="M205" s="1001"/>
      <c r="N205" s="1001"/>
      <c r="O205" s="1001"/>
      <c r="P205" s="1001"/>
      <c r="Q205" s="1001"/>
      <c r="V205" s="1013"/>
      <c r="W205" s="138"/>
      <c r="AQ205" s="138"/>
    </row>
    <row r="206" spans="3:43" x14ac:dyDescent="0.35">
      <c r="C206" s="1001"/>
      <c r="D206" s="1001"/>
      <c r="E206" s="1001"/>
      <c r="F206" s="1001"/>
      <c r="G206" s="1001"/>
      <c r="M206" s="1001"/>
      <c r="N206" s="1001"/>
      <c r="O206" s="1001"/>
      <c r="P206" s="1001"/>
      <c r="Q206" s="1001"/>
      <c r="V206" s="1013"/>
      <c r="W206" s="138"/>
      <c r="AQ206" s="138"/>
    </row>
    <row r="207" spans="3:43" x14ac:dyDescent="0.35">
      <c r="C207" s="1001"/>
      <c r="D207" s="1001"/>
      <c r="E207" s="1001"/>
      <c r="F207" s="1001"/>
      <c r="G207" s="1001"/>
      <c r="M207" s="1001"/>
      <c r="N207" s="1001"/>
      <c r="O207" s="1001"/>
      <c r="P207" s="1001"/>
      <c r="Q207" s="1001"/>
      <c r="V207" s="1013"/>
      <c r="W207" s="138"/>
      <c r="AQ207" s="138"/>
    </row>
    <row r="208" spans="3:43" x14ac:dyDescent="0.35">
      <c r="C208" s="1001"/>
      <c r="D208" s="1001"/>
      <c r="E208" s="1001"/>
      <c r="F208" s="1001"/>
      <c r="G208" s="1001"/>
      <c r="M208" s="1001"/>
      <c r="N208" s="1001"/>
      <c r="O208" s="1001"/>
      <c r="P208" s="1001"/>
      <c r="Q208" s="1001"/>
      <c r="V208" s="1013"/>
      <c r="W208" s="138"/>
      <c r="AQ208" s="138"/>
    </row>
    <row r="209" spans="3:43" x14ac:dyDescent="0.35">
      <c r="C209" s="1001"/>
      <c r="D209" s="1001"/>
      <c r="E209" s="1001"/>
      <c r="F209" s="1001"/>
      <c r="G209" s="1001"/>
      <c r="M209" s="1001"/>
      <c r="N209" s="1001"/>
      <c r="O209" s="1001"/>
      <c r="P209" s="1001"/>
      <c r="Q209" s="1001"/>
      <c r="V209" s="1013"/>
      <c r="W209" s="138"/>
      <c r="AQ209" s="138"/>
    </row>
    <row r="210" spans="3:43" x14ac:dyDescent="0.35">
      <c r="C210" s="1001"/>
      <c r="D210" s="1001"/>
      <c r="E210" s="1001"/>
      <c r="F210" s="1001"/>
      <c r="G210" s="1001"/>
      <c r="M210" s="1001"/>
      <c r="N210" s="1001"/>
      <c r="O210" s="1001"/>
      <c r="P210" s="1001"/>
      <c r="Q210" s="1001"/>
      <c r="V210" s="1013"/>
      <c r="W210" s="138"/>
      <c r="AQ210" s="138"/>
    </row>
    <row r="211" spans="3:43" x14ac:dyDescent="0.35">
      <c r="C211" s="1001"/>
      <c r="D211" s="1001"/>
      <c r="E211" s="1001"/>
      <c r="F211" s="1001"/>
      <c r="G211" s="1001"/>
      <c r="M211" s="1001"/>
      <c r="N211" s="1001"/>
      <c r="O211" s="1001"/>
      <c r="P211" s="1001"/>
      <c r="Q211" s="1001"/>
      <c r="V211" s="1013"/>
      <c r="W211" s="138"/>
      <c r="AQ211" s="138"/>
    </row>
    <row r="212" spans="3:43" x14ac:dyDescent="0.35">
      <c r="C212" s="1001"/>
      <c r="D212" s="1001"/>
      <c r="E212" s="1001"/>
      <c r="F212" s="1001"/>
      <c r="G212" s="1001"/>
      <c r="M212" s="1001"/>
      <c r="N212" s="1001"/>
      <c r="O212" s="1001"/>
      <c r="P212" s="1001"/>
      <c r="Q212" s="1001"/>
      <c r="V212" s="1013"/>
      <c r="W212" s="138"/>
      <c r="AQ212" s="138"/>
    </row>
    <row r="213" spans="3:43" x14ac:dyDescent="0.35">
      <c r="C213" s="1001"/>
      <c r="D213" s="1001"/>
      <c r="E213" s="1001"/>
      <c r="F213" s="1001"/>
      <c r="G213" s="1001"/>
      <c r="M213" s="1001"/>
      <c r="N213" s="1001"/>
      <c r="O213" s="1001"/>
      <c r="P213" s="1001"/>
      <c r="Q213" s="1001"/>
      <c r="V213" s="1013"/>
      <c r="W213" s="138"/>
      <c r="AQ213" s="138"/>
    </row>
    <row r="214" spans="3:43" x14ac:dyDescent="0.35">
      <c r="C214" s="1001"/>
      <c r="D214" s="1001"/>
      <c r="E214" s="1001"/>
      <c r="F214" s="1001"/>
      <c r="G214" s="1001"/>
      <c r="M214" s="1001"/>
      <c r="N214" s="1001"/>
      <c r="O214" s="1001"/>
      <c r="P214" s="1001"/>
      <c r="Q214" s="1001"/>
      <c r="V214" s="1013"/>
      <c r="W214" s="138"/>
      <c r="AQ214" s="138"/>
    </row>
    <row r="215" spans="3:43" x14ac:dyDescent="0.35">
      <c r="C215" s="1001"/>
      <c r="D215" s="1001"/>
      <c r="E215" s="1001"/>
      <c r="F215" s="1001"/>
      <c r="G215" s="1001"/>
      <c r="M215" s="1001"/>
      <c r="N215" s="1001"/>
      <c r="O215" s="1001"/>
      <c r="P215" s="1001"/>
      <c r="Q215" s="1001"/>
      <c r="V215" s="1013"/>
      <c r="W215" s="138"/>
      <c r="AQ215" s="138"/>
    </row>
    <row r="216" spans="3:43" x14ac:dyDescent="0.35">
      <c r="C216" s="1001"/>
      <c r="D216" s="1001"/>
      <c r="E216" s="1001"/>
      <c r="F216" s="1001"/>
      <c r="G216" s="1001"/>
      <c r="M216" s="1001"/>
      <c r="N216" s="1001"/>
      <c r="O216" s="1001"/>
      <c r="P216" s="1001"/>
      <c r="Q216" s="1001"/>
      <c r="V216" s="1013"/>
      <c r="W216" s="138"/>
      <c r="AQ216" s="138"/>
    </row>
    <row r="217" spans="3:43" x14ac:dyDescent="0.35">
      <c r="C217" s="1001"/>
      <c r="D217" s="1001"/>
      <c r="E217" s="1001"/>
      <c r="F217" s="1001"/>
      <c r="G217" s="1001"/>
      <c r="M217" s="1001"/>
      <c r="N217" s="1001"/>
      <c r="O217" s="1001"/>
      <c r="P217" s="1001"/>
      <c r="Q217" s="1001"/>
      <c r="V217" s="1013"/>
      <c r="W217" s="138"/>
      <c r="AQ217" s="138"/>
    </row>
    <row r="218" spans="3:43" x14ac:dyDescent="0.35">
      <c r="C218" s="1001"/>
      <c r="D218" s="1001"/>
      <c r="E218" s="1001"/>
      <c r="F218" s="1001"/>
      <c r="G218" s="1001"/>
      <c r="M218" s="1001"/>
      <c r="N218" s="1001"/>
      <c r="O218" s="1001"/>
      <c r="P218" s="1001"/>
      <c r="Q218" s="1001"/>
      <c r="V218" s="1013"/>
      <c r="W218" s="138"/>
      <c r="AQ218" s="138"/>
    </row>
    <row r="219" spans="3:43" x14ac:dyDescent="0.35">
      <c r="C219" s="1001"/>
      <c r="D219" s="1001"/>
      <c r="E219" s="1001"/>
      <c r="F219" s="1001"/>
      <c r="G219" s="1001"/>
      <c r="M219" s="1001"/>
      <c r="N219" s="1001"/>
      <c r="O219" s="1001"/>
      <c r="P219" s="1001"/>
      <c r="Q219" s="1001"/>
      <c r="V219" s="1013"/>
      <c r="W219" s="138"/>
      <c r="AQ219" s="138"/>
    </row>
    <row r="220" spans="3:43" x14ac:dyDescent="0.35">
      <c r="C220" s="1001"/>
      <c r="D220" s="1001"/>
      <c r="E220" s="1001"/>
      <c r="F220" s="1001"/>
      <c r="G220" s="1001"/>
      <c r="M220" s="1001"/>
      <c r="N220" s="1001"/>
      <c r="O220" s="1001"/>
      <c r="P220" s="1001"/>
      <c r="Q220" s="1001"/>
      <c r="V220" s="1013"/>
      <c r="W220" s="138"/>
      <c r="AQ220" s="138"/>
    </row>
    <row r="221" spans="3:43" x14ac:dyDescent="0.35">
      <c r="C221" s="1001"/>
      <c r="D221" s="1001"/>
      <c r="E221" s="1001"/>
      <c r="F221" s="1001"/>
      <c r="G221" s="1001"/>
      <c r="M221" s="1001"/>
      <c r="N221" s="1001"/>
      <c r="O221" s="1001"/>
      <c r="P221" s="1001"/>
      <c r="Q221" s="1001"/>
      <c r="V221" s="1013"/>
      <c r="W221" s="138"/>
      <c r="AQ221" s="138"/>
    </row>
    <row r="222" spans="3:43" x14ac:dyDescent="0.35">
      <c r="C222" s="1001"/>
      <c r="D222" s="1001"/>
      <c r="E222" s="1001"/>
      <c r="F222" s="1001"/>
      <c r="G222" s="1001"/>
      <c r="M222" s="1001"/>
      <c r="N222" s="1001"/>
      <c r="O222" s="1001"/>
      <c r="P222" s="1001"/>
      <c r="Q222" s="1001"/>
      <c r="V222" s="1013"/>
      <c r="W222" s="138"/>
      <c r="AQ222" s="138"/>
    </row>
    <row r="223" spans="3:43" x14ac:dyDescent="0.35">
      <c r="C223" s="1001"/>
      <c r="D223" s="1001"/>
      <c r="E223" s="1001"/>
      <c r="F223" s="1001"/>
      <c r="G223" s="1001"/>
      <c r="M223" s="1001"/>
      <c r="N223" s="1001"/>
      <c r="O223" s="1001"/>
      <c r="P223" s="1001"/>
      <c r="Q223" s="1001"/>
      <c r="V223" s="1013"/>
      <c r="W223" s="138"/>
      <c r="AQ223" s="138"/>
    </row>
    <row r="224" spans="3:43" x14ac:dyDescent="0.35">
      <c r="C224" s="1001"/>
      <c r="D224" s="1001"/>
      <c r="E224" s="1001"/>
      <c r="F224" s="1001"/>
      <c r="G224" s="1001"/>
      <c r="M224" s="1001"/>
      <c r="N224" s="1001"/>
      <c r="O224" s="1001"/>
      <c r="P224" s="1001"/>
      <c r="Q224" s="1001"/>
      <c r="V224" s="1013"/>
      <c r="W224" s="138"/>
      <c r="AQ224" s="138"/>
    </row>
    <row r="225" spans="3:43" x14ac:dyDescent="0.35">
      <c r="C225" s="1001"/>
      <c r="D225" s="1001"/>
      <c r="E225" s="1001"/>
      <c r="F225" s="1001"/>
      <c r="G225" s="1001"/>
      <c r="M225" s="1001"/>
      <c r="N225" s="1001"/>
      <c r="O225" s="1001"/>
      <c r="P225" s="1001"/>
      <c r="Q225" s="1001"/>
      <c r="V225" s="1013"/>
      <c r="W225" s="138"/>
      <c r="AQ225" s="138"/>
    </row>
    <row r="226" spans="3:43" x14ac:dyDescent="0.35">
      <c r="C226" s="1001"/>
      <c r="D226" s="1001"/>
      <c r="E226" s="1001"/>
      <c r="F226" s="1001"/>
      <c r="G226" s="1001"/>
      <c r="M226" s="1001"/>
      <c r="N226" s="1001"/>
      <c r="O226" s="1001"/>
      <c r="P226" s="1001"/>
      <c r="Q226" s="1001"/>
      <c r="V226" s="1013"/>
      <c r="W226" s="138"/>
      <c r="AQ226" s="138"/>
    </row>
    <row r="227" spans="3:43" x14ac:dyDescent="0.35">
      <c r="C227" s="1001"/>
      <c r="D227" s="1001"/>
      <c r="E227" s="1001"/>
      <c r="F227" s="1001"/>
      <c r="G227" s="1001"/>
      <c r="M227" s="1001"/>
      <c r="N227" s="1001"/>
      <c r="O227" s="1001"/>
      <c r="P227" s="1001"/>
      <c r="Q227" s="1001"/>
      <c r="V227" s="1013"/>
      <c r="W227" s="138"/>
      <c r="AQ227" s="138"/>
    </row>
    <row r="228" spans="3:43" x14ac:dyDescent="0.35">
      <c r="C228" s="1001"/>
      <c r="D228" s="1001"/>
      <c r="E228" s="1001"/>
      <c r="F228" s="1001"/>
      <c r="G228" s="1001"/>
      <c r="M228" s="1001"/>
      <c r="N228" s="1001"/>
      <c r="O228" s="1001"/>
      <c r="P228" s="1001"/>
      <c r="Q228" s="1001"/>
      <c r="V228" s="1013"/>
      <c r="W228" s="138"/>
      <c r="AQ228" s="138"/>
    </row>
    <row r="229" spans="3:43" x14ac:dyDescent="0.35">
      <c r="C229" s="1001"/>
      <c r="D229" s="1001"/>
      <c r="E229" s="1001"/>
      <c r="F229" s="1001"/>
      <c r="G229" s="1001"/>
      <c r="M229" s="1001"/>
      <c r="N229" s="1001"/>
      <c r="O229" s="1001"/>
      <c r="P229" s="1001"/>
      <c r="Q229" s="1001"/>
      <c r="V229" s="1013"/>
      <c r="W229" s="138"/>
      <c r="AQ229" s="138"/>
    </row>
    <row r="230" spans="3:43" x14ac:dyDescent="0.35">
      <c r="C230" s="1001"/>
      <c r="D230" s="1001"/>
      <c r="E230" s="1001"/>
      <c r="F230" s="1001"/>
      <c r="G230" s="1001"/>
      <c r="M230" s="1001"/>
      <c r="N230" s="1001"/>
      <c r="O230" s="1001"/>
      <c r="P230" s="1001"/>
      <c r="Q230" s="1001"/>
      <c r="V230" s="1013"/>
      <c r="W230" s="138"/>
      <c r="AQ230" s="138"/>
    </row>
    <row r="231" spans="3:43" x14ac:dyDescent="0.35">
      <c r="C231" s="1001"/>
      <c r="D231" s="1001"/>
      <c r="E231" s="1001"/>
      <c r="F231" s="1001"/>
      <c r="G231" s="1001"/>
      <c r="M231" s="1001"/>
      <c r="N231" s="1001"/>
      <c r="O231" s="1001"/>
      <c r="P231" s="1001"/>
      <c r="Q231" s="1001"/>
      <c r="V231" s="1013"/>
      <c r="W231" s="138"/>
      <c r="AQ231" s="138"/>
    </row>
    <row r="232" spans="3:43" x14ac:dyDescent="0.35">
      <c r="C232" s="1001"/>
      <c r="D232" s="1001"/>
      <c r="E232" s="1001"/>
      <c r="F232" s="1001"/>
      <c r="G232" s="1001"/>
      <c r="M232" s="1001"/>
      <c r="N232" s="1001"/>
      <c r="O232" s="1001"/>
      <c r="P232" s="1001"/>
      <c r="Q232" s="1001"/>
      <c r="V232" s="1013"/>
      <c r="W232" s="138"/>
      <c r="AQ232" s="138"/>
    </row>
    <row r="233" spans="3:43" x14ac:dyDescent="0.35">
      <c r="C233" s="1001"/>
      <c r="D233" s="1001"/>
      <c r="E233" s="1001"/>
      <c r="F233" s="1001"/>
      <c r="G233" s="1001"/>
      <c r="M233" s="1001"/>
      <c r="N233" s="1001"/>
      <c r="O233" s="1001"/>
      <c r="P233" s="1001"/>
      <c r="Q233" s="1001"/>
      <c r="V233" s="1013"/>
      <c r="W233" s="138"/>
      <c r="AQ233" s="138"/>
    </row>
    <row r="234" spans="3:43" x14ac:dyDescent="0.35">
      <c r="C234" s="1001"/>
      <c r="D234" s="1001"/>
      <c r="E234" s="1001"/>
      <c r="F234" s="1001"/>
      <c r="G234" s="1001"/>
      <c r="M234" s="1001"/>
      <c r="N234" s="1001"/>
      <c r="O234" s="1001"/>
      <c r="P234" s="1001"/>
      <c r="Q234" s="1001"/>
      <c r="V234" s="1013"/>
      <c r="W234" s="138"/>
      <c r="AQ234" s="138"/>
    </row>
    <row r="235" spans="3:43" x14ac:dyDescent="0.35">
      <c r="C235" s="1001"/>
      <c r="D235" s="1001"/>
      <c r="E235" s="1001"/>
      <c r="F235" s="1001"/>
      <c r="G235" s="1001"/>
      <c r="M235" s="1001"/>
      <c r="N235" s="1001"/>
      <c r="O235" s="1001"/>
      <c r="P235" s="1001"/>
      <c r="Q235" s="1001"/>
      <c r="V235" s="1013"/>
      <c r="W235" s="138"/>
      <c r="AQ235" s="138"/>
    </row>
    <row r="236" spans="3:43" x14ac:dyDescent="0.35">
      <c r="C236" s="1001"/>
      <c r="D236" s="1001"/>
      <c r="E236" s="1001"/>
      <c r="F236" s="1001"/>
      <c r="G236" s="1001"/>
      <c r="M236" s="1001"/>
      <c r="N236" s="1001"/>
      <c r="O236" s="1001"/>
      <c r="P236" s="1001"/>
      <c r="Q236" s="1001"/>
      <c r="V236" s="1013"/>
      <c r="W236" s="138"/>
      <c r="AQ236" s="138"/>
    </row>
    <row r="237" spans="3:43" x14ac:dyDescent="0.35">
      <c r="C237" s="1001"/>
      <c r="D237" s="1001"/>
      <c r="E237" s="1001"/>
      <c r="F237" s="1001"/>
      <c r="G237" s="1001"/>
      <c r="M237" s="1001"/>
      <c r="N237" s="1001"/>
      <c r="O237" s="1001"/>
      <c r="P237" s="1001"/>
      <c r="Q237" s="1001"/>
      <c r="V237" s="1013"/>
      <c r="W237" s="138"/>
      <c r="AQ237" s="138"/>
    </row>
    <row r="238" spans="3:43" x14ac:dyDescent="0.35">
      <c r="C238" s="1001"/>
      <c r="D238" s="1001"/>
      <c r="E238" s="1001"/>
      <c r="F238" s="1001"/>
      <c r="G238" s="1001"/>
      <c r="M238" s="1001"/>
      <c r="N238" s="1001"/>
      <c r="O238" s="1001"/>
      <c r="P238" s="1001"/>
      <c r="Q238" s="1001"/>
      <c r="V238" s="1013"/>
      <c r="W238" s="138"/>
      <c r="AQ238" s="138"/>
    </row>
    <row r="239" spans="3:43" x14ac:dyDescent="0.35">
      <c r="C239" s="1001"/>
      <c r="D239" s="1001"/>
      <c r="E239" s="1001"/>
      <c r="F239" s="1001"/>
      <c r="G239" s="1001"/>
      <c r="M239" s="1001"/>
      <c r="N239" s="1001"/>
      <c r="O239" s="1001"/>
      <c r="P239" s="1001"/>
      <c r="Q239" s="1001"/>
      <c r="V239" s="1013"/>
      <c r="W239" s="138"/>
      <c r="AQ239" s="138"/>
    </row>
    <row r="240" spans="3:43" x14ac:dyDescent="0.35">
      <c r="C240" s="1001"/>
      <c r="D240" s="1001"/>
      <c r="E240" s="1001"/>
      <c r="F240" s="1001"/>
      <c r="G240" s="1001"/>
      <c r="M240" s="1001"/>
      <c r="N240" s="1001"/>
      <c r="O240" s="1001"/>
      <c r="P240" s="1001"/>
      <c r="Q240" s="1001"/>
      <c r="V240" s="1013"/>
      <c r="W240" s="138"/>
      <c r="AQ240" s="138"/>
    </row>
    <row r="241" spans="3:43" x14ac:dyDescent="0.35">
      <c r="C241" s="1001"/>
      <c r="D241" s="1001"/>
      <c r="E241" s="1001"/>
      <c r="F241" s="1001"/>
      <c r="G241" s="1001"/>
      <c r="M241" s="1001"/>
      <c r="N241" s="1001"/>
      <c r="O241" s="1001"/>
      <c r="P241" s="1001"/>
      <c r="Q241" s="1001"/>
      <c r="V241" s="1013"/>
      <c r="W241" s="138"/>
      <c r="AQ241" s="138"/>
    </row>
    <row r="242" spans="3:43" x14ac:dyDescent="0.35">
      <c r="C242" s="1001"/>
      <c r="D242" s="1001"/>
      <c r="E242" s="1001"/>
      <c r="F242" s="1001"/>
      <c r="G242" s="1001"/>
      <c r="M242" s="1001"/>
      <c r="N242" s="1001"/>
      <c r="O242" s="1001"/>
      <c r="P242" s="1001"/>
      <c r="Q242" s="1001"/>
      <c r="V242" s="1013"/>
      <c r="W242" s="138"/>
      <c r="AQ242" s="138"/>
    </row>
    <row r="243" spans="3:43" x14ac:dyDescent="0.35">
      <c r="C243" s="1001"/>
      <c r="D243" s="1001"/>
      <c r="E243" s="1001"/>
      <c r="F243" s="1001"/>
      <c r="G243" s="1001"/>
      <c r="M243" s="1001"/>
      <c r="N243" s="1001"/>
      <c r="O243" s="1001"/>
      <c r="P243" s="1001"/>
      <c r="Q243" s="1001"/>
      <c r="V243" s="1013"/>
      <c r="W243" s="138"/>
      <c r="AQ243" s="138"/>
    </row>
    <row r="244" spans="3:43" x14ac:dyDescent="0.35">
      <c r="C244" s="1001"/>
      <c r="D244" s="1001"/>
      <c r="E244" s="1001"/>
      <c r="F244" s="1001"/>
      <c r="G244" s="1001"/>
      <c r="M244" s="1001"/>
      <c r="N244" s="1001"/>
      <c r="O244" s="1001"/>
      <c r="P244" s="1001"/>
      <c r="Q244" s="1001"/>
      <c r="V244" s="1013"/>
      <c r="W244" s="138"/>
      <c r="AQ244" s="138"/>
    </row>
    <row r="245" spans="3:43" x14ac:dyDescent="0.35">
      <c r="C245" s="1001"/>
      <c r="D245" s="1001"/>
      <c r="E245" s="1001"/>
      <c r="F245" s="1001"/>
      <c r="G245" s="1001"/>
      <c r="M245" s="1001"/>
      <c r="N245" s="1001"/>
      <c r="O245" s="1001"/>
      <c r="P245" s="1001"/>
      <c r="Q245" s="1001"/>
      <c r="V245" s="1013"/>
      <c r="W245" s="138"/>
      <c r="AQ245" s="138"/>
    </row>
    <row r="246" spans="3:43" x14ac:dyDescent="0.35">
      <c r="C246" s="1001"/>
      <c r="D246" s="1001"/>
      <c r="E246" s="1001"/>
      <c r="F246" s="1001"/>
      <c r="G246" s="1001"/>
      <c r="M246" s="1001"/>
      <c r="N246" s="1001"/>
      <c r="O246" s="1001"/>
      <c r="P246" s="1001"/>
      <c r="Q246" s="1001"/>
      <c r="V246" s="1013"/>
      <c r="W246" s="138"/>
      <c r="AQ246" s="138"/>
    </row>
    <row r="247" spans="3:43" x14ac:dyDescent="0.35">
      <c r="C247" s="1001"/>
      <c r="D247" s="1001"/>
      <c r="E247" s="1001"/>
      <c r="F247" s="1001"/>
      <c r="G247" s="1001"/>
      <c r="M247" s="1001"/>
      <c r="N247" s="1001"/>
      <c r="O247" s="1001"/>
      <c r="P247" s="1001"/>
      <c r="Q247" s="1001"/>
      <c r="V247" s="1013"/>
      <c r="W247" s="138"/>
      <c r="AQ247" s="138"/>
    </row>
    <row r="248" spans="3:43" x14ac:dyDescent="0.35">
      <c r="C248" s="1001"/>
      <c r="D248" s="1001"/>
      <c r="E248" s="1001"/>
      <c r="F248" s="1001"/>
      <c r="G248" s="1001"/>
      <c r="M248" s="1001"/>
      <c r="N248" s="1001"/>
      <c r="O248" s="1001"/>
      <c r="P248" s="1001"/>
      <c r="Q248" s="1001"/>
      <c r="V248" s="1013"/>
      <c r="W248" s="138"/>
      <c r="AQ248" s="138"/>
    </row>
    <row r="249" spans="3:43" x14ac:dyDescent="0.35">
      <c r="C249" s="1001"/>
      <c r="D249" s="1001"/>
      <c r="E249" s="1001"/>
      <c r="F249" s="1001"/>
      <c r="G249" s="1001"/>
      <c r="M249" s="1001"/>
      <c r="N249" s="1001"/>
      <c r="O249" s="1001"/>
      <c r="P249" s="1001"/>
      <c r="Q249" s="1001"/>
      <c r="V249" s="1013"/>
      <c r="W249" s="138"/>
      <c r="AQ249" s="138"/>
    </row>
    <row r="250" spans="3:43" x14ac:dyDescent="0.35">
      <c r="C250" s="1001"/>
      <c r="D250" s="1001"/>
      <c r="E250" s="1001"/>
      <c r="F250" s="1001"/>
      <c r="G250" s="1001"/>
      <c r="M250" s="1001"/>
      <c r="N250" s="1001"/>
      <c r="O250" s="1001"/>
      <c r="P250" s="1001"/>
      <c r="Q250" s="1001"/>
      <c r="V250" s="1013"/>
      <c r="W250" s="138"/>
      <c r="AQ250" s="138"/>
    </row>
    <row r="251" spans="3:43" x14ac:dyDescent="0.35">
      <c r="C251" s="1001"/>
      <c r="D251" s="1001"/>
      <c r="E251" s="1001"/>
      <c r="F251" s="1001"/>
      <c r="G251" s="1001"/>
      <c r="M251" s="1001"/>
      <c r="N251" s="1001"/>
      <c r="O251" s="1001"/>
      <c r="P251" s="1001"/>
      <c r="Q251" s="1001"/>
      <c r="V251" s="1013"/>
      <c r="W251" s="138"/>
      <c r="AQ251" s="138"/>
    </row>
    <row r="252" spans="3:43" x14ac:dyDescent="0.35">
      <c r="C252" s="1001"/>
      <c r="D252" s="1001"/>
      <c r="E252" s="1001"/>
      <c r="F252" s="1001"/>
      <c r="G252" s="1001"/>
      <c r="M252" s="1001"/>
      <c r="N252" s="1001"/>
      <c r="O252" s="1001"/>
      <c r="P252" s="1001"/>
      <c r="Q252" s="1001"/>
      <c r="V252" s="1013"/>
      <c r="W252" s="138"/>
      <c r="AQ252" s="138"/>
    </row>
    <row r="253" spans="3:43" x14ac:dyDescent="0.35">
      <c r="C253" s="1001"/>
      <c r="D253" s="1001"/>
      <c r="E253" s="1001"/>
      <c r="F253" s="1001"/>
      <c r="G253" s="1001"/>
      <c r="M253" s="1001"/>
      <c r="N253" s="1001"/>
      <c r="O253" s="1001"/>
      <c r="P253" s="1001"/>
      <c r="Q253" s="1001"/>
      <c r="V253" s="1013"/>
      <c r="W253" s="138"/>
      <c r="AQ253" s="138"/>
    </row>
    <row r="254" spans="3:43" x14ac:dyDescent="0.35">
      <c r="M254" s="1001"/>
      <c r="N254" s="1001"/>
      <c r="O254" s="1001"/>
      <c r="P254" s="1001"/>
      <c r="Q254" s="1001"/>
      <c r="V254" s="1013"/>
      <c r="W254" s="138"/>
      <c r="AQ254" s="138"/>
    </row>
    <row r="255" spans="3:43" x14ac:dyDescent="0.35">
      <c r="M255" s="1001"/>
      <c r="N255" s="1001"/>
      <c r="O255" s="1001"/>
      <c r="P255" s="1001"/>
      <c r="Q255" s="1001"/>
      <c r="V255" s="1013"/>
      <c r="W255" s="138"/>
      <c r="AQ255" s="138"/>
    </row>
    <row r="256" spans="3:43" x14ac:dyDescent="0.35">
      <c r="M256" s="1001"/>
      <c r="N256" s="1001"/>
      <c r="O256" s="1001"/>
      <c r="P256" s="1001"/>
      <c r="Q256" s="1001"/>
      <c r="V256" s="1013"/>
      <c r="W256" s="138"/>
      <c r="AQ256" s="138"/>
    </row>
    <row r="257" spans="13:43" x14ac:dyDescent="0.35">
      <c r="M257" s="1001"/>
      <c r="N257" s="1001"/>
      <c r="O257" s="1001"/>
      <c r="P257" s="1001"/>
      <c r="Q257" s="1001"/>
      <c r="V257" s="1013"/>
      <c r="W257" s="138"/>
      <c r="AQ257" s="138"/>
    </row>
    <row r="258" spans="13:43" x14ac:dyDescent="0.35">
      <c r="M258" s="1001"/>
      <c r="N258" s="1001"/>
      <c r="O258" s="1001"/>
      <c r="P258" s="1001"/>
      <c r="Q258" s="1001"/>
      <c r="V258" s="1013"/>
      <c r="W258" s="138"/>
      <c r="AQ258" s="138"/>
    </row>
    <row r="259" spans="13:43" x14ac:dyDescent="0.35">
      <c r="M259" s="1001"/>
      <c r="N259" s="1001"/>
      <c r="O259" s="1001"/>
      <c r="P259" s="1001"/>
      <c r="Q259" s="1001"/>
      <c r="V259" s="1013"/>
      <c r="W259" s="138"/>
      <c r="AQ259" s="138"/>
    </row>
    <row r="260" spans="13:43" x14ac:dyDescent="0.35">
      <c r="M260" s="1001"/>
      <c r="N260" s="1001"/>
      <c r="O260" s="1001"/>
      <c r="P260" s="1001"/>
      <c r="Q260" s="1001"/>
      <c r="V260" s="1013"/>
      <c r="W260" s="138"/>
      <c r="AQ260" s="138"/>
    </row>
    <row r="261" spans="13:43" x14ac:dyDescent="0.35">
      <c r="M261" s="1001"/>
      <c r="N261" s="1001"/>
      <c r="O261" s="1001"/>
      <c r="P261" s="1001"/>
      <c r="Q261" s="1001"/>
      <c r="V261" s="1013"/>
      <c r="W261" s="138"/>
      <c r="AQ261" s="138"/>
    </row>
    <row r="262" spans="13:43" x14ac:dyDescent="0.35">
      <c r="M262" s="1001"/>
      <c r="N262" s="1001"/>
      <c r="O262" s="1001"/>
      <c r="P262" s="1001"/>
      <c r="Q262" s="1001"/>
      <c r="V262" s="1013"/>
      <c r="W262" s="138"/>
      <c r="AQ262" s="138"/>
    </row>
    <row r="263" spans="13:43" x14ac:dyDescent="0.35">
      <c r="M263" s="1001"/>
      <c r="N263" s="1001"/>
      <c r="O263" s="1001"/>
      <c r="P263" s="1001"/>
      <c r="Q263" s="1001"/>
      <c r="V263" s="1013"/>
      <c r="W263" s="138"/>
      <c r="AQ263" s="138"/>
    </row>
    <row r="264" spans="13:43" x14ac:dyDescent="0.35">
      <c r="M264" s="1001"/>
      <c r="N264" s="1001"/>
      <c r="O264" s="1001"/>
      <c r="P264" s="1001"/>
      <c r="Q264" s="1001"/>
      <c r="V264" s="1013"/>
      <c r="W264" s="138"/>
      <c r="AQ264" s="138"/>
    </row>
    <row r="265" spans="13:43" x14ac:dyDescent="0.35">
      <c r="M265" s="1001"/>
      <c r="N265" s="1001"/>
      <c r="O265" s="1001"/>
      <c r="P265" s="1001"/>
      <c r="Q265" s="1001"/>
      <c r="V265" s="1013"/>
      <c r="W265" s="138"/>
      <c r="AQ265" s="138"/>
    </row>
    <row r="266" spans="13:43" x14ac:dyDescent="0.35">
      <c r="M266" s="1001"/>
      <c r="N266" s="1001"/>
      <c r="O266" s="1001"/>
      <c r="P266" s="1001"/>
      <c r="Q266" s="1001"/>
      <c r="V266" s="1013"/>
      <c r="W266" s="138"/>
      <c r="AQ266" s="138"/>
    </row>
    <row r="267" spans="13:43" x14ac:dyDescent="0.35">
      <c r="M267" s="1001"/>
      <c r="N267" s="1001"/>
      <c r="O267" s="1001"/>
      <c r="P267" s="1001"/>
      <c r="Q267" s="1001"/>
      <c r="V267" s="1013"/>
      <c r="W267" s="138"/>
      <c r="AQ267" s="138"/>
    </row>
    <row r="268" spans="13:43" x14ac:dyDescent="0.35">
      <c r="M268" s="1001"/>
      <c r="N268" s="1001"/>
      <c r="O268" s="1001"/>
      <c r="P268" s="1001"/>
      <c r="Q268" s="1001"/>
      <c r="V268" s="1013"/>
      <c r="W268" s="138"/>
      <c r="AQ268" s="138"/>
    </row>
    <row r="269" spans="13:43" x14ac:dyDescent="0.35">
      <c r="M269" s="1001"/>
      <c r="N269" s="1001"/>
      <c r="O269" s="1001"/>
      <c r="P269" s="1001"/>
      <c r="Q269" s="1001"/>
      <c r="V269" s="1013"/>
      <c r="W269" s="138"/>
      <c r="AQ269" s="138"/>
    </row>
    <row r="270" spans="13:43" x14ac:dyDescent="0.35">
      <c r="M270" s="1001"/>
      <c r="N270" s="1001"/>
      <c r="O270" s="1001"/>
      <c r="P270" s="1001"/>
      <c r="Q270" s="1001"/>
      <c r="V270" s="1013"/>
      <c r="W270" s="138"/>
      <c r="AQ270" s="138"/>
    </row>
    <row r="271" spans="13:43" x14ac:dyDescent="0.35">
      <c r="M271" s="1001"/>
      <c r="N271" s="1001"/>
      <c r="O271" s="1001"/>
      <c r="P271" s="1001"/>
      <c r="Q271" s="1001"/>
      <c r="V271" s="1013"/>
      <c r="W271" s="138"/>
      <c r="AQ271" s="138"/>
    </row>
    <row r="272" spans="13:43" x14ac:dyDescent="0.35">
      <c r="M272" s="1001"/>
      <c r="N272" s="1001"/>
      <c r="O272" s="1001"/>
      <c r="P272" s="1001"/>
      <c r="Q272" s="1001"/>
      <c r="V272" s="1013"/>
      <c r="W272" s="138"/>
      <c r="AQ272" s="138"/>
    </row>
    <row r="273" spans="13:43" x14ac:dyDescent="0.35">
      <c r="M273" s="1001"/>
      <c r="N273" s="1001"/>
      <c r="O273" s="1001"/>
      <c r="P273" s="1001"/>
      <c r="Q273" s="1001"/>
      <c r="V273" s="1013"/>
      <c r="W273" s="138"/>
      <c r="AQ273" s="138"/>
    </row>
    <row r="274" spans="13:43" x14ac:dyDescent="0.35">
      <c r="M274" s="1001"/>
      <c r="N274" s="1001"/>
      <c r="O274" s="1001"/>
      <c r="P274" s="1001"/>
      <c r="Q274" s="1001"/>
      <c r="V274" s="1013"/>
      <c r="W274" s="138"/>
      <c r="AQ274" s="138"/>
    </row>
    <row r="275" spans="13:43" x14ac:dyDescent="0.35">
      <c r="M275" s="1001"/>
      <c r="N275" s="1001"/>
      <c r="O275" s="1001"/>
      <c r="P275" s="1001"/>
      <c r="Q275" s="1001"/>
      <c r="V275" s="1013"/>
      <c r="W275" s="138"/>
      <c r="AQ275" s="138"/>
    </row>
    <row r="276" spans="13:43" x14ac:dyDescent="0.35">
      <c r="M276" s="1001"/>
      <c r="N276" s="1001"/>
      <c r="O276" s="1001"/>
      <c r="P276" s="1001"/>
      <c r="Q276" s="1001"/>
      <c r="V276" s="1013"/>
      <c r="W276" s="138"/>
      <c r="AQ276" s="138"/>
    </row>
    <row r="277" spans="13:43" x14ac:dyDescent="0.35">
      <c r="M277" s="1001"/>
      <c r="N277" s="1001"/>
      <c r="O277" s="1001"/>
      <c r="P277" s="1001"/>
      <c r="Q277" s="1001"/>
      <c r="V277" s="1013"/>
      <c r="W277" s="138"/>
      <c r="AQ277" s="138"/>
    </row>
    <row r="278" spans="13:43" x14ac:dyDescent="0.35">
      <c r="M278" s="1001"/>
      <c r="N278" s="1001"/>
      <c r="O278" s="1001"/>
      <c r="P278" s="1001"/>
      <c r="Q278" s="1001"/>
      <c r="V278" s="1013"/>
      <c r="W278" s="138"/>
      <c r="AQ278" s="138"/>
    </row>
    <row r="279" spans="13:43" x14ac:dyDescent="0.35">
      <c r="M279" s="1001"/>
      <c r="N279" s="1001"/>
      <c r="O279" s="1001"/>
      <c r="P279" s="1001"/>
      <c r="Q279" s="1001"/>
      <c r="V279" s="1013"/>
      <c r="W279" s="138"/>
      <c r="AQ279" s="138"/>
    </row>
    <row r="280" spans="13:43" x14ac:dyDescent="0.35">
      <c r="M280" s="1001"/>
      <c r="N280" s="1001"/>
      <c r="O280" s="1001"/>
      <c r="P280" s="1001"/>
      <c r="Q280" s="1001"/>
      <c r="V280" s="1013"/>
      <c r="W280" s="138"/>
      <c r="AQ280" s="138"/>
    </row>
    <row r="281" spans="13:43" x14ac:dyDescent="0.35">
      <c r="M281" s="1001"/>
      <c r="N281" s="1001"/>
      <c r="O281" s="1001"/>
      <c r="P281" s="1001"/>
      <c r="Q281" s="1001"/>
      <c r="V281" s="1013"/>
      <c r="W281" s="138"/>
      <c r="AQ281" s="138"/>
    </row>
    <row r="282" spans="13:43" x14ac:dyDescent="0.35">
      <c r="M282" s="1001"/>
      <c r="N282" s="1001"/>
      <c r="O282" s="1001"/>
      <c r="P282" s="1001"/>
      <c r="Q282" s="1001"/>
      <c r="V282" s="1013"/>
      <c r="W282" s="138"/>
      <c r="AQ282" s="138"/>
    </row>
    <row r="283" spans="13:43" x14ac:dyDescent="0.35">
      <c r="M283" s="1001"/>
      <c r="N283" s="1001"/>
      <c r="O283" s="1001"/>
      <c r="P283" s="1001"/>
      <c r="Q283" s="1001"/>
      <c r="V283" s="1013"/>
      <c r="W283" s="138"/>
      <c r="AQ283" s="138"/>
    </row>
    <row r="284" spans="13:43" x14ac:dyDescent="0.35">
      <c r="M284" s="1001"/>
      <c r="N284" s="1001"/>
      <c r="O284" s="1001"/>
      <c r="P284" s="1001"/>
      <c r="Q284" s="1001"/>
      <c r="V284" s="1013"/>
      <c r="W284" s="138"/>
      <c r="AQ284" s="138"/>
    </row>
    <row r="285" spans="13:43" x14ac:dyDescent="0.35">
      <c r="M285" s="1001"/>
      <c r="N285" s="1001"/>
      <c r="O285" s="1001"/>
      <c r="P285" s="1001"/>
      <c r="Q285" s="1001"/>
      <c r="V285" s="1013"/>
      <c r="W285" s="138"/>
      <c r="AQ285" s="138"/>
    </row>
    <row r="286" spans="13:43" x14ac:dyDescent="0.35">
      <c r="M286" s="1001"/>
      <c r="N286" s="1001"/>
      <c r="O286" s="1001"/>
      <c r="P286" s="1001"/>
      <c r="Q286" s="1001"/>
      <c r="V286" s="1013"/>
      <c r="W286" s="138"/>
      <c r="AQ286" s="138"/>
    </row>
    <row r="287" spans="13:43" x14ac:dyDescent="0.35">
      <c r="M287" s="1001"/>
      <c r="N287" s="1001"/>
      <c r="O287" s="1001"/>
      <c r="P287" s="1001"/>
      <c r="Q287" s="1001"/>
      <c r="V287" s="1013"/>
      <c r="W287" s="138"/>
      <c r="AQ287" s="138"/>
    </row>
    <row r="288" spans="13:43" x14ac:dyDescent="0.35">
      <c r="M288" s="1001"/>
      <c r="N288" s="1001"/>
      <c r="O288" s="1001"/>
      <c r="P288" s="1001"/>
      <c r="Q288" s="1001"/>
      <c r="V288" s="1013"/>
      <c r="W288" s="138"/>
      <c r="AQ288" s="138"/>
    </row>
    <row r="289" spans="13:43" x14ac:dyDescent="0.35">
      <c r="M289" s="1001"/>
      <c r="N289" s="1001"/>
      <c r="O289" s="1001"/>
      <c r="P289" s="1001"/>
      <c r="Q289" s="1001"/>
      <c r="V289" s="1013"/>
      <c r="W289" s="138"/>
      <c r="AQ289" s="138"/>
    </row>
    <row r="290" spans="13:43" x14ac:dyDescent="0.35">
      <c r="M290" s="1001"/>
      <c r="N290" s="1001"/>
      <c r="O290" s="1001"/>
      <c r="P290" s="1001"/>
      <c r="Q290" s="1001"/>
      <c r="V290" s="1013"/>
      <c r="W290" s="138"/>
      <c r="AQ290" s="138"/>
    </row>
    <row r="291" spans="13:43" x14ac:dyDescent="0.35">
      <c r="M291" s="1001"/>
      <c r="N291" s="1001"/>
      <c r="O291" s="1001"/>
      <c r="P291" s="1001"/>
      <c r="Q291" s="1001"/>
      <c r="V291" s="1013"/>
      <c r="W291" s="138"/>
      <c r="AQ291" s="138"/>
    </row>
    <row r="292" spans="13:43" x14ac:dyDescent="0.35">
      <c r="M292" s="1001"/>
      <c r="N292" s="1001"/>
      <c r="O292" s="1001"/>
      <c r="P292" s="1001"/>
      <c r="Q292" s="1001"/>
      <c r="V292" s="1013"/>
      <c r="W292" s="138"/>
      <c r="AQ292" s="138"/>
    </row>
    <row r="293" spans="13:43" x14ac:dyDescent="0.35">
      <c r="V293" s="1013"/>
      <c r="W293" s="138"/>
      <c r="AQ293" s="138"/>
    </row>
    <row r="294" spans="13:43" x14ac:dyDescent="0.35">
      <c r="V294" s="1013"/>
      <c r="W294" s="138"/>
      <c r="AQ294" s="138"/>
    </row>
    <row r="295" spans="13:43" x14ac:dyDescent="0.35">
      <c r="V295" s="1013"/>
      <c r="W295" s="138"/>
      <c r="AQ295" s="138"/>
    </row>
    <row r="296" spans="13:43" x14ac:dyDescent="0.35">
      <c r="V296" s="1013"/>
      <c r="W296" s="138"/>
      <c r="AQ296" s="138"/>
    </row>
    <row r="297" spans="13:43" x14ac:dyDescent="0.35">
      <c r="V297" s="1013"/>
      <c r="W297" s="138"/>
      <c r="AQ297" s="138"/>
    </row>
    <row r="298" spans="13:43" x14ac:dyDescent="0.35">
      <c r="V298" s="1013"/>
      <c r="W298" s="138"/>
      <c r="AQ298" s="138"/>
    </row>
    <row r="299" spans="13:43" x14ac:dyDescent="0.35">
      <c r="V299" s="1013"/>
      <c r="W299" s="138"/>
      <c r="AQ299" s="138"/>
    </row>
    <row r="300" spans="13:43" x14ac:dyDescent="0.35">
      <c r="V300" s="1013"/>
      <c r="W300" s="138"/>
      <c r="AQ300" s="138"/>
    </row>
    <row r="301" spans="13:43" x14ac:dyDescent="0.35">
      <c r="V301" s="1013"/>
      <c r="W301" s="138"/>
      <c r="AQ301" s="138"/>
    </row>
    <row r="302" spans="13:43" x14ac:dyDescent="0.35">
      <c r="V302" s="1013"/>
      <c r="W302" s="138"/>
      <c r="AQ302" s="138"/>
    </row>
    <row r="303" spans="13:43" x14ac:dyDescent="0.35">
      <c r="V303" s="1013"/>
      <c r="W303" s="138"/>
      <c r="AQ303" s="138"/>
    </row>
    <row r="304" spans="13:43" x14ac:dyDescent="0.35">
      <c r="V304" s="1013"/>
      <c r="W304" s="138"/>
      <c r="AQ304" s="138"/>
    </row>
    <row r="305" spans="22:43" x14ac:dyDescent="0.35">
      <c r="V305" s="1013"/>
      <c r="W305" s="138"/>
      <c r="AQ305" s="138"/>
    </row>
    <row r="306" spans="22:43" x14ac:dyDescent="0.35">
      <c r="V306" s="1013"/>
      <c r="W306" s="138"/>
      <c r="AQ306" s="138"/>
    </row>
    <row r="307" spans="22:43" x14ac:dyDescent="0.35">
      <c r="V307" s="1013"/>
      <c r="W307" s="138"/>
      <c r="AQ307" s="138"/>
    </row>
    <row r="308" spans="22:43" x14ac:dyDescent="0.35">
      <c r="V308" s="1013"/>
      <c r="W308" s="138"/>
      <c r="AQ308" s="138"/>
    </row>
    <row r="309" spans="22:43" x14ac:dyDescent="0.35">
      <c r="V309" s="1013"/>
      <c r="W309" s="138"/>
      <c r="AQ309" s="138"/>
    </row>
    <row r="310" spans="22:43" x14ac:dyDescent="0.35">
      <c r="V310" s="1013"/>
      <c r="W310" s="138"/>
      <c r="AQ310" s="138"/>
    </row>
    <row r="311" spans="22:43" x14ac:dyDescent="0.35">
      <c r="V311" s="1013"/>
      <c r="W311" s="138"/>
      <c r="AQ311" s="138"/>
    </row>
    <row r="312" spans="22:43" x14ac:dyDescent="0.35">
      <c r="V312" s="1013"/>
      <c r="W312" s="138"/>
      <c r="AQ312" s="138"/>
    </row>
    <row r="313" spans="22:43" x14ac:dyDescent="0.35">
      <c r="V313" s="1013"/>
      <c r="W313" s="138"/>
      <c r="AQ313" s="138"/>
    </row>
    <row r="314" spans="22:43" x14ac:dyDescent="0.35">
      <c r="V314" s="1013"/>
      <c r="W314" s="138"/>
      <c r="AQ314" s="138"/>
    </row>
    <row r="315" spans="22:43" x14ac:dyDescent="0.35">
      <c r="V315" s="1013"/>
      <c r="W315" s="138"/>
      <c r="AQ315" s="138"/>
    </row>
    <row r="316" spans="22:43" x14ac:dyDescent="0.35">
      <c r="V316" s="1013"/>
      <c r="W316" s="138"/>
      <c r="AQ316" s="138"/>
    </row>
    <row r="317" spans="22:43" x14ac:dyDescent="0.35">
      <c r="V317" s="1013"/>
      <c r="W317" s="138"/>
      <c r="AQ317" s="138"/>
    </row>
    <row r="318" spans="22:43" x14ac:dyDescent="0.35">
      <c r="V318" s="1013"/>
      <c r="W318" s="138"/>
      <c r="AQ318" s="138"/>
    </row>
    <row r="319" spans="22:43" x14ac:dyDescent="0.35">
      <c r="V319" s="1013"/>
      <c r="W319" s="138"/>
      <c r="AQ319" s="138"/>
    </row>
    <row r="320" spans="22:43" x14ac:dyDescent="0.35">
      <c r="V320" s="1013"/>
      <c r="W320" s="138"/>
      <c r="AQ320" s="138"/>
    </row>
    <row r="321" spans="22:43" x14ac:dyDescent="0.35">
      <c r="V321" s="1013"/>
      <c r="W321" s="138"/>
      <c r="AQ321" s="138"/>
    </row>
    <row r="322" spans="22:43" x14ac:dyDescent="0.35">
      <c r="V322" s="1013"/>
      <c r="W322" s="138"/>
      <c r="AQ322" s="138"/>
    </row>
    <row r="323" spans="22:43" x14ac:dyDescent="0.35">
      <c r="V323" s="1013"/>
      <c r="W323" s="138"/>
      <c r="AQ323" s="138"/>
    </row>
    <row r="324" spans="22:43" x14ac:dyDescent="0.35">
      <c r="V324" s="1013"/>
      <c r="W324" s="138"/>
      <c r="AQ324" s="138"/>
    </row>
    <row r="325" spans="22:43" x14ac:dyDescent="0.35">
      <c r="V325" s="1013"/>
      <c r="W325" s="138"/>
      <c r="AQ325" s="138"/>
    </row>
    <row r="326" spans="22:43" x14ac:dyDescent="0.35">
      <c r="V326" s="1013"/>
      <c r="W326" s="138"/>
      <c r="AQ326" s="138"/>
    </row>
    <row r="327" spans="22:43" x14ac:dyDescent="0.35">
      <c r="V327" s="1013"/>
      <c r="W327" s="138"/>
      <c r="AQ327" s="138"/>
    </row>
    <row r="328" spans="22:43" x14ac:dyDescent="0.35">
      <c r="V328" s="1013"/>
      <c r="W328" s="138"/>
      <c r="AQ328" s="138"/>
    </row>
    <row r="329" spans="22:43" x14ac:dyDescent="0.35">
      <c r="V329" s="1013"/>
      <c r="W329" s="138"/>
      <c r="AQ329" s="138"/>
    </row>
    <row r="330" spans="22:43" x14ac:dyDescent="0.35">
      <c r="V330" s="1013"/>
      <c r="W330" s="138"/>
      <c r="AQ330" s="138"/>
    </row>
    <row r="331" spans="22:43" x14ac:dyDescent="0.35">
      <c r="V331" s="1013"/>
      <c r="W331" s="138"/>
      <c r="AQ331" s="138"/>
    </row>
    <row r="332" spans="22:43" x14ac:dyDescent="0.35">
      <c r="V332" s="1013"/>
      <c r="W332" s="138"/>
      <c r="AQ332" s="138"/>
    </row>
    <row r="333" spans="22:43" x14ac:dyDescent="0.35">
      <c r="V333" s="1013"/>
      <c r="W333" s="138"/>
      <c r="AQ333" s="138"/>
    </row>
    <row r="334" spans="22:43" x14ac:dyDescent="0.35">
      <c r="V334" s="1013"/>
      <c r="W334" s="138"/>
      <c r="AQ334" s="138"/>
    </row>
    <row r="335" spans="22:43" x14ac:dyDescent="0.35">
      <c r="V335" s="1013"/>
      <c r="W335" s="138"/>
      <c r="AQ335" s="138"/>
    </row>
    <row r="336" spans="22:43" x14ac:dyDescent="0.35">
      <c r="V336" s="1013"/>
      <c r="W336" s="138"/>
      <c r="AQ336" s="138"/>
    </row>
    <row r="337" spans="22:43" x14ac:dyDescent="0.35">
      <c r="V337" s="1013"/>
      <c r="W337" s="138"/>
      <c r="AQ337" s="138"/>
    </row>
    <row r="338" spans="22:43" x14ac:dyDescent="0.35">
      <c r="V338" s="1013"/>
      <c r="W338" s="138"/>
      <c r="AQ338" s="138"/>
    </row>
    <row r="339" spans="22:43" x14ac:dyDescent="0.35">
      <c r="V339" s="1013"/>
      <c r="W339" s="138"/>
      <c r="AQ339" s="138"/>
    </row>
    <row r="340" spans="22:43" x14ac:dyDescent="0.35">
      <c r="V340" s="1013"/>
      <c r="W340" s="138"/>
      <c r="AQ340" s="138"/>
    </row>
    <row r="341" spans="22:43" x14ac:dyDescent="0.35">
      <c r="V341" s="1013"/>
      <c r="W341" s="138"/>
      <c r="AQ341" s="138"/>
    </row>
    <row r="342" spans="22:43" x14ac:dyDescent="0.35">
      <c r="V342" s="1013"/>
      <c r="W342" s="138"/>
      <c r="AQ342" s="138"/>
    </row>
    <row r="343" spans="22:43" x14ac:dyDescent="0.35">
      <c r="V343" s="1013"/>
      <c r="W343" s="138"/>
      <c r="AQ343" s="138"/>
    </row>
    <row r="344" spans="22:43" x14ac:dyDescent="0.35">
      <c r="V344" s="1013"/>
      <c r="W344" s="138"/>
      <c r="AQ344" s="138"/>
    </row>
    <row r="345" spans="22:43" x14ac:dyDescent="0.35">
      <c r="V345" s="1013"/>
      <c r="W345" s="138"/>
      <c r="AQ345" s="138"/>
    </row>
    <row r="346" spans="22:43" x14ac:dyDescent="0.35">
      <c r="V346" s="1013"/>
      <c r="W346" s="138"/>
      <c r="AQ346" s="138"/>
    </row>
    <row r="347" spans="22:43" x14ac:dyDescent="0.35">
      <c r="V347" s="1013"/>
      <c r="W347" s="138"/>
      <c r="AQ347" s="138"/>
    </row>
    <row r="348" spans="22:43" x14ac:dyDescent="0.35">
      <c r="V348" s="1013"/>
      <c r="W348" s="138"/>
      <c r="AQ348" s="138"/>
    </row>
    <row r="349" spans="22:43" x14ac:dyDescent="0.35">
      <c r="V349" s="1013"/>
      <c r="W349" s="138"/>
      <c r="AQ349" s="138"/>
    </row>
    <row r="350" spans="22:43" x14ac:dyDescent="0.35">
      <c r="V350" s="1013"/>
      <c r="W350" s="138"/>
      <c r="AQ350" s="138"/>
    </row>
    <row r="351" spans="22:43" x14ac:dyDescent="0.35">
      <c r="V351" s="1013"/>
      <c r="W351" s="138"/>
      <c r="AQ351" s="138"/>
    </row>
    <row r="352" spans="22:43" x14ac:dyDescent="0.35">
      <c r="V352" s="1013"/>
      <c r="W352" s="138"/>
      <c r="AQ352" s="138"/>
    </row>
    <row r="353" spans="22:43" x14ac:dyDescent="0.35">
      <c r="V353" s="1013"/>
      <c r="W353" s="138"/>
      <c r="AQ353" s="138"/>
    </row>
    <row r="354" spans="22:43" x14ac:dyDescent="0.35">
      <c r="V354" s="1013"/>
      <c r="W354" s="138"/>
      <c r="AQ354" s="138"/>
    </row>
    <row r="355" spans="22:43" x14ac:dyDescent="0.35">
      <c r="V355" s="1013"/>
      <c r="W355" s="138"/>
      <c r="AQ355" s="138"/>
    </row>
    <row r="356" spans="22:43" x14ac:dyDescent="0.35">
      <c r="V356" s="1013"/>
      <c r="W356" s="138"/>
      <c r="AQ356" s="138"/>
    </row>
    <row r="357" spans="22:43" x14ac:dyDescent="0.35">
      <c r="V357" s="1013"/>
      <c r="W357" s="138"/>
      <c r="AQ357" s="138"/>
    </row>
    <row r="358" spans="22:43" x14ac:dyDescent="0.35">
      <c r="V358" s="1013"/>
      <c r="W358" s="138"/>
      <c r="AQ358" s="138"/>
    </row>
    <row r="359" spans="22:43" x14ac:dyDescent="0.35">
      <c r="V359" s="1013"/>
      <c r="W359" s="138"/>
      <c r="AQ359" s="138"/>
    </row>
    <row r="360" spans="22:43" x14ac:dyDescent="0.35">
      <c r="V360" s="1013"/>
      <c r="W360" s="138"/>
      <c r="AQ360" s="138"/>
    </row>
    <row r="361" spans="22:43" x14ac:dyDescent="0.35">
      <c r="V361" s="1013"/>
      <c r="W361" s="138"/>
      <c r="AQ361" s="138"/>
    </row>
    <row r="362" spans="22:43" x14ac:dyDescent="0.35">
      <c r="V362" s="1013"/>
      <c r="W362" s="138"/>
      <c r="AQ362" s="138"/>
    </row>
    <row r="363" spans="22:43" x14ac:dyDescent="0.35">
      <c r="V363" s="1013"/>
      <c r="W363" s="138"/>
      <c r="AQ363" s="138"/>
    </row>
    <row r="364" spans="22:43" x14ac:dyDescent="0.35">
      <c r="V364" s="1013"/>
      <c r="W364" s="138"/>
      <c r="AQ364" s="138"/>
    </row>
    <row r="365" spans="22:43" x14ac:dyDescent="0.35">
      <c r="V365" s="1013"/>
      <c r="W365" s="138"/>
      <c r="AQ365" s="138"/>
    </row>
    <row r="366" spans="22:43" x14ac:dyDescent="0.35">
      <c r="V366" s="1013"/>
      <c r="W366" s="138"/>
      <c r="AQ366" s="138"/>
    </row>
    <row r="367" spans="22:43" x14ac:dyDescent="0.35">
      <c r="V367" s="1013"/>
      <c r="W367" s="138"/>
      <c r="AQ367" s="138"/>
    </row>
    <row r="368" spans="22:43" x14ac:dyDescent="0.35">
      <c r="V368" s="1013"/>
      <c r="W368" s="138"/>
      <c r="AQ368" s="138"/>
    </row>
    <row r="369" spans="22:43" x14ac:dyDescent="0.35">
      <c r="V369" s="1013"/>
      <c r="W369" s="138"/>
      <c r="AQ369" s="138"/>
    </row>
    <row r="370" spans="22:43" x14ac:dyDescent="0.35">
      <c r="V370" s="1013"/>
      <c r="W370" s="138"/>
      <c r="AQ370" s="138"/>
    </row>
    <row r="371" spans="22:43" x14ac:dyDescent="0.35">
      <c r="V371" s="1013"/>
      <c r="W371" s="138"/>
      <c r="AQ371" s="138"/>
    </row>
    <row r="372" spans="22:43" x14ac:dyDescent="0.35">
      <c r="V372" s="1013"/>
      <c r="W372" s="138"/>
      <c r="AQ372" s="138"/>
    </row>
    <row r="373" spans="22:43" x14ac:dyDescent="0.35">
      <c r="V373" s="1013"/>
      <c r="W373" s="138"/>
      <c r="AQ373" s="138"/>
    </row>
    <row r="374" spans="22:43" x14ac:dyDescent="0.35">
      <c r="V374" s="1013"/>
      <c r="W374" s="138"/>
      <c r="AQ374" s="138"/>
    </row>
    <row r="375" spans="22:43" x14ac:dyDescent="0.35">
      <c r="V375" s="1013"/>
      <c r="W375" s="138"/>
      <c r="AQ375" s="138"/>
    </row>
    <row r="376" spans="22:43" x14ac:dyDescent="0.35">
      <c r="V376" s="1013"/>
      <c r="W376" s="138"/>
      <c r="AQ376" s="138"/>
    </row>
    <row r="377" spans="22:43" x14ac:dyDescent="0.35">
      <c r="V377" s="1013"/>
      <c r="W377" s="138"/>
      <c r="AQ377" s="138"/>
    </row>
    <row r="378" spans="22:43" x14ac:dyDescent="0.35">
      <c r="V378" s="1013"/>
      <c r="W378" s="138"/>
      <c r="AQ378" s="138"/>
    </row>
    <row r="379" spans="22:43" x14ac:dyDescent="0.35">
      <c r="V379" s="1013"/>
      <c r="W379" s="138"/>
      <c r="AQ379" s="138"/>
    </row>
    <row r="380" spans="22:43" x14ac:dyDescent="0.35">
      <c r="V380" s="1013"/>
      <c r="W380" s="138"/>
      <c r="AQ380" s="138"/>
    </row>
    <row r="381" spans="22:43" x14ac:dyDescent="0.35">
      <c r="V381" s="1013"/>
      <c r="W381" s="138"/>
      <c r="AQ381" s="138"/>
    </row>
    <row r="382" spans="22:43" x14ac:dyDescent="0.35">
      <c r="V382" s="1013"/>
      <c r="W382" s="138"/>
      <c r="AQ382" s="138"/>
    </row>
    <row r="383" spans="22:43" x14ac:dyDescent="0.35">
      <c r="V383" s="1013"/>
      <c r="W383" s="138"/>
      <c r="AQ383" s="138"/>
    </row>
    <row r="384" spans="22:43" x14ac:dyDescent="0.35">
      <c r="V384" s="1013"/>
      <c r="W384" s="138"/>
      <c r="AQ384" s="138"/>
    </row>
    <row r="385" spans="22:43" x14ac:dyDescent="0.35">
      <c r="V385" s="1013"/>
      <c r="W385" s="138"/>
      <c r="AQ385" s="138"/>
    </row>
    <row r="386" spans="22:43" x14ac:dyDescent="0.35">
      <c r="V386" s="1013"/>
      <c r="W386" s="138"/>
      <c r="AQ386" s="138"/>
    </row>
    <row r="387" spans="22:43" x14ac:dyDescent="0.35">
      <c r="V387" s="1013"/>
      <c r="W387" s="138"/>
      <c r="AQ387" s="138"/>
    </row>
    <row r="388" spans="22:43" x14ac:dyDescent="0.35">
      <c r="V388" s="1013"/>
      <c r="W388" s="138"/>
      <c r="AQ388" s="138"/>
    </row>
    <row r="389" spans="22:43" x14ac:dyDescent="0.35">
      <c r="V389" s="1013"/>
      <c r="W389" s="138"/>
      <c r="AQ389" s="138"/>
    </row>
    <row r="390" spans="22:43" x14ac:dyDescent="0.35">
      <c r="V390" s="1013"/>
      <c r="W390" s="138"/>
      <c r="AQ390" s="138"/>
    </row>
    <row r="391" spans="22:43" x14ac:dyDescent="0.35">
      <c r="V391" s="1013"/>
      <c r="W391" s="138"/>
      <c r="AQ391" s="138"/>
    </row>
    <row r="392" spans="22:43" x14ac:dyDescent="0.35">
      <c r="V392" s="1013"/>
      <c r="W392" s="138"/>
      <c r="AQ392" s="138"/>
    </row>
    <row r="393" spans="22:43" x14ac:dyDescent="0.35">
      <c r="V393" s="1013"/>
      <c r="W393" s="138"/>
      <c r="AQ393" s="138"/>
    </row>
    <row r="394" spans="22:43" x14ac:dyDescent="0.35">
      <c r="V394" s="1013"/>
      <c r="W394" s="138"/>
      <c r="AQ394" s="138"/>
    </row>
    <row r="395" spans="22:43" x14ac:dyDescent="0.35">
      <c r="V395" s="1013"/>
      <c r="W395" s="138"/>
      <c r="AQ395" s="138"/>
    </row>
    <row r="396" spans="22:43" x14ac:dyDescent="0.35">
      <c r="V396" s="1013"/>
      <c r="W396" s="138"/>
      <c r="AQ396" s="138"/>
    </row>
    <row r="397" spans="22:43" x14ac:dyDescent="0.35">
      <c r="V397" s="1013"/>
      <c r="W397" s="138"/>
      <c r="AQ397" s="138"/>
    </row>
    <row r="398" spans="22:43" x14ac:dyDescent="0.35">
      <c r="V398" s="1013"/>
      <c r="W398" s="138"/>
      <c r="AQ398" s="138"/>
    </row>
    <row r="399" spans="22:43" x14ac:dyDescent="0.35">
      <c r="V399" s="1013"/>
      <c r="W399" s="138"/>
      <c r="AQ399" s="138"/>
    </row>
    <row r="400" spans="22:43" x14ac:dyDescent="0.35">
      <c r="V400" s="1013"/>
      <c r="W400" s="138"/>
      <c r="AQ400" s="138"/>
    </row>
    <row r="401" spans="22:43" x14ac:dyDescent="0.35">
      <c r="V401" s="1013"/>
      <c r="W401" s="138"/>
      <c r="AQ401" s="138"/>
    </row>
    <row r="402" spans="22:43" x14ac:dyDescent="0.35">
      <c r="V402" s="1013"/>
      <c r="W402" s="138"/>
      <c r="AQ402" s="138"/>
    </row>
    <row r="403" spans="22:43" x14ac:dyDescent="0.35">
      <c r="V403" s="1013"/>
      <c r="W403" s="138"/>
      <c r="AQ403" s="138"/>
    </row>
    <row r="404" spans="22:43" x14ac:dyDescent="0.35">
      <c r="V404" s="1013"/>
      <c r="W404" s="138"/>
      <c r="AQ404" s="138"/>
    </row>
    <row r="405" spans="22:43" x14ac:dyDescent="0.35">
      <c r="V405" s="1013"/>
      <c r="W405" s="138"/>
      <c r="AQ405" s="138"/>
    </row>
    <row r="406" spans="22:43" x14ac:dyDescent="0.35">
      <c r="V406" s="1013"/>
      <c r="W406" s="138"/>
      <c r="AQ406" s="138"/>
    </row>
    <row r="407" spans="22:43" x14ac:dyDescent="0.35">
      <c r="V407" s="1013"/>
      <c r="W407" s="138"/>
      <c r="AQ407" s="138"/>
    </row>
    <row r="408" spans="22:43" x14ac:dyDescent="0.35">
      <c r="V408" s="1013"/>
      <c r="W408" s="138"/>
      <c r="AQ408" s="138"/>
    </row>
    <row r="409" spans="22:43" x14ac:dyDescent="0.35">
      <c r="V409" s="1013"/>
      <c r="W409" s="138"/>
      <c r="AQ409" s="138"/>
    </row>
    <row r="410" spans="22:43" x14ac:dyDescent="0.35">
      <c r="V410" s="1013"/>
      <c r="W410" s="138"/>
      <c r="AQ410" s="138"/>
    </row>
    <row r="411" spans="22:43" x14ac:dyDescent="0.35">
      <c r="V411" s="1013"/>
      <c r="W411" s="138"/>
      <c r="AQ411" s="138"/>
    </row>
    <row r="412" spans="22:43" x14ac:dyDescent="0.35">
      <c r="V412" s="1013"/>
      <c r="W412" s="138"/>
      <c r="AQ412" s="138"/>
    </row>
    <row r="413" spans="22:43" x14ac:dyDescent="0.35">
      <c r="V413" s="1013"/>
      <c r="W413" s="138"/>
      <c r="AQ413" s="138"/>
    </row>
    <row r="414" spans="22:43" x14ac:dyDescent="0.35">
      <c r="V414" s="1013"/>
      <c r="W414" s="138"/>
      <c r="AQ414" s="138"/>
    </row>
    <row r="415" spans="22:43" x14ac:dyDescent="0.35">
      <c r="V415" s="1013"/>
      <c r="W415" s="138"/>
      <c r="AQ415" s="138"/>
    </row>
    <row r="416" spans="22:43" x14ac:dyDescent="0.35">
      <c r="V416" s="1013"/>
      <c r="W416" s="138"/>
      <c r="AQ416" s="138"/>
    </row>
    <row r="417" spans="22:43" x14ac:dyDescent="0.35">
      <c r="V417" s="1013"/>
      <c r="W417" s="138"/>
      <c r="AQ417" s="138"/>
    </row>
    <row r="418" spans="22:43" x14ac:dyDescent="0.35">
      <c r="V418" s="1013"/>
      <c r="W418" s="138"/>
      <c r="AQ418" s="138"/>
    </row>
    <row r="419" spans="22:43" x14ac:dyDescent="0.35">
      <c r="V419" s="1013"/>
      <c r="W419" s="138"/>
      <c r="AQ419" s="138"/>
    </row>
    <row r="420" spans="22:43" x14ac:dyDescent="0.35">
      <c r="V420" s="1013"/>
      <c r="W420" s="138"/>
      <c r="AQ420" s="138"/>
    </row>
    <row r="421" spans="22:43" x14ac:dyDescent="0.35">
      <c r="V421" s="1013"/>
      <c r="W421" s="138"/>
      <c r="AQ421" s="138"/>
    </row>
    <row r="422" spans="22:43" x14ac:dyDescent="0.35">
      <c r="V422" s="1013"/>
      <c r="W422" s="138"/>
      <c r="AQ422" s="138"/>
    </row>
    <row r="423" spans="22:43" x14ac:dyDescent="0.35">
      <c r="V423" s="1013"/>
      <c r="W423" s="138"/>
      <c r="AQ423" s="138"/>
    </row>
    <row r="424" spans="22:43" x14ac:dyDescent="0.35">
      <c r="V424" s="1013"/>
      <c r="W424" s="138"/>
      <c r="AQ424" s="138"/>
    </row>
    <row r="425" spans="22:43" x14ac:dyDescent="0.35">
      <c r="V425" s="1013"/>
      <c r="W425" s="138"/>
      <c r="AQ425" s="138"/>
    </row>
    <row r="426" spans="22:43" x14ac:dyDescent="0.35">
      <c r="V426" s="1013"/>
      <c r="W426" s="138"/>
      <c r="AQ426" s="138"/>
    </row>
    <row r="427" spans="22:43" x14ac:dyDescent="0.35">
      <c r="V427" s="1013"/>
      <c r="W427" s="138"/>
      <c r="AQ427" s="138"/>
    </row>
    <row r="428" spans="22:43" x14ac:dyDescent="0.35">
      <c r="V428" s="1013"/>
      <c r="W428" s="138"/>
      <c r="AQ428" s="138"/>
    </row>
    <row r="429" spans="22:43" x14ac:dyDescent="0.35">
      <c r="V429" s="1013"/>
      <c r="W429" s="138"/>
      <c r="AQ429" s="138"/>
    </row>
    <row r="430" spans="22:43" x14ac:dyDescent="0.35">
      <c r="V430" s="1013"/>
      <c r="W430" s="138"/>
      <c r="AQ430" s="138"/>
    </row>
    <row r="431" spans="22:43" x14ac:dyDescent="0.35">
      <c r="V431" s="1013"/>
      <c r="W431" s="138"/>
      <c r="AQ431" s="138"/>
    </row>
    <row r="432" spans="22:43" x14ac:dyDescent="0.35">
      <c r="V432" s="1013"/>
      <c r="W432" s="138"/>
      <c r="AQ432" s="138"/>
    </row>
    <row r="433" spans="22:43" x14ac:dyDescent="0.35">
      <c r="V433" s="1013"/>
      <c r="W433" s="138"/>
      <c r="AQ433" s="138"/>
    </row>
    <row r="434" spans="22:43" x14ac:dyDescent="0.35">
      <c r="V434" s="1013"/>
      <c r="W434" s="138"/>
      <c r="AQ434" s="138"/>
    </row>
    <row r="435" spans="22:43" x14ac:dyDescent="0.35">
      <c r="V435" s="1013"/>
      <c r="W435" s="138"/>
      <c r="AQ435" s="138"/>
    </row>
    <row r="436" spans="22:43" x14ac:dyDescent="0.35">
      <c r="V436" s="1013"/>
      <c r="W436" s="138"/>
      <c r="AQ436" s="138"/>
    </row>
    <row r="437" spans="22:43" x14ac:dyDescent="0.35">
      <c r="V437" s="1013"/>
      <c r="W437" s="138"/>
      <c r="AQ437" s="138"/>
    </row>
    <row r="438" spans="22:43" x14ac:dyDescent="0.35">
      <c r="V438" s="1013"/>
      <c r="W438" s="138"/>
      <c r="AQ438" s="138"/>
    </row>
    <row r="439" spans="22:43" x14ac:dyDescent="0.35">
      <c r="V439" s="1013"/>
      <c r="W439" s="138"/>
      <c r="AQ439" s="138"/>
    </row>
    <row r="440" spans="22:43" x14ac:dyDescent="0.35">
      <c r="V440" s="1013"/>
      <c r="W440" s="138"/>
      <c r="AQ440" s="138"/>
    </row>
    <row r="441" spans="22:43" x14ac:dyDescent="0.35">
      <c r="V441" s="1013"/>
      <c r="W441" s="138"/>
      <c r="AQ441" s="138"/>
    </row>
    <row r="442" spans="22:43" x14ac:dyDescent="0.35">
      <c r="V442" s="1013"/>
      <c r="W442" s="138"/>
      <c r="AQ442" s="138"/>
    </row>
    <row r="443" spans="22:43" x14ac:dyDescent="0.35">
      <c r="V443" s="1013"/>
      <c r="W443" s="138"/>
      <c r="AQ443" s="138"/>
    </row>
    <row r="444" spans="22:43" x14ac:dyDescent="0.35">
      <c r="V444" s="1013"/>
      <c r="W444" s="138"/>
      <c r="AQ444" s="138"/>
    </row>
    <row r="445" spans="22:43" x14ac:dyDescent="0.35">
      <c r="V445" s="1013"/>
      <c r="W445" s="138"/>
      <c r="AQ445" s="138"/>
    </row>
    <row r="446" spans="22:43" x14ac:dyDescent="0.35">
      <c r="V446" s="1013"/>
      <c r="W446" s="138"/>
      <c r="AQ446" s="138"/>
    </row>
    <row r="447" spans="22:43" x14ac:dyDescent="0.35">
      <c r="V447" s="1013"/>
      <c r="W447" s="138"/>
      <c r="AQ447" s="138"/>
    </row>
    <row r="448" spans="22:43" x14ac:dyDescent="0.35">
      <c r="V448" s="1013"/>
      <c r="W448" s="138"/>
      <c r="AQ448" s="138"/>
    </row>
    <row r="449" spans="22:43" x14ac:dyDescent="0.35">
      <c r="V449" s="1013"/>
      <c r="W449" s="138"/>
      <c r="AQ449" s="138"/>
    </row>
    <row r="450" spans="22:43" x14ac:dyDescent="0.35">
      <c r="V450" s="1013"/>
      <c r="W450" s="138"/>
      <c r="AQ450" s="138"/>
    </row>
    <row r="451" spans="22:43" x14ac:dyDescent="0.35">
      <c r="V451" s="1013"/>
      <c r="W451" s="138"/>
      <c r="AQ451" s="138"/>
    </row>
    <row r="452" spans="22:43" x14ac:dyDescent="0.35">
      <c r="V452" s="1013"/>
      <c r="W452" s="138"/>
      <c r="AQ452" s="138"/>
    </row>
    <row r="453" spans="22:43" x14ac:dyDescent="0.35">
      <c r="V453" s="1013"/>
      <c r="W453" s="138"/>
      <c r="AQ453" s="138"/>
    </row>
    <row r="454" spans="22:43" x14ac:dyDescent="0.35">
      <c r="V454" s="1013"/>
      <c r="W454" s="138"/>
      <c r="AQ454" s="138"/>
    </row>
    <row r="455" spans="22:43" x14ac:dyDescent="0.35">
      <c r="V455" s="1013"/>
      <c r="W455" s="138"/>
      <c r="AQ455" s="138"/>
    </row>
    <row r="456" spans="22:43" x14ac:dyDescent="0.35">
      <c r="V456" s="1013"/>
      <c r="W456" s="138"/>
      <c r="AQ456" s="138"/>
    </row>
    <row r="457" spans="22:43" x14ac:dyDescent="0.35">
      <c r="V457" s="1013"/>
      <c r="W457" s="138"/>
      <c r="AQ457" s="138"/>
    </row>
    <row r="458" spans="22:43" x14ac:dyDescent="0.35">
      <c r="V458" s="1013"/>
      <c r="W458" s="138"/>
      <c r="AQ458" s="138"/>
    </row>
    <row r="459" spans="22:43" x14ac:dyDescent="0.35">
      <c r="V459" s="1013"/>
      <c r="W459" s="138"/>
      <c r="AQ459" s="138"/>
    </row>
    <row r="460" spans="22:43" x14ac:dyDescent="0.35">
      <c r="V460" s="1013"/>
      <c r="W460" s="138"/>
      <c r="AQ460" s="138"/>
    </row>
    <row r="461" spans="22:43" x14ac:dyDescent="0.35">
      <c r="V461" s="1013"/>
      <c r="W461" s="138"/>
      <c r="AQ461" s="138"/>
    </row>
    <row r="462" spans="22:43" x14ac:dyDescent="0.35">
      <c r="V462" s="1013"/>
      <c r="W462" s="138"/>
      <c r="AQ462" s="138"/>
    </row>
    <row r="463" spans="22:43" x14ac:dyDescent="0.35">
      <c r="V463" s="1013"/>
      <c r="W463" s="138"/>
      <c r="AQ463" s="138"/>
    </row>
    <row r="464" spans="22:43" x14ac:dyDescent="0.35">
      <c r="V464" s="1013"/>
      <c r="W464" s="138"/>
      <c r="AQ464" s="138"/>
    </row>
    <row r="465" spans="22:43" x14ac:dyDescent="0.35">
      <c r="V465" s="1013"/>
      <c r="W465" s="138"/>
      <c r="AQ465" s="138"/>
    </row>
    <row r="466" spans="22:43" x14ac:dyDescent="0.35">
      <c r="V466" s="1013"/>
      <c r="W466" s="138"/>
      <c r="AQ466" s="138"/>
    </row>
    <row r="467" spans="22:43" x14ac:dyDescent="0.35">
      <c r="V467" s="1013"/>
      <c r="W467" s="138"/>
      <c r="AQ467" s="138"/>
    </row>
    <row r="468" spans="22:43" x14ac:dyDescent="0.35">
      <c r="V468" s="1013"/>
      <c r="W468" s="138"/>
      <c r="AQ468" s="138"/>
    </row>
    <row r="469" spans="22:43" x14ac:dyDescent="0.35">
      <c r="V469" s="1013"/>
      <c r="W469" s="138"/>
      <c r="AQ469" s="138"/>
    </row>
    <row r="470" spans="22:43" x14ac:dyDescent="0.35">
      <c r="V470" s="1013"/>
      <c r="W470" s="138"/>
      <c r="AQ470" s="138"/>
    </row>
    <row r="471" spans="22:43" x14ac:dyDescent="0.35">
      <c r="V471" s="1013"/>
      <c r="W471" s="138"/>
      <c r="AQ471" s="138"/>
    </row>
    <row r="472" spans="22:43" x14ac:dyDescent="0.35">
      <c r="V472" s="1013"/>
      <c r="W472" s="138"/>
      <c r="AQ472" s="138"/>
    </row>
    <row r="473" spans="22:43" x14ac:dyDescent="0.35">
      <c r="V473" s="1013"/>
      <c r="W473" s="138"/>
      <c r="AQ473" s="138"/>
    </row>
    <row r="474" spans="22:43" x14ac:dyDescent="0.35">
      <c r="V474" s="1013"/>
      <c r="W474" s="138"/>
      <c r="AQ474" s="138"/>
    </row>
    <row r="475" spans="22:43" x14ac:dyDescent="0.35">
      <c r="V475" s="1013"/>
      <c r="W475" s="138"/>
      <c r="AQ475" s="138"/>
    </row>
    <row r="476" spans="22:43" x14ac:dyDescent="0.35">
      <c r="V476" s="1013"/>
      <c r="W476" s="138"/>
      <c r="AQ476" s="138"/>
    </row>
    <row r="477" spans="22:43" x14ac:dyDescent="0.35">
      <c r="V477" s="1013"/>
      <c r="W477" s="138"/>
      <c r="AQ477" s="138"/>
    </row>
    <row r="478" spans="22:43" x14ac:dyDescent="0.35">
      <c r="V478" s="1013"/>
      <c r="W478" s="138"/>
      <c r="AQ478" s="138"/>
    </row>
    <row r="479" spans="22:43" x14ac:dyDescent="0.35">
      <c r="V479" s="1013"/>
      <c r="W479" s="138"/>
      <c r="AQ479" s="138"/>
    </row>
    <row r="480" spans="22:43" x14ac:dyDescent="0.35">
      <c r="V480" s="1013"/>
      <c r="W480" s="138"/>
      <c r="AQ480" s="138"/>
    </row>
    <row r="481" spans="22:43" x14ac:dyDescent="0.35">
      <c r="V481" s="1013"/>
      <c r="W481" s="138"/>
      <c r="AQ481" s="138"/>
    </row>
    <row r="482" spans="22:43" x14ac:dyDescent="0.35">
      <c r="V482" s="1013"/>
      <c r="W482" s="138"/>
      <c r="AQ482" s="138"/>
    </row>
    <row r="483" spans="22:43" x14ac:dyDescent="0.35">
      <c r="V483" s="1013"/>
      <c r="W483" s="138"/>
      <c r="AQ483" s="138"/>
    </row>
    <row r="484" spans="22:43" x14ac:dyDescent="0.35">
      <c r="V484" s="1013"/>
      <c r="W484" s="138"/>
      <c r="AQ484" s="138"/>
    </row>
    <row r="485" spans="22:43" x14ac:dyDescent="0.35">
      <c r="V485" s="1013"/>
      <c r="W485" s="138"/>
      <c r="AQ485" s="138"/>
    </row>
    <row r="486" spans="22:43" x14ac:dyDescent="0.35">
      <c r="V486" s="1013"/>
      <c r="W486" s="138"/>
      <c r="AQ486" s="138"/>
    </row>
    <row r="487" spans="22:43" x14ac:dyDescent="0.35">
      <c r="V487" s="1013"/>
      <c r="W487" s="138"/>
      <c r="AQ487" s="138"/>
    </row>
    <row r="488" spans="22:43" x14ac:dyDescent="0.35">
      <c r="V488" s="1013"/>
      <c r="W488" s="138"/>
      <c r="AQ488" s="138"/>
    </row>
    <row r="489" spans="22:43" x14ac:dyDescent="0.35">
      <c r="V489" s="1013"/>
      <c r="W489" s="138"/>
      <c r="AQ489" s="138"/>
    </row>
    <row r="490" spans="22:43" x14ac:dyDescent="0.35">
      <c r="V490" s="1013"/>
      <c r="W490" s="138"/>
      <c r="AQ490" s="138"/>
    </row>
    <row r="491" spans="22:43" x14ac:dyDescent="0.35">
      <c r="V491" s="1013"/>
      <c r="W491" s="138"/>
      <c r="AQ491" s="138"/>
    </row>
    <row r="492" spans="22:43" x14ac:dyDescent="0.35">
      <c r="V492" s="1013"/>
      <c r="W492" s="138"/>
      <c r="AQ492" s="138"/>
    </row>
    <row r="493" spans="22:43" x14ac:dyDescent="0.35">
      <c r="V493" s="1013"/>
      <c r="W493" s="138"/>
      <c r="AQ493" s="138"/>
    </row>
    <row r="494" spans="22:43" x14ac:dyDescent="0.35">
      <c r="V494" s="1013"/>
      <c r="W494" s="138"/>
      <c r="AQ494" s="138"/>
    </row>
    <row r="495" spans="22:43" x14ac:dyDescent="0.35">
      <c r="V495" s="1013"/>
      <c r="W495" s="138"/>
      <c r="AQ495" s="138"/>
    </row>
    <row r="496" spans="22:43" x14ac:dyDescent="0.35">
      <c r="V496" s="1013"/>
      <c r="W496" s="138"/>
      <c r="AQ496" s="138"/>
    </row>
    <row r="497" spans="22:43" x14ac:dyDescent="0.35">
      <c r="V497" s="1013"/>
      <c r="W497" s="138"/>
      <c r="AQ497" s="138"/>
    </row>
    <row r="498" spans="22:43" x14ac:dyDescent="0.35">
      <c r="V498" s="1013"/>
      <c r="W498" s="138"/>
      <c r="AQ498" s="138"/>
    </row>
    <row r="499" spans="22:43" x14ac:dyDescent="0.35">
      <c r="V499" s="1013"/>
      <c r="W499" s="138"/>
      <c r="AQ499" s="138"/>
    </row>
    <row r="500" spans="22:43" x14ac:dyDescent="0.35">
      <c r="V500" s="1013"/>
      <c r="W500" s="138"/>
      <c r="AQ500" s="138"/>
    </row>
    <row r="501" spans="22:43" x14ac:dyDescent="0.35">
      <c r="V501" s="1013"/>
      <c r="W501" s="138"/>
      <c r="AQ501" s="138"/>
    </row>
    <row r="502" spans="22:43" x14ac:dyDescent="0.35">
      <c r="V502" s="1013"/>
      <c r="W502" s="138"/>
      <c r="AQ502" s="138"/>
    </row>
    <row r="503" spans="22:43" x14ac:dyDescent="0.35">
      <c r="V503" s="1013"/>
      <c r="W503" s="138"/>
      <c r="AQ503" s="138"/>
    </row>
    <row r="504" spans="22:43" x14ac:dyDescent="0.35">
      <c r="V504" s="1013"/>
      <c r="W504" s="138"/>
      <c r="AQ504" s="138"/>
    </row>
    <row r="505" spans="22:43" x14ac:dyDescent="0.35">
      <c r="V505" s="1013"/>
      <c r="W505" s="138"/>
      <c r="AQ505" s="138"/>
    </row>
    <row r="506" spans="22:43" x14ac:dyDescent="0.35">
      <c r="V506" s="1013"/>
      <c r="W506" s="138"/>
      <c r="AQ506" s="138"/>
    </row>
    <row r="507" spans="22:43" x14ac:dyDescent="0.35">
      <c r="V507" s="1013"/>
      <c r="W507" s="138"/>
      <c r="AQ507" s="138"/>
    </row>
    <row r="508" spans="22:43" x14ac:dyDescent="0.35">
      <c r="V508" s="1013"/>
      <c r="W508" s="138"/>
      <c r="AQ508" s="138"/>
    </row>
    <row r="509" spans="22:43" x14ac:dyDescent="0.35">
      <c r="V509" s="1013"/>
      <c r="W509" s="138"/>
      <c r="AQ509" s="138"/>
    </row>
    <row r="510" spans="22:43" x14ac:dyDescent="0.35">
      <c r="V510" s="1013"/>
      <c r="W510" s="138"/>
      <c r="AQ510" s="138"/>
    </row>
    <row r="511" spans="22:43" x14ac:dyDescent="0.35">
      <c r="V511" s="1013"/>
      <c r="W511" s="138"/>
      <c r="AQ511" s="138"/>
    </row>
    <row r="512" spans="22:43" x14ac:dyDescent="0.35">
      <c r="V512" s="1013"/>
      <c r="W512" s="138"/>
      <c r="AQ512" s="138"/>
    </row>
    <row r="513" spans="22:43" x14ac:dyDescent="0.35">
      <c r="V513" s="1013"/>
      <c r="W513" s="138"/>
      <c r="AQ513" s="138"/>
    </row>
    <row r="514" spans="22:43" x14ac:dyDescent="0.35">
      <c r="V514" s="1013"/>
      <c r="W514" s="138"/>
      <c r="AQ514" s="138"/>
    </row>
    <row r="515" spans="22:43" x14ac:dyDescent="0.35">
      <c r="V515" s="1013"/>
      <c r="W515" s="138"/>
      <c r="AQ515" s="138"/>
    </row>
    <row r="516" spans="22:43" x14ac:dyDescent="0.35">
      <c r="V516" s="1013"/>
      <c r="W516" s="138"/>
      <c r="AQ516" s="138"/>
    </row>
    <row r="517" spans="22:43" x14ac:dyDescent="0.35">
      <c r="V517" s="1013"/>
      <c r="W517" s="138"/>
      <c r="AQ517" s="138"/>
    </row>
    <row r="518" spans="22:43" x14ac:dyDescent="0.35">
      <c r="V518" s="1013"/>
      <c r="W518" s="138"/>
      <c r="AQ518" s="138"/>
    </row>
    <row r="519" spans="22:43" x14ac:dyDescent="0.35">
      <c r="V519" s="1013"/>
      <c r="W519" s="138"/>
      <c r="AQ519" s="138"/>
    </row>
    <row r="520" spans="22:43" x14ac:dyDescent="0.35">
      <c r="V520" s="1013"/>
      <c r="W520" s="138"/>
      <c r="AQ520" s="138"/>
    </row>
    <row r="521" spans="22:43" x14ac:dyDescent="0.35">
      <c r="V521" s="1013"/>
      <c r="W521" s="138"/>
      <c r="AQ521" s="138"/>
    </row>
    <row r="522" spans="22:43" x14ac:dyDescent="0.35">
      <c r="V522" s="1013"/>
      <c r="W522" s="138"/>
      <c r="AQ522" s="138"/>
    </row>
    <row r="523" spans="22:43" x14ac:dyDescent="0.35">
      <c r="V523" s="1013"/>
      <c r="W523" s="138"/>
      <c r="AQ523" s="138"/>
    </row>
    <row r="524" spans="22:43" x14ac:dyDescent="0.35">
      <c r="V524" s="1013"/>
      <c r="W524" s="138"/>
      <c r="AQ524" s="138"/>
    </row>
    <row r="525" spans="22:43" x14ac:dyDescent="0.35">
      <c r="V525" s="1013"/>
      <c r="W525" s="138"/>
      <c r="AQ525" s="138"/>
    </row>
    <row r="526" spans="22:43" x14ac:dyDescent="0.35">
      <c r="V526" s="1013"/>
      <c r="W526" s="138"/>
      <c r="AQ526" s="138"/>
    </row>
    <row r="527" spans="22:43" x14ac:dyDescent="0.35">
      <c r="V527" s="1013"/>
      <c r="W527" s="138"/>
      <c r="AQ527" s="138"/>
    </row>
    <row r="528" spans="22:43" x14ac:dyDescent="0.35">
      <c r="V528" s="1013"/>
      <c r="W528" s="138"/>
      <c r="AQ528" s="138"/>
    </row>
    <row r="529" spans="22:43" x14ac:dyDescent="0.35">
      <c r="V529" s="1013"/>
      <c r="W529" s="138"/>
      <c r="AQ529" s="138"/>
    </row>
    <row r="530" spans="22:43" x14ac:dyDescent="0.35">
      <c r="V530" s="1013"/>
      <c r="W530" s="138"/>
      <c r="AQ530" s="138"/>
    </row>
    <row r="531" spans="22:43" x14ac:dyDescent="0.35">
      <c r="V531" s="1013"/>
      <c r="W531" s="138"/>
      <c r="AQ531" s="138"/>
    </row>
    <row r="532" spans="22:43" x14ac:dyDescent="0.35">
      <c r="V532" s="1013"/>
      <c r="W532" s="138"/>
      <c r="AQ532" s="138"/>
    </row>
    <row r="533" spans="22:43" x14ac:dyDescent="0.35">
      <c r="V533" s="1013"/>
      <c r="W533" s="138"/>
      <c r="AQ533" s="138"/>
    </row>
    <row r="534" spans="22:43" x14ac:dyDescent="0.35">
      <c r="V534" s="1013"/>
      <c r="W534" s="138"/>
      <c r="AQ534" s="138"/>
    </row>
    <row r="535" spans="22:43" x14ac:dyDescent="0.35">
      <c r="V535" s="1013"/>
      <c r="W535" s="138"/>
      <c r="AQ535" s="138"/>
    </row>
    <row r="536" spans="22:43" x14ac:dyDescent="0.35">
      <c r="V536" s="1013"/>
      <c r="W536" s="138"/>
      <c r="AQ536" s="138"/>
    </row>
    <row r="537" spans="22:43" x14ac:dyDescent="0.35">
      <c r="V537" s="1013"/>
      <c r="W537" s="138"/>
      <c r="AQ537" s="138"/>
    </row>
    <row r="538" spans="22:43" x14ac:dyDescent="0.35">
      <c r="V538" s="1013"/>
      <c r="W538" s="138"/>
      <c r="AQ538" s="138"/>
    </row>
    <row r="539" spans="22:43" x14ac:dyDescent="0.35">
      <c r="V539" s="1013"/>
      <c r="W539" s="138"/>
      <c r="AQ539" s="138"/>
    </row>
    <row r="540" spans="22:43" x14ac:dyDescent="0.35">
      <c r="V540" s="1013"/>
      <c r="W540" s="138"/>
      <c r="AQ540" s="138"/>
    </row>
    <row r="541" spans="22:43" x14ac:dyDescent="0.35">
      <c r="V541" s="1013"/>
      <c r="W541" s="138"/>
      <c r="AQ541" s="138"/>
    </row>
    <row r="542" spans="22:43" x14ac:dyDescent="0.35">
      <c r="V542" s="1013"/>
      <c r="W542" s="138"/>
      <c r="AQ542" s="138"/>
    </row>
    <row r="543" spans="22:43" x14ac:dyDescent="0.35">
      <c r="V543" s="1013"/>
      <c r="W543" s="138"/>
      <c r="AQ543" s="138"/>
    </row>
    <row r="544" spans="22:43" x14ac:dyDescent="0.35">
      <c r="V544" s="1013"/>
      <c r="W544" s="138"/>
      <c r="AQ544" s="138"/>
    </row>
    <row r="545" spans="22:43" x14ac:dyDescent="0.35">
      <c r="V545" s="1013"/>
      <c r="W545" s="138"/>
      <c r="AQ545" s="138"/>
    </row>
    <row r="546" spans="22:43" x14ac:dyDescent="0.35">
      <c r="V546" s="1013"/>
      <c r="W546" s="138"/>
      <c r="AQ546" s="138"/>
    </row>
    <row r="547" spans="22:43" x14ac:dyDescent="0.35">
      <c r="V547" s="1013"/>
      <c r="W547" s="138"/>
      <c r="AQ547" s="138"/>
    </row>
    <row r="548" spans="22:43" x14ac:dyDescent="0.35">
      <c r="V548" s="1013"/>
      <c r="W548" s="138"/>
      <c r="AQ548" s="138"/>
    </row>
    <row r="549" spans="22:43" x14ac:dyDescent="0.35">
      <c r="V549" s="1013"/>
      <c r="W549" s="138"/>
      <c r="AQ549" s="138"/>
    </row>
    <row r="550" spans="22:43" x14ac:dyDescent="0.35">
      <c r="V550" s="1013"/>
      <c r="W550" s="138"/>
      <c r="AQ550" s="138"/>
    </row>
    <row r="551" spans="22:43" x14ac:dyDescent="0.35">
      <c r="V551" s="1013"/>
      <c r="W551" s="138"/>
      <c r="AQ551" s="138"/>
    </row>
    <row r="552" spans="22:43" x14ac:dyDescent="0.35">
      <c r="V552" s="1013"/>
      <c r="W552" s="138"/>
      <c r="AQ552" s="138"/>
    </row>
    <row r="553" spans="22:43" x14ac:dyDescent="0.35">
      <c r="V553" s="1013"/>
      <c r="W553" s="138"/>
      <c r="AQ553" s="138"/>
    </row>
    <row r="554" spans="22:43" x14ac:dyDescent="0.35">
      <c r="V554" s="1013"/>
      <c r="W554" s="138"/>
      <c r="AQ554" s="138"/>
    </row>
    <row r="555" spans="22:43" x14ac:dyDescent="0.35">
      <c r="V555" s="1013"/>
      <c r="W555" s="138"/>
      <c r="AQ555" s="138"/>
    </row>
    <row r="556" spans="22:43" x14ac:dyDescent="0.35">
      <c r="V556" s="1013"/>
      <c r="W556" s="138"/>
      <c r="AQ556" s="138"/>
    </row>
    <row r="557" spans="22:43" x14ac:dyDescent="0.35">
      <c r="V557" s="1013"/>
      <c r="W557" s="138"/>
      <c r="AQ557" s="138"/>
    </row>
    <row r="558" spans="22:43" x14ac:dyDescent="0.35">
      <c r="V558" s="1013"/>
      <c r="W558" s="138"/>
      <c r="AQ558" s="138"/>
    </row>
    <row r="559" spans="22:43" x14ac:dyDescent="0.35">
      <c r="V559" s="1013"/>
      <c r="W559" s="138"/>
      <c r="AQ559" s="138"/>
    </row>
    <row r="560" spans="22:43" x14ac:dyDescent="0.35">
      <c r="V560" s="1013"/>
      <c r="W560" s="138"/>
      <c r="AQ560" s="138"/>
    </row>
    <row r="561" spans="22:43" x14ac:dyDescent="0.35">
      <c r="V561" s="1013"/>
      <c r="W561" s="138"/>
      <c r="AQ561" s="138"/>
    </row>
    <row r="562" spans="22:43" x14ac:dyDescent="0.35">
      <c r="V562" s="1013"/>
      <c r="W562" s="138"/>
      <c r="AQ562" s="138"/>
    </row>
    <row r="563" spans="22:43" x14ac:dyDescent="0.35">
      <c r="V563" s="1013"/>
      <c r="W563" s="138"/>
      <c r="AQ563" s="138"/>
    </row>
    <row r="564" spans="22:43" x14ac:dyDescent="0.35">
      <c r="V564" s="1013"/>
      <c r="W564" s="138"/>
      <c r="AQ564" s="138"/>
    </row>
    <row r="565" spans="22:43" x14ac:dyDescent="0.35">
      <c r="V565" s="1013"/>
      <c r="W565" s="138"/>
      <c r="AQ565" s="138"/>
    </row>
    <row r="566" spans="22:43" x14ac:dyDescent="0.35">
      <c r="V566" s="1013"/>
      <c r="W566" s="138"/>
      <c r="AQ566" s="138"/>
    </row>
    <row r="567" spans="22:43" x14ac:dyDescent="0.35">
      <c r="V567" s="1013"/>
      <c r="W567" s="138"/>
      <c r="AQ567" s="138"/>
    </row>
    <row r="568" spans="22:43" x14ac:dyDescent="0.35">
      <c r="V568" s="1013"/>
      <c r="W568" s="138"/>
      <c r="AQ568" s="138"/>
    </row>
    <row r="569" spans="22:43" x14ac:dyDescent="0.35">
      <c r="V569" s="1013"/>
      <c r="W569" s="138"/>
      <c r="AQ569" s="138"/>
    </row>
    <row r="570" spans="22:43" x14ac:dyDescent="0.35">
      <c r="V570" s="1013"/>
      <c r="W570" s="138"/>
      <c r="AQ570" s="138"/>
    </row>
    <row r="571" spans="22:43" x14ac:dyDescent="0.35">
      <c r="V571" s="1013"/>
      <c r="W571" s="138"/>
      <c r="AQ571" s="138"/>
    </row>
    <row r="572" spans="22:43" x14ac:dyDescent="0.35">
      <c r="V572" s="1013"/>
      <c r="W572" s="138"/>
      <c r="AQ572" s="138"/>
    </row>
    <row r="573" spans="22:43" x14ac:dyDescent="0.35">
      <c r="V573" s="1013"/>
      <c r="W573" s="138"/>
      <c r="AQ573" s="138"/>
    </row>
    <row r="574" spans="22:43" x14ac:dyDescent="0.35">
      <c r="V574" s="1013"/>
      <c r="W574" s="138"/>
      <c r="AQ574" s="138"/>
    </row>
    <row r="575" spans="22:43" x14ac:dyDescent="0.35">
      <c r="V575" s="1013"/>
      <c r="W575" s="138"/>
      <c r="AQ575" s="138"/>
    </row>
    <row r="576" spans="22:43" x14ac:dyDescent="0.35">
      <c r="V576" s="1013"/>
      <c r="W576" s="138"/>
      <c r="AQ576" s="138"/>
    </row>
    <row r="577" spans="22:43" x14ac:dyDescent="0.35">
      <c r="V577" s="1013"/>
      <c r="W577" s="138"/>
      <c r="AQ577" s="138"/>
    </row>
    <row r="578" spans="22:43" x14ac:dyDescent="0.35">
      <c r="V578" s="1013"/>
      <c r="W578" s="138"/>
      <c r="AQ578" s="138"/>
    </row>
    <row r="579" spans="22:43" x14ac:dyDescent="0.35">
      <c r="V579" s="1013"/>
      <c r="W579" s="138"/>
      <c r="AQ579" s="138"/>
    </row>
    <row r="580" spans="22:43" x14ac:dyDescent="0.35">
      <c r="V580" s="1013"/>
      <c r="W580" s="138"/>
      <c r="AQ580" s="138"/>
    </row>
    <row r="581" spans="22:43" x14ac:dyDescent="0.35">
      <c r="V581" s="1013"/>
      <c r="W581" s="138"/>
      <c r="AQ581" s="138"/>
    </row>
    <row r="582" spans="22:43" x14ac:dyDescent="0.35">
      <c r="V582" s="1013"/>
      <c r="W582" s="138"/>
      <c r="AQ582" s="138"/>
    </row>
    <row r="583" spans="22:43" x14ac:dyDescent="0.35">
      <c r="V583" s="1013"/>
      <c r="W583" s="138"/>
      <c r="AQ583" s="138"/>
    </row>
    <row r="584" spans="22:43" x14ac:dyDescent="0.35">
      <c r="V584" s="1013"/>
      <c r="W584" s="138"/>
      <c r="AQ584" s="138"/>
    </row>
    <row r="585" spans="22:43" x14ac:dyDescent="0.35">
      <c r="V585" s="1013"/>
      <c r="W585" s="138"/>
      <c r="AQ585" s="138"/>
    </row>
    <row r="586" spans="22:43" x14ac:dyDescent="0.35">
      <c r="V586" s="1013"/>
      <c r="W586" s="138"/>
      <c r="AQ586" s="138"/>
    </row>
    <row r="587" spans="22:43" x14ac:dyDescent="0.35">
      <c r="V587" s="1013"/>
      <c r="W587" s="138"/>
      <c r="AQ587" s="138"/>
    </row>
    <row r="588" spans="22:43" x14ac:dyDescent="0.35">
      <c r="V588" s="1013"/>
      <c r="W588" s="138"/>
      <c r="AQ588" s="138"/>
    </row>
    <row r="589" spans="22:43" x14ac:dyDescent="0.35">
      <c r="V589" s="1013"/>
      <c r="W589" s="138"/>
      <c r="AQ589" s="138"/>
    </row>
    <row r="590" spans="22:43" x14ac:dyDescent="0.35">
      <c r="V590" s="1013"/>
      <c r="W590" s="138"/>
      <c r="AQ590" s="138"/>
    </row>
    <row r="591" spans="22:43" x14ac:dyDescent="0.35">
      <c r="V591" s="1013"/>
      <c r="W591" s="138"/>
      <c r="AQ591" s="138"/>
    </row>
    <row r="592" spans="22:43" x14ac:dyDescent="0.35">
      <c r="V592" s="1013"/>
      <c r="W592" s="138"/>
      <c r="AQ592" s="138"/>
    </row>
    <row r="593" spans="22:43" x14ac:dyDescent="0.35">
      <c r="V593" s="1013"/>
      <c r="W593" s="138"/>
      <c r="AQ593" s="138"/>
    </row>
    <row r="594" spans="22:43" x14ac:dyDescent="0.35">
      <c r="V594" s="1013"/>
      <c r="W594" s="138"/>
      <c r="AQ594" s="138"/>
    </row>
    <row r="595" spans="22:43" x14ac:dyDescent="0.35">
      <c r="V595" s="1013"/>
      <c r="W595" s="138"/>
      <c r="AQ595" s="138"/>
    </row>
    <row r="596" spans="22:43" x14ac:dyDescent="0.35">
      <c r="V596" s="1013"/>
      <c r="W596" s="138"/>
      <c r="AQ596" s="138"/>
    </row>
    <row r="597" spans="22:43" x14ac:dyDescent="0.35">
      <c r="V597" s="1013"/>
      <c r="W597" s="138"/>
      <c r="AQ597" s="138"/>
    </row>
    <row r="598" spans="22:43" x14ac:dyDescent="0.35">
      <c r="V598" s="1013"/>
      <c r="W598" s="138"/>
      <c r="AQ598" s="138"/>
    </row>
    <row r="599" spans="22:43" x14ac:dyDescent="0.35">
      <c r="V599" s="1013"/>
      <c r="W599" s="138"/>
      <c r="AQ599" s="138"/>
    </row>
    <row r="600" spans="22:43" x14ac:dyDescent="0.35">
      <c r="V600" s="1013"/>
      <c r="W600" s="138"/>
      <c r="AQ600" s="138"/>
    </row>
    <row r="601" spans="22:43" x14ac:dyDescent="0.35">
      <c r="V601" s="1013"/>
      <c r="W601" s="138"/>
      <c r="AQ601" s="138"/>
    </row>
    <row r="602" spans="22:43" x14ac:dyDescent="0.35">
      <c r="V602" s="1013"/>
      <c r="W602" s="138"/>
      <c r="AQ602" s="138"/>
    </row>
    <row r="603" spans="22:43" x14ac:dyDescent="0.35">
      <c r="V603" s="1013"/>
      <c r="W603" s="138"/>
      <c r="AQ603" s="138"/>
    </row>
    <row r="604" spans="22:43" x14ac:dyDescent="0.35">
      <c r="V604" s="1013"/>
      <c r="W604" s="138"/>
      <c r="AQ604" s="138"/>
    </row>
    <row r="605" spans="22:43" x14ac:dyDescent="0.35">
      <c r="V605" s="1013"/>
      <c r="W605" s="138"/>
      <c r="AQ605" s="138"/>
    </row>
    <row r="606" spans="22:43" x14ac:dyDescent="0.35">
      <c r="V606" s="1013"/>
      <c r="W606" s="138"/>
      <c r="AQ606" s="138"/>
    </row>
    <row r="607" spans="22:43" x14ac:dyDescent="0.35">
      <c r="V607" s="1013"/>
      <c r="W607" s="138"/>
      <c r="AQ607" s="138"/>
    </row>
    <row r="608" spans="22:43" x14ac:dyDescent="0.35">
      <c r="V608" s="1013"/>
      <c r="W608" s="138"/>
      <c r="AQ608" s="138"/>
    </row>
    <row r="609" spans="22:43" x14ac:dyDescent="0.35">
      <c r="V609" s="1013"/>
      <c r="W609" s="138"/>
      <c r="AQ609" s="138"/>
    </row>
    <row r="610" spans="22:43" x14ac:dyDescent="0.35">
      <c r="V610" s="1013"/>
      <c r="W610" s="138"/>
      <c r="AQ610" s="138"/>
    </row>
    <row r="611" spans="22:43" x14ac:dyDescent="0.35">
      <c r="V611" s="1013"/>
      <c r="W611" s="138"/>
      <c r="AQ611" s="138"/>
    </row>
    <row r="612" spans="22:43" x14ac:dyDescent="0.35">
      <c r="V612" s="1013"/>
      <c r="W612" s="138"/>
      <c r="AQ612" s="138"/>
    </row>
    <row r="613" spans="22:43" x14ac:dyDescent="0.35">
      <c r="V613" s="1013"/>
      <c r="W613" s="138"/>
      <c r="AQ613" s="138"/>
    </row>
    <row r="614" spans="22:43" x14ac:dyDescent="0.35">
      <c r="V614" s="1013"/>
      <c r="W614" s="138"/>
      <c r="AQ614" s="138"/>
    </row>
    <row r="615" spans="22:43" x14ac:dyDescent="0.35">
      <c r="V615" s="1013"/>
      <c r="W615" s="138"/>
      <c r="AQ615" s="138"/>
    </row>
    <row r="616" spans="22:43" x14ac:dyDescent="0.35">
      <c r="V616" s="1013"/>
      <c r="W616" s="138"/>
      <c r="AQ616" s="138"/>
    </row>
    <row r="617" spans="22:43" x14ac:dyDescent="0.35">
      <c r="V617" s="1013"/>
      <c r="W617" s="138"/>
      <c r="AQ617" s="138"/>
    </row>
    <row r="618" spans="22:43" x14ac:dyDescent="0.35">
      <c r="V618" s="1013"/>
      <c r="W618" s="138"/>
      <c r="AQ618" s="138"/>
    </row>
    <row r="619" spans="22:43" x14ac:dyDescent="0.35">
      <c r="V619" s="1013"/>
      <c r="W619" s="138"/>
      <c r="AQ619" s="138"/>
    </row>
    <row r="620" spans="22:43" x14ac:dyDescent="0.35">
      <c r="V620" s="1013"/>
      <c r="W620" s="138"/>
      <c r="AQ620" s="138"/>
    </row>
    <row r="621" spans="22:43" x14ac:dyDescent="0.35">
      <c r="V621" s="1013"/>
      <c r="W621" s="138"/>
      <c r="AQ621" s="138"/>
    </row>
    <row r="622" spans="22:43" x14ac:dyDescent="0.35">
      <c r="V622" s="1013"/>
      <c r="W622" s="138"/>
      <c r="AQ622" s="138"/>
    </row>
    <row r="623" spans="22:43" x14ac:dyDescent="0.35">
      <c r="V623" s="1013"/>
      <c r="W623" s="138"/>
      <c r="AQ623" s="138"/>
    </row>
    <row r="624" spans="22:43" x14ac:dyDescent="0.35">
      <c r="V624" s="1013"/>
      <c r="W624" s="138"/>
      <c r="AQ624" s="138"/>
    </row>
    <row r="625" spans="22:43" x14ac:dyDescent="0.35">
      <c r="V625" s="1013"/>
      <c r="W625" s="138"/>
      <c r="AQ625" s="138"/>
    </row>
    <row r="626" spans="22:43" x14ac:dyDescent="0.35">
      <c r="V626" s="1013"/>
      <c r="W626" s="138"/>
      <c r="AQ626" s="138"/>
    </row>
    <row r="627" spans="22:43" x14ac:dyDescent="0.35">
      <c r="V627" s="1013"/>
      <c r="W627" s="138"/>
      <c r="AQ627" s="138"/>
    </row>
    <row r="628" spans="22:43" x14ac:dyDescent="0.35">
      <c r="V628" s="1013"/>
      <c r="W628" s="138"/>
      <c r="AQ628" s="138"/>
    </row>
    <row r="629" spans="22:43" x14ac:dyDescent="0.35">
      <c r="V629" s="1013"/>
      <c r="W629" s="138"/>
      <c r="AQ629" s="138"/>
    </row>
    <row r="630" spans="22:43" x14ac:dyDescent="0.35">
      <c r="V630" s="1013"/>
      <c r="W630" s="138"/>
      <c r="AQ630" s="138"/>
    </row>
    <row r="631" spans="22:43" x14ac:dyDescent="0.35">
      <c r="V631" s="1013"/>
      <c r="W631" s="138"/>
      <c r="AQ631" s="138"/>
    </row>
    <row r="632" spans="22:43" x14ac:dyDescent="0.35">
      <c r="V632" s="1013"/>
      <c r="W632" s="138"/>
      <c r="AQ632" s="138"/>
    </row>
    <row r="633" spans="22:43" x14ac:dyDescent="0.35">
      <c r="V633" s="1013"/>
      <c r="W633" s="138"/>
      <c r="AQ633" s="138"/>
    </row>
    <row r="634" spans="22:43" x14ac:dyDescent="0.35">
      <c r="V634" s="1013"/>
      <c r="W634" s="138"/>
      <c r="AQ634" s="138"/>
    </row>
    <row r="635" spans="22:43" x14ac:dyDescent="0.35">
      <c r="V635" s="1013"/>
      <c r="W635" s="138"/>
      <c r="AQ635" s="138"/>
    </row>
    <row r="636" spans="22:43" x14ac:dyDescent="0.35">
      <c r="V636" s="1013"/>
      <c r="W636" s="138"/>
      <c r="AQ636" s="138"/>
    </row>
    <row r="637" spans="22:43" x14ac:dyDescent="0.35">
      <c r="V637" s="1013"/>
      <c r="W637" s="138"/>
      <c r="AQ637" s="138"/>
    </row>
    <row r="638" spans="22:43" x14ac:dyDescent="0.35">
      <c r="V638" s="1013"/>
      <c r="W638" s="138"/>
      <c r="AQ638" s="138"/>
    </row>
    <row r="639" spans="22:43" x14ac:dyDescent="0.35">
      <c r="V639" s="1013"/>
      <c r="W639" s="138"/>
      <c r="AQ639" s="138"/>
    </row>
    <row r="640" spans="22:43" x14ac:dyDescent="0.35">
      <c r="V640" s="1013"/>
      <c r="W640" s="138"/>
      <c r="AQ640" s="138"/>
    </row>
    <row r="641" spans="22:43" x14ac:dyDescent="0.35">
      <c r="V641" s="1013"/>
      <c r="W641" s="138"/>
      <c r="AQ641" s="138"/>
    </row>
    <row r="642" spans="22:43" x14ac:dyDescent="0.35">
      <c r="V642" s="1013"/>
      <c r="W642" s="138"/>
      <c r="AQ642" s="138"/>
    </row>
    <row r="643" spans="22:43" x14ac:dyDescent="0.35">
      <c r="V643" s="1013"/>
      <c r="W643" s="138"/>
      <c r="AQ643" s="138"/>
    </row>
    <row r="644" spans="22:43" x14ac:dyDescent="0.35">
      <c r="V644" s="1013"/>
      <c r="W644" s="138"/>
      <c r="AQ644" s="138"/>
    </row>
    <row r="645" spans="22:43" x14ac:dyDescent="0.35">
      <c r="V645" s="1013"/>
      <c r="W645" s="138"/>
      <c r="AQ645" s="138"/>
    </row>
    <row r="646" spans="22:43" x14ac:dyDescent="0.35">
      <c r="V646" s="1013"/>
      <c r="W646" s="138"/>
      <c r="AQ646" s="138"/>
    </row>
    <row r="647" spans="22:43" x14ac:dyDescent="0.35">
      <c r="V647" s="1013"/>
      <c r="W647" s="138"/>
      <c r="AQ647" s="138"/>
    </row>
    <row r="648" spans="22:43" x14ac:dyDescent="0.35">
      <c r="V648" s="1013"/>
      <c r="W648" s="138"/>
      <c r="AQ648" s="138"/>
    </row>
    <row r="649" spans="22:43" x14ac:dyDescent="0.35">
      <c r="V649" s="1013"/>
      <c r="W649" s="138"/>
      <c r="AQ649" s="138"/>
    </row>
    <row r="650" spans="22:43" x14ac:dyDescent="0.35">
      <c r="V650" s="1013"/>
      <c r="W650" s="138"/>
      <c r="AQ650" s="138"/>
    </row>
    <row r="651" spans="22:43" x14ac:dyDescent="0.35">
      <c r="V651" s="1013"/>
      <c r="W651" s="138"/>
      <c r="AQ651" s="138"/>
    </row>
    <row r="652" spans="22:43" x14ac:dyDescent="0.35">
      <c r="V652" s="1013"/>
      <c r="W652" s="138"/>
      <c r="AQ652" s="138"/>
    </row>
    <row r="653" spans="22:43" x14ac:dyDescent="0.35">
      <c r="V653" s="1013"/>
      <c r="W653" s="138"/>
      <c r="AQ653" s="138"/>
    </row>
    <row r="654" spans="22:43" x14ac:dyDescent="0.35">
      <c r="V654" s="1013"/>
      <c r="W654" s="138"/>
      <c r="AQ654" s="138"/>
    </row>
    <row r="655" spans="22:43" x14ac:dyDescent="0.35">
      <c r="V655" s="1013"/>
      <c r="W655" s="138"/>
      <c r="AQ655" s="138"/>
    </row>
    <row r="656" spans="22:43" x14ac:dyDescent="0.35">
      <c r="V656" s="1013"/>
      <c r="W656" s="138"/>
      <c r="AQ656" s="138"/>
    </row>
    <row r="657" spans="22:43" x14ac:dyDescent="0.35">
      <c r="V657" s="1013"/>
      <c r="W657" s="138"/>
      <c r="AQ657" s="138"/>
    </row>
    <row r="658" spans="22:43" x14ac:dyDescent="0.35">
      <c r="V658" s="1013"/>
      <c r="W658" s="138"/>
      <c r="AQ658" s="138"/>
    </row>
    <row r="659" spans="22:43" x14ac:dyDescent="0.35">
      <c r="V659" s="1013"/>
      <c r="W659" s="138"/>
      <c r="AQ659" s="138"/>
    </row>
    <row r="660" spans="22:43" x14ac:dyDescent="0.35">
      <c r="V660" s="1013"/>
      <c r="W660" s="138"/>
      <c r="AQ660" s="138"/>
    </row>
    <row r="661" spans="22:43" x14ac:dyDescent="0.35">
      <c r="V661" s="1013"/>
      <c r="W661" s="138"/>
      <c r="AQ661" s="138"/>
    </row>
    <row r="662" spans="22:43" x14ac:dyDescent="0.35">
      <c r="V662" s="1013"/>
      <c r="W662" s="138"/>
      <c r="AQ662" s="138"/>
    </row>
    <row r="663" spans="22:43" x14ac:dyDescent="0.35">
      <c r="V663" s="1013"/>
      <c r="W663" s="138"/>
      <c r="AQ663" s="138"/>
    </row>
    <row r="664" spans="22:43" x14ac:dyDescent="0.35">
      <c r="V664" s="1013"/>
      <c r="W664" s="138"/>
      <c r="AQ664" s="138"/>
    </row>
    <row r="665" spans="22:43" x14ac:dyDescent="0.35">
      <c r="V665" s="1013"/>
      <c r="W665" s="138"/>
      <c r="AQ665" s="138"/>
    </row>
    <row r="666" spans="22:43" x14ac:dyDescent="0.35">
      <c r="V666" s="1013"/>
      <c r="W666" s="138"/>
      <c r="AQ666" s="138"/>
    </row>
    <row r="667" spans="22:43" x14ac:dyDescent="0.35">
      <c r="V667" s="1013"/>
      <c r="W667" s="138"/>
      <c r="AQ667" s="138"/>
    </row>
    <row r="668" spans="22:43" x14ac:dyDescent="0.35">
      <c r="V668" s="1013"/>
      <c r="W668" s="138"/>
      <c r="AQ668" s="138"/>
    </row>
    <row r="669" spans="22:43" x14ac:dyDescent="0.35">
      <c r="V669" s="1013"/>
      <c r="W669" s="138"/>
      <c r="AQ669" s="138"/>
    </row>
    <row r="670" spans="22:43" x14ac:dyDescent="0.35">
      <c r="V670" s="1013"/>
      <c r="W670" s="138"/>
      <c r="AQ670" s="138"/>
    </row>
    <row r="671" spans="22:43" x14ac:dyDescent="0.35">
      <c r="V671" s="1013"/>
      <c r="W671" s="138"/>
      <c r="AQ671" s="138"/>
    </row>
    <row r="672" spans="22:43" x14ac:dyDescent="0.35">
      <c r="V672" s="1013"/>
      <c r="W672" s="138"/>
      <c r="AQ672" s="138"/>
    </row>
    <row r="673" spans="22:43" x14ac:dyDescent="0.35">
      <c r="V673" s="1013"/>
      <c r="W673" s="138"/>
      <c r="AQ673" s="138"/>
    </row>
    <row r="674" spans="22:43" x14ac:dyDescent="0.35">
      <c r="V674" s="1013"/>
      <c r="W674" s="138"/>
      <c r="AQ674" s="138"/>
    </row>
    <row r="675" spans="22:43" x14ac:dyDescent="0.35">
      <c r="V675" s="1013"/>
      <c r="W675" s="138"/>
      <c r="AQ675" s="138"/>
    </row>
    <row r="676" spans="22:43" x14ac:dyDescent="0.35">
      <c r="V676" s="1013"/>
      <c r="W676" s="138"/>
      <c r="AQ676" s="138"/>
    </row>
    <row r="677" spans="22:43" x14ac:dyDescent="0.35">
      <c r="V677" s="1013"/>
      <c r="W677" s="138"/>
      <c r="AQ677" s="138"/>
    </row>
    <row r="678" spans="22:43" x14ac:dyDescent="0.35">
      <c r="V678" s="1013"/>
      <c r="W678" s="138"/>
      <c r="AQ678" s="138"/>
    </row>
    <row r="679" spans="22:43" x14ac:dyDescent="0.35">
      <c r="V679" s="1013"/>
      <c r="W679" s="138"/>
      <c r="AQ679" s="138"/>
    </row>
    <row r="680" spans="22:43" x14ac:dyDescent="0.35">
      <c r="V680" s="1013"/>
      <c r="W680" s="138"/>
      <c r="AQ680" s="138"/>
    </row>
    <row r="681" spans="22:43" x14ac:dyDescent="0.35">
      <c r="V681" s="1013"/>
      <c r="W681" s="138"/>
      <c r="AQ681" s="138"/>
    </row>
    <row r="682" spans="22:43" x14ac:dyDescent="0.35">
      <c r="V682" s="1013"/>
      <c r="W682" s="138"/>
      <c r="AQ682" s="138"/>
    </row>
    <row r="683" spans="22:43" x14ac:dyDescent="0.35">
      <c r="V683" s="1013"/>
      <c r="W683" s="138"/>
      <c r="AQ683" s="138"/>
    </row>
    <row r="684" spans="22:43" x14ac:dyDescent="0.35">
      <c r="V684" s="1013"/>
      <c r="W684" s="138"/>
      <c r="AQ684" s="138"/>
    </row>
    <row r="685" spans="22:43" x14ac:dyDescent="0.35">
      <c r="V685" s="1013"/>
      <c r="W685" s="138"/>
      <c r="AQ685" s="138"/>
    </row>
    <row r="686" spans="22:43" x14ac:dyDescent="0.35">
      <c r="V686" s="1013"/>
      <c r="W686" s="138"/>
      <c r="AQ686" s="138"/>
    </row>
    <row r="687" spans="22:43" x14ac:dyDescent="0.35">
      <c r="V687" s="1013"/>
      <c r="W687" s="138"/>
      <c r="AQ687" s="138"/>
    </row>
    <row r="688" spans="22:43" x14ac:dyDescent="0.35">
      <c r="V688" s="1013"/>
      <c r="W688" s="138"/>
      <c r="AQ688" s="138"/>
    </row>
    <row r="689" spans="22:43" x14ac:dyDescent="0.35">
      <c r="V689" s="1013"/>
      <c r="W689" s="138"/>
      <c r="AQ689" s="138"/>
    </row>
    <row r="690" spans="22:43" x14ac:dyDescent="0.35">
      <c r="V690" s="1013"/>
      <c r="W690" s="138"/>
      <c r="AQ690" s="138"/>
    </row>
    <row r="691" spans="22:43" x14ac:dyDescent="0.35">
      <c r="V691" s="1013"/>
      <c r="W691" s="138"/>
      <c r="AQ691" s="138"/>
    </row>
    <row r="692" spans="22:43" x14ac:dyDescent="0.35">
      <c r="V692" s="1013"/>
      <c r="W692" s="138"/>
      <c r="AQ692" s="138"/>
    </row>
    <row r="693" spans="22:43" x14ac:dyDescent="0.35">
      <c r="V693" s="1013"/>
      <c r="W693" s="138"/>
      <c r="AQ693" s="138"/>
    </row>
    <row r="694" spans="22:43" x14ac:dyDescent="0.35">
      <c r="V694" s="1013"/>
      <c r="W694" s="138"/>
      <c r="AQ694" s="138"/>
    </row>
    <row r="695" spans="22:43" x14ac:dyDescent="0.35">
      <c r="V695" s="1013"/>
      <c r="W695" s="138"/>
      <c r="AQ695" s="138"/>
    </row>
    <row r="696" spans="22:43" x14ac:dyDescent="0.35">
      <c r="V696" s="1013"/>
      <c r="W696" s="138"/>
      <c r="AQ696" s="138"/>
    </row>
    <row r="697" spans="22:43" x14ac:dyDescent="0.35">
      <c r="V697" s="1013"/>
      <c r="W697" s="138"/>
      <c r="AQ697" s="138"/>
    </row>
    <row r="698" spans="22:43" x14ac:dyDescent="0.35">
      <c r="V698" s="1013"/>
      <c r="W698" s="138"/>
      <c r="AQ698" s="138"/>
    </row>
    <row r="699" spans="22:43" x14ac:dyDescent="0.35">
      <c r="V699" s="1013"/>
      <c r="W699" s="138"/>
      <c r="AQ699" s="138"/>
    </row>
    <row r="700" spans="22:43" x14ac:dyDescent="0.35">
      <c r="V700" s="1013"/>
      <c r="W700" s="138"/>
      <c r="AQ700" s="138"/>
    </row>
    <row r="701" spans="22:43" x14ac:dyDescent="0.35">
      <c r="V701" s="1013"/>
      <c r="W701" s="138"/>
      <c r="AQ701" s="138"/>
    </row>
    <row r="702" spans="22:43" x14ac:dyDescent="0.35">
      <c r="V702" s="1013"/>
      <c r="W702" s="138"/>
      <c r="AQ702" s="138"/>
    </row>
    <row r="703" spans="22:43" x14ac:dyDescent="0.35">
      <c r="V703" s="1013"/>
      <c r="W703" s="138"/>
      <c r="AQ703" s="138"/>
    </row>
    <row r="704" spans="22:43" x14ac:dyDescent="0.35">
      <c r="V704" s="1013"/>
      <c r="W704" s="138"/>
      <c r="AQ704" s="138"/>
    </row>
    <row r="705" spans="22:43" x14ac:dyDescent="0.35">
      <c r="V705" s="1013"/>
      <c r="W705" s="138"/>
      <c r="AQ705" s="138"/>
    </row>
    <row r="706" spans="22:43" x14ac:dyDescent="0.35">
      <c r="V706" s="1013"/>
      <c r="W706" s="138"/>
      <c r="AQ706" s="138"/>
    </row>
    <row r="707" spans="22:43" x14ac:dyDescent="0.35">
      <c r="V707" s="1013"/>
      <c r="W707" s="138"/>
      <c r="AQ707" s="138"/>
    </row>
    <row r="708" spans="22:43" x14ac:dyDescent="0.35">
      <c r="V708" s="1013"/>
      <c r="W708" s="138"/>
      <c r="AQ708" s="138"/>
    </row>
    <row r="709" spans="22:43" x14ac:dyDescent="0.35">
      <c r="V709" s="1013"/>
      <c r="W709" s="138"/>
      <c r="AQ709" s="138"/>
    </row>
    <row r="710" spans="22:43" x14ac:dyDescent="0.35">
      <c r="V710" s="1013"/>
      <c r="W710" s="138"/>
      <c r="AQ710" s="138"/>
    </row>
    <row r="711" spans="22:43" x14ac:dyDescent="0.35">
      <c r="V711" s="1013"/>
      <c r="W711" s="138"/>
      <c r="AQ711" s="138"/>
    </row>
    <row r="712" spans="22:43" x14ac:dyDescent="0.35">
      <c r="V712" s="1013"/>
      <c r="W712" s="138"/>
      <c r="AQ712" s="138"/>
    </row>
    <row r="713" spans="22:43" x14ac:dyDescent="0.35">
      <c r="V713" s="1013"/>
      <c r="W713" s="138"/>
      <c r="AQ713" s="138"/>
    </row>
    <row r="714" spans="22:43" x14ac:dyDescent="0.35">
      <c r="V714" s="1013"/>
      <c r="W714" s="138"/>
      <c r="AQ714" s="138"/>
    </row>
    <row r="715" spans="22:43" x14ac:dyDescent="0.35">
      <c r="V715" s="1013"/>
      <c r="W715" s="138"/>
      <c r="AQ715" s="138"/>
    </row>
    <row r="716" spans="22:43" x14ac:dyDescent="0.35">
      <c r="V716" s="1013"/>
      <c r="W716" s="138"/>
      <c r="AQ716" s="138"/>
    </row>
    <row r="717" spans="22:43" x14ac:dyDescent="0.35">
      <c r="V717" s="1013"/>
      <c r="W717" s="138"/>
      <c r="AQ717" s="138"/>
    </row>
    <row r="718" spans="22:43" x14ac:dyDescent="0.35">
      <c r="V718" s="1013"/>
      <c r="W718" s="138"/>
      <c r="AQ718" s="138"/>
    </row>
    <row r="719" spans="22:43" x14ac:dyDescent="0.35">
      <c r="V719" s="1013"/>
      <c r="W719" s="138"/>
      <c r="AQ719" s="138"/>
    </row>
    <row r="720" spans="22:43" x14ac:dyDescent="0.35">
      <c r="V720" s="1013"/>
      <c r="W720" s="138"/>
      <c r="AQ720" s="138"/>
    </row>
    <row r="721" spans="22:43" x14ac:dyDescent="0.35">
      <c r="V721" s="1013"/>
      <c r="W721" s="138"/>
      <c r="AQ721" s="138"/>
    </row>
    <row r="722" spans="22:43" x14ac:dyDescent="0.35">
      <c r="V722" s="1013"/>
      <c r="W722" s="138"/>
      <c r="AQ722" s="138"/>
    </row>
    <row r="723" spans="22:43" x14ac:dyDescent="0.35">
      <c r="V723" s="1013"/>
      <c r="W723" s="138"/>
      <c r="AQ723" s="138"/>
    </row>
    <row r="724" spans="22:43" x14ac:dyDescent="0.35">
      <c r="V724" s="1013"/>
      <c r="W724" s="138"/>
      <c r="AQ724" s="138"/>
    </row>
    <row r="725" spans="22:43" x14ac:dyDescent="0.35">
      <c r="V725" s="1013"/>
      <c r="W725" s="138"/>
      <c r="AQ725" s="138"/>
    </row>
    <row r="726" spans="22:43" x14ac:dyDescent="0.35">
      <c r="V726" s="1013"/>
      <c r="W726" s="138"/>
      <c r="AQ726" s="138"/>
    </row>
    <row r="727" spans="22:43" x14ac:dyDescent="0.35">
      <c r="V727" s="1013"/>
      <c r="W727" s="138"/>
      <c r="AQ727" s="138"/>
    </row>
    <row r="728" spans="22:43" x14ac:dyDescent="0.35">
      <c r="V728" s="1013"/>
      <c r="W728" s="138"/>
      <c r="AQ728" s="138"/>
    </row>
    <row r="729" spans="22:43" x14ac:dyDescent="0.35">
      <c r="V729" s="1013"/>
      <c r="W729" s="138"/>
      <c r="AQ729" s="138"/>
    </row>
    <row r="730" spans="22:43" x14ac:dyDescent="0.35">
      <c r="V730" s="1013"/>
      <c r="W730" s="138"/>
      <c r="AQ730" s="138"/>
    </row>
    <row r="731" spans="22:43" x14ac:dyDescent="0.35">
      <c r="V731" s="1013"/>
      <c r="W731" s="138"/>
      <c r="AQ731" s="138"/>
    </row>
    <row r="732" spans="22:43" x14ac:dyDescent="0.35">
      <c r="V732" s="1013"/>
      <c r="W732" s="138"/>
      <c r="AQ732" s="138"/>
    </row>
    <row r="733" spans="22:43" x14ac:dyDescent="0.35">
      <c r="V733" s="1013"/>
      <c r="W733" s="138"/>
      <c r="AQ733" s="138"/>
    </row>
    <row r="734" spans="22:43" x14ac:dyDescent="0.35">
      <c r="V734" s="1013"/>
      <c r="W734" s="138"/>
      <c r="AQ734" s="138"/>
    </row>
    <row r="735" spans="22:43" x14ac:dyDescent="0.35">
      <c r="V735" s="1013"/>
      <c r="W735" s="138"/>
      <c r="AQ735" s="138"/>
    </row>
    <row r="736" spans="22:43" x14ac:dyDescent="0.35">
      <c r="V736" s="1013"/>
      <c r="W736" s="138"/>
      <c r="AQ736" s="138"/>
    </row>
    <row r="737" spans="22:43" x14ac:dyDescent="0.35">
      <c r="V737" s="1013"/>
      <c r="W737" s="138"/>
      <c r="AQ737" s="138"/>
    </row>
    <row r="738" spans="22:43" x14ac:dyDescent="0.35">
      <c r="V738" s="1013"/>
      <c r="W738" s="138"/>
      <c r="AQ738" s="138"/>
    </row>
    <row r="739" spans="22:43" x14ac:dyDescent="0.35">
      <c r="V739" s="1013"/>
      <c r="W739" s="138"/>
      <c r="AQ739" s="138"/>
    </row>
    <row r="740" spans="22:43" x14ac:dyDescent="0.35">
      <c r="V740" s="1013"/>
      <c r="W740" s="138"/>
      <c r="AQ740" s="138"/>
    </row>
    <row r="741" spans="22:43" x14ac:dyDescent="0.35">
      <c r="V741" s="1013"/>
      <c r="W741" s="138"/>
      <c r="AQ741" s="138"/>
    </row>
    <row r="742" spans="22:43" x14ac:dyDescent="0.35">
      <c r="V742" s="1013"/>
      <c r="W742" s="138"/>
      <c r="AQ742" s="138"/>
    </row>
    <row r="743" spans="22:43" x14ac:dyDescent="0.35">
      <c r="V743" s="1013"/>
      <c r="W743" s="138"/>
      <c r="AQ743" s="138"/>
    </row>
    <row r="744" spans="22:43" x14ac:dyDescent="0.35">
      <c r="V744" s="1013"/>
      <c r="W744" s="138"/>
      <c r="AQ744" s="138"/>
    </row>
    <row r="745" spans="22:43" x14ac:dyDescent="0.35">
      <c r="V745" s="1013"/>
      <c r="W745" s="138"/>
      <c r="AQ745" s="138"/>
    </row>
    <row r="746" spans="22:43" x14ac:dyDescent="0.35">
      <c r="V746" s="1013"/>
      <c r="W746" s="138"/>
      <c r="AQ746" s="138"/>
    </row>
    <row r="747" spans="22:43" x14ac:dyDescent="0.35">
      <c r="V747" s="1013"/>
      <c r="W747" s="138"/>
      <c r="AQ747" s="138"/>
    </row>
    <row r="748" spans="22:43" x14ac:dyDescent="0.35">
      <c r="V748" s="1013"/>
      <c r="W748" s="138"/>
      <c r="AQ748" s="138"/>
    </row>
    <row r="749" spans="22:43" x14ac:dyDescent="0.35">
      <c r="V749" s="1013"/>
      <c r="W749" s="138"/>
      <c r="AQ749" s="138"/>
    </row>
    <row r="750" spans="22:43" x14ac:dyDescent="0.35">
      <c r="V750" s="1013"/>
      <c r="W750" s="138"/>
      <c r="AQ750" s="138"/>
    </row>
    <row r="751" spans="22:43" x14ac:dyDescent="0.35">
      <c r="V751" s="1013"/>
      <c r="W751" s="138"/>
      <c r="AQ751" s="138"/>
    </row>
    <row r="752" spans="22:43" x14ac:dyDescent="0.35">
      <c r="V752" s="1013"/>
      <c r="W752" s="138"/>
      <c r="AQ752" s="138"/>
    </row>
    <row r="753" spans="22:43" x14ac:dyDescent="0.35">
      <c r="V753" s="1013"/>
      <c r="W753" s="138"/>
      <c r="AQ753" s="138"/>
    </row>
    <row r="754" spans="22:43" x14ac:dyDescent="0.35">
      <c r="V754" s="1013"/>
      <c r="W754" s="138"/>
      <c r="AQ754" s="138"/>
    </row>
    <row r="755" spans="22:43" x14ac:dyDescent="0.35">
      <c r="V755" s="1013"/>
      <c r="W755" s="138"/>
      <c r="AQ755" s="138"/>
    </row>
    <row r="756" spans="22:43" x14ac:dyDescent="0.35">
      <c r="V756" s="1013"/>
      <c r="W756" s="138"/>
      <c r="AQ756" s="138"/>
    </row>
    <row r="757" spans="22:43" x14ac:dyDescent="0.35">
      <c r="V757" s="1013"/>
      <c r="W757" s="138"/>
      <c r="AQ757" s="138"/>
    </row>
    <row r="758" spans="22:43" x14ac:dyDescent="0.35">
      <c r="V758" s="1013"/>
      <c r="W758" s="138"/>
      <c r="AQ758" s="138"/>
    </row>
    <row r="759" spans="22:43" x14ac:dyDescent="0.35">
      <c r="V759" s="1013"/>
      <c r="W759" s="138"/>
      <c r="AQ759" s="138"/>
    </row>
    <row r="760" spans="22:43" x14ac:dyDescent="0.35">
      <c r="V760" s="1013"/>
      <c r="W760" s="138"/>
      <c r="AQ760" s="138"/>
    </row>
    <row r="761" spans="22:43" x14ac:dyDescent="0.35">
      <c r="V761" s="1013"/>
      <c r="W761" s="138"/>
      <c r="AQ761" s="138"/>
    </row>
    <row r="762" spans="22:43" x14ac:dyDescent="0.35">
      <c r="V762" s="1013"/>
      <c r="W762" s="138"/>
      <c r="AQ762" s="138"/>
    </row>
    <row r="763" spans="22:43" x14ac:dyDescent="0.35">
      <c r="V763" s="1013"/>
      <c r="W763" s="138"/>
      <c r="AQ763" s="138"/>
    </row>
    <row r="764" spans="22:43" x14ac:dyDescent="0.35">
      <c r="V764" s="1013"/>
      <c r="W764" s="138"/>
      <c r="AQ764" s="138"/>
    </row>
    <row r="765" spans="22:43" x14ac:dyDescent="0.35">
      <c r="V765" s="1013"/>
      <c r="W765" s="138"/>
      <c r="AQ765" s="138"/>
    </row>
    <row r="766" spans="22:43" x14ac:dyDescent="0.35">
      <c r="V766" s="1013"/>
      <c r="W766" s="138"/>
      <c r="AQ766" s="138"/>
    </row>
    <row r="767" spans="22:43" x14ac:dyDescent="0.35">
      <c r="V767" s="1013"/>
      <c r="W767" s="138"/>
      <c r="AQ767" s="138"/>
    </row>
    <row r="768" spans="22:43" x14ac:dyDescent="0.35">
      <c r="V768" s="1013"/>
      <c r="W768" s="138"/>
      <c r="AQ768" s="138"/>
    </row>
    <row r="769" spans="22:43" x14ac:dyDescent="0.35">
      <c r="V769" s="1013"/>
      <c r="W769" s="138"/>
      <c r="AQ769" s="138"/>
    </row>
    <row r="770" spans="22:43" x14ac:dyDescent="0.35">
      <c r="V770" s="1013"/>
      <c r="W770" s="138"/>
      <c r="AQ770" s="138"/>
    </row>
    <row r="771" spans="22:43" x14ac:dyDescent="0.35">
      <c r="V771" s="1013"/>
      <c r="W771" s="138"/>
      <c r="AQ771" s="138"/>
    </row>
    <row r="772" spans="22:43" x14ac:dyDescent="0.35">
      <c r="V772" s="1013"/>
      <c r="W772" s="138"/>
      <c r="AQ772" s="138"/>
    </row>
    <row r="773" spans="22:43" x14ac:dyDescent="0.35">
      <c r="V773" s="1013"/>
      <c r="W773" s="138"/>
      <c r="AQ773" s="138"/>
    </row>
    <row r="774" spans="22:43" x14ac:dyDescent="0.35">
      <c r="V774" s="1013"/>
      <c r="W774" s="138"/>
      <c r="AQ774" s="138"/>
    </row>
    <row r="775" spans="22:43" x14ac:dyDescent="0.35">
      <c r="V775" s="1013"/>
      <c r="W775" s="138"/>
      <c r="AQ775" s="138"/>
    </row>
    <row r="776" spans="22:43" x14ac:dyDescent="0.35">
      <c r="V776" s="1013"/>
      <c r="W776" s="138"/>
      <c r="AQ776" s="138"/>
    </row>
    <row r="777" spans="22:43" x14ac:dyDescent="0.35">
      <c r="V777" s="1013"/>
      <c r="W777" s="138"/>
      <c r="AQ777" s="138"/>
    </row>
    <row r="778" spans="22:43" x14ac:dyDescent="0.35">
      <c r="V778" s="1013"/>
      <c r="W778" s="138"/>
      <c r="AQ778" s="138"/>
    </row>
    <row r="779" spans="22:43" x14ac:dyDescent="0.35">
      <c r="V779" s="1013"/>
      <c r="W779" s="138"/>
      <c r="AQ779" s="138"/>
    </row>
    <row r="780" spans="22:43" x14ac:dyDescent="0.35">
      <c r="V780" s="1013"/>
      <c r="W780" s="138"/>
      <c r="AQ780" s="138"/>
    </row>
    <row r="781" spans="22:43" x14ac:dyDescent="0.35">
      <c r="V781" s="1013"/>
      <c r="W781" s="138"/>
      <c r="AQ781" s="138"/>
    </row>
    <row r="782" spans="22:43" x14ac:dyDescent="0.35">
      <c r="V782" s="1013"/>
      <c r="W782" s="138"/>
      <c r="AQ782" s="138"/>
    </row>
    <row r="783" spans="22:43" x14ac:dyDescent="0.35">
      <c r="V783" s="1013"/>
      <c r="W783" s="138"/>
      <c r="AQ783" s="138"/>
    </row>
    <row r="784" spans="22:43" x14ac:dyDescent="0.35">
      <c r="V784" s="1013"/>
      <c r="W784" s="138"/>
      <c r="AQ784" s="138"/>
    </row>
    <row r="785" spans="22:43" x14ac:dyDescent="0.35">
      <c r="V785" s="1013"/>
      <c r="W785" s="138"/>
      <c r="AQ785" s="138"/>
    </row>
    <row r="786" spans="22:43" x14ac:dyDescent="0.35">
      <c r="V786" s="1013"/>
      <c r="W786" s="138"/>
      <c r="AQ786" s="138"/>
    </row>
    <row r="787" spans="22:43" x14ac:dyDescent="0.35">
      <c r="V787" s="1013"/>
      <c r="W787" s="138"/>
      <c r="AQ787" s="138"/>
    </row>
    <row r="788" spans="22:43" x14ac:dyDescent="0.35">
      <c r="V788" s="1013"/>
      <c r="W788" s="138"/>
      <c r="AQ788" s="138"/>
    </row>
    <row r="789" spans="22:43" x14ac:dyDescent="0.35">
      <c r="V789" s="1013"/>
      <c r="W789" s="138"/>
      <c r="AQ789" s="138"/>
    </row>
    <row r="790" spans="22:43" x14ac:dyDescent="0.35">
      <c r="V790" s="1013"/>
      <c r="W790" s="138"/>
      <c r="AQ790" s="138"/>
    </row>
    <row r="791" spans="22:43" x14ac:dyDescent="0.35">
      <c r="V791" s="1013"/>
      <c r="W791" s="138"/>
      <c r="AQ791" s="138"/>
    </row>
    <row r="792" spans="22:43" x14ac:dyDescent="0.35">
      <c r="V792" s="1013"/>
      <c r="W792" s="138"/>
      <c r="AQ792" s="138"/>
    </row>
    <row r="793" spans="22:43" x14ac:dyDescent="0.35">
      <c r="V793" s="1013"/>
      <c r="W793" s="138"/>
      <c r="AQ793" s="138"/>
    </row>
    <row r="794" spans="22:43" x14ac:dyDescent="0.35">
      <c r="V794" s="1013"/>
      <c r="W794" s="138"/>
      <c r="AQ794" s="138"/>
    </row>
    <row r="795" spans="22:43" x14ac:dyDescent="0.35">
      <c r="V795" s="1013"/>
      <c r="W795" s="138"/>
      <c r="AQ795" s="138"/>
    </row>
    <row r="796" spans="22:43" x14ac:dyDescent="0.35">
      <c r="V796" s="1013"/>
      <c r="W796" s="138"/>
      <c r="AQ796" s="138"/>
    </row>
    <row r="797" spans="22:43" x14ac:dyDescent="0.35">
      <c r="V797" s="1013"/>
      <c r="W797" s="138"/>
      <c r="AQ797" s="138"/>
    </row>
    <row r="798" spans="22:43" x14ac:dyDescent="0.35">
      <c r="V798" s="1013"/>
      <c r="W798" s="138"/>
      <c r="AQ798" s="138"/>
    </row>
    <row r="799" spans="22:43" x14ac:dyDescent="0.35">
      <c r="V799" s="1013"/>
      <c r="W799" s="138"/>
      <c r="AQ799" s="138"/>
    </row>
    <row r="800" spans="22:43" x14ac:dyDescent="0.35">
      <c r="V800" s="1013"/>
      <c r="W800" s="138"/>
      <c r="AQ800" s="138"/>
    </row>
    <row r="801" spans="22:43" x14ac:dyDescent="0.35">
      <c r="V801" s="1013"/>
      <c r="W801" s="138"/>
      <c r="AQ801" s="138"/>
    </row>
    <row r="802" spans="22:43" x14ac:dyDescent="0.35">
      <c r="V802" s="1013"/>
      <c r="W802" s="138"/>
      <c r="AQ802" s="138"/>
    </row>
    <row r="803" spans="22:43" x14ac:dyDescent="0.35">
      <c r="V803" s="1013"/>
      <c r="W803" s="138"/>
      <c r="AQ803" s="138"/>
    </row>
    <row r="804" spans="22:43" x14ac:dyDescent="0.35">
      <c r="V804" s="1013"/>
      <c r="W804" s="138"/>
      <c r="AQ804" s="138"/>
    </row>
    <row r="805" spans="22:43" x14ac:dyDescent="0.35">
      <c r="V805" s="1013"/>
      <c r="W805" s="138"/>
      <c r="AQ805" s="138"/>
    </row>
    <row r="806" spans="22:43" x14ac:dyDescent="0.35">
      <c r="V806" s="1013"/>
      <c r="W806" s="138"/>
      <c r="AQ806" s="138"/>
    </row>
    <row r="807" spans="22:43" x14ac:dyDescent="0.35">
      <c r="V807" s="1013"/>
      <c r="W807" s="138"/>
      <c r="AQ807" s="138"/>
    </row>
    <row r="808" spans="22:43" x14ac:dyDescent="0.35">
      <c r="V808" s="1013"/>
      <c r="W808" s="138"/>
      <c r="AQ808" s="138"/>
    </row>
    <row r="809" spans="22:43" x14ac:dyDescent="0.35">
      <c r="V809" s="1013"/>
      <c r="W809" s="138"/>
      <c r="AQ809" s="138"/>
    </row>
    <row r="810" spans="22:43" x14ac:dyDescent="0.35">
      <c r="V810" s="1013"/>
      <c r="W810" s="138"/>
      <c r="AQ810" s="138"/>
    </row>
    <row r="811" spans="22:43" x14ac:dyDescent="0.35">
      <c r="V811" s="1013"/>
      <c r="W811" s="138"/>
      <c r="AQ811" s="138"/>
    </row>
    <row r="812" spans="22:43" x14ac:dyDescent="0.35">
      <c r="V812" s="1013"/>
      <c r="W812" s="138"/>
      <c r="AQ812" s="138"/>
    </row>
    <row r="813" spans="22:43" x14ac:dyDescent="0.35">
      <c r="V813" s="1013"/>
      <c r="W813" s="138"/>
      <c r="AQ813" s="138"/>
    </row>
    <row r="814" spans="22:43" x14ac:dyDescent="0.35">
      <c r="V814" s="1013"/>
      <c r="W814" s="138"/>
      <c r="AQ814" s="138"/>
    </row>
    <row r="815" spans="22:43" x14ac:dyDescent="0.35">
      <c r="V815" s="1013"/>
      <c r="W815" s="138"/>
      <c r="AQ815" s="138"/>
    </row>
    <row r="816" spans="22:43" x14ac:dyDescent="0.35">
      <c r="V816" s="1013"/>
      <c r="W816" s="138"/>
      <c r="AQ816" s="138"/>
    </row>
    <row r="817" spans="22:43" x14ac:dyDescent="0.35">
      <c r="V817" s="1013"/>
      <c r="W817" s="138"/>
      <c r="AQ817" s="138"/>
    </row>
    <row r="818" spans="22:43" x14ac:dyDescent="0.35">
      <c r="V818" s="1013"/>
      <c r="W818" s="138"/>
      <c r="AQ818" s="138"/>
    </row>
    <row r="819" spans="22:43" x14ac:dyDescent="0.35">
      <c r="V819" s="1013"/>
      <c r="W819" s="138"/>
      <c r="AQ819" s="138"/>
    </row>
    <row r="820" spans="22:43" x14ac:dyDescent="0.35">
      <c r="V820" s="1013"/>
      <c r="W820" s="138"/>
      <c r="AQ820" s="138"/>
    </row>
    <row r="821" spans="22:43" x14ac:dyDescent="0.35">
      <c r="V821" s="1013"/>
      <c r="W821" s="138"/>
      <c r="AQ821" s="138"/>
    </row>
    <row r="822" spans="22:43" x14ac:dyDescent="0.35">
      <c r="V822" s="1013"/>
      <c r="W822" s="138"/>
      <c r="AQ822" s="138"/>
    </row>
    <row r="823" spans="22:43" x14ac:dyDescent="0.35">
      <c r="V823" s="1013"/>
      <c r="W823" s="138"/>
      <c r="AQ823" s="138"/>
    </row>
    <row r="824" spans="22:43" x14ac:dyDescent="0.35">
      <c r="V824" s="1013"/>
      <c r="W824" s="138"/>
      <c r="AQ824" s="138"/>
    </row>
    <row r="825" spans="22:43" x14ac:dyDescent="0.35">
      <c r="V825" s="1013"/>
      <c r="W825" s="138"/>
      <c r="AQ825" s="138"/>
    </row>
    <row r="826" spans="22:43" x14ac:dyDescent="0.35">
      <c r="V826" s="1013"/>
      <c r="W826" s="138"/>
      <c r="AQ826" s="138"/>
    </row>
    <row r="827" spans="22:43" x14ac:dyDescent="0.35">
      <c r="V827" s="1013"/>
      <c r="W827" s="138"/>
      <c r="AQ827" s="138"/>
    </row>
    <row r="828" spans="22:43" x14ac:dyDescent="0.35">
      <c r="V828" s="1013"/>
      <c r="W828" s="138"/>
      <c r="AQ828" s="138"/>
    </row>
    <row r="829" spans="22:43" x14ac:dyDescent="0.35">
      <c r="V829" s="1013"/>
      <c r="W829" s="138"/>
      <c r="AQ829" s="138"/>
    </row>
    <row r="830" spans="22:43" x14ac:dyDescent="0.35">
      <c r="V830" s="1013"/>
      <c r="W830" s="138"/>
      <c r="AQ830" s="138"/>
    </row>
    <row r="831" spans="22:43" x14ac:dyDescent="0.35">
      <c r="V831" s="1013"/>
      <c r="W831" s="138"/>
      <c r="AQ831" s="138"/>
    </row>
    <row r="832" spans="22:43" x14ac:dyDescent="0.35">
      <c r="V832" s="1013"/>
      <c r="W832" s="138"/>
      <c r="AQ832" s="138"/>
    </row>
    <row r="833" spans="22:43" x14ac:dyDescent="0.35">
      <c r="V833" s="1013"/>
      <c r="W833" s="138"/>
      <c r="AQ833" s="138"/>
    </row>
    <row r="834" spans="22:43" x14ac:dyDescent="0.35">
      <c r="V834" s="1013"/>
      <c r="W834" s="138"/>
      <c r="AQ834" s="138"/>
    </row>
    <row r="835" spans="22:43" x14ac:dyDescent="0.35">
      <c r="V835" s="1013"/>
      <c r="W835" s="138"/>
      <c r="AQ835" s="138"/>
    </row>
    <row r="836" spans="22:43" x14ac:dyDescent="0.35">
      <c r="V836" s="1013"/>
      <c r="W836" s="138"/>
      <c r="AQ836" s="138"/>
    </row>
    <row r="837" spans="22:43" x14ac:dyDescent="0.35">
      <c r="V837" s="1013"/>
      <c r="W837" s="138"/>
      <c r="AQ837" s="138"/>
    </row>
    <row r="838" spans="22:43" x14ac:dyDescent="0.35">
      <c r="V838" s="1013"/>
      <c r="W838" s="138"/>
      <c r="AQ838" s="138"/>
    </row>
    <row r="839" spans="22:43" x14ac:dyDescent="0.35">
      <c r="V839" s="1013"/>
      <c r="W839" s="138"/>
      <c r="AQ839" s="138"/>
    </row>
    <row r="840" spans="22:43" x14ac:dyDescent="0.35">
      <c r="V840" s="1013"/>
      <c r="W840" s="138"/>
      <c r="AQ840" s="138"/>
    </row>
    <row r="841" spans="22:43" x14ac:dyDescent="0.35">
      <c r="V841" s="1013"/>
      <c r="W841" s="138"/>
      <c r="AQ841" s="138"/>
    </row>
    <row r="842" spans="22:43" x14ac:dyDescent="0.35">
      <c r="V842" s="1013"/>
      <c r="W842" s="138"/>
      <c r="AQ842" s="138"/>
    </row>
    <row r="843" spans="22:43" x14ac:dyDescent="0.35">
      <c r="V843" s="1013"/>
      <c r="W843" s="138"/>
      <c r="AQ843" s="138"/>
    </row>
    <row r="844" spans="22:43" x14ac:dyDescent="0.35">
      <c r="V844" s="1013"/>
      <c r="W844" s="138"/>
      <c r="AQ844" s="138"/>
    </row>
    <row r="845" spans="22:43" x14ac:dyDescent="0.35">
      <c r="V845" s="1013"/>
      <c r="W845" s="138"/>
      <c r="AQ845" s="138"/>
    </row>
    <row r="846" spans="22:43" x14ac:dyDescent="0.35">
      <c r="V846" s="1013"/>
      <c r="W846" s="138"/>
      <c r="AQ846" s="138"/>
    </row>
    <row r="847" spans="22:43" x14ac:dyDescent="0.35">
      <c r="V847" s="1013"/>
      <c r="W847" s="138"/>
      <c r="AQ847" s="138"/>
    </row>
    <row r="848" spans="22:43" x14ac:dyDescent="0.35">
      <c r="V848" s="1013"/>
      <c r="W848" s="138"/>
      <c r="AQ848" s="138"/>
    </row>
    <row r="849" spans="22:43" x14ac:dyDescent="0.35">
      <c r="V849" s="1013"/>
      <c r="W849" s="138"/>
      <c r="AQ849" s="138"/>
    </row>
    <row r="850" spans="22:43" x14ac:dyDescent="0.35">
      <c r="V850" s="1013"/>
      <c r="W850" s="138"/>
      <c r="AQ850" s="138"/>
    </row>
    <row r="851" spans="22:43" x14ac:dyDescent="0.35">
      <c r="V851" s="1013"/>
      <c r="W851" s="138"/>
      <c r="AQ851" s="138"/>
    </row>
    <row r="852" spans="22:43" x14ac:dyDescent="0.35">
      <c r="V852" s="1013"/>
      <c r="W852" s="138"/>
      <c r="AQ852" s="138"/>
    </row>
    <row r="853" spans="22:43" x14ac:dyDescent="0.35">
      <c r="V853" s="1013"/>
      <c r="W853" s="138"/>
      <c r="AQ853" s="138"/>
    </row>
    <row r="854" spans="22:43" x14ac:dyDescent="0.35">
      <c r="V854" s="1013"/>
      <c r="W854" s="138"/>
      <c r="AQ854" s="138"/>
    </row>
    <row r="855" spans="22:43" x14ac:dyDescent="0.35">
      <c r="V855" s="1013"/>
      <c r="W855" s="138"/>
      <c r="AQ855" s="138"/>
    </row>
    <row r="856" spans="22:43" x14ac:dyDescent="0.35">
      <c r="V856" s="1013"/>
      <c r="W856" s="138"/>
      <c r="AQ856" s="138"/>
    </row>
    <row r="857" spans="22:43" x14ac:dyDescent="0.35">
      <c r="V857" s="1013"/>
      <c r="W857" s="138"/>
      <c r="AQ857" s="138"/>
    </row>
    <row r="858" spans="22:43" x14ac:dyDescent="0.35">
      <c r="V858" s="1013"/>
      <c r="W858" s="138"/>
      <c r="AQ858" s="138"/>
    </row>
    <row r="859" spans="22:43" x14ac:dyDescent="0.35">
      <c r="V859" s="1013"/>
      <c r="W859" s="138"/>
      <c r="AQ859" s="138"/>
    </row>
    <row r="860" spans="22:43" x14ac:dyDescent="0.35">
      <c r="V860" s="1013"/>
      <c r="W860" s="138"/>
      <c r="AQ860" s="138"/>
    </row>
    <row r="861" spans="22:43" x14ac:dyDescent="0.35">
      <c r="V861" s="1013"/>
      <c r="W861" s="138"/>
      <c r="AQ861" s="138"/>
    </row>
    <row r="862" spans="22:43" x14ac:dyDescent="0.35">
      <c r="V862" s="1013"/>
      <c r="W862" s="138"/>
      <c r="AQ862" s="138"/>
    </row>
    <row r="863" spans="22:43" x14ac:dyDescent="0.35">
      <c r="V863" s="1013"/>
      <c r="W863" s="138"/>
      <c r="AQ863" s="138"/>
    </row>
    <row r="864" spans="22:43" x14ac:dyDescent="0.35">
      <c r="V864" s="1013"/>
      <c r="W864" s="138"/>
      <c r="AQ864" s="138"/>
    </row>
    <row r="865" spans="22:43" x14ac:dyDescent="0.35">
      <c r="V865" s="1013"/>
      <c r="W865" s="138"/>
      <c r="AQ865" s="138"/>
    </row>
    <row r="866" spans="22:43" x14ac:dyDescent="0.35">
      <c r="V866" s="1013"/>
      <c r="W866" s="138"/>
      <c r="AQ866" s="138"/>
    </row>
    <row r="867" spans="22:43" x14ac:dyDescent="0.35">
      <c r="V867" s="1013"/>
      <c r="W867" s="138"/>
      <c r="AQ867" s="138"/>
    </row>
    <row r="868" spans="22:43" x14ac:dyDescent="0.35">
      <c r="V868" s="1013"/>
      <c r="W868" s="138"/>
      <c r="AQ868" s="138"/>
    </row>
    <row r="869" spans="22:43" x14ac:dyDescent="0.35">
      <c r="V869" s="1013"/>
      <c r="W869" s="138"/>
      <c r="AQ869" s="138"/>
    </row>
    <row r="870" spans="22:43" x14ac:dyDescent="0.35">
      <c r="V870" s="1013"/>
      <c r="W870" s="138"/>
      <c r="AQ870" s="138"/>
    </row>
    <row r="871" spans="22:43" x14ac:dyDescent="0.35">
      <c r="V871" s="1013"/>
      <c r="W871" s="138"/>
      <c r="AQ871" s="138"/>
    </row>
    <row r="872" spans="22:43" x14ac:dyDescent="0.35">
      <c r="V872" s="1013"/>
      <c r="W872" s="138"/>
      <c r="AQ872" s="138"/>
    </row>
    <row r="873" spans="22:43" x14ac:dyDescent="0.35">
      <c r="V873" s="1013"/>
      <c r="W873" s="138"/>
      <c r="AQ873" s="138"/>
    </row>
    <row r="874" spans="22:43" x14ac:dyDescent="0.35">
      <c r="V874" s="1013"/>
      <c r="W874" s="138"/>
      <c r="AQ874" s="138"/>
    </row>
    <row r="875" spans="22:43" x14ac:dyDescent="0.35">
      <c r="V875" s="1013"/>
      <c r="W875" s="138"/>
      <c r="AQ875" s="138"/>
    </row>
    <row r="876" spans="22:43" x14ac:dyDescent="0.35">
      <c r="V876" s="1013"/>
      <c r="W876" s="138"/>
      <c r="AQ876" s="138"/>
    </row>
    <row r="877" spans="22:43" x14ac:dyDescent="0.35">
      <c r="V877" s="1013"/>
      <c r="W877" s="138"/>
      <c r="AQ877" s="138"/>
    </row>
    <row r="878" spans="22:43" x14ac:dyDescent="0.35">
      <c r="V878" s="1013"/>
      <c r="W878" s="138"/>
      <c r="AQ878" s="138"/>
    </row>
    <row r="879" spans="22:43" x14ac:dyDescent="0.35">
      <c r="V879" s="1013"/>
      <c r="W879" s="138"/>
      <c r="AQ879" s="138"/>
    </row>
    <row r="880" spans="22:43" x14ac:dyDescent="0.35">
      <c r="V880" s="1013"/>
      <c r="W880" s="138"/>
      <c r="AQ880" s="138"/>
    </row>
    <row r="881" spans="22:43" x14ac:dyDescent="0.35">
      <c r="V881" s="1013"/>
      <c r="W881" s="138"/>
      <c r="AQ881" s="138"/>
    </row>
    <row r="882" spans="22:43" x14ac:dyDescent="0.35">
      <c r="V882" s="1013"/>
      <c r="W882" s="138"/>
      <c r="AQ882" s="138"/>
    </row>
    <row r="883" spans="22:43" x14ac:dyDescent="0.35">
      <c r="V883" s="1013"/>
      <c r="W883" s="138"/>
      <c r="AQ883" s="138"/>
    </row>
    <row r="884" spans="22:43" x14ac:dyDescent="0.35">
      <c r="V884" s="1013"/>
      <c r="W884" s="138"/>
      <c r="AQ884" s="138"/>
    </row>
    <row r="885" spans="22:43" x14ac:dyDescent="0.35">
      <c r="V885" s="1013"/>
      <c r="W885" s="138"/>
      <c r="AQ885" s="138"/>
    </row>
    <row r="886" spans="22:43" x14ac:dyDescent="0.35">
      <c r="V886" s="1013"/>
      <c r="W886" s="138"/>
      <c r="AQ886" s="138"/>
    </row>
    <row r="887" spans="22:43" x14ac:dyDescent="0.35">
      <c r="V887" s="1013"/>
      <c r="W887" s="138"/>
      <c r="AQ887" s="138"/>
    </row>
    <row r="888" spans="22:43" x14ac:dyDescent="0.35">
      <c r="V888" s="1013"/>
      <c r="W888" s="138"/>
      <c r="AQ888" s="138"/>
    </row>
    <row r="889" spans="22:43" x14ac:dyDescent="0.35">
      <c r="V889" s="1013"/>
      <c r="W889" s="138"/>
      <c r="AQ889" s="138"/>
    </row>
    <row r="890" spans="22:43" x14ac:dyDescent="0.35">
      <c r="V890" s="1013"/>
      <c r="W890" s="138"/>
      <c r="AQ890" s="138"/>
    </row>
    <row r="891" spans="22:43" x14ac:dyDescent="0.35">
      <c r="V891" s="1013"/>
      <c r="W891" s="138"/>
      <c r="AQ891" s="138"/>
    </row>
    <row r="892" spans="22:43" x14ac:dyDescent="0.35">
      <c r="V892" s="1013"/>
      <c r="W892" s="138"/>
      <c r="AQ892" s="138"/>
    </row>
    <row r="893" spans="22:43" x14ac:dyDescent="0.35">
      <c r="V893" s="1013"/>
      <c r="W893" s="138"/>
      <c r="AQ893" s="138"/>
    </row>
    <row r="894" spans="22:43" x14ac:dyDescent="0.35">
      <c r="V894" s="1013"/>
      <c r="W894" s="138"/>
      <c r="AQ894" s="138"/>
    </row>
    <row r="895" spans="22:43" x14ac:dyDescent="0.35">
      <c r="V895" s="1013"/>
      <c r="W895" s="138"/>
      <c r="AQ895" s="138"/>
    </row>
    <row r="896" spans="22:43" x14ac:dyDescent="0.35">
      <c r="V896" s="1013"/>
      <c r="W896" s="138"/>
      <c r="AQ896" s="138"/>
    </row>
    <row r="897" spans="22:43" x14ac:dyDescent="0.35">
      <c r="V897" s="1013"/>
      <c r="W897" s="138"/>
      <c r="AQ897" s="138"/>
    </row>
    <row r="898" spans="22:43" x14ac:dyDescent="0.35">
      <c r="V898" s="1013"/>
      <c r="W898" s="138"/>
      <c r="AQ898" s="138"/>
    </row>
    <row r="899" spans="22:43" x14ac:dyDescent="0.35">
      <c r="V899" s="1013"/>
      <c r="W899" s="138"/>
      <c r="AQ899" s="138"/>
    </row>
    <row r="900" spans="22:43" x14ac:dyDescent="0.35">
      <c r="V900" s="1013"/>
      <c r="W900" s="138"/>
      <c r="AQ900" s="138"/>
    </row>
    <row r="901" spans="22:43" x14ac:dyDescent="0.35">
      <c r="V901" s="1013"/>
      <c r="W901" s="138"/>
      <c r="AQ901" s="138"/>
    </row>
    <row r="902" spans="22:43" x14ac:dyDescent="0.35">
      <c r="V902" s="1013"/>
      <c r="W902" s="138"/>
      <c r="AQ902" s="138"/>
    </row>
    <row r="903" spans="22:43" x14ac:dyDescent="0.35">
      <c r="V903" s="1013"/>
      <c r="W903" s="138"/>
      <c r="AQ903" s="138"/>
    </row>
    <row r="904" spans="22:43" x14ac:dyDescent="0.35">
      <c r="V904" s="1013"/>
      <c r="W904" s="138"/>
      <c r="AQ904" s="138"/>
    </row>
    <row r="905" spans="22:43" x14ac:dyDescent="0.35">
      <c r="V905" s="1013"/>
      <c r="W905" s="138"/>
      <c r="AQ905" s="138"/>
    </row>
    <row r="906" spans="22:43" x14ac:dyDescent="0.35">
      <c r="V906" s="1013"/>
      <c r="W906" s="138"/>
      <c r="AQ906" s="138"/>
    </row>
    <row r="907" spans="22:43" x14ac:dyDescent="0.35">
      <c r="V907" s="1013"/>
      <c r="W907" s="138"/>
      <c r="AQ907" s="138"/>
    </row>
    <row r="908" spans="22:43" x14ac:dyDescent="0.35">
      <c r="V908" s="1013"/>
      <c r="W908" s="138"/>
      <c r="AQ908" s="138"/>
    </row>
    <row r="909" spans="22:43" x14ac:dyDescent="0.35">
      <c r="V909" s="1013"/>
      <c r="W909" s="138"/>
      <c r="AQ909" s="138"/>
    </row>
    <row r="910" spans="22:43" x14ac:dyDescent="0.35">
      <c r="V910" s="1013"/>
      <c r="W910" s="138"/>
      <c r="AQ910" s="138"/>
    </row>
    <row r="911" spans="22:43" x14ac:dyDescent="0.35">
      <c r="V911" s="1013"/>
      <c r="W911" s="138"/>
      <c r="AQ911" s="138"/>
    </row>
    <row r="912" spans="22:43" x14ac:dyDescent="0.35">
      <c r="V912" s="1013"/>
      <c r="W912" s="138"/>
      <c r="AQ912" s="138"/>
    </row>
    <row r="913" spans="22:43" x14ac:dyDescent="0.35">
      <c r="V913" s="1013"/>
      <c r="W913" s="138"/>
      <c r="AQ913" s="138"/>
    </row>
    <row r="914" spans="22:43" x14ac:dyDescent="0.35">
      <c r="V914" s="1013"/>
      <c r="W914" s="138"/>
      <c r="AQ914" s="138"/>
    </row>
    <row r="915" spans="22:43" x14ac:dyDescent="0.35">
      <c r="V915" s="1013"/>
      <c r="W915" s="138"/>
      <c r="AQ915" s="138"/>
    </row>
    <row r="916" spans="22:43" x14ac:dyDescent="0.35">
      <c r="V916" s="1013"/>
      <c r="W916" s="138"/>
      <c r="AQ916" s="138"/>
    </row>
    <row r="917" spans="22:43" x14ac:dyDescent="0.35">
      <c r="V917" s="1013"/>
      <c r="W917" s="138"/>
      <c r="AQ917" s="138"/>
    </row>
    <row r="918" spans="22:43" x14ac:dyDescent="0.35">
      <c r="V918" s="1013"/>
      <c r="W918" s="138"/>
      <c r="AQ918" s="138"/>
    </row>
    <row r="919" spans="22:43" x14ac:dyDescent="0.35">
      <c r="V919" s="1013"/>
      <c r="W919" s="138"/>
      <c r="AQ919" s="138"/>
    </row>
    <row r="920" spans="22:43" x14ac:dyDescent="0.35">
      <c r="V920" s="1013"/>
      <c r="W920" s="138"/>
      <c r="AQ920" s="138"/>
    </row>
    <row r="921" spans="22:43" x14ac:dyDescent="0.35">
      <c r="V921" s="1013"/>
      <c r="W921" s="138"/>
      <c r="AQ921" s="138"/>
    </row>
    <row r="922" spans="22:43" x14ac:dyDescent="0.35">
      <c r="V922" s="1013"/>
      <c r="W922" s="138"/>
      <c r="AQ922" s="138"/>
    </row>
    <row r="923" spans="22:43" x14ac:dyDescent="0.35">
      <c r="V923" s="1013"/>
      <c r="W923" s="138"/>
      <c r="AQ923" s="138"/>
    </row>
    <row r="924" spans="22:43" x14ac:dyDescent="0.35">
      <c r="V924" s="1013"/>
      <c r="W924" s="138"/>
      <c r="AQ924" s="138"/>
    </row>
    <row r="925" spans="22:43" x14ac:dyDescent="0.35">
      <c r="V925" s="1013"/>
      <c r="W925" s="138"/>
      <c r="AQ925" s="138"/>
    </row>
    <row r="926" spans="22:43" x14ac:dyDescent="0.35">
      <c r="V926" s="1013"/>
      <c r="W926" s="138"/>
      <c r="AQ926" s="138"/>
    </row>
    <row r="927" spans="22:43" x14ac:dyDescent="0.35">
      <c r="V927" s="1013"/>
      <c r="W927" s="138"/>
      <c r="AQ927" s="138"/>
    </row>
    <row r="928" spans="22:43" x14ac:dyDescent="0.35">
      <c r="V928" s="1013"/>
      <c r="W928" s="138"/>
      <c r="AQ928" s="138"/>
    </row>
    <row r="929" spans="22:43" x14ac:dyDescent="0.35">
      <c r="V929" s="1013"/>
      <c r="W929" s="138"/>
      <c r="AQ929" s="138"/>
    </row>
    <row r="930" spans="22:43" x14ac:dyDescent="0.35">
      <c r="V930" s="1013"/>
      <c r="W930" s="138"/>
      <c r="AQ930" s="138"/>
    </row>
    <row r="931" spans="22:43" x14ac:dyDescent="0.35">
      <c r="V931" s="1013"/>
      <c r="W931" s="138"/>
      <c r="AQ931" s="138"/>
    </row>
    <row r="932" spans="22:43" x14ac:dyDescent="0.35">
      <c r="V932" s="1013"/>
      <c r="W932" s="138"/>
      <c r="AQ932" s="138"/>
    </row>
    <row r="933" spans="22:43" x14ac:dyDescent="0.35">
      <c r="V933" s="1013"/>
      <c r="W933" s="138"/>
      <c r="AQ933" s="138"/>
    </row>
    <row r="934" spans="22:43" x14ac:dyDescent="0.35">
      <c r="V934" s="1013"/>
      <c r="W934" s="138"/>
      <c r="AQ934" s="138"/>
    </row>
    <row r="935" spans="22:43" x14ac:dyDescent="0.35">
      <c r="V935" s="1013"/>
      <c r="W935" s="138"/>
      <c r="AQ935" s="138"/>
    </row>
    <row r="936" spans="22:43" x14ac:dyDescent="0.35">
      <c r="V936" s="1013"/>
      <c r="W936" s="138"/>
      <c r="AQ936" s="138"/>
    </row>
    <row r="937" spans="22:43" x14ac:dyDescent="0.35">
      <c r="V937" s="1013"/>
      <c r="W937" s="138"/>
      <c r="AQ937" s="138"/>
    </row>
    <row r="938" spans="22:43" x14ac:dyDescent="0.35">
      <c r="V938" s="1013"/>
      <c r="W938" s="138"/>
      <c r="AQ938" s="138"/>
    </row>
    <row r="939" spans="22:43" x14ac:dyDescent="0.35">
      <c r="V939" s="1013"/>
      <c r="W939" s="138"/>
      <c r="AQ939" s="138"/>
    </row>
    <row r="940" spans="22:43" x14ac:dyDescent="0.35">
      <c r="V940" s="1013"/>
      <c r="W940" s="138"/>
      <c r="AQ940" s="138"/>
    </row>
    <row r="941" spans="22:43" x14ac:dyDescent="0.35">
      <c r="V941" s="1013"/>
      <c r="W941" s="138"/>
      <c r="AQ941" s="138"/>
    </row>
    <row r="942" spans="22:43" x14ac:dyDescent="0.35">
      <c r="V942" s="1013"/>
      <c r="W942" s="138"/>
      <c r="AQ942" s="138"/>
    </row>
    <row r="943" spans="22:43" x14ac:dyDescent="0.35">
      <c r="V943" s="1013"/>
      <c r="W943" s="138"/>
      <c r="AQ943" s="138"/>
    </row>
    <row r="944" spans="22:43" x14ac:dyDescent="0.35">
      <c r="V944" s="1013"/>
      <c r="W944" s="138"/>
      <c r="AQ944" s="138"/>
    </row>
    <row r="945" spans="22:43" x14ac:dyDescent="0.35">
      <c r="V945" s="1013"/>
      <c r="W945" s="138"/>
      <c r="AQ945" s="138"/>
    </row>
    <row r="946" spans="22:43" x14ac:dyDescent="0.35">
      <c r="V946" s="1013"/>
      <c r="W946" s="138"/>
      <c r="AQ946" s="138"/>
    </row>
    <row r="947" spans="22:43" x14ac:dyDescent="0.35">
      <c r="V947" s="1013"/>
      <c r="W947" s="138"/>
      <c r="AQ947" s="138"/>
    </row>
    <row r="948" spans="22:43" x14ac:dyDescent="0.35">
      <c r="V948" s="1013"/>
      <c r="W948" s="138"/>
      <c r="AQ948" s="138"/>
    </row>
    <row r="949" spans="22:43" x14ac:dyDescent="0.35">
      <c r="V949" s="1013"/>
      <c r="W949" s="138"/>
      <c r="AQ949" s="138"/>
    </row>
    <row r="950" spans="22:43" x14ac:dyDescent="0.35">
      <c r="V950" s="1013"/>
      <c r="W950" s="138"/>
      <c r="AQ950" s="138"/>
    </row>
    <row r="951" spans="22:43" x14ac:dyDescent="0.35">
      <c r="V951" s="1013"/>
      <c r="W951" s="138"/>
      <c r="AQ951" s="138"/>
    </row>
    <row r="952" spans="22:43" x14ac:dyDescent="0.35">
      <c r="V952" s="1013"/>
      <c r="W952" s="138"/>
      <c r="AQ952" s="138"/>
    </row>
    <row r="953" spans="22:43" x14ac:dyDescent="0.35">
      <c r="V953" s="1013"/>
      <c r="W953" s="138"/>
      <c r="AQ953" s="138"/>
    </row>
    <row r="954" spans="22:43" x14ac:dyDescent="0.35">
      <c r="V954" s="1013"/>
      <c r="W954" s="138"/>
      <c r="AQ954" s="138"/>
    </row>
    <row r="955" spans="22:43" x14ac:dyDescent="0.35">
      <c r="V955" s="1013"/>
      <c r="W955" s="138"/>
      <c r="AQ955" s="138"/>
    </row>
    <row r="956" spans="22:43" x14ac:dyDescent="0.35">
      <c r="V956" s="1013"/>
      <c r="W956" s="138"/>
      <c r="AQ956" s="138"/>
    </row>
    <row r="957" spans="22:43" x14ac:dyDescent="0.35">
      <c r="V957" s="1013"/>
      <c r="W957" s="138"/>
      <c r="AQ957" s="138"/>
    </row>
    <row r="958" spans="22:43" x14ac:dyDescent="0.35">
      <c r="V958" s="1013"/>
      <c r="W958" s="138"/>
      <c r="AQ958" s="138"/>
    </row>
    <row r="959" spans="22:43" x14ac:dyDescent="0.35">
      <c r="V959" s="1013"/>
      <c r="W959" s="138"/>
      <c r="AQ959" s="138"/>
    </row>
    <row r="960" spans="22:43" x14ac:dyDescent="0.35">
      <c r="V960" s="1013"/>
      <c r="W960" s="138"/>
      <c r="AQ960" s="138"/>
    </row>
    <row r="961" spans="22:43" x14ac:dyDescent="0.35">
      <c r="V961" s="1013"/>
      <c r="W961" s="138"/>
      <c r="AQ961" s="138"/>
    </row>
    <row r="962" spans="22:43" x14ac:dyDescent="0.35">
      <c r="V962" s="1013"/>
      <c r="W962" s="138"/>
      <c r="AQ962" s="138"/>
    </row>
    <row r="963" spans="22:43" x14ac:dyDescent="0.35">
      <c r="V963" s="1013"/>
      <c r="W963" s="138"/>
      <c r="AQ963" s="138"/>
    </row>
    <row r="964" spans="22:43" x14ac:dyDescent="0.35">
      <c r="V964" s="1013"/>
      <c r="W964" s="138"/>
      <c r="AQ964" s="138"/>
    </row>
    <row r="965" spans="22:43" x14ac:dyDescent="0.35">
      <c r="V965" s="1013"/>
      <c r="W965" s="138"/>
      <c r="AQ965" s="138"/>
    </row>
    <row r="966" spans="22:43" x14ac:dyDescent="0.35">
      <c r="V966" s="1013"/>
      <c r="W966" s="138"/>
      <c r="AQ966" s="138"/>
    </row>
    <row r="967" spans="22:43" x14ac:dyDescent="0.35">
      <c r="V967" s="1013"/>
      <c r="W967" s="138"/>
      <c r="AQ967" s="138"/>
    </row>
    <row r="968" spans="22:43" x14ac:dyDescent="0.35">
      <c r="V968" s="1013"/>
      <c r="W968" s="138"/>
      <c r="AQ968" s="138"/>
    </row>
    <row r="969" spans="22:43" x14ac:dyDescent="0.35">
      <c r="V969" s="1013"/>
      <c r="W969" s="138"/>
      <c r="AQ969" s="138"/>
    </row>
    <row r="970" spans="22:43" x14ac:dyDescent="0.35">
      <c r="V970" s="1013"/>
      <c r="W970" s="138"/>
      <c r="AQ970" s="138"/>
    </row>
    <row r="971" spans="22:43" x14ac:dyDescent="0.35">
      <c r="V971" s="1013"/>
      <c r="W971" s="138"/>
      <c r="AQ971" s="138"/>
    </row>
    <row r="972" spans="22:43" x14ac:dyDescent="0.35">
      <c r="V972" s="1013"/>
      <c r="W972" s="138"/>
      <c r="AQ972" s="138"/>
    </row>
    <row r="973" spans="22:43" x14ac:dyDescent="0.35">
      <c r="V973" s="1013"/>
      <c r="W973" s="138"/>
      <c r="AQ973" s="138"/>
    </row>
    <row r="974" spans="22:43" x14ac:dyDescent="0.35">
      <c r="V974" s="1013"/>
      <c r="W974" s="138"/>
      <c r="AQ974" s="138"/>
    </row>
    <row r="975" spans="22:43" x14ac:dyDescent="0.35">
      <c r="V975" s="1013"/>
      <c r="W975" s="138"/>
      <c r="AQ975" s="138"/>
    </row>
    <row r="976" spans="22:43" x14ac:dyDescent="0.35">
      <c r="V976" s="1013"/>
      <c r="W976" s="138"/>
      <c r="AQ976" s="138"/>
    </row>
    <row r="977" spans="22:43" x14ac:dyDescent="0.35">
      <c r="V977" s="1013"/>
      <c r="W977" s="138"/>
      <c r="AQ977" s="138"/>
    </row>
    <row r="978" spans="22:43" x14ac:dyDescent="0.35">
      <c r="V978" s="1013"/>
      <c r="W978" s="138"/>
      <c r="AQ978" s="138"/>
    </row>
    <row r="979" spans="22:43" x14ac:dyDescent="0.35">
      <c r="V979" s="1013"/>
      <c r="W979" s="138"/>
      <c r="AQ979" s="138"/>
    </row>
    <row r="980" spans="22:43" x14ac:dyDescent="0.35">
      <c r="V980" s="1013"/>
      <c r="W980" s="138"/>
      <c r="AQ980" s="138"/>
    </row>
    <row r="981" spans="22:43" x14ac:dyDescent="0.35">
      <c r="V981" s="1013"/>
      <c r="W981" s="138"/>
      <c r="AQ981" s="138"/>
    </row>
    <row r="982" spans="22:43" x14ac:dyDescent="0.35">
      <c r="V982" s="1013"/>
      <c r="W982" s="138"/>
      <c r="AQ982" s="138"/>
    </row>
    <row r="983" spans="22:43" x14ac:dyDescent="0.35">
      <c r="V983" s="1013"/>
      <c r="W983" s="138"/>
      <c r="AQ983" s="138"/>
    </row>
    <row r="984" spans="22:43" x14ac:dyDescent="0.35">
      <c r="V984" s="1013"/>
      <c r="W984" s="138"/>
      <c r="AQ984" s="138"/>
    </row>
    <row r="985" spans="22:43" x14ac:dyDescent="0.35">
      <c r="V985" s="1013"/>
      <c r="W985" s="138"/>
      <c r="AQ985" s="138"/>
    </row>
    <row r="986" spans="22:43" x14ac:dyDescent="0.35">
      <c r="V986" s="1013"/>
      <c r="W986" s="138"/>
      <c r="AQ986" s="138"/>
    </row>
    <row r="987" spans="22:43" x14ac:dyDescent="0.35">
      <c r="V987" s="1013"/>
      <c r="W987" s="138"/>
      <c r="AQ987" s="138"/>
    </row>
    <row r="988" spans="22:43" x14ac:dyDescent="0.35">
      <c r="V988" s="1013"/>
      <c r="W988" s="138"/>
      <c r="AQ988" s="138"/>
    </row>
    <row r="989" spans="22:43" x14ac:dyDescent="0.35">
      <c r="V989" s="1013"/>
      <c r="W989" s="138"/>
      <c r="AQ989" s="138"/>
    </row>
    <row r="990" spans="22:43" x14ac:dyDescent="0.35">
      <c r="V990" s="1013"/>
      <c r="W990" s="138"/>
      <c r="AQ990" s="138"/>
    </row>
    <row r="991" spans="22:43" x14ac:dyDescent="0.35">
      <c r="V991" s="1013"/>
      <c r="W991" s="138"/>
      <c r="AQ991" s="138"/>
    </row>
    <row r="992" spans="22:43" x14ac:dyDescent="0.35">
      <c r="V992" s="1013"/>
      <c r="W992" s="138"/>
      <c r="AQ992" s="138"/>
    </row>
    <row r="993" spans="22:43" x14ac:dyDescent="0.35">
      <c r="V993" s="1013"/>
      <c r="W993" s="138"/>
      <c r="AQ993" s="138"/>
    </row>
    <row r="994" spans="22:43" x14ac:dyDescent="0.35">
      <c r="V994" s="1013"/>
      <c r="W994" s="138"/>
      <c r="AQ994" s="138"/>
    </row>
    <row r="995" spans="22:43" x14ac:dyDescent="0.35">
      <c r="V995" s="1013"/>
      <c r="W995" s="138"/>
      <c r="AQ995" s="138"/>
    </row>
    <row r="996" spans="22:43" x14ac:dyDescent="0.35">
      <c r="V996" s="1013"/>
      <c r="W996" s="138"/>
      <c r="AQ996" s="138"/>
    </row>
    <row r="997" spans="22:43" x14ac:dyDescent="0.35">
      <c r="V997" s="1013"/>
      <c r="W997" s="138"/>
      <c r="AQ997" s="138"/>
    </row>
    <row r="998" spans="22:43" x14ac:dyDescent="0.35">
      <c r="V998" s="1013"/>
      <c r="W998" s="138"/>
      <c r="AQ998" s="138"/>
    </row>
    <row r="999" spans="22:43" x14ac:dyDescent="0.35">
      <c r="V999" s="1013"/>
      <c r="W999" s="138"/>
      <c r="AQ999" s="138"/>
    </row>
    <row r="1000" spans="22:43" x14ac:dyDescent="0.35">
      <c r="V1000" s="1013"/>
      <c r="W1000" s="138"/>
      <c r="AQ1000" s="138"/>
    </row>
    <row r="1001" spans="22:43" x14ac:dyDescent="0.35">
      <c r="V1001" s="1013"/>
      <c r="W1001" s="138"/>
      <c r="AQ1001" s="138"/>
    </row>
    <row r="1002" spans="22:43" x14ac:dyDescent="0.35">
      <c r="V1002" s="1013"/>
      <c r="W1002" s="138"/>
      <c r="AQ1002" s="138"/>
    </row>
    <row r="1003" spans="22:43" x14ac:dyDescent="0.35">
      <c r="V1003" s="1013"/>
      <c r="W1003" s="138"/>
      <c r="AQ1003" s="138"/>
    </row>
    <row r="1004" spans="22:43" x14ac:dyDescent="0.35">
      <c r="V1004" s="1013"/>
      <c r="W1004" s="138"/>
      <c r="AQ1004" s="138"/>
    </row>
    <row r="1005" spans="22:43" x14ac:dyDescent="0.35">
      <c r="V1005" s="1013"/>
      <c r="W1005" s="138"/>
      <c r="AQ1005" s="138"/>
    </row>
    <row r="1006" spans="22:43" x14ac:dyDescent="0.35">
      <c r="V1006" s="1013"/>
      <c r="W1006" s="138"/>
      <c r="AQ1006" s="138"/>
    </row>
    <row r="1007" spans="22:43" x14ac:dyDescent="0.35">
      <c r="V1007" s="1013"/>
      <c r="W1007" s="138"/>
      <c r="AQ1007" s="138"/>
    </row>
    <row r="1008" spans="22:43" x14ac:dyDescent="0.35">
      <c r="V1008" s="1013"/>
      <c r="W1008" s="138"/>
      <c r="AQ1008" s="138"/>
    </row>
    <row r="1009" spans="22:43" x14ac:dyDescent="0.35">
      <c r="V1009" s="1013"/>
      <c r="W1009" s="138"/>
      <c r="AQ1009" s="138"/>
    </row>
    <row r="1010" spans="22:43" x14ac:dyDescent="0.35">
      <c r="V1010" s="1013"/>
      <c r="W1010" s="138"/>
      <c r="AQ1010" s="138"/>
    </row>
    <row r="1011" spans="22:43" x14ac:dyDescent="0.35">
      <c r="V1011" s="1013"/>
      <c r="W1011" s="138"/>
      <c r="AQ1011" s="138"/>
    </row>
    <row r="1012" spans="22:43" x14ac:dyDescent="0.35">
      <c r="V1012" s="1013"/>
      <c r="W1012" s="138"/>
      <c r="AQ1012" s="138"/>
    </row>
    <row r="1013" spans="22:43" x14ac:dyDescent="0.35">
      <c r="V1013" s="1013"/>
      <c r="W1013" s="138"/>
      <c r="AQ1013" s="138"/>
    </row>
    <row r="1014" spans="22:43" x14ac:dyDescent="0.35">
      <c r="V1014" s="1013"/>
      <c r="W1014" s="138"/>
      <c r="AQ1014" s="138"/>
    </row>
    <row r="1015" spans="22:43" x14ac:dyDescent="0.35">
      <c r="V1015" s="1013"/>
      <c r="W1015" s="138"/>
      <c r="AQ1015" s="138"/>
    </row>
    <row r="1016" spans="22:43" x14ac:dyDescent="0.35">
      <c r="V1016" s="1013"/>
      <c r="W1016" s="138"/>
      <c r="AQ1016" s="138"/>
    </row>
    <row r="1017" spans="22:43" x14ac:dyDescent="0.35">
      <c r="V1017" s="1013"/>
      <c r="W1017" s="138"/>
      <c r="AQ1017" s="138"/>
    </row>
    <row r="1018" spans="22:43" x14ac:dyDescent="0.35">
      <c r="V1018" s="1013"/>
      <c r="W1018" s="138"/>
      <c r="AQ1018" s="138"/>
    </row>
    <row r="1019" spans="22:43" x14ac:dyDescent="0.35">
      <c r="V1019" s="1013"/>
      <c r="W1019" s="138"/>
      <c r="AQ1019" s="138"/>
    </row>
    <row r="1020" spans="22:43" x14ac:dyDescent="0.35">
      <c r="V1020" s="1013"/>
      <c r="W1020" s="138"/>
      <c r="AQ1020" s="138"/>
    </row>
    <row r="1021" spans="22:43" x14ac:dyDescent="0.35">
      <c r="V1021" s="1013"/>
      <c r="W1021" s="138"/>
      <c r="AQ1021" s="138"/>
    </row>
    <row r="1022" spans="22:43" x14ac:dyDescent="0.35">
      <c r="V1022" s="1013"/>
      <c r="W1022" s="138"/>
      <c r="AQ1022" s="138"/>
    </row>
    <row r="1023" spans="22:43" x14ac:dyDescent="0.35">
      <c r="V1023" s="1013"/>
      <c r="W1023" s="138"/>
      <c r="AQ1023" s="138"/>
    </row>
    <row r="1024" spans="22:43" x14ac:dyDescent="0.35">
      <c r="V1024" s="1013"/>
      <c r="W1024" s="138"/>
      <c r="AQ1024" s="138"/>
    </row>
    <row r="1025" spans="22:43" x14ac:dyDescent="0.35">
      <c r="V1025" s="1013"/>
      <c r="W1025" s="138"/>
      <c r="AQ1025" s="138"/>
    </row>
    <row r="1026" spans="22:43" x14ac:dyDescent="0.35">
      <c r="V1026" s="1013"/>
      <c r="W1026" s="138"/>
      <c r="AQ1026" s="138"/>
    </row>
    <row r="1027" spans="22:43" x14ac:dyDescent="0.35">
      <c r="V1027" s="1013"/>
      <c r="W1027" s="138"/>
      <c r="AQ1027" s="138"/>
    </row>
    <row r="1028" spans="22:43" x14ac:dyDescent="0.35">
      <c r="V1028" s="1013"/>
      <c r="W1028" s="138"/>
      <c r="AQ1028" s="138"/>
    </row>
    <row r="1029" spans="22:43" x14ac:dyDescent="0.35">
      <c r="V1029" s="1013"/>
      <c r="W1029" s="138"/>
      <c r="AQ1029" s="138"/>
    </row>
    <row r="1030" spans="22:43" x14ac:dyDescent="0.35">
      <c r="V1030" s="1013"/>
      <c r="W1030" s="138"/>
      <c r="AQ1030" s="138"/>
    </row>
    <row r="1031" spans="22:43" x14ac:dyDescent="0.35">
      <c r="V1031" s="1013"/>
      <c r="W1031" s="138"/>
      <c r="AQ1031" s="138"/>
    </row>
    <row r="1032" spans="22:43" x14ac:dyDescent="0.35">
      <c r="V1032" s="1013"/>
      <c r="W1032" s="138"/>
      <c r="AQ1032" s="138"/>
    </row>
    <row r="1033" spans="22:43" x14ac:dyDescent="0.35">
      <c r="V1033" s="1013"/>
      <c r="W1033" s="138"/>
      <c r="AQ1033" s="138"/>
    </row>
    <row r="1034" spans="22:43" x14ac:dyDescent="0.35">
      <c r="V1034" s="1013"/>
      <c r="W1034" s="138"/>
      <c r="AQ1034" s="138"/>
    </row>
    <row r="1035" spans="22:43" x14ac:dyDescent="0.35">
      <c r="V1035" s="1013"/>
      <c r="W1035" s="138"/>
      <c r="AQ1035" s="138"/>
    </row>
    <row r="1036" spans="22:43" x14ac:dyDescent="0.35">
      <c r="V1036" s="1013"/>
      <c r="W1036" s="138"/>
      <c r="AQ1036" s="138"/>
    </row>
    <row r="1037" spans="22:43" x14ac:dyDescent="0.35">
      <c r="V1037" s="1013"/>
      <c r="W1037" s="138"/>
      <c r="AQ1037" s="138"/>
    </row>
    <row r="1038" spans="22:43" x14ac:dyDescent="0.35">
      <c r="V1038" s="1013"/>
      <c r="W1038" s="138"/>
      <c r="AQ1038" s="138"/>
    </row>
    <row r="1039" spans="22:43" x14ac:dyDescent="0.35">
      <c r="V1039" s="1013"/>
      <c r="W1039" s="138"/>
      <c r="AQ1039" s="138"/>
    </row>
    <row r="1040" spans="22:43" x14ac:dyDescent="0.35">
      <c r="V1040" s="1013"/>
      <c r="W1040" s="138"/>
      <c r="AQ1040" s="138"/>
    </row>
    <row r="1041" spans="22:43" x14ac:dyDescent="0.35">
      <c r="V1041" s="1013"/>
      <c r="W1041" s="138"/>
      <c r="AQ1041" s="138"/>
    </row>
    <row r="1042" spans="22:43" x14ac:dyDescent="0.35">
      <c r="V1042" s="1013"/>
      <c r="W1042" s="138"/>
      <c r="AQ1042" s="138"/>
    </row>
    <row r="1043" spans="22:43" x14ac:dyDescent="0.35">
      <c r="V1043" s="1013"/>
      <c r="W1043" s="138"/>
      <c r="AQ1043" s="138"/>
    </row>
    <row r="1044" spans="22:43" x14ac:dyDescent="0.35">
      <c r="V1044" s="1013"/>
      <c r="W1044" s="138"/>
      <c r="AQ1044" s="138"/>
    </row>
    <row r="1045" spans="22:43" x14ac:dyDescent="0.35">
      <c r="V1045" s="1013"/>
      <c r="W1045" s="138"/>
      <c r="AQ1045" s="138"/>
    </row>
    <row r="1046" spans="22:43" x14ac:dyDescent="0.35">
      <c r="V1046" s="1013"/>
      <c r="W1046" s="138"/>
      <c r="AQ1046" s="138"/>
    </row>
    <row r="1047" spans="22:43" x14ac:dyDescent="0.35">
      <c r="V1047" s="1013"/>
      <c r="W1047" s="138"/>
      <c r="AQ1047" s="138"/>
    </row>
    <row r="1048" spans="22:43" x14ac:dyDescent="0.35">
      <c r="V1048" s="1013"/>
      <c r="W1048" s="138"/>
      <c r="AQ1048" s="138"/>
    </row>
    <row r="1049" spans="22:43" x14ac:dyDescent="0.35">
      <c r="V1049" s="1013"/>
      <c r="W1049" s="138"/>
      <c r="AQ1049" s="138"/>
    </row>
    <row r="1050" spans="22:43" x14ac:dyDescent="0.35">
      <c r="V1050" s="1013"/>
      <c r="W1050" s="138"/>
      <c r="AQ1050" s="138"/>
    </row>
    <row r="1051" spans="22:43" x14ac:dyDescent="0.35">
      <c r="V1051" s="1013"/>
      <c r="W1051" s="138"/>
      <c r="AQ1051" s="138"/>
    </row>
    <row r="1052" spans="22:43" x14ac:dyDescent="0.35">
      <c r="V1052" s="1013"/>
      <c r="W1052" s="138"/>
      <c r="AQ1052" s="138"/>
    </row>
    <row r="1053" spans="22:43" x14ac:dyDescent="0.35">
      <c r="V1053" s="1013"/>
      <c r="W1053" s="138"/>
      <c r="AQ1053" s="138"/>
    </row>
    <row r="1054" spans="22:43" x14ac:dyDescent="0.35">
      <c r="V1054" s="1013"/>
      <c r="W1054" s="138"/>
      <c r="AQ1054" s="138"/>
    </row>
    <row r="1055" spans="22:43" x14ac:dyDescent="0.35">
      <c r="V1055" s="1013"/>
      <c r="W1055" s="138"/>
      <c r="AQ1055" s="138"/>
    </row>
    <row r="1056" spans="22:43" x14ac:dyDescent="0.35">
      <c r="V1056" s="1013"/>
      <c r="W1056" s="138"/>
      <c r="AQ1056" s="138"/>
    </row>
    <row r="1057" spans="22:43" x14ac:dyDescent="0.35">
      <c r="V1057" s="1013"/>
      <c r="W1057" s="138"/>
      <c r="AQ1057" s="138"/>
    </row>
    <row r="1058" spans="22:43" x14ac:dyDescent="0.35">
      <c r="V1058" s="1013"/>
      <c r="W1058" s="138"/>
      <c r="AQ1058" s="138"/>
    </row>
    <row r="1059" spans="22:43" x14ac:dyDescent="0.35">
      <c r="V1059" s="1013"/>
      <c r="W1059" s="138"/>
      <c r="AQ1059" s="138"/>
    </row>
    <row r="1060" spans="22:43" x14ac:dyDescent="0.35">
      <c r="V1060" s="1013"/>
      <c r="W1060" s="138"/>
      <c r="AQ1060" s="138"/>
    </row>
    <row r="1061" spans="22:43" x14ac:dyDescent="0.35">
      <c r="V1061" s="1013"/>
      <c r="W1061" s="138"/>
      <c r="AQ1061" s="138"/>
    </row>
    <row r="1062" spans="22:43" x14ac:dyDescent="0.35">
      <c r="V1062" s="1013"/>
      <c r="W1062" s="138"/>
      <c r="AQ1062" s="138"/>
    </row>
    <row r="1063" spans="22:43" x14ac:dyDescent="0.35">
      <c r="V1063" s="1013"/>
      <c r="W1063" s="138"/>
      <c r="AQ1063" s="138"/>
    </row>
    <row r="1064" spans="22:43" x14ac:dyDescent="0.35">
      <c r="V1064" s="1013"/>
      <c r="W1064" s="138"/>
      <c r="AQ1064" s="138"/>
    </row>
    <row r="1065" spans="22:43" x14ac:dyDescent="0.35">
      <c r="V1065" s="1013"/>
      <c r="W1065" s="138"/>
      <c r="AQ1065" s="138"/>
    </row>
    <row r="1066" spans="22:43" x14ac:dyDescent="0.35">
      <c r="V1066" s="1013"/>
      <c r="W1066" s="138"/>
      <c r="AQ1066" s="138"/>
    </row>
    <row r="1067" spans="22:43" x14ac:dyDescent="0.35">
      <c r="V1067" s="1013"/>
      <c r="W1067" s="138"/>
      <c r="AQ1067" s="138"/>
    </row>
    <row r="1068" spans="22:43" x14ac:dyDescent="0.35">
      <c r="V1068" s="1013"/>
      <c r="W1068" s="138"/>
      <c r="AQ1068" s="138"/>
    </row>
    <row r="1069" spans="22:43" x14ac:dyDescent="0.35">
      <c r="V1069" s="1013"/>
      <c r="W1069" s="138"/>
      <c r="AQ1069" s="138"/>
    </row>
    <row r="1070" spans="22:43" x14ac:dyDescent="0.35">
      <c r="V1070" s="1013"/>
      <c r="W1070" s="138"/>
      <c r="AQ1070" s="138"/>
    </row>
    <row r="1071" spans="22:43" x14ac:dyDescent="0.35">
      <c r="V1071" s="1013"/>
      <c r="W1071" s="138"/>
      <c r="AQ1071" s="138"/>
    </row>
    <row r="1072" spans="22:43" x14ac:dyDescent="0.35">
      <c r="V1072" s="1013"/>
      <c r="W1072" s="138"/>
      <c r="AQ1072" s="138"/>
    </row>
    <row r="1073" spans="22:43" x14ac:dyDescent="0.35">
      <c r="V1073" s="1013"/>
      <c r="W1073" s="138"/>
      <c r="AQ1073" s="138"/>
    </row>
    <row r="1074" spans="22:43" x14ac:dyDescent="0.35">
      <c r="V1074" s="1013"/>
      <c r="W1074" s="138"/>
      <c r="AQ1074" s="138"/>
    </row>
    <row r="1075" spans="22:43" x14ac:dyDescent="0.35">
      <c r="V1075" s="1013"/>
      <c r="W1075" s="138"/>
      <c r="AQ1075" s="138"/>
    </row>
    <row r="1076" spans="22:43" x14ac:dyDescent="0.35">
      <c r="V1076" s="1013"/>
      <c r="W1076" s="138"/>
      <c r="AQ1076" s="138"/>
    </row>
    <row r="1077" spans="22:43" x14ac:dyDescent="0.35">
      <c r="V1077" s="1013"/>
      <c r="W1077" s="138"/>
      <c r="AQ1077" s="138"/>
    </row>
    <row r="1078" spans="22:43" x14ac:dyDescent="0.35">
      <c r="V1078" s="1013"/>
      <c r="W1078" s="138"/>
      <c r="AQ1078" s="138"/>
    </row>
    <row r="1079" spans="22:43" x14ac:dyDescent="0.35">
      <c r="V1079" s="1013"/>
      <c r="W1079" s="138"/>
      <c r="AQ1079" s="138"/>
    </row>
    <row r="1080" spans="22:43" x14ac:dyDescent="0.35">
      <c r="V1080" s="1013"/>
      <c r="W1080" s="138"/>
      <c r="AQ1080" s="138"/>
    </row>
    <row r="1081" spans="22:43" x14ac:dyDescent="0.35">
      <c r="V1081" s="1013"/>
      <c r="W1081" s="138"/>
      <c r="AQ1081" s="138"/>
    </row>
    <row r="1082" spans="22:43" x14ac:dyDescent="0.35">
      <c r="V1082" s="1013"/>
      <c r="W1082" s="138"/>
      <c r="AQ1082" s="138"/>
    </row>
    <row r="1083" spans="22:43" x14ac:dyDescent="0.35">
      <c r="V1083" s="1013"/>
      <c r="W1083" s="138"/>
      <c r="AQ1083" s="138"/>
    </row>
    <row r="1084" spans="22:43" x14ac:dyDescent="0.35">
      <c r="V1084" s="1013"/>
      <c r="W1084" s="138"/>
      <c r="AQ1084" s="138"/>
    </row>
    <row r="1085" spans="22:43" x14ac:dyDescent="0.35">
      <c r="V1085" s="1013"/>
      <c r="W1085" s="138"/>
      <c r="AQ1085" s="138"/>
    </row>
    <row r="1086" spans="22:43" x14ac:dyDescent="0.35">
      <c r="V1086" s="1013"/>
      <c r="W1086" s="138"/>
      <c r="AQ1086" s="138"/>
    </row>
    <row r="1087" spans="22:43" x14ac:dyDescent="0.35">
      <c r="V1087" s="1013"/>
      <c r="W1087" s="138"/>
      <c r="AQ1087" s="138"/>
    </row>
    <row r="1088" spans="22:43" x14ac:dyDescent="0.35">
      <c r="V1088" s="1013"/>
      <c r="W1088" s="138"/>
      <c r="AQ1088" s="138"/>
    </row>
    <row r="1089" spans="22:43" x14ac:dyDescent="0.35">
      <c r="V1089" s="1013"/>
      <c r="W1089" s="138"/>
      <c r="AQ1089" s="138"/>
    </row>
    <row r="1090" spans="22:43" x14ac:dyDescent="0.35">
      <c r="V1090" s="1013"/>
      <c r="W1090" s="138"/>
      <c r="AQ1090" s="138"/>
    </row>
    <row r="1091" spans="22:43" x14ac:dyDescent="0.35">
      <c r="V1091" s="1013"/>
      <c r="W1091" s="138"/>
      <c r="AQ1091" s="138"/>
    </row>
    <row r="1092" spans="22:43" x14ac:dyDescent="0.35">
      <c r="V1092" s="1013"/>
      <c r="W1092" s="138"/>
      <c r="AQ1092" s="138"/>
    </row>
    <row r="1093" spans="22:43" x14ac:dyDescent="0.35">
      <c r="V1093" s="1013"/>
      <c r="W1093" s="138"/>
      <c r="AQ1093" s="138"/>
    </row>
    <row r="1094" spans="22:43" x14ac:dyDescent="0.35">
      <c r="V1094" s="1013"/>
      <c r="W1094" s="138"/>
      <c r="AQ1094" s="138"/>
    </row>
    <row r="1095" spans="22:43" x14ac:dyDescent="0.35">
      <c r="V1095" s="1013"/>
      <c r="W1095" s="138"/>
      <c r="AQ1095" s="138"/>
    </row>
    <row r="1096" spans="22:43" x14ac:dyDescent="0.35">
      <c r="V1096" s="1013"/>
      <c r="W1096" s="138"/>
      <c r="AQ1096" s="138"/>
    </row>
    <row r="1097" spans="22:43" x14ac:dyDescent="0.35">
      <c r="V1097" s="1013"/>
      <c r="W1097" s="138"/>
      <c r="AQ1097" s="138"/>
    </row>
    <row r="1098" spans="22:43" x14ac:dyDescent="0.35">
      <c r="V1098" s="1013"/>
      <c r="W1098" s="138"/>
      <c r="AQ1098" s="138"/>
    </row>
    <row r="1099" spans="22:43" x14ac:dyDescent="0.35">
      <c r="V1099" s="1013"/>
      <c r="W1099" s="138"/>
      <c r="AQ1099" s="138"/>
    </row>
    <row r="1100" spans="22:43" x14ac:dyDescent="0.35">
      <c r="V1100" s="1013"/>
      <c r="W1100" s="138"/>
      <c r="AQ1100" s="138"/>
    </row>
    <row r="1101" spans="22:43" x14ac:dyDescent="0.35">
      <c r="V1101" s="1013"/>
      <c r="W1101" s="138"/>
      <c r="AQ1101" s="138"/>
    </row>
    <row r="1102" spans="22:43" x14ac:dyDescent="0.35">
      <c r="V1102" s="1013"/>
      <c r="W1102" s="138"/>
      <c r="AQ1102" s="138"/>
    </row>
    <row r="1103" spans="22:43" x14ac:dyDescent="0.35">
      <c r="V1103" s="1013"/>
      <c r="W1103" s="138"/>
      <c r="AQ1103" s="138"/>
    </row>
    <row r="1104" spans="22:43" x14ac:dyDescent="0.35">
      <c r="V1104" s="1013"/>
      <c r="W1104" s="138"/>
      <c r="AQ1104" s="138"/>
    </row>
    <row r="1105" spans="22:43" x14ac:dyDescent="0.35">
      <c r="V1105" s="1013"/>
      <c r="W1105" s="138"/>
      <c r="AQ1105" s="138"/>
    </row>
    <row r="1106" spans="22:43" x14ac:dyDescent="0.35">
      <c r="V1106" s="1013"/>
      <c r="W1106" s="138"/>
      <c r="AQ1106" s="138"/>
    </row>
    <row r="1107" spans="22:43" x14ac:dyDescent="0.35">
      <c r="V1107" s="1013"/>
      <c r="W1107" s="138"/>
      <c r="AQ1107" s="138"/>
    </row>
    <row r="1108" spans="22:43" x14ac:dyDescent="0.35">
      <c r="V1108" s="1013"/>
      <c r="W1108" s="138"/>
      <c r="AQ1108" s="138"/>
    </row>
    <row r="1109" spans="22:43" x14ac:dyDescent="0.35">
      <c r="V1109" s="1013"/>
      <c r="W1109" s="138"/>
      <c r="AQ1109" s="138"/>
    </row>
    <row r="1110" spans="22:43" x14ac:dyDescent="0.35">
      <c r="V1110" s="1013"/>
      <c r="W1110" s="138"/>
      <c r="AQ1110" s="138"/>
    </row>
    <row r="1111" spans="22:43" x14ac:dyDescent="0.35">
      <c r="V1111" s="1013"/>
      <c r="W1111" s="138"/>
      <c r="AQ1111" s="138"/>
    </row>
    <row r="1112" spans="22:43" x14ac:dyDescent="0.35">
      <c r="V1112" s="1013"/>
      <c r="W1112" s="138"/>
      <c r="AQ1112" s="138"/>
    </row>
    <row r="1113" spans="22:43" x14ac:dyDescent="0.35">
      <c r="V1113" s="1013"/>
      <c r="W1113" s="138"/>
      <c r="AQ1113" s="138"/>
    </row>
    <row r="1114" spans="22:43" x14ac:dyDescent="0.35">
      <c r="V1114" s="1013"/>
      <c r="W1114" s="138"/>
      <c r="AQ1114" s="138"/>
    </row>
    <row r="1115" spans="22:43" x14ac:dyDescent="0.35">
      <c r="V1115" s="1013"/>
      <c r="W1115" s="138"/>
      <c r="AQ1115" s="138"/>
    </row>
    <row r="1116" spans="22:43" x14ac:dyDescent="0.35">
      <c r="V1116" s="1013"/>
      <c r="W1116" s="138"/>
      <c r="AQ1116" s="138"/>
    </row>
    <row r="1117" spans="22:43" x14ac:dyDescent="0.35">
      <c r="V1117" s="1013"/>
      <c r="W1117" s="138"/>
      <c r="AQ1117" s="138"/>
    </row>
    <row r="1118" spans="22:43" x14ac:dyDescent="0.35">
      <c r="V1118" s="1013"/>
      <c r="W1118" s="138"/>
      <c r="AQ1118" s="138"/>
    </row>
    <row r="1119" spans="22:43" x14ac:dyDescent="0.35">
      <c r="V1119" s="1013"/>
      <c r="W1119" s="138"/>
      <c r="AQ1119" s="138"/>
    </row>
    <row r="1120" spans="22:43" x14ac:dyDescent="0.35">
      <c r="V1120" s="1013"/>
      <c r="W1120" s="138"/>
      <c r="AQ1120" s="138"/>
    </row>
    <row r="1121" spans="22:43" x14ac:dyDescent="0.35">
      <c r="V1121" s="1013"/>
      <c r="W1121" s="138"/>
      <c r="AQ1121" s="138"/>
    </row>
    <row r="1122" spans="22:43" x14ac:dyDescent="0.35">
      <c r="V1122" s="1013"/>
      <c r="W1122" s="138"/>
      <c r="AQ1122" s="138"/>
    </row>
    <row r="1123" spans="22:43" x14ac:dyDescent="0.35">
      <c r="V1123" s="1013"/>
      <c r="W1123" s="138"/>
      <c r="AQ1123" s="138"/>
    </row>
    <row r="1124" spans="22:43" x14ac:dyDescent="0.35">
      <c r="V1124" s="1013"/>
      <c r="W1124" s="138"/>
      <c r="AQ1124" s="138"/>
    </row>
    <row r="1125" spans="22:43" x14ac:dyDescent="0.35">
      <c r="V1125" s="1013"/>
      <c r="W1125" s="138"/>
      <c r="AQ1125" s="138"/>
    </row>
    <row r="1126" spans="22:43" x14ac:dyDescent="0.35">
      <c r="V1126" s="1013"/>
      <c r="W1126" s="138"/>
      <c r="AQ1126" s="138"/>
    </row>
    <row r="1127" spans="22:43" x14ac:dyDescent="0.35">
      <c r="V1127" s="1013"/>
      <c r="W1127" s="138"/>
      <c r="AQ1127" s="138"/>
    </row>
    <row r="1128" spans="22:43" x14ac:dyDescent="0.35">
      <c r="V1128" s="1013"/>
      <c r="W1128" s="138"/>
      <c r="AQ1128" s="138"/>
    </row>
    <row r="1129" spans="22:43" x14ac:dyDescent="0.35">
      <c r="V1129" s="1013"/>
      <c r="W1129" s="138"/>
      <c r="AQ1129" s="138"/>
    </row>
    <row r="1130" spans="22:43" x14ac:dyDescent="0.35">
      <c r="V1130" s="1013"/>
      <c r="W1130" s="138"/>
      <c r="AQ1130" s="138"/>
    </row>
    <row r="1131" spans="22:43" x14ac:dyDescent="0.35">
      <c r="V1131" s="1013"/>
      <c r="W1131" s="138"/>
      <c r="AQ1131" s="138"/>
    </row>
    <row r="1132" spans="22:43" x14ac:dyDescent="0.35">
      <c r="V1132" s="1013"/>
      <c r="W1132" s="138"/>
      <c r="AQ1132" s="138"/>
    </row>
    <row r="1133" spans="22:43" x14ac:dyDescent="0.35">
      <c r="V1133" s="1013"/>
      <c r="W1133" s="138"/>
      <c r="AQ1133" s="138"/>
    </row>
    <row r="1134" spans="22:43" x14ac:dyDescent="0.35">
      <c r="V1134" s="1013"/>
      <c r="W1134" s="138"/>
      <c r="AQ1134" s="138"/>
    </row>
    <row r="1135" spans="22:43" x14ac:dyDescent="0.35">
      <c r="V1135" s="1013"/>
      <c r="W1135" s="138"/>
      <c r="AQ1135" s="138"/>
    </row>
    <row r="1136" spans="22:43" x14ac:dyDescent="0.35">
      <c r="V1136" s="1013"/>
      <c r="W1136" s="138"/>
      <c r="AQ1136" s="138"/>
    </row>
    <row r="1137" spans="22:43" x14ac:dyDescent="0.35">
      <c r="V1137" s="1013"/>
      <c r="W1137" s="138"/>
      <c r="AQ1137" s="138"/>
    </row>
    <row r="1138" spans="22:43" x14ac:dyDescent="0.35">
      <c r="V1138" s="1013"/>
      <c r="W1138" s="138"/>
      <c r="AQ1138" s="138"/>
    </row>
    <row r="1139" spans="22:43" x14ac:dyDescent="0.35">
      <c r="V1139" s="1013"/>
      <c r="W1139" s="138"/>
      <c r="AQ1139" s="138"/>
    </row>
    <row r="1140" spans="22:43" x14ac:dyDescent="0.35">
      <c r="V1140" s="1013"/>
      <c r="W1140" s="138"/>
      <c r="AQ1140" s="138"/>
    </row>
    <row r="1141" spans="22:43" x14ac:dyDescent="0.35">
      <c r="V1141" s="1013"/>
      <c r="W1141" s="138"/>
      <c r="AQ1141" s="138"/>
    </row>
    <row r="1142" spans="22:43" x14ac:dyDescent="0.35">
      <c r="V1142" s="1013"/>
      <c r="W1142" s="138"/>
      <c r="AQ1142" s="138"/>
    </row>
    <row r="1143" spans="22:43" x14ac:dyDescent="0.35">
      <c r="V1143" s="1013"/>
      <c r="W1143" s="138"/>
      <c r="AQ1143" s="138"/>
    </row>
    <row r="1144" spans="22:43" x14ac:dyDescent="0.35">
      <c r="V1144" s="1013"/>
      <c r="W1144" s="138"/>
      <c r="AQ1144" s="138"/>
    </row>
    <row r="1145" spans="22:43" x14ac:dyDescent="0.35">
      <c r="V1145" s="1013"/>
      <c r="W1145" s="138"/>
      <c r="AQ1145" s="138"/>
    </row>
    <row r="1146" spans="22:43" x14ac:dyDescent="0.35">
      <c r="V1146" s="1013"/>
      <c r="W1146" s="138"/>
      <c r="AQ1146" s="138"/>
    </row>
    <row r="1147" spans="22:43" x14ac:dyDescent="0.35">
      <c r="V1147" s="1013"/>
      <c r="W1147" s="138"/>
      <c r="AQ1147" s="138"/>
    </row>
    <row r="1148" spans="22:43" x14ac:dyDescent="0.35">
      <c r="V1148" s="1013"/>
      <c r="W1148" s="138"/>
      <c r="AQ1148" s="138"/>
    </row>
    <row r="1149" spans="22:43" x14ac:dyDescent="0.35">
      <c r="V1149" s="1013"/>
      <c r="W1149" s="138"/>
      <c r="AQ1149" s="138"/>
    </row>
    <row r="1150" spans="22:43" x14ac:dyDescent="0.35">
      <c r="V1150" s="1013"/>
      <c r="W1150" s="138"/>
      <c r="AQ1150" s="138"/>
    </row>
    <row r="1151" spans="22:43" x14ac:dyDescent="0.35">
      <c r="V1151" s="1013"/>
      <c r="W1151" s="138"/>
      <c r="AQ1151" s="138"/>
    </row>
    <row r="1152" spans="22:43" x14ac:dyDescent="0.35">
      <c r="V1152" s="1013"/>
      <c r="W1152" s="138"/>
      <c r="AQ1152" s="138"/>
    </row>
    <row r="1153" spans="22:43" x14ac:dyDescent="0.35">
      <c r="V1153" s="1013"/>
      <c r="W1153" s="138"/>
      <c r="AQ1153" s="138"/>
    </row>
    <row r="1154" spans="22:43" x14ac:dyDescent="0.35">
      <c r="V1154" s="1013"/>
      <c r="W1154" s="138"/>
      <c r="AQ1154" s="138"/>
    </row>
    <row r="1155" spans="22:43" x14ac:dyDescent="0.35">
      <c r="V1155" s="1013"/>
      <c r="W1155" s="138"/>
      <c r="AQ1155" s="138"/>
    </row>
    <row r="1156" spans="22:43" x14ac:dyDescent="0.35">
      <c r="V1156" s="1013"/>
      <c r="W1156" s="138"/>
      <c r="AQ1156" s="138"/>
    </row>
    <row r="1157" spans="22:43" x14ac:dyDescent="0.35">
      <c r="V1157" s="1013"/>
      <c r="W1157" s="138"/>
      <c r="AQ1157" s="138"/>
    </row>
    <row r="1158" spans="22:43" x14ac:dyDescent="0.35">
      <c r="V1158" s="1013"/>
      <c r="W1158" s="138"/>
      <c r="AQ1158" s="138"/>
    </row>
    <row r="1159" spans="22:43" x14ac:dyDescent="0.35">
      <c r="V1159" s="1013"/>
      <c r="W1159" s="138"/>
      <c r="AQ1159" s="138"/>
    </row>
    <row r="1160" spans="22:43" x14ac:dyDescent="0.35">
      <c r="V1160" s="1013"/>
      <c r="W1160" s="138"/>
      <c r="AQ1160" s="138"/>
    </row>
    <row r="1161" spans="22:43" x14ac:dyDescent="0.35">
      <c r="V1161" s="1013"/>
      <c r="W1161" s="138"/>
      <c r="AQ1161" s="138"/>
    </row>
    <row r="1162" spans="22:43" x14ac:dyDescent="0.35">
      <c r="V1162" s="1013"/>
      <c r="W1162" s="138"/>
      <c r="AQ1162" s="138"/>
    </row>
    <row r="1163" spans="22:43" x14ac:dyDescent="0.35">
      <c r="V1163" s="1013"/>
      <c r="W1163" s="138"/>
      <c r="AQ1163" s="138"/>
    </row>
    <row r="1164" spans="22:43" x14ac:dyDescent="0.35">
      <c r="V1164" s="1013"/>
      <c r="W1164" s="138"/>
      <c r="AQ1164" s="138"/>
    </row>
    <row r="1165" spans="22:43" x14ac:dyDescent="0.35">
      <c r="V1165" s="1013"/>
      <c r="W1165" s="138"/>
      <c r="AQ1165" s="138"/>
    </row>
    <row r="1166" spans="22:43" x14ac:dyDescent="0.35">
      <c r="V1166" s="1013"/>
      <c r="W1166" s="138"/>
      <c r="AQ1166" s="138"/>
    </row>
    <row r="1167" spans="22:43" x14ac:dyDescent="0.35">
      <c r="V1167" s="1013"/>
      <c r="W1167" s="138"/>
      <c r="AQ1167" s="138"/>
    </row>
    <row r="1168" spans="22:43" x14ac:dyDescent="0.35">
      <c r="V1168" s="1013"/>
      <c r="W1168" s="138"/>
      <c r="AQ1168" s="138"/>
    </row>
    <row r="1169" spans="22:43" x14ac:dyDescent="0.35">
      <c r="V1169" s="1013"/>
      <c r="W1169" s="138"/>
      <c r="AQ1169" s="138"/>
    </row>
    <row r="1170" spans="22:43" x14ac:dyDescent="0.35">
      <c r="V1170" s="1013"/>
      <c r="W1170" s="138"/>
      <c r="AQ1170" s="138"/>
    </row>
    <row r="1171" spans="22:43" x14ac:dyDescent="0.35">
      <c r="V1171" s="1013"/>
      <c r="W1171" s="138"/>
      <c r="AQ1171" s="138"/>
    </row>
    <row r="1172" spans="22:43" x14ac:dyDescent="0.35">
      <c r="V1172" s="1013"/>
      <c r="W1172" s="138"/>
      <c r="AQ1172" s="138"/>
    </row>
    <row r="1173" spans="22:43" x14ac:dyDescent="0.35">
      <c r="V1173" s="1013"/>
      <c r="W1173" s="138"/>
      <c r="AQ1173" s="138"/>
    </row>
    <row r="1174" spans="22:43" x14ac:dyDescent="0.35">
      <c r="V1174" s="1013"/>
      <c r="W1174" s="138"/>
      <c r="AQ1174" s="138"/>
    </row>
    <row r="1175" spans="22:43" x14ac:dyDescent="0.35">
      <c r="V1175" s="1013"/>
      <c r="W1175" s="138"/>
      <c r="AQ1175" s="138"/>
    </row>
    <row r="1176" spans="22:43" x14ac:dyDescent="0.35">
      <c r="V1176" s="1013"/>
      <c r="W1176" s="138"/>
      <c r="AQ1176" s="138"/>
    </row>
    <row r="1177" spans="22:43" x14ac:dyDescent="0.35">
      <c r="V1177" s="1013"/>
      <c r="W1177" s="138"/>
      <c r="AQ1177" s="138"/>
    </row>
    <row r="1178" spans="22:43" x14ac:dyDescent="0.35">
      <c r="V1178" s="1013"/>
      <c r="W1178" s="138"/>
      <c r="AQ1178" s="138"/>
    </row>
    <row r="1179" spans="22:43" x14ac:dyDescent="0.35">
      <c r="V1179" s="1013"/>
      <c r="W1179" s="138"/>
      <c r="AQ1179" s="138"/>
    </row>
    <row r="1180" spans="22:43" x14ac:dyDescent="0.35">
      <c r="V1180" s="1013"/>
      <c r="W1180" s="138"/>
      <c r="AQ1180" s="138"/>
    </row>
    <row r="1181" spans="22:43" x14ac:dyDescent="0.35">
      <c r="V1181" s="1013"/>
      <c r="W1181" s="138"/>
      <c r="AQ1181" s="138"/>
    </row>
    <row r="1182" spans="22:43" x14ac:dyDescent="0.35">
      <c r="V1182" s="1013"/>
      <c r="W1182" s="138"/>
      <c r="AQ1182" s="138"/>
    </row>
    <row r="1183" spans="22:43" x14ac:dyDescent="0.35">
      <c r="V1183" s="1013"/>
      <c r="W1183" s="138"/>
      <c r="AQ1183" s="138"/>
    </row>
    <row r="1184" spans="22:43" x14ac:dyDescent="0.35">
      <c r="V1184" s="1013"/>
      <c r="W1184" s="138"/>
      <c r="AQ1184" s="138"/>
    </row>
    <row r="1185" spans="22:43" x14ac:dyDescent="0.35">
      <c r="V1185" s="1013"/>
      <c r="W1185" s="138"/>
      <c r="AQ1185" s="138"/>
    </row>
    <row r="1186" spans="22:43" x14ac:dyDescent="0.35">
      <c r="V1186" s="1013"/>
      <c r="W1186" s="138"/>
      <c r="AQ1186" s="138"/>
    </row>
    <row r="1187" spans="22:43" x14ac:dyDescent="0.35">
      <c r="V1187" s="1013"/>
      <c r="W1187" s="138"/>
      <c r="AQ1187" s="138"/>
    </row>
    <row r="1188" spans="22:43" x14ac:dyDescent="0.35">
      <c r="V1188" s="1013"/>
      <c r="W1188" s="138"/>
      <c r="AQ1188" s="138"/>
    </row>
    <row r="1189" spans="22:43" x14ac:dyDescent="0.35">
      <c r="V1189" s="1013"/>
      <c r="W1189" s="138"/>
      <c r="AQ1189" s="138"/>
    </row>
    <row r="1190" spans="22:43" x14ac:dyDescent="0.35">
      <c r="V1190" s="1013"/>
      <c r="W1190" s="138"/>
      <c r="AQ1190" s="138"/>
    </row>
    <row r="1191" spans="22:43" x14ac:dyDescent="0.35">
      <c r="V1191" s="1013"/>
      <c r="W1191" s="138"/>
      <c r="AQ1191" s="138"/>
    </row>
    <row r="1192" spans="22:43" x14ac:dyDescent="0.35">
      <c r="V1192" s="1013"/>
      <c r="W1192" s="138"/>
      <c r="AQ1192" s="138"/>
    </row>
    <row r="1193" spans="22:43" x14ac:dyDescent="0.35">
      <c r="V1193" s="1013"/>
      <c r="W1193" s="138"/>
      <c r="AQ1193" s="138"/>
    </row>
    <row r="1194" spans="22:43" x14ac:dyDescent="0.35">
      <c r="V1194" s="1013"/>
      <c r="W1194" s="138"/>
      <c r="AQ1194" s="138"/>
    </row>
    <row r="1195" spans="22:43" x14ac:dyDescent="0.35">
      <c r="V1195" s="1013"/>
      <c r="W1195" s="138"/>
      <c r="AQ1195" s="138"/>
    </row>
    <row r="1196" spans="22:43" x14ac:dyDescent="0.35">
      <c r="V1196" s="1013"/>
      <c r="W1196" s="138"/>
      <c r="AQ1196" s="138"/>
    </row>
    <row r="1197" spans="22:43" x14ac:dyDescent="0.35">
      <c r="V1197" s="1013"/>
      <c r="W1197" s="138"/>
      <c r="AQ1197" s="138"/>
    </row>
    <row r="1198" spans="22:43" x14ac:dyDescent="0.35">
      <c r="V1198" s="1013"/>
      <c r="W1198" s="138"/>
      <c r="AQ1198" s="138"/>
    </row>
    <row r="1199" spans="22:43" x14ac:dyDescent="0.35">
      <c r="V1199" s="1013"/>
      <c r="W1199" s="138"/>
      <c r="AQ1199" s="138"/>
    </row>
    <row r="1200" spans="22:43" x14ac:dyDescent="0.35">
      <c r="V1200" s="1013"/>
      <c r="W1200" s="138"/>
      <c r="AQ1200" s="138"/>
    </row>
    <row r="1201" spans="22:43" x14ac:dyDescent="0.35">
      <c r="V1201" s="1013"/>
      <c r="W1201" s="138"/>
      <c r="AQ1201" s="138"/>
    </row>
    <row r="1202" spans="22:43" x14ac:dyDescent="0.35">
      <c r="V1202" s="1013"/>
      <c r="W1202" s="138"/>
      <c r="AQ1202" s="138"/>
    </row>
    <row r="1203" spans="22:43" x14ac:dyDescent="0.35">
      <c r="V1203" s="1013"/>
      <c r="W1203" s="138"/>
      <c r="AQ1203" s="138"/>
    </row>
    <row r="1204" spans="22:43" x14ac:dyDescent="0.35">
      <c r="V1204" s="1013"/>
      <c r="W1204" s="138"/>
      <c r="AQ1204" s="138"/>
    </row>
    <row r="1205" spans="22:43" x14ac:dyDescent="0.35">
      <c r="V1205" s="1013"/>
      <c r="W1205" s="138"/>
      <c r="AQ1205" s="138"/>
    </row>
    <row r="1206" spans="22:43" x14ac:dyDescent="0.35">
      <c r="V1206" s="1013"/>
      <c r="W1206" s="138"/>
      <c r="AQ1206" s="138"/>
    </row>
    <row r="1207" spans="22:43" x14ac:dyDescent="0.35">
      <c r="V1207" s="1013"/>
      <c r="W1207" s="138"/>
      <c r="AQ1207" s="138"/>
    </row>
    <row r="1208" spans="22:43" x14ac:dyDescent="0.35">
      <c r="V1208" s="1013"/>
      <c r="W1208" s="138"/>
      <c r="AQ1208" s="138"/>
    </row>
    <row r="1209" spans="22:43" x14ac:dyDescent="0.35">
      <c r="V1209" s="1013"/>
      <c r="W1209" s="138"/>
      <c r="AQ1209" s="138"/>
    </row>
    <row r="1210" spans="22:43" x14ac:dyDescent="0.35">
      <c r="V1210" s="1013"/>
      <c r="W1210" s="138"/>
      <c r="AQ1210" s="138"/>
    </row>
    <row r="1211" spans="22:43" x14ac:dyDescent="0.35">
      <c r="V1211" s="1013"/>
      <c r="W1211" s="138"/>
      <c r="AQ1211" s="138"/>
    </row>
    <row r="1212" spans="22:43" x14ac:dyDescent="0.35">
      <c r="V1212" s="1013"/>
      <c r="W1212" s="138"/>
      <c r="AQ1212" s="138"/>
    </row>
    <row r="1213" spans="22:43" x14ac:dyDescent="0.35">
      <c r="V1213" s="1013"/>
      <c r="W1213" s="138"/>
      <c r="AQ1213" s="138"/>
    </row>
    <row r="1214" spans="22:43" x14ac:dyDescent="0.35">
      <c r="V1214" s="1013"/>
      <c r="W1214" s="138"/>
      <c r="AQ1214" s="138"/>
    </row>
    <row r="1215" spans="22:43" x14ac:dyDescent="0.35">
      <c r="V1215" s="1013"/>
      <c r="W1215" s="138"/>
      <c r="AQ1215" s="138"/>
    </row>
    <row r="1216" spans="22:43" x14ac:dyDescent="0.35">
      <c r="V1216" s="1013"/>
      <c r="W1216" s="138"/>
      <c r="AQ1216" s="138"/>
    </row>
    <row r="1217" spans="22:43" x14ac:dyDescent="0.35">
      <c r="V1217" s="1013"/>
      <c r="W1217" s="138"/>
      <c r="AQ1217" s="138"/>
    </row>
    <row r="1218" spans="22:43" x14ac:dyDescent="0.35">
      <c r="V1218" s="1013"/>
      <c r="W1218" s="138"/>
      <c r="AQ1218" s="138"/>
    </row>
    <row r="1219" spans="22:43" x14ac:dyDescent="0.35">
      <c r="V1219" s="1013"/>
      <c r="W1219" s="138"/>
      <c r="AQ1219" s="138"/>
    </row>
    <row r="1220" spans="22:43" x14ac:dyDescent="0.35">
      <c r="V1220" s="1013"/>
      <c r="W1220" s="138"/>
      <c r="AQ1220" s="138"/>
    </row>
    <row r="1221" spans="22:43" x14ac:dyDescent="0.35">
      <c r="V1221" s="1013"/>
      <c r="W1221" s="138"/>
      <c r="AQ1221" s="138"/>
    </row>
    <row r="1222" spans="22:43" x14ac:dyDescent="0.35">
      <c r="V1222" s="1013"/>
      <c r="W1222" s="138"/>
      <c r="AQ1222" s="138"/>
    </row>
    <row r="1223" spans="22:43" x14ac:dyDescent="0.35">
      <c r="V1223" s="1013"/>
      <c r="W1223" s="138"/>
      <c r="AQ1223" s="138"/>
    </row>
    <row r="1224" spans="22:43" x14ac:dyDescent="0.35">
      <c r="V1224" s="1013"/>
      <c r="W1224" s="138"/>
      <c r="AQ1224" s="138"/>
    </row>
    <row r="1225" spans="22:43" x14ac:dyDescent="0.35">
      <c r="V1225" s="1013"/>
      <c r="W1225" s="138"/>
      <c r="AQ1225" s="138"/>
    </row>
    <row r="1226" spans="22:43" x14ac:dyDescent="0.35">
      <c r="V1226" s="1013"/>
      <c r="W1226" s="138"/>
      <c r="AQ1226" s="138"/>
    </row>
    <row r="1227" spans="22:43" x14ac:dyDescent="0.35">
      <c r="V1227" s="1013"/>
      <c r="W1227" s="138"/>
      <c r="AQ1227" s="138"/>
    </row>
    <row r="1228" spans="22:43" x14ac:dyDescent="0.35">
      <c r="V1228" s="1013"/>
      <c r="W1228" s="138"/>
      <c r="AQ1228" s="138"/>
    </row>
    <row r="1229" spans="22:43" x14ac:dyDescent="0.35">
      <c r="V1229" s="1013"/>
      <c r="W1229" s="138"/>
      <c r="AQ1229" s="138"/>
    </row>
    <row r="1230" spans="22:43" x14ac:dyDescent="0.35">
      <c r="V1230" s="1013"/>
      <c r="W1230" s="138"/>
      <c r="AQ1230" s="138"/>
    </row>
    <row r="1231" spans="22:43" x14ac:dyDescent="0.35">
      <c r="V1231" s="1013"/>
      <c r="W1231" s="138"/>
      <c r="AQ1231" s="138"/>
    </row>
    <row r="1232" spans="22:43" x14ac:dyDescent="0.35">
      <c r="V1232" s="1013"/>
      <c r="W1232" s="138"/>
      <c r="AQ1232" s="138"/>
    </row>
    <row r="1233" spans="22:43" x14ac:dyDescent="0.35">
      <c r="V1233" s="1013"/>
      <c r="W1233" s="138"/>
      <c r="AQ1233" s="138"/>
    </row>
    <row r="1234" spans="22:43" x14ac:dyDescent="0.35">
      <c r="V1234" s="1013"/>
      <c r="W1234" s="138"/>
      <c r="AQ1234" s="138"/>
    </row>
    <row r="1235" spans="22:43" x14ac:dyDescent="0.35">
      <c r="V1235" s="1013"/>
      <c r="W1235" s="138"/>
      <c r="AQ1235" s="138"/>
    </row>
    <row r="1236" spans="22:43" x14ac:dyDescent="0.35">
      <c r="V1236" s="1013"/>
      <c r="W1236" s="138"/>
      <c r="AQ1236" s="138"/>
    </row>
    <row r="1237" spans="22:43" x14ac:dyDescent="0.35">
      <c r="V1237" s="1013"/>
      <c r="W1237" s="138"/>
      <c r="AQ1237" s="138"/>
    </row>
    <row r="1238" spans="22:43" x14ac:dyDescent="0.35">
      <c r="V1238" s="1013"/>
      <c r="W1238" s="138"/>
      <c r="AQ1238" s="138"/>
    </row>
    <row r="1239" spans="22:43" x14ac:dyDescent="0.35">
      <c r="V1239" s="1013"/>
      <c r="W1239" s="138"/>
      <c r="AQ1239" s="138"/>
    </row>
    <row r="1240" spans="22:43" x14ac:dyDescent="0.35">
      <c r="V1240" s="1013"/>
      <c r="W1240" s="138"/>
      <c r="AQ1240" s="138"/>
    </row>
    <row r="1241" spans="22:43" x14ac:dyDescent="0.35">
      <c r="V1241" s="1013"/>
      <c r="W1241" s="138"/>
      <c r="AQ1241" s="138"/>
    </row>
    <row r="1242" spans="22:43" x14ac:dyDescent="0.35">
      <c r="V1242" s="1013"/>
      <c r="W1242" s="138"/>
      <c r="AQ1242" s="138"/>
    </row>
    <row r="1243" spans="22:43" x14ac:dyDescent="0.35">
      <c r="V1243" s="1013"/>
      <c r="W1243" s="138"/>
      <c r="AQ1243" s="138"/>
    </row>
    <row r="1244" spans="22:43" x14ac:dyDescent="0.35">
      <c r="V1244" s="1013"/>
      <c r="W1244" s="138"/>
      <c r="AQ1244" s="138"/>
    </row>
    <row r="1245" spans="22:43" x14ac:dyDescent="0.35">
      <c r="V1245" s="1013"/>
      <c r="W1245" s="138"/>
      <c r="AQ1245" s="138"/>
    </row>
    <row r="1246" spans="22:43" x14ac:dyDescent="0.35">
      <c r="V1246" s="1013"/>
      <c r="W1246" s="138"/>
      <c r="AQ1246" s="138"/>
    </row>
    <row r="1247" spans="22:43" x14ac:dyDescent="0.35">
      <c r="V1247" s="1013"/>
      <c r="W1247" s="138"/>
      <c r="AQ1247" s="138"/>
    </row>
    <row r="1248" spans="22:43" x14ac:dyDescent="0.35">
      <c r="V1248" s="1013"/>
      <c r="W1248" s="138"/>
      <c r="AQ1248" s="138"/>
    </row>
    <row r="1249" spans="22:43" x14ac:dyDescent="0.35">
      <c r="V1249" s="1013"/>
      <c r="W1249" s="138"/>
      <c r="AQ1249" s="138"/>
    </row>
    <row r="1250" spans="22:43" x14ac:dyDescent="0.35">
      <c r="V1250" s="1013"/>
      <c r="W1250" s="138"/>
      <c r="AQ1250" s="138"/>
    </row>
    <row r="1251" spans="22:43" x14ac:dyDescent="0.35">
      <c r="V1251" s="1013"/>
      <c r="W1251" s="138"/>
      <c r="AQ1251" s="138"/>
    </row>
    <row r="1252" spans="22:43" x14ac:dyDescent="0.35">
      <c r="V1252" s="1013"/>
      <c r="W1252" s="138"/>
      <c r="AQ1252" s="138"/>
    </row>
    <row r="1253" spans="22:43" x14ac:dyDescent="0.35">
      <c r="V1253" s="1013"/>
      <c r="W1253" s="138"/>
      <c r="AQ1253" s="138"/>
    </row>
    <row r="1254" spans="22:43" x14ac:dyDescent="0.35">
      <c r="V1254" s="1013"/>
      <c r="W1254" s="138"/>
      <c r="AQ1254" s="138"/>
    </row>
    <row r="1255" spans="22:43" x14ac:dyDescent="0.35">
      <c r="V1255" s="1013"/>
      <c r="W1255" s="138"/>
      <c r="AQ1255" s="138"/>
    </row>
    <row r="1256" spans="22:43" x14ac:dyDescent="0.35">
      <c r="V1256" s="1013"/>
      <c r="W1256" s="138"/>
      <c r="AQ1256" s="138"/>
    </row>
    <row r="1257" spans="22:43" x14ac:dyDescent="0.35">
      <c r="V1257" s="1013"/>
      <c r="W1257" s="138"/>
      <c r="AQ1257" s="138"/>
    </row>
    <row r="1258" spans="22:43" x14ac:dyDescent="0.35">
      <c r="V1258" s="1013"/>
      <c r="W1258" s="138"/>
      <c r="AQ1258" s="138"/>
    </row>
    <row r="1259" spans="22:43" x14ac:dyDescent="0.35">
      <c r="V1259" s="1013"/>
      <c r="W1259" s="138"/>
      <c r="AQ1259" s="138"/>
    </row>
    <row r="1260" spans="22:43" x14ac:dyDescent="0.35">
      <c r="V1260" s="1013"/>
      <c r="W1260" s="138"/>
      <c r="AQ1260" s="138"/>
    </row>
    <row r="1261" spans="22:43" x14ac:dyDescent="0.35">
      <c r="V1261" s="1013"/>
      <c r="W1261" s="138"/>
      <c r="AQ1261" s="138"/>
    </row>
    <row r="1262" spans="22:43" x14ac:dyDescent="0.35">
      <c r="V1262" s="1013"/>
      <c r="W1262" s="138"/>
      <c r="AQ1262" s="138"/>
    </row>
    <row r="1263" spans="22:43" x14ac:dyDescent="0.35">
      <c r="V1263" s="1013"/>
      <c r="W1263" s="138"/>
      <c r="AQ1263" s="138"/>
    </row>
    <row r="1264" spans="22:43" x14ac:dyDescent="0.35">
      <c r="V1264" s="1013"/>
      <c r="W1264" s="138"/>
      <c r="AQ1264" s="138"/>
    </row>
    <row r="1265" spans="22:43" x14ac:dyDescent="0.35">
      <c r="V1265" s="1013"/>
      <c r="W1265" s="138"/>
      <c r="AQ1265" s="138"/>
    </row>
    <row r="1266" spans="22:43" x14ac:dyDescent="0.35">
      <c r="V1266" s="1013"/>
      <c r="W1266" s="138"/>
      <c r="AQ1266" s="138"/>
    </row>
    <row r="1267" spans="22:43" x14ac:dyDescent="0.35">
      <c r="V1267" s="1013"/>
      <c r="W1267" s="138"/>
      <c r="AQ1267" s="138"/>
    </row>
    <row r="1268" spans="22:43" x14ac:dyDescent="0.35">
      <c r="V1268" s="1013"/>
      <c r="W1268" s="138"/>
      <c r="AQ1268" s="138"/>
    </row>
    <row r="1269" spans="22:43" x14ac:dyDescent="0.35">
      <c r="V1269" s="1013"/>
      <c r="W1269" s="138"/>
      <c r="AQ1269" s="138"/>
    </row>
    <row r="1270" spans="22:43" x14ac:dyDescent="0.35">
      <c r="V1270" s="1013"/>
      <c r="W1270" s="138"/>
      <c r="AQ1270" s="138"/>
    </row>
    <row r="1271" spans="22:43" x14ac:dyDescent="0.35">
      <c r="V1271" s="1013"/>
      <c r="W1271" s="138"/>
      <c r="AQ1271" s="138"/>
    </row>
    <row r="1272" spans="22:43" x14ac:dyDescent="0.35">
      <c r="V1272" s="1013"/>
      <c r="W1272" s="138"/>
      <c r="AQ1272" s="138"/>
    </row>
    <row r="1273" spans="22:43" x14ac:dyDescent="0.35">
      <c r="V1273" s="1013"/>
      <c r="W1273" s="138"/>
      <c r="AQ1273" s="138"/>
    </row>
    <row r="1274" spans="22:43" x14ac:dyDescent="0.35">
      <c r="V1274" s="1013"/>
      <c r="W1274" s="138"/>
      <c r="AQ1274" s="138"/>
    </row>
    <row r="1275" spans="22:43" x14ac:dyDescent="0.35">
      <c r="V1275" s="1013"/>
      <c r="W1275" s="138"/>
      <c r="AQ1275" s="138"/>
    </row>
    <row r="1276" spans="22:43" x14ac:dyDescent="0.35">
      <c r="V1276" s="1013"/>
      <c r="W1276" s="138"/>
      <c r="AQ1276" s="138"/>
    </row>
    <row r="1277" spans="22:43" x14ac:dyDescent="0.35">
      <c r="V1277" s="1013"/>
      <c r="W1277" s="138"/>
      <c r="AQ1277" s="138"/>
    </row>
    <row r="1278" spans="22:43" x14ac:dyDescent="0.35">
      <c r="V1278" s="1013"/>
      <c r="W1278" s="138"/>
      <c r="AQ1278" s="138"/>
    </row>
    <row r="1279" spans="22:43" x14ac:dyDescent="0.35">
      <c r="V1279" s="1013"/>
      <c r="W1279" s="138"/>
      <c r="AQ1279" s="138"/>
    </row>
    <row r="1280" spans="22:43" x14ac:dyDescent="0.35">
      <c r="V1280" s="1013"/>
      <c r="W1280" s="138"/>
      <c r="AQ1280" s="138"/>
    </row>
    <row r="1281" spans="22:43" x14ac:dyDescent="0.35">
      <c r="V1281" s="1013"/>
      <c r="W1281" s="138"/>
      <c r="AQ1281" s="138"/>
    </row>
    <row r="1282" spans="22:43" x14ac:dyDescent="0.35">
      <c r="V1282" s="1013"/>
      <c r="W1282" s="138"/>
      <c r="AQ1282" s="138"/>
    </row>
    <row r="1283" spans="22:43" x14ac:dyDescent="0.35">
      <c r="V1283" s="1013"/>
      <c r="W1283" s="138"/>
      <c r="AQ1283" s="138"/>
    </row>
    <row r="1284" spans="22:43" x14ac:dyDescent="0.35">
      <c r="V1284" s="1013"/>
      <c r="W1284" s="138"/>
      <c r="AQ1284" s="138"/>
    </row>
    <row r="1285" spans="22:43" x14ac:dyDescent="0.35">
      <c r="V1285" s="1013"/>
      <c r="W1285" s="138"/>
      <c r="AQ1285" s="138"/>
    </row>
    <row r="1286" spans="22:43" x14ac:dyDescent="0.35">
      <c r="V1286" s="1013"/>
      <c r="W1286" s="138"/>
      <c r="AQ1286" s="138"/>
    </row>
    <row r="1287" spans="22:43" x14ac:dyDescent="0.35">
      <c r="V1287" s="1013"/>
      <c r="W1287" s="138"/>
      <c r="AQ1287" s="138"/>
    </row>
    <row r="1288" spans="22:43" x14ac:dyDescent="0.35">
      <c r="V1288" s="1013"/>
      <c r="W1288" s="138"/>
      <c r="AQ1288" s="138"/>
    </row>
    <row r="1289" spans="22:43" x14ac:dyDescent="0.35">
      <c r="V1289" s="1013"/>
      <c r="W1289" s="138"/>
      <c r="AQ1289" s="138"/>
    </row>
    <row r="1290" spans="22:43" x14ac:dyDescent="0.35">
      <c r="V1290" s="1013"/>
      <c r="W1290" s="138"/>
      <c r="AQ1290" s="138"/>
    </row>
    <row r="1291" spans="22:43" x14ac:dyDescent="0.35">
      <c r="V1291" s="1013"/>
      <c r="W1291" s="138"/>
      <c r="AQ1291" s="138"/>
    </row>
    <row r="1292" spans="22:43" x14ac:dyDescent="0.35">
      <c r="V1292" s="1013"/>
      <c r="W1292" s="138"/>
      <c r="AQ1292" s="138"/>
    </row>
    <row r="1293" spans="22:43" x14ac:dyDescent="0.35">
      <c r="V1293" s="1013"/>
      <c r="W1293" s="138"/>
      <c r="AQ1293" s="138"/>
    </row>
    <row r="1294" spans="22:43" x14ac:dyDescent="0.35">
      <c r="V1294" s="1013"/>
      <c r="W1294" s="138"/>
      <c r="AQ1294" s="138"/>
    </row>
    <row r="1295" spans="22:43" x14ac:dyDescent="0.35">
      <c r="V1295" s="1013"/>
      <c r="W1295" s="138"/>
      <c r="AQ1295" s="138"/>
    </row>
    <row r="1296" spans="22:43" x14ac:dyDescent="0.35">
      <c r="V1296" s="1013"/>
      <c r="W1296" s="138"/>
      <c r="AQ1296" s="138"/>
    </row>
    <row r="1297" spans="22:43" x14ac:dyDescent="0.35">
      <c r="V1297" s="1013"/>
      <c r="W1297" s="138"/>
      <c r="AQ1297" s="138"/>
    </row>
    <row r="1298" spans="22:43" x14ac:dyDescent="0.35">
      <c r="V1298" s="1013"/>
      <c r="W1298" s="138"/>
      <c r="AQ1298" s="138"/>
    </row>
    <row r="1299" spans="22:43" x14ac:dyDescent="0.35">
      <c r="V1299" s="1013"/>
      <c r="W1299" s="138"/>
      <c r="AQ1299" s="138"/>
    </row>
    <row r="1300" spans="22:43" x14ac:dyDescent="0.35">
      <c r="V1300" s="1013"/>
      <c r="W1300" s="138"/>
      <c r="AQ1300" s="138"/>
    </row>
    <row r="1301" spans="22:43" x14ac:dyDescent="0.35">
      <c r="V1301" s="1013"/>
      <c r="W1301" s="138"/>
      <c r="AQ1301" s="138"/>
    </row>
    <row r="1302" spans="22:43" x14ac:dyDescent="0.35">
      <c r="V1302" s="1013"/>
      <c r="W1302" s="138"/>
      <c r="AQ1302" s="138"/>
    </row>
    <row r="1303" spans="22:43" x14ac:dyDescent="0.35">
      <c r="V1303" s="1013"/>
      <c r="W1303" s="138"/>
      <c r="AQ1303" s="138"/>
    </row>
    <row r="1304" spans="22:43" x14ac:dyDescent="0.35">
      <c r="V1304" s="1013"/>
      <c r="W1304" s="138"/>
      <c r="AQ1304" s="138"/>
    </row>
    <row r="1305" spans="22:43" x14ac:dyDescent="0.35">
      <c r="V1305" s="1013"/>
      <c r="W1305" s="138"/>
      <c r="AQ1305" s="138"/>
    </row>
    <row r="1306" spans="22:43" x14ac:dyDescent="0.35">
      <c r="V1306" s="1013"/>
      <c r="W1306" s="138"/>
      <c r="AQ1306" s="138"/>
    </row>
    <row r="1307" spans="22:43" x14ac:dyDescent="0.35">
      <c r="V1307" s="1013"/>
      <c r="W1307" s="138"/>
      <c r="AQ1307" s="138"/>
    </row>
    <row r="1308" spans="22:43" x14ac:dyDescent="0.35">
      <c r="V1308" s="1013"/>
      <c r="W1308" s="138"/>
      <c r="AQ1308" s="138"/>
    </row>
    <row r="1309" spans="22:43" x14ac:dyDescent="0.35">
      <c r="V1309" s="1013"/>
      <c r="W1309" s="138"/>
      <c r="AQ1309" s="138"/>
    </row>
    <row r="1310" spans="22:43" x14ac:dyDescent="0.35">
      <c r="V1310" s="1013"/>
      <c r="W1310" s="138"/>
      <c r="AQ1310" s="138"/>
    </row>
    <row r="1311" spans="22:43" x14ac:dyDescent="0.35">
      <c r="V1311" s="1013"/>
      <c r="W1311" s="138"/>
      <c r="AQ1311" s="138"/>
    </row>
    <row r="1312" spans="22:43" x14ac:dyDescent="0.35">
      <c r="V1312" s="1013"/>
      <c r="W1312" s="138"/>
      <c r="AQ1312" s="138"/>
    </row>
    <row r="1313" spans="22:43" x14ac:dyDescent="0.35">
      <c r="V1313" s="1013"/>
      <c r="W1313" s="138"/>
      <c r="AQ1313" s="138"/>
    </row>
    <row r="1314" spans="22:43" x14ac:dyDescent="0.35">
      <c r="V1314" s="1013"/>
      <c r="W1314" s="138"/>
      <c r="AQ1314" s="138"/>
    </row>
    <row r="1315" spans="22:43" x14ac:dyDescent="0.35">
      <c r="V1315" s="1013"/>
      <c r="W1315" s="138"/>
      <c r="AQ1315" s="138"/>
    </row>
    <row r="1316" spans="22:43" x14ac:dyDescent="0.35">
      <c r="V1316" s="1013"/>
      <c r="W1316" s="138"/>
      <c r="AQ1316" s="138"/>
    </row>
    <row r="1317" spans="22:43" x14ac:dyDescent="0.35">
      <c r="V1317" s="1013"/>
      <c r="W1317" s="138"/>
      <c r="AQ1317" s="138"/>
    </row>
    <row r="1318" spans="22:43" x14ac:dyDescent="0.35">
      <c r="V1318" s="1013"/>
      <c r="W1318" s="138"/>
      <c r="AQ1318" s="138"/>
    </row>
    <row r="1319" spans="22:43" x14ac:dyDescent="0.35">
      <c r="V1319" s="1013"/>
      <c r="W1319" s="138"/>
      <c r="AQ1319" s="138"/>
    </row>
    <row r="1320" spans="22:43" x14ac:dyDescent="0.35">
      <c r="V1320" s="1013"/>
      <c r="W1320" s="138"/>
      <c r="AQ1320" s="138"/>
    </row>
    <row r="1321" spans="22:43" x14ac:dyDescent="0.35">
      <c r="V1321" s="1013"/>
      <c r="W1321" s="138"/>
      <c r="AQ1321" s="138"/>
    </row>
    <row r="1322" spans="22:43" x14ac:dyDescent="0.35">
      <c r="V1322" s="1013"/>
      <c r="W1322" s="138"/>
      <c r="AQ1322" s="138"/>
    </row>
    <row r="1323" spans="22:43" x14ac:dyDescent="0.35">
      <c r="V1323" s="1013"/>
      <c r="W1323" s="138"/>
      <c r="AQ1323" s="138"/>
    </row>
    <row r="1324" spans="22:43" x14ac:dyDescent="0.35">
      <c r="V1324" s="1013"/>
      <c r="W1324" s="138"/>
      <c r="AQ1324" s="138"/>
    </row>
    <row r="1325" spans="22:43" x14ac:dyDescent="0.35">
      <c r="V1325" s="1013"/>
      <c r="W1325" s="138"/>
      <c r="AQ1325" s="138"/>
    </row>
    <row r="1326" spans="22:43" x14ac:dyDescent="0.35">
      <c r="V1326" s="1013"/>
      <c r="W1326" s="138"/>
      <c r="AQ1326" s="138"/>
    </row>
    <row r="1327" spans="22:43" x14ac:dyDescent="0.35">
      <c r="V1327" s="1013"/>
      <c r="W1327" s="138"/>
      <c r="AQ1327" s="138"/>
    </row>
    <row r="1328" spans="22:43" x14ac:dyDescent="0.35">
      <c r="V1328" s="1013"/>
      <c r="W1328" s="138"/>
      <c r="AQ1328" s="138"/>
    </row>
    <row r="1329" spans="22:43" x14ac:dyDescent="0.35">
      <c r="V1329" s="1013"/>
      <c r="W1329" s="138"/>
      <c r="AQ1329" s="138"/>
    </row>
    <row r="1330" spans="22:43" x14ac:dyDescent="0.35">
      <c r="V1330" s="1013"/>
      <c r="W1330" s="138"/>
      <c r="AQ1330" s="138"/>
    </row>
    <row r="1331" spans="22:43" x14ac:dyDescent="0.35">
      <c r="V1331" s="1013"/>
      <c r="W1331" s="138"/>
      <c r="AQ1331" s="138"/>
    </row>
    <row r="1332" spans="22:43" x14ac:dyDescent="0.35">
      <c r="V1332" s="1013"/>
      <c r="W1332" s="138"/>
      <c r="AQ1332" s="138"/>
    </row>
    <row r="1333" spans="22:43" x14ac:dyDescent="0.35">
      <c r="V1333" s="1013"/>
      <c r="W1333" s="138"/>
      <c r="AQ1333" s="138"/>
    </row>
    <row r="1334" spans="22:43" x14ac:dyDescent="0.35">
      <c r="V1334" s="1013"/>
      <c r="W1334" s="138"/>
      <c r="AQ1334" s="138"/>
    </row>
    <row r="1335" spans="22:43" x14ac:dyDescent="0.35">
      <c r="V1335" s="1013"/>
      <c r="W1335" s="138"/>
      <c r="AQ1335" s="138"/>
    </row>
    <row r="1336" spans="22:43" x14ac:dyDescent="0.35">
      <c r="V1336" s="1013"/>
      <c r="W1336" s="138"/>
      <c r="AQ1336" s="138"/>
    </row>
    <row r="1337" spans="22:43" x14ac:dyDescent="0.35">
      <c r="V1337" s="1013"/>
      <c r="W1337" s="138"/>
      <c r="AQ1337" s="138"/>
    </row>
    <row r="1338" spans="22:43" x14ac:dyDescent="0.35">
      <c r="V1338" s="1013"/>
      <c r="W1338" s="138"/>
      <c r="AQ1338" s="138"/>
    </row>
    <row r="1339" spans="22:43" x14ac:dyDescent="0.35">
      <c r="V1339" s="1013"/>
      <c r="W1339" s="138"/>
      <c r="AQ1339" s="138"/>
    </row>
    <row r="1340" spans="22:43" x14ac:dyDescent="0.35">
      <c r="V1340" s="1013"/>
      <c r="W1340" s="138"/>
      <c r="AQ1340" s="138"/>
    </row>
    <row r="1341" spans="22:43" x14ac:dyDescent="0.35">
      <c r="V1341" s="1013"/>
      <c r="W1341" s="138"/>
      <c r="AQ1341" s="138"/>
    </row>
    <row r="1342" spans="22:43" x14ac:dyDescent="0.35">
      <c r="V1342" s="1013"/>
      <c r="W1342" s="138"/>
      <c r="AQ1342" s="138"/>
    </row>
    <row r="1343" spans="22:43" x14ac:dyDescent="0.35">
      <c r="V1343" s="1013"/>
      <c r="W1343" s="138"/>
      <c r="AQ1343" s="138"/>
    </row>
    <row r="1344" spans="22:43" x14ac:dyDescent="0.35">
      <c r="V1344" s="1013"/>
      <c r="W1344" s="138"/>
      <c r="AQ1344" s="138"/>
    </row>
    <row r="1345" spans="22:43" x14ac:dyDescent="0.35">
      <c r="V1345" s="1013"/>
      <c r="W1345" s="138"/>
      <c r="AQ1345" s="138"/>
    </row>
    <row r="1346" spans="22:43" x14ac:dyDescent="0.35">
      <c r="V1346" s="1013"/>
      <c r="W1346" s="138"/>
      <c r="AQ1346" s="138"/>
    </row>
    <row r="1347" spans="22:43" x14ac:dyDescent="0.35">
      <c r="V1347" s="1013"/>
      <c r="W1347" s="138"/>
      <c r="AQ1347" s="138"/>
    </row>
    <row r="1348" spans="22:43" x14ac:dyDescent="0.35">
      <c r="V1348" s="1013"/>
      <c r="W1348" s="138"/>
      <c r="AQ1348" s="138"/>
    </row>
    <row r="1349" spans="22:43" x14ac:dyDescent="0.35">
      <c r="V1349" s="1013"/>
      <c r="W1349" s="138"/>
      <c r="AQ1349" s="138"/>
    </row>
    <row r="1350" spans="22:43" x14ac:dyDescent="0.35">
      <c r="V1350" s="1013"/>
      <c r="W1350" s="138"/>
      <c r="AQ1350" s="138"/>
    </row>
    <row r="1351" spans="22:43" x14ac:dyDescent="0.35">
      <c r="V1351" s="1013"/>
      <c r="W1351" s="138"/>
      <c r="AQ1351" s="138"/>
    </row>
    <row r="1352" spans="22:43" x14ac:dyDescent="0.35">
      <c r="V1352" s="1013"/>
      <c r="W1352" s="138"/>
      <c r="AQ1352" s="138"/>
    </row>
    <row r="1353" spans="22:43" x14ac:dyDescent="0.35">
      <c r="V1353" s="1013"/>
      <c r="W1353" s="138"/>
      <c r="AQ1353" s="138"/>
    </row>
    <row r="1354" spans="22:43" x14ac:dyDescent="0.35">
      <c r="V1354" s="1013"/>
      <c r="W1354" s="138"/>
      <c r="AQ1354" s="138"/>
    </row>
    <row r="1355" spans="22:43" x14ac:dyDescent="0.35">
      <c r="V1355" s="1013"/>
      <c r="W1355" s="138"/>
      <c r="AQ1355" s="138"/>
    </row>
    <row r="1356" spans="22:43" x14ac:dyDescent="0.35">
      <c r="V1356" s="1013"/>
      <c r="W1356" s="138"/>
      <c r="AQ1356" s="138"/>
    </row>
    <row r="1357" spans="22:43" x14ac:dyDescent="0.35">
      <c r="V1357" s="1013"/>
      <c r="W1357" s="138"/>
      <c r="AQ1357" s="138"/>
    </row>
    <row r="1358" spans="22:43" x14ac:dyDescent="0.35">
      <c r="V1358" s="1013"/>
      <c r="W1358" s="138"/>
      <c r="AQ1358" s="138"/>
    </row>
    <row r="1359" spans="22:43" x14ac:dyDescent="0.35">
      <c r="V1359" s="1013"/>
      <c r="W1359" s="138"/>
      <c r="AQ1359" s="138"/>
    </row>
    <row r="1360" spans="22:43" x14ac:dyDescent="0.35">
      <c r="V1360" s="1013"/>
      <c r="W1360" s="138"/>
      <c r="AQ1360" s="138"/>
    </row>
    <row r="1361" spans="22:43" x14ac:dyDescent="0.35">
      <c r="V1361" s="1013"/>
      <c r="W1361" s="138"/>
      <c r="AQ1361" s="138"/>
    </row>
    <row r="1362" spans="22:43" x14ac:dyDescent="0.35">
      <c r="V1362" s="1013"/>
      <c r="W1362" s="138"/>
      <c r="AQ1362" s="138"/>
    </row>
    <row r="1363" spans="22:43" x14ac:dyDescent="0.35">
      <c r="V1363" s="1013"/>
      <c r="W1363" s="138"/>
      <c r="AQ1363" s="138"/>
    </row>
    <row r="1364" spans="22:43" x14ac:dyDescent="0.35">
      <c r="V1364" s="1013"/>
      <c r="W1364" s="138"/>
      <c r="AQ1364" s="138"/>
    </row>
    <row r="1365" spans="22:43" x14ac:dyDescent="0.35">
      <c r="V1365" s="1013"/>
      <c r="W1365" s="138"/>
      <c r="AQ1365" s="138"/>
    </row>
    <row r="1366" spans="22:43" x14ac:dyDescent="0.35">
      <c r="V1366" s="1013"/>
      <c r="W1366" s="138"/>
      <c r="AQ1366" s="138"/>
    </row>
    <row r="1367" spans="22:43" x14ac:dyDescent="0.35">
      <c r="V1367" s="1013"/>
      <c r="W1367" s="138"/>
      <c r="AQ1367" s="138"/>
    </row>
    <row r="1368" spans="22:43" x14ac:dyDescent="0.35">
      <c r="V1368" s="1013"/>
      <c r="W1368" s="138"/>
      <c r="AQ1368" s="138"/>
    </row>
    <row r="1369" spans="22:43" x14ac:dyDescent="0.35">
      <c r="V1369" s="1013"/>
      <c r="W1369" s="138"/>
      <c r="AQ1369" s="138"/>
    </row>
    <row r="1370" spans="22:43" x14ac:dyDescent="0.35">
      <c r="V1370" s="1013"/>
      <c r="W1370" s="138"/>
      <c r="AQ1370" s="138"/>
    </row>
    <row r="1371" spans="22:43" x14ac:dyDescent="0.35">
      <c r="V1371" s="1013"/>
      <c r="W1371" s="138"/>
      <c r="AQ1371" s="138"/>
    </row>
    <row r="1372" spans="22:43" x14ac:dyDescent="0.35">
      <c r="V1372" s="1013"/>
      <c r="W1372" s="138"/>
      <c r="AQ1372" s="138"/>
    </row>
    <row r="1373" spans="22:43" x14ac:dyDescent="0.35">
      <c r="V1373" s="1013"/>
      <c r="W1373" s="138"/>
      <c r="AQ1373" s="138"/>
    </row>
    <row r="1374" spans="22:43" x14ac:dyDescent="0.35">
      <c r="V1374" s="1013"/>
      <c r="W1374" s="138"/>
      <c r="AQ1374" s="138"/>
    </row>
    <row r="1375" spans="22:43" x14ac:dyDescent="0.35">
      <c r="V1375" s="1013"/>
      <c r="W1375" s="138"/>
      <c r="AQ1375" s="138"/>
    </row>
    <row r="1376" spans="22:43" x14ac:dyDescent="0.35">
      <c r="V1376" s="1013"/>
      <c r="W1376" s="138"/>
      <c r="AQ1376" s="138"/>
    </row>
    <row r="1377" spans="22:43" x14ac:dyDescent="0.35">
      <c r="V1377" s="1013"/>
      <c r="W1377" s="138"/>
      <c r="AQ1377" s="138"/>
    </row>
    <row r="1378" spans="22:43" x14ac:dyDescent="0.35">
      <c r="V1378" s="1013"/>
      <c r="W1378" s="138"/>
      <c r="AQ1378" s="138"/>
    </row>
    <row r="1379" spans="22:43" x14ac:dyDescent="0.35">
      <c r="V1379" s="1013"/>
      <c r="W1379" s="138"/>
      <c r="AQ1379" s="138"/>
    </row>
    <row r="1380" spans="22:43" x14ac:dyDescent="0.35">
      <c r="V1380" s="1013"/>
      <c r="W1380" s="138"/>
      <c r="AQ1380" s="138"/>
    </row>
    <row r="1381" spans="22:43" x14ac:dyDescent="0.35">
      <c r="V1381" s="1013"/>
      <c r="W1381" s="138"/>
      <c r="AQ1381" s="138"/>
    </row>
    <row r="1382" spans="22:43" x14ac:dyDescent="0.35">
      <c r="V1382" s="1013"/>
      <c r="W1382" s="138"/>
      <c r="AQ1382" s="138"/>
    </row>
    <row r="1383" spans="22:43" x14ac:dyDescent="0.35">
      <c r="V1383" s="1013"/>
      <c r="W1383" s="138"/>
      <c r="AQ1383" s="138"/>
    </row>
    <row r="1384" spans="22:43" x14ac:dyDescent="0.35">
      <c r="V1384" s="1013"/>
      <c r="W1384" s="138"/>
      <c r="AQ1384" s="138"/>
    </row>
    <row r="1385" spans="22:43" x14ac:dyDescent="0.35">
      <c r="V1385" s="1013"/>
      <c r="W1385" s="138"/>
      <c r="AQ1385" s="138"/>
    </row>
    <row r="1386" spans="22:43" x14ac:dyDescent="0.35">
      <c r="V1386" s="1013"/>
      <c r="W1386" s="138"/>
      <c r="AQ1386" s="138"/>
    </row>
    <row r="1387" spans="22:43" x14ac:dyDescent="0.35">
      <c r="V1387" s="1013"/>
      <c r="W1387" s="138"/>
      <c r="AQ1387" s="138"/>
    </row>
    <row r="1388" spans="22:43" x14ac:dyDescent="0.35">
      <c r="V1388" s="1013"/>
      <c r="W1388" s="138"/>
      <c r="AQ1388" s="138"/>
    </row>
    <row r="1389" spans="22:43" x14ac:dyDescent="0.35">
      <c r="V1389" s="1013"/>
      <c r="W1389" s="138"/>
      <c r="AQ1389" s="138"/>
    </row>
    <row r="1390" spans="22:43" x14ac:dyDescent="0.35">
      <c r="V1390" s="1013"/>
      <c r="W1390" s="138"/>
      <c r="AQ1390" s="138"/>
    </row>
    <row r="1391" spans="22:43" x14ac:dyDescent="0.35">
      <c r="V1391" s="1013"/>
      <c r="W1391" s="138"/>
      <c r="AQ1391" s="138"/>
    </row>
    <row r="1392" spans="22:43" x14ac:dyDescent="0.35">
      <c r="V1392" s="1013"/>
      <c r="W1392" s="138"/>
      <c r="AQ1392" s="138"/>
    </row>
    <row r="1393" spans="22:43" x14ac:dyDescent="0.35">
      <c r="V1393" s="1013"/>
      <c r="W1393" s="138"/>
      <c r="AQ1393" s="138"/>
    </row>
    <row r="1394" spans="22:43" x14ac:dyDescent="0.35">
      <c r="V1394" s="1013"/>
      <c r="W1394" s="138"/>
      <c r="AQ1394" s="138"/>
    </row>
    <row r="1395" spans="22:43" x14ac:dyDescent="0.35">
      <c r="V1395" s="1013"/>
      <c r="W1395" s="138"/>
      <c r="AQ1395" s="138"/>
    </row>
    <row r="1396" spans="22:43" x14ac:dyDescent="0.35">
      <c r="V1396" s="1013"/>
      <c r="W1396" s="138"/>
      <c r="AQ1396" s="138"/>
    </row>
    <row r="1397" spans="22:43" x14ac:dyDescent="0.35">
      <c r="V1397" s="1013"/>
      <c r="W1397" s="138"/>
      <c r="AQ1397" s="138"/>
    </row>
    <row r="1398" spans="22:43" x14ac:dyDescent="0.35">
      <c r="V1398" s="1013"/>
      <c r="W1398" s="138"/>
      <c r="AQ1398" s="138"/>
    </row>
    <row r="1399" spans="22:43" x14ac:dyDescent="0.35">
      <c r="V1399" s="1013"/>
      <c r="W1399" s="138"/>
      <c r="AQ1399" s="138"/>
    </row>
    <row r="1400" spans="22:43" x14ac:dyDescent="0.35">
      <c r="V1400" s="1013"/>
      <c r="W1400" s="138"/>
      <c r="AQ1400" s="138"/>
    </row>
    <row r="1401" spans="22:43" x14ac:dyDescent="0.35">
      <c r="V1401" s="1013"/>
      <c r="W1401" s="138"/>
      <c r="AQ1401" s="138"/>
    </row>
    <row r="1402" spans="22:43" x14ac:dyDescent="0.35">
      <c r="V1402" s="1013"/>
      <c r="W1402" s="138"/>
      <c r="AQ1402" s="138"/>
    </row>
    <row r="1403" spans="22:43" x14ac:dyDescent="0.35">
      <c r="V1403" s="1013"/>
      <c r="W1403" s="138"/>
      <c r="AQ1403" s="138"/>
    </row>
    <row r="1404" spans="22:43" x14ac:dyDescent="0.35">
      <c r="V1404" s="1013"/>
      <c r="W1404" s="138"/>
      <c r="AQ1404" s="138"/>
    </row>
    <row r="1405" spans="22:43" x14ac:dyDescent="0.35">
      <c r="V1405" s="1013"/>
      <c r="W1405" s="138"/>
      <c r="AQ1405" s="138"/>
    </row>
    <row r="1406" spans="22:43" x14ac:dyDescent="0.35">
      <c r="V1406" s="1013"/>
      <c r="W1406" s="138"/>
      <c r="AQ1406" s="138"/>
    </row>
    <row r="1407" spans="22:43" x14ac:dyDescent="0.35">
      <c r="V1407" s="1013"/>
      <c r="W1407" s="138"/>
      <c r="AQ1407" s="138"/>
    </row>
    <row r="1408" spans="22:43" x14ac:dyDescent="0.35">
      <c r="V1408" s="1013"/>
      <c r="W1408" s="138"/>
      <c r="AQ1408" s="138"/>
    </row>
    <row r="1409" spans="22:43" x14ac:dyDescent="0.35">
      <c r="V1409" s="1013"/>
      <c r="W1409" s="138"/>
      <c r="AQ1409" s="138"/>
    </row>
    <row r="1410" spans="22:43" x14ac:dyDescent="0.35">
      <c r="V1410" s="1013"/>
      <c r="W1410" s="138"/>
      <c r="AQ1410" s="138"/>
    </row>
    <row r="1411" spans="22:43" x14ac:dyDescent="0.35">
      <c r="V1411" s="1013"/>
      <c r="W1411" s="138"/>
      <c r="AQ1411" s="138"/>
    </row>
    <row r="1412" spans="22:43" x14ac:dyDescent="0.35">
      <c r="V1412" s="1013"/>
      <c r="W1412" s="138"/>
      <c r="AQ1412" s="138"/>
    </row>
    <row r="1413" spans="22:43" x14ac:dyDescent="0.35">
      <c r="V1413" s="1013"/>
      <c r="W1413" s="138"/>
      <c r="AQ1413" s="138"/>
    </row>
    <row r="1414" spans="22:43" x14ac:dyDescent="0.35">
      <c r="V1414" s="1013"/>
      <c r="W1414" s="138"/>
      <c r="AQ1414" s="138"/>
    </row>
    <row r="1415" spans="22:43" x14ac:dyDescent="0.35">
      <c r="V1415" s="1013"/>
      <c r="W1415" s="138"/>
      <c r="AQ1415" s="138"/>
    </row>
    <row r="1416" spans="22:43" x14ac:dyDescent="0.35">
      <c r="V1416" s="1013"/>
      <c r="W1416" s="138"/>
      <c r="AQ1416" s="138"/>
    </row>
    <row r="1417" spans="22:43" x14ac:dyDescent="0.35">
      <c r="V1417" s="1013"/>
      <c r="W1417" s="138"/>
      <c r="AQ1417" s="138"/>
    </row>
    <row r="1418" spans="22:43" x14ac:dyDescent="0.35">
      <c r="V1418" s="1013"/>
      <c r="W1418" s="138"/>
      <c r="AQ1418" s="138"/>
    </row>
    <row r="1419" spans="22:43" x14ac:dyDescent="0.35">
      <c r="V1419" s="1013"/>
      <c r="W1419" s="138"/>
      <c r="AQ1419" s="138"/>
    </row>
    <row r="1420" spans="22:43" x14ac:dyDescent="0.35">
      <c r="V1420" s="1013"/>
      <c r="W1420" s="138"/>
      <c r="AQ1420" s="138"/>
    </row>
    <row r="1421" spans="22:43" x14ac:dyDescent="0.35">
      <c r="V1421" s="1013"/>
      <c r="W1421" s="138"/>
      <c r="AQ1421" s="138"/>
    </row>
    <row r="1422" spans="22:43" x14ac:dyDescent="0.35">
      <c r="V1422" s="1013"/>
      <c r="W1422" s="138"/>
      <c r="AQ1422" s="138"/>
    </row>
    <row r="1423" spans="22:43" x14ac:dyDescent="0.35">
      <c r="V1423" s="1013"/>
      <c r="W1423" s="138"/>
      <c r="AQ1423" s="138"/>
    </row>
    <row r="1424" spans="22:43" x14ac:dyDescent="0.35">
      <c r="V1424" s="1013"/>
      <c r="W1424" s="138"/>
      <c r="AQ1424" s="138"/>
    </row>
    <row r="1425" spans="22:43" x14ac:dyDescent="0.35">
      <c r="V1425" s="1013"/>
      <c r="W1425" s="138"/>
      <c r="AQ1425" s="138"/>
    </row>
    <row r="1426" spans="22:43" x14ac:dyDescent="0.35">
      <c r="V1426" s="1013"/>
      <c r="W1426" s="138"/>
      <c r="AQ1426" s="138"/>
    </row>
    <row r="1427" spans="22:43" x14ac:dyDescent="0.35">
      <c r="V1427" s="1013"/>
      <c r="W1427" s="138"/>
      <c r="AQ1427" s="138"/>
    </row>
    <row r="1428" spans="22:43" x14ac:dyDescent="0.35">
      <c r="V1428" s="1013"/>
      <c r="W1428" s="138"/>
      <c r="AQ1428" s="138"/>
    </row>
    <row r="1429" spans="22:43" x14ac:dyDescent="0.35">
      <c r="V1429" s="1013"/>
      <c r="W1429" s="138"/>
      <c r="AQ1429" s="138"/>
    </row>
    <row r="1430" spans="22:43" x14ac:dyDescent="0.35">
      <c r="V1430" s="1013"/>
      <c r="W1430" s="138"/>
      <c r="AQ1430" s="138"/>
    </row>
    <row r="1431" spans="22:43" x14ac:dyDescent="0.35">
      <c r="V1431" s="1013"/>
      <c r="W1431" s="138"/>
      <c r="AQ1431" s="138"/>
    </row>
    <row r="1432" spans="22:43" x14ac:dyDescent="0.35">
      <c r="V1432" s="1013"/>
      <c r="W1432" s="138"/>
      <c r="AQ1432" s="138"/>
    </row>
    <row r="1433" spans="22:43" x14ac:dyDescent="0.35">
      <c r="V1433" s="1013"/>
      <c r="W1433" s="138"/>
      <c r="AQ1433" s="138"/>
    </row>
    <row r="1434" spans="22:43" x14ac:dyDescent="0.35">
      <c r="V1434" s="1013"/>
      <c r="W1434" s="138"/>
      <c r="AQ1434" s="138"/>
    </row>
    <row r="1435" spans="22:43" x14ac:dyDescent="0.35">
      <c r="V1435" s="1013"/>
      <c r="W1435" s="138"/>
      <c r="AQ1435" s="138"/>
    </row>
    <row r="1436" spans="22:43" x14ac:dyDescent="0.35">
      <c r="V1436" s="1013"/>
      <c r="W1436" s="138"/>
      <c r="AQ1436" s="138"/>
    </row>
    <row r="1437" spans="22:43" x14ac:dyDescent="0.35">
      <c r="V1437" s="1013"/>
      <c r="W1437" s="138"/>
      <c r="AQ1437" s="138"/>
    </row>
    <row r="1438" spans="22:43" x14ac:dyDescent="0.35">
      <c r="V1438" s="1013"/>
      <c r="W1438" s="138"/>
      <c r="AQ1438" s="138"/>
    </row>
    <row r="1439" spans="22:43" x14ac:dyDescent="0.35">
      <c r="V1439" s="1013"/>
      <c r="W1439" s="138"/>
      <c r="AQ1439" s="138"/>
    </row>
    <row r="1440" spans="22:43" x14ac:dyDescent="0.35">
      <c r="V1440" s="1013"/>
      <c r="W1440" s="138"/>
      <c r="AQ1440" s="138"/>
    </row>
    <row r="1441" spans="22:43" x14ac:dyDescent="0.35">
      <c r="V1441" s="1013"/>
      <c r="W1441" s="138"/>
      <c r="AQ1441" s="138"/>
    </row>
    <row r="1442" spans="22:43" x14ac:dyDescent="0.35">
      <c r="V1442" s="1013"/>
      <c r="W1442" s="138"/>
      <c r="AQ1442" s="138"/>
    </row>
    <row r="1443" spans="22:43" x14ac:dyDescent="0.35">
      <c r="V1443" s="1013"/>
      <c r="W1443" s="138"/>
      <c r="AQ1443" s="138"/>
    </row>
    <row r="1444" spans="22:43" x14ac:dyDescent="0.35">
      <c r="V1444" s="1013"/>
      <c r="W1444" s="138"/>
      <c r="AQ1444" s="138"/>
    </row>
    <row r="1445" spans="22:43" x14ac:dyDescent="0.35">
      <c r="V1445" s="1013"/>
      <c r="W1445" s="138"/>
      <c r="AQ1445" s="138"/>
    </row>
    <row r="1446" spans="22:43" x14ac:dyDescent="0.35">
      <c r="V1446" s="1013"/>
      <c r="W1446" s="138"/>
      <c r="AQ1446" s="138"/>
    </row>
    <row r="1447" spans="22:43" x14ac:dyDescent="0.35">
      <c r="V1447" s="1013"/>
      <c r="W1447" s="138"/>
      <c r="AQ1447" s="138"/>
    </row>
    <row r="1448" spans="22:43" x14ac:dyDescent="0.35">
      <c r="V1448" s="1013"/>
      <c r="W1448" s="138"/>
      <c r="AQ1448" s="138"/>
    </row>
    <row r="1449" spans="22:43" x14ac:dyDescent="0.35">
      <c r="V1449" s="1013"/>
      <c r="W1449" s="138"/>
      <c r="AQ1449" s="138"/>
    </row>
    <row r="1450" spans="22:43" x14ac:dyDescent="0.35">
      <c r="V1450" s="1013"/>
      <c r="W1450" s="138"/>
      <c r="AQ1450" s="138"/>
    </row>
    <row r="1451" spans="22:43" x14ac:dyDescent="0.35">
      <c r="V1451" s="1013"/>
      <c r="W1451" s="138"/>
      <c r="AQ1451" s="138"/>
    </row>
    <row r="1452" spans="22:43" x14ac:dyDescent="0.35">
      <c r="V1452" s="1013"/>
      <c r="W1452" s="138"/>
      <c r="AQ1452" s="138"/>
    </row>
    <row r="1453" spans="22:43" x14ac:dyDescent="0.35">
      <c r="V1453" s="1013"/>
      <c r="W1453" s="138"/>
      <c r="AQ1453" s="138"/>
    </row>
    <row r="1454" spans="22:43" x14ac:dyDescent="0.35">
      <c r="V1454" s="1013"/>
      <c r="W1454" s="138"/>
      <c r="AQ1454" s="138"/>
    </row>
    <row r="1455" spans="22:43" x14ac:dyDescent="0.35">
      <c r="V1455" s="1013"/>
      <c r="W1455" s="138"/>
      <c r="AQ1455" s="138"/>
    </row>
    <row r="1456" spans="22:43" x14ac:dyDescent="0.35">
      <c r="V1456" s="1013"/>
      <c r="W1456" s="138"/>
      <c r="AQ1456" s="138"/>
    </row>
    <row r="1457" spans="22:43" x14ac:dyDescent="0.35">
      <c r="V1457" s="1013"/>
      <c r="W1457" s="138"/>
      <c r="AQ1457" s="138"/>
    </row>
    <row r="1458" spans="22:43" x14ac:dyDescent="0.35">
      <c r="V1458" s="1013"/>
      <c r="W1458" s="138"/>
      <c r="AQ1458" s="138"/>
    </row>
    <row r="1459" spans="22:43" x14ac:dyDescent="0.35">
      <c r="V1459" s="1013"/>
      <c r="W1459" s="138"/>
      <c r="AQ1459" s="138"/>
    </row>
    <row r="1460" spans="22:43" x14ac:dyDescent="0.35">
      <c r="V1460" s="1013"/>
      <c r="W1460" s="138"/>
      <c r="AQ1460" s="138"/>
    </row>
    <row r="1461" spans="22:43" x14ac:dyDescent="0.35">
      <c r="V1461" s="1013"/>
      <c r="W1461" s="138"/>
      <c r="AQ1461" s="138"/>
    </row>
    <row r="1462" spans="22:43" x14ac:dyDescent="0.35">
      <c r="V1462" s="1013"/>
      <c r="W1462" s="138"/>
      <c r="AQ1462" s="138"/>
    </row>
    <row r="1463" spans="22:43" x14ac:dyDescent="0.35">
      <c r="V1463" s="1013"/>
      <c r="W1463" s="138"/>
      <c r="AQ1463" s="138"/>
    </row>
    <row r="1464" spans="22:43" x14ac:dyDescent="0.35">
      <c r="V1464" s="1013"/>
      <c r="W1464" s="138"/>
      <c r="AQ1464" s="138"/>
    </row>
    <row r="1465" spans="22:43" x14ac:dyDescent="0.35">
      <c r="V1465" s="1013"/>
      <c r="W1465" s="138"/>
      <c r="AQ1465" s="138"/>
    </row>
    <row r="1466" spans="22:43" x14ac:dyDescent="0.35">
      <c r="V1466" s="1013"/>
      <c r="W1466" s="138"/>
      <c r="AQ1466" s="138"/>
    </row>
    <row r="1467" spans="22:43" x14ac:dyDescent="0.35">
      <c r="V1467" s="1013"/>
      <c r="W1467" s="138"/>
      <c r="AQ1467" s="138"/>
    </row>
    <row r="1468" spans="22:43" x14ac:dyDescent="0.35">
      <c r="V1468" s="1013"/>
      <c r="W1468" s="138"/>
      <c r="AQ1468" s="138"/>
    </row>
    <row r="1469" spans="22:43" x14ac:dyDescent="0.35">
      <c r="V1469" s="1013"/>
      <c r="W1469" s="138"/>
      <c r="AQ1469" s="138"/>
    </row>
    <row r="1470" spans="22:43" x14ac:dyDescent="0.35">
      <c r="V1470" s="1013"/>
      <c r="W1470" s="138"/>
      <c r="AQ1470" s="138"/>
    </row>
    <row r="1471" spans="22:43" x14ac:dyDescent="0.35">
      <c r="V1471" s="1013"/>
      <c r="W1471" s="138"/>
      <c r="AQ1471" s="138"/>
    </row>
    <row r="1472" spans="22:43" x14ac:dyDescent="0.35">
      <c r="V1472" s="1013"/>
      <c r="W1472" s="138"/>
      <c r="AQ1472" s="138"/>
    </row>
    <row r="1473" spans="22:43" x14ac:dyDescent="0.35">
      <c r="V1473" s="1013"/>
      <c r="W1473" s="138"/>
      <c r="AQ1473" s="138"/>
    </row>
    <row r="1474" spans="22:43" x14ac:dyDescent="0.35">
      <c r="V1474" s="1013"/>
      <c r="W1474" s="138"/>
      <c r="AQ1474" s="138"/>
    </row>
    <row r="1475" spans="22:43" x14ac:dyDescent="0.35">
      <c r="V1475" s="1013"/>
      <c r="W1475" s="138"/>
      <c r="AQ1475" s="138"/>
    </row>
    <row r="1476" spans="22:43" x14ac:dyDescent="0.35">
      <c r="V1476" s="1013"/>
      <c r="W1476" s="138"/>
      <c r="AQ1476" s="138"/>
    </row>
    <row r="1477" spans="22:43" x14ac:dyDescent="0.35">
      <c r="V1477" s="1013"/>
      <c r="W1477" s="138"/>
      <c r="AQ1477" s="138"/>
    </row>
    <row r="1478" spans="22:43" x14ac:dyDescent="0.35">
      <c r="V1478" s="1013"/>
      <c r="W1478" s="138"/>
      <c r="AQ1478" s="138"/>
    </row>
    <row r="1479" spans="22:43" x14ac:dyDescent="0.35">
      <c r="V1479" s="1013"/>
      <c r="W1479" s="138"/>
      <c r="AQ1479" s="138"/>
    </row>
    <row r="1480" spans="22:43" x14ac:dyDescent="0.35">
      <c r="V1480" s="1013"/>
      <c r="W1480" s="138"/>
      <c r="AQ1480" s="138"/>
    </row>
    <row r="1481" spans="22:43" x14ac:dyDescent="0.35">
      <c r="V1481" s="1013"/>
      <c r="W1481" s="138"/>
      <c r="AQ1481" s="138"/>
    </row>
    <row r="1482" spans="22:43" x14ac:dyDescent="0.35">
      <c r="V1482" s="1013"/>
      <c r="W1482" s="138"/>
      <c r="AQ1482" s="138"/>
    </row>
    <row r="1483" spans="22:43" x14ac:dyDescent="0.35">
      <c r="V1483" s="1013"/>
      <c r="W1483" s="138"/>
      <c r="AQ1483" s="138"/>
    </row>
    <row r="1484" spans="22:43" x14ac:dyDescent="0.35">
      <c r="V1484" s="1013"/>
      <c r="W1484" s="138"/>
      <c r="AQ1484" s="138"/>
    </row>
    <row r="1485" spans="22:43" x14ac:dyDescent="0.35">
      <c r="V1485" s="1013"/>
      <c r="W1485" s="138"/>
      <c r="AQ1485" s="138"/>
    </row>
    <row r="1486" spans="22:43" x14ac:dyDescent="0.35">
      <c r="V1486" s="1013"/>
      <c r="W1486" s="138"/>
      <c r="AQ1486" s="138"/>
    </row>
    <row r="1487" spans="22:43" x14ac:dyDescent="0.35">
      <c r="V1487" s="1013"/>
      <c r="W1487" s="138"/>
      <c r="AQ1487" s="138"/>
    </row>
    <row r="1488" spans="22:43" x14ac:dyDescent="0.35">
      <c r="V1488" s="1013"/>
      <c r="W1488" s="138"/>
      <c r="AQ1488" s="138"/>
    </row>
    <row r="1489" spans="22:43" x14ac:dyDescent="0.35">
      <c r="V1489" s="1013"/>
      <c r="W1489" s="138"/>
      <c r="AQ1489" s="138"/>
    </row>
    <row r="1490" spans="22:43" x14ac:dyDescent="0.35">
      <c r="V1490" s="1013"/>
      <c r="W1490" s="138"/>
      <c r="AQ1490" s="138"/>
    </row>
    <row r="1491" spans="22:43" x14ac:dyDescent="0.35">
      <c r="V1491" s="1013"/>
      <c r="W1491" s="138"/>
      <c r="AQ1491" s="138"/>
    </row>
    <row r="1492" spans="22:43" x14ac:dyDescent="0.35">
      <c r="V1492" s="1013"/>
      <c r="W1492" s="138"/>
      <c r="AQ1492" s="138"/>
    </row>
    <row r="1493" spans="22:43" x14ac:dyDescent="0.35">
      <c r="V1493" s="1013"/>
      <c r="W1493" s="138"/>
      <c r="AQ1493" s="138"/>
    </row>
    <row r="1494" spans="22:43" x14ac:dyDescent="0.35">
      <c r="V1494" s="1013"/>
      <c r="W1494" s="138"/>
      <c r="AQ1494" s="138"/>
    </row>
    <row r="1495" spans="22:43" x14ac:dyDescent="0.35">
      <c r="V1495" s="1013"/>
      <c r="W1495" s="138"/>
      <c r="AQ1495" s="138"/>
    </row>
    <row r="1496" spans="22:43" x14ac:dyDescent="0.35">
      <c r="V1496" s="1013"/>
      <c r="W1496" s="138"/>
      <c r="AQ1496" s="138"/>
    </row>
    <row r="1497" spans="22:43" x14ac:dyDescent="0.35">
      <c r="V1497" s="1013"/>
      <c r="W1497" s="138"/>
      <c r="AQ1497" s="138"/>
    </row>
    <row r="1498" spans="22:43" x14ac:dyDescent="0.35">
      <c r="V1498" s="1013"/>
      <c r="W1498" s="138"/>
      <c r="AQ1498" s="138"/>
    </row>
    <row r="1499" spans="22:43" x14ac:dyDescent="0.35">
      <c r="V1499" s="1013"/>
      <c r="W1499" s="138"/>
      <c r="AQ1499" s="138"/>
    </row>
    <row r="1500" spans="22:43" x14ac:dyDescent="0.35">
      <c r="V1500" s="1013"/>
      <c r="W1500" s="138"/>
      <c r="AQ1500" s="138"/>
    </row>
    <row r="1501" spans="22:43" x14ac:dyDescent="0.35">
      <c r="V1501" s="1013"/>
      <c r="W1501" s="138"/>
      <c r="AQ1501" s="138"/>
    </row>
    <row r="1502" spans="22:43" x14ac:dyDescent="0.35">
      <c r="V1502" s="1013"/>
      <c r="W1502" s="138"/>
      <c r="AQ1502" s="138"/>
    </row>
    <row r="1503" spans="22:43" x14ac:dyDescent="0.35">
      <c r="V1503" s="1013"/>
      <c r="W1503" s="138"/>
      <c r="AQ1503" s="138"/>
    </row>
    <row r="1504" spans="22:43" x14ac:dyDescent="0.35">
      <c r="V1504" s="1013"/>
      <c r="W1504" s="138"/>
      <c r="AQ1504" s="138"/>
    </row>
    <row r="1505" spans="22:43" x14ac:dyDescent="0.35">
      <c r="V1505" s="1013"/>
      <c r="W1505" s="138"/>
      <c r="AQ1505" s="138"/>
    </row>
    <row r="1506" spans="22:43" x14ac:dyDescent="0.35">
      <c r="V1506" s="1013"/>
      <c r="W1506" s="138"/>
      <c r="AQ1506" s="138"/>
    </row>
    <row r="1507" spans="22:43" x14ac:dyDescent="0.35">
      <c r="V1507" s="1013"/>
      <c r="W1507" s="138"/>
      <c r="AQ1507" s="138"/>
    </row>
    <row r="1508" spans="22:43" x14ac:dyDescent="0.35">
      <c r="V1508" s="1013"/>
      <c r="W1508" s="138"/>
      <c r="AQ1508" s="138"/>
    </row>
    <row r="1509" spans="22:43" x14ac:dyDescent="0.35">
      <c r="V1509" s="1013"/>
      <c r="W1509" s="138"/>
      <c r="AQ1509" s="138"/>
    </row>
    <row r="1510" spans="22:43" x14ac:dyDescent="0.35">
      <c r="V1510" s="1013"/>
      <c r="W1510" s="138"/>
      <c r="AQ1510" s="138"/>
    </row>
    <row r="1511" spans="22:43" x14ac:dyDescent="0.35">
      <c r="V1511" s="1013"/>
      <c r="W1511" s="138"/>
      <c r="AQ1511" s="138"/>
    </row>
    <row r="1512" spans="22:43" x14ac:dyDescent="0.35">
      <c r="V1512" s="1013"/>
      <c r="W1512" s="138"/>
      <c r="AQ1512" s="138"/>
    </row>
    <row r="1513" spans="22:43" x14ac:dyDescent="0.35">
      <c r="V1513" s="1013"/>
      <c r="W1513" s="138"/>
      <c r="AQ1513" s="138"/>
    </row>
    <row r="1514" spans="22:43" x14ac:dyDescent="0.35">
      <c r="V1514" s="1013"/>
      <c r="W1514" s="138"/>
      <c r="AQ1514" s="138"/>
    </row>
    <row r="1515" spans="22:43" x14ac:dyDescent="0.35">
      <c r="V1515" s="1013"/>
      <c r="W1515" s="138"/>
      <c r="AQ1515" s="138"/>
    </row>
    <row r="1516" spans="22:43" x14ac:dyDescent="0.35">
      <c r="V1516" s="1013"/>
      <c r="W1516" s="138"/>
      <c r="AQ1516" s="138"/>
    </row>
    <row r="1517" spans="22:43" x14ac:dyDescent="0.35">
      <c r="V1517" s="1013"/>
      <c r="W1517" s="138"/>
      <c r="AQ1517" s="138"/>
    </row>
    <row r="1518" spans="22:43" x14ac:dyDescent="0.35">
      <c r="V1518" s="1013"/>
      <c r="W1518" s="138"/>
      <c r="AQ1518" s="138"/>
    </row>
    <row r="1519" spans="22:43" x14ac:dyDescent="0.35">
      <c r="V1519" s="1013"/>
      <c r="W1519" s="138"/>
      <c r="AQ1519" s="138"/>
    </row>
    <row r="1520" spans="22:43" x14ac:dyDescent="0.35">
      <c r="V1520" s="1013"/>
      <c r="W1520" s="138"/>
      <c r="AQ1520" s="138"/>
    </row>
    <row r="1521" spans="22:43" x14ac:dyDescent="0.35">
      <c r="V1521" s="1013"/>
      <c r="W1521" s="138"/>
      <c r="AQ1521" s="138"/>
    </row>
    <row r="1522" spans="22:43" x14ac:dyDescent="0.35">
      <c r="V1522" s="1013"/>
      <c r="W1522" s="138"/>
      <c r="AQ1522" s="138"/>
    </row>
    <row r="1523" spans="22:43" x14ac:dyDescent="0.35">
      <c r="V1523" s="1013"/>
      <c r="W1523" s="138"/>
      <c r="AQ1523" s="138"/>
    </row>
    <row r="1524" spans="22:43" x14ac:dyDescent="0.35">
      <c r="V1524" s="1013"/>
      <c r="W1524" s="138"/>
      <c r="AQ1524" s="138"/>
    </row>
    <row r="1525" spans="22:43" x14ac:dyDescent="0.35">
      <c r="V1525" s="1013"/>
      <c r="W1525" s="138"/>
      <c r="AQ1525" s="138"/>
    </row>
    <row r="1526" spans="22:43" x14ac:dyDescent="0.35">
      <c r="V1526" s="1013"/>
      <c r="W1526" s="138"/>
      <c r="AQ1526" s="138"/>
    </row>
    <row r="1527" spans="22:43" x14ac:dyDescent="0.35">
      <c r="V1527" s="1013"/>
      <c r="W1527" s="138"/>
      <c r="AQ1527" s="138"/>
    </row>
    <row r="1528" spans="22:43" x14ac:dyDescent="0.35">
      <c r="V1528" s="1013"/>
      <c r="W1528" s="138"/>
      <c r="AQ1528" s="138"/>
    </row>
    <row r="1529" spans="22:43" x14ac:dyDescent="0.35">
      <c r="V1529" s="1013"/>
      <c r="W1529" s="138"/>
      <c r="AQ1529" s="138"/>
    </row>
    <row r="1530" spans="22:43" x14ac:dyDescent="0.35">
      <c r="V1530" s="1013"/>
      <c r="W1530" s="138"/>
      <c r="AQ1530" s="138"/>
    </row>
    <row r="1531" spans="22:43" x14ac:dyDescent="0.35">
      <c r="V1531" s="1013"/>
      <c r="W1531" s="138"/>
      <c r="AQ1531" s="138"/>
    </row>
    <row r="1532" spans="22:43" x14ac:dyDescent="0.35">
      <c r="V1532" s="1013"/>
      <c r="W1532" s="138"/>
      <c r="AQ1532" s="138"/>
    </row>
    <row r="1533" spans="22:43" x14ac:dyDescent="0.35">
      <c r="V1533" s="1013"/>
      <c r="W1533" s="138"/>
      <c r="AQ1533" s="138"/>
    </row>
    <row r="1534" spans="22:43" x14ac:dyDescent="0.35">
      <c r="V1534" s="1013"/>
      <c r="W1534" s="138"/>
      <c r="AQ1534" s="138"/>
    </row>
    <row r="1535" spans="22:43" x14ac:dyDescent="0.35">
      <c r="V1535" s="1013"/>
      <c r="W1535" s="138"/>
      <c r="AQ1535" s="138"/>
    </row>
    <row r="1536" spans="22:43" x14ac:dyDescent="0.35">
      <c r="V1536" s="1013"/>
      <c r="W1536" s="138"/>
      <c r="AQ1536" s="138"/>
    </row>
    <row r="1537" spans="22:43" x14ac:dyDescent="0.35">
      <c r="V1537" s="1013"/>
      <c r="W1537" s="138"/>
      <c r="AQ1537" s="138"/>
    </row>
    <row r="1538" spans="22:43" x14ac:dyDescent="0.35">
      <c r="V1538" s="1013"/>
      <c r="W1538" s="138"/>
      <c r="AQ1538" s="138"/>
    </row>
    <row r="1539" spans="22:43" x14ac:dyDescent="0.35">
      <c r="V1539" s="1013"/>
      <c r="W1539" s="138"/>
      <c r="AQ1539" s="138"/>
    </row>
    <row r="1540" spans="22:43" x14ac:dyDescent="0.35">
      <c r="V1540" s="1013"/>
      <c r="W1540" s="138"/>
      <c r="AQ1540" s="138"/>
    </row>
    <row r="1541" spans="22:43" x14ac:dyDescent="0.35">
      <c r="V1541" s="1013"/>
      <c r="W1541" s="138"/>
      <c r="AQ1541" s="138"/>
    </row>
    <row r="1542" spans="22:43" x14ac:dyDescent="0.35">
      <c r="V1542" s="1013"/>
      <c r="W1542" s="138"/>
      <c r="AQ1542" s="138"/>
    </row>
    <row r="1543" spans="22:43" x14ac:dyDescent="0.35">
      <c r="V1543" s="1013"/>
      <c r="W1543" s="138"/>
      <c r="AQ1543" s="138"/>
    </row>
    <row r="1544" spans="22:43" x14ac:dyDescent="0.35">
      <c r="V1544" s="1013"/>
      <c r="W1544" s="138"/>
      <c r="AQ1544" s="138"/>
    </row>
    <row r="1545" spans="22:43" x14ac:dyDescent="0.35">
      <c r="V1545" s="1013"/>
      <c r="W1545" s="138"/>
      <c r="AQ1545" s="138"/>
    </row>
    <row r="1546" spans="22:43" x14ac:dyDescent="0.35">
      <c r="V1546" s="1013"/>
      <c r="W1546" s="138"/>
      <c r="AQ1546" s="138"/>
    </row>
    <row r="1547" spans="22:43" x14ac:dyDescent="0.35">
      <c r="V1547" s="1013"/>
      <c r="W1547" s="138"/>
      <c r="AQ1547" s="138"/>
    </row>
    <row r="1548" spans="22:43" x14ac:dyDescent="0.35">
      <c r="V1548" s="1013"/>
      <c r="W1548" s="138"/>
      <c r="AQ1548" s="138"/>
    </row>
    <row r="1549" spans="22:43" x14ac:dyDescent="0.35">
      <c r="V1549" s="1013"/>
      <c r="W1549" s="138"/>
      <c r="AQ1549" s="138"/>
    </row>
    <row r="1550" spans="22:43" x14ac:dyDescent="0.35">
      <c r="V1550" s="1013"/>
      <c r="W1550" s="138"/>
      <c r="AQ1550" s="138"/>
    </row>
    <row r="1551" spans="22:43" x14ac:dyDescent="0.35">
      <c r="V1551" s="1013"/>
      <c r="W1551" s="138"/>
      <c r="AQ1551" s="138"/>
    </row>
    <row r="1552" spans="22:43" x14ac:dyDescent="0.35">
      <c r="V1552" s="1013"/>
      <c r="W1552" s="138"/>
      <c r="AQ1552" s="138"/>
    </row>
    <row r="1553" spans="22:43" x14ac:dyDescent="0.35">
      <c r="V1553" s="1013"/>
      <c r="W1553" s="138"/>
      <c r="AQ1553" s="138"/>
    </row>
    <row r="1554" spans="22:43" x14ac:dyDescent="0.35">
      <c r="V1554" s="1013"/>
      <c r="W1554" s="138"/>
      <c r="AQ1554" s="138"/>
    </row>
    <row r="1555" spans="22:43" x14ac:dyDescent="0.35">
      <c r="V1555" s="1013"/>
      <c r="W1555" s="138"/>
      <c r="AQ1555" s="138"/>
    </row>
    <row r="1556" spans="22:43" x14ac:dyDescent="0.35">
      <c r="V1556" s="1013"/>
      <c r="W1556" s="138"/>
      <c r="AQ1556" s="138"/>
    </row>
    <row r="1557" spans="22:43" x14ac:dyDescent="0.35">
      <c r="V1557" s="1013"/>
      <c r="W1557" s="138"/>
      <c r="AQ1557" s="138"/>
    </row>
    <row r="1558" spans="22:43" x14ac:dyDescent="0.35">
      <c r="V1558" s="1013"/>
      <c r="W1558" s="138"/>
      <c r="AQ1558" s="138"/>
    </row>
    <row r="1559" spans="22:43" x14ac:dyDescent="0.35">
      <c r="V1559" s="1013"/>
      <c r="W1559" s="138"/>
      <c r="AQ1559" s="138"/>
    </row>
    <row r="1560" spans="22:43" x14ac:dyDescent="0.35">
      <c r="V1560" s="1013"/>
      <c r="W1560" s="138"/>
      <c r="AQ1560" s="138"/>
    </row>
    <row r="1561" spans="22:43" x14ac:dyDescent="0.35">
      <c r="V1561" s="1013"/>
      <c r="W1561" s="138"/>
      <c r="AQ1561" s="138"/>
    </row>
    <row r="1562" spans="22:43" x14ac:dyDescent="0.35">
      <c r="V1562" s="1013"/>
      <c r="W1562" s="138"/>
      <c r="AQ1562" s="138"/>
    </row>
    <row r="1563" spans="22:43" x14ac:dyDescent="0.35">
      <c r="V1563" s="1013"/>
      <c r="W1563" s="138"/>
      <c r="AQ1563" s="138"/>
    </row>
    <row r="1564" spans="22:43" x14ac:dyDescent="0.35">
      <c r="V1564" s="1013"/>
      <c r="W1564" s="138"/>
      <c r="AQ1564" s="138"/>
    </row>
    <row r="1565" spans="22:43" x14ac:dyDescent="0.35">
      <c r="V1565" s="1013"/>
      <c r="W1565" s="138"/>
      <c r="AQ1565" s="138"/>
    </row>
    <row r="1566" spans="22:43" x14ac:dyDescent="0.35">
      <c r="V1566" s="1013"/>
      <c r="W1566" s="138"/>
      <c r="AQ1566" s="138"/>
    </row>
    <row r="1567" spans="22:43" x14ac:dyDescent="0.35">
      <c r="V1567" s="1013"/>
      <c r="W1567" s="138"/>
      <c r="AQ1567" s="138"/>
    </row>
    <row r="1568" spans="22:43" x14ac:dyDescent="0.35">
      <c r="V1568" s="1013"/>
      <c r="W1568" s="138"/>
      <c r="AQ1568" s="138"/>
    </row>
    <row r="1569" spans="22:43" x14ac:dyDescent="0.35">
      <c r="V1569" s="1013"/>
      <c r="W1569" s="138"/>
      <c r="AQ1569" s="138"/>
    </row>
    <row r="1570" spans="22:43" x14ac:dyDescent="0.35">
      <c r="V1570" s="1013"/>
      <c r="W1570" s="138"/>
      <c r="AQ1570" s="138"/>
    </row>
    <row r="1571" spans="22:43" x14ac:dyDescent="0.35">
      <c r="V1571" s="1013"/>
      <c r="W1571" s="138"/>
      <c r="AQ1571" s="138"/>
    </row>
    <row r="1572" spans="22:43" x14ac:dyDescent="0.35">
      <c r="V1572" s="1013"/>
      <c r="W1572" s="138"/>
      <c r="AQ1572" s="138"/>
    </row>
    <row r="1573" spans="22:43" x14ac:dyDescent="0.35">
      <c r="V1573" s="1013"/>
      <c r="W1573" s="138"/>
      <c r="AQ1573" s="138"/>
    </row>
    <row r="1574" spans="22:43" x14ac:dyDescent="0.35">
      <c r="V1574" s="1013"/>
      <c r="W1574" s="138"/>
      <c r="AQ1574" s="138"/>
    </row>
    <row r="1575" spans="22:43" x14ac:dyDescent="0.35">
      <c r="V1575" s="1013"/>
      <c r="W1575" s="138"/>
      <c r="AQ1575" s="138"/>
    </row>
    <row r="1576" spans="22:43" x14ac:dyDescent="0.35">
      <c r="V1576" s="1013"/>
      <c r="W1576" s="138"/>
      <c r="AQ1576" s="138"/>
    </row>
    <row r="1577" spans="22:43" x14ac:dyDescent="0.35">
      <c r="V1577" s="1013"/>
      <c r="W1577" s="138"/>
      <c r="AQ1577" s="138"/>
    </row>
    <row r="1578" spans="22:43" x14ac:dyDescent="0.35">
      <c r="V1578" s="1013"/>
      <c r="W1578" s="138"/>
      <c r="AQ1578" s="138"/>
    </row>
    <row r="1579" spans="22:43" x14ac:dyDescent="0.35">
      <c r="V1579" s="1013"/>
      <c r="W1579" s="138"/>
      <c r="AQ1579" s="138"/>
    </row>
    <row r="1580" spans="22:43" x14ac:dyDescent="0.35">
      <c r="V1580" s="1013"/>
      <c r="W1580" s="138"/>
      <c r="AQ1580" s="138"/>
    </row>
    <row r="1581" spans="22:43" x14ac:dyDescent="0.35">
      <c r="V1581" s="1013"/>
      <c r="W1581" s="138"/>
      <c r="AQ1581" s="138"/>
    </row>
    <row r="1582" spans="22:43" x14ac:dyDescent="0.35">
      <c r="V1582" s="1013"/>
      <c r="W1582" s="138"/>
      <c r="AQ1582" s="138"/>
    </row>
    <row r="1583" spans="22:43" x14ac:dyDescent="0.35">
      <c r="V1583" s="1013"/>
      <c r="W1583" s="138"/>
      <c r="AQ1583" s="138"/>
    </row>
    <row r="1584" spans="22:43" x14ac:dyDescent="0.35">
      <c r="V1584" s="1013"/>
      <c r="W1584" s="138"/>
      <c r="AQ1584" s="138"/>
    </row>
    <row r="1585" spans="22:43" x14ac:dyDescent="0.35">
      <c r="V1585" s="1013"/>
      <c r="W1585" s="138"/>
      <c r="AQ1585" s="138"/>
    </row>
    <row r="1586" spans="22:43" x14ac:dyDescent="0.35">
      <c r="V1586" s="1013"/>
      <c r="W1586" s="138"/>
      <c r="AQ1586" s="138"/>
    </row>
    <row r="1587" spans="22:43" x14ac:dyDescent="0.35">
      <c r="V1587" s="1013"/>
      <c r="W1587" s="138"/>
      <c r="AQ1587" s="138"/>
    </row>
    <row r="1588" spans="22:43" x14ac:dyDescent="0.35">
      <c r="V1588" s="1013"/>
      <c r="W1588" s="138"/>
      <c r="AQ1588" s="138"/>
    </row>
    <row r="1589" spans="22:43" x14ac:dyDescent="0.35">
      <c r="V1589" s="1013"/>
      <c r="W1589" s="138"/>
      <c r="AQ1589" s="138"/>
    </row>
    <row r="1590" spans="22:43" x14ac:dyDescent="0.35">
      <c r="V1590" s="1013"/>
      <c r="W1590" s="138"/>
      <c r="AQ1590" s="138"/>
    </row>
    <row r="1591" spans="22:43" x14ac:dyDescent="0.35">
      <c r="V1591" s="1013"/>
      <c r="W1591" s="138"/>
      <c r="AQ1591" s="138"/>
    </row>
    <row r="1592" spans="22:43" x14ac:dyDescent="0.35">
      <c r="V1592" s="1013"/>
      <c r="W1592" s="138"/>
      <c r="AQ1592" s="138"/>
    </row>
    <row r="1593" spans="22:43" x14ac:dyDescent="0.35">
      <c r="V1593" s="1013"/>
      <c r="W1593" s="138"/>
      <c r="AQ1593" s="138"/>
    </row>
    <row r="1594" spans="22:43" x14ac:dyDescent="0.35">
      <c r="V1594" s="1013"/>
      <c r="W1594" s="138"/>
      <c r="AQ1594" s="138"/>
    </row>
    <row r="1595" spans="22:43" x14ac:dyDescent="0.35">
      <c r="V1595" s="1013"/>
      <c r="W1595" s="138"/>
      <c r="AQ1595" s="138"/>
    </row>
    <row r="1596" spans="22:43" x14ac:dyDescent="0.35">
      <c r="V1596" s="1013"/>
      <c r="W1596" s="138"/>
      <c r="AQ1596" s="138"/>
    </row>
    <row r="1597" spans="22:43" x14ac:dyDescent="0.35">
      <c r="V1597" s="1013"/>
      <c r="W1597" s="138"/>
      <c r="AQ1597" s="138"/>
    </row>
    <row r="1598" spans="22:43" x14ac:dyDescent="0.35">
      <c r="V1598" s="1013"/>
      <c r="W1598" s="138"/>
      <c r="AQ1598" s="138"/>
    </row>
    <row r="1599" spans="22:43" x14ac:dyDescent="0.35">
      <c r="V1599" s="1013"/>
      <c r="W1599" s="138"/>
      <c r="AQ1599" s="138"/>
    </row>
    <row r="1600" spans="22:43" x14ac:dyDescent="0.35">
      <c r="V1600" s="1013"/>
      <c r="W1600" s="138"/>
      <c r="AQ1600" s="138"/>
    </row>
    <row r="1601" spans="22:43" x14ac:dyDescent="0.35">
      <c r="V1601" s="1013"/>
      <c r="W1601" s="138"/>
      <c r="AQ1601" s="138"/>
    </row>
    <row r="1602" spans="22:43" x14ac:dyDescent="0.35">
      <c r="V1602" s="1013"/>
      <c r="W1602" s="138"/>
      <c r="AQ1602" s="138"/>
    </row>
    <row r="1603" spans="22:43" x14ac:dyDescent="0.35">
      <c r="V1603" s="1013"/>
      <c r="W1603" s="138"/>
      <c r="AQ1603" s="138"/>
    </row>
    <row r="1604" spans="22:43" x14ac:dyDescent="0.35">
      <c r="V1604" s="1013"/>
      <c r="W1604" s="138"/>
      <c r="AQ1604" s="138"/>
    </row>
    <row r="1605" spans="22:43" x14ac:dyDescent="0.35">
      <c r="V1605" s="1013"/>
      <c r="W1605" s="138"/>
      <c r="AQ1605" s="138"/>
    </row>
    <row r="1606" spans="22:43" x14ac:dyDescent="0.35">
      <c r="V1606" s="1013"/>
      <c r="W1606" s="138"/>
      <c r="AQ1606" s="138"/>
    </row>
    <row r="1607" spans="22:43" x14ac:dyDescent="0.35">
      <c r="V1607" s="1013"/>
      <c r="W1607" s="138"/>
      <c r="AQ1607" s="138"/>
    </row>
    <row r="1608" spans="22:43" x14ac:dyDescent="0.35">
      <c r="V1608" s="1013"/>
      <c r="W1608" s="138"/>
      <c r="AQ1608" s="138"/>
    </row>
    <row r="1609" spans="22:43" x14ac:dyDescent="0.35">
      <c r="V1609" s="1013"/>
      <c r="W1609" s="138"/>
      <c r="AQ1609" s="138"/>
    </row>
    <row r="1610" spans="22:43" x14ac:dyDescent="0.35">
      <c r="V1610" s="1013"/>
      <c r="W1610" s="138"/>
      <c r="AQ1610" s="138"/>
    </row>
    <row r="1611" spans="22:43" x14ac:dyDescent="0.35">
      <c r="V1611" s="1013"/>
      <c r="W1611" s="138"/>
      <c r="AQ1611" s="138"/>
    </row>
    <row r="1612" spans="22:43" x14ac:dyDescent="0.35">
      <c r="V1612" s="1013"/>
      <c r="W1612" s="138"/>
      <c r="AQ1612" s="138"/>
    </row>
    <row r="1613" spans="22:43" x14ac:dyDescent="0.35">
      <c r="V1613" s="1013"/>
      <c r="W1613" s="138"/>
      <c r="AQ1613" s="138"/>
    </row>
    <row r="1614" spans="22:43" x14ac:dyDescent="0.35">
      <c r="V1614" s="1013"/>
      <c r="W1614" s="138"/>
      <c r="AQ1614" s="138"/>
    </row>
    <row r="1615" spans="22:43" x14ac:dyDescent="0.35">
      <c r="V1615" s="1013"/>
      <c r="W1615" s="138"/>
      <c r="AQ1615" s="138"/>
    </row>
    <row r="1616" spans="22:43" x14ac:dyDescent="0.35">
      <c r="V1616" s="1013"/>
      <c r="W1616" s="138"/>
      <c r="AQ1616" s="138"/>
    </row>
    <row r="1617" spans="22:43" x14ac:dyDescent="0.35">
      <c r="V1617" s="1013"/>
      <c r="W1617" s="138"/>
      <c r="AQ1617" s="138"/>
    </row>
    <row r="1618" spans="22:43" x14ac:dyDescent="0.35">
      <c r="V1618" s="1013"/>
      <c r="W1618" s="138"/>
      <c r="AQ1618" s="138"/>
    </row>
    <row r="1619" spans="22:43" x14ac:dyDescent="0.35">
      <c r="V1619" s="1013"/>
      <c r="W1619" s="138"/>
      <c r="AQ1619" s="138"/>
    </row>
    <row r="1620" spans="22:43" x14ac:dyDescent="0.35">
      <c r="V1620" s="1013"/>
      <c r="W1620" s="138"/>
      <c r="AQ1620" s="138"/>
    </row>
    <row r="1621" spans="22:43" x14ac:dyDescent="0.35">
      <c r="V1621" s="1013"/>
      <c r="W1621" s="138"/>
      <c r="AQ1621" s="138"/>
    </row>
    <row r="1622" spans="22:43" x14ac:dyDescent="0.35">
      <c r="V1622" s="1013"/>
      <c r="W1622" s="138"/>
      <c r="AQ1622" s="138"/>
    </row>
    <row r="1623" spans="22:43" x14ac:dyDescent="0.35">
      <c r="V1623" s="1013"/>
      <c r="W1623" s="138"/>
      <c r="AQ1623" s="138"/>
    </row>
    <row r="1624" spans="22:43" x14ac:dyDescent="0.35">
      <c r="V1624" s="1013"/>
      <c r="W1624" s="138"/>
      <c r="AQ1624" s="138"/>
    </row>
    <row r="1625" spans="22:43" x14ac:dyDescent="0.35">
      <c r="V1625" s="1013"/>
      <c r="W1625" s="138"/>
      <c r="AQ1625" s="138"/>
    </row>
    <row r="1626" spans="22:43" x14ac:dyDescent="0.35">
      <c r="V1626" s="1013"/>
      <c r="W1626" s="138"/>
      <c r="AQ1626" s="138"/>
    </row>
    <row r="1627" spans="22:43" x14ac:dyDescent="0.35">
      <c r="V1627" s="1013"/>
      <c r="W1627" s="138"/>
      <c r="AQ1627" s="138"/>
    </row>
    <row r="1628" spans="22:43" x14ac:dyDescent="0.35">
      <c r="V1628" s="1013"/>
      <c r="W1628" s="138"/>
      <c r="AQ1628" s="138"/>
    </row>
    <row r="1629" spans="22:43" x14ac:dyDescent="0.35">
      <c r="V1629" s="1013"/>
      <c r="W1629" s="138"/>
      <c r="AQ1629" s="138"/>
    </row>
    <row r="1630" spans="22:43" x14ac:dyDescent="0.35">
      <c r="V1630" s="1013"/>
      <c r="W1630" s="138"/>
      <c r="AQ1630" s="138"/>
    </row>
    <row r="1631" spans="22:43" x14ac:dyDescent="0.35">
      <c r="V1631" s="1013"/>
      <c r="W1631" s="138"/>
      <c r="AQ1631" s="138"/>
    </row>
    <row r="1632" spans="22:43" x14ac:dyDescent="0.35">
      <c r="V1632" s="1013"/>
      <c r="W1632" s="138"/>
      <c r="AQ1632" s="138"/>
    </row>
    <row r="1633" spans="22:43" x14ac:dyDescent="0.35">
      <c r="V1633" s="1013"/>
      <c r="W1633" s="138"/>
      <c r="AQ1633" s="138"/>
    </row>
    <row r="1634" spans="22:43" x14ac:dyDescent="0.35">
      <c r="V1634" s="1013"/>
      <c r="W1634" s="138"/>
      <c r="AQ1634" s="138"/>
    </row>
    <row r="1635" spans="22:43" x14ac:dyDescent="0.35">
      <c r="V1635" s="1013"/>
      <c r="W1635" s="138"/>
      <c r="AQ1635" s="138"/>
    </row>
    <row r="1636" spans="22:43" x14ac:dyDescent="0.35">
      <c r="V1636" s="1013"/>
      <c r="W1636" s="138"/>
      <c r="AQ1636" s="138"/>
    </row>
    <row r="1637" spans="22:43" x14ac:dyDescent="0.35">
      <c r="V1637" s="1013"/>
      <c r="W1637" s="138"/>
      <c r="AQ1637" s="138"/>
    </row>
    <row r="1638" spans="22:43" x14ac:dyDescent="0.35">
      <c r="V1638" s="1013"/>
      <c r="W1638" s="138"/>
      <c r="AQ1638" s="138"/>
    </row>
    <row r="1639" spans="22:43" x14ac:dyDescent="0.35">
      <c r="V1639" s="1013"/>
      <c r="W1639" s="138"/>
      <c r="AQ1639" s="138"/>
    </row>
    <row r="1640" spans="22:43" x14ac:dyDescent="0.35">
      <c r="V1640" s="1013"/>
      <c r="W1640" s="138"/>
      <c r="AQ1640" s="138"/>
    </row>
    <row r="1641" spans="22:43" x14ac:dyDescent="0.35">
      <c r="V1641" s="1013"/>
      <c r="W1641" s="138"/>
      <c r="AQ1641" s="138"/>
    </row>
    <row r="1642" spans="22:43" x14ac:dyDescent="0.35">
      <c r="V1642" s="1013"/>
      <c r="W1642" s="138"/>
      <c r="AQ1642" s="138"/>
    </row>
    <row r="1643" spans="22:43" x14ac:dyDescent="0.35">
      <c r="V1643" s="1013"/>
      <c r="W1643" s="138"/>
      <c r="AQ1643" s="138"/>
    </row>
    <row r="1644" spans="22:43" x14ac:dyDescent="0.35">
      <c r="V1644" s="1013"/>
      <c r="W1644" s="138"/>
      <c r="AQ1644" s="138"/>
    </row>
    <row r="1645" spans="22:43" x14ac:dyDescent="0.35">
      <c r="V1645" s="1013"/>
      <c r="W1645" s="138"/>
      <c r="AQ1645" s="138"/>
    </row>
    <row r="1646" spans="22:43" x14ac:dyDescent="0.35">
      <c r="V1646" s="1013"/>
      <c r="W1646" s="138"/>
      <c r="AQ1646" s="138"/>
    </row>
    <row r="1647" spans="22:43" x14ac:dyDescent="0.35">
      <c r="V1647" s="1013"/>
      <c r="W1647" s="138"/>
      <c r="AQ1647" s="138"/>
    </row>
    <row r="1648" spans="22:43" x14ac:dyDescent="0.35">
      <c r="V1648" s="1013"/>
      <c r="W1648" s="138"/>
      <c r="AQ1648" s="138"/>
    </row>
    <row r="1649" spans="22:43" x14ac:dyDescent="0.35">
      <c r="V1649" s="1013"/>
      <c r="W1649" s="138"/>
      <c r="AQ1649" s="138"/>
    </row>
    <row r="1650" spans="22:43" x14ac:dyDescent="0.35">
      <c r="V1650" s="1013"/>
      <c r="W1650" s="138"/>
      <c r="AQ1650" s="138"/>
    </row>
    <row r="1651" spans="22:43" x14ac:dyDescent="0.35">
      <c r="V1651" s="1013"/>
      <c r="W1651" s="138"/>
      <c r="AQ1651" s="138"/>
    </row>
    <row r="1652" spans="22:43" x14ac:dyDescent="0.35">
      <c r="V1652" s="1013"/>
      <c r="W1652" s="138"/>
      <c r="AQ1652" s="138"/>
    </row>
    <row r="1653" spans="22:43" x14ac:dyDescent="0.35">
      <c r="V1653" s="1013"/>
      <c r="W1653" s="138"/>
      <c r="AQ1653" s="138"/>
    </row>
    <row r="1654" spans="22:43" x14ac:dyDescent="0.35">
      <c r="V1654" s="1013"/>
      <c r="W1654" s="138"/>
      <c r="AQ1654" s="138"/>
    </row>
    <row r="1655" spans="22:43" x14ac:dyDescent="0.35">
      <c r="V1655" s="1013"/>
      <c r="W1655" s="138"/>
      <c r="AQ1655" s="138"/>
    </row>
    <row r="1656" spans="22:43" x14ac:dyDescent="0.35">
      <c r="V1656" s="1013"/>
      <c r="W1656" s="138"/>
      <c r="AQ1656" s="138"/>
    </row>
    <row r="1657" spans="22:43" x14ac:dyDescent="0.35">
      <c r="V1657" s="1013"/>
      <c r="W1657" s="138"/>
      <c r="AQ1657" s="138"/>
    </row>
    <row r="1658" spans="22:43" x14ac:dyDescent="0.35">
      <c r="V1658" s="1013"/>
      <c r="W1658" s="138"/>
      <c r="AQ1658" s="138"/>
    </row>
    <row r="1659" spans="22:43" x14ac:dyDescent="0.35">
      <c r="V1659" s="1013"/>
      <c r="W1659" s="138"/>
      <c r="AQ1659" s="138"/>
    </row>
    <row r="1660" spans="22:43" x14ac:dyDescent="0.35">
      <c r="V1660" s="1013"/>
      <c r="W1660" s="138"/>
      <c r="AQ1660" s="138"/>
    </row>
    <row r="1661" spans="22:43" x14ac:dyDescent="0.35">
      <c r="V1661" s="1013"/>
      <c r="W1661" s="138"/>
      <c r="AQ1661" s="138"/>
    </row>
    <row r="1662" spans="22:43" x14ac:dyDescent="0.35">
      <c r="V1662" s="1013"/>
      <c r="W1662" s="138"/>
      <c r="AQ1662" s="138"/>
    </row>
    <row r="1663" spans="22:43" x14ac:dyDescent="0.35">
      <c r="V1663" s="1013"/>
      <c r="W1663" s="138"/>
      <c r="AQ1663" s="138"/>
    </row>
    <row r="1664" spans="22:43" x14ac:dyDescent="0.35">
      <c r="V1664" s="1013"/>
      <c r="W1664" s="138"/>
      <c r="AQ1664" s="138"/>
    </row>
    <row r="1665" spans="22:43" x14ac:dyDescent="0.35">
      <c r="V1665" s="1013"/>
      <c r="W1665" s="138"/>
      <c r="AQ1665" s="138"/>
    </row>
    <row r="1666" spans="22:43" x14ac:dyDescent="0.35">
      <c r="V1666" s="1013"/>
      <c r="W1666" s="138"/>
      <c r="AQ1666" s="138"/>
    </row>
    <row r="1667" spans="22:43" x14ac:dyDescent="0.35">
      <c r="V1667" s="1013"/>
      <c r="W1667" s="138"/>
      <c r="AQ1667" s="138"/>
    </row>
    <row r="1668" spans="22:43" x14ac:dyDescent="0.35">
      <c r="V1668" s="1013"/>
      <c r="W1668" s="138"/>
      <c r="AQ1668" s="138"/>
    </row>
    <row r="1669" spans="22:43" x14ac:dyDescent="0.35">
      <c r="V1669" s="1013"/>
      <c r="W1669" s="138"/>
      <c r="AQ1669" s="138"/>
    </row>
    <row r="1670" spans="22:43" x14ac:dyDescent="0.35">
      <c r="V1670" s="1013"/>
      <c r="W1670" s="138"/>
      <c r="AQ1670" s="138"/>
    </row>
    <row r="1671" spans="22:43" x14ac:dyDescent="0.35">
      <c r="V1671" s="1013"/>
      <c r="W1671" s="138"/>
      <c r="AQ1671" s="138"/>
    </row>
    <row r="1672" spans="22:43" x14ac:dyDescent="0.35">
      <c r="V1672" s="1013"/>
      <c r="W1672" s="138"/>
      <c r="AQ1672" s="138"/>
    </row>
    <row r="1673" spans="22:43" x14ac:dyDescent="0.35">
      <c r="V1673" s="1013"/>
      <c r="W1673" s="138"/>
      <c r="AQ1673" s="138"/>
    </row>
    <row r="1674" spans="22:43" x14ac:dyDescent="0.35">
      <c r="V1674" s="1013"/>
      <c r="W1674" s="138"/>
      <c r="AQ1674" s="138"/>
    </row>
    <row r="1675" spans="22:43" x14ac:dyDescent="0.35">
      <c r="V1675" s="1013"/>
      <c r="W1675" s="138"/>
      <c r="AQ1675" s="138"/>
    </row>
    <row r="1676" spans="22:43" x14ac:dyDescent="0.35">
      <c r="V1676" s="1013"/>
      <c r="W1676" s="138"/>
      <c r="AQ1676" s="138"/>
    </row>
    <row r="1677" spans="22:43" x14ac:dyDescent="0.35">
      <c r="V1677" s="1013"/>
      <c r="W1677" s="138"/>
      <c r="AQ1677" s="138"/>
    </row>
    <row r="1678" spans="22:43" x14ac:dyDescent="0.35">
      <c r="V1678" s="1013"/>
      <c r="W1678" s="138"/>
      <c r="AQ1678" s="138"/>
    </row>
    <row r="1679" spans="22:43" x14ac:dyDescent="0.35">
      <c r="V1679" s="1013"/>
      <c r="W1679" s="138"/>
      <c r="AQ1679" s="138"/>
    </row>
    <row r="1680" spans="22:43" x14ac:dyDescent="0.35">
      <c r="V1680" s="1013"/>
      <c r="W1680" s="138"/>
      <c r="AQ1680" s="138"/>
    </row>
    <row r="1681" spans="22:43" x14ac:dyDescent="0.35">
      <c r="V1681" s="1013"/>
      <c r="W1681" s="138"/>
      <c r="AQ1681" s="138"/>
    </row>
    <row r="1682" spans="22:43" x14ac:dyDescent="0.35">
      <c r="V1682" s="1013"/>
      <c r="W1682" s="138"/>
      <c r="AQ1682" s="138"/>
    </row>
    <row r="1683" spans="22:43" x14ac:dyDescent="0.35">
      <c r="V1683" s="1013"/>
      <c r="W1683" s="138"/>
      <c r="AQ1683" s="138"/>
    </row>
    <row r="1684" spans="22:43" x14ac:dyDescent="0.35">
      <c r="V1684" s="1013"/>
      <c r="W1684" s="138"/>
      <c r="AQ1684" s="138"/>
    </row>
    <row r="1685" spans="22:43" x14ac:dyDescent="0.35">
      <c r="V1685" s="1013"/>
      <c r="W1685" s="138"/>
      <c r="AQ1685" s="138"/>
    </row>
    <row r="1686" spans="22:43" x14ac:dyDescent="0.35">
      <c r="V1686" s="1013"/>
      <c r="W1686" s="138"/>
      <c r="AQ1686" s="138"/>
    </row>
    <row r="1687" spans="22:43" x14ac:dyDescent="0.35">
      <c r="V1687" s="1013"/>
      <c r="W1687" s="138"/>
      <c r="AQ1687" s="138"/>
    </row>
    <row r="1688" spans="22:43" x14ac:dyDescent="0.35">
      <c r="V1688" s="1013"/>
      <c r="W1688" s="138"/>
      <c r="AQ1688" s="138"/>
    </row>
    <row r="1689" spans="22:43" x14ac:dyDescent="0.35">
      <c r="V1689" s="1013"/>
      <c r="W1689" s="138"/>
      <c r="AQ1689" s="138"/>
    </row>
    <row r="1690" spans="22:43" x14ac:dyDescent="0.35">
      <c r="V1690" s="1013"/>
      <c r="W1690" s="138"/>
      <c r="AQ1690" s="138"/>
    </row>
    <row r="1691" spans="22:43" x14ac:dyDescent="0.35">
      <c r="V1691" s="1013"/>
      <c r="W1691" s="138"/>
      <c r="AQ1691" s="138"/>
    </row>
    <row r="1692" spans="22:43" x14ac:dyDescent="0.35">
      <c r="V1692" s="1013"/>
      <c r="W1692" s="138"/>
      <c r="AQ1692" s="138"/>
    </row>
    <row r="1693" spans="22:43" x14ac:dyDescent="0.35">
      <c r="V1693" s="1013"/>
      <c r="W1693" s="138"/>
      <c r="AQ1693" s="138"/>
    </row>
    <row r="1694" spans="22:43" x14ac:dyDescent="0.35">
      <c r="V1694" s="1013"/>
      <c r="W1694" s="138"/>
      <c r="AQ1694" s="138"/>
    </row>
    <row r="1695" spans="22:43" x14ac:dyDescent="0.35">
      <c r="V1695" s="1013"/>
      <c r="W1695" s="138"/>
      <c r="AQ1695" s="138"/>
    </row>
    <row r="1696" spans="22:43" x14ac:dyDescent="0.35">
      <c r="V1696" s="1013"/>
      <c r="W1696" s="138"/>
      <c r="AQ1696" s="138"/>
    </row>
    <row r="1697" spans="22:43" x14ac:dyDescent="0.35">
      <c r="V1697" s="1013"/>
      <c r="W1697" s="138"/>
      <c r="AQ1697" s="138"/>
    </row>
    <row r="1698" spans="22:43" x14ac:dyDescent="0.35">
      <c r="V1698" s="1013"/>
      <c r="W1698" s="138"/>
      <c r="AQ1698" s="138"/>
    </row>
    <row r="1699" spans="22:43" x14ac:dyDescent="0.35">
      <c r="V1699" s="1013"/>
      <c r="W1699" s="138"/>
      <c r="AQ1699" s="138"/>
    </row>
    <row r="1700" spans="22:43" x14ac:dyDescent="0.35">
      <c r="V1700" s="1013"/>
      <c r="W1700" s="138"/>
      <c r="AQ1700" s="138"/>
    </row>
    <row r="1701" spans="22:43" x14ac:dyDescent="0.35">
      <c r="V1701" s="1013"/>
      <c r="W1701" s="138"/>
      <c r="AQ1701" s="138"/>
    </row>
    <row r="1702" spans="22:43" x14ac:dyDescent="0.35">
      <c r="V1702" s="1013"/>
      <c r="W1702" s="138"/>
      <c r="AQ1702" s="138"/>
    </row>
    <row r="1703" spans="22:43" x14ac:dyDescent="0.35">
      <c r="V1703" s="1013"/>
      <c r="W1703" s="138"/>
      <c r="AQ1703" s="138"/>
    </row>
    <row r="1704" spans="22:43" x14ac:dyDescent="0.35">
      <c r="V1704" s="1013"/>
      <c r="W1704" s="138"/>
      <c r="AQ1704" s="138"/>
    </row>
    <row r="1705" spans="22:43" x14ac:dyDescent="0.35">
      <c r="V1705" s="1013"/>
      <c r="W1705" s="138"/>
      <c r="AQ1705" s="138"/>
    </row>
    <row r="1706" spans="22:43" x14ac:dyDescent="0.35">
      <c r="V1706" s="1013"/>
      <c r="W1706" s="138"/>
      <c r="AQ1706" s="138"/>
    </row>
    <row r="1707" spans="22:43" x14ac:dyDescent="0.35">
      <c r="V1707" s="1013"/>
      <c r="W1707" s="138"/>
      <c r="AQ1707" s="138"/>
    </row>
    <row r="1708" spans="22:43" x14ac:dyDescent="0.35">
      <c r="V1708" s="1013"/>
      <c r="W1708" s="138"/>
      <c r="AQ1708" s="138"/>
    </row>
    <row r="1709" spans="22:43" x14ac:dyDescent="0.35">
      <c r="V1709" s="1013"/>
      <c r="W1709" s="138"/>
      <c r="AQ1709" s="138"/>
    </row>
    <row r="1710" spans="22:43" x14ac:dyDescent="0.35">
      <c r="V1710" s="1013"/>
      <c r="W1710" s="138"/>
      <c r="AQ1710" s="138"/>
    </row>
    <row r="1711" spans="22:43" x14ac:dyDescent="0.35">
      <c r="V1711" s="1013"/>
      <c r="W1711" s="138"/>
      <c r="AQ1711" s="138"/>
    </row>
    <row r="1712" spans="22:43" x14ac:dyDescent="0.35">
      <c r="V1712" s="1013"/>
      <c r="W1712" s="138"/>
      <c r="AQ1712" s="138"/>
    </row>
    <row r="1713" spans="22:43" x14ac:dyDescent="0.35">
      <c r="V1713" s="1013"/>
      <c r="W1713" s="138"/>
      <c r="AQ1713" s="138"/>
    </row>
    <row r="1714" spans="22:43" x14ac:dyDescent="0.35">
      <c r="V1714" s="1013"/>
      <c r="W1714" s="138"/>
      <c r="AQ1714" s="138"/>
    </row>
    <row r="1715" spans="22:43" x14ac:dyDescent="0.35">
      <c r="V1715" s="1013"/>
      <c r="W1715" s="138"/>
      <c r="AQ1715" s="138"/>
    </row>
    <row r="1716" spans="22:43" x14ac:dyDescent="0.35">
      <c r="V1716" s="1013"/>
      <c r="W1716" s="138"/>
      <c r="AQ1716" s="138"/>
    </row>
    <row r="1717" spans="22:43" x14ac:dyDescent="0.35">
      <c r="V1717" s="1013"/>
      <c r="W1717" s="138"/>
      <c r="AQ1717" s="138"/>
    </row>
    <row r="1718" spans="22:43" x14ac:dyDescent="0.35">
      <c r="V1718" s="1013"/>
      <c r="W1718" s="138"/>
      <c r="AQ1718" s="138"/>
    </row>
    <row r="1719" spans="22:43" x14ac:dyDescent="0.35">
      <c r="V1719" s="1013"/>
      <c r="W1719" s="138"/>
      <c r="AQ1719" s="138"/>
    </row>
    <row r="1720" spans="22:43" x14ac:dyDescent="0.35">
      <c r="V1720" s="1013"/>
      <c r="W1720" s="138"/>
      <c r="AQ1720" s="138"/>
    </row>
    <row r="1721" spans="22:43" x14ac:dyDescent="0.35">
      <c r="V1721" s="1013"/>
      <c r="W1721" s="138"/>
      <c r="AQ1721" s="138"/>
    </row>
    <row r="1722" spans="22:43" x14ac:dyDescent="0.35">
      <c r="V1722" s="1013"/>
      <c r="W1722" s="138"/>
      <c r="AQ1722" s="138"/>
    </row>
    <row r="1723" spans="22:43" x14ac:dyDescent="0.35">
      <c r="V1723" s="1013"/>
      <c r="W1723" s="138"/>
      <c r="AQ1723" s="138"/>
    </row>
    <row r="1724" spans="22:43" x14ac:dyDescent="0.35">
      <c r="V1724" s="1013"/>
      <c r="W1724" s="138"/>
      <c r="AQ1724" s="138"/>
    </row>
    <row r="1725" spans="22:43" x14ac:dyDescent="0.35">
      <c r="V1725" s="1013"/>
      <c r="W1725" s="138"/>
      <c r="AQ1725" s="138"/>
    </row>
    <row r="1726" spans="22:43" x14ac:dyDescent="0.35">
      <c r="V1726" s="1013"/>
      <c r="W1726" s="138"/>
      <c r="AQ1726" s="138"/>
    </row>
    <row r="1727" spans="22:43" x14ac:dyDescent="0.35">
      <c r="V1727" s="1013"/>
      <c r="W1727" s="138"/>
      <c r="AQ1727" s="138"/>
    </row>
    <row r="1728" spans="22:43" x14ac:dyDescent="0.35">
      <c r="V1728" s="1013"/>
      <c r="W1728" s="138"/>
      <c r="AQ1728" s="138"/>
    </row>
    <row r="1729" spans="22:43" x14ac:dyDescent="0.35">
      <c r="V1729" s="1013"/>
      <c r="W1729" s="138"/>
      <c r="AQ1729" s="138"/>
    </row>
    <row r="1730" spans="22:43" x14ac:dyDescent="0.35">
      <c r="V1730" s="1013"/>
      <c r="W1730" s="138"/>
      <c r="AQ1730" s="138"/>
    </row>
    <row r="1731" spans="22:43" x14ac:dyDescent="0.35">
      <c r="V1731" s="1013"/>
      <c r="W1731" s="138"/>
      <c r="AQ1731" s="138"/>
    </row>
    <row r="1732" spans="22:43" x14ac:dyDescent="0.35">
      <c r="V1732" s="1013"/>
      <c r="W1732" s="138"/>
      <c r="AQ1732" s="138"/>
    </row>
    <row r="1733" spans="22:43" x14ac:dyDescent="0.35">
      <c r="V1733" s="1013"/>
      <c r="W1733" s="138"/>
      <c r="AQ1733" s="138"/>
    </row>
    <row r="1734" spans="22:43" x14ac:dyDescent="0.35">
      <c r="V1734" s="1013"/>
      <c r="W1734" s="138"/>
      <c r="AQ1734" s="138"/>
    </row>
    <row r="1735" spans="22:43" x14ac:dyDescent="0.35">
      <c r="V1735" s="1013"/>
      <c r="W1735" s="138"/>
      <c r="AQ1735" s="138"/>
    </row>
    <row r="1736" spans="22:43" x14ac:dyDescent="0.35">
      <c r="V1736" s="1013"/>
      <c r="W1736" s="138"/>
      <c r="AQ1736" s="138"/>
    </row>
    <row r="1737" spans="22:43" x14ac:dyDescent="0.35">
      <c r="V1737" s="1013"/>
      <c r="W1737" s="138"/>
      <c r="AQ1737" s="138"/>
    </row>
    <row r="1738" spans="22:43" x14ac:dyDescent="0.35">
      <c r="V1738" s="1013"/>
      <c r="W1738" s="138"/>
      <c r="AQ1738" s="138"/>
    </row>
    <row r="1739" spans="22:43" x14ac:dyDescent="0.35">
      <c r="V1739" s="1013"/>
      <c r="W1739" s="138"/>
      <c r="AQ1739" s="138"/>
    </row>
    <row r="1740" spans="22:43" x14ac:dyDescent="0.35">
      <c r="V1740" s="1013"/>
      <c r="W1740" s="138"/>
      <c r="AQ1740" s="138"/>
    </row>
    <row r="1741" spans="22:43" x14ac:dyDescent="0.35">
      <c r="V1741" s="1013"/>
      <c r="W1741" s="138"/>
      <c r="AQ1741" s="138"/>
    </row>
    <row r="1742" spans="22:43" x14ac:dyDescent="0.35">
      <c r="V1742" s="1013"/>
      <c r="W1742" s="138"/>
      <c r="AQ1742" s="138"/>
    </row>
    <row r="1743" spans="22:43" x14ac:dyDescent="0.35">
      <c r="V1743" s="1013"/>
      <c r="W1743" s="138"/>
      <c r="AQ1743" s="138"/>
    </row>
    <row r="1744" spans="22:43" x14ac:dyDescent="0.35">
      <c r="V1744" s="1013"/>
      <c r="W1744" s="138"/>
      <c r="AQ1744" s="138"/>
    </row>
    <row r="1745" spans="22:43" x14ac:dyDescent="0.35">
      <c r="V1745" s="1013"/>
      <c r="W1745" s="138"/>
      <c r="AQ1745" s="138"/>
    </row>
    <row r="1746" spans="22:43" x14ac:dyDescent="0.35">
      <c r="V1746" s="1013"/>
      <c r="W1746" s="138"/>
      <c r="AQ1746" s="138"/>
    </row>
    <row r="1747" spans="22:43" x14ac:dyDescent="0.35">
      <c r="V1747" s="1013"/>
      <c r="W1747" s="138"/>
      <c r="AQ1747" s="138"/>
    </row>
    <row r="1748" spans="22:43" x14ac:dyDescent="0.35">
      <c r="V1748" s="1013"/>
      <c r="W1748" s="138"/>
      <c r="AQ1748" s="138"/>
    </row>
    <row r="1749" spans="22:43" x14ac:dyDescent="0.35">
      <c r="V1749" s="1013"/>
      <c r="W1749" s="138"/>
      <c r="AQ1749" s="138"/>
    </row>
    <row r="1750" spans="22:43" x14ac:dyDescent="0.35">
      <c r="V1750" s="1013"/>
      <c r="W1750" s="138"/>
      <c r="AQ1750" s="138"/>
    </row>
    <row r="1751" spans="22:43" x14ac:dyDescent="0.35">
      <c r="V1751" s="1013"/>
      <c r="W1751" s="138"/>
      <c r="AQ1751" s="138"/>
    </row>
    <row r="1752" spans="22:43" x14ac:dyDescent="0.35">
      <c r="V1752" s="1013"/>
      <c r="W1752" s="138"/>
      <c r="AQ1752" s="138"/>
    </row>
    <row r="1753" spans="22:43" x14ac:dyDescent="0.35">
      <c r="V1753" s="1013"/>
      <c r="W1753" s="138"/>
      <c r="AQ1753" s="138"/>
    </row>
    <row r="1754" spans="22:43" x14ac:dyDescent="0.35">
      <c r="V1754" s="1013"/>
      <c r="W1754" s="138"/>
      <c r="AQ1754" s="138"/>
    </row>
    <row r="1755" spans="22:43" x14ac:dyDescent="0.35">
      <c r="V1755" s="1013"/>
      <c r="W1755" s="138"/>
      <c r="AQ1755" s="138"/>
    </row>
    <row r="1756" spans="22:43" x14ac:dyDescent="0.35">
      <c r="V1756" s="1013"/>
      <c r="W1756" s="138"/>
      <c r="AQ1756" s="138"/>
    </row>
    <row r="1757" spans="22:43" x14ac:dyDescent="0.35">
      <c r="V1757" s="1013"/>
      <c r="W1757" s="138"/>
      <c r="AQ1757" s="138"/>
    </row>
    <row r="1758" spans="22:43" x14ac:dyDescent="0.35">
      <c r="V1758" s="1013"/>
      <c r="W1758" s="138"/>
      <c r="AQ1758" s="138"/>
    </row>
    <row r="1759" spans="22:43" x14ac:dyDescent="0.35">
      <c r="V1759" s="1013"/>
      <c r="W1759" s="138"/>
      <c r="AQ1759" s="138"/>
    </row>
    <row r="1760" spans="22:43" x14ac:dyDescent="0.35">
      <c r="V1760" s="1013"/>
      <c r="W1760" s="138"/>
      <c r="AQ1760" s="138"/>
    </row>
    <row r="1761" spans="22:43" x14ac:dyDescent="0.35">
      <c r="V1761" s="1013"/>
      <c r="W1761" s="138"/>
      <c r="AQ1761" s="138"/>
    </row>
    <row r="1762" spans="22:43" x14ac:dyDescent="0.35">
      <c r="V1762" s="1013"/>
      <c r="W1762" s="138"/>
      <c r="AQ1762" s="138"/>
    </row>
    <row r="1763" spans="22:43" x14ac:dyDescent="0.35">
      <c r="V1763" s="1013"/>
      <c r="W1763" s="138"/>
      <c r="AQ1763" s="138"/>
    </row>
    <row r="1764" spans="22:43" x14ac:dyDescent="0.35">
      <c r="V1764" s="1013"/>
      <c r="W1764" s="138"/>
      <c r="AQ1764" s="138"/>
    </row>
    <row r="1765" spans="22:43" x14ac:dyDescent="0.35">
      <c r="V1765" s="1013"/>
      <c r="W1765" s="138"/>
      <c r="AQ1765" s="138"/>
    </row>
    <row r="1766" spans="22:43" x14ac:dyDescent="0.35">
      <c r="V1766" s="1013"/>
      <c r="W1766" s="138"/>
      <c r="AQ1766" s="138"/>
    </row>
    <row r="1767" spans="22:43" x14ac:dyDescent="0.35">
      <c r="V1767" s="1013"/>
      <c r="W1767" s="138"/>
      <c r="AQ1767" s="138"/>
    </row>
    <row r="1768" spans="22:43" x14ac:dyDescent="0.35">
      <c r="V1768" s="1013"/>
      <c r="W1768" s="138"/>
      <c r="AQ1768" s="138"/>
    </row>
    <row r="1769" spans="22:43" x14ac:dyDescent="0.35">
      <c r="V1769" s="1013"/>
      <c r="W1769" s="138"/>
      <c r="AQ1769" s="138"/>
    </row>
    <row r="1770" spans="22:43" x14ac:dyDescent="0.35">
      <c r="V1770" s="1013"/>
      <c r="W1770" s="138"/>
      <c r="AQ1770" s="138"/>
    </row>
    <row r="1771" spans="22:43" x14ac:dyDescent="0.35">
      <c r="V1771" s="1013"/>
      <c r="W1771" s="138"/>
      <c r="AQ1771" s="138"/>
    </row>
    <row r="1772" spans="22:43" x14ac:dyDescent="0.35">
      <c r="V1772" s="1013"/>
      <c r="W1772" s="138"/>
      <c r="AQ1772" s="138"/>
    </row>
    <row r="1773" spans="22:43" x14ac:dyDescent="0.35">
      <c r="V1773" s="1013"/>
      <c r="W1773" s="138"/>
      <c r="AQ1773" s="138"/>
    </row>
    <row r="1774" spans="22:43" x14ac:dyDescent="0.35">
      <c r="V1774" s="1013"/>
      <c r="W1774" s="138"/>
      <c r="AQ1774" s="138"/>
    </row>
    <row r="1775" spans="22:43" x14ac:dyDescent="0.35">
      <c r="V1775" s="1013"/>
      <c r="W1775" s="138"/>
      <c r="AQ1775" s="138"/>
    </row>
    <row r="1776" spans="22:43" x14ac:dyDescent="0.35">
      <c r="V1776" s="1013"/>
      <c r="W1776" s="138"/>
      <c r="AQ1776" s="138"/>
    </row>
    <row r="1777" spans="22:43" x14ac:dyDescent="0.35">
      <c r="V1777" s="1013"/>
      <c r="W1777" s="138"/>
      <c r="AQ1777" s="138"/>
    </row>
    <row r="1778" spans="22:43" x14ac:dyDescent="0.35">
      <c r="V1778" s="1013"/>
      <c r="W1778" s="138"/>
      <c r="AQ1778" s="138"/>
    </row>
    <row r="1779" spans="22:43" x14ac:dyDescent="0.35">
      <c r="V1779" s="1013"/>
      <c r="W1779" s="138"/>
      <c r="AQ1779" s="138"/>
    </row>
    <row r="1780" spans="22:43" x14ac:dyDescent="0.35">
      <c r="V1780" s="1013"/>
      <c r="W1780" s="138"/>
      <c r="AQ1780" s="138"/>
    </row>
    <row r="1781" spans="22:43" x14ac:dyDescent="0.35">
      <c r="V1781" s="1013"/>
      <c r="W1781" s="138"/>
      <c r="AQ1781" s="138"/>
    </row>
    <row r="1782" spans="22:43" x14ac:dyDescent="0.35">
      <c r="V1782" s="1013"/>
      <c r="W1782" s="138"/>
      <c r="AQ1782" s="138"/>
    </row>
    <row r="1783" spans="22:43" x14ac:dyDescent="0.35">
      <c r="V1783" s="1013"/>
      <c r="W1783" s="138"/>
      <c r="AQ1783" s="138"/>
    </row>
    <row r="1784" spans="22:43" x14ac:dyDescent="0.35">
      <c r="V1784" s="1013"/>
      <c r="W1784" s="138"/>
      <c r="AQ1784" s="138"/>
    </row>
    <row r="1785" spans="22:43" x14ac:dyDescent="0.35">
      <c r="V1785" s="1013"/>
      <c r="W1785" s="138"/>
      <c r="AQ1785" s="138"/>
    </row>
    <row r="1786" spans="22:43" x14ac:dyDescent="0.35">
      <c r="V1786" s="1013"/>
      <c r="W1786" s="138"/>
      <c r="AQ1786" s="138"/>
    </row>
    <row r="1787" spans="22:43" x14ac:dyDescent="0.35">
      <c r="V1787" s="1013"/>
      <c r="W1787" s="138"/>
      <c r="AQ1787" s="138"/>
    </row>
    <row r="1788" spans="22:43" x14ac:dyDescent="0.35">
      <c r="V1788" s="1013"/>
      <c r="W1788" s="138"/>
      <c r="AQ1788" s="138"/>
    </row>
    <row r="1789" spans="22:43" x14ac:dyDescent="0.35">
      <c r="V1789" s="1013"/>
      <c r="W1789" s="138"/>
      <c r="AQ1789" s="138"/>
    </row>
    <row r="1790" spans="22:43" x14ac:dyDescent="0.35">
      <c r="V1790" s="1013"/>
      <c r="W1790" s="138"/>
      <c r="AQ1790" s="138"/>
    </row>
    <row r="1791" spans="22:43" x14ac:dyDescent="0.35">
      <c r="V1791" s="1013"/>
      <c r="W1791" s="138"/>
      <c r="AQ1791" s="138"/>
    </row>
    <row r="1792" spans="22:43" x14ac:dyDescent="0.35">
      <c r="V1792" s="1013"/>
      <c r="W1792" s="138"/>
      <c r="AQ1792" s="138"/>
    </row>
    <row r="1793" spans="22:43" x14ac:dyDescent="0.35">
      <c r="V1793" s="1013"/>
      <c r="W1793" s="138"/>
      <c r="AQ1793" s="138"/>
    </row>
    <row r="1794" spans="22:43" x14ac:dyDescent="0.35">
      <c r="V1794" s="1013"/>
      <c r="W1794" s="138"/>
      <c r="AQ1794" s="138"/>
    </row>
    <row r="1795" spans="22:43" x14ac:dyDescent="0.35">
      <c r="V1795" s="1013"/>
      <c r="W1795" s="138"/>
      <c r="AQ1795" s="138"/>
    </row>
    <row r="1796" spans="22:43" x14ac:dyDescent="0.35">
      <c r="V1796" s="1013"/>
      <c r="W1796" s="138"/>
      <c r="AQ1796" s="138"/>
    </row>
    <row r="1797" spans="22:43" x14ac:dyDescent="0.35">
      <c r="V1797" s="1013"/>
      <c r="W1797" s="138"/>
      <c r="AQ1797" s="138"/>
    </row>
    <row r="1798" spans="22:43" x14ac:dyDescent="0.35">
      <c r="V1798" s="1013"/>
      <c r="W1798" s="138"/>
      <c r="AQ1798" s="138"/>
    </row>
    <row r="1799" spans="22:43" x14ac:dyDescent="0.35">
      <c r="V1799" s="1013"/>
      <c r="W1799" s="138"/>
      <c r="AQ1799" s="138"/>
    </row>
    <row r="1800" spans="22:43" x14ac:dyDescent="0.35">
      <c r="V1800" s="1013"/>
      <c r="W1800" s="138"/>
      <c r="AQ1800" s="138"/>
    </row>
    <row r="1801" spans="22:43" x14ac:dyDescent="0.35">
      <c r="V1801" s="1013"/>
      <c r="W1801" s="138"/>
      <c r="AQ1801" s="138"/>
    </row>
    <row r="1802" spans="22:43" x14ac:dyDescent="0.35">
      <c r="V1802" s="1013"/>
      <c r="W1802" s="138"/>
      <c r="AQ1802" s="138"/>
    </row>
    <row r="1803" spans="22:43" x14ac:dyDescent="0.35">
      <c r="V1803" s="1013"/>
      <c r="W1803" s="138"/>
      <c r="AQ1803" s="138"/>
    </row>
    <row r="1804" spans="22:43" x14ac:dyDescent="0.35">
      <c r="V1804" s="1013"/>
      <c r="W1804" s="138"/>
      <c r="AQ1804" s="138"/>
    </row>
    <row r="1805" spans="22:43" x14ac:dyDescent="0.35">
      <c r="V1805" s="1013"/>
      <c r="W1805" s="138"/>
      <c r="AQ1805" s="138"/>
    </row>
    <row r="1806" spans="22:43" x14ac:dyDescent="0.35">
      <c r="V1806" s="1013"/>
      <c r="W1806" s="138"/>
      <c r="AQ1806" s="138"/>
    </row>
    <row r="1807" spans="22:43" x14ac:dyDescent="0.35">
      <c r="V1807" s="1013"/>
      <c r="W1807" s="138"/>
      <c r="AQ1807" s="138"/>
    </row>
    <row r="1808" spans="22:43" x14ac:dyDescent="0.35">
      <c r="V1808" s="1013"/>
      <c r="W1808" s="138"/>
      <c r="AQ1808" s="138"/>
    </row>
    <row r="1809" spans="22:43" x14ac:dyDescent="0.35">
      <c r="V1809" s="1013"/>
      <c r="W1809" s="138"/>
      <c r="AQ1809" s="138"/>
    </row>
    <row r="1810" spans="22:43" x14ac:dyDescent="0.35">
      <c r="V1810" s="1013"/>
      <c r="W1810" s="138"/>
      <c r="AQ1810" s="138"/>
    </row>
    <row r="1811" spans="22:43" x14ac:dyDescent="0.35">
      <c r="V1811" s="1013"/>
      <c r="W1811" s="138"/>
      <c r="AQ1811" s="138"/>
    </row>
    <row r="1812" spans="22:43" x14ac:dyDescent="0.35">
      <c r="V1812" s="1013"/>
      <c r="W1812" s="138"/>
      <c r="AQ1812" s="138"/>
    </row>
    <row r="1813" spans="22:43" x14ac:dyDescent="0.35">
      <c r="V1813" s="1013"/>
      <c r="W1813" s="138"/>
      <c r="AQ1813" s="138"/>
    </row>
    <row r="1814" spans="22:43" x14ac:dyDescent="0.35">
      <c r="V1814" s="1013"/>
      <c r="W1814" s="138"/>
      <c r="AQ1814" s="138"/>
    </row>
    <row r="1815" spans="22:43" x14ac:dyDescent="0.35">
      <c r="V1815" s="1013"/>
      <c r="W1815" s="138"/>
      <c r="AQ1815" s="138"/>
    </row>
    <row r="1816" spans="22:43" x14ac:dyDescent="0.35">
      <c r="V1816" s="1013"/>
      <c r="W1816" s="138"/>
      <c r="AQ1816" s="138"/>
    </row>
    <row r="1817" spans="22:43" x14ac:dyDescent="0.35">
      <c r="V1817" s="1013"/>
      <c r="W1817" s="138"/>
      <c r="AQ1817" s="138"/>
    </row>
    <row r="1818" spans="22:43" x14ac:dyDescent="0.35">
      <c r="V1818" s="1013"/>
      <c r="W1818" s="138"/>
      <c r="AQ1818" s="138"/>
    </row>
    <row r="1819" spans="22:43" x14ac:dyDescent="0.35">
      <c r="V1819" s="1013"/>
      <c r="W1819" s="138"/>
      <c r="AQ1819" s="138"/>
    </row>
    <row r="1820" spans="22:43" x14ac:dyDescent="0.35">
      <c r="V1820" s="1013"/>
      <c r="W1820" s="138"/>
      <c r="AQ1820" s="138"/>
    </row>
    <row r="1821" spans="22:43" x14ac:dyDescent="0.35">
      <c r="V1821" s="1013"/>
      <c r="W1821" s="138"/>
      <c r="AQ1821" s="138"/>
    </row>
    <row r="1822" spans="22:43" x14ac:dyDescent="0.35">
      <c r="V1822" s="1013"/>
      <c r="W1822" s="138"/>
      <c r="AQ1822" s="138"/>
    </row>
    <row r="1823" spans="22:43" x14ac:dyDescent="0.35">
      <c r="V1823" s="1013"/>
      <c r="W1823" s="138"/>
      <c r="AQ1823" s="138"/>
    </row>
    <row r="1824" spans="22:43" x14ac:dyDescent="0.35">
      <c r="V1824" s="1013"/>
      <c r="W1824" s="138"/>
      <c r="AQ1824" s="138"/>
    </row>
    <row r="1825" spans="22:43" x14ac:dyDescent="0.35">
      <c r="V1825" s="1013"/>
      <c r="W1825" s="138"/>
      <c r="AQ1825" s="138"/>
    </row>
    <row r="1826" spans="22:43" x14ac:dyDescent="0.35">
      <c r="V1826" s="1013"/>
      <c r="W1826" s="138"/>
      <c r="AQ1826" s="138"/>
    </row>
    <row r="1827" spans="22:43" x14ac:dyDescent="0.35">
      <c r="V1827" s="1013"/>
      <c r="W1827" s="138"/>
      <c r="AQ1827" s="138"/>
    </row>
    <row r="1828" spans="22:43" x14ac:dyDescent="0.35">
      <c r="V1828" s="1013"/>
      <c r="W1828" s="138"/>
      <c r="AQ1828" s="138"/>
    </row>
    <row r="1829" spans="22:43" x14ac:dyDescent="0.35">
      <c r="V1829" s="1013"/>
      <c r="W1829" s="138"/>
      <c r="AQ1829" s="138"/>
    </row>
    <row r="1830" spans="22:43" x14ac:dyDescent="0.35">
      <c r="V1830" s="1013"/>
      <c r="W1830" s="138"/>
      <c r="AQ1830" s="138"/>
    </row>
    <row r="1831" spans="22:43" x14ac:dyDescent="0.35">
      <c r="V1831" s="1013"/>
      <c r="W1831" s="138"/>
      <c r="AQ1831" s="138"/>
    </row>
    <row r="1832" spans="22:43" x14ac:dyDescent="0.35">
      <c r="V1832" s="1013"/>
      <c r="W1832" s="138"/>
      <c r="AQ1832" s="138"/>
    </row>
    <row r="1833" spans="22:43" x14ac:dyDescent="0.35">
      <c r="V1833" s="1013"/>
      <c r="W1833" s="138"/>
      <c r="AQ1833" s="138"/>
    </row>
    <row r="1834" spans="22:43" x14ac:dyDescent="0.35">
      <c r="V1834" s="1013"/>
      <c r="W1834" s="138"/>
      <c r="AQ1834" s="138"/>
    </row>
    <row r="1835" spans="22:43" x14ac:dyDescent="0.35">
      <c r="V1835" s="1013"/>
      <c r="W1835" s="138"/>
      <c r="AQ1835" s="138"/>
    </row>
    <row r="1836" spans="22:43" x14ac:dyDescent="0.35">
      <c r="V1836" s="1013"/>
      <c r="W1836" s="138"/>
      <c r="AQ1836" s="138"/>
    </row>
    <row r="1837" spans="22:43" x14ac:dyDescent="0.35">
      <c r="V1837" s="1013"/>
      <c r="W1837" s="138"/>
      <c r="AQ1837" s="138"/>
    </row>
    <row r="1838" spans="22:43" x14ac:dyDescent="0.35">
      <c r="V1838" s="1013"/>
      <c r="W1838" s="138"/>
      <c r="AQ1838" s="138"/>
    </row>
    <row r="1839" spans="22:43" x14ac:dyDescent="0.35">
      <c r="V1839" s="1013"/>
      <c r="W1839" s="138"/>
      <c r="AQ1839" s="138"/>
    </row>
    <row r="1840" spans="22:43" x14ac:dyDescent="0.35">
      <c r="V1840" s="1013"/>
      <c r="W1840" s="138"/>
      <c r="AQ1840" s="138"/>
    </row>
    <row r="1841" spans="22:43" x14ac:dyDescent="0.35">
      <c r="V1841" s="1013"/>
      <c r="W1841" s="138"/>
      <c r="AQ1841" s="138"/>
    </row>
    <row r="1842" spans="22:43" x14ac:dyDescent="0.35">
      <c r="V1842" s="1013"/>
      <c r="W1842" s="138"/>
      <c r="AQ1842" s="138"/>
    </row>
    <row r="1843" spans="22:43" x14ac:dyDescent="0.35">
      <c r="V1843" s="1013"/>
      <c r="W1843" s="138"/>
      <c r="AQ1843" s="138"/>
    </row>
    <row r="1844" spans="22:43" x14ac:dyDescent="0.35">
      <c r="V1844" s="1013"/>
      <c r="W1844" s="138"/>
      <c r="AQ1844" s="138"/>
    </row>
    <row r="1845" spans="22:43" x14ac:dyDescent="0.35">
      <c r="V1845" s="1013"/>
      <c r="W1845" s="138"/>
      <c r="AQ1845" s="138"/>
    </row>
    <row r="1846" spans="22:43" x14ac:dyDescent="0.35">
      <c r="V1846" s="1013"/>
      <c r="W1846" s="138"/>
      <c r="AQ1846" s="138"/>
    </row>
    <row r="1847" spans="22:43" x14ac:dyDescent="0.35">
      <c r="V1847" s="1013"/>
      <c r="W1847" s="138"/>
      <c r="AQ1847" s="138"/>
    </row>
    <row r="1848" spans="22:43" x14ac:dyDescent="0.35">
      <c r="V1848" s="1013"/>
      <c r="W1848" s="138"/>
      <c r="AQ1848" s="138"/>
    </row>
    <row r="1849" spans="22:43" x14ac:dyDescent="0.35">
      <c r="V1849" s="1013"/>
      <c r="W1849" s="138"/>
      <c r="AQ1849" s="138"/>
    </row>
    <row r="1850" spans="22:43" x14ac:dyDescent="0.35">
      <c r="V1850" s="1013"/>
      <c r="W1850" s="138"/>
      <c r="AQ1850" s="138"/>
    </row>
    <row r="1851" spans="22:43" x14ac:dyDescent="0.35">
      <c r="V1851" s="1013"/>
      <c r="W1851" s="138"/>
      <c r="AQ1851" s="138"/>
    </row>
    <row r="1852" spans="22:43" x14ac:dyDescent="0.35">
      <c r="V1852" s="1013"/>
      <c r="W1852" s="138"/>
      <c r="AQ1852" s="138"/>
    </row>
    <row r="1853" spans="22:43" x14ac:dyDescent="0.35">
      <c r="V1853" s="1013"/>
      <c r="W1853" s="138"/>
      <c r="AQ1853" s="138"/>
    </row>
    <row r="1854" spans="22:43" x14ac:dyDescent="0.35">
      <c r="V1854" s="1013"/>
      <c r="W1854" s="138"/>
      <c r="AQ1854" s="138"/>
    </row>
    <row r="1855" spans="22:43" x14ac:dyDescent="0.35">
      <c r="V1855" s="1013"/>
      <c r="W1855" s="138"/>
      <c r="AQ1855" s="138"/>
    </row>
    <row r="1856" spans="22:43" x14ac:dyDescent="0.35">
      <c r="V1856" s="1013"/>
      <c r="W1856" s="138"/>
      <c r="AQ1856" s="138"/>
    </row>
    <row r="1857" spans="22:43" x14ac:dyDescent="0.35">
      <c r="V1857" s="1013"/>
      <c r="W1857" s="138"/>
      <c r="AQ1857" s="138"/>
    </row>
    <row r="1858" spans="22:43" x14ac:dyDescent="0.35">
      <c r="V1858" s="1013"/>
      <c r="W1858" s="138"/>
      <c r="AQ1858" s="138"/>
    </row>
    <row r="1859" spans="22:43" x14ac:dyDescent="0.35">
      <c r="V1859" s="1013"/>
      <c r="W1859" s="138"/>
      <c r="AQ1859" s="138"/>
    </row>
    <row r="1860" spans="22:43" x14ac:dyDescent="0.35">
      <c r="V1860" s="1013"/>
      <c r="W1860" s="138"/>
      <c r="AQ1860" s="138"/>
    </row>
    <row r="1861" spans="22:43" x14ac:dyDescent="0.35">
      <c r="V1861" s="1013"/>
      <c r="W1861" s="138"/>
      <c r="AQ1861" s="138"/>
    </row>
    <row r="1862" spans="22:43" x14ac:dyDescent="0.35">
      <c r="V1862" s="1013"/>
      <c r="W1862" s="138"/>
      <c r="AQ1862" s="138"/>
    </row>
    <row r="1863" spans="22:43" x14ac:dyDescent="0.35">
      <c r="V1863" s="1013"/>
      <c r="W1863" s="138"/>
      <c r="AQ1863" s="138"/>
    </row>
    <row r="1864" spans="22:43" x14ac:dyDescent="0.35">
      <c r="V1864" s="1013"/>
      <c r="W1864" s="138"/>
      <c r="AQ1864" s="138"/>
    </row>
    <row r="1865" spans="22:43" x14ac:dyDescent="0.35">
      <c r="V1865" s="1013"/>
      <c r="W1865" s="138"/>
      <c r="AQ1865" s="138"/>
    </row>
    <row r="1866" spans="22:43" x14ac:dyDescent="0.35">
      <c r="V1866" s="1013"/>
      <c r="W1866" s="138"/>
      <c r="AQ1866" s="138"/>
    </row>
    <row r="1867" spans="22:43" x14ac:dyDescent="0.35">
      <c r="V1867" s="1013"/>
      <c r="W1867" s="138"/>
      <c r="AQ1867" s="138"/>
    </row>
    <row r="1868" spans="22:43" x14ac:dyDescent="0.35">
      <c r="V1868" s="1013"/>
      <c r="W1868" s="138"/>
      <c r="AQ1868" s="138"/>
    </row>
    <row r="1869" spans="22:43" x14ac:dyDescent="0.35">
      <c r="V1869" s="1013"/>
      <c r="W1869" s="138"/>
      <c r="AQ1869" s="138"/>
    </row>
    <row r="1870" spans="22:43" x14ac:dyDescent="0.35">
      <c r="V1870" s="1013"/>
      <c r="W1870" s="138"/>
      <c r="AQ1870" s="138"/>
    </row>
    <row r="1871" spans="22:43" x14ac:dyDescent="0.35">
      <c r="V1871" s="1013"/>
      <c r="W1871" s="138"/>
      <c r="AQ1871" s="138"/>
    </row>
    <row r="1872" spans="22:43" x14ac:dyDescent="0.35">
      <c r="V1872" s="1013"/>
      <c r="W1872" s="138"/>
      <c r="AQ1872" s="138"/>
    </row>
    <row r="1873" spans="22:43" x14ac:dyDescent="0.35">
      <c r="V1873" s="1013"/>
      <c r="W1873" s="138"/>
      <c r="AQ1873" s="138"/>
    </row>
    <row r="1874" spans="22:43" x14ac:dyDescent="0.35">
      <c r="V1874" s="1013"/>
      <c r="W1874" s="138"/>
      <c r="AQ1874" s="138"/>
    </row>
    <row r="1875" spans="22:43" x14ac:dyDescent="0.35">
      <c r="V1875" s="1013"/>
      <c r="W1875" s="138"/>
      <c r="AQ1875" s="138"/>
    </row>
    <row r="1876" spans="22:43" x14ac:dyDescent="0.35">
      <c r="V1876" s="1013"/>
      <c r="W1876" s="138"/>
      <c r="AQ1876" s="138"/>
    </row>
    <row r="1877" spans="22:43" x14ac:dyDescent="0.35">
      <c r="V1877" s="1013"/>
      <c r="W1877" s="138"/>
      <c r="AQ1877" s="138"/>
    </row>
    <row r="1878" spans="22:43" x14ac:dyDescent="0.35">
      <c r="V1878" s="1013"/>
      <c r="W1878" s="138"/>
      <c r="AQ1878" s="138"/>
    </row>
    <row r="1879" spans="22:43" x14ac:dyDescent="0.35">
      <c r="V1879" s="1013"/>
      <c r="W1879" s="138"/>
      <c r="AQ1879" s="138"/>
    </row>
    <row r="1880" spans="22:43" x14ac:dyDescent="0.35">
      <c r="V1880" s="1013"/>
      <c r="W1880" s="138"/>
      <c r="AQ1880" s="138"/>
    </row>
    <row r="1881" spans="22:43" x14ac:dyDescent="0.35">
      <c r="V1881" s="1013"/>
      <c r="W1881" s="138"/>
      <c r="AQ1881" s="138"/>
    </row>
    <row r="1882" spans="22:43" x14ac:dyDescent="0.35">
      <c r="V1882" s="1013"/>
      <c r="W1882" s="138"/>
      <c r="AQ1882" s="138"/>
    </row>
    <row r="1883" spans="22:43" x14ac:dyDescent="0.35">
      <c r="V1883" s="1013"/>
      <c r="W1883" s="138"/>
      <c r="AQ1883" s="138"/>
    </row>
    <row r="1884" spans="22:43" x14ac:dyDescent="0.35">
      <c r="V1884" s="1013"/>
      <c r="W1884" s="138"/>
      <c r="AQ1884" s="138"/>
    </row>
    <row r="1885" spans="22:43" x14ac:dyDescent="0.35">
      <c r="V1885" s="1013"/>
      <c r="W1885" s="138"/>
      <c r="AQ1885" s="138"/>
    </row>
    <row r="1886" spans="22:43" x14ac:dyDescent="0.35">
      <c r="V1886" s="1013"/>
      <c r="W1886" s="138"/>
      <c r="AQ1886" s="138"/>
    </row>
    <row r="1887" spans="22:43" x14ac:dyDescent="0.35">
      <c r="V1887" s="1013"/>
      <c r="W1887" s="138"/>
      <c r="AQ1887" s="138"/>
    </row>
    <row r="1888" spans="22:43" x14ac:dyDescent="0.35">
      <c r="V1888" s="1013"/>
      <c r="W1888" s="138"/>
      <c r="AQ1888" s="138"/>
    </row>
    <row r="1889" spans="22:43" x14ac:dyDescent="0.35">
      <c r="V1889" s="1013"/>
      <c r="W1889" s="138"/>
      <c r="AQ1889" s="138"/>
    </row>
    <row r="1890" spans="22:43" x14ac:dyDescent="0.35">
      <c r="V1890" s="1013"/>
      <c r="W1890" s="138"/>
      <c r="AQ1890" s="138"/>
    </row>
    <row r="1891" spans="22:43" x14ac:dyDescent="0.35">
      <c r="V1891" s="1013"/>
      <c r="W1891" s="138"/>
      <c r="AQ1891" s="138"/>
    </row>
    <row r="1892" spans="22:43" x14ac:dyDescent="0.35">
      <c r="V1892" s="1013"/>
      <c r="W1892" s="138"/>
      <c r="AQ1892" s="138"/>
    </row>
    <row r="1893" spans="22:43" x14ac:dyDescent="0.35">
      <c r="V1893" s="1013"/>
      <c r="W1893" s="138"/>
      <c r="AQ1893" s="138"/>
    </row>
    <row r="1894" spans="22:43" x14ac:dyDescent="0.35">
      <c r="V1894" s="1013"/>
      <c r="W1894" s="138"/>
      <c r="AQ1894" s="138"/>
    </row>
    <row r="1895" spans="22:43" x14ac:dyDescent="0.35">
      <c r="V1895" s="1013"/>
      <c r="W1895" s="138"/>
      <c r="AQ1895" s="138"/>
    </row>
    <row r="1896" spans="22:43" x14ac:dyDescent="0.35">
      <c r="V1896" s="1013"/>
      <c r="W1896" s="138"/>
      <c r="AQ1896" s="138"/>
    </row>
    <row r="1897" spans="22:43" x14ac:dyDescent="0.35">
      <c r="V1897" s="1013"/>
      <c r="W1897" s="138"/>
      <c r="AQ1897" s="138"/>
    </row>
    <row r="1898" spans="22:43" x14ac:dyDescent="0.35">
      <c r="V1898" s="1013"/>
      <c r="W1898" s="138"/>
      <c r="AQ1898" s="138"/>
    </row>
    <row r="1899" spans="22:43" x14ac:dyDescent="0.35">
      <c r="V1899" s="1013"/>
      <c r="W1899" s="138"/>
      <c r="AQ1899" s="138"/>
    </row>
    <row r="1900" spans="22:43" x14ac:dyDescent="0.35">
      <c r="V1900" s="1013"/>
      <c r="W1900" s="138"/>
      <c r="AQ1900" s="138"/>
    </row>
    <row r="1901" spans="22:43" x14ac:dyDescent="0.35">
      <c r="V1901" s="1013"/>
      <c r="W1901" s="138"/>
      <c r="AQ1901" s="138"/>
    </row>
    <row r="1902" spans="22:43" x14ac:dyDescent="0.35">
      <c r="V1902" s="1013"/>
      <c r="W1902" s="138"/>
      <c r="AQ1902" s="138"/>
    </row>
    <row r="1903" spans="22:43" x14ac:dyDescent="0.35">
      <c r="V1903" s="1013"/>
      <c r="W1903" s="138"/>
      <c r="AQ1903" s="138"/>
    </row>
    <row r="1904" spans="22:43" x14ac:dyDescent="0.35">
      <c r="V1904" s="1013"/>
      <c r="W1904" s="138"/>
      <c r="AQ1904" s="138"/>
    </row>
    <row r="1905" spans="22:43" x14ac:dyDescent="0.35">
      <c r="V1905" s="1013"/>
      <c r="W1905" s="138"/>
      <c r="AQ1905" s="138"/>
    </row>
    <row r="1906" spans="22:43" x14ac:dyDescent="0.35">
      <c r="V1906" s="1013"/>
      <c r="W1906" s="138"/>
      <c r="AQ1906" s="138"/>
    </row>
    <row r="1907" spans="22:43" x14ac:dyDescent="0.35">
      <c r="V1907" s="1013"/>
      <c r="W1907" s="138"/>
      <c r="AQ1907" s="138"/>
    </row>
    <row r="1908" spans="22:43" x14ac:dyDescent="0.35">
      <c r="V1908" s="1013"/>
      <c r="W1908" s="138"/>
      <c r="AQ1908" s="138"/>
    </row>
    <row r="1909" spans="22:43" x14ac:dyDescent="0.35">
      <c r="V1909" s="1013"/>
      <c r="W1909" s="138"/>
      <c r="AQ1909" s="138"/>
    </row>
    <row r="1910" spans="22:43" x14ac:dyDescent="0.35">
      <c r="V1910" s="1013"/>
      <c r="W1910" s="138"/>
      <c r="AQ1910" s="138"/>
    </row>
    <row r="1911" spans="22:43" x14ac:dyDescent="0.35">
      <c r="V1911" s="1013"/>
      <c r="W1911" s="138"/>
      <c r="AQ1911" s="138"/>
    </row>
    <row r="1912" spans="22:43" x14ac:dyDescent="0.35">
      <c r="V1912" s="1013"/>
      <c r="W1912" s="138"/>
      <c r="AQ1912" s="138"/>
    </row>
    <row r="1913" spans="22:43" x14ac:dyDescent="0.35">
      <c r="V1913" s="1013"/>
      <c r="W1913" s="138"/>
      <c r="AQ1913" s="138"/>
    </row>
    <row r="1914" spans="22:43" x14ac:dyDescent="0.35">
      <c r="V1914" s="1013"/>
      <c r="W1914" s="138"/>
      <c r="AQ1914" s="138"/>
    </row>
    <row r="1915" spans="22:43" x14ac:dyDescent="0.35">
      <c r="V1915" s="1013"/>
      <c r="W1915" s="138"/>
      <c r="AQ1915" s="138"/>
    </row>
    <row r="1916" spans="22:43" x14ac:dyDescent="0.35">
      <c r="V1916" s="1013"/>
      <c r="W1916" s="138"/>
      <c r="AQ1916" s="138"/>
    </row>
    <row r="1917" spans="22:43" x14ac:dyDescent="0.35">
      <c r="V1917" s="1013"/>
      <c r="W1917" s="138"/>
      <c r="AQ1917" s="138"/>
    </row>
    <row r="1918" spans="22:43" x14ac:dyDescent="0.35">
      <c r="V1918" s="1013"/>
      <c r="W1918" s="138"/>
      <c r="AQ1918" s="138"/>
    </row>
    <row r="1919" spans="22:43" x14ac:dyDescent="0.35">
      <c r="V1919" s="1013"/>
      <c r="W1919" s="138"/>
      <c r="AQ1919" s="138"/>
    </row>
    <row r="1920" spans="22:43" x14ac:dyDescent="0.35">
      <c r="V1920" s="1013"/>
      <c r="W1920" s="138"/>
      <c r="AQ1920" s="138"/>
    </row>
    <row r="1921" spans="22:43" x14ac:dyDescent="0.35">
      <c r="V1921" s="1013"/>
      <c r="W1921" s="138"/>
      <c r="AQ1921" s="138"/>
    </row>
    <row r="1922" spans="22:43" x14ac:dyDescent="0.35">
      <c r="V1922" s="1013"/>
      <c r="W1922" s="138"/>
      <c r="AQ1922" s="138"/>
    </row>
    <row r="1923" spans="22:43" x14ac:dyDescent="0.35">
      <c r="V1923" s="1013"/>
      <c r="W1923" s="138"/>
      <c r="AQ1923" s="138"/>
    </row>
    <row r="1924" spans="22:43" x14ac:dyDescent="0.35">
      <c r="V1924" s="1013"/>
      <c r="W1924" s="138"/>
      <c r="AQ1924" s="138"/>
    </row>
    <row r="1925" spans="22:43" x14ac:dyDescent="0.35">
      <c r="V1925" s="1013"/>
      <c r="W1925" s="138"/>
      <c r="AQ1925" s="138"/>
    </row>
    <row r="1926" spans="22:43" x14ac:dyDescent="0.35">
      <c r="V1926" s="1013"/>
      <c r="W1926" s="138"/>
      <c r="AQ1926" s="138"/>
    </row>
    <row r="1927" spans="22:43" x14ac:dyDescent="0.35">
      <c r="V1927" s="1013"/>
      <c r="W1927" s="138"/>
      <c r="AQ1927" s="138"/>
    </row>
    <row r="1928" spans="22:43" x14ac:dyDescent="0.35">
      <c r="V1928" s="1013"/>
      <c r="W1928" s="138"/>
      <c r="AQ1928" s="138"/>
    </row>
    <row r="1929" spans="22:43" x14ac:dyDescent="0.35">
      <c r="V1929" s="1013"/>
      <c r="W1929" s="138"/>
      <c r="AQ1929" s="138"/>
    </row>
    <row r="1930" spans="22:43" x14ac:dyDescent="0.35">
      <c r="V1930" s="1013"/>
      <c r="W1930" s="138"/>
      <c r="AQ1930" s="138"/>
    </row>
    <row r="1931" spans="22:43" x14ac:dyDescent="0.35">
      <c r="V1931" s="1013"/>
      <c r="W1931" s="138"/>
      <c r="AQ1931" s="138"/>
    </row>
    <row r="1932" spans="22:43" x14ac:dyDescent="0.35">
      <c r="V1932" s="1013"/>
      <c r="W1932" s="138"/>
      <c r="AQ1932" s="138"/>
    </row>
    <row r="1933" spans="22:43" x14ac:dyDescent="0.35">
      <c r="V1933" s="1013"/>
      <c r="W1933" s="138"/>
      <c r="AQ1933" s="138"/>
    </row>
    <row r="1934" spans="22:43" x14ac:dyDescent="0.35">
      <c r="V1934" s="1013"/>
      <c r="W1934" s="138"/>
      <c r="AQ1934" s="138"/>
    </row>
    <row r="1935" spans="22:43" x14ac:dyDescent="0.35">
      <c r="V1935" s="1013"/>
      <c r="W1935" s="138"/>
      <c r="AQ1935" s="138"/>
    </row>
    <row r="1936" spans="22:43" x14ac:dyDescent="0.35">
      <c r="V1936" s="1013"/>
      <c r="W1936" s="138"/>
      <c r="AQ1936" s="138"/>
    </row>
    <row r="1937" spans="22:43" x14ac:dyDescent="0.35">
      <c r="V1937" s="1013"/>
      <c r="W1937" s="138"/>
      <c r="AQ1937" s="138"/>
    </row>
    <row r="1938" spans="22:43" x14ac:dyDescent="0.35">
      <c r="V1938" s="1013"/>
      <c r="W1938" s="138"/>
      <c r="AQ1938" s="138"/>
    </row>
    <row r="1939" spans="22:43" x14ac:dyDescent="0.35">
      <c r="V1939" s="1013"/>
      <c r="W1939" s="138"/>
      <c r="AQ1939" s="138"/>
    </row>
    <row r="1940" spans="22:43" x14ac:dyDescent="0.35">
      <c r="V1940" s="1013"/>
      <c r="W1940" s="138"/>
      <c r="AQ1940" s="138"/>
    </row>
    <row r="1941" spans="22:43" x14ac:dyDescent="0.35">
      <c r="V1941" s="1013"/>
      <c r="W1941" s="138"/>
      <c r="AQ1941" s="138"/>
    </row>
    <row r="1942" spans="22:43" x14ac:dyDescent="0.35">
      <c r="V1942" s="1013"/>
      <c r="W1942" s="138"/>
      <c r="AQ1942" s="138"/>
    </row>
    <row r="1943" spans="22:43" x14ac:dyDescent="0.35">
      <c r="V1943" s="1013"/>
      <c r="W1943" s="138"/>
      <c r="AQ1943" s="138"/>
    </row>
    <row r="1944" spans="22:43" x14ac:dyDescent="0.35">
      <c r="V1944" s="1013"/>
      <c r="W1944" s="138"/>
      <c r="AQ1944" s="138"/>
    </row>
    <row r="1945" spans="22:43" x14ac:dyDescent="0.35">
      <c r="V1945" s="1013"/>
      <c r="W1945" s="138"/>
      <c r="AQ1945" s="138"/>
    </row>
    <row r="1946" spans="22:43" x14ac:dyDescent="0.35">
      <c r="V1946" s="1013"/>
      <c r="W1946" s="138"/>
      <c r="AQ1946" s="138"/>
    </row>
    <row r="1947" spans="22:43" x14ac:dyDescent="0.35">
      <c r="V1947" s="1013"/>
      <c r="W1947" s="138"/>
      <c r="AQ1947" s="138"/>
    </row>
    <row r="1948" spans="22:43" x14ac:dyDescent="0.35">
      <c r="V1948" s="1013"/>
      <c r="W1948" s="138"/>
      <c r="AQ1948" s="138"/>
    </row>
    <row r="1949" spans="22:43" x14ac:dyDescent="0.35">
      <c r="V1949" s="1013"/>
      <c r="W1949" s="138"/>
      <c r="AQ1949" s="138"/>
    </row>
    <row r="1950" spans="22:43" x14ac:dyDescent="0.35">
      <c r="V1950" s="1013"/>
      <c r="W1950" s="138"/>
      <c r="AQ1950" s="138"/>
    </row>
    <row r="1951" spans="22:43" x14ac:dyDescent="0.35">
      <c r="V1951" s="1013"/>
      <c r="W1951" s="138"/>
      <c r="AQ1951" s="138"/>
    </row>
    <row r="1952" spans="22:43" x14ac:dyDescent="0.35">
      <c r="V1952" s="1013"/>
      <c r="W1952" s="138"/>
      <c r="AQ1952" s="138"/>
    </row>
    <row r="1953" spans="22:43" x14ac:dyDescent="0.35">
      <c r="V1953" s="1013"/>
      <c r="W1953" s="138"/>
      <c r="AQ1953" s="138"/>
    </row>
    <row r="1954" spans="22:43" x14ac:dyDescent="0.35">
      <c r="V1954" s="1013"/>
      <c r="W1954" s="138"/>
      <c r="AQ1954" s="138"/>
    </row>
    <row r="1955" spans="22:43" x14ac:dyDescent="0.35">
      <c r="V1955" s="1013"/>
      <c r="W1955" s="138"/>
      <c r="AQ1955" s="138"/>
    </row>
    <row r="1956" spans="22:43" x14ac:dyDescent="0.35">
      <c r="V1956" s="1013"/>
      <c r="W1956" s="138"/>
      <c r="AQ1956" s="138"/>
    </row>
    <row r="1957" spans="22:43" x14ac:dyDescent="0.35">
      <c r="V1957" s="1013"/>
      <c r="W1957" s="138"/>
      <c r="AQ1957" s="138"/>
    </row>
    <row r="1958" spans="22:43" x14ac:dyDescent="0.35">
      <c r="V1958" s="1013"/>
      <c r="W1958" s="138"/>
      <c r="AQ1958" s="138"/>
    </row>
    <row r="1959" spans="22:43" x14ac:dyDescent="0.35">
      <c r="V1959" s="1013"/>
      <c r="W1959" s="138"/>
      <c r="AQ1959" s="138"/>
    </row>
    <row r="1960" spans="22:43" x14ac:dyDescent="0.35">
      <c r="V1960" s="1013"/>
      <c r="W1960" s="138"/>
      <c r="AQ1960" s="138"/>
    </row>
    <row r="1961" spans="22:43" x14ac:dyDescent="0.35">
      <c r="V1961" s="1013"/>
      <c r="W1961" s="138"/>
      <c r="AQ1961" s="138"/>
    </row>
    <row r="1962" spans="22:43" x14ac:dyDescent="0.35">
      <c r="V1962" s="1013"/>
      <c r="W1962" s="138"/>
      <c r="AQ1962" s="138"/>
    </row>
    <row r="1963" spans="22:43" x14ac:dyDescent="0.35">
      <c r="V1963" s="1013"/>
      <c r="W1963" s="138"/>
      <c r="AQ1963" s="138"/>
    </row>
    <row r="1964" spans="22:43" x14ac:dyDescent="0.35">
      <c r="V1964" s="1013"/>
      <c r="W1964" s="138"/>
      <c r="AQ1964" s="138"/>
    </row>
    <row r="1965" spans="22:43" x14ac:dyDescent="0.35">
      <c r="V1965" s="1013"/>
      <c r="W1965" s="138"/>
      <c r="AQ1965" s="138"/>
    </row>
    <row r="1966" spans="22:43" x14ac:dyDescent="0.35">
      <c r="V1966" s="1013"/>
      <c r="W1966" s="138"/>
      <c r="AQ1966" s="138"/>
    </row>
    <row r="1967" spans="22:43" x14ac:dyDescent="0.35">
      <c r="V1967" s="1013"/>
      <c r="W1967" s="138"/>
      <c r="AQ1967" s="138"/>
    </row>
    <row r="1968" spans="22:43" x14ac:dyDescent="0.35">
      <c r="V1968" s="1013"/>
      <c r="W1968" s="138"/>
      <c r="AQ1968" s="138"/>
    </row>
    <row r="1969" spans="22:43" x14ac:dyDescent="0.35">
      <c r="V1969" s="1013"/>
      <c r="W1969" s="138"/>
      <c r="AQ1969" s="138"/>
    </row>
    <row r="1970" spans="22:43" x14ac:dyDescent="0.35">
      <c r="V1970" s="1013"/>
      <c r="W1970" s="138"/>
      <c r="AQ1970" s="138"/>
    </row>
    <row r="1971" spans="22:43" x14ac:dyDescent="0.35">
      <c r="V1971" s="1013"/>
      <c r="W1971" s="138"/>
      <c r="AQ1971" s="138"/>
    </row>
    <row r="1972" spans="22:43" x14ac:dyDescent="0.35">
      <c r="V1972" s="1013"/>
      <c r="W1972" s="138"/>
      <c r="AQ1972" s="138"/>
    </row>
    <row r="1973" spans="22:43" x14ac:dyDescent="0.35">
      <c r="V1973" s="1013"/>
      <c r="W1973" s="138"/>
      <c r="AQ1973" s="138"/>
    </row>
    <row r="1974" spans="22:43" x14ac:dyDescent="0.35">
      <c r="V1974" s="1013"/>
      <c r="W1974" s="138"/>
      <c r="AQ1974" s="138"/>
    </row>
    <row r="1975" spans="22:43" x14ac:dyDescent="0.35">
      <c r="V1975" s="1013"/>
      <c r="W1975" s="138"/>
      <c r="AQ1975" s="138"/>
    </row>
    <row r="1976" spans="22:43" x14ac:dyDescent="0.35">
      <c r="V1976" s="1013"/>
      <c r="W1976" s="138"/>
      <c r="AQ1976" s="138"/>
    </row>
    <row r="1977" spans="22:43" x14ac:dyDescent="0.35">
      <c r="V1977" s="1013"/>
      <c r="W1977" s="138"/>
      <c r="AQ1977" s="138"/>
    </row>
    <row r="1978" spans="22:43" x14ac:dyDescent="0.35">
      <c r="V1978" s="1013"/>
      <c r="W1978" s="138"/>
      <c r="AQ1978" s="138"/>
    </row>
    <row r="1979" spans="22:43" x14ac:dyDescent="0.35">
      <c r="V1979" s="1013"/>
      <c r="W1979" s="138"/>
      <c r="AQ1979" s="138"/>
    </row>
    <row r="1980" spans="22:43" x14ac:dyDescent="0.35">
      <c r="V1980" s="1013"/>
      <c r="W1980" s="138"/>
      <c r="AQ1980" s="138"/>
    </row>
    <row r="1981" spans="22:43" x14ac:dyDescent="0.35">
      <c r="V1981" s="1013"/>
      <c r="W1981" s="138"/>
      <c r="AQ1981" s="138"/>
    </row>
    <row r="1982" spans="22:43" x14ac:dyDescent="0.35">
      <c r="V1982" s="1013"/>
      <c r="W1982" s="138"/>
      <c r="AQ1982" s="138"/>
    </row>
    <row r="1983" spans="22:43" x14ac:dyDescent="0.35">
      <c r="V1983" s="1013"/>
      <c r="W1983" s="138"/>
      <c r="AQ1983" s="138"/>
    </row>
    <row r="1984" spans="22:43" x14ac:dyDescent="0.35">
      <c r="V1984" s="1013"/>
      <c r="W1984" s="138"/>
      <c r="AQ1984" s="138"/>
    </row>
    <row r="1985" spans="22:43" x14ac:dyDescent="0.35">
      <c r="V1985" s="1013"/>
      <c r="W1985" s="138"/>
      <c r="AQ1985" s="138"/>
    </row>
    <row r="1986" spans="22:43" x14ac:dyDescent="0.35">
      <c r="V1986" s="1013"/>
      <c r="W1986" s="138"/>
      <c r="AQ1986" s="138"/>
    </row>
    <row r="1987" spans="22:43" x14ac:dyDescent="0.35">
      <c r="V1987" s="1013"/>
      <c r="W1987" s="138"/>
      <c r="AQ1987" s="138"/>
    </row>
    <row r="1988" spans="22:43" x14ac:dyDescent="0.35">
      <c r="V1988" s="1013"/>
      <c r="W1988" s="138"/>
      <c r="AQ1988" s="138"/>
    </row>
    <row r="1989" spans="22:43" x14ac:dyDescent="0.35">
      <c r="V1989" s="1013"/>
      <c r="W1989" s="138"/>
      <c r="AQ1989" s="138"/>
    </row>
    <row r="1990" spans="22:43" x14ac:dyDescent="0.35">
      <c r="V1990" s="1013"/>
      <c r="W1990" s="138"/>
      <c r="AQ1990" s="138"/>
    </row>
    <row r="1991" spans="22:43" x14ac:dyDescent="0.35">
      <c r="V1991" s="1013"/>
      <c r="W1991" s="138"/>
      <c r="AQ1991" s="138"/>
    </row>
    <row r="1992" spans="22:43" x14ac:dyDescent="0.35">
      <c r="V1992" s="1013"/>
      <c r="W1992" s="138"/>
      <c r="AQ1992" s="138"/>
    </row>
    <row r="1993" spans="22:43" x14ac:dyDescent="0.35">
      <c r="V1993" s="1013"/>
      <c r="W1993" s="138"/>
      <c r="AQ1993" s="138"/>
    </row>
    <row r="1994" spans="22:43" x14ac:dyDescent="0.35">
      <c r="V1994" s="1013"/>
      <c r="W1994" s="138"/>
      <c r="AQ1994" s="138"/>
    </row>
    <row r="1995" spans="22:43" x14ac:dyDescent="0.35">
      <c r="V1995" s="1013"/>
      <c r="W1995" s="138"/>
      <c r="AQ1995" s="138"/>
    </row>
    <row r="1996" spans="22:43" x14ac:dyDescent="0.35">
      <c r="V1996" s="1013"/>
      <c r="W1996" s="138"/>
      <c r="AQ1996" s="138"/>
    </row>
    <row r="1997" spans="22:43" x14ac:dyDescent="0.35">
      <c r="V1997" s="1013"/>
      <c r="W1997" s="138"/>
      <c r="AQ1997" s="138"/>
    </row>
    <row r="1998" spans="22:43" x14ac:dyDescent="0.35">
      <c r="V1998" s="1013"/>
      <c r="W1998" s="138"/>
      <c r="AQ1998" s="138"/>
    </row>
    <row r="1999" spans="22:43" x14ac:dyDescent="0.35">
      <c r="V1999" s="1013"/>
      <c r="W1999" s="138"/>
      <c r="AQ1999" s="138"/>
    </row>
    <row r="2000" spans="22:43" x14ac:dyDescent="0.35">
      <c r="V2000" s="1013"/>
      <c r="W2000" s="138"/>
      <c r="AQ2000" s="138"/>
    </row>
    <row r="2001" spans="22:43" x14ac:dyDescent="0.35">
      <c r="V2001" s="1013"/>
      <c r="W2001" s="138"/>
      <c r="AQ2001" s="138"/>
    </row>
    <row r="2002" spans="22:43" x14ac:dyDescent="0.35">
      <c r="V2002" s="1013"/>
      <c r="W2002" s="138"/>
      <c r="AQ2002" s="138"/>
    </row>
    <row r="2003" spans="22:43" x14ac:dyDescent="0.35">
      <c r="V2003" s="1013"/>
      <c r="W2003" s="138"/>
      <c r="AQ2003" s="138"/>
    </row>
    <row r="2004" spans="22:43" x14ac:dyDescent="0.35">
      <c r="V2004" s="1013"/>
      <c r="W2004" s="138"/>
      <c r="AQ2004" s="138"/>
    </row>
    <row r="2005" spans="22:43" x14ac:dyDescent="0.35">
      <c r="V2005" s="1013"/>
      <c r="W2005" s="138"/>
      <c r="AQ2005" s="138"/>
    </row>
    <row r="2006" spans="22:43" x14ac:dyDescent="0.35">
      <c r="V2006" s="1013"/>
      <c r="W2006" s="138"/>
      <c r="AQ2006" s="138"/>
    </row>
    <row r="2007" spans="22:43" x14ac:dyDescent="0.35">
      <c r="V2007" s="1013"/>
      <c r="W2007" s="138"/>
      <c r="AQ2007" s="138"/>
    </row>
    <row r="2008" spans="22:43" x14ac:dyDescent="0.35">
      <c r="V2008" s="1013"/>
      <c r="W2008" s="138"/>
      <c r="AQ2008" s="138"/>
    </row>
    <row r="2009" spans="22:43" x14ac:dyDescent="0.35">
      <c r="V2009" s="1013"/>
      <c r="W2009" s="138"/>
      <c r="AQ2009" s="138"/>
    </row>
    <row r="2010" spans="22:43" x14ac:dyDescent="0.35">
      <c r="V2010" s="1013"/>
      <c r="W2010" s="138"/>
      <c r="AQ2010" s="138"/>
    </row>
    <row r="2011" spans="22:43" x14ac:dyDescent="0.35">
      <c r="V2011" s="1013"/>
      <c r="W2011" s="138"/>
      <c r="AQ2011" s="138"/>
    </row>
    <row r="2012" spans="22:43" x14ac:dyDescent="0.35">
      <c r="V2012" s="1013"/>
      <c r="W2012" s="138"/>
      <c r="AQ2012" s="138"/>
    </row>
    <row r="2013" spans="22:43" x14ac:dyDescent="0.35">
      <c r="V2013" s="1013"/>
      <c r="W2013" s="138"/>
      <c r="AQ2013" s="138"/>
    </row>
    <row r="2014" spans="22:43" x14ac:dyDescent="0.35">
      <c r="V2014" s="1013"/>
      <c r="W2014" s="138"/>
      <c r="AQ2014" s="138"/>
    </row>
    <row r="2015" spans="22:43" x14ac:dyDescent="0.35">
      <c r="V2015" s="1013"/>
      <c r="W2015" s="138"/>
      <c r="AQ2015" s="138"/>
    </row>
    <row r="2016" spans="22:43" x14ac:dyDescent="0.35">
      <c r="V2016" s="1013"/>
      <c r="W2016" s="138"/>
      <c r="AQ2016" s="138"/>
    </row>
    <row r="2017" spans="22:43" x14ac:dyDescent="0.35">
      <c r="V2017" s="1013"/>
      <c r="W2017" s="138"/>
      <c r="AQ2017" s="138"/>
    </row>
    <row r="2018" spans="22:43" x14ac:dyDescent="0.35">
      <c r="V2018" s="1013"/>
      <c r="W2018" s="138"/>
      <c r="AQ2018" s="138"/>
    </row>
    <row r="2019" spans="22:43" x14ac:dyDescent="0.35">
      <c r="V2019" s="1013"/>
      <c r="W2019" s="138"/>
      <c r="AQ2019" s="138"/>
    </row>
    <row r="2020" spans="22:43" x14ac:dyDescent="0.35">
      <c r="V2020" s="1013"/>
      <c r="W2020" s="138"/>
      <c r="AQ2020" s="138"/>
    </row>
    <row r="2021" spans="22:43" x14ac:dyDescent="0.35">
      <c r="V2021" s="1013"/>
      <c r="W2021" s="138"/>
      <c r="AQ2021" s="138"/>
    </row>
    <row r="2022" spans="22:43" x14ac:dyDescent="0.35">
      <c r="V2022" s="1013"/>
      <c r="W2022" s="138"/>
      <c r="AQ2022" s="138"/>
    </row>
    <row r="2023" spans="22:43" x14ac:dyDescent="0.35">
      <c r="V2023" s="1013"/>
      <c r="W2023" s="138"/>
      <c r="AQ2023" s="138"/>
    </row>
    <row r="2024" spans="22:43" x14ac:dyDescent="0.35">
      <c r="V2024" s="1013"/>
      <c r="W2024" s="138"/>
      <c r="AQ2024" s="138"/>
    </row>
    <row r="2025" spans="22:43" x14ac:dyDescent="0.35">
      <c r="V2025" s="1013"/>
      <c r="W2025" s="138"/>
      <c r="AQ2025" s="138"/>
    </row>
    <row r="2026" spans="22:43" x14ac:dyDescent="0.35">
      <c r="V2026" s="1013"/>
      <c r="W2026" s="138"/>
      <c r="AQ2026" s="138"/>
    </row>
    <row r="2027" spans="22:43" x14ac:dyDescent="0.35">
      <c r="V2027" s="1013"/>
      <c r="W2027" s="138"/>
      <c r="AQ2027" s="138"/>
    </row>
    <row r="2028" spans="22:43" x14ac:dyDescent="0.35">
      <c r="V2028" s="1013"/>
      <c r="W2028" s="138"/>
      <c r="AQ2028" s="138"/>
    </row>
    <row r="2029" spans="22:43" x14ac:dyDescent="0.35">
      <c r="V2029" s="1013"/>
      <c r="W2029" s="138"/>
      <c r="AQ2029" s="138"/>
    </row>
    <row r="2030" spans="22:43" x14ac:dyDescent="0.35">
      <c r="V2030" s="1013"/>
      <c r="W2030" s="138"/>
      <c r="AQ2030" s="138"/>
    </row>
    <row r="2031" spans="22:43" x14ac:dyDescent="0.35">
      <c r="V2031" s="1013"/>
      <c r="W2031" s="138"/>
      <c r="AQ2031" s="138"/>
    </row>
    <row r="2032" spans="22:43" x14ac:dyDescent="0.35">
      <c r="V2032" s="1013"/>
      <c r="W2032" s="138"/>
      <c r="AQ2032" s="138"/>
    </row>
    <row r="2033" spans="22:43" x14ac:dyDescent="0.35">
      <c r="V2033" s="1013"/>
      <c r="W2033" s="138"/>
      <c r="AQ2033" s="138"/>
    </row>
    <row r="2034" spans="22:43" x14ac:dyDescent="0.35">
      <c r="V2034" s="1013"/>
      <c r="W2034" s="138"/>
      <c r="AQ2034" s="138"/>
    </row>
    <row r="2035" spans="22:43" x14ac:dyDescent="0.35">
      <c r="V2035" s="1013"/>
      <c r="W2035" s="138"/>
      <c r="AQ2035" s="138"/>
    </row>
    <row r="2036" spans="22:43" x14ac:dyDescent="0.35">
      <c r="V2036" s="1013"/>
      <c r="W2036" s="138"/>
      <c r="AQ2036" s="138"/>
    </row>
    <row r="2037" spans="22:43" x14ac:dyDescent="0.35">
      <c r="V2037" s="1013"/>
      <c r="W2037" s="138"/>
      <c r="AQ2037" s="138"/>
    </row>
    <row r="2038" spans="22:43" x14ac:dyDescent="0.35">
      <c r="V2038" s="1013"/>
      <c r="W2038" s="138"/>
      <c r="AQ2038" s="138"/>
    </row>
    <row r="2039" spans="22:43" x14ac:dyDescent="0.35">
      <c r="V2039" s="1013"/>
      <c r="W2039" s="138"/>
      <c r="AQ2039" s="138"/>
    </row>
    <row r="2040" spans="22:43" x14ac:dyDescent="0.35">
      <c r="V2040" s="1013"/>
      <c r="W2040" s="138"/>
      <c r="AQ2040" s="138"/>
    </row>
    <row r="2041" spans="22:43" x14ac:dyDescent="0.35">
      <c r="V2041" s="1013"/>
      <c r="W2041" s="138"/>
      <c r="AQ2041" s="138"/>
    </row>
    <row r="2042" spans="22:43" x14ac:dyDescent="0.35">
      <c r="V2042" s="1013"/>
      <c r="W2042" s="138"/>
      <c r="AQ2042" s="138"/>
    </row>
    <row r="2043" spans="22:43" x14ac:dyDescent="0.35">
      <c r="V2043" s="1013"/>
      <c r="W2043" s="138"/>
      <c r="AQ2043" s="138"/>
    </row>
    <row r="2044" spans="22:43" x14ac:dyDescent="0.35">
      <c r="V2044" s="1013"/>
      <c r="W2044" s="138"/>
      <c r="AQ2044" s="138"/>
    </row>
    <row r="2045" spans="22:43" x14ac:dyDescent="0.35">
      <c r="V2045" s="1013"/>
      <c r="W2045" s="138"/>
      <c r="AQ2045" s="138"/>
    </row>
    <row r="2046" spans="22:43" x14ac:dyDescent="0.35">
      <c r="V2046" s="1013"/>
      <c r="W2046" s="138"/>
      <c r="AQ2046" s="138"/>
    </row>
    <row r="2047" spans="22:43" x14ac:dyDescent="0.35">
      <c r="V2047" s="1013"/>
      <c r="W2047" s="138"/>
      <c r="AQ2047" s="138"/>
    </row>
    <row r="2048" spans="22:43" x14ac:dyDescent="0.35">
      <c r="V2048" s="1013"/>
      <c r="W2048" s="138"/>
      <c r="AQ2048" s="138"/>
    </row>
    <row r="2049" spans="22:43" x14ac:dyDescent="0.35">
      <c r="V2049" s="1013"/>
      <c r="W2049" s="138"/>
      <c r="AQ2049" s="138"/>
    </row>
    <row r="2050" spans="22:43" x14ac:dyDescent="0.35">
      <c r="V2050" s="1013"/>
      <c r="W2050" s="138"/>
      <c r="AQ2050" s="138"/>
    </row>
    <row r="2051" spans="22:43" x14ac:dyDescent="0.35">
      <c r="V2051" s="1013"/>
      <c r="W2051" s="138"/>
      <c r="AQ2051" s="138"/>
    </row>
    <row r="2052" spans="22:43" x14ac:dyDescent="0.35">
      <c r="V2052" s="1013"/>
      <c r="W2052" s="138"/>
      <c r="AQ2052" s="138"/>
    </row>
    <row r="2053" spans="22:43" x14ac:dyDescent="0.35">
      <c r="V2053" s="1013"/>
      <c r="W2053" s="138"/>
      <c r="AQ2053" s="138"/>
    </row>
    <row r="2054" spans="22:43" x14ac:dyDescent="0.35">
      <c r="V2054" s="1013"/>
      <c r="W2054" s="138"/>
      <c r="AQ2054" s="138"/>
    </row>
    <row r="2055" spans="22:43" x14ac:dyDescent="0.35">
      <c r="V2055" s="1013"/>
      <c r="W2055" s="138"/>
      <c r="AQ2055" s="138"/>
    </row>
    <row r="2056" spans="22:43" x14ac:dyDescent="0.35">
      <c r="V2056" s="1013"/>
      <c r="W2056" s="138"/>
      <c r="AQ2056" s="138"/>
    </row>
    <row r="2057" spans="22:43" x14ac:dyDescent="0.35">
      <c r="V2057" s="1013"/>
      <c r="W2057" s="138"/>
      <c r="AQ2057" s="138"/>
    </row>
    <row r="2058" spans="22:43" x14ac:dyDescent="0.35">
      <c r="V2058" s="1013"/>
      <c r="W2058" s="138"/>
      <c r="AQ2058" s="138"/>
    </row>
    <row r="2059" spans="22:43" x14ac:dyDescent="0.35">
      <c r="V2059" s="1013"/>
      <c r="W2059" s="138"/>
      <c r="AQ2059" s="138"/>
    </row>
    <row r="2060" spans="22:43" x14ac:dyDescent="0.35">
      <c r="V2060" s="1013"/>
      <c r="W2060" s="138"/>
      <c r="AQ2060" s="138"/>
    </row>
    <row r="2061" spans="22:43" x14ac:dyDescent="0.35">
      <c r="V2061" s="1013"/>
      <c r="W2061" s="138"/>
      <c r="AQ2061" s="138"/>
    </row>
    <row r="2062" spans="22:43" x14ac:dyDescent="0.35">
      <c r="V2062" s="1013"/>
      <c r="W2062" s="138"/>
      <c r="AQ2062" s="138"/>
    </row>
    <row r="2063" spans="22:43" x14ac:dyDescent="0.35">
      <c r="V2063" s="1013"/>
      <c r="W2063" s="138"/>
      <c r="AQ2063" s="138"/>
    </row>
    <row r="2064" spans="22:43" x14ac:dyDescent="0.35">
      <c r="V2064" s="1013"/>
      <c r="W2064" s="138"/>
      <c r="AQ2064" s="138"/>
    </row>
    <row r="2065" spans="22:43" x14ac:dyDescent="0.35">
      <c r="V2065" s="1013"/>
      <c r="W2065" s="138"/>
      <c r="AQ2065" s="138"/>
    </row>
    <row r="2066" spans="22:43" x14ac:dyDescent="0.35">
      <c r="V2066" s="1013"/>
      <c r="W2066" s="138"/>
      <c r="AQ2066" s="138"/>
    </row>
    <row r="2067" spans="22:43" x14ac:dyDescent="0.35">
      <c r="V2067" s="1013"/>
      <c r="W2067" s="138"/>
      <c r="AQ2067" s="138"/>
    </row>
    <row r="2068" spans="22:43" x14ac:dyDescent="0.35">
      <c r="V2068" s="1013"/>
      <c r="W2068" s="138"/>
      <c r="AQ2068" s="138"/>
    </row>
    <row r="2069" spans="22:43" x14ac:dyDescent="0.35">
      <c r="V2069" s="1013"/>
      <c r="W2069" s="138"/>
      <c r="AQ2069" s="138"/>
    </row>
    <row r="2070" spans="22:43" x14ac:dyDescent="0.35">
      <c r="V2070" s="1013"/>
      <c r="W2070" s="138"/>
      <c r="AQ2070" s="138"/>
    </row>
    <row r="2071" spans="22:43" x14ac:dyDescent="0.35">
      <c r="V2071" s="1013"/>
      <c r="W2071" s="138"/>
      <c r="AQ2071" s="138"/>
    </row>
    <row r="2072" spans="22:43" x14ac:dyDescent="0.35">
      <c r="V2072" s="1013"/>
      <c r="W2072" s="138"/>
      <c r="AQ2072" s="138"/>
    </row>
    <row r="2073" spans="22:43" x14ac:dyDescent="0.35">
      <c r="V2073" s="1013"/>
      <c r="W2073" s="138"/>
      <c r="AQ2073" s="138"/>
    </row>
    <row r="2074" spans="22:43" x14ac:dyDescent="0.35">
      <c r="V2074" s="1013"/>
      <c r="W2074" s="138"/>
      <c r="AQ2074" s="138"/>
    </row>
    <row r="2075" spans="22:43" x14ac:dyDescent="0.35">
      <c r="V2075" s="1013"/>
      <c r="W2075" s="138"/>
      <c r="AQ2075" s="138"/>
    </row>
    <row r="2076" spans="22:43" x14ac:dyDescent="0.35">
      <c r="V2076" s="1013"/>
      <c r="W2076" s="138"/>
      <c r="AQ2076" s="138"/>
    </row>
    <row r="2077" spans="22:43" x14ac:dyDescent="0.35">
      <c r="V2077" s="1013"/>
      <c r="W2077" s="138"/>
      <c r="AQ2077" s="138"/>
    </row>
    <row r="2078" spans="22:43" x14ac:dyDescent="0.35">
      <c r="V2078" s="1013"/>
      <c r="W2078" s="138"/>
      <c r="AQ2078" s="138"/>
    </row>
    <row r="2079" spans="22:43" x14ac:dyDescent="0.35">
      <c r="V2079" s="1013"/>
      <c r="W2079" s="138"/>
      <c r="AQ2079" s="138"/>
    </row>
    <row r="2080" spans="22:43" x14ac:dyDescent="0.35">
      <c r="V2080" s="1013"/>
      <c r="W2080" s="138"/>
      <c r="AQ2080" s="138"/>
    </row>
    <row r="2081" spans="22:43" x14ac:dyDescent="0.35">
      <c r="V2081" s="1013"/>
      <c r="W2081" s="138"/>
      <c r="AQ2081" s="138"/>
    </row>
    <row r="2082" spans="22:43" x14ac:dyDescent="0.35">
      <c r="V2082" s="1013"/>
      <c r="W2082" s="138"/>
      <c r="AQ2082" s="138"/>
    </row>
    <row r="2083" spans="22:43" x14ac:dyDescent="0.35">
      <c r="V2083" s="1013"/>
      <c r="W2083" s="138"/>
      <c r="AQ2083" s="138"/>
    </row>
    <row r="2084" spans="22:43" x14ac:dyDescent="0.35">
      <c r="V2084" s="1013"/>
      <c r="W2084" s="138"/>
      <c r="AQ2084" s="138"/>
    </row>
    <row r="2085" spans="22:43" x14ac:dyDescent="0.35">
      <c r="V2085" s="1013"/>
      <c r="W2085" s="138"/>
      <c r="AQ2085" s="138"/>
    </row>
    <row r="2086" spans="22:43" x14ac:dyDescent="0.35">
      <c r="V2086" s="1013"/>
      <c r="W2086" s="138"/>
      <c r="AQ2086" s="138"/>
    </row>
    <row r="2087" spans="22:43" x14ac:dyDescent="0.35">
      <c r="V2087" s="1013"/>
      <c r="W2087" s="138"/>
      <c r="AQ2087" s="138"/>
    </row>
    <row r="2088" spans="22:43" x14ac:dyDescent="0.35">
      <c r="V2088" s="1013"/>
      <c r="W2088" s="138"/>
      <c r="AQ2088" s="138"/>
    </row>
    <row r="2089" spans="22:43" x14ac:dyDescent="0.35">
      <c r="V2089" s="1013"/>
      <c r="W2089" s="138"/>
      <c r="AQ2089" s="138"/>
    </row>
    <row r="2090" spans="22:43" x14ac:dyDescent="0.35">
      <c r="V2090" s="1013"/>
      <c r="W2090" s="138"/>
      <c r="AQ2090" s="138"/>
    </row>
    <row r="2091" spans="22:43" x14ac:dyDescent="0.35">
      <c r="V2091" s="1013"/>
      <c r="W2091" s="138"/>
      <c r="AQ2091" s="138"/>
    </row>
    <row r="2092" spans="22:43" x14ac:dyDescent="0.35">
      <c r="V2092" s="1013"/>
      <c r="W2092" s="138"/>
      <c r="AQ2092" s="138"/>
    </row>
    <row r="2093" spans="22:43" x14ac:dyDescent="0.35">
      <c r="V2093" s="1013"/>
      <c r="W2093" s="138"/>
      <c r="AQ2093" s="138"/>
    </row>
    <row r="2094" spans="22:43" x14ac:dyDescent="0.35">
      <c r="V2094" s="1013"/>
      <c r="W2094" s="138"/>
      <c r="AQ2094" s="138"/>
    </row>
    <row r="2095" spans="22:43" x14ac:dyDescent="0.35">
      <c r="V2095" s="1013"/>
      <c r="W2095" s="138"/>
      <c r="AQ2095" s="138"/>
    </row>
    <row r="2096" spans="22:43" x14ac:dyDescent="0.35">
      <c r="V2096" s="1013"/>
      <c r="W2096" s="138"/>
      <c r="AQ2096" s="138"/>
    </row>
    <row r="2097" spans="22:43" x14ac:dyDescent="0.35">
      <c r="V2097" s="1013"/>
      <c r="W2097" s="138"/>
      <c r="AQ2097" s="138"/>
    </row>
    <row r="2098" spans="22:43" x14ac:dyDescent="0.35">
      <c r="V2098" s="1013"/>
      <c r="W2098" s="138"/>
      <c r="AQ2098" s="138"/>
    </row>
    <row r="2099" spans="22:43" x14ac:dyDescent="0.35">
      <c r="V2099" s="1013"/>
      <c r="W2099" s="138"/>
      <c r="AQ2099" s="138"/>
    </row>
    <row r="2100" spans="22:43" x14ac:dyDescent="0.35">
      <c r="V2100" s="1013"/>
      <c r="W2100" s="138"/>
      <c r="AQ2100" s="138"/>
    </row>
    <row r="2101" spans="22:43" x14ac:dyDescent="0.35">
      <c r="V2101" s="1013"/>
      <c r="W2101" s="138"/>
      <c r="AQ2101" s="138"/>
    </row>
    <row r="2102" spans="22:43" x14ac:dyDescent="0.35">
      <c r="V2102" s="1013"/>
      <c r="W2102" s="138"/>
      <c r="AQ2102" s="138"/>
    </row>
    <row r="2103" spans="22:43" x14ac:dyDescent="0.35">
      <c r="V2103" s="1013"/>
      <c r="W2103" s="138"/>
      <c r="AQ2103" s="138"/>
    </row>
    <row r="2104" spans="22:43" x14ac:dyDescent="0.35">
      <c r="V2104" s="1013"/>
      <c r="W2104" s="138"/>
      <c r="AQ2104" s="138"/>
    </row>
    <row r="2105" spans="22:43" x14ac:dyDescent="0.35">
      <c r="V2105" s="1013"/>
      <c r="W2105" s="138"/>
      <c r="AQ2105" s="138"/>
    </row>
    <row r="2106" spans="22:43" x14ac:dyDescent="0.35">
      <c r="V2106" s="1013"/>
      <c r="W2106" s="138"/>
      <c r="AQ2106" s="138"/>
    </row>
    <row r="2107" spans="22:43" x14ac:dyDescent="0.35">
      <c r="V2107" s="1013"/>
      <c r="W2107" s="138"/>
      <c r="AQ2107" s="138"/>
    </row>
    <row r="2108" spans="22:43" x14ac:dyDescent="0.35">
      <c r="V2108" s="1013"/>
      <c r="W2108" s="138"/>
      <c r="AQ2108" s="138"/>
    </row>
    <row r="2109" spans="22:43" x14ac:dyDescent="0.35">
      <c r="V2109" s="1013"/>
      <c r="W2109" s="138"/>
      <c r="AQ2109" s="138"/>
    </row>
    <row r="2110" spans="22:43" x14ac:dyDescent="0.35">
      <c r="V2110" s="1013"/>
      <c r="W2110" s="138"/>
      <c r="AQ2110" s="138"/>
    </row>
    <row r="2111" spans="22:43" x14ac:dyDescent="0.35">
      <c r="V2111" s="1013"/>
      <c r="W2111" s="138"/>
      <c r="AQ2111" s="138"/>
    </row>
    <row r="2112" spans="22:43" x14ac:dyDescent="0.35">
      <c r="V2112" s="1013"/>
      <c r="W2112" s="138"/>
      <c r="AQ2112" s="138"/>
    </row>
    <row r="2113" spans="22:43" x14ac:dyDescent="0.35">
      <c r="V2113" s="1013"/>
      <c r="W2113" s="138"/>
      <c r="AQ2113" s="138"/>
    </row>
    <row r="2114" spans="22:43" x14ac:dyDescent="0.35">
      <c r="V2114" s="1013"/>
      <c r="W2114" s="138"/>
      <c r="AQ2114" s="138"/>
    </row>
    <row r="2115" spans="22:43" x14ac:dyDescent="0.35">
      <c r="V2115" s="1013"/>
      <c r="W2115" s="138"/>
      <c r="AQ2115" s="138"/>
    </row>
    <row r="2116" spans="22:43" x14ac:dyDescent="0.35">
      <c r="V2116" s="1013"/>
      <c r="W2116" s="138"/>
      <c r="AQ2116" s="138"/>
    </row>
    <row r="2117" spans="22:43" x14ac:dyDescent="0.35">
      <c r="V2117" s="1013"/>
      <c r="W2117" s="138"/>
      <c r="AQ2117" s="138"/>
    </row>
    <row r="2118" spans="22:43" x14ac:dyDescent="0.35">
      <c r="V2118" s="1013"/>
      <c r="W2118" s="138"/>
      <c r="AQ2118" s="138"/>
    </row>
    <row r="2119" spans="22:43" x14ac:dyDescent="0.35">
      <c r="V2119" s="1013"/>
      <c r="W2119" s="138"/>
      <c r="AQ2119" s="138"/>
    </row>
    <row r="2120" spans="22:43" x14ac:dyDescent="0.35">
      <c r="V2120" s="1013"/>
      <c r="W2120" s="138"/>
      <c r="AQ2120" s="138"/>
    </row>
    <row r="2121" spans="22:43" x14ac:dyDescent="0.35">
      <c r="V2121" s="1013"/>
      <c r="W2121" s="138"/>
      <c r="AQ2121" s="138"/>
    </row>
    <row r="2122" spans="22:43" x14ac:dyDescent="0.35">
      <c r="V2122" s="1013"/>
      <c r="W2122" s="138"/>
      <c r="AQ2122" s="138"/>
    </row>
    <row r="2123" spans="22:43" x14ac:dyDescent="0.35">
      <c r="V2123" s="1013"/>
      <c r="W2123" s="138"/>
      <c r="AQ2123" s="138"/>
    </row>
    <row r="2124" spans="22:43" x14ac:dyDescent="0.35">
      <c r="V2124" s="1013"/>
      <c r="W2124" s="138"/>
      <c r="AQ2124" s="138"/>
    </row>
    <row r="2125" spans="22:43" x14ac:dyDescent="0.35">
      <c r="V2125" s="1013"/>
      <c r="W2125" s="138"/>
      <c r="AQ2125" s="138"/>
    </row>
    <row r="2126" spans="22:43" x14ac:dyDescent="0.35">
      <c r="V2126" s="1013"/>
      <c r="W2126" s="138"/>
      <c r="AQ2126" s="138"/>
    </row>
    <row r="2127" spans="22:43" x14ac:dyDescent="0.35">
      <c r="V2127" s="1013"/>
      <c r="W2127" s="138"/>
      <c r="AQ2127" s="138"/>
    </row>
    <row r="2128" spans="22:43" x14ac:dyDescent="0.35">
      <c r="V2128" s="1013"/>
      <c r="W2128" s="138"/>
      <c r="AQ2128" s="138"/>
    </row>
    <row r="2129" spans="22:43" x14ac:dyDescent="0.35">
      <c r="V2129" s="1013"/>
      <c r="W2129" s="138"/>
      <c r="AQ2129" s="138"/>
    </row>
    <row r="2130" spans="22:43" x14ac:dyDescent="0.35">
      <c r="V2130" s="1013"/>
      <c r="W2130" s="138"/>
      <c r="AQ2130" s="138"/>
    </row>
    <row r="2131" spans="22:43" x14ac:dyDescent="0.35">
      <c r="V2131" s="1013"/>
      <c r="W2131" s="138"/>
      <c r="AQ2131" s="138"/>
    </row>
    <row r="2132" spans="22:43" x14ac:dyDescent="0.35">
      <c r="V2132" s="1013"/>
      <c r="W2132" s="138"/>
      <c r="AQ2132" s="138"/>
    </row>
    <row r="2133" spans="22:43" x14ac:dyDescent="0.35">
      <c r="V2133" s="1013"/>
      <c r="W2133" s="138"/>
      <c r="AQ2133" s="138"/>
    </row>
    <row r="2134" spans="22:43" x14ac:dyDescent="0.35">
      <c r="V2134" s="1013"/>
      <c r="W2134" s="138"/>
      <c r="AQ2134" s="138"/>
    </row>
    <row r="2135" spans="22:43" x14ac:dyDescent="0.35">
      <c r="V2135" s="1013"/>
      <c r="W2135" s="138"/>
      <c r="AQ2135" s="138"/>
    </row>
    <row r="2136" spans="22:43" x14ac:dyDescent="0.35">
      <c r="V2136" s="1013"/>
      <c r="W2136" s="138"/>
      <c r="AQ2136" s="138"/>
    </row>
    <row r="2137" spans="22:43" x14ac:dyDescent="0.35">
      <c r="V2137" s="1013"/>
      <c r="W2137" s="138"/>
      <c r="AQ2137" s="138"/>
    </row>
    <row r="2138" spans="22:43" x14ac:dyDescent="0.35">
      <c r="V2138" s="1013"/>
      <c r="W2138" s="138"/>
      <c r="AQ2138" s="138"/>
    </row>
    <row r="2139" spans="22:43" x14ac:dyDescent="0.35">
      <c r="V2139" s="1013"/>
      <c r="W2139" s="138"/>
      <c r="AQ2139" s="138"/>
    </row>
    <row r="2140" spans="22:43" x14ac:dyDescent="0.35">
      <c r="V2140" s="1013"/>
      <c r="W2140" s="138"/>
      <c r="AQ2140" s="138"/>
    </row>
    <row r="2141" spans="22:43" x14ac:dyDescent="0.35">
      <c r="V2141" s="1013"/>
      <c r="W2141" s="138"/>
      <c r="AQ2141" s="138"/>
    </row>
    <row r="2142" spans="22:43" x14ac:dyDescent="0.35">
      <c r="V2142" s="1013"/>
      <c r="W2142" s="138"/>
      <c r="AQ2142" s="138"/>
    </row>
    <row r="2143" spans="22:43" x14ac:dyDescent="0.35">
      <c r="V2143" s="1013"/>
      <c r="W2143" s="138"/>
      <c r="AQ2143" s="138"/>
    </row>
    <row r="2144" spans="22:43" x14ac:dyDescent="0.35">
      <c r="V2144" s="1013"/>
      <c r="W2144" s="138"/>
      <c r="AQ2144" s="138"/>
    </row>
    <row r="2145" spans="22:43" x14ac:dyDescent="0.35">
      <c r="V2145" s="1013"/>
      <c r="W2145" s="138"/>
      <c r="AQ2145" s="138"/>
    </row>
    <row r="2146" spans="22:43" x14ac:dyDescent="0.35">
      <c r="V2146" s="1013"/>
      <c r="W2146" s="138"/>
      <c r="AQ2146" s="138"/>
    </row>
    <row r="2147" spans="22:43" x14ac:dyDescent="0.35">
      <c r="V2147" s="1013"/>
      <c r="W2147" s="138"/>
      <c r="AQ2147" s="138"/>
    </row>
    <row r="2148" spans="22:43" x14ac:dyDescent="0.35">
      <c r="V2148" s="1013"/>
      <c r="W2148" s="138"/>
      <c r="AQ2148" s="138"/>
    </row>
    <row r="2149" spans="22:43" x14ac:dyDescent="0.35">
      <c r="V2149" s="1013"/>
      <c r="W2149" s="138"/>
      <c r="AQ2149" s="138"/>
    </row>
    <row r="2150" spans="22:43" x14ac:dyDescent="0.35">
      <c r="V2150" s="1013"/>
      <c r="W2150" s="138"/>
      <c r="AQ2150" s="138"/>
    </row>
    <row r="2151" spans="22:43" x14ac:dyDescent="0.35">
      <c r="V2151" s="1013"/>
      <c r="W2151" s="138"/>
      <c r="AQ2151" s="138"/>
    </row>
    <row r="2152" spans="22:43" x14ac:dyDescent="0.35">
      <c r="V2152" s="1013"/>
      <c r="W2152" s="138"/>
      <c r="AQ2152" s="138"/>
    </row>
    <row r="2153" spans="22:43" x14ac:dyDescent="0.35">
      <c r="V2153" s="1013"/>
      <c r="W2153" s="138"/>
      <c r="AQ2153" s="138"/>
    </row>
    <row r="2154" spans="22:43" x14ac:dyDescent="0.35">
      <c r="V2154" s="1013"/>
      <c r="W2154" s="138"/>
      <c r="AQ2154" s="138"/>
    </row>
    <row r="2155" spans="22:43" x14ac:dyDescent="0.35">
      <c r="V2155" s="1013"/>
      <c r="W2155" s="138"/>
      <c r="AQ2155" s="138"/>
    </row>
    <row r="2156" spans="22:43" x14ac:dyDescent="0.35">
      <c r="V2156" s="1013"/>
      <c r="W2156" s="138"/>
      <c r="AQ2156" s="138"/>
    </row>
    <row r="2157" spans="22:43" x14ac:dyDescent="0.35">
      <c r="V2157" s="1013"/>
      <c r="W2157" s="138"/>
      <c r="AQ2157" s="138"/>
    </row>
    <row r="2158" spans="22:43" x14ac:dyDescent="0.35">
      <c r="V2158" s="1013"/>
      <c r="W2158" s="138"/>
      <c r="AQ2158" s="138"/>
    </row>
    <row r="2159" spans="22:43" x14ac:dyDescent="0.35">
      <c r="V2159" s="1013"/>
      <c r="W2159" s="138"/>
      <c r="AQ2159" s="138"/>
    </row>
    <row r="2160" spans="22:43" x14ac:dyDescent="0.35">
      <c r="V2160" s="1013"/>
      <c r="W2160" s="138"/>
      <c r="AQ2160" s="138"/>
    </row>
    <row r="2161" spans="22:43" x14ac:dyDescent="0.35">
      <c r="V2161" s="1013"/>
      <c r="W2161" s="138"/>
      <c r="AQ2161" s="138"/>
    </row>
    <row r="2162" spans="22:43" x14ac:dyDescent="0.35">
      <c r="V2162" s="1013"/>
      <c r="W2162" s="138"/>
      <c r="AQ2162" s="138"/>
    </row>
    <row r="2163" spans="22:43" x14ac:dyDescent="0.35">
      <c r="V2163" s="1013"/>
      <c r="W2163" s="138"/>
      <c r="AQ2163" s="138"/>
    </row>
    <row r="2164" spans="22:43" x14ac:dyDescent="0.35">
      <c r="V2164" s="1013"/>
      <c r="W2164" s="138"/>
      <c r="AQ2164" s="138"/>
    </row>
    <row r="2165" spans="22:43" x14ac:dyDescent="0.35">
      <c r="V2165" s="1013"/>
      <c r="W2165" s="138"/>
      <c r="AQ2165" s="138"/>
    </row>
    <row r="2166" spans="22:43" x14ac:dyDescent="0.35">
      <c r="V2166" s="1013"/>
      <c r="W2166" s="138"/>
      <c r="AQ2166" s="138"/>
    </row>
    <row r="2167" spans="22:43" x14ac:dyDescent="0.35">
      <c r="V2167" s="1013"/>
      <c r="W2167" s="138"/>
      <c r="AQ2167" s="138"/>
    </row>
    <row r="2168" spans="22:43" x14ac:dyDescent="0.35">
      <c r="V2168" s="1013"/>
      <c r="W2168" s="138"/>
      <c r="AQ2168" s="138"/>
    </row>
    <row r="2169" spans="22:43" x14ac:dyDescent="0.35">
      <c r="V2169" s="1013"/>
      <c r="W2169" s="138"/>
      <c r="AQ2169" s="138"/>
    </row>
    <row r="2170" spans="22:43" x14ac:dyDescent="0.35">
      <c r="V2170" s="1013"/>
      <c r="W2170" s="138"/>
      <c r="AQ2170" s="138"/>
    </row>
    <row r="2171" spans="22:43" x14ac:dyDescent="0.35">
      <c r="V2171" s="1013"/>
      <c r="W2171" s="138"/>
      <c r="AQ2171" s="138"/>
    </row>
    <row r="2172" spans="22:43" x14ac:dyDescent="0.35">
      <c r="V2172" s="1013"/>
      <c r="W2172" s="138"/>
      <c r="AQ2172" s="138"/>
    </row>
    <row r="2173" spans="22:43" x14ac:dyDescent="0.35">
      <c r="V2173" s="1013"/>
      <c r="W2173" s="138"/>
      <c r="AQ2173" s="138"/>
    </row>
    <row r="2174" spans="22:43" x14ac:dyDescent="0.35">
      <c r="V2174" s="1013"/>
      <c r="W2174" s="138"/>
      <c r="AQ2174" s="138"/>
    </row>
    <row r="2175" spans="22:43" x14ac:dyDescent="0.35">
      <c r="V2175" s="1013"/>
      <c r="W2175" s="138"/>
      <c r="AQ2175" s="138"/>
    </row>
    <row r="2176" spans="22:43" x14ac:dyDescent="0.35">
      <c r="V2176" s="1013"/>
      <c r="W2176" s="138"/>
      <c r="AQ2176" s="138"/>
    </row>
    <row r="2177" spans="22:43" x14ac:dyDescent="0.35">
      <c r="V2177" s="1013"/>
      <c r="W2177" s="138"/>
      <c r="AQ2177" s="138"/>
    </row>
    <row r="2178" spans="22:43" x14ac:dyDescent="0.35">
      <c r="V2178" s="1013"/>
      <c r="W2178" s="138"/>
      <c r="AQ2178" s="138"/>
    </row>
    <row r="2179" spans="22:43" x14ac:dyDescent="0.35">
      <c r="V2179" s="1013"/>
      <c r="W2179" s="138"/>
      <c r="AQ2179" s="138"/>
    </row>
    <row r="2180" spans="22:43" x14ac:dyDescent="0.35">
      <c r="V2180" s="1013"/>
      <c r="W2180" s="138"/>
      <c r="AQ2180" s="138"/>
    </row>
    <row r="2181" spans="22:43" x14ac:dyDescent="0.35">
      <c r="V2181" s="1013"/>
      <c r="W2181" s="138"/>
      <c r="AQ2181" s="138"/>
    </row>
    <row r="2182" spans="22:43" x14ac:dyDescent="0.35">
      <c r="V2182" s="1013"/>
      <c r="W2182" s="138"/>
      <c r="AQ2182" s="138"/>
    </row>
    <row r="2183" spans="22:43" x14ac:dyDescent="0.35">
      <c r="V2183" s="1013"/>
      <c r="W2183" s="138"/>
      <c r="AQ2183" s="138"/>
    </row>
    <row r="2184" spans="22:43" x14ac:dyDescent="0.35">
      <c r="V2184" s="1013"/>
      <c r="W2184" s="138"/>
      <c r="AQ2184" s="138"/>
    </row>
    <row r="2185" spans="22:43" x14ac:dyDescent="0.35">
      <c r="V2185" s="1013"/>
      <c r="W2185" s="138"/>
      <c r="AQ2185" s="138"/>
    </row>
    <row r="2186" spans="22:43" x14ac:dyDescent="0.35">
      <c r="V2186" s="1013"/>
      <c r="W2186" s="138"/>
      <c r="AQ2186" s="138"/>
    </row>
    <row r="2187" spans="22:43" x14ac:dyDescent="0.35">
      <c r="V2187" s="1013"/>
      <c r="W2187" s="138"/>
      <c r="AQ2187" s="138"/>
    </row>
    <row r="2188" spans="22:43" x14ac:dyDescent="0.35">
      <c r="V2188" s="1013"/>
      <c r="W2188" s="138"/>
      <c r="AQ2188" s="138"/>
    </row>
    <row r="2189" spans="22:43" x14ac:dyDescent="0.35">
      <c r="V2189" s="1013"/>
      <c r="W2189" s="138"/>
      <c r="AQ2189" s="138"/>
    </row>
    <row r="2190" spans="22:43" x14ac:dyDescent="0.35">
      <c r="V2190" s="1013"/>
      <c r="W2190" s="138"/>
      <c r="AQ2190" s="138"/>
    </row>
    <row r="2191" spans="22:43" x14ac:dyDescent="0.35">
      <c r="V2191" s="1013"/>
      <c r="W2191" s="138"/>
      <c r="AQ2191" s="138"/>
    </row>
    <row r="2192" spans="22:43" x14ac:dyDescent="0.35">
      <c r="V2192" s="1013"/>
      <c r="W2192" s="138"/>
      <c r="AQ2192" s="138"/>
    </row>
    <row r="2193" spans="22:43" x14ac:dyDescent="0.35">
      <c r="V2193" s="1013"/>
      <c r="W2193" s="138"/>
      <c r="AQ2193" s="138"/>
    </row>
    <row r="2194" spans="22:43" x14ac:dyDescent="0.35">
      <c r="V2194" s="1013"/>
      <c r="W2194" s="138"/>
      <c r="AQ2194" s="138"/>
    </row>
    <row r="2195" spans="22:43" x14ac:dyDescent="0.35">
      <c r="V2195" s="1013"/>
      <c r="W2195" s="138"/>
      <c r="AQ2195" s="138"/>
    </row>
    <row r="2196" spans="22:43" x14ac:dyDescent="0.35">
      <c r="V2196" s="1013"/>
      <c r="W2196" s="138"/>
      <c r="AQ2196" s="138"/>
    </row>
    <row r="2197" spans="22:43" x14ac:dyDescent="0.35">
      <c r="V2197" s="1013"/>
      <c r="W2197" s="138"/>
      <c r="AQ2197" s="138"/>
    </row>
    <row r="2198" spans="22:43" x14ac:dyDescent="0.35">
      <c r="V2198" s="1013"/>
      <c r="W2198" s="138"/>
      <c r="AQ2198" s="138"/>
    </row>
    <row r="2199" spans="22:43" x14ac:dyDescent="0.35">
      <c r="V2199" s="1013"/>
      <c r="W2199" s="138"/>
      <c r="AQ2199" s="138"/>
    </row>
    <row r="2200" spans="22:43" x14ac:dyDescent="0.35">
      <c r="V2200" s="1013"/>
      <c r="W2200" s="138"/>
      <c r="AQ2200" s="138"/>
    </row>
    <row r="2201" spans="22:43" x14ac:dyDescent="0.35">
      <c r="V2201" s="1013"/>
      <c r="W2201" s="138"/>
      <c r="AQ2201" s="138"/>
    </row>
    <row r="2202" spans="22:43" x14ac:dyDescent="0.35">
      <c r="V2202" s="1013"/>
      <c r="W2202" s="138"/>
      <c r="AQ2202" s="138"/>
    </row>
    <row r="2203" spans="22:43" x14ac:dyDescent="0.35">
      <c r="V2203" s="1013"/>
      <c r="W2203" s="138"/>
      <c r="AQ2203" s="138"/>
    </row>
    <row r="2204" spans="22:43" x14ac:dyDescent="0.35">
      <c r="V2204" s="1013"/>
      <c r="W2204" s="138"/>
      <c r="AQ2204" s="138"/>
    </row>
    <row r="2205" spans="22:43" x14ac:dyDescent="0.35">
      <c r="V2205" s="1013"/>
      <c r="W2205" s="138"/>
      <c r="AQ2205" s="138"/>
    </row>
    <row r="2206" spans="22:43" x14ac:dyDescent="0.35">
      <c r="V2206" s="1013"/>
      <c r="W2206" s="138"/>
      <c r="AQ2206" s="138"/>
    </row>
    <row r="2207" spans="22:43" x14ac:dyDescent="0.35">
      <c r="V2207" s="1013"/>
      <c r="W2207" s="138"/>
      <c r="AQ2207" s="138"/>
    </row>
    <row r="2208" spans="22:43" x14ac:dyDescent="0.35">
      <c r="V2208" s="1013"/>
      <c r="W2208" s="138"/>
      <c r="AQ2208" s="138"/>
    </row>
    <row r="2209" spans="22:43" x14ac:dyDescent="0.35">
      <c r="V2209" s="1013"/>
      <c r="W2209" s="138"/>
      <c r="AQ2209" s="138"/>
    </row>
    <row r="2210" spans="22:43" x14ac:dyDescent="0.35">
      <c r="V2210" s="1013"/>
      <c r="W2210" s="138"/>
      <c r="AQ2210" s="138"/>
    </row>
    <row r="2211" spans="22:43" x14ac:dyDescent="0.35">
      <c r="V2211" s="1013"/>
      <c r="W2211" s="138"/>
      <c r="AQ2211" s="138"/>
    </row>
    <row r="2212" spans="22:43" x14ac:dyDescent="0.35">
      <c r="V2212" s="1013"/>
      <c r="W2212" s="138"/>
      <c r="AQ2212" s="138"/>
    </row>
    <row r="2213" spans="22:43" x14ac:dyDescent="0.35">
      <c r="V2213" s="1013"/>
      <c r="W2213" s="138"/>
      <c r="AQ2213" s="138"/>
    </row>
    <row r="2214" spans="22:43" x14ac:dyDescent="0.35">
      <c r="V2214" s="1013"/>
      <c r="W2214" s="138"/>
      <c r="AQ2214" s="138"/>
    </row>
    <row r="2215" spans="22:43" x14ac:dyDescent="0.35">
      <c r="V2215" s="1013"/>
      <c r="W2215" s="138"/>
      <c r="AQ2215" s="138"/>
    </row>
    <row r="2216" spans="22:43" x14ac:dyDescent="0.35">
      <c r="V2216" s="1013"/>
      <c r="W2216" s="138"/>
      <c r="AQ2216" s="138"/>
    </row>
    <row r="2217" spans="22:43" x14ac:dyDescent="0.35">
      <c r="V2217" s="1013"/>
      <c r="W2217" s="138"/>
      <c r="AQ2217" s="138"/>
    </row>
    <row r="2218" spans="22:43" x14ac:dyDescent="0.35">
      <c r="V2218" s="1013"/>
      <c r="W2218" s="138"/>
      <c r="AQ2218" s="138"/>
    </row>
    <row r="2219" spans="22:43" x14ac:dyDescent="0.35">
      <c r="V2219" s="1013"/>
      <c r="W2219" s="138"/>
      <c r="AQ2219" s="138"/>
    </row>
    <row r="2220" spans="22:43" x14ac:dyDescent="0.35">
      <c r="V2220" s="1013"/>
      <c r="W2220" s="138"/>
      <c r="AQ2220" s="138"/>
    </row>
    <row r="2221" spans="22:43" x14ac:dyDescent="0.35">
      <c r="V2221" s="1013"/>
      <c r="W2221" s="138"/>
      <c r="AQ2221" s="138"/>
    </row>
    <row r="2222" spans="22:43" x14ac:dyDescent="0.35">
      <c r="V2222" s="1013"/>
      <c r="W2222" s="138"/>
      <c r="AQ2222" s="138"/>
    </row>
    <row r="2223" spans="22:43" x14ac:dyDescent="0.35">
      <c r="V2223" s="1013"/>
      <c r="W2223" s="138"/>
      <c r="AQ2223" s="138"/>
    </row>
    <row r="2224" spans="22:43" x14ac:dyDescent="0.35">
      <c r="V2224" s="1013"/>
      <c r="W2224" s="138"/>
      <c r="AQ2224" s="138"/>
    </row>
    <row r="2225" spans="22:43" x14ac:dyDescent="0.35">
      <c r="V2225" s="1013"/>
      <c r="W2225" s="138"/>
      <c r="AQ2225" s="138"/>
    </row>
    <row r="2226" spans="22:43" x14ac:dyDescent="0.35">
      <c r="V2226" s="1013"/>
      <c r="W2226" s="138"/>
      <c r="AQ2226" s="138"/>
    </row>
    <row r="2227" spans="22:43" x14ac:dyDescent="0.35">
      <c r="V2227" s="1013"/>
      <c r="W2227" s="138"/>
      <c r="AQ2227" s="138"/>
    </row>
    <row r="2228" spans="22:43" x14ac:dyDescent="0.35">
      <c r="V2228" s="1013"/>
      <c r="W2228" s="138"/>
      <c r="AQ2228" s="138"/>
    </row>
    <row r="2229" spans="22:43" x14ac:dyDescent="0.35">
      <c r="V2229" s="1013"/>
      <c r="W2229" s="138"/>
      <c r="AQ2229" s="138"/>
    </row>
    <row r="2230" spans="22:43" x14ac:dyDescent="0.35">
      <c r="V2230" s="1013"/>
      <c r="W2230" s="138"/>
      <c r="AQ2230" s="138"/>
    </row>
    <row r="2231" spans="22:43" x14ac:dyDescent="0.35">
      <c r="V2231" s="1013"/>
      <c r="W2231" s="138"/>
      <c r="AQ2231" s="138"/>
    </row>
    <row r="2232" spans="22:43" x14ac:dyDescent="0.35">
      <c r="V2232" s="1013"/>
      <c r="W2232" s="138"/>
      <c r="AQ2232" s="138"/>
    </row>
    <row r="2233" spans="22:43" x14ac:dyDescent="0.35">
      <c r="V2233" s="1013"/>
      <c r="W2233" s="138"/>
      <c r="AQ2233" s="138"/>
    </row>
    <row r="2234" spans="22:43" x14ac:dyDescent="0.35">
      <c r="V2234" s="1013"/>
      <c r="W2234" s="138"/>
      <c r="AQ2234" s="138"/>
    </row>
    <row r="2235" spans="22:43" x14ac:dyDescent="0.35">
      <c r="V2235" s="1013"/>
      <c r="W2235" s="138"/>
      <c r="AQ2235" s="138"/>
    </row>
    <row r="2236" spans="22:43" x14ac:dyDescent="0.35">
      <c r="V2236" s="1013"/>
      <c r="W2236" s="138"/>
      <c r="AQ2236" s="138"/>
    </row>
    <row r="2237" spans="22:43" x14ac:dyDescent="0.35">
      <c r="V2237" s="1013"/>
      <c r="W2237" s="138"/>
      <c r="AQ2237" s="138"/>
    </row>
    <row r="2238" spans="22:43" x14ac:dyDescent="0.35">
      <c r="V2238" s="1013"/>
      <c r="W2238" s="138"/>
      <c r="AQ2238" s="138"/>
    </row>
    <row r="2239" spans="22:43" x14ac:dyDescent="0.35">
      <c r="V2239" s="1013"/>
      <c r="W2239" s="138"/>
      <c r="AQ2239" s="138"/>
    </row>
    <row r="2240" spans="22:43" x14ac:dyDescent="0.35">
      <c r="V2240" s="1013"/>
      <c r="W2240" s="138"/>
      <c r="AQ2240" s="138"/>
    </row>
    <row r="2241" spans="22:43" x14ac:dyDescent="0.35">
      <c r="V2241" s="1013"/>
      <c r="W2241" s="138"/>
      <c r="AQ2241" s="138"/>
    </row>
    <row r="2242" spans="22:43" x14ac:dyDescent="0.35">
      <c r="V2242" s="1013"/>
      <c r="W2242" s="138"/>
      <c r="AQ2242" s="138"/>
    </row>
    <row r="2243" spans="22:43" x14ac:dyDescent="0.35">
      <c r="V2243" s="1013"/>
      <c r="W2243" s="138"/>
      <c r="AQ2243" s="138"/>
    </row>
    <row r="2244" spans="22:43" x14ac:dyDescent="0.35">
      <c r="V2244" s="1013"/>
      <c r="W2244" s="138"/>
      <c r="AQ2244" s="138"/>
    </row>
    <row r="2245" spans="22:43" x14ac:dyDescent="0.35">
      <c r="V2245" s="1013"/>
      <c r="W2245" s="138"/>
      <c r="AQ2245" s="138"/>
    </row>
    <row r="2246" spans="22:43" x14ac:dyDescent="0.35">
      <c r="V2246" s="1013"/>
      <c r="W2246" s="138"/>
      <c r="AQ2246" s="138"/>
    </row>
    <row r="2247" spans="22:43" x14ac:dyDescent="0.35">
      <c r="V2247" s="1013"/>
      <c r="W2247" s="138"/>
      <c r="AQ2247" s="138"/>
    </row>
    <row r="2248" spans="22:43" x14ac:dyDescent="0.35">
      <c r="V2248" s="1013"/>
      <c r="W2248" s="138"/>
      <c r="AQ2248" s="138"/>
    </row>
    <row r="2249" spans="22:43" x14ac:dyDescent="0.35">
      <c r="V2249" s="1013"/>
      <c r="W2249" s="138"/>
      <c r="AQ2249" s="138"/>
    </row>
    <row r="2250" spans="22:43" x14ac:dyDescent="0.35">
      <c r="V2250" s="1013"/>
      <c r="W2250" s="138"/>
      <c r="AQ2250" s="138"/>
    </row>
    <row r="2251" spans="22:43" x14ac:dyDescent="0.35">
      <c r="V2251" s="1013"/>
      <c r="W2251" s="138"/>
      <c r="AQ2251" s="138"/>
    </row>
    <row r="2252" spans="22:43" x14ac:dyDescent="0.35">
      <c r="V2252" s="1013"/>
      <c r="W2252" s="138"/>
      <c r="AQ2252" s="138"/>
    </row>
    <row r="2253" spans="22:43" x14ac:dyDescent="0.35">
      <c r="V2253" s="1013"/>
      <c r="W2253" s="138"/>
      <c r="AQ2253" s="138"/>
    </row>
    <row r="2254" spans="22:43" x14ac:dyDescent="0.35">
      <c r="V2254" s="1013"/>
      <c r="W2254" s="138"/>
      <c r="AQ2254" s="138"/>
    </row>
    <row r="2255" spans="22:43" x14ac:dyDescent="0.35">
      <c r="V2255" s="1013"/>
      <c r="W2255" s="138"/>
      <c r="AQ2255" s="138"/>
    </row>
    <row r="2256" spans="22:43" x14ac:dyDescent="0.35">
      <c r="V2256" s="1013"/>
      <c r="W2256" s="138"/>
      <c r="AQ2256" s="138"/>
    </row>
    <row r="2257" spans="22:43" x14ac:dyDescent="0.35">
      <c r="V2257" s="1013"/>
      <c r="W2257" s="138"/>
      <c r="AQ2257" s="138"/>
    </row>
    <row r="2258" spans="22:43" x14ac:dyDescent="0.35">
      <c r="V2258" s="1013"/>
      <c r="W2258" s="138"/>
      <c r="AQ2258" s="138"/>
    </row>
    <row r="2259" spans="22:43" x14ac:dyDescent="0.35">
      <c r="V2259" s="1013"/>
      <c r="W2259" s="138"/>
      <c r="AQ2259" s="138"/>
    </row>
    <row r="2260" spans="22:43" x14ac:dyDescent="0.35">
      <c r="V2260" s="1013"/>
      <c r="W2260" s="138"/>
      <c r="AQ2260" s="138"/>
    </row>
    <row r="2261" spans="22:43" x14ac:dyDescent="0.35">
      <c r="V2261" s="1013"/>
      <c r="W2261" s="138"/>
      <c r="AQ2261" s="138"/>
    </row>
    <row r="2262" spans="22:43" x14ac:dyDescent="0.35">
      <c r="V2262" s="1013"/>
      <c r="W2262" s="138"/>
      <c r="AQ2262" s="138"/>
    </row>
    <row r="2263" spans="22:43" x14ac:dyDescent="0.35">
      <c r="V2263" s="1013"/>
      <c r="W2263" s="138"/>
      <c r="AQ2263" s="138"/>
    </row>
    <row r="2264" spans="22:43" x14ac:dyDescent="0.35">
      <c r="V2264" s="1013"/>
      <c r="W2264" s="138"/>
      <c r="AQ2264" s="138"/>
    </row>
    <row r="2265" spans="22:43" x14ac:dyDescent="0.35">
      <c r="V2265" s="1013"/>
      <c r="W2265" s="138"/>
      <c r="AQ2265" s="138"/>
    </row>
    <row r="2266" spans="22:43" x14ac:dyDescent="0.35">
      <c r="V2266" s="1013"/>
      <c r="W2266" s="138"/>
      <c r="AQ2266" s="138"/>
    </row>
    <row r="2267" spans="22:43" x14ac:dyDescent="0.35">
      <c r="V2267" s="1013"/>
      <c r="W2267" s="138"/>
      <c r="AQ2267" s="138"/>
    </row>
    <row r="2268" spans="22:43" x14ac:dyDescent="0.35">
      <c r="V2268" s="1013"/>
      <c r="W2268" s="138"/>
      <c r="AQ2268" s="138"/>
    </row>
    <row r="2269" spans="22:43" x14ac:dyDescent="0.35">
      <c r="V2269" s="1013"/>
      <c r="W2269" s="138"/>
      <c r="AQ2269" s="138"/>
    </row>
    <row r="2270" spans="22:43" x14ac:dyDescent="0.35">
      <c r="V2270" s="1013"/>
      <c r="W2270" s="138"/>
      <c r="AQ2270" s="138"/>
    </row>
    <row r="2271" spans="22:43" x14ac:dyDescent="0.35">
      <c r="V2271" s="1013"/>
      <c r="W2271" s="138"/>
      <c r="AQ2271" s="138"/>
    </row>
    <row r="2272" spans="22:43" x14ac:dyDescent="0.35">
      <c r="V2272" s="1013"/>
      <c r="W2272" s="138"/>
      <c r="AQ2272" s="138"/>
    </row>
    <row r="2273" spans="22:43" x14ac:dyDescent="0.35">
      <c r="V2273" s="1013"/>
      <c r="W2273" s="138"/>
      <c r="AQ2273" s="138"/>
    </row>
    <row r="2274" spans="22:43" x14ac:dyDescent="0.35">
      <c r="V2274" s="1013"/>
      <c r="W2274" s="138"/>
      <c r="AQ2274" s="138"/>
    </row>
    <row r="2275" spans="22:43" x14ac:dyDescent="0.35">
      <c r="V2275" s="1013"/>
      <c r="W2275" s="138"/>
      <c r="AQ2275" s="138"/>
    </row>
    <row r="2276" spans="22:43" x14ac:dyDescent="0.35">
      <c r="V2276" s="1013"/>
      <c r="W2276" s="138"/>
      <c r="AQ2276" s="138"/>
    </row>
    <row r="2277" spans="22:43" x14ac:dyDescent="0.35">
      <c r="V2277" s="1013"/>
      <c r="W2277" s="138"/>
      <c r="AQ2277" s="138"/>
    </row>
    <row r="2278" spans="22:43" x14ac:dyDescent="0.35">
      <c r="V2278" s="1013"/>
      <c r="W2278" s="138"/>
      <c r="AQ2278" s="138"/>
    </row>
    <row r="2279" spans="22:43" x14ac:dyDescent="0.35">
      <c r="V2279" s="1013"/>
      <c r="W2279" s="138"/>
      <c r="AQ2279" s="138"/>
    </row>
    <row r="2280" spans="22:43" x14ac:dyDescent="0.35">
      <c r="V2280" s="1013"/>
      <c r="W2280" s="138"/>
      <c r="AQ2280" s="138"/>
    </row>
    <row r="2281" spans="22:43" x14ac:dyDescent="0.35">
      <c r="V2281" s="1013"/>
      <c r="W2281" s="138"/>
      <c r="AQ2281" s="138"/>
    </row>
    <row r="2282" spans="22:43" x14ac:dyDescent="0.35">
      <c r="V2282" s="1013"/>
      <c r="W2282" s="138"/>
      <c r="AQ2282" s="138"/>
    </row>
    <row r="2283" spans="22:43" x14ac:dyDescent="0.35">
      <c r="V2283" s="1013"/>
      <c r="W2283" s="138"/>
      <c r="AQ2283" s="138"/>
    </row>
    <row r="2284" spans="22:43" x14ac:dyDescent="0.35">
      <c r="V2284" s="1013"/>
      <c r="W2284" s="138"/>
      <c r="AQ2284" s="138"/>
    </row>
    <row r="2285" spans="22:43" x14ac:dyDescent="0.35">
      <c r="V2285" s="1013"/>
      <c r="W2285" s="138"/>
      <c r="AQ2285" s="138"/>
    </row>
    <row r="2286" spans="22:43" x14ac:dyDescent="0.35">
      <c r="V2286" s="1013"/>
      <c r="W2286" s="138"/>
      <c r="AQ2286" s="138"/>
    </row>
    <row r="2287" spans="22:43" x14ac:dyDescent="0.35">
      <c r="V2287" s="1013"/>
      <c r="W2287" s="138"/>
      <c r="AQ2287" s="138"/>
    </row>
    <row r="2288" spans="22:43" x14ac:dyDescent="0.35">
      <c r="V2288" s="1013"/>
      <c r="W2288" s="138"/>
      <c r="AQ2288" s="138"/>
    </row>
    <row r="2289" spans="22:43" x14ac:dyDescent="0.35">
      <c r="V2289" s="1013"/>
      <c r="W2289" s="138"/>
      <c r="AQ2289" s="138"/>
    </row>
    <row r="2290" spans="22:43" x14ac:dyDescent="0.35">
      <c r="V2290" s="1013"/>
      <c r="W2290" s="138"/>
      <c r="AQ2290" s="138"/>
    </row>
    <row r="2291" spans="22:43" x14ac:dyDescent="0.35">
      <c r="V2291" s="1013"/>
      <c r="W2291" s="138"/>
      <c r="AQ2291" s="138"/>
    </row>
    <row r="2292" spans="22:43" x14ac:dyDescent="0.35">
      <c r="V2292" s="1013"/>
      <c r="W2292" s="138"/>
      <c r="AQ2292" s="138"/>
    </row>
    <row r="2293" spans="22:43" x14ac:dyDescent="0.35">
      <c r="V2293" s="1013"/>
      <c r="W2293" s="138"/>
      <c r="AQ2293" s="138"/>
    </row>
    <row r="2294" spans="22:43" x14ac:dyDescent="0.35">
      <c r="V2294" s="1013"/>
      <c r="W2294" s="138"/>
      <c r="AQ2294" s="138"/>
    </row>
    <row r="2295" spans="22:43" x14ac:dyDescent="0.35">
      <c r="V2295" s="1013"/>
      <c r="W2295" s="138"/>
      <c r="AQ2295" s="138"/>
    </row>
    <row r="2296" spans="22:43" x14ac:dyDescent="0.35">
      <c r="V2296" s="1013"/>
      <c r="W2296" s="138"/>
      <c r="AQ2296" s="138"/>
    </row>
    <row r="2297" spans="22:43" x14ac:dyDescent="0.35">
      <c r="V2297" s="1013"/>
      <c r="W2297" s="138"/>
      <c r="AQ2297" s="138"/>
    </row>
    <row r="2298" spans="22:43" x14ac:dyDescent="0.35">
      <c r="V2298" s="1013"/>
      <c r="W2298" s="138"/>
      <c r="AQ2298" s="138"/>
    </row>
    <row r="2299" spans="22:43" x14ac:dyDescent="0.35">
      <c r="V2299" s="1013"/>
      <c r="W2299" s="138"/>
      <c r="AQ2299" s="138"/>
    </row>
    <row r="2300" spans="22:43" x14ac:dyDescent="0.35">
      <c r="V2300" s="1013"/>
      <c r="W2300" s="138"/>
      <c r="AQ2300" s="138"/>
    </row>
    <row r="2301" spans="22:43" x14ac:dyDescent="0.35">
      <c r="V2301" s="1013"/>
      <c r="W2301" s="138"/>
      <c r="AQ2301" s="138"/>
    </row>
    <row r="2302" spans="22:43" x14ac:dyDescent="0.35">
      <c r="V2302" s="1013"/>
      <c r="W2302" s="138"/>
      <c r="AQ2302" s="138"/>
    </row>
    <row r="2303" spans="22:43" x14ac:dyDescent="0.35">
      <c r="V2303" s="1013"/>
      <c r="W2303" s="138"/>
      <c r="AQ2303" s="138"/>
    </row>
    <row r="2304" spans="22:43" x14ac:dyDescent="0.35">
      <c r="V2304" s="1013"/>
      <c r="W2304" s="138"/>
      <c r="AQ2304" s="138"/>
    </row>
    <row r="2305" spans="22:43" x14ac:dyDescent="0.35">
      <c r="V2305" s="1013"/>
      <c r="W2305" s="138"/>
      <c r="AQ2305" s="138"/>
    </row>
    <row r="2306" spans="22:43" x14ac:dyDescent="0.35">
      <c r="V2306" s="1013"/>
      <c r="W2306" s="138"/>
      <c r="AQ2306" s="138"/>
    </row>
    <row r="2307" spans="22:43" x14ac:dyDescent="0.35">
      <c r="V2307" s="1013"/>
      <c r="W2307" s="138"/>
      <c r="AQ2307" s="138"/>
    </row>
    <row r="2308" spans="22:43" x14ac:dyDescent="0.35">
      <c r="V2308" s="1013"/>
      <c r="W2308" s="138"/>
      <c r="AQ2308" s="138"/>
    </row>
    <row r="2309" spans="22:43" x14ac:dyDescent="0.35">
      <c r="V2309" s="1013"/>
      <c r="W2309" s="138"/>
      <c r="AQ2309" s="138"/>
    </row>
    <row r="2310" spans="22:43" x14ac:dyDescent="0.35">
      <c r="V2310" s="1013"/>
      <c r="W2310" s="138"/>
      <c r="AQ2310" s="138"/>
    </row>
    <row r="2311" spans="22:43" x14ac:dyDescent="0.35">
      <c r="V2311" s="1013"/>
      <c r="W2311" s="138"/>
      <c r="AQ2311" s="138"/>
    </row>
    <row r="2312" spans="22:43" x14ac:dyDescent="0.35">
      <c r="V2312" s="1013"/>
      <c r="W2312" s="138"/>
      <c r="AQ2312" s="138"/>
    </row>
    <row r="2313" spans="22:43" x14ac:dyDescent="0.35">
      <c r="V2313" s="1013"/>
      <c r="W2313" s="138"/>
      <c r="AQ2313" s="138"/>
    </row>
    <row r="2314" spans="22:43" x14ac:dyDescent="0.35">
      <c r="V2314" s="1013"/>
      <c r="W2314" s="138"/>
      <c r="AQ2314" s="138"/>
    </row>
    <row r="2315" spans="22:43" x14ac:dyDescent="0.35">
      <c r="V2315" s="1013"/>
      <c r="W2315" s="138"/>
      <c r="AQ2315" s="138"/>
    </row>
    <row r="2316" spans="22:43" x14ac:dyDescent="0.35">
      <c r="V2316" s="1013"/>
      <c r="W2316" s="138"/>
      <c r="AQ2316" s="138"/>
    </row>
    <row r="2317" spans="22:43" x14ac:dyDescent="0.35">
      <c r="V2317" s="1013"/>
      <c r="W2317" s="138"/>
      <c r="AQ2317" s="138"/>
    </row>
    <row r="2318" spans="22:43" x14ac:dyDescent="0.35">
      <c r="V2318" s="1013"/>
      <c r="W2318" s="138"/>
      <c r="AQ2318" s="138"/>
    </row>
    <row r="2319" spans="22:43" x14ac:dyDescent="0.35">
      <c r="V2319" s="1013"/>
      <c r="W2319" s="138"/>
      <c r="AQ2319" s="138"/>
    </row>
    <row r="2320" spans="22:43" x14ac:dyDescent="0.35">
      <c r="V2320" s="1013"/>
      <c r="W2320" s="138"/>
      <c r="AQ2320" s="138"/>
    </row>
    <row r="2321" spans="22:43" x14ac:dyDescent="0.35">
      <c r="V2321" s="1013"/>
      <c r="W2321" s="138"/>
      <c r="AQ2321" s="138"/>
    </row>
    <row r="2322" spans="22:43" x14ac:dyDescent="0.35">
      <c r="V2322" s="1013"/>
      <c r="W2322" s="138"/>
      <c r="AQ2322" s="138"/>
    </row>
    <row r="2323" spans="22:43" x14ac:dyDescent="0.35">
      <c r="V2323" s="1013"/>
      <c r="W2323" s="138"/>
      <c r="AQ2323" s="138"/>
    </row>
    <row r="2324" spans="22:43" x14ac:dyDescent="0.35">
      <c r="V2324" s="1013"/>
      <c r="W2324" s="138"/>
      <c r="AQ2324" s="138"/>
    </row>
    <row r="2325" spans="22:43" x14ac:dyDescent="0.35">
      <c r="V2325" s="1013"/>
      <c r="W2325" s="138"/>
      <c r="AQ2325" s="138"/>
    </row>
    <row r="2326" spans="22:43" x14ac:dyDescent="0.35">
      <c r="V2326" s="1013"/>
      <c r="W2326" s="138"/>
      <c r="AQ2326" s="138"/>
    </row>
    <row r="2327" spans="22:43" x14ac:dyDescent="0.35">
      <c r="V2327" s="1013"/>
      <c r="W2327" s="138"/>
      <c r="AQ2327" s="138"/>
    </row>
    <row r="2328" spans="22:43" x14ac:dyDescent="0.35">
      <c r="V2328" s="1013"/>
      <c r="W2328" s="138"/>
      <c r="AQ2328" s="138"/>
    </row>
    <row r="2329" spans="22:43" x14ac:dyDescent="0.35">
      <c r="V2329" s="1013"/>
      <c r="W2329" s="138"/>
      <c r="AQ2329" s="138"/>
    </row>
    <row r="2330" spans="22:43" x14ac:dyDescent="0.35">
      <c r="V2330" s="1013"/>
      <c r="W2330" s="138"/>
      <c r="AQ2330" s="138"/>
    </row>
    <row r="2331" spans="22:43" x14ac:dyDescent="0.35">
      <c r="V2331" s="1013"/>
      <c r="W2331" s="138"/>
      <c r="AQ2331" s="138"/>
    </row>
    <row r="2332" spans="22:43" x14ac:dyDescent="0.35">
      <c r="V2332" s="1013"/>
      <c r="W2332" s="138"/>
      <c r="AQ2332" s="138"/>
    </row>
    <row r="2333" spans="22:43" x14ac:dyDescent="0.35">
      <c r="V2333" s="1013"/>
      <c r="W2333" s="138"/>
      <c r="AQ2333" s="138"/>
    </row>
    <row r="2334" spans="22:43" x14ac:dyDescent="0.35">
      <c r="V2334" s="1013"/>
      <c r="W2334" s="138"/>
      <c r="AQ2334" s="138"/>
    </row>
    <row r="2335" spans="22:43" x14ac:dyDescent="0.35">
      <c r="V2335" s="1013"/>
      <c r="W2335" s="138"/>
      <c r="AQ2335" s="138"/>
    </row>
    <row r="2336" spans="22:43" x14ac:dyDescent="0.35">
      <c r="V2336" s="1013"/>
      <c r="W2336" s="138"/>
      <c r="AQ2336" s="138"/>
    </row>
    <row r="2337" spans="22:43" x14ac:dyDescent="0.35">
      <c r="V2337" s="1013"/>
      <c r="W2337" s="138"/>
      <c r="AQ2337" s="138"/>
    </row>
    <row r="2338" spans="22:43" x14ac:dyDescent="0.35">
      <c r="V2338" s="1013"/>
      <c r="W2338" s="138"/>
      <c r="AQ2338" s="138"/>
    </row>
    <row r="2339" spans="22:43" x14ac:dyDescent="0.35">
      <c r="V2339" s="1013"/>
      <c r="W2339" s="138"/>
      <c r="AQ2339" s="138"/>
    </row>
    <row r="2340" spans="22:43" x14ac:dyDescent="0.35">
      <c r="V2340" s="1013"/>
      <c r="W2340" s="138"/>
      <c r="AQ2340" s="138"/>
    </row>
    <row r="2341" spans="22:43" x14ac:dyDescent="0.35">
      <c r="V2341" s="1013"/>
      <c r="W2341" s="138"/>
      <c r="AQ2341" s="138"/>
    </row>
    <row r="2342" spans="22:43" x14ac:dyDescent="0.35">
      <c r="V2342" s="1013"/>
      <c r="W2342" s="138"/>
      <c r="AQ2342" s="138"/>
    </row>
    <row r="2343" spans="22:43" x14ac:dyDescent="0.35">
      <c r="V2343" s="1013"/>
      <c r="W2343" s="138"/>
      <c r="AQ2343" s="138"/>
    </row>
    <row r="2344" spans="22:43" x14ac:dyDescent="0.35">
      <c r="V2344" s="1013"/>
      <c r="W2344" s="138"/>
      <c r="AQ2344" s="138"/>
    </row>
    <row r="2345" spans="22:43" x14ac:dyDescent="0.35">
      <c r="V2345" s="1013"/>
      <c r="W2345" s="138"/>
      <c r="AQ2345" s="138"/>
    </row>
    <row r="2346" spans="22:43" x14ac:dyDescent="0.35">
      <c r="V2346" s="1013"/>
      <c r="W2346" s="138"/>
      <c r="AQ2346" s="138"/>
    </row>
    <row r="2347" spans="22:43" x14ac:dyDescent="0.35">
      <c r="V2347" s="1013"/>
      <c r="W2347" s="138"/>
      <c r="AQ2347" s="138"/>
    </row>
    <row r="2348" spans="22:43" x14ac:dyDescent="0.35">
      <c r="V2348" s="1013"/>
      <c r="W2348" s="138"/>
      <c r="AQ2348" s="138"/>
    </row>
    <row r="2349" spans="22:43" x14ac:dyDescent="0.35">
      <c r="V2349" s="1013"/>
      <c r="W2349" s="138"/>
      <c r="AQ2349" s="138"/>
    </row>
    <row r="2350" spans="22:43" x14ac:dyDescent="0.35">
      <c r="V2350" s="1013"/>
      <c r="W2350" s="138"/>
      <c r="AQ2350" s="138"/>
    </row>
    <row r="2351" spans="22:43" x14ac:dyDescent="0.35">
      <c r="V2351" s="1013"/>
      <c r="W2351" s="138"/>
      <c r="AQ2351" s="138"/>
    </row>
    <row r="2352" spans="22:43" x14ac:dyDescent="0.35">
      <c r="V2352" s="1013"/>
      <c r="W2352" s="138"/>
      <c r="AQ2352" s="138"/>
    </row>
    <row r="2353" spans="22:43" x14ac:dyDescent="0.35">
      <c r="V2353" s="1013"/>
      <c r="W2353" s="138"/>
      <c r="AQ2353" s="138"/>
    </row>
    <row r="2354" spans="22:43" x14ac:dyDescent="0.35">
      <c r="V2354" s="1013"/>
      <c r="W2354" s="138"/>
      <c r="AQ2354" s="138"/>
    </row>
    <row r="2355" spans="22:43" x14ac:dyDescent="0.35">
      <c r="V2355" s="1013"/>
      <c r="W2355" s="138"/>
      <c r="AQ2355" s="138"/>
    </row>
    <row r="2356" spans="22:43" x14ac:dyDescent="0.35">
      <c r="V2356" s="1013"/>
      <c r="W2356" s="138"/>
      <c r="AQ2356" s="138"/>
    </row>
    <row r="2357" spans="22:43" x14ac:dyDescent="0.35">
      <c r="V2357" s="1013"/>
      <c r="W2357" s="138"/>
      <c r="AQ2357" s="138"/>
    </row>
    <row r="2358" spans="22:43" x14ac:dyDescent="0.35">
      <c r="V2358" s="1013"/>
      <c r="W2358" s="138"/>
      <c r="AQ2358" s="138"/>
    </row>
    <row r="2359" spans="22:43" x14ac:dyDescent="0.35">
      <c r="V2359" s="1013"/>
      <c r="W2359" s="138"/>
      <c r="AQ2359" s="138"/>
    </row>
    <row r="2360" spans="22:43" x14ac:dyDescent="0.35">
      <c r="V2360" s="1013"/>
      <c r="W2360" s="138"/>
      <c r="AQ2360" s="138"/>
    </row>
    <row r="2361" spans="22:43" x14ac:dyDescent="0.35">
      <c r="V2361" s="1013"/>
      <c r="W2361" s="138"/>
      <c r="AQ2361" s="138"/>
    </row>
    <row r="2362" spans="22:43" x14ac:dyDescent="0.35">
      <c r="V2362" s="1013"/>
      <c r="W2362" s="138"/>
      <c r="AQ2362" s="138"/>
    </row>
    <row r="2363" spans="22:43" x14ac:dyDescent="0.35">
      <c r="V2363" s="1013"/>
      <c r="W2363" s="138"/>
      <c r="AQ2363" s="138"/>
    </row>
    <row r="2364" spans="22:43" x14ac:dyDescent="0.35">
      <c r="V2364" s="1013"/>
      <c r="W2364" s="138"/>
      <c r="AQ2364" s="138"/>
    </row>
    <row r="2365" spans="22:43" x14ac:dyDescent="0.35">
      <c r="V2365" s="1013"/>
      <c r="W2365" s="138"/>
      <c r="AQ2365" s="138"/>
    </row>
    <row r="2366" spans="22:43" x14ac:dyDescent="0.35">
      <c r="V2366" s="1013"/>
      <c r="W2366" s="138"/>
      <c r="AQ2366" s="138"/>
    </row>
    <row r="2367" spans="22:43" x14ac:dyDescent="0.35">
      <c r="V2367" s="1013"/>
      <c r="W2367" s="138"/>
      <c r="AQ2367" s="138"/>
    </row>
    <row r="2368" spans="22:43" x14ac:dyDescent="0.35">
      <c r="V2368" s="1013"/>
      <c r="W2368" s="138"/>
      <c r="AQ2368" s="138"/>
    </row>
    <row r="2369" spans="22:43" x14ac:dyDescent="0.35">
      <c r="V2369" s="1013"/>
      <c r="W2369" s="138"/>
      <c r="AQ2369" s="138"/>
    </row>
    <row r="2370" spans="22:43" x14ac:dyDescent="0.35">
      <c r="V2370" s="1013"/>
      <c r="W2370" s="138"/>
      <c r="AQ2370" s="138"/>
    </row>
    <row r="2371" spans="22:43" x14ac:dyDescent="0.35">
      <c r="V2371" s="1013"/>
      <c r="W2371" s="138"/>
      <c r="AQ2371" s="138"/>
    </row>
    <row r="2372" spans="22:43" x14ac:dyDescent="0.35">
      <c r="V2372" s="1013"/>
      <c r="W2372" s="138"/>
      <c r="AQ2372" s="138"/>
    </row>
    <row r="2373" spans="22:43" x14ac:dyDescent="0.35">
      <c r="V2373" s="1013"/>
      <c r="W2373" s="138"/>
      <c r="AQ2373" s="138"/>
    </row>
    <row r="2374" spans="22:43" x14ac:dyDescent="0.35">
      <c r="V2374" s="1013"/>
      <c r="W2374" s="138"/>
      <c r="AQ2374" s="138"/>
    </row>
    <row r="2375" spans="22:43" x14ac:dyDescent="0.35">
      <c r="V2375" s="1013"/>
      <c r="W2375" s="138"/>
      <c r="AQ2375" s="138"/>
    </row>
    <row r="2376" spans="22:43" x14ac:dyDescent="0.35">
      <c r="V2376" s="1013"/>
      <c r="W2376" s="138"/>
      <c r="AQ2376" s="138"/>
    </row>
    <row r="2377" spans="22:43" x14ac:dyDescent="0.35">
      <c r="V2377" s="1013"/>
      <c r="W2377" s="138"/>
      <c r="AQ2377" s="138"/>
    </row>
    <row r="2378" spans="22:43" x14ac:dyDescent="0.35">
      <c r="V2378" s="1013"/>
      <c r="W2378" s="138"/>
      <c r="AQ2378" s="138"/>
    </row>
    <row r="2379" spans="22:43" x14ac:dyDescent="0.35">
      <c r="V2379" s="1013"/>
      <c r="W2379" s="138"/>
      <c r="AQ2379" s="138"/>
    </row>
    <row r="2380" spans="22:43" x14ac:dyDescent="0.35">
      <c r="V2380" s="1013"/>
      <c r="W2380" s="138"/>
      <c r="AQ2380" s="138"/>
    </row>
    <row r="2381" spans="22:43" x14ac:dyDescent="0.35">
      <c r="V2381" s="1013"/>
      <c r="W2381" s="138"/>
      <c r="AQ2381" s="138"/>
    </row>
    <row r="2382" spans="22:43" x14ac:dyDescent="0.35">
      <c r="V2382" s="1013"/>
      <c r="W2382" s="138"/>
      <c r="AQ2382" s="138"/>
    </row>
    <row r="2383" spans="22:43" x14ac:dyDescent="0.35">
      <c r="V2383" s="1013"/>
      <c r="W2383" s="138"/>
      <c r="AQ2383" s="138"/>
    </row>
    <row r="2384" spans="22:43" x14ac:dyDescent="0.35">
      <c r="V2384" s="1013"/>
      <c r="W2384" s="138"/>
      <c r="AQ2384" s="138"/>
    </row>
    <row r="2385" spans="22:43" x14ac:dyDescent="0.35">
      <c r="V2385" s="1013"/>
      <c r="W2385" s="138"/>
      <c r="AQ2385" s="138"/>
    </row>
    <row r="2386" spans="22:43" x14ac:dyDescent="0.35">
      <c r="V2386" s="1013"/>
      <c r="W2386" s="138"/>
      <c r="AQ2386" s="138"/>
    </row>
    <row r="2387" spans="22:43" x14ac:dyDescent="0.35">
      <c r="V2387" s="1013"/>
      <c r="W2387" s="138"/>
      <c r="AQ2387" s="138"/>
    </row>
    <row r="2388" spans="22:43" x14ac:dyDescent="0.35">
      <c r="V2388" s="1013"/>
      <c r="W2388" s="138"/>
      <c r="AQ2388" s="138"/>
    </row>
    <row r="2389" spans="22:43" x14ac:dyDescent="0.35">
      <c r="V2389" s="1013"/>
      <c r="W2389" s="138"/>
      <c r="AQ2389" s="138"/>
    </row>
    <row r="2390" spans="22:43" x14ac:dyDescent="0.35">
      <c r="V2390" s="1013"/>
      <c r="W2390" s="138"/>
      <c r="AQ2390" s="138"/>
    </row>
    <row r="2391" spans="22:43" x14ac:dyDescent="0.35">
      <c r="V2391" s="1013"/>
      <c r="W2391" s="138"/>
      <c r="AQ2391" s="138"/>
    </row>
    <row r="2392" spans="22:43" x14ac:dyDescent="0.35">
      <c r="V2392" s="1013"/>
      <c r="W2392" s="138"/>
      <c r="AQ2392" s="138"/>
    </row>
    <row r="2393" spans="22:43" x14ac:dyDescent="0.35">
      <c r="V2393" s="1013"/>
      <c r="W2393" s="138"/>
      <c r="AQ2393" s="138"/>
    </row>
    <row r="2394" spans="22:43" x14ac:dyDescent="0.35">
      <c r="V2394" s="1013"/>
      <c r="W2394" s="138"/>
      <c r="AQ2394" s="138"/>
    </row>
    <row r="2395" spans="22:43" x14ac:dyDescent="0.35">
      <c r="V2395" s="1013"/>
      <c r="W2395" s="138"/>
      <c r="AQ2395" s="138"/>
    </row>
    <row r="2396" spans="22:43" x14ac:dyDescent="0.35">
      <c r="V2396" s="1013"/>
      <c r="W2396" s="138"/>
      <c r="AQ2396" s="138"/>
    </row>
    <row r="2397" spans="22:43" x14ac:dyDescent="0.35">
      <c r="V2397" s="1013"/>
      <c r="W2397" s="138"/>
      <c r="AQ2397" s="138"/>
    </row>
    <row r="2398" spans="22:43" x14ac:dyDescent="0.35">
      <c r="V2398" s="1013"/>
      <c r="W2398" s="138"/>
      <c r="AQ2398" s="138"/>
    </row>
    <row r="2399" spans="22:43" x14ac:dyDescent="0.35">
      <c r="V2399" s="1013"/>
      <c r="W2399" s="138"/>
      <c r="AQ2399" s="138"/>
    </row>
    <row r="2400" spans="22:43" x14ac:dyDescent="0.35">
      <c r="V2400" s="1013"/>
      <c r="W2400" s="138"/>
      <c r="AQ2400" s="138"/>
    </row>
    <row r="2401" spans="22:43" x14ac:dyDescent="0.35">
      <c r="V2401" s="1013"/>
      <c r="W2401" s="138"/>
      <c r="AQ2401" s="138"/>
    </row>
    <row r="2402" spans="22:43" x14ac:dyDescent="0.35">
      <c r="V2402" s="1013"/>
      <c r="W2402" s="138"/>
      <c r="AQ2402" s="138"/>
    </row>
    <row r="2403" spans="22:43" x14ac:dyDescent="0.35">
      <c r="V2403" s="1013"/>
      <c r="W2403" s="138"/>
      <c r="AQ2403" s="138"/>
    </row>
    <row r="2404" spans="22:43" x14ac:dyDescent="0.35">
      <c r="V2404" s="1013"/>
      <c r="W2404" s="138"/>
      <c r="AQ2404" s="138"/>
    </row>
    <row r="2405" spans="22:43" x14ac:dyDescent="0.35">
      <c r="V2405" s="1013"/>
      <c r="W2405" s="138"/>
      <c r="AQ2405" s="138"/>
    </row>
    <row r="2406" spans="22:43" x14ac:dyDescent="0.35">
      <c r="V2406" s="1013"/>
      <c r="W2406" s="138"/>
      <c r="AQ2406" s="138"/>
    </row>
    <row r="2407" spans="22:43" x14ac:dyDescent="0.35">
      <c r="V2407" s="1013"/>
      <c r="W2407" s="138"/>
      <c r="AQ2407" s="138"/>
    </row>
    <row r="2408" spans="22:43" x14ac:dyDescent="0.35">
      <c r="V2408" s="1013"/>
      <c r="W2408" s="138"/>
      <c r="AQ2408" s="138"/>
    </row>
    <row r="2409" spans="22:43" x14ac:dyDescent="0.35">
      <c r="V2409" s="1013"/>
      <c r="W2409" s="138"/>
      <c r="AQ2409" s="138"/>
    </row>
    <row r="2410" spans="22:43" x14ac:dyDescent="0.35">
      <c r="V2410" s="1013"/>
      <c r="W2410" s="138"/>
      <c r="AQ2410" s="138"/>
    </row>
    <row r="2411" spans="22:43" x14ac:dyDescent="0.35">
      <c r="V2411" s="1013"/>
      <c r="W2411" s="138"/>
      <c r="AQ2411" s="138"/>
    </row>
    <row r="2412" spans="22:43" x14ac:dyDescent="0.35">
      <c r="V2412" s="1013"/>
      <c r="W2412" s="138"/>
      <c r="AQ2412" s="138"/>
    </row>
    <row r="2413" spans="22:43" x14ac:dyDescent="0.35">
      <c r="V2413" s="1013"/>
      <c r="W2413" s="138"/>
      <c r="AQ2413" s="138"/>
    </row>
    <row r="2414" spans="22:43" x14ac:dyDescent="0.35">
      <c r="V2414" s="1013"/>
      <c r="W2414" s="138"/>
      <c r="AQ2414" s="138"/>
    </row>
    <row r="2415" spans="22:43" x14ac:dyDescent="0.35">
      <c r="V2415" s="1013"/>
      <c r="W2415" s="138"/>
      <c r="AQ2415" s="138"/>
    </row>
    <row r="2416" spans="22:43" x14ac:dyDescent="0.35">
      <c r="V2416" s="1013"/>
      <c r="W2416" s="138"/>
      <c r="AQ2416" s="138"/>
    </row>
    <row r="2417" spans="22:43" x14ac:dyDescent="0.35">
      <c r="V2417" s="1013"/>
      <c r="W2417" s="138"/>
      <c r="AQ2417" s="138"/>
    </row>
    <row r="2418" spans="22:43" x14ac:dyDescent="0.35">
      <c r="V2418" s="1013"/>
      <c r="W2418" s="138"/>
      <c r="AQ2418" s="138"/>
    </row>
    <row r="2419" spans="22:43" x14ac:dyDescent="0.35">
      <c r="V2419" s="1013"/>
      <c r="W2419" s="138"/>
      <c r="AQ2419" s="138"/>
    </row>
    <row r="2420" spans="22:43" x14ac:dyDescent="0.35">
      <c r="V2420" s="1013"/>
      <c r="W2420" s="138"/>
      <c r="AQ2420" s="138"/>
    </row>
    <row r="2421" spans="22:43" x14ac:dyDescent="0.35">
      <c r="V2421" s="1013"/>
      <c r="W2421" s="138"/>
      <c r="AQ2421" s="138"/>
    </row>
    <row r="2422" spans="22:43" x14ac:dyDescent="0.35">
      <c r="V2422" s="1013"/>
      <c r="W2422" s="138"/>
      <c r="AQ2422" s="138"/>
    </row>
    <row r="2423" spans="22:43" x14ac:dyDescent="0.35">
      <c r="V2423" s="1013"/>
      <c r="W2423" s="138"/>
      <c r="AQ2423" s="138"/>
    </row>
    <row r="2424" spans="22:43" x14ac:dyDescent="0.35">
      <c r="V2424" s="1013"/>
      <c r="W2424" s="138"/>
      <c r="AQ2424" s="138"/>
    </row>
    <row r="2425" spans="22:43" x14ac:dyDescent="0.35">
      <c r="V2425" s="1013"/>
      <c r="W2425" s="138"/>
      <c r="AQ2425" s="138"/>
    </row>
    <row r="2426" spans="22:43" x14ac:dyDescent="0.35">
      <c r="V2426" s="1013"/>
      <c r="W2426" s="138"/>
      <c r="AQ2426" s="138"/>
    </row>
    <row r="2427" spans="22:43" x14ac:dyDescent="0.35">
      <c r="V2427" s="1013"/>
      <c r="W2427" s="138"/>
      <c r="AQ2427" s="138"/>
    </row>
    <row r="2428" spans="22:43" x14ac:dyDescent="0.35">
      <c r="V2428" s="1013"/>
      <c r="W2428" s="138"/>
      <c r="AQ2428" s="138"/>
    </row>
    <row r="2429" spans="22:43" x14ac:dyDescent="0.35">
      <c r="V2429" s="1013"/>
      <c r="W2429" s="138"/>
      <c r="AQ2429" s="138"/>
    </row>
    <row r="2430" spans="22:43" x14ac:dyDescent="0.35">
      <c r="V2430" s="1013"/>
      <c r="W2430" s="138"/>
      <c r="AQ2430" s="138"/>
    </row>
    <row r="2431" spans="22:43" x14ac:dyDescent="0.35">
      <c r="V2431" s="1013"/>
      <c r="W2431" s="138"/>
      <c r="AQ2431" s="138"/>
    </row>
    <row r="2432" spans="22:43" x14ac:dyDescent="0.35">
      <c r="V2432" s="1013"/>
      <c r="W2432" s="138"/>
      <c r="AQ2432" s="138"/>
    </row>
    <row r="2433" spans="22:43" x14ac:dyDescent="0.35">
      <c r="V2433" s="1013"/>
      <c r="W2433" s="138"/>
      <c r="AQ2433" s="138"/>
    </row>
    <row r="2434" spans="22:43" x14ac:dyDescent="0.35">
      <c r="V2434" s="1013"/>
      <c r="W2434" s="138"/>
      <c r="AQ2434" s="138"/>
    </row>
    <row r="2435" spans="22:43" x14ac:dyDescent="0.35">
      <c r="V2435" s="1013"/>
      <c r="W2435" s="138"/>
      <c r="AQ2435" s="138"/>
    </row>
    <row r="2436" spans="22:43" x14ac:dyDescent="0.35">
      <c r="V2436" s="1013"/>
      <c r="W2436" s="138"/>
      <c r="AQ2436" s="138"/>
    </row>
    <row r="2437" spans="22:43" x14ac:dyDescent="0.35">
      <c r="V2437" s="1013"/>
      <c r="W2437" s="138"/>
      <c r="AQ2437" s="138"/>
    </row>
    <row r="2438" spans="22:43" x14ac:dyDescent="0.35">
      <c r="V2438" s="1013"/>
      <c r="W2438" s="138"/>
      <c r="AQ2438" s="138"/>
    </row>
    <row r="2439" spans="22:43" x14ac:dyDescent="0.35">
      <c r="V2439" s="1013"/>
      <c r="W2439" s="138"/>
      <c r="AQ2439" s="138"/>
    </row>
    <row r="2440" spans="22:43" x14ac:dyDescent="0.35">
      <c r="V2440" s="1013"/>
      <c r="W2440" s="138"/>
      <c r="AQ2440" s="138"/>
    </row>
    <row r="2441" spans="22:43" x14ac:dyDescent="0.35">
      <c r="V2441" s="1013"/>
      <c r="W2441" s="138"/>
      <c r="AQ2441" s="138"/>
    </row>
    <row r="2442" spans="22:43" x14ac:dyDescent="0.35">
      <c r="V2442" s="1013"/>
      <c r="W2442" s="138"/>
      <c r="AQ2442" s="138"/>
    </row>
    <row r="2443" spans="22:43" x14ac:dyDescent="0.35">
      <c r="V2443" s="1013"/>
      <c r="W2443" s="138"/>
      <c r="AQ2443" s="138"/>
    </row>
    <row r="2444" spans="22:43" x14ac:dyDescent="0.35">
      <c r="V2444" s="1013"/>
      <c r="W2444" s="138"/>
      <c r="AQ2444" s="138"/>
    </row>
    <row r="2445" spans="22:43" x14ac:dyDescent="0.35">
      <c r="V2445" s="1013"/>
      <c r="W2445" s="138"/>
      <c r="AQ2445" s="138"/>
    </row>
    <row r="2446" spans="22:43" x14ac:dyDescent="0.35">
      <c r="V2446" s="1013"/>
      <c r="W2446" s="138"/>
      <c r="AQ2446" s="138"/>
    </row>
    <row r="2447" spans="22:43" x14ac:dyDescent="0.35">
      <c r="V2447" s="1013"/>
      <c r="W2447" s="138"/>
      <c r="AQ2447" s="138"/>
    </row>
    <row r="2448" spans="22:43" x14ac:dyDescent="0.35">
      <c r="V2448" s="1013"/>
      <c r="W2448" s="138"/>
      <c r="AQ2448" s="138"/>
    </row>
    <row r="2449" spans="22:43" x14ac:dyDescent="0.35">
      <c r="V2449" s="1013"/>
      <c r="W2449" s="138"/>
      <c r="AQ2449" s="138"/>
    </row>
    <row r="2450" spans="22:43" x14ac:dyDescent="0.35">
      <c r="V2450" s="1013"/>
      <c r="W2450" s="138"/>
      <c r="AQ2450" s="138"/>
    </row>
    <row r="2451" spans="22:43" x14ac:dyDescent="0.35">
      <c r="V2451" s="1013"/>
      <c r="W2451" s="138"/>
      <c r="AQ2451" s="138"/>
    </row>
    <row r="2452" spans="22:43" x14ac:dyDescent="0.35">
      <c r="V2452" s="1013"/>
      <c r="W2452" s="138"/>
      <c r="AQ2452" s="138"/>
    </row>
    <row r="2453" spans="22:43" x14ac:dyDescent="0.35">
      <c r="V2453" s="1013"/>
      <c r="W2453" s="138"/>
      <c r="AQ2453" s="138"/>
    </row>
    <row r="2454" spans="22:43" x14ac:dyDescent="0.35">
      <c r="V2454" s="1013"/>
      <c r="W2454" s="138"/>
      <c r="AQ2454" s="138"/>
    </row>
    <row r="2455" spans="22:43" x14ac:dyDescent="0.35">
      <c r="V2455" s="1013"/>
      <c r="W2455" s="138"/>
      <c r="AQ2455" s="138"/>
    </row>
    <row r="2456" spans="22:43" x14ac:dyDescent="0.35">
      <c r="V2456" s="1013"/>
      <c r="W2456" s="138"/>
      <c r="AQ2456" s="138"/>
    </row>
    <row r="2457" spans="22:43" x14ac:dyDescent="0.35">
      <c r="V2457" s="1013"/>
      <c r="W2457" s="138"/>
      <c r="AQ2457" s="138"/>
    </row>
    <row r="2458" spans="22:43" x14ac:dyDescent="0.35">
      <c r="V2458" s="1013"/>
      <c r="W2458" s="138"/>
      <c r="AQ2458" s="138"/>
    </row>
    <row r="2459" spans="22:43" x14ac:dyDescent="0.35">
      <c r="V2459" s="1013"/>
      <c r="W2459" s="138"/>
      <c r="AQ2459" s="138"/>
    </row>
    <row r="2460" spans="22:43" x14ac:dyDescent="0.35">
      <c r="V2460" s="1013"/>
      <c r="W2460" s="138"/>
      <c r="AQ2460" s="138"/>
    </row>
    <row r="2461" spans="22:43" x14ac:dyDescent="0.35">
      <c r="V2461" s="1013"/>
      <c r="W2461" s="138"/>
      <c r="AQ2461" s="138"/>
    </row>
    <row r="2462" spans="22:43" x14ac:dyDescent="0.35">
      <c r="V2462" s="1013"/>
      <c r="W2462" s="138"/>
      <c r="AQ2462" s="138"/>
    </row>
    <row r="2463" spans="22:43" x14ac:dyDescent="0.35">
      <c r="V2463" s="1013"/>
      <c r="W2463" s="138"/>
      <c r="AQ2463" s="138"/>
    </row>
    <row r="2464" spans="22:43" x14ac:dyDescent="0.35">
      <c r="V2464" s="1013"/>
      <c r="W2464" s="138"/>
      <c r="AQ2464" s="138"/>
    </row>
    <row r="2465" spans="22:43" x14ac:dyDescent="0.35">
      <c r="V2465" s="1013"/>
      <c r="W2465" s="138"/>
      <c r="AQ2465" s="138"/>
    </row>
    <row r="2466" spans="22:43" x14ac:dyDescent="0.35">
      <c r="V2466" s="1013"/>
      <c r="W2466" s="138"/>
      <c r="AQ2466" s="138"/>
    </row>
    <row r="2467" spans="22:43" x14ac:dyDescent="0.35">
      <c r="V2467" s="1013"/>
      <c r="W2467" s="138"/>
      <c r="AQ2467" s="138"/>
    </row>
    <row r="2468" spans="22:43" x14ac:dyDescent="0.35">
      <c r="V2468" s="1013"/>
      <c r="W2468" s="138"/>
      <c r="AQ2468" s="138"/>
    </row>
    <row r="2469" spans="22:43" x14ac:dyDescent="0.35">
      <c r="V2469" s="1013"/>
      <c r="W2469" s="138"/>
      <c r="AQ2469" s="138"/>
    </row>
    <row r="2470" spans="22:43" x14ac:dyDescent="0.35">
      <c r="V2470" s="1013"/>
      <c r="W2470" s="138"/>
      <c r="AQ2470" s="138"/>
    </row>
    <row r="2471" spans="22:43" x14ac:dyDescent="0.35">
      <c r="V2471" s="1013"/>
      <c r="W2471" s="138"/>
      <c r="AQ2471" s="138"/>
    </row>
    <row r="2472" spans="22:43" x14ac:dyDescent="0.35">
      <c r="V2472" s="1013"/>
      <c r="W2472" s="138"/>
      <c r="AQ2472" s="138"/>
    </row>
    <row r="2473" spans="22:43" x14ac:dyDescent="0.35">
      <c r="V2473" s="1013"/>
      <c r="W2473" s="138"/>
      <c r="AQ2473" s="138"/>
    </row>
    <row r="2474" spans="22:43" x14ac:dyDescent="0.35">
      <c r="V2474" s="1013"/>
      <c r="W2474" s="138"/>
      <c r="AQ2474" s="138"/>
    </row>
    <row r="2475" spans="22:43" x14ac:dyDescent="0.35">
      <c r="V2475" s="1013"/>
      <c r="W2475" s="138"/>
      <c r="AQ2475" s="138"/>
    </row>
    <row r="2476" spans="22:43" x14ac:dyDescent="0.35">
      <c r="V2476" s="1013"/>
      <c r="W2476" s="138"/>
      <c r="AQ2476" s="138"/>
    </row>
    <row r="2477" spans="22:43" x14ac:dyDescent="0.35">
      <c r="V2477" s="1013"/>
      <c r="W2477" s="138"/>
      <c r="AQ2477" s="138"/>
    </row>
    <row r="2478" spans="22:43" x14ac:dyDescent="0.35">
      <c r="V2478" s="1013"/>
      <c r="W2478" s="138"/>
      <c r="AQ2478" s="138"/>
    </row>
    <row r="2479" spans="22:43" x14ac:dyDescent="0.35">
      <c r="V2479" s="1013"/>
      <c r="W2479" s="138"/>
      <c r="AQ2479" s="138"/>
    </row>
    <row r="2480" spans="22:43" x14ac:dyDescent="0.35">
      <c r="V2480" s="1013"/>
      <c r="W2480" s="138"/>
      <c r="AQ2480" s="138"/>
    </row>
    <row r="2481" spans="22:43" x14ac:dyDescent="0.35">
      <c r="V2481" s="1013"/>
      <c r="W2481" s="138"/>
      <c r="AQ2481" s="138"/>
    </row>
    <row r="2482" spans="22:43" x14ac:dyDescent="0.35">
      <c r="V2482" s="1013"/>
      <c r="W2482" s="138"/>
      <c r="AQ2482" s="138"/>
    </row>
    <row r="2483" spans="22:43" x14ac:dyDescent="0.35">
      <c r="V2483" s="1013"/>
      <c r="W2483" s="138"/>
      <c r="AQ2483" s="138"/>
    </row>
    <row r="2484" spans="22:43" x14ac:dyDescent="0.35">
      <c r="V2484" s="1013"/>
      <c r="W2484" s="138"/>
      <c r="AQ2484" s="138"/>
    </row>
    <row r="2485" spans="22:43" x14ac:dyDescent="0.35">
      <c r="V2485" s="1013"/>
      <c r="W2485" s="138"/>
      <c r="AQ2485" s="138"/>
    </row>
    <row r="2486" spans="22:43" x14ac:dyDescent="0.35">
      <c r="V2486" s="1013"/>
      <c r="W2486" s="138"/>
      <c r="AQ2486" s="138"/>
    </row>
    <row r="2487" spans="22:43" x14ac:dyDescent="0.35">
      <c r="V2487" s="1013"/>
      <c r="W2487" s="138"/>
      <c r="AQ2487" s="138"/>
    </row>
    <row r="2488" spans="22:43" x14ac:dyDescent="0.35">
      <c r="V2488" s="1013"/>
      <c r="W2488" s="138"/>
      <c r="AQ2488" s="138"/>
    </row>
    <row r="2489" spans="22:43" x14ac:dyDescent="0.35">
      <c r="V2489" s="1013"/>
      <c r="W2489" s="138"/>
      <c r="AQ2489" s="138"/>
    </row>
    <row r="2490" spans="22:43" x14ac:dyDescent="0.35">
      <c r="V2490" s="1013"/>
      <c r="W2490" s="138"/>
      <c r="AQ2490" s="138"/>
    </row>
    <row r="2491" spans="22:43" x14ac:dyDescent="0.35">
      <c r="V2491" s="1013"/>
      <c r="W2491" s="138"/>
      <c r="AQ2491" s="138"/>
    </row>
    <row r="2492" spans="22:43" x14ac:dyDescent="0.35">
      <c r="V2492" s="1013"/>
      <c r="W2492" s="138"/>
      <c r="AQ2492" s="138"/>
    </row>
    <row r="2493" spans="22:43" x14ac:dyDescent="0.35">
      <c r="V2493" s="1013"/>
      <c r="W2493" s="138"/>
      <c r="AQ2493" s="138"/>
    </row>
    <row r="2494" spans="22:43" x14ac:dyDescent="0.35">
      <c r="V2494" s="1013"/>
      <c r="W2494" s="138"/>
      <c r="AQ2494" s="138"/>
    </row>
    <row r="2495" spans="22:43" x14ac:dyDescent="0.35">
      <c r="V2495" s="1013"/>
      <c r="W2495" s="138"/>
      <c r="AQ2495" s="138"/>
    </row>
    <row r="2496" spans="22:43" x14ac:dyDescent="0.35">
      <c r="V2496" s="1013"/>
      <c r="W2496" s="138"/>
      <c r="AQ2496" s="138"/>
    </row>
    <row r="2497" spans="22:43" x14ac:dyDescent="0.35">
      <c r="V2497" s="1013"/>
      <c r="W2497" s="138"/>
      <c r="AQ2497" s="138"/>
    </row>
    <row r="2498" spans="22:43" x14ac:dyDescent="0.35">
      <c r="V2498" s="1013"/>
      <c r="W2498" s="138"/>
      <c r="AQ2498" s="138"/>
    </row>
    <row r="2499" spans="22:43" x14ac:dyDescent="0.35">
      <c r="V2499" s="1013"/>
      <c r="W2499" s="138"/>
      <c r="AQ2499" s="138"/>
    </row>
    <row r="2500" spans="22:43" x14ac:dyDescent="0.35">
      <c r="V2500" s="1013"/>
      <c r="W2500" s="138"/>
      <c r="AQ2500" s="138"/>
    </row>
    <row r="2501" spans="22:43" x14ac:dyDescent="0.35">
      <c r="V2501" s="1013"/>
      <c r="W2501" s="138"/>
      <c r="AQ2501" s="138"/>
    </row>
    <row r="2502" spans="22:43" x14ac:dyDescent="0.35">
      <c r="V2502" s="1013"/>
      <c r="W2502" s="138"/>
      <c r="AQ2502" s="138"/>
    </row>
    <row r="2503" spans="22:43" x14ac:dyDescent="0.35">
      <c r="V2503" s="1013"/>
      <c r="W2503" s="138"/>
      <c r="AQ2503" s="138"/>
    </row>
    <row r="2504" spans="22:43" x14ac:dyDescent="0.35">
      <c r="V2504" s="1013"/>
      <c r="W2504" s="138"/>
      <c r="AQ2504" s="138"/>
    </row>
    <row r="2505" spans="22:43" x14ac:dyDescent="0.35">
      <c r="V2505" s="1013"/>
      <c r="W2505" s="138"/>
      <c r="AQ2505" s="138"/>
    </row>
    <row r="2506" spans="22:43" x14ac:dyDescent="0.35">
      <c r="V2506" s="1013"/>
      <c r="W2506" s="138"/>
      <c r="AQ2506" s="138"/>
    </row>
    <row r="2507" spans="22:43" x14ac:dyDescent="0.35">
      <c r="V2507" s="1013"/>
      <c r="W2507" s="138"/>
      <c r="AQ2507" s="138"/>
    </row>
    <row r="2508" spans="22:43" x14ac:dyDescent="0.35">
      <c r="V2508" s="1013"/>
      <c r="W2508" s="138"/>
      <c r="AQ2508" s="138"/>
    </row>
    <row r="2509" spans="22:43" x14ac:dyDescent="0.35">
      <c r="V2509" s="1013"/>
      <c r="W2509" s="138"/>
      <c r="AQ2509" s="138"/>
    </row>
    <row r="2510" spans="22:43" x14ac:dyDescent="0.35">
      <c r="V2510" s="1013"/>
      <c r="W2510" s="138"/>
      <c r="AQ2510" s="138"/>
    </row>
    <row r="2511" spans="22:43" x14ac:dyDescent="0.35">
      <c r="V2511" s="1013"/>
      <c r="W2511" s="138"/>
      <c r="AQ2511" s="138"/>
    </row>
    <row r="2512" spans="22:43" x14ac:dyDescent="0.35">
      <c r="V2512" s="1013"/>
      <c r="W2512" s="138"/>
      <c r="AQ2512" s="138"/>
    </row>
    <row r="2513" spans="22:43" x14ac:dyDescent="0.35">
      <c r="V2513" s="1013"/>
      <c r="W2513" s="138"/>
      <c r="AQ2513" s="138"/>
    </row>
    <row r="2514" spans="22:43" x14ac:dyDescent="0.35">
      <c r="V2514" s="1013"/>
      <c r="W2514" s="138"/>
      <c r="AQ2514" s="138"/>
    </row>
    <row r="2515" spans="22:43" x14ac:dyDescent="0.35">
      <c r="V2515" s="1013"/>
      <c r="W2515" s="138"/>
      <c r="AQ2515" s="138"/>
    </row>
    <row r="2516" spans="22:43" x14ac:dyDescent="0.35">
      <c r="V2516" s="1013"/>
      <c r="W2516" s="138"/>
      <c r="AQ2516" s="138"/>
    </row>
    <row r="2517" spans="22:43" x14ac:dyDescent="0.35">
      <c r="V2517" s="1013"/>
      <c r="W2517" s="138"/>
      <c r="AQ2517" s="138"/>
    </row>
    <row r="2518" spans="22:43" x14ac:dyDescent="0.35">
      <c r="V2518" s="1013"/>
      <c r="W2518" s="138"/>
      <c r="AQ2518" s="138"/>
    </row>
    <row r="2519" spans="22:43" x14ac:dyDescent="0.35">
      <c r="V2519" s="1013"/>
      <c r="W2519" s="138"/>
      <c r="AQ2519" s="138"/>
    </row>
    <row r="2520" spans="22:43" x14ac:dyDescent="0.35">
      <c r="V2520" s="1013"/>
      <c r="W2520" s="138"/>
      <c r="AQ2520" s="138"/>
    </row>
    <row r="2521" spans="22:43" x14ac:dyDescent="0.35">
      <c r="V2521" s="1013"/>
      <c r="W2521" s="138"/>
      <c r="AQ2521" s="138"/>
    </row>
    <row r="2522" spans="22:43" x14ac:dyDescent="0.35">
      <c r="V2522" s="1013"/>
      <c r="W2522" s="138"/>
      <c r="AQ2522" s="138"/>
    </row>
    <row r="2523" spans="22:43" x14ac:dyDescent="0.35">
      <c r="V2523" s="1013"/>
      <c r="W2523" s="138"/>
      <c r="AQ2523" s="138"/>
    </row>
    <row r="2524" spans="22:43" x14ac:dyDescent="0.35">
      <c r="V2524" s="1013"/>
      <c r="W2524" s="138"/>
      <c r="AQ2524" s="138"/>
    </row>
    <row r="2525" spans="22:43" x14ac:dyDescent="0.35">
      <c r="V2525" s="1013"/>
      <c r="W2525" s="138"/>
      <c r="AQ2525" s="138"/>
    </row>
    <row r="2526" spans="22:43" x14ac:dyDescent="0.35">
      <c r="V2526" s="1013"/>
      <c r="W2526" s="138"/>
      <c r="AQ2526" s="138"/>
    </row>
    <row r="2527" spans="22:43" x14ac:dyDescent="0.35">
      <c r="V2527" s="1013"/>
      <c r="W2527" s="138"/>
      <c r="AQ2527" s="138"/>
    </row>
    <row r="2528" spans="22:43" x14ac:dyDescent="0.35">
      <c r="V2528" s="1013"/>
      <c r="W2528" s="138"/>
      <c r="AQ2528" s="138"/>
    </row>
    <row r="2529" spans="22:43" x14ac:dyDescent="0.35">
      <c r="V2529" s="1013"/>
      <c r="W2529" s="138"/>
      <c r="AQ2529" s="138"/>
    </row>
    <row r="2530" spans="22:43" x14ac:dyDescent="0.35">
      <c r="V2530" s="1013"/>
      <c r="W2530" s="138"/>
      <c r="AQ2530" s="138"/>
    </row>
    <row r="2531" spans="22:43" x14ac:dyDescent="0.35">
      <c r="V2531" s="1013"/>
      <c r="W2531" s="138"/>
      <c r="AQ2531" s="138"/>
    </row>
    <row r="2532" spans="22:43" x14ac:dyDescent="0.35">
      <c r="V2532" s="1013"/>
      <c r="W2532" s="138"/>
      <c r="AQ2532" s="138"/>
    </row>
    <row r="2533" spans="22:43" x14ac:dyDescent="0.35">
      <c r="V2533" s="1013"/>
      <c r="W2533" s="138"/>
      <c r="AQ2533" s="138"/>
    </row>
    <row r="2534" spans="22:43" x14ac:dyDescent="0.35">
      <c r="V2534" s="1013"/>
      <c r="W2534" s="138"/>
      <c r="AQ2534" s="138"/>
    </row>
    <row r="2535" spans="22:43" x14ac:dyDescent="0.35">
      <c r="V2535" s="1013"/>
      <c r="W2535" s="138"/>
      <c r="AQ2535" s="138"/>
    </row>
    <row r="2536" spans="22:43" x14ac:dyDescent="0.35">
      <c r="V2536" s="1013"/>
      <c r="W2536" s="138"/>
      <c r="AQ2536" s="138"/>
    </row>
    <row r="2537" spans="22:43" x14ac:dyDescent="0.35">
      <c r="V2537" s="1013"/>
      <c r="W2537" s="138"/>
      <c r="AQ2537" s="138"/>
    </row>
    <row r="2538" spans="22:43" x14ac:dyDescent="0.35">
      <c r="V2538" s="1013"/>
      <c r="W2538" s="138"/>
      <c r="AQ2538" s="138"/>
    </row>
    <row r="2539" spans="22:43" x14ac:dyDescent="0.35">
      <c r="V2539" s="1013"/>
      <c r="W2539" s="138"/>
      <c r="AQ2539" s="138"/>
    </row>
    <row r="2540" spans="22:43" x14ac:dyDescent="0.35">
      <c r="V2540" s="1013"/>
      <c r="W2540" s="138"/>
      <c r="AQ2540" s="138"/>
    </row>
    <row r="2541" spans="22:43" x14ac:dyDescent="0.35">
      <c r="V2541" s="1013"/>
      <c r="W2541" s="138"/>
      <c r="AQ2541" s="138"/>
    </row>
    <row r="2542" spans="22:43" x14ac:dyDescent="0.35">
      <c r="V2542" s="1013"/>
      <c r="W2542" s="138"/>
      <c r="AQ2542" s="138"/>
    </row>
    <row r="2543" spans="22:43" x14ac:dyDescent="0.35">
      <c r="V2543" s="1013"/>
      <c r="W2543" s="138"/>
      <c r="AQ2543" s="138"/>
    </row>
    <row r="2544" spans="22:43" x14ac:dyDescent="0.35">
      <c r="V2544" s="1013"/>
      <c r="W2544" s="138"/>
      <c r="AQ2544" s="138"/>
    </row>
    <row r="2545" spans="22:43" x14ac:dyDescent="0.35">
      <c r="V2545" s="1013"/>
      <c r="W2545" s="138"/>
      <c r="AQ2545" s="138"/>
    </row>
    <row r="2546" spans="22:43" x14ac:dyDescent="0.35">
      <c r="V2546" s="1013"/>
      <c r="W2546" s="138"/>
      <c r="AQ2546" s="138"/>
    </row>
    <row r="2547" spans="22:43" x14ac:dyDescent="0.35">
      <c r="V2547" s="1013"/>
      <c r="W2547" s="138"/>
      <c r="AQ2547" s="138"/>
    </row>
    <row r="2548" spans="22:43" x14ac:dyDescent="0.35">
      <c r="V2548" s="1013"/>
      <c r="W2548" s="138"/>
      <c r="AQ2548" s="138"/>
    </row>
    <row r="2549" spans="22:43" x14ac:dyDescent="0.35">
      <c r="V2549" s="1013"/>
      <c r="W2549" s="138"/>
      <c r="AQ2549" s="138"/>
    </row>
    <row r="2550" spans="22:43" x14ac:dyDescent="0.35">
      <c r="V2550" s="1013"/>
      <c r="W2550" s="138"/>
      <c r="AQ2550" s="138"/>
    </row>
    <row r="2551" spans="22:43" x14ac:dyDescent="0.35">
      <c r="V2551" s="1013"/>
      <c r="W2551" s="138"/>
      <c r="AQ2551" s="138"/>
    </row>
    <row r="2552" spans="22:43" x14ac:dyDescent="0.35">
      <c r="V2552" s="1013"/>
      <c r="W2552" s="138"/>
      <c r="AQ2552" s="138"/>
    </row>
    <row r="2553" spans="22:43" x14ac:dyDescent="0.35">
      <c r="V2553" s="1013"/>
      <c r="W2553" s="138"/>
      <c r="AQ2553" s="138"/>
    </row>
    <row r="2554" spans="22:43" x14ac:dyDescent="0.35">
      <c r="V2554" s="1013"/>
      <c r="W2554" s="138"/>
      <c r="AQ2554" s="138"/>
    </row>
    <row r="2555" spans="22:43" x14ac:dyDescent="0.35">
      <c r="V2555" s="1013"/>
      <c r="W2555" s="138"/>
      <c r="AQ2555" s="138"/>
    </row>
    <row r="2556" spans="22:43" x14ac:dyDescent="0.35">
      <c r="V2556" s="1013"/>
      <c r="W2556" s="138"/>
      <c r="AQ2556" s="138"/>
    </row>
    <row r="2557" spans="22:43" x14ac:dyDescent="0.35">
      <c r="V2557" s="1013"/>
      <c r="W2557" s="138"/>
      <c r="AQ2557" s="138"/>
    </row>
    <row r="2558" spans="22:43" x14ac:dyDescent="0.35">
      <c r="V2558" s="1013"/>
      <c r="W2558" s="138"/>
      <c r="AQ2558" s="138"/>
    </row>
    <row r="2559" spans="22:43" x14ac:dyDescent="0.35">
      <c r="V2559" s="1013"/>
      <c r="W2559" s="138"/>
      <c r="AQ2559" s="138"/>
    </row>
    <row r="2560" spans="22:43" x14ac:dyDescent="0.35">
      <c r="V2560" s="1013"/>
      <c r="W2560" s="138"/>
      <c r="AQ2560" s="138"/>
    </row>
    <row r="2561" spans="22:43" x14ac:dyDescent="0.35">
      <c r="V2561" s="1013"/>
      <c r="W2561" s="138"/>
      <c r="AQ2561" s="138"/>
    </row>
    <row r="2562" spans="22:43" x14ac:dyDescent="0.35">
      <c r="V2562" s="1013"/>
      <c r="W2562" s="138"/>
      <c r="AQ2562" s="138"/>
    </row>
    <row r="2563" spans="22:43" x14ac:dyDescent="0.35">
      <c r="V2563" s="1013"/>
      <c r="W2563" s="138"/>
      <c r="AQ2563" s="138"/>
    </row>
    <row r="2564" spans="22:43" x14ac:dyDescent="0.35">
      <c r="V2564" s="1013"/>
      <c r="W2564" s="138"/>
      <c r="AQ2564" s="138"/>
    </row>
    <row r="2565" spans="22:43" x14ac:dyDescent="0.35">
      <c r="V2565" s="1013"/>
      <c r="W2565" s="138"/>
      <c r="AQ2565" s="138"/>
    </row>
    <row r="2566" spans="22:43" x14ac:dyDescent="0.35">
      <c r="V2566" s="1013"/>
      <c r="W2566" s="138"/>
      <c r="AQ2566" s="138"/>
    </row>
    <row r="2567" spans="22:43" x14ac:dyDescent="0.35">
      <c r="V2567" s="1013"/>
      <c r="W2567" s="138"/>
      <c r="AQ2567" s="138"/>
    </row>
    <row r="2568" spans="22:43" x14ac:dyDescent="0.35">
      <c r="V2568" s="1013"/>
      <c r="W2568" s="138"/>
      <c r="AQ2568" s="138"/>
    </row>
    <row r="2569" spans="22:43" x14ac:dyDescent="0.35">
      <c r="V2569" s="1013"/>
      <c r="W2569" s="138"/>
      <c r="AQ2569" s="138"/>
    </row>
    <row r="2570" spans="22:43" x14ac:dyDescent="0.35">
      <c r="V2570" s="1013"/>
      <c r="W2570" s="138"/>
      <c r="AQ2570" s="138"/>
    </row>
    <row r="2571" spans="22:43" x14ac:dyDescent="0.35">
      <c r="V2571" s="1013"/>
      <c r="W2571" s="138"/>
      <c r="AQ2571" s="138"/>
    </row>
    <row r="2572" spans="22:43" x14ac:dyDescent="0.35">
      <c r="V2572" s="1013"/>
      <c r="W2572" s="138"/>
      <c r="AQ2572" s="138"/>
    </row>
    <row r="2573" spans="22:43" x14ac:dyDescent="0.35">
      <c r="V2573" s="1013"/>
      <c r="W2573" s="138"/>
      <c r="AQ2573" s="138"/>
    </row>
    <row r="2574" spans="22:43" x14ac:dyDescent="0.35">
      <c r="V2574" s="1013"/>
      <c r="W2574" s="138"/>
      <c r="AQ2574" s="138"/>
    </row>
    <row r="2575" spans="22:43" x14ac:dyDescent="0.35">
      <c r="V2575" s="1013"/>
      <c r="W2575" s="138"/>
      <c r="AQ2575" s="138"/>
    </row>
    <row r="2576" spans="22:43" x14ac:dyDescent="0.35">
      <c r="V2576" s="1013"/>
      <c r="W2576" s="138"/>
      <c r="AQ2576" s="138"/>
    </row>
    <row r="2577" spans="22:43" x14ac:dyDescent="0.35">
      <c r="V2577" s="1013"/>
      <c r="W2577" s="138"/>
      <c r="AQ2577" s="138"/>
    </row>
    <row r="2578" spans="22:43" x14ac:dyDescent="0.35">
      <c r="V2578" s="1013"/>
      <c r="W2578" s="138"/>
      <c r="AQ2578" s="138"/>
    </row>
    <row r="2579" spans="22:43" x14ac:dyDescent="0.35">
      <c r="V2579" s="1013"/>
      <c r="W2579" s="138"/>
      <c r="AQ2579" s="138"/>
    </row>
    <row r="2580" spans="22:43" x14ac:dyDescent="0.35">
      <c r="V2580" s="1013"/>
      <c r="W2580" s="138"/>
      <c r="AQ2580" s="138"/>
    </row>
    <row r="2581" spans="22:43" x14ac:dyDescent="0.35">
      <c r="V2581" s="1013"/>
      <c r="W2581" s="138"/>
      <c r="AQ2581" s="138"/>
    </row>
    <row r="2582" spans="22:43" x14ac:dyDescent="0.35">
      <c r="V2582" s="1013"/>
      <c r="W2582" s="138"/>
      <c r="AQ2582" s="138"/>
    </row>
    <row r="2583" spans="22:43" x14ac:dyDescent="0.35">
      <c r="V2583" s="1013"/>
      <c r="W2583" s="138"/>
      <c r="AQ2583" s="138"/>
    </row>
    <row r="2584" spans="22:43" x14ac:dyDescent="0.35">
      <c r="V2584" s="1013"/>
      <c r="W2584" s="138"/>
      <c r="AQ2584" s="138"/>
    </row>
    <row r="2585" spans="22:43" x14ac:dyDescent="0.35">
      <c r="V2585" s="1013"/>
      <c r="W2585" s="138"/>
      <c r="AQ2585" s="138"/>
    </row>
    <row r="2586" spans="22:43" x14ac:dyDescent="0.35">
      <c r="V2586" s="1013"/>
      <c r="W2586" s="138"/>
      <c r="AQ2586" s="138"/>
    </row>
    <row r="2587" spans="22:43" x14ac:dyDescent="0.35">
      <c r="V2587" s="1013"/>
      <c r="W2587" s="138"/>
      <c r="AQ2587" s="138"/>
    </row>
    <row r="2588" spans="22:43" x14ac:dyDescent="0.35">
      <c r="V2588" s="1013"/>
      <c r="W2588" s="138"/>
      <c r="AQ2588" s="138"/>
    </row>
    <row r="2589" spans="22:43" x14ac:dyDescent="0.35">
      <c r="V2589" s="1013"/>
      <c r="W2589" s="138"/>
      <c r="AQ2589" s="138"/>
    </row>
    <row r="2590" spans="22:43" x14ac:dyDescent="0.35">
      <c r="V2590" s="1013"/>
      <c r="W2590" s="138"/>
      <c r="AQ2590" s="138"/>
    </row>
    <row r="2591" spans="22:43" x14ac:dyDescent="0.35">
      <c r="V2591" s="1013"/>
      <c r="W2591" s="138"/>
      <c r="AQ2591" s="138"/>
    </row>
    <row r="2592" spans="22:43" x14ac:dyDescent="0.35">
      <c r="V2592" s="1013"/>
      <c r="W2592" s="138"/>
      <c r="AQ2592" s="138"/>
    </row>
    <row r="2593" spans="22:43" x14ac:dyDescent="0.35">
      <c r="V2593" s="1013"/>
      <c r="W2593" s="138"/>
      <c r="AQ2593" s="138"/>
    </row>
    <row r="2594" spans="22:43" x14ac:dyDescent="0.35">
      <c r="V2594" s="1013"/>
      <c r="W2594" s="138"/>
      <c r="AQ2594" s="138"/>
    </row>
    <row r="2595" spans="22:43" x14ac:dyDescent="0.35">
      <c r="V2595" s="1013"/>
      <c r="W2595" s="138"/>
      <c r="AQ2595" s="138"/>
    </row>
    <row r="2596" spans="22:43" x14ac:dyDescent="0.35">
      <c r="V2596" s="1013"/>
      <c r="W2596" s="138"/>
      <c r="AQ2596" s="138"/>
    </row>
    <row r="2597" spans="22:43" x14ac:dyDescent="0.35">
      <c r="V2597" s="1013"/>
      <c r="W2597" s="138"/>
      <c r="AQ2597" s="138"/>
    </row>
    <row r="2598" spans="22:43" x14ac:dyDescent="0.35">
      <c r="V2598" s="1013"/>
      <c r="W2598" s="138"/>
      <c r="AQ2598" s="138"/>
    </row>
    <row r="2599" spans="22:43" x14ac:dyDescent="0.35">
      <c r="V2599" s="1013"/>
      <c r="W2599" s="138"/>
      <c r="AQ2599" s="138"/>
    </row>
    <row r="2600" spans="22:43" x14ac:dyDescent="0.35">
      <c r="V2600" s="1013"/>
      <c r="W2600" s="138"/>
      <c r="AQ2600" s="138"/>
    </row>
    <row r="2601" spans="22:43" x14ac:dyDescent="0.35">
      <c r="V2601" s="1013"/>
      <c r="W2601" s="138"/>
      <c r="AQ2601" s="138"/>
    </row>
    <row r="2602" spans="22:43" x14ac:dyDescent="0.35">
      <c r="V2602" s="1013"/>
      <c r="W2602" s="138"/>
      <c r="AQ2602" s="138"/>
    </row>
    <row r="2603" spans="22:43" x14ac:dyDescent="0.35">
      <c r="V2603" s="1013"/>
      <c r="W2603" s="138"/>
      <c r="AQ2603" s="138"/>
    </row>
    <row r="2604" spans="22:43" x14ac:dyDescent="0.35">
      <c r="V2604" s="1013"/>
      <c r="W2604" s="138"/>
      <c r="AQ2604" s="138"/>
    </row>
    <row r="2605" spans="22:43" x14ac:dyDescent="0.35">
      <c r="V2605" s="1013"/>
      <c r="W2605" s="138"/>
      <c r="AQ2605" s="138"/>
    </row>
    <row r="2606" spans="22:43" x14ac:dyDescent="0.35">
      <c r="V2606" s="1013"/>
      <c r="W2606" s="138"/>
      <c r="AQ2606" s="138"/>
    </row>
    <row r="2607" spans="22:43" x14ac:dyDescent="0.35">
      <c r="V2607" s="1013"/>
      <c r="W2607" s="138"/>
      <c r="AQ2607" s="138"/>
    </row>
    <row r="2608" spans="22:43" x14ac:dyDescent="0.35">
      <c r="V2608" s="1013"/>
      <c r="W2608" s="138"/>
      <c r="AQ2608" s="138"/>
    </row>
    <row r="2609" spans="22:43" x14ac:dyDescent="0.35">
      <c r="V2609" s="1013"/>
      <c r="W2609" s="138"/>
      <c r="AQ2609" s="138"/>
    </row>
    <row r="2610" spans="22:43" x14ac:dyDescent="0.35">
      <c r="V2610" s="1013"/>
      <c r="W2610" s="138"/>
      <c r="AQ2610" s="138"/>
    </row>
    <row r="2611" spans="22:43" x14ac:dyDescent="0.35">
      <c r="V2611" s="1013"/>
      <c r="W2611" s="138"/>
      <c r="AQ2611" s="138"/>
    </row>
    <row r="2612" spans="22:43" x14ac:dyDescent="0.35">
      <c r="V2612" s="1013"/>
      <c r="W2612" s="138"/>
      <c r="AQ2612" s="138"/>
    </row>
    <row r="2613" spans="22:43" x14ac:dyDescent="0.35">
      <c r="V2613" s="1013"/>
      <c r="W2613" s="138"/>
      <c r="AQ2613" s="138"/>
    </row>
    <row r="2614" spans="22:43" x14ac:dyDescent="0.35">
      <c r="V2614" s="1013"/>
      <c r="W2614" s="138"/>
      <c r="AQ2614" s="138"/>
    </row>
    <row r="2615" spans="22:43" x14ac:dyDescent="0.35">
      <c r="V2615" s="1013"/>
      <c r="W2615" s="138"/>
      <c r="AQ2615" s="138"/>
    </row>
    <row r="2616" spans="22:43" x14ac:dyDescent="0.35">
      <c r="V2616" s="1013"/>
      <c r="W2616" s="138"/>
      <c r="AQ2616" s="138"/>
    </row>
    <row r="2617" spans="22:43" x14ac:dyDescent="0.35">
      <c r="V2617" s="1013"/>
      <c r="W2617" s="138"/>
      <c r="AQ2617" s="138"/>
    </row>
    <row r="2618" spans="22:43" x14ac:dyDescent="0.35">
      <c r="V2618" s="1013"/>
      <c r="W2618" s="138"/>
      <c r="AQ2618" s="138"/>
    </row>
    <row r="2619" spans="22:43" x14ac:dyDescent="0.35">
      <c r="V2619" s="1013"/>
      <c r="W2619" s="138"/>
      <c r="AQ2619" s="138"/>
    </row>
    <row r="2620" spans="22:43" x14ac:dyDescent="0.35">
      <c r="V2620" s="1013"/>
      <c r="W2620" s="138"/>
      <c r="AQ2620" s="138"/>
    </row>
    <row r="2621" spans="22:43" x14ac:dyDescent="0.35">
      <c r="V2621" s="1013"/>
      <c r="W2621" s="138"/>
      <c r="AQ2621" s="138"/>
    </row>
    <row r="2622" spans="22:43" x14ac:dyDescent="0.35">
      <c r="V2622" s="1013"/>
      <c r="W2622" s="138"/>
      <c r="AQ2622" s="138"/>
    </row>
    <row r="2623" spans="22:43" x14ac:dyDescent="0.35">
      <c r="V2623" s="1013"/>
      <c r="W2623" s="138"/>
      <c r="AQ2623" s="138"/>
    </row>
    <row r="2624" spans="22:43" x14ac:dyDescent="0.35">
      <c r="V2624" s="1013"/>
      <c r="W2624" s="138"/>
      <c r="AQ2624" s="138"/>
    </row>
    <row r="2625" spans="22:43" x14ac:dyDescent="0.35">
      <c r="V2625" s="1013"/>
      <c r="W2625" s="138"/>
      <c r="AQ2625" s="138"/>
    </row>
    <row r="2626" spans="22:43" x14ac:dyDescent="0.35">
      <c r="V2626" s="1013"/>
      <c r="W2626" s="138"/>
      <c r="AQ2626" s="138"/>
    </row>
    <row r="2627" spans="22:43" x14ac:dyDescent="0.35">
      <c r="V2627" s="1013"/>
      <c r="W2627" s="138"/>
      <c r="AQ2627" s="138"/>
    </row>
    <row r="2628" spans="22:43" x14ac:dyDescent="0.35">
      <c r="V2628" s="1013"/>
      <c r="W2628" s="138"/>
      <c r="AQ2628" s="138"/>
    </row>
    <row r="2629" spans="22:43" x14ac:dyDescent="0.35">
      <c r="V2629" s="1013"/>
      <c r="W2629" s="138"/>
      <c r="AQ2629" s="138"/>
    </row>
    <row r="2630" spans="22:43" x14ac:dyDescent="0.35">
      <c r="V2630" s="1013"/>
      <c r="W2630" s="138"/>
      <c r="AQ2630" s="138"/>
    </row>
    <row r="2631" spans="22:43" x14ac:dyDescent="0.35">
      <c r="V2631" s="1013"/>
      <c r="W2631" s="138"/>
      <c r="AQ2631" s="138"/>
    </row>
    <row r="2632" spans="22:43" x14ac:dyDescent="0.35">
      <c r="V2632" s="1013"/>
      <c r="W2632" s="138"/>
      <c r="AQ2632" s="138"/>
    </row>
    <row r="2633" spans="22:43" x14ac:dyDescent="0.35">
      <c r="V2633" s="1013"/>
      <c r="W2633" s="138"/>
      <c r="AQ2633" s="138"/>
    </row>
    <row r="2634" spans="22:43" x14ac:dyDescent="0.35">
      <c r="V2634" s="1013"/>
      <c r="W2634" s="138"/>
      <c r="AQ2634" s="138"/>
    </row>
    <row r="2635" spans="22:43" x14ac:dyDescent="0.35">
      <c r="V2635" s="1013"/>
      <c r="W2635" s="138"/>
      <c r="AQ2635" s="138"/>
    </row>
    <row r="2636" spans="22:43" x14ac:dyDescent="0.35">
      <c r="V2636" s="1013"/>
      <c r="W2636" s="138"/>
      <c r="AQ2636" s="138"/>
    </row>
    <row r="2637" spans="22:43" x14ac:dyDescent="0.35">
      <c r="V2637" s="1013"/>
      <c r="W2637" s="138"/>
      <c r="AQ2637" s="138"/>
    </row>
    <row r="2638" spans="22:43" x14ac:dyDescent="0.35">
      <c r="V2638" s="1013"/>
      <c r="W2638" s="138"/>
      <c r="AQ2638" s="138"/>
    </row>
    <row r="2639" spans="22:43" x14ac:dyDescent="0.35">
      <c r="V2639" s="1013"/>
      <c r="W2639" s="138"/>
      <c r="AQ2639" s="138"/>
    </row>
    <row r="2640" spans="22:43" x14ac:dyDescent="0.35">
      <c r="V2640" s="1013"/>
      <c r="W2640" s="138"/>
      <c r="AQ2640" s="138"/>
    </row>
    <row r="2641" spans="22:43" x14ac:dyDescent="0.35">
      <c r="V2641" s="1013"/>
      <c r="W2641" s="138"/>
      <c r="AQ2641" s="138"/>
    </row>
    <row r="2642" spans="22:43" x14ac:dyDescent="0.35">
      <c r="V2642" s="1013"/>
      <c r="W2642" s="138"/>
      <c r="AQ2642" s="138"/>
    </row>
    <row r="2643" spans="22:43" x14ac:dyDescent="0.35">
      <c r="V2643" s="1013"/>
      <c r="W2643" s="138"/>
      <c r="AQ2643" s="138"/>
    </row>
    <row r="2644" spans="22:43" x14ac:dyDescent="0.35">
      <c r="V2644" s="1013"/>
      <c r="W2644" s="138"/>
      <c r="AQ2644" s="138"/>
    </row>
    <row r="2645" spans="22:43" x14ac:dyDescent="0.35">
      <c r="V2645" s="1013"/>
      <c r="W2645" s="138"/>
      <c r="AQ2645" s="138"/>
    </row>
    <row r="2646" spans="22:43" x14ac:dyDescent="0.35">
      <c r="V2646" s="1013"/>
      <c r="W2646" s="138"/>
      <c r="AQ2646" s="138"/>
    </row>
    <row r="2647" spans="22:43" x14ac:dyDescent="0.35">
      <c r="V2647" s="1013"/>
      <c r="W2647" s="138"/>
      <c r="AQ2647" s="138"/>
    </row>
    <row r="2648" spans="22:43" x14ac:dyDescent="0.35">
      <c r="V2648" s="1013"/>
      <c r="W2648" s="138"/>
      <c r="AQ2648" s="138"/>
    </row>
    <row r="2649" spans="22:43" x14ac:dyDescent="0.35">
      <c r="V2649" s="1013"/>
      <c r="W2649" s="138"/>
      <c r="AQ2649" s="138"/>
    </row>
    <row r="2650" spans="22:43" x14ac:dyDescent="0.35">
      <c r="V2650" s="1013"/>
      <c r="W2650" s="138"/>
      <c r="AQ2650" s="138"/>
    </row>
    <row r="2651" spans="22:43" x14ac:dyDescent="0.35">
      <c r="V2651" s="1013"/>
      <c r="W2651" s="138"/>
      <c r="AQ2651" s="138"/>
    </row>
    <row r="2652" spans="22:43" x14ac:dyDescent="0.35">
      <c r="V2652" s="1013"/>
      <c r="W2652" s="138"/>
      <c r="AQ2652" s="138"/>
    </row>
    <row r="2653" spans="22:43" x14ac:dyDescent="0.35">
      <c r="V2653" s="1013"/>
      <c r="W2653" s="138"/>
      <c r="AQ2653" s="138"/>
    </row>
    <row r="2654" spans="22:43" x14ac:dyDescent="0.35">
      <c r="V2654" s="1013"/>
      <c r="W2654" s="138"/>
      <c r="AQ2654" s="138"/>
    </row>
    <row r="2655" spans="22:43" x14ac:dyDescent="0.35">
      <c r="V2655" s="1013"/>
      <c r="W2655" s="138"/>
      <c r="AQ2655" s="138"/>
    </row>
    <row r="2656" spans="22:43" x14ac:dyDescent="0.35">
      <c r="V2656" s="1013"/>
      <c r="W2656" s="138"/>
      <c r="AQ2656" s="138"/>
    </row>
    <row r="2657" spans="22:43" x14ac:dyDescent="0.35">
      <c r="V2657" s="1013"/>
      <c r="W2657" s="138"/>
      <c r="AQ2657" s="138"/>
    </row>
    <row r="2658" spans="22:43" x14ac:dyDescent="0.35">
      <c r="V2658" s="1013"/>
      <c r="W2658" s="138"/>
      <c r="AQ2658" s="138"/>
    </row>
    <row r="2659" spans="22:43" x14ac:dyDescent="0.35">
      <c r="V2659" s="1013"/>
      <c r="W2659" s="138"/>
      <c r="AQ2659" s="138"/>
    </row>
    <row r="2660" spans="22:43" x14ac:dyDescent="0.35">
      <c r="V2660" s="1013"/>
      <c r="W2660" s="138"/>
      <c r="AQ2660" s="138"/>
    </row>
    <row r="2661" spans="22:43" x14ac:dyDescent="0.35">
      <c r="V2661" s="1013"/>
      <c r="W2661" s="138"/>
      <c r="AQ2661" s="138"/>
    </row>
    <row r="2662" spans="22:43" x14ac:dyDescent="0.35">
      <c r="V2662" s="1013"/>
      <c r="W2662" s="138"/>
      <c r="AQ2662" s="138"/>
    </row>
    <row r="2663" spans="22:43" x14ac:dyDescent="0.35">
      <c r="V2663" s="1013"/>
      <c r="W2663" s="138"/>
      <c r="AQ2663" s="138"/>
    </row>
    <row r="2664" spans="22:43" x14ac:dyDescent="0.35">
      <c r="V2664" s="1013"/>
      <c r="W2664" s="138"/>
      <c r="AQ2664" s="138"/>
    </row>
    <row r="2665" spans="22:43" x14ac:dyDescent="0.35">
      <c r="V2665" s="1013"/>
      <c r="W2665" s="138"/>
      <c r="AQ2665" s="138"/>
    </row>
    <row r="2666" spans="22:43" x14ac:dyDescent="0.35">
      <c r="V2666" s="1013"/>
      <c r="W2666" s="138"/>
      <c r="AQ2666" s="138"/>
    </row>
    <row r="2667" spans="22:43" x14ac:dyDescent="0.35">
      <c r="V2667" s="1013"/>
      <c r="W2667" s="138"/>
      <c r="AQ2667" s="138"/>
    </row>
    <row r="2668" spans="22:43" x14ac:dyDescent="0.35">
      <c r="V2668" s="1013"/>
      <c r="W2668" s="138"/>
      <c r="AQ2668" s="138"/>
    </row>
    <row r="2669" spans="22:43" x14ac:dyDescent="0.35">
      <c r="V2669" s="1013"/>
      <c r="W2669" s="138"/>
      <c r="AQ2669" s="138"/>
    </row>
    <row r="2670" spans="22:43" x14ac:dyDescent="0.35">
      <c r="V2670" s="1013"/>
      <c r="W2670" s="138"/>
      <c r="AQ2670" s="138"/>
    </row>
    <row r="2671" spans="22:43" x14ac:dyDescent="0.35">
      <c r="V2671" s="1013"/>
      <c r="W2671" s="138"/>
      <c r="AQ2671" s="138"/>
    </row>
    <row r="2672" spans="22:43" x14ac:dyDescent="0.35">
      <c r="V2672" s="1013"/>
      <c r="W2672" s="138"/>
      <c r="AQ2672" s="138"/>
    </row>
    <row r="2673" spans="22:43" x14ac:dyDescent="0.35">
      <c r="V2673" s="1013"/>
      <c r="W2673" s="138"/>
      <c r="AQ2673" s="138"/>
    </row>
    <row r="2674" spans="22:43" x14ac:dyDescent="0.35">
      <c r="V2674" s="1013"/>
      <c r="W2674" s="138"/>
      <c r="AQ2674" s="138"/>
    </row>
    <row r="2675" spans="22:43" x14ac:dyDescent="0.35">
      <c r="V2675" s="1013"/>
      <c r="W2675" s="138"/>
      <c r="AQ2675" s="138"/>
    </row>
    <row r="2676" spans="22:43" x14ac:dyDescent="0.35">
      <c r="V2676" s="1013"/>
      <c r="W2676" s="138"/>
      <c r="AQ2676" s="138"/>
    </row>
    <row r="2677" spans="22:43" x14ac:dyDescent="0.35">
      <c r="V2677" s="1013"/>
      <c r="W2677" s="138"/>
      <c r="AQ2677" s="138"/>
    </row>
    <row r="2678" spans="22:43" x14ac:dyDescent="0.35">
      <c r="V2678" s="1013"/>
      <c r="W2678" s="138"/>
      <c r="AQ2678" s="138"/>
    </row>
    <row r="2679" spans="22:43" x14ac:dyDescent="0.35">
      <c r="V2679" s="1013"/>
      <c r="W2679" s="138"/>
      <c r="AQ2679" s="138"/>
    </row>
    <row r="2680" spans="22:43" x14ac:dyDescent="0.35">
      <c r="V2680" s="1013"/>
      <c r="W2680" s="138"/>
      <c r="AQ2680" s="138"/>
    </row>
    <row r="2681" spans="22:43" x14ac:dyDescent="0.35">
      <c r="V2681" s="1013"/>
      <c r="W2681" s="138"/>
      <c r="AQ2681" s="138"/>
    </row>
    <row r="2682" spans="22:43" x14ac:dyDescent="0.35">
      <c r="V2682" s="1013"/>
      <c r="W2682" s="138"/>
      <c r="AQ2682" s="138"/>
    </row>
    <row r="2683" spans="22:43" x14ac:dyDescent="0.35">
      <c r="V2683" s="1013"/>
      <c r="W2683" s="138"/>
      <c r="AQ2683" s="138"/>
    </row>
    <row r="2684" spans="22:43" x14ac:dyDescent="0.35">
      <c r="V2684" s="1013"/>
      <c r="W2684" s="138"/>
      <c r="AQ2684" s="138"/>
    </row>
    <row r="2685" spans="22:43" x14ac:dyDescent="0.35">
      <c r="V2685" s="1013"/>
      <c r="W2685" s="138"/>
      <c r="AQ2685" s="138"/>
    </row>
    <row r="2686" spans="22:43" x14ac:dyDescent="0.35">
      <c r="V2686" s="1013"/>
      <c r="W2686" s="138"/>
      <c r="AQ2686" s="138"/>
    </row>
    <row r="2687" spans="22:43" x14ac:dyDescent="0.35">
      <c r="V2687" s="1013"/>
      <c r="W2687" s="138"/>
      <c r="AQ2687" s="138"/>
    </row>
    <row r="2688" spans="22:43" x14ac:dyDescent="0.35">
      <c r="V2688" s="1013"/>
      <c r="W2688" s="138"/>
      <c r="AQ2688" s="138"/>
    </row>
    <row r="2689" spans="22:43" x14ac:dyDescent="0.35">
      <c r="V2689" s="1013"/>
      <c r="W2689" s="138"/>
      <c r="AQ2689" s="138"/>
    </row>
    <row r="2690" spans="22:43" x14ac:dyDescent="0.35">
      <c r="V2690" s="1013"/>
      <c r="W2690" s="138"/>
      <c r="AQ2690" s="138"/>
    </row>
    <row r="2691" spans="22:43" x14ac:dyDescent="0.35">
      <c r="V2691" s="1013"/>
      <c r="W2691" s="138"/>
      <c r="AQ2691" s="138"/>
    </row>
    <row r="2692" spans="22:43" x14ac:dyDescent="0.35">
      <c r="V2692" s="1013"/>
      <c r="W2692" s="138"/>
      <c r="AQ2692" s="138"/>
    </row>
    <row r="2693" spans="22:43" x14ac:dyDescent="0.35">
      <c r="V2693" s="1013"/>
      <c r="W2693" s="138"/>
      <c r="AQ2693" s="138"/>
    </row>
    <row r="2694" spans="22:43" x14ac:dyDescent="0.35">
      <c r="V2694" s="1013"/>
      <c r="W2694" s="138"/>
      <c r="AQ2694" s="138"/>
    </row>
    <row r="2695" spans="22:43" x14ac:dyDescent="0.35">
      <c r="V2695" s="1013"/>
      <c r="W2695" s="138"/>
      <c r="AQ2695" s="138"/>
    </row>
    <row r="2696" spans="22:43" x14ac:dyDescent="0.35">
      <c r="V2696" s="1013"/>
      <c r="W2696" s="138"/>
      <c r="AQ2696" s="138"/>
    </row>
    <row r="2697" spans="22:43" x14ac:dyDescent="0.35">
      <c r="V2697" s="1013"/>
      <c r="W2697" s="138"/>
      <c r="AQ2697" s="138"/>
    </row>
    <row r="2698" spans="22:43" x14ac:dyDescent="0.35">
      <c r="V2698" s="1013"/>
      <c r="W2698" s="138"/>
      <c r="AQ2698" s="138"/>
    </row>
    <row r="2699" spans="22:43" x14ac:dyDescent="0.35">
      <c r="V2699" s="1013"/>
      <c r="W2699" s="138"/>
      <c r="AQ2699" s="138"/>
    </row>
    <row r="2700" spans="22:43" x14ac:dyDescent="0.35">
      <c r="V2700" s="1013"/>
      <c r="W2700" s="138"/>
      <c r="AQ2700" s="138"/>
    </row>
    <row r="2701" spans="22:43" x14ac:dyDescent="0.35">
      <c r="V2701" s="1013"/>
      <c r="W2701" s="138"/>
      <c r="AQ2701" s="138"/>
    </row>
    <row r="2702" spans="22:43" x14ac:dyDescent="0.35">
      <c r="V2702" s="1013"/>
      <c r="W2702" s="138"/>
      <c r="AQ2702" s="138"/>
    </row>
    <row r="2703" spans="22:43" x14ac:dyDescent="0.35">
      <c r="V2703" s="1013"/>
      <c r="W2703" s="138"/>
      <c r="AQ2703" s="138"/>
    </row>
    <row r="2704" spans="22:43" x14ac:dyDescent="0.35">
      <c r="V2704" s="1013"/>
      <c r="W2704" s="138"/>
      <c r="AQ2704" s="138"/>
    </row>
    <row r="2705" spans="22:43" x14ac:dyDescent="0.35">
      <c r="V2705" s="1013"/>
      <c r="W2705" s="138"/>
      <c r="AQ2705" s="138"/>
    </row>
    <row r="2706" spans="22:43" x14ac:dyDescent="0.35">
      <c r="V2706" s="1013"/>
      <c r="W2706" s="138"/>
      <c r="AQ2706" s="138"/>
    </row>
    <row r="2707" spans="22:43" x14ac:dyDescent="0.35">
      <c r="V2707" s="1013"/>
      <c r="W2707" s="138"/>
      <c r="AQ2707" s="138"/>
    </row>
    <row r="2708" spans="22:43" x14ac:dyDescent="0.35">
      <c r="V2708" s="1013"/>
      <c r="W2708" s="138"/>
      <c r="AQ2708" s="138"/>
    </row>
    <row r="2709" spans="22:43" x14ac:dyDescent="0.35">
      <c r="V2709" s="1013"/>
      <c r="W2709" s="138"/>
      <c r="AQ2709" s="138"/>
    </row>
    <row r="2710" spans="22:43" x14ac:dyDescent="0.35">
      <c r="V2710" s="1013"/>
      <c r="W2710" s="138"/>
      <c r="AQ2710" s="138"/>
    </row>
    <row r="2711" spans="22:43" x14ac:dyDescent="0.35">
      <c r="V2711" s="1013"/>
      <c r="W2711" s="138"/>
      <c r="AQ2711" s="138"/>
    </row>
    <row r="2712" spans="22:43" x14ac:dyDescent="0.35">
      <c r="V2712" s="1013"/>
      <c r="W2712" s="138"/>
      <c r="AQ2712" s="138"/>
    </row>
    <row r="2713" spans="22:43" x14ac:dyDescent="0.35">
      <c r="V2713" s="1013"/>
      <c r="W2713" s="138"/>
      <c r="AQ2713" s="138"/>
    </row>
    <row r="2714" spans="22:43" x14ac:dyDescent="0.35">
      <c r="V2714" s="1013"/>
      <c r="W2714" s="138"/>
      <c r="AQ2714" s="138"/>
    </row>
    <row r="2715" spans="22:43" x14ac:dyDescent="0.35">
      <c r="V2715" s="1013"/>
      <c r="W2715" s="138"/>
      <c r="AQ2715" s="138"/>
    </row>
    <row r="2716" spans="22:43" x14ac:dyDescent="0.35">
      <c r="V2716" s="1013"/>
      <c r="W2716" s="138"/>
      <c r="AQ2716" s="138"/>
    </row>
    <row r="2717" spans="22:43" x14ac:dyDescent="0.35">
      <c r="V2717" s="1013"/>
      <c r="W2717" s="138"/>
      <c r="AQ2717" s="138"/>
    </row>
    <row r="2718" spans="22:43" x14ac:dyDescent="0.35">
      <c r="V2718" s="1013"/>
      <c r="W2718" s="138"/>
      <c r="AQ2718" s="138"/>
    </row>
    <row r="2719" spans="22:43" x14ac:dyDescent="0.35">
      <c r="V2719" s="1013"/>
      <c r="W2719" s="138"/>
      <c r="AQ2719" s="138"/>
    </row>
    <row r="2720" spans="22:43" x14ac:dyDescent="0.35">
      <c r="V2720" s="1013"/>
      <c r="W2720" s="138"/>
      <c r="AQ2720" s="138"/>
    </row>
    <row r="2721" spans="22:43" x14ac:dyDescent="0.35">
      <c r="V2721" s="1013"/>
      <c r="W2721" s="138"/>
      <c r="AQ2721" s="138"/>
    </row>
    <row r="2722" spans="22:43" x14ac:dyDescent="0.35">
      <c r="V2722" s="1013"/>
      <c r="W2722" s="138"/>
      <c r="AQ2722" s="138"/>
    </row>
    <row r="2723" spans="22:43" x14ac:dyDescent="0.35">
      <c r="V2723" s="1013"/>
      <c r="W2723" s="138"/>
      <c r="AQ2723" s="138"/>
    </row>
    <row r="2724" spans="22:43" x14ac:dyDescent="0.35">
      <c r="V2724" s="1013"/>
      <c r="W2724" s="138"/>
      <c r="AQ2724" s="138"/>
    </row>
    <row r="2725" spans="22:43" x14ac:dyDescent="0.35">
      <c r="V2725" s="1013"/>
      <c r="W2725" s="138"/>
      <c r="AQ2725" s="138"/>
    </row>
    <row r="2726" spans="22:43" x14ac:dyDescent="0.35">
      <c r="V2726" s="1013"/>
      <c r="W2726" s="138"/>
      <c r="AQ2726" s="138"/>
    </row>
    <row r="2727" spans="22:43" x14ac:dyDescent="0.35">
      <c r="V2727" s="1013"/>
      <c r="W2727" s="138"/>
      <c r="AQ2727" s="138"/>
    </row>
    <row r="2728" spans="22:43" x14ac:dyDescent="0.35">
      <c r="V2728" s="1013"/>
      <c r="W2728" s="138"/>
      <c r="AQ2728" s="138"/>
    </row>
    <row r="2729" spans="22:43" x14ac:dyDescent="0.35">
      <c r="V2729" s="1013"/>
      <c r="W2729" s="138"/>
      <c r="AQ2729" s="138"/>
    </row>
    <row r="2730" spans="22:43" x14ac:dyDescent="0.35">
      <c r="V2730" s="1013"/>
      <c r="W2730" s="138"/>
      <c r="AQ2730" s="138"/>
    </row>
    <row r="2731" spans="22:43" x14ac:dyDescent="0.35">
      <c r="V2731" s="1013"/>
      <c r="W2731" s="138"/>
      <c r="AQ2731" s="138"/>
    </row>
    <row r="2732" spans="22:43" x14ac:dyDescent="0.35">
      <c r="V2732" s="1013"/>
      <c r="W2732" s="138"/>
      <c r="AQ2732" s="138"/>
    </row>
    <row r="2733" spans="22:43" x14ac:dyDescent="0.35">
      <c r="V2733" s="1013"/>
      <c r="W2733" s="138"/>
      <c r="AQ2733" s="138"/>
    </row>
    <row r="2734" spans="22:43" x14ac:dyDescent="0.35">
      <c r="V2734" s="1013"/>
      <c r="W2734" s="138"/>
      <c r="AQ2734" s="138"/>
    </row>
    <row r="2735" spans="22:43" x14ac:dyDescent="0.35">
      <c r="V2735" s="1013"/>
      <c r="W2735" s="138"/>
      <c r="AQ2735" s="138"/>
    </row>
    <row r="2736" spans="22:43" x14ac:dyDescent="0.35">
      <c r="V2736" s="1013"/>
      <c r="W2736" s="138"/>
      <c r="AQ2736" s="138"/>
    </row>
    <row r="2737" spans="22:43" x14ac:dyDescent="0.35">
      <c r="V2737" s="1013"/>
      <c r="W2737" s="138"/>
      <c r="AQ2737" s="138"/>
    </row>
    <row r="2738" spans="22:43" x14ac:dyDescent="0.35">
      <c r="V2738" s="1013"/>
      <c r="W2738" s="138"/>
      <c r="AQ2738" s="138"/>
    </row>
    <row r="2739" spans="22:43" x14ac:dyDescent="0.35">
      <c r="V2739" s="1013"/>
      <c r="W2739" s="138"/>
      <c r="AQ2739" s="138"/>
    </row>
    <row r="2740" spans="22:43" x14ac:dyDescent="0.35">
      <c r="V2740" s="1013"/>
      <c r="W2740" s="138"/>
      <c r="AQ2740" s="138"/>
    </row>
    <row r="2741" spans="22:43" x14ac:dyDescent="0.35">
      <c r="V2741" s="1013"/>
      <c r="W2741" s="138"/>
      <c r="AQ2741" s="138"/>
    </row>
    <row r="2742" spans="22:43" x14ac:dyDescent="0.35">
      <c r="V2742" s="1013"/>
      <c r="W2742" s="138"/>
      <c r="AQ2742" s="138"/>
    </row>
    <row r="2743" spans="22:43" x14ac:dyDescent="0.35">
      <c r="V2743" s="1013"/>
      <c r="W2743" s="138"/>
      <c r="AQ2743" s="138"/>
    </row>
    <row r="2744" spans="22:43" x14ac:dyDescent="0.35">
      <c r="V2744" s="1013"/>
      <c r="W2744" s="138"/>
      <c r="AQ2744" s="138"/>
    </row>
    <row r="2745" spans="22:43" x14ac:dyDescent="0.35">
      <c r="V2745" s="1013"/>
      <c r="W2745" s="138"/>
      <c r="AQ2745" s="138"/>
    </row>
    <row r="2746" spans="22:43" x14ac:dyDescent="0.35">
      <c r="V2746" s="1013"/>
      <c r="W2746" s="138"/>
      <c r="AQ2746" s="138"/>
    </row>
    <row r="2747" spans="22:43" x14ac:dyDescent="0.35">
      <c r="V2747" s="1013"/>
      <c r="W2747" s="138"/>
      <c r="AQ2747" s="138"/>
    </row>
    <row r="2748" spans="22:43" x14ac:dyDescent="0.35">
      <c r="V2748" s="1013"/>
      <c r="W2748" s="138"/>
      <c r="AQ2748" s="138"/>
    </row>
    <row r="2749" spans="22:43" x14ac:dyDescent="0.35">
      <c r="V2749" s="1013"/>
      <c r="W2749" s="138"/>
      <c r="AQ2749" s="138"/>
    </row>
    <row r="2750" spans="22:43" x14ac:dyDescent="0.35">
      <c r="V2750" s="1013"/>
      <c r="W2750" s="138"/>
      <c r="AQ2750" s="138"/>
    </row>
    <row r="2751" spans="22:43" x14ac:dyDescent="0.35">
      <c r="V2751" s="1013"/>
      <c r="W2751" s="138"/>
      <c r="AQ2751" s="138"/>
    </row>
    <row r="2752" spans="22:43" x14ac:dyDescent="0.35">
      <c r="V2752" s="1013"/>
      <c r="W2752" s="138"/>
      <c r="AQ2752" s="138"/>
    </row>
    <row r="2753" spans="22:43" x14ac:dyDescent="0.35">
      <c r="V2753" s="1013"/>
      <c r="W2753" s="138"/>
      <c r="AQ2753" s="138"/>
    </row>
    <row r="2754" spans="22:43" x14ac:dyDescent="0.35">
      <c r="V2754" s="1013"/>
      <c r="W2754" s="138"/>
      <c r="AQ2754" s="138"/>
    </row>
    <row r="2755" spans="22:43" x14ac:dyDescent="0.35">
      <c r="V2755" s="1013"/>
      <c r="W2755" s="138"/>
      <c r="AQ2755" s="138"/>
    </row>
    <row r="2756" spans="22:43" x14ac:dyDescent="0.35">
      <c r="V2756" s="1013"/>
      <c r="W2756" s="138"/>
      <c r="AQ2756" s="138"/>
    </row>
    <row r="2757" spans="22:43" x14ac:dyDescent="0.35">
      <c r="V2757" s="1013"/>
      <c r="W2757" s="138"/>
      <c r="AQ2757" s="138"/>
    </row>
    <row r="2758" spans="22:43" x14ac:dyDescent="0.35">
      <c r="V2758" s="1013"/>
      <c r="W2758" s="138"/>
      <c r="AQ2758" s="138"/>
    </row>
    <row r="2759" spans="22:43" x14ac:dyDescent="0.35">
      <c r="V2759" s="1013"/>
      <c r="W2759" s="138"/>
      <c r="AQ2759" s="138"/>
    </row>
    <row r="2760" spans="22:43" x14ac:dyDescent="0.35">
      <c r="V2760" s="1013"/>
      <c r="W2760" s="138"/>
      <c r="AQ2760" s="138"/>
    </row>
    <row r="2761" spans="22:43" x14ac:dyDescent="0.35">
      <c r="V2761" s="1013"/>
      <c r="W2761" s="138"/>
      <c r="AQ2761" s="138"/>
    </row>
    <row r="2762" spans="22:43" x14ac:dyDescent="0.35">
      <c r="V2762" s="1013"/>
      <c r="W2762" s="138"/>
      <c r="AQ2762" s="138"/>
    </row>
    <row r="2763" spans="22:43" x14ac:dyDescent="0.35">
      <c r="V2763" s="1013"/>
      <c r="W2763" s="138"/>
      <c r="AQ2763" s="138"/>
    </row>
    <row r="2764" spans="22:43" x14ac:dyDescent="0.35">
      <c r="V2764" s="1013"/>
      <c r="W2764" s="138"/>
      <c r="AQ2764" s="138"/>
    </row>
    <row r="2765" spans="22:43" x14ac:dyDescent="0.35">
      <c r="V2765" s="1013"/>
      <c r="W2765" s="138"/>
      <c r="AQ2765" s="138"/>
    </row>
    <row r="2766" spans="22:43" x14ac:dyDescent="0.35">
      <c r="V2766" s="1013"/>
      <c r="W2766" s="138"/>
      <c r="AQ2766" s="138"/>
    </row>
    <row r="2767" spans="22:43" x14ac:dyDescent="0.35">
      <c r="V2767" s="1013"/>
      <c r="W2767" s="138"/>
      <c r="AQ2767" s="138"/>
    </row>
    <row r="2768" spans="22:43" x14ac:dyDescent="0.35">
      <c r="V2768" s="1013"/>
      <c r="W2768" s="138"/>
      <c r="AQ2768" s="138"/>
    </row>
    <row r="2769" spans="22:43" x14ac:dyDescent="0.35">
      <c r="V2769" s="1013"/>
      <c r="W2769" s="138"/>
      <c r="AQ2769" s="138"/>
    </row>
    <row r="2770" spans="22:43" x14ac:dyDescent="0.35">
      <c r="V2770" s="1013"/>
      <c r="W2770" s="138"/>
      <c r="AQ2770" s="138"/>
    </row>
    <row r="2771" spans="22:43" x14ac:dyDescent="0.35">
      <c r="V2771" s="1013"/>
      <c r="W2771" s="138"/>
      <c r="AQ2771" s="138"/>
    </row>
    <row r="2772" spans="22:43" x14ac:dyDescent="0.35">
      <c r="V2772" s="1013"/>
      <c r="W2772" s="138"/>
      <c r="AQ2772" s="138"/>
    </row>
    <row r="2773" spans="22:43" x14ac:dyDescent="0.35">
      <c r="V2773" s="1013"/>
      <c r="W2773" s="138"/>
      <c r="AQ2773" s="138"/>
    </row>
    <row r="2774" spans="22:43" x14ac:dyDescent="0.35">
      <c r="V2774" s="1013"/>
      <c r="W2774" s="138"/>
      <c r="AQ2774" s="138"/>
    </row>
    <row r="2775" spans="22:43" x14ac:dyDescent="0.35">
      <c r="V2775" s="1013"/>
      <c r="W2775" s="138"/>
      <c r="AQ2775" s="138"/>
    </row>
    <row r="2776" spans="22:43" x14ac:dyDescent="0.35">
      <c r="V2776" s="1013"/>
      <c r="W2776" s="138"/>
      <c r="AQ2776" s="138"/>
    </row>
    <row r="2777" spans="22:43" x14ac:dyDescent="0.35">
      <c r="V2777" s="1013"/>
      <c r="W2777" s="138"/>
      <c r="AQ2777" s="138"/>
    </row>
    <row r="2778" spans="22:43" x14ac:dyDescent="0.35">
      <c r="V2778" s="1013"/>
      <c r="W2778" s="138"/>
      <c r="AQ2778" s="138"/>
    </row>
    <row r="2779" spans="22:43" x14ac:dyDescent="0.35">
      <c r="V2779" s="1013"/>
      <c r="W2779" s="138"/>
      <c r="AQ2779" s="138"/>
    </row>
    <row r="2780" spans="22:43" x14ac:dyDescent="0.35">
      <c r="V2780" s="1013"/>
      <c r="W2780" s="138"/>
      <c r="AQ2780" s="138"/>
    </row>
    <row r="2781" spans="22:43" x14ac:dyDescent="0.35">
      <c r="V2781" s="1013"/>
      <c r="W2781" s="138"/>
      <c r="AQ2781" s="138"/>
    </row>
    <row r="2782" spans="22:43" x14ac:dyDescent="0.35">
      <c r="V2782" s="1013"/>
      <c r="W2782" s="138"/>
      <c r="AQ2782" s="138"/>
    </row>
    <row r="2783" spans="22:43" x14ac:dyDescent="0.35">
      <c r="V2783" s="1013"/>
      <c r="W2783" s="138"/>
      <c r="AQ2783" s="138"/>
    </row>
    <row r="2784" spans="22:43" x14ac:dyDescent="0.35">
      <c r="V2784" s="1013"/>
      <c r="W2784" s="138"/>
      <c r="AQ2784" s="138"/>
    </row>
    <row r="2785" spans="22:43" x14ac:dyDescent="0.35">
      <c r="V2785" s="1013"/>
      <c r="W2785" s="138"/>
      <c r="AQ2785" s="138"/>
    </row>
    <row r="2786" spans="22:43" x14ac:dyDescent="0.35">
      <c r="V2786" s="1013"/>
      <c r="W2786" s="138"/>
      <c r="AQ2786" s="138"/>
    </row>
    <row r="2787" spans="22:43" x14ac:dyDescent="0.35">
      <c r="V2787" s="1013"/>
      <c r="W2787" s="138"/>
      <c r="AQ2787" s="138"/>
    </row>
    <row r="2788" spans="22:43" x14ac:dyDescent="0.35">
      <c r="V2788" s="1013"/>
      <c r="W2788" s="138"/>
      <c r="AQ2788" s="138"/>
    </row>
    <row r="2789" spans="22:43" x14ac:dyDescent="0.35">
      <c r="V2789" s="1013"/>
      <c r="W2789" s="138"/>
      <c r="AQ2789" s="138"/>
    </row>
    <row r="2790" spans="22:43" x14ac:dyDescent="0.35">
      <c r="V2790" s="1013"/>
      <c r="W2790" s="138"/>
      <c r="AQ2790" s="138"/>
    </row>
    <row r="2791" spans="22:43" x14ac:dyDescent="0.35">
      <c r="V2791" s="1013"/>
      <c r="W2791" s="138"/>
      <c r="AQ2791" s="138"/>
    </row>
    <row r="2792" spans="22:43" x14ac:dyDescent="0.35">
      <c r="V2792" s="1013"/>
      <c r="W2792" s="138"/>
      <c r="AQ2792" s="138"/>
    </row>
    <row r="2793" spans="22:43" x14ac:dyDescent="0.35">
      <c r="V2793" s="1013"/>
      <c r="W2793" s="138"/>
      <c r="AQ2793" s="138"/>
    </row>
    <row r="2794" spans="22:43" x14ac:dyDescent="0.35">
      <c r="V2794" s="1013"/>
      <c r="W2794" s="138"/>
      <c r="AQ2794" s="138"/>
    </row>
    <row r="2795" spans="22:43" x14ac:dyDescent="0.35">
      <c r="V2795" s="1013"/>
      <c r="W2795" s="138"/>
      <c r="AQ2795" s="138"/>
    </row>
    <row r="2796" spans="22:43" x14ac:dyDescent="0.35">
      <c r="V2796" s="1013"/>
      <c r="W2796" s="138"/>
      <c r="AQ2796" s="138"/>
    </row>
    <row r="2797" spans="22:43" x14ac:dyDescent="0.35">
      <c r="V2797" s="1013"/>
      <c r="W2797" s="138"/>
      <c r="AQ2797" s="138"/>
    </row>
    <row r="2798" spans="22:43" x14ac:dyDescent="0.35">
      <c r="V2798" s="1013"/>
      <c r="W2798" s="138"/>
      <c r="AQ2798" s="138"/>
    </row>
    <row r="2799" spans="22:43" x14ac:dyDescent="0.35">
      <c r="V2799" s="1013"/>
      <c r="W2799" s="138"/>
      <c r="AQ2799" s="138"/>
    </row>
    <row r="2800" spans="22:43" x14ac:dyDescent="0.35">
      <c r="V2800" s="1013"/>
      <c r="W2800" s="138"/>
      <c r="AQ2800" s="138"/>
    </row>
    <row r="2801" spans="22:43" x14ac:dyDescent="0.35">
      <c r="V2801" s="1013"/>
      <c r="W2801" s="138"/>
      <c r="AQ2801" s="138"/>
    </row>
    <row r="2802" spans="22:43" x14ac:dyDescent="0.35">
      <c r="V2802" s="1013"/>
      <c r="W2802" s="138"/>
      <c r="AQ2802" s="138"/>
    </row>
    <row r="2803" spans="22:43" x14ac:dyDescent="0.35">
      <c r="V2803" s="1013"/>
      <c r="W2803" s="138"/>
      <c r="AQ2803" s="138"/>
    </row>
    <row r="2804" spans="22:43" x14ac:dyDescent="0.35">
      <c r="V2804" s="1013"/>
      <c r="W2804" s="138"/>
      <c r="AQ2804" s="138"/>
    </row>
    <row r="2805" spans="22:43" x14ac:dyDescent="0.35">
      <c r="V2805" s="1013"/>
      <c r="W2805" s="138"/>
      <c r="AQ2805" s="138"/>
    </row>
    <row r="2806" spans="22:43" x14ac:dyDescent="0.35">
      <c r="V2806" s="1013"/>
      <c r="W2806" s="138"/>
      <c r="AQ2806" s="138"/>
    </row>
    <row r="2807" spans="22:43" x14ac:dyDescent="0.35">
      <c r="V2807" s="1013"/>
      <c r="W2807" s="138"/>
      <c r="AQ2807" s="138"/>
    </row>
    <row r="2808" spans="22:43" x14ac:dyDescent="0.35">
      <c r="V2808" s="1013"/>
      <c r="W2808" s="138"/>
      <c r="AQ2808" s="138"/>
    </row>
    <row r="2809" spans="22:43" x14ac:dyDescent="0.35">
      <c r="V2809" s="1013"/>
      <c r="W2809" s="138"/>
      <c r="AQ2809" s="138"/>
    </row>
    <row r="2810" spans="22:43" x14ac:dyDescent="0.35">
      <c r="V2810" s="1013"/>
      <c r="W2810" s="138"/>
      <c r="AQ2810" s="138"/>
    </row>
    <row r="2811" spans="22:43" x14ac:dyDescent="0.35">
      <c r="V2811" s="1013"/>
      <c r="W2811" s="138"/>
      <c r="AQ2811" s="138"/>
    </row>
    <row r="2812" spans="22:43" x14ac:dyDescent="0.35">
      <c r="V2812" s="1013"/>
      <c r="W2812" s="138"/>
      <c r="AQ2812" s="138"/>
    </row>
    <row r="2813" spans="22:43" x14ac:dyDescent="0.35">
      <c r="V2813" s="1013"/>
      <c r="W2813" s="138"/>
      <c r="AQ2813" s="138"/>
    </row>
    <row r="2814" spans="22:43" x14ac:dyDescent="0.35">
      <c r="V2814" s="1013"/>
      <c r="W2814" s="138"/>
      <c r="AQ2814" s="138"/>
    </row>
    <row r="2815" spans="22:43" x14ac:dyDescent="0.35">
      <c r="V2815" s="1013"/>
      <c r="W2815" s="138"/>
      <c r="AQ2815" s="138"/>
    </row>
    <row r="2816" spans="22:43" x14ac:dyDescent="0.35">
      <c r="V2816" s="1013"/>
      <c r="W2816" s="138"/>
      <c r="AQ2816" s="138"/>
    </row>
    <row r="2817" spans="22:43" x14ac:dyDescent="0.35">
      <c r="V2817" s="1013"/>
      <c r="W2817" s="138"/>
      <c r="AQ2817" s="138"/>
    </row>
    <row r="2818" spans="22:43" x14ac:dyDescent="0.35">
      <c r="V2818" s="1013"/>
      <c r="W2818" s="138"/>
      <c r="AQ2818" s="138"/>
    </row>
    <row r="2819" spans="22:43" x14ac:dyDescent="0.35">
      <c r="V2819" s="1013"/>
      <c r="W2819" s="138"/>
      <c r="AQ2819" s="138"/>
    </row>
    <row r="2820" spans="22:43" x14ac:dyDescent="0.35">
      <c r="V2820" s="1013"/>
      <c r="W2820" s="138"/>
      <c r="AQ2820" s="138"/>
    </row>
    <row r="2821" spans="22:43" x14ac:dyDescent="0.35">
      <c r="V2821" s="1013"/>
      <c r="W2821" s="138"/>
      <c r="AQ2821" s="138"/>
    </row>
    <row r="2822" spans="22:43" x14ac:dyDescent="0.35">
      <c r="V2822" s="1013"/>
      <c r="W2822" s="138"/>
      <c r="AQ2822" s="138"/>
    </row>
    <row r="2823" spans="22:43" x14ac:dyDescent="0.35">
      <c r="V2823" s="1013"/>
      <c r="W2823" s="138"/>
      <c r="AQ2823" s="138"/>
    </row>
    <row r="2824" spans="22:43" x14ac:dyDescent="0.35">
      <c r="V2824" s="1013"/>
      <c r="W2824" s="138"/>
      <c r="AQ2824" s="138"/>
    </row>
    <row r="2825" spans="22:43" x14ac:dyDescent="0.35">
      <c r="V2825" s="1013"/>
      <c r="W2825" s="138"/>
      <c r="AQ2825" s="138"/>
    </row>
    <row r="2826" spans="22:43" x14ac:dyDescent="0.35">
      <c r="V2826" s="1013"/>
      <c r="W2826" s="138"/>
      <c r="AQ2826" s="138"/>
    </row>
    <row r="2827" spans="22:43" x14ac:dyDescent="0.35">
      <c r="V2827" s="1013"/>
      <c r="W2827" s="138"/>
      <c r="AQ2827" s="138"/>
    </row>
    <row r="2828" spans="22:43" x14ac:dyDescent="0.35">
      <c r="V2828" s="1013"/>
      <c r="W2828" s="138"/>
      <c r="AQ2828" s="138"/>
    </row>
    <row r="2829" spans="22:43" x14ac:dyDescent="0.35">
      <c r="V2829" s="1013"/>
      <c r="W2829" s="138"/>
      <c r="AQ2829" s="138"/>
    </row>
    <row r="2830" spans="22:43" x14ac:dyDescent="0.35">
      <c r="V2830" s="1013"/>
      <c r="W2830" s="138"/>
      <c r="AQ2830" s="138"/>
    </row>
    <row r="2831" spans="22:43" x14ac:dyDescent="0.35">
      <c r="V2831" s="1013"/>
      <c r="W2831" s="138"/>
      <c r="AQ2831" s="138"/>
    </row>
    <row r="2832" spans="22:43" x14ac:dyDescent="0.35">
      <c r="V2832" s="1013"/>
      <c r="W2832" s="138"/>
      <c r="AQ2832" s="138"/>
    </row>
    <row r="2833" spans="22:43" x14ac:dyDescent="0.35">
      <c r="V2833" s="1013"/>
      <c r="W2833" s="138"/>
      <c r="AQ2833" s="138"/>
    </row>
    <row r="2834" spans="22:43" x14ac:dyDescent="0.35">
      <c r="V2834" s="1013"/>
      <c r="W2834" s="138"/>
      <c r="AQ2834" s="138"/>
    </row>
    <row r="2835" spans="22:43" x14ac:dyDescent="0.35">
      <c r="V2835" s="1013"/>
      <c r="W2835" s="138"/>
      <c r="AQ2835" s="138"/>
    </row>
    <row r="2836" spans="22:43" x14ac:dyDescent="0.35">
      <c r="V2836" s="1013"/>
      <c r="W2836" s="138"/>
      <c r="AQ2836" s="138"/>
    </row>
    <row r="2837" spans="22:43" x14ac:dyDescent="0.35">
      <c r="V2837" s="1013"/>
      <c r="W2837" s="138"/>
      <c r="AQ2837" s="138"/>
    </row>
    <row r="2838" spans="22:43" x14ac:dyDescent="0.35">
      <c r="V2838" s="1013"/>
      <c r="W2838" s="138"/>
      <c r="AQ2838" s="138"/>
    </row>
    <row r="2839" spans="22:43" x14ac:dyDescent="0.35">
      <c r="V2839" s="1013"/>
      <c r="W2839" s="138"/>
      <c r="AQ2839" s="138"/>
    </row>
    <row r="2840" spans="22:43" x14ac:dyDescent="0.35">
      <c r="V2840" s="1013"/>
      <c r="W2840" s="138"/>
      <c r="AQ2840" s="138"/>
    </row>
    <row r="2841" spans="22:43" x14ac:dyDescent="0.35">
      <c r="V2841" s="1013"/>
      <c r="W2841" s="138"/>
      <c r="AQ2841" s="138"/>
    </row>
    <row r="2842" spans="22:43" x14ac:dyDescent="0.35">
      <c r="V2842" s="1013"/>
      <c r="W2842" s="138"/>
      <c r="AQ2842" s="138"/>
    </row>
    <row r="2843" spans="22:43" x14ac:dyDescent="0.35">
      <c r="V2843" s="1013"/>
      <c r="W2843" s="138"/>
      <c r="AQ2843" s="138"/>
    </row>
    <row r="2844" spans="22:43" x14ac:dyDescent="0.35">
      <c r="V2844" s="1013"/>
      <c r="W2844" s="138"/>
      <c r="AQ2844" s="138"/>
    </row>
    <row r="2845" spans="22:43" x14ac:dyDescent="0.35">
      <c r="V2845" s="1013"/>
      <c r="W2845" s="138"/>
      <c r="AQ2845" s="138"/>
    </row>
    <row r="2846" spans="22:43" x14ac:dyDescent="0.35">
      <c r="V2846" s="1013"/>
      <c r="W2846" s="138"/>
      <c r="AQ2846" s="138"/>
    </row>
    <row r="2847" spans="22:43" x14ac:dyDescent="0.35">
      <c r="V2847" s="1013"/>
      <c r="W2847" s="138"/>
      <c r="AQ2847" s="138"/>
    </row>
    <row r="2848" spans="22:43" x14ac:dyDescent="0.35">
      <c r="V2848" s="1013"/>
      <c r="W2848" s="138"/>
      <c r="AQ2848" s="138"/>
    </row>
    <row r="2849" spans="22:43" x14ac:dyDescent="0.35">
      <c r="V2849" s="1013"/>
      <c r="W2849" s="138"/>
      <c r="AQ2849" s="138"/>
    </row>
    <row r="2850" spans="22:43" x14ac:dyDescent="0.35">
      <c r="V2850" s="1013"/>
      <c r="W2850" s="138"/>
      <c r="AQ2850" s="138"/>
    </row>
    <row r="2851" spans="22:43" x14ac:dyDescent="0.35">
      <c r="V2851" s="1013"/>
      <c r="W2851" s="138"/>
      <c r="AQ2851" s="138"/>
    </row>
    <row r="2852" spans="22:43" x14ac:dyDescent="0.35">
      <c r="V2852" s="1013"/>
      <c r="W2852" s="138"/>
      <c r="AQ2852" s="138"/>
    </row>
    <row r="2853" spans="22:43" x14ac:dyDescent="0.35">
      <c r="V2853" s="1013"/>
      <c r="W2853" s="138"/>
      <c r="AQ2853" s="138"/>
    </row>
    <row r="2854" spans="22:43" x14ac:dyDescent="0.35">
      <c r="V2854" s="1013"/>
      <c r="W2854" s="138"/>
      <c r="AQ2854" s="138"/>
    </row>
    <row r="2855" spans="22:43" x14ac:dyDescent="0.35">
      <c r="V2855" s="1013"/>
      <c r="W2855" s="138"/>
      <c r="AQ2855" s="138"/>
    </row>
    <row r="2856" spans="22:43" x14ac:dyDescent="0.35">
      <c r="V2856" s="1013"/>
      <c r="W2856" s="138"/>
      <c r="AQ2856" s="138"/>
    </row>
    <row r="2857" spans="22:43" x14ac:dyDescent="0.35">
      <c r="V2857" s="1013"/>
      <c r="W2857" s="138"/>
      <c r="AQ2857" s="138"/>
    </row>
    <row r="2858" spans="22:43" x14ac:dyDescent="0.35">
      <c r="V2858" s="1013"/>
      <c r="W2858" s="138"/>
      <c r="AQ2858" s="138"/>
    </row>
    <row r="2859" spans="22:43" x14ac:dyDescent="0.35">
      <c r="V2859" s="1013"/>
      <c r="W2859" s="138"/>
      <c r="AQ2859" s="138"/>
    </row>
    <row r="2860" spans="22:43" x14ac:dyDescent="0.35">
      <c r="V2860" s="1013"/>
      <c r="W2860" s="138"/>
      <c r="AQ2860" s="138"/>
    </row>
    <row r="2861" spans="22:43" x14ac:dyDescent="0.35">
      <c r="V2861" s="1013"/>
      <c r="W2861" s="138"/>
      <c r="AQ2861" s="138"/>
    </row>
    <row r="2862" spans="22:43" x14ac:dyDescent="0.35">
      <c r="V2862" s="1013"/>
      <c r="W2862" s="138"/>
      <c r="AQ2862" s="138"/>
    </row>
    <row r="2863" spans="22:43" x14ac:dyDescent="0.35">
      <c r="V2863" s="1013"/>
      <c r="W2863" s="138"/>
      <c r="AQ2863" s="138"/>
    </row>
    <row r="2864" spans="22:43" x14ac:dyDescent="0.35">
      <c r="V2864" s="1013"/>
      <c r="W2864" s="138"/>
      <c r="AQ2864" s="138"/>
    </row>
    <row r="2865" spans="22:43" x14ac:dyDescent="0.35">
      <c r="V2865" s="1013"/>
      <c r="W2865" s="138"/>
      <c r="AQ2865" s="138"/>
    </row>
    <row r="2866" spans="22:43" x14ac:dyDescent="0.35">
      <c r="V2866" s="1013"/>
      <c r="W2866" s="138"/>
      <c r="AQ2866" s="138"/>
    </row>
    <row r="2867" spans="22:43" x14ac:dyDescent="0.35">
      <c r="V2867" s="1013"/>
      <c r="W2867" s="138"/>
      <c r="AQ2867" s="138"/>
    </row>
    <row r="2868" spans="22:43" x14ac:dyDescent="0.35">
      <c r="V2868" s="1013"/>
      <c r="W2868" s="138"/>
      <c r="AQ2868" s="138"/>
    </row>
    <row r="2869" spans="22:43" x14ac:dyDescent="0.35">
      <c r="V2869" s="1013"/>
      <c r="W2869" s="138"/>
      <c r="AQ2869" s="138"/>
    </row>
    <row r="2870" spans="22:43" x14ac:dyDescent="0.35">
      <c r="V2870" s="1013"/>
      <c r="W2870" s="138"/>
      <c r="AQ2870" s="138"/>
    </row>
    <row r="2871" spans="22:43" x14ac:dyDescent="0.35">
      <c r="V2871" s="1013"/>
      <c r="W2871" s="138"/>
      <c r="AQ2871" s="138"/>
    </row>
    <row r="2872" spans="22:43" x14ac:dyDescent="0.35">
      <c r="V2872" s="1013"/>
      <c r="W2872" s="138"/>
      <c r="AQ2872" s="138"/>
    </row>
    <row r="2873" spans="22:43" x14ac:dyDescent="0.35">
      <c r="V2873" s="1013"/>
      <c r="W2873" s="138"/>
      <c r="AQ2873" s="138"/>
    </row>
    <row r="2874" spans="22:43" x14ac:dyDescent="0.35">
      <c r="V2874" s="1013"/>
      <c r="W2874" s="138"/>
      <c r="AQ2874" s="138"/>
    </row>
    <row r="2875" spans="22:43" x14ac:dyDescent="0.35">
      <c r="V2875" s="1013"/>
      <c r="W2875" s="138"/>
      <c r="AQ2875" s="138"/>
    </row>
    <row r="2876" spans="22:43" x14ac:dyDescent="0.35">
      <c r="V2876" s="1013"/>
      <c r="W2876" s="138"/>
      <c r="AQ2876" s="138"/>
    </row>
    <row r="2877" spans="22:43" x14ac:dyDescent="0.35">
      <c r="V2877" s="1013"/>
      <c r="W2877" s="138"/>
      <c r="AQ2877" s="138"/>
    </row>
    <row r="2878" spans="22:43" x14ac:dyDescent="0.35">
      <c r="V2878" s="1013"/>
      <c r="W2878" s="138"/>
      <c r="AQ2878" s="138"/>
    </row>
    <row r="2879" spans="22:43" x14ac:dyDescent="0.35">
      <c r="V2879" s="1013"/>
      <c r="W2879" s="138"/>
      <c r="AQ2879" s="138"/>
    </row>
    <row r="2880" spans="22:43" x14ac:dyDescent="0.35">
      <c r="V2880" s="1013"/>
      <c r="W2880" s="138"/>
      <c r="AQ2880" s="138"/>
    </row>
    <row r="2881" spans="22:43" x14ac:dyDescent="0.35">
      <c r="V2881" s="1013"/>
      <c r="W2881" s="138"/>
      <c r="AQ2881" s="138"/>
    </row>
    <row r="2882" spans="22:43" x14ac:dyDescent="0.35">
      <c r="V2882" s="1013"/>
      <c r="W2882" s="138"/>
      <c r="AQ2882" s="138"/>
    </row>
    <row r="2883" spans="22:43" x14ac:dyDescent="0.35">
      <c r="V2883" s="1013"/>
      <c r="W2883" s="138"/>
      <c r="AQ2883" s="138"/>
    </row>
    <row r="2884" spans="22:43" x14ac:dyDescent="0.35">
      <c r="V2884" s="1013"/>
      <c r="W2884" s="138"/>
      <c r="AQ2884" s="138"/>
    </row>
    <row r="2885" spans="22:43" x14ac:dyDescent="0.35">
      <c r="V2885" s="1013"/>
      <c r="W2885" s="138"/>
      <c r="AQ2885" s="138"/>
    </row>
    <row r="2886" spans="22:43" x14ac:dyDescent="0.35">
      <c r="V2886" s="1013"/>
      <c r="W2886" s="138"/>
      <c r="AQ2886" s="138"/>
    </row>
    <row r="2887" spans="22:43" x14ac:dyDescent="0.35">
      <c r="V2887" s="1013"/>
      <c r="W2887" s="138"/>
      <c r="AQ2887" s="138"/>
    </row>
    <row r="2888" spans="22:43" x14ac:dyDescent="0.35">
      <c r="V2888" s="1013"/>
      <c r="W2888" s="138"/>
      <c r="AQ2888" s="138"/>
    </row>
    <row r="2889" spans="22:43" x14ac:dyDescent="0.35">
      <c r="V2889" s="1013"/>
      <c r="W2889" s="138"/>
      <c r="AQ2889" s="138"/>
    </row>
    <row r="2890" spans="22:43" x14ac:dyDescent="0.35">
      <c r="V2890" s="1013"/>
      <c r="W2890" s="138"/>
      <c r="AQ2890" s="138"/>
    </row>
    <row r="2891" spans="22:43" x14ac:dyDescent="0.35">
      <c r="V2891" s="1013"/>
      <c r="W2891" s="138"/>
      <c r="AQ2891" s="138"/>
    </row>
    <row r="2892" spans="22:43" x14ac:dyDescent="0.35">
      <c r="V2892" s="1013"/>
      <c r="W2892" s="138"/>
      <c r="AQ2892" s="138"/>
    </row>
    <row r="2893" spans="22:43" x14ac:dyDescent="0.35">
      <c r="V2893" s="1013"/>
      <c r="W2893" s="138"/>
      <c r="AQ2893" s="138"/>
    </row>
    <row r="2894" spans="22:43" x14ac:dyDescent="0.35">
      <c r="V2894" s="1013"/>
      <c r="W2894" s="138"/>
      <c r="AQ2894" s="138"/>
    </row>
    <row r="2895" spans="22:43" x14ac:dyDescent="0.35">
      <c r="V2895" s="1013"/>
      <c r="W2895" s="138"/>
      <c r="AQ2895" s="138"/>
    </row>
    <row r="2896" spans="22:43" x14ac:dyDescent="0.35">
      <c r="V2896" s="1013"/>
      <c r="W2896" s="138"/>
      <c r="AQ2896" s="138"/>
    </row>
    <row r="2897" spans="22:43" x14ac:dyDescent="0.35">
      <c r="V2897" s="1013"/>
      <c r="W2897" s="138"/>
      <c r="AQ2897" s="138"/>
    </row>
    <row r="2898" spans="22:43" x14ac:dyDescent="0.35">
      <c r="V2898" s="1013"/>
      <c r="W2898" s="138"/>
      <c r="AQ2898" s="138"/>
    </row>
    <row r="2899" spans="22:43" x14ac:dyDescent="0.35">
      <c r="V2899" s="1013"/>
      <c r="W2899" s="138"/>
      <c r="AQ2899" s="138"/>
    </row>
    <row r="2900" spans="22:43" x14ac:dyDescent="0.35">
      <c r="V2900" s="1013"/>
      <c r="W2900" s="138"/>
      <c r="AQ2900" s="138"/>
    </row>
    <row r="2901" spans="22:43" x14ac:dyDescent="0.35">
      <c r="V2901" s="1013"/>
      <c r="W2901" s="138"/>
      <c r="AQ2901" s="138"/>
    </row>
    <row r="2902" spans="22:43" x14ac:dyDescent="0.35">
      <c r="V2902" s="1013"/>
      <c r="W2902" s="138"/>
      <c r="AQ2902" s="138"/>
    </row>
    <row r="2903" spans="22:43" x14ac:dyDescent="0.35">
      <c r="V2903" s="1013"/>
      <c r="W2903" s="138"/>
      <c r="AQ2903" s="138"/>
    </row>
    <row r="2904" spans="22:43" x14ac:dyDescent="0.35">
      <c r="V2904" s="1013"/>
      <c r="W2904" s="138"/>
      <c r="AQ2904" s="138"/>
    </row>
    <row r="2905" spans="22:43" x14ac:dyDescent="0.35">
      <c r="V2905" s="1013"/>
      <c r="W2905" s="138"/>
      <c r="AQ2905" s="138"/>
    </row>
    <row r="2906" spans="22:43" x14ac:dyDescent="0.35">
      <c r="V2906" s="1013"/>
      <c r="W2906" s="138"/>
      <c r="AQ2906" s="138"/>
    </row>
    <row r="2907" spans="22:43" x14ac:dyDescent="0.35">
      <c r="V2907" s="1013"/>
      <c r="W2907" s="138"/>
      <c r="AQ2907" s="138"/>
    </row>
    <row r="2908" spans="22:43" x14ac:dyDescent="0.35">
      <c r="V2908" s="1013"/>
      <c r="W2908" s="138"/>
      <c r="AQ2908" s="138"/>
    </row>
    <row r="2909" spans="22:43" x14ac:dyDescent="0.35">
      <c r="V2909" s="1013"/>
      <c r="W2909" s="138"/>
      <c r="AQ2909" s="138"/>
    </row>
    <row r="2910" spans="22:43" x14ac:dyDescent="0.35">
      <c r="V2910" s="1013"/>
      <c r="W2910" s="138"/>
      <c r="AQ2910" s="138"/>
    </row>
    <row r="2911" spans="22:43" x14ac:dyDescent="0.35">
      <c r="V2911" s="1013"/>
      <c r="W2911" s="138"/>
      <c r="AQ2911" s="138"/>
    </row>
    <row r="2912" spans="22:43" x14ac:dyDescent="0.35">
      <c r="V2912" s="1013"/>
      <c r="W2912" s="138"/>
      <c r="AQ2912" s="138"/>
    </row>
    <row r="2913" spans="22:43" x14ac:dyDescent="0.35">
      <c r="V2913" s="1013"/>
      <c r="W2913" s="138"/>
      <c r="AQ2913" s="138"/>
    </row>
    <row r="2914" spans="22:43" x14ac:dyDescent="0.35">
      <c r="V2914" s="1013"/>
      <c r="W2914" s="138"/>
      <c r="AQ2914" s="138"/>
    </row>
    <row r="2915" spans="22:43" x14ac:dyDescent="0.35">
      <c r="V2915" s="1013"/>
      <c r="W2915" s="138"/>
      <c r="AQ2915" s="138"/>
    </row>
    <row r="2916" spans="22:43" x14ac:dyDescent="0.35">
      <c r="V2916" s="1013"/>
      <c r="W2916" s="138"/>
      <c r="AQ2916" s="138"/>
    </row>
    <row r="2917" spans="22:43" x14ac:dyDescent="0.35">
      <c r="V2917" s="1013"/>
      <c r="W2917" s="138"/>
      <c r="AQ2917" s="138"/>
    </row>
    <row r="2918" spans="22:43" x14ac:dyDescent="0.35">
      <c r="V2918" s="1013"/>
      <c r="W2918" s="138"/>
      <c r="AQ2918" s="138"/>
    </row>
    <row r="2919" spans="22:43" x14ac:dyDescent="0.35">
      <c r="V2919" s="1013"/>
      <c r="W2919" s="138"/>
      <c r="AQ2919" s="138"/>
    </row>
    <row r="2920" spans="22:43" x14ac:dyDescent="0.35">
      <c r="V2920" s="1013"/>
      <c r="W2920" s="138"/>
      <c r="AQ2920" s="138"/>
    </row>
    <row r="2921" spans="22:43" x14ac:dyDescent="0.35">
      <c r="V2921" s="1013"/>
      <c r="W2921" s="138"/>
      <c r="AQ2921" s="138"/>
    </row>
    <row r="2922" spans="22:43" x14ac:dyDescent="0.35">
      <c r="V2922" s="1013"/>
      <c r="W2922" s="138"/>
      <c r="AQ2922" s="138"/>
    </row>
    <row r="2923" spans="22:43" x14ac:dyDescent="0.35">
      <c r="V2923" s="1013"/>
      <c r="W2923" s="138"/>
      <c r="AQ2923" s="138"/>
    </row>
    <row r="2924" spans="22:43" x14ac:dyDescent="0.35">
      <c r="V2924" s="1013"/>
      <c r="W2924" s="138"/>
      <c r="AQ2924" s="138"/>
    </row>
    <row r="2925" spans="22:43" x14ac:dyDescent="0.35">
      <c r="V2925" s="1013"/>
      <c r="W2925" s="138"/>
      <c r="AQ2925" s="138"/>
    </row>
    <row r="2926" spans="22:43" x14ac:dyDescent="0.35">
      <c r="V2926" s="1013"/>
      <c r="W2926" s="138"/>
      <c r="AQ2926" s="138"/>
    </row>
    <row r="2927" spans="22:43" x14ac:dyDescent="0.35">
      <c r="V2927" s="1013"/>
      <c r="W2927" s="138"/>
      <c r="AQ2927" s="138"/>
    </row>
    <row r="2928" spans="22:43" x14ac:dyDescent="0.35">
      <c r="V2928" s="1013"/>
      <c r="W2928" s="138"/>
      <c r="AQ2928" s="138"/>
    </row>
    <row r="2929" spans="22:43" x14ac:dyDescent="0.35">
      <c r="V2929" s="1013"/>
      <c r="W2929" s="138"/>
      <c r="AQ2929" s="138"/>
    </row>
    <row r="2930" spans="22:43" x14ac:dyDescent="0.35">
      <c r="V2930" s="1013"/>
      <c r="W2930" s="138"/>
      <c r="AQ2930" s="138"/>
    </row>
    <row r="2931" spans="22:43" x14ac:dyDescent="0.35">
      <c r="V2931" s="1013"/>
      <c r="W2931" s="138"/>
      <c r="AQ2931" s="138"/>
    </row>
    <row r="2932" spans="22:43" x14ac:dyDescent="0.35">
      <c r="V2932" s="1013"/>
      <c r="W2932" s="138"/>
      <c r="AQ2932" s="138"/>
    </row>
    <row r="2933" spans="22:43" x14ac:dyDescent="0.35">
      <c r="V2933" s="1013"/>
      <c r="W2933" s="138"/>
      <c r="AQ2933" s="138"/>
    </row>
    <row r="2934" spans="22:43" x14ac:dyDescent="0.35">
      <c r="V2934" s="1013"/>
      <c r="W2934" s="138"/>
      <c r="AQ2934" s="138"/>
    </row>
    <row r="2935" spans="22:43" x14ac:dyDescent="0.35">
      <c r="V2935" s="1013"/>
      <c r="W2935" s="138"/>
      <c r="AQ2935" s="138"/>
    </row>
    <row r="2936" spans="22:43" x14ac:dyDescent="0.35">
      <c r="V2936" s="1013"/>
      <c r="W2936" s="138"/>
      <c r="AQ2936" s="138"/>
    </row>
    <row r="2937" spans="22:43" x14ac:dyDescent="0.35">
      <c r="V2937" s="1013"/>
      <c r="W2937" s="138"/>
      <c r="AQ2937" s="138"/>
    </row>
    <row r="2938" spans="22:43" x14ac:dyDescent="0.35">
      <c r="V2938" s="1013"/>
      <c r="W2938" s="138"/>
      <c r="AQ2938" s="138"/>
    </row>
    <row r="2939" spans="22:43" x14ac:dyDescent="0.35">
      <c r="V2939" s="1013"/>
      <c r="W2939" s="138"/>
      <c r="AQ2939" s="138"/>
    </row>
    <row r="2940" spans="22:43" x14ac:dyDescent="0.35">
      <c r="V2940" s="1013"/>
      <c r="W2940" s="138"/>
      <c r="AQ2940" s="138"/>
    </row>
    <row r="2941" spans="22:43" x14ac:dyDescent="0.35">
      <c r="V2941" s="1013"/>
      <c r="W2941" s="138"/>
      <c r="AQ2941" s="138"/>
    </row>
    <row r="2942" spans="22:43" x14ac:dyDescent="0.35">
      <c r="V2942" s="1013"/>
      <c r="W2942" s="138"/>
      <c r="AQ2942" s="138"/>
    </row>
    <row r="2943" spans="22:43" x14ac:dyDescent="0.35">
      <c r="V2943" s="1013"/>
      <c r="W2943" s="138"/>
      <c r="AQ2943" s="138"/>
    </row>
    <row r="2944" spans="22:43" x14ac:dyDescent="0.35">
      <c r="V2944" s="1013"/>
      <c r="W2944" s="138"/>
      <c r="AQ2944" s="138"/>
    </row>
    <row r="2945" spans="22:43" x14ac:dyDescent="0.35">
      <c r="V2945" s="1013"/>
      <c r="W2945" s="138"/>
      <c r="AQ2945" s="138"/>
    </row>
    <row r="2946" spans="22:43" x14ac:dyDescent="0.35">
      <c r="V2946" s="1013"/>
      <c r="W2946" s="138"/>
      <c r="AQ2946" s="138"/>
    </row>
    <row r="2947" spans="22:43" x14ac:dyDescent="0.35">
      <c r="V2947" s="1013"/>
      <c r="W2947" s="138"/>
      <c r="AQ2947" s="138"/>
    </row>
    <row r="2948" spans="22:43" x14ac:dyDescent="0.35">
      <c r="V2948" s="1013"/>
      <c r="W2948" s="138"/>
      <c r="AQ2948" s="138"/>
    </row>
    <row r="2949" spans="22:43" x14ac:dyDescent="0.35">
      <c r="V2949" s="1013"/>
      <c r="W2949" s="138"/>
      <c r="AQ2949" s="138"/>
    </row>
    <row r="2950" spans="22:43" x14ac:dyDescent="0.35">
      <c r="V2950" s="1013"/>
      <c r="W2950" s="138"/>
      <c r="AQ2950" s="138"/>
    </row>
    <row r="2951" spans="22:43" x14ac:dyDescent="0.35">
      <c r="V2951" s="1013"/>
      <c r="W2951" s="138"/>
      <c r="AQ2951" s="138"/>
    </row>
    <row r="2952" spans="22:43" x14ac:dyDescent="0.35">
      <c r="V2952" s="1013"/>
      <c r="W2952" s="138"/>
      <c r="AQ2952" s="138"/>
    </row>
    <row r="2953" spans="22:43" x14ac:dyDescent="0.35">
      <c r="V2953" s="1013"/>
      <c r="W2953" s="138"/>
      <c r="AQ2953" s="138"/>
    </row>
    <row r="2954" spans="22:43" x14ac:dyDescent="0.35">
      <c r="V2954" s="1013"/>
      <c r="W2954" s="138"/>
      <c r="AQ2954" s="138"/>
    </row>
    <row r="2955" spans="22:43" x14ac:dyDescent="0.35">
      <c r="V2955" s="1013"/>
      <c r="W2955" s="138"/>
      <c r="AQ2955" s="138"/>
    </row>
    <row r="2956" spans="22:43" x14ac:dyDescent="0.35">
      <c r="V2956" s="1013"/>
      <c r="W2956" s="138"/>
      <c r="AQ2956" s="138"/>
    </row>
    <row r="2957" spans="22:43" x14ac:dyDescent="0.35">
      <c r="V2957" s="1013"/>
      <c r="W2957" s="138"/>
      <c r="AQ2957" s="138"/>
    </row>
    <row r="2958" spans="22:43" x14ac:dyDescent="0.35">
      <c r="V2958" s="1013"/>
      <c r="W2958" s="138"/>
      <c r="AQ2958" s="138"/>
    </row>
    <row r="2959" spans="22:43" x14ac:dyDescent="0.35">
      <c r="V2959" s="1013"/>
      <c r="W2959" s="138"/>
      <c r="AQ2959" s="138"/>
    </row>
    <row r="2960" spans="22:43" x14ac:dyDescent="0.35">
      <c r="V2960" s="1013"/>
      <c r="W2960" s="138"/>
      <c r="AQ2960" s="138"/>
    </row>
    <row r="2961" spans="22:43" x14ac:dyDescent="0.35">
      <c r="V2961" s="1013"/>
      <c r="W2961" s="138"/>
      <c r="AQ2961" s="138"/>
    </row>
    <row r="2962" spans="22:43" x14ac:dyDescent="0.35">
      <c r="V2962" s="1013"/>
      <c r="W2962" s="138"/>
      <c r="AQ2962" s="138"/>
    </row>
    <row r="2963" spans="22:43" x14ac:dyDescent="0.35">
      <c r="V2963" s="1013"/>
      <c r="W2963" s="138"/>
      <c r="AQ2963" s="138"/>
    </row>
    <row r="2964" spans="22:43" x14ac:dyDescent="0.35">
      <c r="V2964" s="1013"/>
      <c r="W2964" s="138"/>
      <c r="AQ2964" s="138"/>
    </row>
    <row r="2965" spans="22:43" x14ac:dyDescent="0.35">
      <c r="V2965" s="1013"/>
      <c r="W2965" s="138"/>
      <c r="AQ2965" s="138"/>
    </row>
    <row r="2966" spans="22:43" x14ac:dyDescent="0.35">
      <c r="V2966" s="1013"/>
      <c r="W2966" s="138"/>
      <c r="AQ2966" s="138"/>
    </row>
    <row r="2967" spans="22:43" x14ac:dyDescent="0.35">
      <c r="V2967" s="1013"/>
      <c r="W2967" s="138"/>
      <c r="AQ2967" s="138"/>
    </row>
    <row r="2968" spans="22:43" x14ac:dyDescent="0.35">
      <c r="V2968" s="1013"/>
      <c r="W2968" s="138"/>
      <c r="AQ2968" s="138"/>
    </row>
    <row r="2969" spans="22:43" x14ac:dyDescent="0.35">
      <c r="V2969" s="1013"/>
      <c r="W2969" s="138"/>
      <c r="AQ2969" s="138"/>
    </row>
    <row r="2970" spans="22:43" x14ac:dyDescent="0.35">
      <c r="V2970" s="1013"/>
      <c r="W2970" s="138"/>
      <c r="AQ2970" s="138"/>
    </row>
    <row r="2971" spans="22:43" x14ac:dyDescent="0.35">
      <c r="V2971" s="1013"/>
      <c r="W2971" s="138"/>
      <c r="AQ2971" s="138"/>
    </row>
    <row r="2972" spans="22:43" x14ac:dyDescent="0.35">
      <c r="V2972" s="1013"/>
      <c r="W2972" s="138"/>
      <c r="AQ2972" s="138"/>
    </row>
    <row r="2973" spans="22:43" x14ac:dyDescent="0.35">
      <c r="V2973" s="1013"/>
      <c r="W2973" s="138"/>
      <c r="AQ2973" s="138"/>
    </row>
    <row r="2974" spans="22:43" x14ac:dyDescent="0.35">
      <c r="V2974" s="1013"/>
      <c r="W2974" s="138"/>
      <c r="AQ2974" s="138"/>
    </row>
    <row r="2975" spans="22:43" x14ac:dyDescent="0.35">
      <c r="V2975" s="1013"/>
      <c r="W2975" s="138"/>
      <c r="AQ2975" s="138"/>
    </row>
    <row r="2976" spans="22:43" x14ac:dyDescent="0.35">
      <c r="V2976" s="1013"/>
      <c r="W2976" s="138"/>
      <c r="AQ2976" s="138"/>
    </row>
    <row r="2977" spans="22:43" x14ac:dyDescent="0.35">
      <c r="V2977" s="1013"/>
      <c r="W2977" s="138"/>
      <c r="AQ2977" s="138"/>
    </row>
    <row r="2978" spans="22:43" x14ac:dyDescent="0.35">
      <c r="V2978" s="1013"/>
      <c r="W2978" s="138"/>
      <c r="AQ2978" s="138"/>
    </row>
    <row r="2979" spans="22:43" x14ac:dyDescent="0.35">
      <c r="V2979" s="1013"/>
      <c r="W2979" s="138"/>
      <c r="AQ2979" s="138"/>
    </row>
    <row r="2980" spans="22:43" x14ac:dyDescent="0.35">
      <c r="V2980" s="1013"/>
      <c r="W2980" s="138"/>
      <c r="AQ2980" s="138"/>
    </row>
    <row r="2981" spans="22:43" x14ac:dyDescent="0.35">
      <c r="V2981" s="1013"/>
      <c r="W2981" s="138"/>
      <c r="AQ2981" s="138"/>
    </row>
    <row r="2982" spans="22:43" x14ac:dyDescent="0.35">
      <c r="V2982" s="1013"/>
      <c r="W2982" s="138"/>
      <c r="AQ2982" s="138"/>
    </row>
    <row r="2983" spans="22:43" x14ac:dyDescent="0.35">
      <c r="V2983" s="1013"/>
      <c r="W2983" s="138"/>
      <c r="AQ2983" s="138"/>
    </row>
    <row r="2984" spans="22:43" x14ac:dyDescent="0.35">
      <c r="V2984" s="1013"/>
      <c r="W2984" s="138"/>
      <c r="AQ2984" s="138"/>
    </row>
    <row r="2985" spans="22:43" x14ac:dyDescent="0.35">
      <c r="V2985" s="1013"/>
      <c r="W2985" s="138"/>
      <c r="AQ2985" s="138"/>
    </row>
    <row r="2986" spans="22:43" x14ac:dyDescent="0.35">
      <c r="V2986" s="1013"/>
      <c r="W2986" s="138"/>
      <c r="AQ2986" s="138"/>
    </row>
    <row r="2987" spans="22:43" x14ac:dyDescent="0.35">
      <c r="V2987" s="1013"/>
      <c r="W2987" s="138"/>
      <c r="AQ2987" s="138"/>
    </row>
    <row r="2988" spans="22:43" x14ac:dyDescent="0.35">
      <c r="V2988" s="1013"/>
      <c r="W2988" s="138"/>
      <c r="AQ2988" s="138"/>
    </row>
    <row r="2989" spans="22:43" x14ac:dyDescent="0.35">
      <c r="V2989" s="1013"/>
      <c r="W2989" s="138"/>
      <c r="AQ2989" s="138"/>
    </row>
    <row r="2990" spans="22:43" x14ac:dyDescent="0.35">
      <c r="V2990" s="1013"/>
      <c r="W2990" s="138"/>
      <c r="AQ2990" s="138"/>
    </row>
    <row r="2991" spans="22:43" x14ac:dyDescent="0.35">
      <c r="V2991" s="1013"/>
      <c r="W2991" s="138"/>
      <c r="AQ2991" s="138"/>
    </row>
    <row r="2992" spans="22:43" x14ac:dyDescent="0.35">
      <c r="V2992" s="1013"/>
      <c r="W2992" s="138"/>
      <c r="AQ2992" s="138"/>
    </row>
    <row r="2993" spans="22:43" x14ac:dyDescent="0.35">
      <c r="V2993" s="1013"/>
      <c r="W2993" s="138"/>
      <c r="AQ2993" s="138"/>
    </row>
    <row r="2994" spans="22:43" x14ac:dyDescent="0.35">
      <c r="V2994" s="1013"/>
      <c r="W2994" s="138"/>
      <c r="AQ2994" s="138"/>
    </row>
    <row r="2995" spans="22:43" x14ac:dyDescent="0.35">
      <c r="V2995" s="1013"/>
      <c r="W2995" s="138"/>
      <c r="AQ2995" s="138"/>
    </row>
    <row r="2996" spans="22:43" x14ac:dyDescent="0.35">
      <c r="V2996" s="1013"/>
      <c r="W2996" s="138"/>
      <c r="AQ2996" s="138"/>
    </row>
    <row r="2997" spans="22:43" x14ac:dyDescent="0.35">
      <c r="V2997" s="1013"/>
      <c r="W2997" s="138"/>
      <c r="AQ2997" s="138"/>
    </row>
    <row r="2998" spans="22:43" x14ac:dyDescent="0.35">
      <c r="V2998" s="1013"/>
      <c r="W2998" s="138"/>
      <c r="AQ2998" s="138"/>
    </row>
    <row r="2999" spans="22:43" x14ac:dyDescent="0.35">
      <c r="V2999" s="1013"/>
      <c r="W2999" s="138"/>
      <c r="AQ2999" s="138"/>
    </row>
    <row r="3000" spans="22:43" x14ac:dyDescent="0.35">
      <c r="V3000" s="1013"/>
      <c r="W3000" s="138"/>
      <c r="AQ3000" s="138"/>
    </row>
    <row r="3001" spans="22:43" x14ac:dyDescent="0.35">
      <c r="V3001" s="1013"/>
      <c r="W3001" s="138"/>
      <c r="AQ3001" s="138"/>
    </row>
    <row r="3002" spans="22:43" x14ac:dyDescent="0.35">
      <c r="V3002" s="1013"/>
      <c r="W3002" s="138"/>
      <c r="AQ3002" s="138"/>
    </row>
    <row r="3003" spans="22:43" x14ac:dyDescent="0.35">
      <c r="V3003" s="1013"/>
      <c r="W3003" s="138"/>
      <c r="AQ3003" s="138"/>
    </row>
    <row r="3004" spans="22:43" x14ac:dyDescent="0.35">
      <c r="V3004" s="1013"/>
      <c r="W3004" s="138"/>
      <c r="AQ3004" s="138"/>
    </row>
    <row r="3005" spans="22:43" x14ac:dyDescent="0.35">
      <c r="V3005" s="1013"/>
      <c r="W3005" s="138"/>
      <c r="AQ3005" s="138"/>
    </row>
    <row r="3006" spans="22:43" x14ac:dyDescent="0.35">
      <c r="V3006" s="1013"/>
      <c r="W3006" s="138"/>
      <c r="AQ3006" s="138"/>
    </row>
    <row r="3007" spans="22:43" x14ac:dyDescent="0.35">
      <c r="V3007" s="1013"/>
      <c r="W3007" s="138"/>
      <c r="AQ3007" s="138"/>
    </row>
    <row r="3008" spans="22:43" x14ac:dyDescent="0.35">
      <c r="V3008" s="1013"/>
      <c r="W3008" s="138"/>
      <c r="AQ3008" s="138"/>
    </row>
    <row r="3009" spans="22:43" x14ac:dyDescent="0.35">
      <c r="V3009" s="1013"/>
      <c r="W3009" s="138"/>
      <c r="AQ3009" s="138"/>
    </row>
    <row r="3010" spans="22:43" x14ac:dyDescent="0.35">
      <c r="V3010" s="1013"/>
      <c r="W3010" s="138"/>
      <c r="AQ3010" s="138"/>
    </row>
    <row r="3011" spans="22:43" x14ac:dyDescent="0.35">
      <c r="V3011" s="1013"/>
      <c r="W3011" s="138"/>
      <c r="AQ3011" s="138"/>
    </row>
    <row r="3012" spans="22:43" x14ac:dyDescent="0.35">
      <c r="V3012" s="1013"/>
      <c r="W3012" s="138"/>
      <c r="AQ3012" s="138"/>
    </row>
    <row r="3013" spans="22:43" x14ac:dyDescent="0.35">
      <c r="V3013" s="1013"/>
      <c r="W3013" s="138"/>
      <c r="AQ3013" s="138"/>
    </row>
    <row r="3014" spans="22:43" x14ac:dyDescent="0.35">
      <c r="V3014" s="1013"/>
      <c r="W3014" s="138"/>
      <c r="AQ3014" s="138"/>
    </row>
    <row r="3015" spans="22:43" x14ac:dyDescent="0.35">
      <c r="V3015" s="1013"/>
      <c r="W3015" s="138"/>
      <c r="AQ3015" s="138"/>
    </row>
    <row r="3016" spans="22:43" x14ac:dyDescent="0.35">
      <c r="V3016" s="1013"/>
      <c r="W3016" s="138"/>
      <c r="AQ3016" s="138"/>
    </row>
    <row r="3017" spans="22:43" x14ac:dyDescent="0.35">
      <c r="V3017" s="1013"/>
      <c r="W3017" s="138"/>
      <c r="AQ3017" s="138"/>
    </row>
    <row r="3018" spans="22:43" x14ac:dyDescent="0.35">
      <c r="V3018" s="1013"/>
      <c r="W3018" s="138"/>
      <c r="AQ3018" s="138"/>
    </row>
    <row r="3019" spans="22:43" x14ac:dyDescent="0.35">
      <c r="V3019" s="1013"/>
      <c r="W3019" s="138"/>
      <c r="AQ3019" s="138"/>
    </row>
    <row r="3020" spans="22:43" x14ac:dyDescent="0.35">
      <c r="V3020" s="1013"/>
      <c r="W3020" s="138"/>
      <c r="AQ3020" s="138"/>
    </row>
    <row r="3021" spans="22:43" x14ac:dyDescent="0.35">
      <c r="V3021" s="1013"/>
      <c r="W3021" s="138"/>
      <c r="AQ3021" s="138"/>
    </row>
    <row r="3022" spans="22:43" x14ac:dyDescent="0.35">
      <c r="V3022" s="1013"/>
      <c r="W3022" s="138"/>
      <c r="AQ3022" s="138"/>
    </row>
    <row r="3023" spans="22:43" x14ac:dyDescent="0.35">
      <c r="V3023" s="1013"/>
      <c r="W3023" s="138"/>
      <c r="AQ3023" s="138"/>
    </row>
    <row r="3024" spans="22:43" x14ac:dyDescent="0.35">
      <c r="V3024" s="1013"/>
      <c r="W3024" s="138"/>
      <c r="AQ3024" s="138"/>
    </row>
    <row r="3025" spans="22:43" x14ac:dyDescent="0.35">
      <c r="V3025" s="1013"/>
      <c r="W3025" s="138"/>
      <c r="AQ3025" s="138"/>
    </row>
    <row r="3026" spans="22:43" x14ac:dyDescent="0.35">
      <c r="V3026" s="1013"/>
      <c r="W3026" s="138"/>
      <c r="AQ3026" s="138"/>
    </row>
    <row r="3027" spans="22:43" x14ac:dyDescent="0.35">
      <c r="V3027" s="1013"/>
      <c r="W3027" s="138"/>
      <c r="AQ3027" s="138"/>
    </row>
    <row r="3028" spans="22:43" x14ac:dyDescent="0.35">
      <c r="V3028" s="1013"/>
      <c r="W3028" s="138"/>
      <c r="AQ3028" s="138"/>
    </row>
    <row r="3029" spans="22:43" x14ac:dyDescent="0.35">
      <c r="V3029" s="1013"/>
      <c r="W3029" s="138"/>
      <c r="AQ3029" s="138"/>
    </row>
    <row r="3030" spans="22:43" x14ac:dyDescent="0.35">
      <c r="V3030" s="1013"/>
      <c r="W3030" s="138"/>
      <c r="AQ3030" s="138"/>
    </row>
    <row r="3031" spans="22:43" x14ac:dyDescent="0.35">
      <c r="V3031" s="1013"/>
      <c r="W3031" s="138"/>
      <c r="AQ3031" s="138"/>
    </row>
    <row r="3032" spans="22:43" x14ac:dyDescent="0.35">
      <c r="V3032" s="1013"/>
      <c r="W3032" s="138"/>
      <c r="AQ3032" s="138"/>
    </row>
    <row r="3033" spans="22:43" x14ac:dyDescent="0.35">
      <c r="V3033" s="1013"/>
      <c r="W3033" s="138"/>
      <c r="AQ3033" s="138"/>
    </row>
    <row r="3034" spans="22:43" x14ac:dyDescent="0.35">
      <c r="V3034" s="1013"/>
      <c r="W3034" s="138"/>
      <c r="AQ3034" s="138"/>
    </row>
    <row r="3035" spans="22:43" x14ac:dyDescent="0.35">
      <c r="V3035" s="1013"/>
      <c r="W3035" s="138"/>
      <c r="AQ3035" s="138"/>
    </row>
    <row r="3036" spans="22:43" x14ac:dyDescent="0.35">
      <c r="V3036" s="1013"/>
      <c r="W3036" s="138"/>
      <c r="AQ3036" s="138"/>
    </row>
    <row r="3037" spans="22:43" x14ac:dyDescent="0.35">
      <c r="V3037" s="1013"/>
      <c r="W3037" s="138"/>
      <c r="AQ3037" s="138"/>
    </row>
    <row r="3038" spans="22:43" x14ac:dyDescent="0.35">
      <c r="V3038" s="1013"/>
      <c r="W3038" s="138"/>
      <c r="AQ3038" s="138"/>
    </row>
    <row r="3039" spans="22:43" x14ac:dyDescent="0.35">
      <c r="V3039" s="1013"/>
      <c r="W3039" s="138"/>
      <c r="AQ3039" s="138"/>
    </row>
    <row r="3040" spans="22:43" x14ac:dyDescent="0.35">
      <c r="V3040" s="1013"/>
      <c r="W3040" s="138"/>
      <c r="AQ3040" s="138"/>
    </row>
    <row r="3041" spans="22:43" x14ac:dyDescent="0.35">
      <c r="V3041" s="1013"/>
      <c r="W3041" s="138"/>
      <c r="AQ3041" s="138"/>
    </row>
    <row r="3042" spans="22:43" x14ac:dyDescent="0.35">
      <c r="V3042" s="1013"/>
      <c r="W3042" s="138"/>
      <c r="AQ3042" s="138"/>
    </row>
    <row r="3043" spans="22:43" x14ac:dyDescent="0.35">
      <c r="V3043" s="1013"/>
      <c r="W3043" s="138"/>
      <c r="AQ3043" s="138"/>
    </row>
    <row r="3044" spans="22:43" x14ac:dyDescent="0.35">
      <c r="V3044" s="1013"/>
      <c r="W3044" s="138"/>
      <c r="AQ3044" s="138"/>
    </row>
    <row r="3045" spans="22:43" x14ac:dyDescent="0.35">
      <c r="V3045" s="1013"/>
      <c r="W3045" s="138"/>
      <c r="AQ3045" s="138"/>
    </row>
    <row r="3046" spans="22:43" x14ac:dyDescent="0.35">
      <c r="V3046" s="1013"/>
      <c r="W3046" s="138"/>
      <c r="AQ3046" s="138"/>
    </row>
    <row r="3047" spans="22:43" x14ac:dyDescent="0.35">
      <c r="V3047" s="1013"/>
      <c r="W3047" s="138"/>
      <c r="AQ3047" s="138"/>
    </row>
    <row r="3048" spans="22:43" x14ac:dyDescent="0.35">
      <c r="V3048" s="1013"/>
      <c r="W3048" s="138"/>
      <c r="AQ3048" s="138"/>
    </row>
    <row r="3049" spans="22:43" x14ac:dyDescent="0.35">
      <c r="V3049" s="1013"/>
      <c r="W3049" s="138"/>
      <c r="AQ3049" s="138"/>
    </row>
    <row r="3050" spans="22:43" x14ac:dyDescent="0.35">
      <c r="V3050" s="1013"/>
      <c r="W3050" s="138"/>
      <c r="AQ3050" s="138"/>
    </row>
    <row r="3051" spans="22:43" x14ac:dyDescent="0.35">
      <c r="V3051" s="1013"/>
      <c r="W3051" s="138"/>
      <c r="AQ3051" s="138"/>
    </row>
    <row r="3052" spans="22:43" x14ac:dyDescent="0.35">
      <c r="V3052" s="1013"/>
      <c r="W3052" s="138"/>
      <c r="AQ3052" s="138"/>
    </row>
    <row r="3053" spans="22:43" x14ac:dyDescent="0.35">
      <c r="V3053" s="1013"/>
      <c r="W3053" s="138"/>
      <c r="AQ3053" s="138"/>
    </row>
    <row r="3054" spans="22:43" x14ac:dyDescent="0.35">
      <c r="V3054" s="1013"/>
      <c r="W3054" s="138"/>
      <c r="AQ3054" s="138"/>
    </row>
    <row r="3055" spans="22:43" x14ac:dyDescent="0.35">
      <c r="V3055" s="1013"/>
      <c r="W3055" s="138"/>
      <c r="AQ3055" s="138"/>
    </row>
    <row r="3056" spans="22:43" x14ac:dyDescent="0.35">
      <c r="V3056" s="1013"/>
      <c r="W3056" s="138"/>
      <c r="AQ3056" s="138"/>
    </row>
    <row r="3057" spans="22:43" x14ac:dyDescent="0.35">
      <c r="V3057" s="1013"/>
      <c r="W3057" s="138"/>
      <c r="AQ3057" s="138"/>
    </row>
    <row r="3058" spans="22:43" x14ac:dyDescent="0.35">
      <c r="V3058" s="1013"/>
      <c r="W3058" s="138"/>
      <c r="AQ3058" s="138"/>
    </row>
    <row r="3059" spans="22:43" x14ac:dyDescent="0.35">
      <c r="V3059" s="1013"/>
      <c r="W3059" s="138"/>
      <c r="AQ3059" s="138"/>
    </row>
    <row r="3060" spans="22:43" x14ac:dyDescent="0.35">
      <c r="V3060" s="1013"/>
      <c r="W3060" s="138"/>
      <c r="AQ3060" s="138"/>
    </row>
    <row r="3061" spans="22:43" x14ac:dyDescent="0.35">
      <c r="V3061" s="1013"/>
      <c r="W3061" s="138"/>
      <c r="AQ3061" s="138"/>
    </row>
    <row r="3062" spans="22:43" x14ac:dyDescent="0.35">
      <c r="V3062" s="1013"/>
      <c r="W3062" s="138"/>
      <c r="AQ3062" s="138"/>
    </row>
    <row r="3063" spans="22:43" x14ac:dyDescent="0.35">
      <c r="V3063" s="1013"/>
      <c r="W3063" s="138"/>
      <c r="AQ3063" s="138"/>
    </row>
    <row r="3064" spans="22:43" x14ac:dyDescent="0.35">
      <c r="V3064" s="1013"/>
      <c r="W3064" s="138"/>
      <c r="AQ3064" s="138"/>
    </row>
    <row r="3065" spans="22:43" x14ac:dyDescent="0.35">
      <c r="V3065" s="1013"/>
      <c r="W3065" s="138"/>
      <c r="AQ3065" s="138"/>
    </row>
    <row r="3066" spans="22:43" x14ac:dyDescent="0.35">
      <c r="V3066" s="1013"/>
      <c r="W3066" s="138"/>
      <c r="AQ3066" s="138"/>
    </row>
    <row r="3067" spans="22:43" x14ac:dyDescent="0.35">
      <c r="V3067" s="1013"/>
      <c r="W3067" s="138"/>
      <c r="AQ3067" s="138"/>
    </row>
    <row r="3068" spans="22:43" x14ac:dyDescent="0.35">
      <c r="V3068" s="1013"/>
      <c r="W3068" s="138"/>
      <c r="AQ3068" s="138"/>
    </row>
    <row r="3069" spans="22:43" x14ac:dyDescent="0.35">
      <c r="V3069" s="1013"/>
      <c r="W3069" s="138"/>
      <c r="AQ3069" s="138"/>
    </row>
    <row r="3070" spans="22:43" x14ac:dyDescent="0.35">
      <c r="V3070" s="1013"/>
      <c r="W3070" s="138"/>
      <c r="AQ3070" s="138"/>
    </row>
    <row r="3071" spans="22:43" x14ac:dyDescent="0.35">
      <c r="V3071" s="1013"/>
      <c r="W3071" s="138"/>
      <c r="AQ3071" s="138"/>
    </row>
    <row r="3072" spans="22:43" x14ac:dyDescent="0.35">
      <c r="V3072" s="1013"/>
      <c r="W3072" s="138"/>
      <c r="AQ3072" s="138"/>
    </row>
    <row r="3073" spans="22:43" x14ac:dyDescent="0.35">
      <c r="V3073" s="1013"/>
      <c r="W3073" s="138"/>
      <c r="AQ3073" s="138"/>
    </row>
    <row r="3074" spans="22:43" x14ac:dyDescent="0.35">
      <c r="V3074" s="1013"/>
      <c r="W3074" s="138"/>
      <c r="AQ3074" s="138"/>
    </row>
    <row r="3075" spans="22:43" x14ac:dyDescent="0.35">
      <c r="V3075" s="1013"/>
      <c r="W3075" s="138"/>
      <c r="AQ3075" s="138"/>
    </row>
    <row r="3076" spans="22:43" x14ac:dyDescent="0.35">
      <c r="V3076" s="1013"/>
      <c r="W3076" s="138"/>
      <c r="AQ3076" s="138"/>
    </row>
    <row r="3077" spans="22:43" x14ac:dyDescent="0.35">
      <c r="V3077" s="1013"/>
      <c r="W3077" s="138"/>
      <c r="AQ3077" s="138"/>
    </row>
    <row r="3078" spans="22:43" x14ac:dyDescent="0.35">
      <c r="V3078" s="1013"/>
      <c r="W3078" s="138"/>
      <c r="AQ3078" s="138"/>
    </row>
    <row r="3079" spans="22:43" x14ac:dyDescent="0.35">
      <c r="V3079" s="1013"/>
      <c r="W3079" s="138"/>
      <c r="AQ3079" s="138"/>
    </row>
    <row r="3080" spans="22:43" x14ac:dyDescent="0.35">
      <c r="V3080" s="1013"/>
      <c r="W3080" s="138"/>
      <c r="AQ3080" s="138"/>
    </row>
    <row r="3081" spans="22:43" x14ac:dyDescent="0.35">
      <c r="V3081" s="1013"/>
      <c r="W3081" s="138"/>
      <c r="AQ3081" s="138"/>
    </row>
    <row r="3082" spans="22:43" x14ac:dyDescent="0.35">
      <c r="V3082" s="1013"/>
      <c r="W3082" s="138"/>
      <c r="AQ3082" s="138"/>
    </row>
    <row r="3083" spans="22:43" x14ac:dyDescent="0.35">
      <c r="V3083" s="1013"/>
      <c r="W3083" s="138"/>
      <c r="AQ3083" s="138"/>
    </row>
    <row r="3084" spans="22:43" x14ac:dyDescent="0.35">
      <c r="V3084" s="1013"/>
      <c r="W3084" s="138"/>
      <c r="AQ3084" s="138"/>
    </row>
    <row r="3085" spans="22:43" x14ac:dyDescent="0.35">
      <c r="V3085" s="1013"/>
      <c r="W3085" s="138"/>
      <c r="AQ3085" s="138"/>
    </row>
    <row r="3086" spans="22:43" x14ac:dyDescent="0.35">
      <c r="V3086" s="1013"/>
      <c r="W3086" s="138"/>
      <c r="AQ3086" s="138"/>
    </row>
    <row r="3087" spans="22:43" x14ac:dyDescent="0.35">
      <c r="V3087" s="1013"/>
      <c r="W3087" s="138"/>
      <c r="AQ3087" s="138"/>
    </row>
    <row r="3088" spans="22:43" x14ac:dyDescent="0.35">
      <c r="V3088" s="1013"/>
      <c r="W3088" s="138"/>
      <c r="AQ3088" s="138"/>
    </row>
    <row r="3089" spans="22:43" x14ac:dyDescent="0.35">
      <c r="V3089" s="1013"/>
      <c r="W3089" s="138"/>
      <c r="AQ3089" s="138"/>
    </row>
    <row r="3090" spans="22:43" x14ac:dyDescent="0.35">
      <c r="V3090" s="1013"/>
      <c r="W3090" s="138"/>
      <c r="AQ3090" s="138"/>
    </row>
    <row r="3091" spans="22:43" x14ac:dyDescent="0.35">
      <c r="V3091" s="1013"/>
      <c r="W3091" s="138"/>
      <c r="AQ3091" s="138"/>
    </row>
    <row r="3092" spans="22:43" x14ac:dyDescent="0.35">
      <c r="V3092" s="1013"/>
      <c r="W3092" s="138"/>
      <c r="AQ3092" s="138"/>
    </row>
    <row r="3093" spans="22:43" x14ac:dyDescent="0.35">
      <c r="V3093" s="1013"/>
      <c r="W3093" s="138"/>
      <c r="AQ3093" s="138"/>
    </row>
    <row r="3094" spans="22:43" x14ac:dyDescent="0.35">
      <c r="V3094" s="1013"/>
      <c r="W3094" s="138"/>
      <c r="AQ3094" s="138"/>
    </row>
    <row r="3095" spans="22:43" x14ac:dyDescent="0.35">
      <c r="V3095" s="1013"/>
      <c r="W3095" s="138"/>
      <c r="AQ3095" s="138"/>
    </row>
    <row r="3096" spans="22:43" x14ac:dyDescent="0.35">
      <c r="V3096" s="1013"/>
      <c r="W3096" s="138"/>
      <c r="AQ3096" s="138"/>
    </row>
    <row r="3097" spans="22:43" x14ac:dyDescent="0.35">
      <c r="V3097" s="1013"/>
      <c r="W3097" s="138"/>
      <c r="AQ3097" s="138"/>
    </row>
    <row r="3098" spans="22:43" x14ac:dyDescent="0.35">
      <c r="V3098" s="1013"/>
      <c r="W3098" s="138"/>
      <c r="AQ3098" s="138"/>
    </row>
    <row r="3099" spans="22:43" x14ac:dyDescent="0.35">
      <c r="V3099" s="1013"/>
      <c r="W3099" s="138"/>
      <c r="AQ3099" s="138"/>
    </row>
    <row r="3100" spans="22:43" x14ac:dyDescent="0.35">
      <c r="V3100" s="1013"/>
      <c r="W3100" s="138"/>
      <c r="AQ3100" s="138"/>
    </row>
    <row r="3101" spans="22:43" x14ac:dyDescent="0.35">
      <c r="V3101" s="1013"/>
      <c r="W3101" s="138"/>
      <c r="AQ3101" s="138"/>
    </row>
    <row r="3102" spans="22:43" x14ac:dyDescent="0.35">
      <c r="V3102" s="1013"/>
      <c r="W3102" s="138"/>
      <c r="AQ3102" s="138"/>
    </row>
    <row r="3103" spans="22:43" x14ac:dyDescent="0.35">
      <c r="V3103" s="1013"/>
      <c r="W3103" s="138"/>
      <c r="AQ3103" s="138"/>
    </row>
    <row r="3104" spans="22:43" x14ac:dyDescent="0.35">
      <c r="V3104" s="1013"/>
      <c r="W3104" s="138"/>
      <c r="AQ3104" s="138"/>
    </row>
    <row r="3105" spans="22:43" x14ac:dyDescent="0.35">
      <c r="V3105" s="1013"/>
      <c r="W3105" s="138"/>
      <c r="AQ3105" s="138"/>
    </row>
    <row r="3106" spans="22:43" x14ac:dyDescent="0.35">
      <c r="V3106" s="1013"/>
      <c r="W3106" s="138"/>
      <c r="AQ3106" s="138"/>
    </row>
    <row r="3107" spans="22:43" x14ac:dyDescent="0.35">
      <c r="V3107" s="1013"/>
      <c r="W3107" s="138"/>
      <c r="AQ3107" s="138"/>
    </row>
    <row r="3108" spans="22:43" x14ac:dyDescent="0.35">
      <c r="V3108" s="1013"/>
      <c r="W3108" s="138"/>
      <c r="AQ3108" s="138"/>
    </row>
    <row r="3109" spans="22:43" x14ac:dyDescent="0.35">
      <c r="V3109" s="1013"/>
      <c r="W3109" s="138"/>
      <c r="AQ3109" s="138"/>
    </row>
    <row r="3110" spans="22:43" x14ac:dyDescent="0.35">
      <c r="V3110" s="1013"/>
      <c r="W3110" s="138"/>
      <c r="AQ3110" s="138"/>
    </row>
    <row r="3111" spans="22:43" x14ac:dyDescent="0.35">
      <c r="V3111" s="1013"/>
      <c r="W3111" s="138"/>
      <c r="AQ3111" s="138"/>
    </row>
    <row r="3112" spans="22:43" x14ac:dyDescent="0.35">
      <c r="V3112" s="1013"/>
      <c r="W3112" s="138"/>
      <c r="AQ3112" s="138"/>
    </row>
    <row r="3113" spans="22:43" x14ac:dyDescent="0.35">
      <c r="V3113" s="1013"/>
      <c r="W3113" s="138"/>
      <c r="AQ3113" s="138"/>
    </row>
    <row r="3114" spans="22:43" x14ac:dyDescent="0.35">
      <c r="V3114" s="1013"/>
      <c r="W3114" s="138"/>
      <c r="AQ3114" s="138"/>
    </row>
    <row r="3115" spans="22:43" x14ac:dyDescent="0.35">
      <c r="V3115" s="1013"/>
      <c r="W3115" s="138"/>
      <c r="AQ3115" s="138"/>
    </row>
    <row r="3116" spans="22:43" x14ac:dyDescent="0.35">
      <c r="V3116" s="1013"/>
      <c r="W3116" s="138"/>
      <c r="AQ3116" s="138"/>
    </row>
    <row r="3117" spans="22:43" x14ac:dyDescent="0.35">
      <c r="V3117" s="1013"/>
      <c r="W3117" s="138"/>
      <c r="AQ3117" s="138"/>
    </row>
    <row r="3118" spans="22:43" x14ac:dyDescent="0.35">
      <c r="V3118" s="1013"/>
      <c r="W3118" s="138"/>
      <c r="AQ3118" s="138"/>
    </row>
    <row r="3119" spans="22:43" x14ac:dyDescent="0.35">
      <c r="V3119" s="1013"/>
      <c r="W3119" s="138"/>
      <c r="AQ3119" s="138"/>
    </row>
    <row r="3120" spans="22:43" x14ac:dyDescent="0.35">
      <c r="V3120" s="1013"/>
      <c r="W3120" s="138"/>
      <c r="AQ3120" s="138"/>
    </row>
    <row r="3121" spans="22:43" x14ac:dyDescent="0.35">
      <c r="V3121" s="1013"/>
      <c r="W3121" s="138"/>
      <c r="AQ3121" s="138"/>
    </row>
    <row r="3122" spans="22:43" x14ac:dyDescent="0.35">
      <c r="V3122" s="1013"/>
      <c r="W3122" s="138"/>
      <c r="AQ3122" s="138"/>
    </row>
    <row r="3123" spans="22:43" x14ac:dyDescent="0.35">
      <c r="V3123" s="1013"/>
      <c r="W3123" s="138"/>
      <c r="AQ3123" s="138"/>
    </row>
    <row r="3124" spans="22:43" x14ac:dyDescent="0.35">
      <c r="V3124" s="1013"/>
      <c r="W3124" s="138"/>
      <c r="AQ3124" s="138"/>
    </row>
    <row r="3125" spans="22:43" x14ac:dyDescent="0.35">
      <c r="V3125" s="1013"/>
      <c r="W3125" s="138"/>
      <c r="AQ3125" s="138"/>
    </row>
    <row r="3126" spans="22:43" x14ac:dyDescent="0.35">
      <c r="V3126" s="1013"/>
      <c r="W3126" s="138"/>
      <c r="AQ3126" s="138"/>
    </row>
    <row r="3127" spans="22:43" x14ac:dyDescent="0.35">
      <c r="V3127" s="1013"/>
      <c r="W3127" s="138"/>
      <c r="AQ3127" s="138"/>
    </row>
    <row r="3128" spans="22:43" x14ac:dyDescent="0.35">
      <c r="V3128" s="1013"/>
      <c r="W3128" s="138"/>
      <c r="AQ3128" s="138"/>
    </row>
    <row r="3129" spans="22:43" x14ac:dyDescent="0.35">
      <c r="V3129" s="1013"/>
      <c r="W3129" s="138"/>
      <c r="AQ3129" s="138"/>
    </row>
    <row r="3130" spans="22:43" x14ac:dyDescent="0.35">
      <c r="V3130" s="1013"/>
      <c r="W3130" s="138"/>
      <c r="AQ3130" s="138"/>
    </row>
    <row r="3131" spans="22:43" x14ac:dyDescent="0.35">
      <c r="V3131" s="1013"/>
      <c r="W3131" s="138"/>
      <c r="AQ3131" s="138"/>
    </row>
    <row r="3132" spans="22:43" x14ac:dyDescent="0.35">
      <c r="V3132" s="1013"/>
      <c r="W3132" s="138"/>
      <c r="AQ3132" s="138"/>
    </row>
    <row r="3133" spans="22:43" x14ac:dyDescent="0.35">
      <c r="V3133" s="1013"/>
      <c r="W3133" s="138"/>
      <c r="AQ3133" s="138"/>
    </row>
    <row r="3134" spans="22:43" x14ac:dyDescent="0.35">
      <c r="V3134" s="1013"/>
      <c r="W3134" s="138"/>
      <c r="AQ3134" s="138"/>
    </row>
    <row r="3135" spans="22:43" x14ac:dyDescent="0.35">
      <c r="V3135" s="1013"/>
      <c r="W3135" s="138"/>
      <c r="AQ3135" s="138"/>
    </row>
    <row r="3136" spans="22:43" x14ac:dyDescent="0.35">
      <c r="V3136" s="1013"/>
      <c r="W3136" s="138"/>
      <c r="AQ3136" s="138"/>
    </row>
    <row r="3137" spans="22:43" x14ac:dyDescent="0.35">
      <c r="V3137" s="1013"/>
      <c r="W3137" s="138"/>
      <c r="AQ3137" s="138"/>
    </row>
    <row r="3138" spans="22:43" x14ac:dyDescent="0.35">
      <c r="V3138" s="1013"/>
      <c r="W3138" s="138"/>
      <c r="AQ3138" s="138"/>
    </row>
    <row r="3139" spans="22:43" x14ac:dyDescent="0.35">
      <c r="V3139" s="1013"/>
      <c r="W3139" s="138"/>
      <c r="AQ3139" s="138"/>
    </row>
    <row r="3140" spans="22:43" x14ac:dyDescent="0.35">
      <c r="V3140" s="1013"/>
      <c r="W3140" s="138"/>
      <c r="AQ3140" s="138"/>
    </row>
    <row r="3141" spans="22:43" x14ac:dyDescent="0.35">
      <c r="V3141" s="1013"/>
      <c r="W3141" s="138"/>
      <c r="AQ3141" s="138"/>
    </row>
    <row r="3142" spans="22:43" x14ac:dyDescent="0.35">
      <c r="V3142" s="1013"/>
      <c r="W3142" s="138"/>
      <c r="AQ3142" s="138"/>
    </row>
    <row r="3143" spans="22:43" x14ac:dyDescent="0.35">
      <c r="V3143" s="1013"/>
      <c r="W3143" s="138"/>
      <c r="AQ3143" s="138"/>
    </row>
    <row r="3144" spans="22:43" x14ac:dyDescent="0.35">
      <c r="V3144" s="1013"/>
      <c r="W3144" s="138"/>
      <c r="AQ3144" s="138"/>
    </row>
    <row r="3145" spans="22:43" x14ac:dyDescent="0.35">
      <c r="V3145" s="1013"/>
      <c r="W3145" s="138"/>
      <c r="AQ3145" s="138"/>
    </row>
    <row r="3146" spans="22:43" x14ac:dyDescent="0.35">
      <c r="V3146" s="1013"/>
      <c r="W3146" s="138"/>
      <c r="AQ3146" s="138"/>
    </row>
    <row r="3147" spans="22:43" x14ac:dyDescent="0.35">
      <c r="V3147" s="1013"/>
      <c r="W3147" s="138"/>
      <c r="AQ3147" s="138"/>
    </row>
    <row r="3148" spans="22:43" x14ac:dyDescent="0.35">
      <c r="V3148" s="1013"/>
      <c r="W3148" s="138"/>
      <c r="AQ3148" s="138"/>
    </row>
    <row r="3149" spans="22:43" x14ac:dyDescent="0.35">
      <c r="V3149" s="1013"/>
      <c r="W3149" s="138"/>
      <c r="AQ3149" s="138"/>
    </row>
    <row r="3150" spans="22:43" x14ac:dyDescent="0.35">
      <c r="V3150" s="1013"/>
      <c r="W3150" s="138"/>
      <c r="AQ3150" s="138"/>
    </row>
    <row r="3151" spans="22:43" x14ac:dyDescent="0.35">
      <c r="V3151" s="1013"/>
      <c r="W3151" s="138"/>
      <c r="AQ3151" s="138"/>
    </row>
    <row r="3152" spans="22:43" x14ac:dyDescent="0.35">
      <c r="V3152" s="1013"/>
      <c r="W3152" s="138"/>
      <c r="AQ3152" s="138"/>
    </row>
    <row r="3153" spans="22:43" x14ac:dyDescent="0.35">
      <c r="V3153" s="1013"/>
      <c r="W3153" s="138"/>
      <c r="AQ3153" s="138"/>
    </row>
    <row r="3154" spans="22:43" x14ac:dyDescent="0.35">
      <c r="V3154" s="1013"/>
      <c r="W3154" s="138"/>
      <c r="AQ3154" s="138"/>
    </row>
    <row r="3155" spans="22:43" x14ac:dyDescent="0.35">
      <c r="V3155" s="1013"/>
      <c r="W3155" s="138"/>
      <c r="AQ3155" s="138"/>
    </row>
    <row r="3156" spans="22:43" x14ac:dyDescent="0.35">
      <c r="V3156" s="1013"/>
      <c r="W3156" s="138"/>
      <c r="AQ3156" s="138"/>
    </row>
    <row r="3157" spans="22:43" x14ac:dyDescent="0.35">
      <c r="V3157" s="1013"/>
      <c r="W3157" s="138"/>
      <c r="AQ3157" s="138"/>
    </row>
    <row r="3158" spans="22:43" x14ac:dyDescent="0.35">
      <c r="V3158" s="1013"/>
      <c r="W3158" s="138"/>
      <c r="AQ3158" s="138"/>
    </row>
    <row r="3159" spans="22:43" x14ac:dyDescent="0.35">
      <c r="V3159" s="1013"/>
      <c r="W3159" s="138"/>
      <c r="AQ3159" s="138"/>
    </row>
    <row r="3160" spans="22:43" x14ac:dyDescent="0.35">
      <c r="V3160" s="1013"/>
      <c r="W3160" s="138"/>
      <c r="AQ3160" s="138"/>
    </row>
    <row r="3161" spans="22:43" x14ac:dyDescent="0.35">
      <c r="V3161" s="1013"/>
      <c r="W3161" s="138"/>
      <c r="AQ3161" s="138"/>
    </row>
    <row r="3162" spans="22:43" x14ac:dyDescent="0.35">
      <c r="V3162" s="1013"/>
      <c r="W3162" s="138"/>
      <c r="AQ3162" s="138"/>
    </row>
    <row r="3163" spans="22:43" x14ac:dyDescent="0.35">
      <c r="V3163" s="1013"/>
      <c r="W3163" s="138"/>
      <c r="AQ3163" s="138"/>
    </row>
    <row r="3164" spans="22:43" x14ac:dyDescent="0.35">
      <c r="V3164" s="1013"/>
      <c r="W3164" s="138"/>
      <c r="AQ3164" s="138"/>
    </row>
    <row r="3165" spans="22:43" x14ac:dyDescent="0.35">
      <c r="V3165" s="1013"/>
      <c r="W3165" s="138"/>
      <c r="AQ3165" s="138"/>
    </row>
    <row r="3166" spans="22:43" x14ac:dyDescent="0.35">
      <c r="V3166" s="1013"/>
      <c r="W3166" s="138"/>
      <c r="AQ3166" s="138"/>
    </row>
    <row r="3167" spans="22:43" x14ac:dyDescent="0.35">
      <c r="V3167" s="1013"/>
      <c r="W3167" s="138"/>
      <c r="AQ3167" s="138"/>
    </row>
    <row r="3168" spans="22:43" x14ac:dyDescent="0.35">
      <c r="V3168" s="1013"/>
      <c r="W3168" s="138"/>
      <c r="AQ3168" s="138"/>
    </row>
    <row r="3169" spans="22:43" x14ac:dyDescent="0.35">
      <c r="V3169" s="1013"/>
      <c r="W3169" s="138"/>
      <c r="AQ3169" s="138"/>
    </row>
    <row r="3170" spans="22:43" x14ac:dyDescent="0.35">
      <c r="V3170" s="1013"/>
      <c r="W3170" s="138"/>
      <c r="AQ3170" s="138"/>
    </row>
    <row r="3171" spans="22:43" x14ac:dyDescent="0.35">
      <c r="V3171" s="1013"/>
      <c r="W3171" s="138"/>
      <c r="AQ3171" s="138"/>
    </row>
    <row r="3172" spans="22:43" x14ac:dyDescent="0.35">
      <c r="V3172" s="1013"/>
      <c r="W3172" s="138"/>
      <c r="AQ3172" s="138"/>
    </row>
    <row r="3173" spans="22:43" x14ac:dyDescent="0.35">
      <c r="V3173" s="1013"/>
      <c r="W3173" s="138"/>
      <c r="AQ3173" s="138"/>
    </row>
    <row r="3174" spans="22:43" x14ac:dyDescent="0.35">
      <c r="V3174" s="1013"/>
      <c r="W3174" s="138"/>
      <c r="AQ3174" s="138"/>
    </row>
    <row r="3175" spans="22:43" x14ac:dyDescent="0.35">
      <c r="V3175" s="1013"/>
      <c r="W3175" s="138"/>
      <c r="AQ3175" s="138"/>
    </row>
    <row r="3176" spans="22:43" x14ac:dyDescent="0.35">
      <c r="V3176" s="1013"/>
      <c r="W3176" s="138"/>
      <c r="AQ3176" s="138"/>
    </row>
    <row r="3177" spans="22:43" x14ac:dyDescent="0.35">
      <c r="V3177" s="1013"/>
      <c r="W3177" s="138"/>
      <c r="AQ3177" s="138"/>
    </row>
    <row r="3178" spans="22:43" x14ac:dyDescent="0.35">
      <c r="V3178" s="1013"/>
      <c r="W3178" s="138"/>
      <c r="AQ3178" s="138"/>
    </row>
    <row r="3179" spans="22:43" x14ac:dyDescent="0.35">
      <c r="V3179" s="1013"/>
      <c r="W3179" s="138"/>
      <c r="AQ3179" s="138"/>
    </row>
    <row r="3180" spans="22:43" x14ac:dyDescent="0.35">
      <c r="V3180" s="1013"/>
      <c r="W3180" s="138"/>
      <c r="AQ3180" s="138"/>
    </row>
    <row r="3181" spans="22:43" x14ac:dyDescent="0.35">
      <c r="V3181" s="1013"/>
      <c r="W3181" s="138"/>
      <c r="AQ3181" s="138"/>
    </row>
    <row r="3182" spans="22:43" x14ac:dyDescent="0.35">
      <c r="V3182" s="1013"/>
      <c r="W3182" s="138"/>
      <c r="AQ3182" s="138"/>
    </row>
    <row r="3183" spans="22:43" x14ac:dyDescent="0.35">
      <c r="V3183" s="1013"/>
      <c r="W3183" s="138"/>
      <c r="AQ3183" s="138"/>
    </row>
    <row r="3184" spans="22:43" x14ac:dyDescent="0.35">
      <c r="V3184" s="1013"/>
      <c r="W3184" s="138"/>
      <c r="AQ3184" s="138"/>
    </row>
    <row r="3185" spans="22:43" x14ac:dyDescent="0.35">
      <c r="V3185" s="1013"/>
      <c r="W3185" s="138"/>
      <c r="AQ3185" s="138"/>
    </row>
    <row r="3186" spans="22:43" x14ac:dyDescent="0.35">
      <c r="V3186" s="1013"/>
      <c r="W3186" s="138"/>
      <c r="AQ3186" s="138"/>
    </row>
    <row r="3187" spans="22:43" x14ac:dyDescent="0.35">
      <c r="V3187" s="1013"/>
      <c r="W3187" s="138"/>
      <c r="AQ3187" s="138"/>
    </row>
    <row r="3188" spans="22:43" x14ac:dyDescent="0.35">
      <c r="V3188" s="1013"/>
      <c r="W3188" s="138"/>
      <c r="AQ3188" s="138"/>
    </row>
    <row r="3189" spans="22:43" x14ac:dyDescent="0.35">
      <c r="V3189" s="1013"/>
      <c r="W3189" s="138"/>
      <c r="AQ3189" s="138"/>
    </row>
    <row r="3190" spans="22:43" x14ac:dyDescent="0.35">
      <c r="V3190" s="1013"/>
      <c r="W3190" s="138"/>
      <c r="AQ3190" s="138"/>
    </row>
    <row r="3191" spans="22:43" x14ac:dyDescent="0.35">
      <c r="V3191" s="1013"/>
      <c r="W3191" s="138"/>
      <c r="AQ3191" s="138"/>
    </row>
    <row r="3192" spans="22:43" x14ac:dyDescent="0.35">
      <c r="V3192" s="1013"/>
      <c r="W3192" s="138"/>
      <c r="AQ3192" s="138"/>
    </row>
    <row r="3193" spans="22:43" x14ac:dyDescent="0.35">
      <c r="V3193" s="1013"/>
      <c r="W3193" s="138"/>
      <c r="AQ3193" s="138"/>
    </row>
    <row r="3194" spans="22:43" x14ac:dyDescent="0.35">
      <c r="V3194" s="1013"/>
      <c r="W3194" s="138"/>
      <c r="AQ3194" s="138"/>
    </row>
    <row r="3195" spans="22:43" x14ac:dyDescent="0.35">
      <c r="V3195" s="1013"/>
      <c r="W3195" s="138"/>
      <c r="AQ3195" s="138"/>
    </row>
    <row r="3196" spans="22:43" x14ac:dyDescent="0.35">
      <c r="V3196" s="1013"/>
      <c r="W3196" s="138"/>
      <c r="AQ3196" s="138"/>
    </row>
    <row r="3197" spans="22:43" x14ac:dyDescent="0.35">
      <c r="V3197" s="1013"/>
      <c r="W3197" s="138"/>
      <c r="AQ3197" s="138"/>
    </row>
    <row r="3198" spans="22:43" x14ac:dyDescent="0.35">
      <c r="V3198" s="1013"/>
      <c r="W3198" s="138"/>
      <c r="AQ3198" s="138"/>
    </row>
    <row r="3199" spans="22:43" x14ac:dyDescent="0.35">
      <c r="V3199" s="1013"/>
      <c r="W3199" s="138"/>
      <c r="AQ3199" s="138"/>
    </row>
    <row r="3200" spans="22:43" x14ac:dyDescent="0.35">
      <c r="V3200" s="1013"/>
      <c r="W3200" s="138"/>
      <c r="AQ3200" s="138"/>
    </row>
    <row r="3201" spans="22:43" x14ac:dyDescent="0.35">
      <c r="V3201" s="1013"/>
      <c r="W3201" s="138"/>
      <c r="AQ3201" s="138"/>
    </row>
    <row r="3202" spans="22:43" x14ac:dyDescent="0.35">
      <c r="V3202" s="1013"/>
      <c r="W3202" s="138"/>
      <c r="AQ3202" s="138"/>
    </row>
    <row r="3203" spans="22:43" x14ac:dyDescent="0.35">
      <c r="V3203" s="1013"/>
      <c r="W3203" s="138"/>
      <c r="AQ3203" s="138"/>
    </row>
    <row r="3204" spans="22:43" x14ac:dyDescent="0.35">
      <c r="V3204" s="1013"/>
      <c r="W3204" s="138"/>
      <c r="AQ3204" s="138"/>
    </row>
    <row r="3205" spans="22:43" x14ac:dyDescent="0.35">
      <c r="V3205" s="1013"/>
      <c r="W3205" s="138"/>
      <c r="AQ3205" s="138"/>
    </row>
    <row r="3206" spans="22:43" x14ac:dyDescent="0.35">
      <c r="V3206" s="1013"/>
      <c r="W3206" s="138"/>
      <c r="AQ3206" s="138"/>
    </row>
    <row r="3207" spans="22:43" x14ac:dyDescent="0.35">
      <c r="V3207" s="1013"/>
      <c r="W3207" s="138"/>
      <c r="AQ3207" s="138"/>
    </row>
    <row r="3208" spans="22:43" x14ac:dyDescent="0.35">
      <c r="V3208" s="1013"/>
      <c r="W3208" s="138"/>
      <c r="AQ3208" s="138"/>
    </row>
    <row r="3209" spans="22:43" x14ac:dyDescent="0.35">
      <c r="V3209" s="1013"/>
      <c r="W3209" s="138"/>
      <c r="AQ3209" s="138"/>
    </row>
    <row r="3210" spans="22:43" x14ac:dyDescent="0.35">
      <c r="V3210" s="1013"/>
      <c r="W3210" s="138"/>
      <c r="AQ3210" s="138"/>
    </row>
    <row r="3211" spans="22:43" x14ac:dyDescent="0.35">
      <c r="V3211" s="1013"/>
      <c r="W3211" s="138"/>
      <c r="AQ3211" s="138"/>
    </row>
    <row r="3212" spans="22:43" x14ac:dyDescent="0.35">
      <c r="V3212" s="1013"/>
      <c r="W3212" s="138"/>
      <c r="AQ3212" s="138"/>
    </row>
    <row r="3213" spans="22:43" x14ac:dyDescent="0.35">
      <c r="V3213" s="1013"/>
      <c r="W3213" s="138"/>
      <c r="AQ3213" s="138"/>
    </row>
    <row r="3214" spans="22:43" x14ac:dyDescent="0.35">
      <c r="V3214" s="1013"/>
      <c r="W3214" s="138"/>
      <c r="AQ3214" s="138"/>
    </row>
    <row r="3215" spans="22:43" x14ac:dyDescent="0.35">
      <c r="V3215" s="1013"/>
      <c r="W3215" s="138"/>
      <c r="AQ3215" s="138"/>
    </row>
    <row r="3216" spans="22:43" x14ac:dyDescent="0.35">
      <c r="V3216" s="1013"/>
      <c r="W3216" s="138"/>
      <c r="AQ3216" s="138"/>
    </row>
    <row r="3217" spans="22:43" x14ac:dyDescent="0.35">
      <c r="V3217" s="1013"/>
      <c r="W3217" s="138"/>
      <c r="AQ3217" s="138"/>
    </row>
    <row r="3218" spans="22:43" x14ac:dyDescent="0.35">
      <c r="V3218" s="1013"/>
      <c r="W3218" s="138"/>
      <c r="AQ3218" s="138"/>
    </row>
    <row r="3219" spans="22:43" x14ac:dyDescent="0.35">
      <c r="V3219" s="1013"/>
      <c r="W3219" s="138"/>
      <c r="AQ3219" s="138"/>
    </row>
    <row r="3220" spans="22:43" x14ac:dyDescent="0.35">
      <c r="V3220" s="1013"/>
      <c r="W3220" s="138"/>
      <c r="AQ3220" s="138"/>
    </row>
    <row r="3221" spans="22:43" x14ac:dyDescent="0.35">
      <c r="V3221" s="1013"/>
      <c r="W3221" s="138"/>
      <c r="AQ3221" s="138"/>
    </row>
    <row r="3222" spans="22:43" x14ac:dyDescent="0.35">
      <c r="V3222" s="1013"/>
      <c r="W3222" s="138"/>
      <c r="AQ3222" s="138"/>
    </row>
    <row r="3223" spans="22:43" x14ac:dyDescent="0.35">
      <c r="V3223" s="1013"/>
      <c r="W3223" s="138"/>
      <c r="AQ3223" s="138"/>
    </row>
    <row r="3224" spans="22:43" x14ac:dyDescent="0.35">
      <c r="V3224" s="1013"/>
      <c r="W3224" s="138"/>
      <c r="AQ3224" s="138"/>
    </row>
    <row r="3225" spans="22:43" x14ac:dyDescent="0.35">
      <c r="V3225" s="1013"/>
      <c r="W3225" s="138"/>
      <c r="AQ3225" s="138"/>
    </row>
    <row r="3226" spans="22:43" x14ac:dyDescent="0.35">
      <c r="V3226" s="1013"/>
      <c r="W3226" s="138"/>
      <c r="AQ3226" s="138"/>
    </row>
    <row r="3227" spans="22:43" x14ac:dyDescent="0.35">
      <c r="V3227" s="1013"/>
      <c r="W3227" s="138"/>
      <c r="AQ3227" s="138"/>
    </row>
    <row r="3228" spans="22:43" x14ac:dyDescent="0.35">
      <c r="V3228" s="1013"/>
      <c r="W3228" s="138"/>
      <c r="AQ3228" s="138"/>
    </row>
    <row r="3229" spans="22:43" x14ac:dyDescent="0.35">
      <c r="V3229" s="1013"/>
      <c r="W3229" s="138"/>
      <c r="AQ3229" s="138"/>
    </row>
    <row r="3230" spans="22:43" x14ac:dyDescent="0.35">
      <c r="V3230" s="1013"/>
      <c r="W3230" s="138"/>
      <c r="AQ3230" s="138"/>
    </row>
    <row r="3231" spans="22:43" x14ac:dyDescent="0.35">
      <c r="V3231" s="1013"/>
      <c r="W3231" s="138"/>
      <c r="AQ3231" s="138"/>
    </row>
    <row r="3232" spans="22:43" x14ac:dyDescent="0.35">
      <c r="V3232" s="1013"/>
      <c r="W3232" s="138"/>
      <c r="AQ3232" s="138"/>
    </row>
    <row r="3233" spans="22:43" x14ac:dyDescent="0.35">
      <c r="V3233" s="1013"/>
      <c r="W3233" s="138"/>
      <c r="AQ3233" s="138"/>
    </row>
    <row r="3234" spans="22:43" x14ac:dyDescent="0.35">
      <c r="V3234" s="1013"/>
      <c r="W3234" s="138"/>
      <c r="AQ3234" s="138"/>
    </row>
    <row r="3235" spans="22:43" x14ac:dyDescent="0.35">
      <c r="V3235" s="1013"/>
      <c r="W3235" s="138"/>
      <c r="AQ3235" s="138"/>
    </row>
    <row r="3236" spans="22:43" x14ac:dyDescent="0.35">
      <c r="V3236" s="1013"/>
      <c r="W3236" s="138"/>
      <c r="AQ3236" s="138"/>
    </row>
    <row r="3237" spans="22:43" x14ac:dyDescent="0.35">
      <c r="V3237" s="1013"/>
      <c r="W3237" s="138"/>
      <c r="AQ3237" s="138"/>
    </row>
    <row r="3238" spans="22:43" x14ac:dyDescent="0.35">
      <c r="V3238" s="1013"/>
      <c r="W3238" s="138"/>
      <c r="AQ3238" s="138"/>
    </row>
    <row r="3239" spans="22:43" x14ac:dyDescent="0.35">
      <c r="V3239" s="1013"/>
      <c r="W3239" s="138"/>
      <c r="AQ3239" s="138"/>
    </row>
    <row r="3240" spans="22:43" x14ac:dyDescent="0.35">
      <c r="V3240" s="1013"/>
      <c r="W3240" s="138"/>
      <c r="AQ3240" s="138"/>
    </row>
    <row r="3241" spans="22:43" x14ac:dyDescent="0.35">
      <c r="V3241" s="1013"/>
      <c r="W3241" s="138"/>
      <c r="AQ3241" s="138"/>
    </row>
    <row r="3242" spans="22:43" x14ac:dyDescent="0.35">
      <c r="V3242" s="1013"/>
      <c r="W3242" s="138"/>
      <c r="AQ3242" s="138"/>
    </row>
    <row r="3243" spans="22:43" x14ac:dyDescent="0.35">
      <c r="V3243" s="1013"/>
      <c r="W3243" s="138"/>
      <c r="AQ3243" s="138"/>
    </row>
    <row r="3244" spans="22:43" x14ac:dyDescent="0.35">
      <c r="V3244" s="1013"/>
      <c r="W3244" s="138"/>
      <c r="AQ3244" s="138"/>
    </row>
    <row r="3245" spans="22:43" x14ac:dyDescent="0.35">
      <c r="V3245" s="1013"/>
      <c r="W3245" s="138"/>
      <c r="AQ3245" s="138"/>
    </row>
    <row r="3246" spans="22:43" x14ac:dyDescent="0.35">
      <c r="V3246" s="1013"/>
      <c r="W3246" s="138"/>
      <c r="AQ3246" s="138"/>
    </row>
    <row r="3247" spans="22:43" x14ac:dyDescent="0.35">
      <c r="V3247" s="1013"/>
      <c r="W3247" s="138"/>
      <c r="AQ3247" s="138"/>
    </row>
    <row r="3248" spans="22:43" x14ac:dyDescent="0.35">
      <c r="V3248" s="1013"/>
      <c r="W3248" s="138"/>
      <c r="AQ3248" s="138"/>
    </row>
    <row r="3249" spans="22:43" x14ac:dyDescent="0.35">
      <c r="V3249" s="1013"/>
      <c r="W3249" s="138"/>
      <c r="AQ3249" s="138"/>
    </row>
    <row r="3250" spans="22:43" x14ac:dyDescent="0.35">
      <c r="V3250" s="1013"/>
      <c r="W3250" s="138"/>
      <c r="AQ3250" s="138"/>
    </row>
    <row r="3251" spans="22:43" x14ac:dyDescent="0.35">
      <c r="V3251" s="1013"/>
      <c r="W3251" s="138"/>
      <c r="AQ3251" s="138"/>
    </row>
    <row r="3252" spans="22:43" x14ac:dyDescent="0.35">
      <c r="V3252" s="1013"/>
      <c r="W3252" s="138"/>
      <c r="AQ3252" s="138"/>
    </row>
    <row r="3253" spans="22:43" x14ac:dyDescent="0.35">
      <c r="V3253" s="1013"/>
      <c r="W3253" s="138"/>
      <c r="AQ3253" s="138"/>
    </row>
    <row r="3254" spans="22:43" x14ac:dyDescent="0.35">
      <c r="V3254" s="1013"/>
      <c r="W3254" s="138"/>
      <c r="AQ3254" s="138"/>
    </row>
    <row r="3255" spans="22:43" x14ac:dyDescent="0.35">
      <c r="V3255" s="1013"/>
      <c r="W3255" s="138"/>
      <c r="AQ3255" s="138"/>
    </row>
    <row r="3256" spans="22:43" x14ac:dyDescent="0.35">
      <c r="V3256" s="1013"/>
      <c r="W3256" s="138"/>
      <c r="AQ3256" s="138"/>
    </row>
    <row r="3257" spans="22:43" x14ac:dyDescent="0.35">
      <c r="V3257" s="1013"/>
      <c r="W3257" s="138"/>
      <c r="AQ3257" s="138"/>
    </row>
    <row r="3258" spans="22:43" x14ac:dyDescent="0.35">
      <c r="V3258" s="1013"/>
      <c r="W3258" s="138"/>
      <c r="AQ3258" s="138"/>
    </row>
    <row r="3259" spans="22:43" x14ac:dyDescent="0.35">
      <c r="V3259" s="1013"/>
      <c r="W3259" s="138"/>
      <c r="AQ3259" s="138"/>
    </row>
    <row r="3260" spans="22:43" x14ac:dyDescent="0.35">
      <c r="V3260" s="1013"/>
      <c r="W3260" s="138"/>
      <c r="AQ3260" s="138"/>
    </row>
    <row r="3261" spans="22:43" x14ac:dyDescent="0.35">
      <c r="V3261" s="1013"/>
      <c r="W3261" s="138"/>
      <c r="AQ3261" s="138"/>
    </row>
    <row r="3262" spans="22:43" x14ac:dyDescent="0.35">
      <c r="V3262" s="1013"/>
      <c r="W3262" s="138"/>
      <c r="AQ3262" s="138"/>
    </row>
    <row r="3263" spans="22:43" x14ac:dyDescent="0.35">
      <c r="V3263" s="1013"/>
      <c r="W3263" s="138"/>
      <c r="AQ3263" s="138"/>
    </row>
    <row r="3264" spans="22:43" x14ac:dyDescent="0.35">
      <c r="V3264" s="1013"/>
      <c r="W3264" s="138"/>
      <c r="AQ3264" s="138"/>
    </row>
    <row r="3265" spans="22:43" x14ac:dyDescent="0.35">
      <c r="V3265" s="1013"/>
      <c r="W3265" s="138"/>
      <c r="AQ3265" s="138"/>
    </row>
    <row r="3266" spans="22:43" x14ac:dyDescent="0.35">
      <c r="V3266" s="1013"/>
      <c r="W3266" s="138"/>
      <c r="AQ3266" s="138"/>
    </row>
    <row r="3267" spans="22:43" x14ac:dyDescent="0.35">
      <c r="V3267" s="1013"/>
      <c r="W3267" s="138"/>
      <c r="AQ3267" s="138"/>
    </row>
    <row r="3268" spans="22:43" x14ac:dyDescent="0.35">
      <c r="V3268" s="1013"/>
      <c r="W3268" s="138"/>
      <c r="AQ3268" s="138"/>
    </row>
    <row r="3269" spans="22:43" x14ac:dyDescent="0.35">
      <c r="V3269" s="1013"/>
      <c r="W3269" s="138"/>
      <c r="AQ3269" s="138"/>
    </row>
    <row r="3270" spans="22:43" x14ac:dyDescent="0.35">
      <c r="V3270" s="1013"/>
      <c r="W3270" s="138"/>
      <c r="AQ3270" s="138"/>
    </row>
    <row r="3271" spans="22:43" x14ac:dyDescent="0.35">
      <c r="V3271" s="1013"/>
      <c r="W3271" s="138"/>
      <c r="AQ3271" s="138"/>
    </row>
    <row r="3272" spans="22:43" x14ac:dyDescent="0.35">
      <c r="V3272" s="1013"/>
      <c r="W3272" s="138"/>
      <c r="AQ3272" s="138"/>
    </row>
    <row r="3273" spans="22:43" x14ac:dyDescent="0.35">
      <c r="V3273" s="1013"/>
      <c r="W3273" s="138"/>
      <c r="AQ3273" s="138"/>
    </row>
    <row r="3274" spans="22:43" x14ac:dyDescent="0.35">
      <c r="V3274" s="1013"/>
      <c r="W3274" s="138"/>
      <c r="AQ3274" s="138"/>
    </row>
    <row r="3275" spans="22:43" x14ac:dyDescent="0.35">
      <c r="V3275" s="1013"/>
      <c r="W3275" s="138"/>
      <c r="AQ3275" s="138"/>
    </row>
    <row r="3276" spans="22:43" x14ac:dyDescent="0.35">
      <c r="V3276" s="1013"/>
      <c r="W3276" s="138"/>
      <c r="AQ3276" s="138"/>
    </row>
    <row r="3277" spans="22:43" x14ac:dyDescent="0.35">
      <c r="V3277" s="1013"/>
      <c r="W3277" s="138"/>
      <c r="AQ3277" s="138"/>
    </row>
    <row r="3278" spans="22:43" x14ac:dyDescent="0.35">
      <c r="V3278" s="1013"/>
      <c r="W3278" s="138"/>
      <c r="AQ3278" s="138"/>
    </row>
    <row r="3279" spans="22:43" x14ac:dyDescent="0.35">
      <c r="V3279" s="1013"/>
      <c r="W3279" s="138"/>
      <c r="AQ3279" s="138"/>
    </row>
    <row r="3280" spans="22:43" x14ac:dyDescent="0.35">
      <c r="V3280" s="1013"/>
      <c r="W3280" s="138"/>
      <c r="AQ3280" s="138"/>
    </row>
    <row r="3281" spans="22:43" x14ac:dyDescent="0.35">
      <c r="V3281" s="1013"/>
      <c r="W3281" s="138"/>
      <c r="AQ3281" s="138"/>
    </row>
    <row r="3282" spans="22:43" x14ac:dyDescent="0.35">
      <c r="V3282" s="1013"/>
      <c r="W3282" s="138"/>
      <c r="AQ3282" s="138"/>
    </row>
    <row r="3283" spans="22:43" x14ac:dyDescent="0.35">
      <c r="V3283" s="1013"/>
      <c r="W3283" s="138"/>
      <c r="AQ3283" s="138"/>
    </row>
    <row r="3284" spans="22:43" x14ac:dyDescent="0.35">
      <c r="V3284" s="1013"/>
      <c r="W3284" s="138"/>
      <c r="AQ3284" s="138"/>
    </row>
    <row r="3285" spans="22:43" x14ac:dyDescent="0.35">
      <c r="V3285" s="1013"/>
      <c r="W3285" s="138"/>
      <c r="AQ3285" s="138"/>
    </row>
    <row r="3286" spans="22:43" x14ac:dyDescent="0.35">
      <c r="V3286" s="1013"/>
      <c r="W3286" s="138"/>
      <c r="AQ3286" s="138"/>
    </row>
    <row r="3287" spans="22:43" x14ac:dyDescent="0.35">
      <c r="V3287" s="1013"/>
      <c r="W3287" s="138"/>
      <c r="AQ3287" s="138"/>
    </row>
    <row r="3288" spans="22:43" x14ac:dyDescent="0.35">
      <c r="V3288" s="1013"/>
      <c r="W3288" s="138"/>
      <c r="AQ3288" s="138"/>
    </row>
    <row r="3289" spans="22:43" x14ac:dyDescent="0.35">
      <c r="V3289" s="1013"/>
      <c r="W3289" s="138"/>
      <c r="AQ3289" s="138"/>
    </row>
    <row r="3290" spans="22:43" x14ac:dyDescent="0.35">
      <c r="V3290" s="1013"/>
      <c r="W3290" s="138"/>
      <c r="AQ3290" s="138"/>
    </row>
    <row r="3291" spans="22:43" x14ac:dyDescent="0.35">
      <c r="V3291" s="1013"/>
      <c r="W3291" s="138"/>
      <c r="AQ3291" s="138"/>
    </row>
    <row r="3292" spans="22:43" x14ac:dyDescent="0.35">
      <c r="V3292" s="1013"/>
      <c r="W3292" s="138"/>
      <c r="AQ3292" s="138"/>
    </row>
    <row r="3293" spans="22:43" x14ac:dyDescent="0.35">
      <c r="V3293" s="1013"/>
      <c r="W3293" s="138"/>
      <c r="AQ3293" s="138"/>
    </row>
    <row r="3294" spans="22:43" x14ac:dyDescent="0.35">
      <c r="V3294" s="1013"/>
      <c r="W3294" s="138"/>
      <c r="AQ3294" s="138"/>
    </row>
    <row r="3295" spans="22:43" x14ac:dyDescent="0.35">
      <c r="V3295" s="1013"/>
      <c r="W3295" s="138"/>
      <c r="AQ3295" s="138"/>
    </row>
    <row r="3296" spans="22:43" x14ac:dyDescent="0.35">
      <c r="V3296" s="1013"/>
      <c r="W3296" s="138"/>
      <c r="AQ3296" s="138"/>
    </row>
    <row r="3297" spans="22:43" x14ac:dyDescent="0.35">
      <c r="V3297" s="1013"/>
      <c r="W3297" s="138"/>
      <c r="AQ3297" s="138"/>
    </row>
    <row r="3298" spans="22:43" x14ac:dyDescent="0.35">
      <c r="V3298" s="1013"/>
      <c r="W3298" s="138"/>
      <c r="AQ3298" s="138"/>
    </row>
    <row r="3299" spans="22:43" x14ac:dyDescent="0.35">
      <c r="V3299" s="1013"/>
      <c r="W3299" s="138"/>
      <c r="AQ3299" s="138"/>
    </row>
    <row r="3300" spans="22:43" x14ac:dyDescent="0.35">
      <c r="V3300" s="1013"/>
      <c r="W3300" s="138"/>
      <c r="AQ3300" s="138"/>
    </row>
    <row r="3301" spans="22:43" x14ac:dyDescent="0.35">
      <c r="V3301" s="1013"/>
      <c r="W3301" s="138"/>
      <c r="AQ3301" s="138"/>
    </row>
    <row r="3302" spans="22:43" x14ac:dyDescent="0.35">
      <c r="V3302" s="1013"/>
      <c r="W3302" s="138"/>
      <c r="AQ3302" s="138"/>
    </row>
    <row r="3303" spans="22:43" x14ac:dyDescent="0.35">
      <c r="V3303" s="1013"/>
      <c r="W3303" s="138"/>
      <c r="AQ3303" s="138"/>
    </row>
    <row r="3304" spans="22:43" x14ac:dyDescent="0.35">
      <c r="V3304" s="1013"/>
      <c r="W3304" s="138"/>
      <c r="AQ3304" s="138"/>
    </row>
    <row r="3305" spans="22:43" x14ac:dyDescent="0.35">
      <c r="V3305" s="1013"/>
      <c r="W3305" s="138"/>
      <c r="AQ3305" s="138"/>
    </row>
    <row r="3306" spans="22:43" x14ac:dyDescent="0.35">
      <c r="V3306" s="1013"/>
      <c r="W3306" s="138"/>
      <c r="AQ3306" s="138"/>
    </row>
    <row r="3307" spans="22:43" x14ac:dyDescent="0.35">
      <c r="V3307" s="1013"/>
      <c r="W3307" s="138"/>
      <c r="AQ3307" s="138"/>
    </row>
    <row r="3308" spans="22:43" x14ac:dyDescent="0.35">
      <c r="V3308" s="1013"/>
      <c r="W3308" s="138"/>
      <c r="AQ3308" s="138"/>
    </row>
    <row r="3309" spans="22:43" x14ac:dyDescent="0.35">
      <c r="V3309" s="1013"/>
      <c r="W3309" s="138"/>
      <c r="AQ3309" s="138"/>
    </row>
    <row r="3310" spans="22:43" x14ac:dyDescent="0.35">
      <c r="V3310" s="1013"/>
      <c r="W3310" s="138"/>
      <c r="AQ3310" s="138"/>
    </row>
    <row r="3311" spans="22:43" x14ac:dyDescent="0.35">
      <c r="V3311" s="1013"/>
      <c r="W3311" s="138"/>
      <c r="AQ3311" s="138"/>
    </row>
    <row r="3312" spans="22:43" x14ac:dyDescent="0.35">
      <c r="V3312" s="1013"/>
      <c r="W3312" s="138"/>
      <c r="AQ3312" s="138"/>
    </row>
    <row r="3313" spans="22:43" x14ac:dyDescent="0.35">
      <c r="V3313" s="1013"/>
      <c r="W3313" s="138"/>
      <c r="AQ3313" s="138"/>
    </row>
    <row r="3314" spans="22:43" x14ac:dyDescent="0.35">
      <c r="V3314" s="1013"/>
      <c r="W3314" s="138"/>
      <c r="AQ3314" s="138"/>
    </row>
    <row r="3315" spans="22:43" x14ac:dyDescent="0.35">
      <c r="V3315" s="1013"/>
      <c r="W3315" s="138"/>
      <c r="AQ3315" s="138"/>
    </row>
    <row r="3316" spans="22:43" x14ac:dyDescent="0.35">
      <c r="V3316" s="1013"/>
      <c r="W3316" s="138"/>
      <c r="AQ3316" s="138"/>
    </row>
    <row r="3317" spans="22:43" x14ac:dyDescent="0.35">
      <c r="V3317" s="1013"/>
      <c r="W3317" s="138"/>
      <c r="AQ3317" s="138"/>
    </row>
    <row r="3318" spans="22:43" x14ac:dyDescent="0.35">
      <c r="V3318" s="1013"/>
      <c r="W3318" s="138"/>
      <c r="AQ3318" s="138"/>
    </row>
    <row r="3319" spans="22:43" x14ac:dyDescent="0.35">
      <c r="V3319" s="1013"/>
      <c r="W3319" s="138"/>
      <c r="AQ3319" s="138"/>
    </row>
    <row r="3320" spans="22:43" x14ac:dyDescent="0.35">
      <c r="V3320" s="1013"/>
      <c r="W3320" s="138"/>
      <c r="AQ3320" s="138"/>
    </row>
    <row r="3321" spans="22:43" x14ac:dyDescent="0.35">
      <c r="V3321" s="1013"/>
      <c r="W3321" s="138"/>
      <c r="AQ3321" s="138"/>
    </row>
    <row r="3322" spans="22:43" x14ac:dyDescent="0.35">
      <c r="V3322" s="1013"/>
      <c r="W3322" s="138"/>
      <c r="AQ3322" s="138"/>
    </row>
    <row r="3323" spans="22:43" x14ac:dyDescent="0.35">
      <c r="V3323" s="1013"/>
      <c r="W3323" s="138"/>
      <c r="AQ3323" s="138"/>
    </row>
    <row r="3324" spans="22:43" x14ac:dyDescent="0.35">
      <c r="V3324" s="1013"/>
      <c r="W3324" s="138"/>
      <c r="AQ3324" s="138"/>
    </row>
    <row r="3325" spans="22:43" x14ac:dyDescent="0.35">
      <c r="V3325" s="1013"/>
      <c r="W3325" s="138"/>
      <c r="AQ3325" s="138"/>
    </row>
    <row r="3326" spans="22:43" x14ac:dyDescent="0.35">
      <c r="V3326" s="1013"/>
      <c r="W3326" s="138"/>
      <c r="AQ3326" s="138"/>
    </row>
    <row r="3327" spans="22:43" x14ac:dyDescent="0.35">
      <c r="V3327" s="1013"/>
      <c r="W3327" s="138"/>
      <c r="AQ3327" s="138"/>
    </row>
    <row r="3328" spans="22:43" x14ac:dyDescent="0.35">
      <c r="V3328" s="1013"/>
      <c r="W3328" s="138"/>
      <c r="AQ3328" s="138"/>
    </row>
    <row r="3329" spans="22:43" x14ac:dyDescent="0.35">
      <c r="V3329" s="1013"/>
      <c r="W3329" s="138"/>
      <c r="AQ3329" s="138"/>
    </row>
    <row r="3330" spans="22:43" x14ac:dyDescent="0.35">
      <c r="V3330" s="1013"/>
      <c r="W3330" s="138"/>
      <c r="AQ3330" s="138"/>
    </row>
    <row r="3331" spans="22:43" x14ac:dyDescent="0.35">
      <c r="V3331" s="1013"/>
      <c r="W3331" s="138"/>
      <c r="AQ3331" s="138"/>
    </row>
    <row r="3332" spans="22:43" x14ac:dyDescent="0.35">
      <c r="V3332" s="1013"/>
      <c r="W3332" s="138"/>
      <c r="AQ3332" s="138"/>
    </row>
    <row r="3333" spans="22:43" x14ac:dyDescent="0.35">
      <c r="V3333" s="1013"/>
      <c r="W3333" s="138"/>
      <c r="AQ3333" s="138"/>
    </row>
    <row r="3334" spans="22:43" x14ac:dyDescent="0.35">
      <c r="V3334" s="1013"/>
      <c r="W3334" s="138"/>
      <c r="AQ3334" s="138"/>
    </row>
    <row r="3335" spans="22:43" x14ac:dyDescent="0.35">
      <c r="V3335" s="1013"/>
      <c r="W3335" s="138"/>
      <c r="AQ3335" s="138"/>
    </row>
    <row r="3336" spans="22:43" x14ac:dyDescent="0.35">
      <c r="V3336" s="1013"/>
      <c r="W3336" s="138"/>
      <c r="AQ3336" s="138"/>
    </row>
    <row r="3337" spans="22:43" x14ac:dyDescent="0.35">
      <c r="V3337" s="1013"/>
      <c r="W3337" s="138"/>
      <c r="AQ3337" s="138"/>
    </row>
    <row r="3338" spans="22:43" x14ac:dyDescent="0.35">
      <c r="V3338" s="1013"/>
      <c r="W3338" s="138"/>
      <c r="AQ3338" s="138"/>
    </row>
    <row r="3339" spans="22:43" x14ac:dyDescent="0.35">
      <c r="V3339" s="1013"/>
      <c r="W3339" s="138"/>
      <c r="AQ3339" s="138"/>
    </row>
    <row r="3340" spans="22:43" x14ac:dyDescent="0.35">
      <c r="V3340" s="1013"/>
      <c r="W3340" s="138"/>
      <c r="AQ3340" s="138"/>
    </row>
    <row r="3341" spans="22:43" x14ac:dyDescent="0.35">
      <c r="V3341" s="1013"/>
      <c r="W3341" s="138"/>
      <c r="AQ3341" s="138"/>
    </row>
    <row r="3342" spans="22:43" x14ac:dyDescent="0.35">
      <c r="V3342" s="1013"/>
      <c r="W3342" s="138"/>
      <c r="AQ3342" s="138"/>
    </row>
    <row r="3343" spans="22:43" x14ac:dyDescent="0.35">
      <c r="V3343" s="1013"/>
      <c r="W3343" s="138"/>
      <c r="AQ3343" s="138"/>
    </row>
    <row r="3344" spans="22:43" x14ac:dyDescent="0.35">
      <c r="V3344" s="1013"/>
      <c r="W3344" s="138"/>
      <c r="AQ3344" s="138"/>
    </row>
    <row r="3345" spans="22:43" x14ac:dyDescent="0.35">
      <c r="V3345" s="1013"/>
      <c r="W3345" s="138"/>
      <c r="AQ3345" s="138"/>
    </row>
    <row r="3346" spans="22:43" x14ac:dyDescent="0.35">
      <c r="V3346" s="1013"/>
      <c r="W3346" s="138"/>
      <c r="AQ3346" s="138"/>
    </row>
    <row r="3347" spans="22:43" x14ac:dyDescent="0.35">
      <c r="V3347" s="1013"/>
      <c r="W3347" s="138"/>
      <c r="AQ3347" s="138"/>
    </row>
    <row r="3348" spans="22:43" x14ac:dyDescent="0.35">
      <c r="V3348" s="1013"/>
      <c r="W3348" s="138"/>
      <c r="AQ3348" s="138"/>
    </row>
    <row r="3349" spans="22:43" x14ac:dyDescent="0.35">
      <c r="V3349" s="1013"/>
      <c r="W3349" s="138"/>
      <c r="AQ3349" s="138"/>
    </row>
    <row r="3350" spans="22:43" x14ac:dyDescent="0.35">
      <c r="V3350" s="1013"/>
      <c r="W3350" s="138"/>
      <c r="AQ3350" s="138"/>
    </row>
    <row r="3351" spans="22:43" x14ac:dyDescent="0.35">
      <c r="V3351" s="1013"/>
      <c r="W3351" s="138"/>
      <c r="AQ3351" s="138"/>
    </row>
    <row r="3352" spans="22:43" x14ac:dyDescent="0.35">
      <c r="V3352" s="1013"/>
      <c r="W3352" s="138"/>
      <c r="AQ3352" s="138"/>
    </row>
    <row r="3353" spans="22:43" x14ac:dyDescent="0.35">
      <c r="V3353" s="1013"/>
      <c r="W3353" s="138"/>
      <c r="AQ3353" s="138"/>
    </row>
    <row r="3354" spans="22:43" x14ac:dyDescent="0.35">
      <c r="V3354" s="1013"/>
      <c r="W3354" s="138"/>
      <c r="AQ3354" s="138"/>
    </row>
    <row r="3355" spans="22:43" x14ac:dyDescent="0.35">
      <c r="V3355" s="1013"/>
      <c r="W3355" s="138"/>
      <c r="AQ3355" s="138"/>
    </row>
    <row r="3356" spans="22:43" x14ac:dyDescent="0.35">
      <c r="V3356" s="1013"/>
      <c r="W3356" s="138"/>
      <c r="AQ3356" s="138"/>
    </row>
    <row r="3357" spans="22:43" x14ac:dyDescent="0.35">
      <c r="V3357" s="1013"/>
      <c r="W3357" s="138"/>
      <c r="AQ3357" s="138"/>
    </row>
    <row r="3358" spans="22:43" x14ac:dyDescent="0.35">
      <c r="V3358" s="1013"/>
      <c r="W3358" s="138"/>
      <c r="AQ3358" s="138"/>
    </row>
    <row r="3359" spans="22:43" x14ac:dyDescent="0.35">
      <c r="V3359" s="1013"/>
      <c r="W3359" s="138"/>
      <c r="AQ3359" s="138"/>
    </row>
    <row r="3360" spans="22:43" x14ac:dyDescent="0.35">
      <c r="V3360" s="1013"/>
      <c r="W3360" s="138"/>
      <c r="AQ3360" s="138"/>
    </row>
    <row r="3361" spans="22:43" x14ac:dyDescent="0.35">
      <c r="V3361" s="1013"/>
      <c r="W3361" s="138"/>
      <c r="AQ3361" s="138"/>
    </row>
    <row r="3362" spans="22:43" x14ac:dyDescent="0.35">
      <c r="V3362" s="1013"/>
      <c r="W3362" s="138"/>
      <c r="AQ3362" s="138"/>
    </row>
    <row r="3363" spans="22:43" x14ac:dyDescent="0.35">
      <c r="V3363" s="1013"/>
      <c r="W3363" s="138"/>
      <c r="AQ3363" s="138"/>
    </row>
    <row r="3364" spans="22:43" x14ac:dyDescent="0.35">
      <c r="V3364" s="1013"/>
      <c r="W3364" s="138"/>
      <c r="AQ3364" s="138"/>
    </row>
    <row r="3365" spans="22:43" x14ac:dyDescent="0.35">
      <c r="V3365" s="1013"/>
      <c r="W3365" s="138"/>
      <c r="AQ3365" s="138"/>
    </row>
    <row r="3366" spans="22:43" x14ac:dyDescent="0.35">
      <c r="V3366" s="1013"/>
      <c r="W3366" s="138"/>
      <c r="AQ3366" s="138"/>
    </row>
    <row r="3367" spans="22:43" x14ac:dyDescent="0.35">
      <c r="V3367" s="1013"/>
      <c r="W3367" s="138"/>
      <c r="AQ3367" s="138"/>
    </row>
    <row r="3368" spans="22:43" x14ac:dyDescent="0.35">
      <c r="V3368" s="1013"/>
      <c r="W3368" s="138"/>
      <c r="AQ3368" s="138"/>
    </row>
    <row r="3369" spans="22:43" x14ac:dyDescent="0.35">
      <c r="V3369" s="1013"/>
      <c r="W3369" s="138"/>
      <c r="AQ3369" s="138"/>
    </row>
    <row r="3370" spans="22:43" x14ac:dyDescent="0.35">
      <c r="V3370" s="1013"/>
      <c r="W3370" s="138"/>
      <c r="AQ3370" s="138"/>
    </row>
    <row r="3371" spans="22:43" x14ac:dyDescent="0.35">
      <c r="V3371" s="1013"/>
      <c r="W3371" s="138"/>
      <c r="AQ3371" s="138"/>
    </row>
    <row r="3372" spans="22:43" x14ac:dyDescent="0.35">
      <c r="V3372" s="1013"/>
      <c r="W3372" s="138"/>
      <c r="AQ3372" s="138"/>
    </row>
    <row r="3373" spans="22:43" x14ac:dyDescent="0.35">
      <c r="V3373" s="1013"/>
      <c r="W3373" s="138"/>
      <c r="AQ3373" s="138"/>
    </row>
    <row r="3374" spans="22:43" x14ac:dyDescent="0.35">
      <c r="V3374" s="1013"/>
      <c r="W3374" s="138"/>
      <c r="AQ3374" s="138"/>
    </row>
    <row r="3375" spans="22:43" x14ac:dyDescent="0.35">
      <c r="V3375" s="1013"/>
      <c r="W3375" s="138"/>
      <c r="AQ3375" s="138"/>
    </row>
    <row r="3376" spans="22:43" x14ac:dyDescent="0.35">
      <c r="V3376" s="1013"/>
      <c r="W3376" s="138"/>
      <c r="AQ3376" s="138"/>
    </row>
    <row r="3377" spans="22:43" x14ac:dyDescent="0.35">
      <c r="V3377" s="1013"/>
      <c r="W3377" s="138"/>
      <c r="AQ3377" s="138"/>
    </row>
    <row r="3378" spans="22:43" x14ac:dyDescent="0.35">
      <c r="V3378" s="1013"/>
      <c r="W3378" s="138"/>
      <c r="AQ3378" s="138"/>
    </row>
    <row r="3379" spans="22:43" x14ac:dyDescent="0.35">
      <c r="V3379" s="1013"/>
      <c r="W3379" s="138"/>
      <c r="AQ3379" s="138"/>
    </row>
    <row r="3380" spans="22:43" x14ac:dyDescent="0.35">
      <c r="V3380" s="1013"/>
      <c r="W3380" s="138"/>
      <c r="AQ3380" s="138"/>
    </row>
    <row r="3381" spans="22:43" x14ac:dyDescent="0.35">
      <c r="V3381" s="1013"/>
      <c r="W3381" s="138"/>
      <c r="AQ3381" s="138"/>
    </row>
    <row r="3382" spans="22:43" x14ac:dyDescent="0.35">
      <c r="V3382" s="1013"/>
      <c r="W3382" s="138"/>
      <c r="AQ3382" s="138"/>
    </row>
    <row r="3383" spans="22:43" x14ac:dyDescent="0.35">
      <c r="V3383" s="1013"/>
      <c r="W3383" s="138"/>
      <c r="AQ3383" s="138"/>
    </row>
    <row r="3384" spans="22:43" x14ac:dyDescent="0.35">
      <c r="V3384" s="1013"/>
      <c r="W3384" s="138"/>
      <c r="AQ3384" s="138"/>
    </row>
    <row r="3385" spans="22:43" x14ac:dyDescent="0.35">
      <c r="V3385" s="1013"/>
      <c r="W3385" s="138"/>
      <c r="AQ3385" s="138"/>
    </row>
    <row r="3386" spans="22:43" x14ac:dyDescent="0.35">
      <c r="V3386" s="1013"/>
      <c r="W3386" s="138"/>
      <c r="AQ3386" s="138"/>
    </row>
    <row r="3387" spans="22:43" x14ac:dyDescent="0.35">
      <c r="V3387" s="1013"/>
      <c r="W3387" s="138"/>
      <c r="AQ3387" s="138"/>
    </row>
    <row r="3388" spans="22:43" x14ac:dyDescent="0.35">
      <c r="V3388" s="1013"/>
      <c r="W3388" s="138"/>
      <c r="AQ3388" s="138"/>
    </row>
    <row r="3389" spans="22:43" x14ac:dyDescent="0.35">
      <c r="V3389" s="1013"/>
      <c r="W3389" s="138"/>
      <c r="AQ3389" s="138"/>
    </row>
    <row r="3390" spans="22:43" x14ac:dyDescent="0.35">
      <c r="V3390" s="1013"/>
      <c r="W3390" s="138"/>
      <c r="AQ3390" s="138"/>
    </row>
    <row r="3391" spans="22:43" x14ac:dyDescent="0.35">
      <c r="V3391" s="1013"/>
      <c r="W3391" s="138"/>
      <c r="AQ3391" s="138"/>
    </row>
    <row r="3392" spans="22:43" x14ac:dyDescent="0.35">
      <c r="V3392" s="1013"/>
      <c r="W3392" s="138"/>
      <c r="AQ3392" s="138"/>
    </row>
    <row r="3393" spans="22:43" x14ac:dyDescent="0.35">
      <c r="V3393" s="1013"/>
      <c r="W3393" s="138"/>
      <c r="AQ3393" s="138"/>
    </row>
    <row r="3394" spans="22:43" x14ac:dyDescent="0.35">
      <c r="V3394" s="1013"/>
      <c r="W3394" s="138"/>
      <c r="AQ3394" s="138"/>
    </row>
    <row r="3395" spans="22:43" x14ac:dyDescent="0.35">
      <c r="V3395" s="1013"/>
      <c r="W3395" s="138"/>
      <c r="AQ3395" s="138"/>
    </row>
    <row r="3396" spans="22:43" x14ac:dyDescent="0.35">
      <c r="V3396" s="1013"/>
      <c r="W3396" s="138"/>
      <c r="AQ3396" s="138"/>
    </row>
    <row r="3397" spans="22:43" x14ac:dyDescent="0.35">
      <c r="V3397" s="1013"/>
      <c r="W3397" s="138"/>
      <c r="AQ3397" s="138"/>
    </row>
    <row r="3398" spans="22:43" x14ac:dyDescent="0.35">
      <c r="V3398" s="1013"/>
      <c r="W3398" s="138"/>
      <c r="AQ3398" s="138"/>
    </row>
    <row r="3399" spans="22:43" x14ac:dyDescent="0.35">
      <c r="V3399" s="1013"/>
      <c r="W3399" s="138"/>
      <c r="AQ3399" s="138"/>
    </row>
    <row r="3400" spans="22:43" x14ac:dyDescent="0.35">
      <c r="V3400" s="1013"/>
      <c r="W3400" s="138"/>
      <c r="AQ3400" s="138"/>
    </row>
    <row r="3401" spans="22:43" x14ac:dyDescent="0.35">
      <c r="V3401" s="1013"/>
      <c r="W3401" s="138"/>
      <c r="AQ3401" s="138"/>
    </row>
    <row r="3402" spans="22:43" x14ac:dyDescent="0.35">
      <c r="V3402" s="1013"/>
      <c r="W3402" s="138"/>
      <c r="AQ3402" s="138"/>
    </row>
    <row r="3403" spans="22:43" x14ac:dyDescent="0.35">
      <c r="V3403" s="1013"/>
      <c r="W3403" s="138"/>
      <c r="AQ3403" s="138"/>
    </row>
    <row r="3404" spans="22:43" x14ac:dyDescent="0.35">
      <c r="V3404" s="1013"/>
      <c r="W3404" s="138"/>
      <c r="AQ3404" s="138"/>
    </row>
    <row r="3405" spans="22:43" x14ac:dyDescent="0.35">
      <c r="V3405" s="1013"/>
      <c r="W3405" s="138"/>
      <c r="AQ3405" s="138"/>
    </row>
    <row r="3406" spans="22:43" x14ac:dyDescent="0.35">
      <c r="V3406" s="1013"/>
      <c r="W3406" s="138"/>
      <c r="AQ3406" s="138"/>
    </row>
    <row r="3407" spans="22:43" x14ac:dyDescent="0.35">
      <c r="V3407" s="1013"/>
      <c r="W3407" s="138"/>
      <c r="AQ3407" s="138"/>
    </row>
    <row r="3408" spans="22:43" x14ac:dyDescent="0.35">
      <c r="V3408" s="1013"/>
      <c r="W3408" s="138"/>
      <c r="AQ3408" s="138"/>
    </row>
    <row r="3409" spans="22:43" x14ac:dyDescent="0.35">
      <c r="V3409" s="1013"/>
      <c r="W3409" s="138"/>
      <c r="AQ3409" s="138"/>
    </row>
    <row r="3410" spans="22:43" x14ac:dyDescent="0.35">
      <c r="V3410" s="1013"/>
      <c r="W3410" s="138"/>
      <c r="AQ3410" s="138"/>
    </row>
    <row r="3411" spans="22:43" x14ac:dyDescent="0.35">
      <c r="V3411" s="1013"/>
      <c r="W3411" s="138"/>
      <c r="AQ3411" s="138"/>
    </row>
    <row r="3412" spans="22:43" x14ac:dyDescent="0.35">
      <c r="V3412" s="1013"/>
      <c r="W3412" s="138"/>
      <c r="AQ3412" s="138"/>
    </row>
    <row r="3413" spans="22:43" x14ac:dyDescent="0.35">
      <c r="V3413" s="1013"/>
      <c r="W3413" s="138"/>
      <c r="AQ3413" s="138"/>
    </row>
    <row r="3414" spans="22:43" x14ac:dyDescent="0.35">
      <c r="V3414" s="1013"/>
      <c r="W3414" s="138"/>
      <c r="AQ3414" s="138"/>
    </row>
    <row r="3415" spans="22:43" x14ac:dyDescent="0.35">
      <c r="V3415" s="1013"/>
      <c r="W3415" s="138"/>
      <c r="AQ3415" s="138"/>
    </row>
    <row r="3416" spans="22:43" x14ac:dyDescent="0.35">
      <c r="V3416" s="1013"/>
      <c r="W3416" s="138"/>
      <c r="AQ3416" s="138"/>
    </row>
    <row r="3417" spans="22:43" x14ac:dyDescent="0.35">
      <c r="V3417" s="1013"/>
      <c r="W3417" s="138"/>
      <c r="AQ3417" s="138"/>
    </row>
    <row r="3418" spans="22:43" x14ac:dyDescent="0.35">
      <c r="V3418" s="1013"/>
      <c r="W3418" s="138"/>
      <c r="AQ3418" s="138"/>
    </row>
    <row r="3419" spans="22:43" x14ac:dyDescent="0.35">
      <c r="V3419" s="1013"/>
      <c r="W3419" s="138"/>
      <c r="AQ3419" s="138"/>
    </row>
    <row r="3420" spans="22:43" x14ac:dyDescent="0.35">
      <c r="V3420" s="1013"/>
      <c r="W3420" s="138"/>
      <c r="AQ3420" s="138"/>
    </row>
    <row r="3421" spans="22:43" x14ac:dyDescent="0.35">
      <c r="V3421" s="1013"/>
      <c r="W3421" s="138"/>
      <c r="AQ3421" s="138"/>
    </row>
    <row r="3422" spans="22:43" x14ac:dyDescent="0.35">
      <c r="V3422" s="1013"/>
      <c r="W3422" s="138"/>
      <c r="AQ3422" s="138"/>
    </row>
    <row r="3423" spans="22:43" x14ac:dyDescent="0.35">
      <c r="V3423" s="1013"/>
      <c r="W3423" s="138"/>
      <c r="AQ3423" s="138"/>
    </row>
    <row r="3424" spans="22:43" x14ac:dyDescent="0.35">
      <c r="V3424" s="1013"/>
      <c r="W3424" s="138"/>
      <c r="AQ3424" s="138"/>
    </row>
    <row r="3425" spans="22:43" x14ac:dyDescent="0.35">
      <c r="V3425" s="1013"/>
      <c r="W3425" s="138"/>
      <c r="AQ3425" s="138"/>
    </row>
    <row r="3426" spans="22:43" x14ac:dyDescent="0.35">
      <c r="V3426" s="1013"/>
      <c r="W3426" s="138"/>
      <c r="AQ3426" s="138"/>
    </row>
    <row r="3427" spans="22:43" x14ac:dyDescent="0.35">
      <c r="V3427" s="1013"/>
      <c r="W3427" s="138"/>
      <c r="AQ3427" s="138"/>
    </row>
    <row r="3428" spans="22:43" x14ac:dyDescent="0.35">
      <c r="V3428" s="1013"/>
      <c r="W3428" s="138"/>
      <c r="AQ3428" s="138"/>
    </row>
    <row r="3429" spans="22:43" x14ac:dyDescent="0.35">
      <c r="V3429" s="1013"/>
      <c r="W3429" s="138"/>
      <c r="AQ3429" s="138"/>
    </row>
    <row r="3430" spans="22:43" x14ac:dyDescent="0.35">
      <c r="V3430" s="1013"/>
      <c r="W3430" s="138"/>
      <c r="AQ3430" s="138"/>
    </row>
    <row r="3431" spans="22:43" x14ac:dyDescent="0.35">
      <c r="V3431" s="1013"/>
      <c r="W3431" s="138"/>
      <c r="AQ3431" s="138"/>
    </row>
    <row r="3432" spans="22:43" x14ac:dyDescent="0.35">
      <c r="V3432" s="1013"/>
      <c r="W3432" s="138"/>
      <c r="AQ3432" s="138"/>
    </row>
    <row r="3433" spans="22:43" x14ac:dyDescent="0.35">
      <c r="V3433" s="1013"/>
      <c r="W3433" s="138"/>
      <c r="AQ3433" s="138"/>
    </row>
    <row r="3434" spans="22:43" x14ac:dyDescent="0.35">
      <c r="V3434" s="1013"/>
      <c r="W3434" s="138"/>
      <c r="AQ3434" s="138"/>
    </row>
    <row r="3435" spans="22:43" x14ac:dyDescent="0.35">
      <c r="V3435" s="1013"/>
      <c r="W3435" s="138"/>
      <c r="AQ3435" s="138"/>
    </row>
    <row r="3436" spans="22:43" x14ac:dyDescent="0.35">
      <c r="V3436" s="1013"/>
      <c r="W3436" s="138"/>
      <c r="AQ3436" s="138"/>
    </row>
    <row r="3437" spans="22:43" x14ac:dyDescent="0.35">
      <c r="V3437" s="1013"/>
      <c r="W3437" s="138"/>
      <c r="AQ3437" s="138"/>
    </row>
    <row r="3438" spans="22:43" x14ac:dyDescent="0.35">
      <c r="V3438" s="1013"/>
      <c r="W3438" s="138"/>
      <c r="AQ3438" s="138"/>
    </row>
    <row r="3439" spans="22:43" x14ac:dyDescent="0.35">
      <c r="V3439" s="1013"/>
      <c r="W3439" s="138"/>
      <c r="AQ3439" s="138"/>
    </row>
    <row r="3440" spans="22:43" x14ac:dyDescent="0.35">
      <c r="V3440" s="1013"/>
      <c r="W3440" s="138"/>
      <c r="AQ3440" s="138"/>
    </row>
    <row r="3441" spans="22:43" x14ac:dyDescent="0.35">
      <c r="V3441" s="1013"/>
      <c r="W3441" s="138"/>
      <c r="AQ3441" s="138"/>
    </row>
    <row r="3442" spans="22:43" x14ac:dyDescent="0.35">
      <c r="V3442" s="1013"/>
      <c r="W3442" s="138"/>
      <c r="AQ3442" s="138"/>
    </row>
    <row r="3443" spans="22:43" x14ac:dyDescent="0.35">
      <c r="V3443" s="1013"/>
      <c r="W3443" s="138"/>
      <c r="AQ3443" s="138"/>
    </row>
    <row r="3444" spans="22:43" x14ac:dyDescent="0.35">
      <c r="V3444" s="1013"/>
      <c r="W3444" s="138"/>
      <c r="AQ3444" s="138"/>
    </row>
    <row r="3445" spans="22:43" x14ac:dyDescent="0.35">
      <c r="V3445" s="1013"/>
      <c r="W3445" s="138"/>
      <c r="AQ3445" s="138"/>
    </row>
    <row r="3446" spans="22:43" x14ac:dyDescent="0.35">
      <c r="V3446" s="1013"/>
      <c r="W3446" s="138"/>
      <c r="AQ3446" s="138"/>
    </row>
    <row r="3447" spans="22:43" x14ac:dyDescent="0.35">
      <c r="V3447" s="1013"/>
      <c r="W3447" s="138"/>
      <c r="AQ3447" s="138"/>
    </row>
    <row r="3448" spans="22:43" x14ac:dyDescent="0.35">
      <c r="V3448" s="1013"/>
      <c r="W3448" s="138"/>
      <c r="AQ3448" s="138"/>
    </row>
    <row r="3449" spans="22:43" x14ac:dyDescent="0.35">
      <c r="V3449" s="1013"/>
      <c r="W3449" s="138"/>
      <c r="AQ3449" s="138"/>
    </row>
    <row r="3450" spans="22:43" x14ac:dyDescent="0.35">
      <c r="V3450" s="1013"/>
      <c r="W3450" s="138"/>
      <c r="AQ3450" s="138"/>
    </row>
    <row r="3451" spans="22:43" x14ac:dyDescent="0.35">
      <c r="V3451" s="1013"/>
      <c r="W3451" s="138"/>
      <c r="AQ3451" s="138"/>
    </row>
    <row r="3452" spans="22:43" x14ac:dyDescent="0.35">
      <c r="V3452" s="1013"/>
      <c r="W3452" s="138"/>
      <c r="AQ3452" s="138"/>
    </row>
    <row r="3453" spans="22:43" x14ac:dyDescent="0.35">
      <c r="V3453" s="1013"/>
      <c r="W3453" s="138"/>
      <c r="AQ3453" s="138"/>
    </row>
    <row r="3454" spans="22:43" x14ac:dyDescent="0.35">
      <c r="V3454" s="1013"/>
      <c r="W3454" s="138"/>
      <c r="AQ3454" s="138"/>
    </row>
    <row r="3455" spans="22:43" x14ac:dyDescent="0.35">
      <c r="V3455" s="1013"/>
      <c r="W3455" s="138"/>
      <c r="AQ3455" s="138"/>
    </row>
    <row r="3456" spans="22:43" x14ac:dyDescent="0.35">
      <c r="V3456" s="1013"/>
      <c r="W3456" s="138"/>
      <c r="AQ3456" s="138"/>
    </row>
    <row r="3457" spans="22:43" x14ac:dyDescent="0.35">
      <c r="V3457" s="1013"/>
      <c r="W3457" s="138"/>
      <c r="AQ3457" s="138"/>
    </row>
    <row r="3458" spans="22:43" x14ac:dyDescent="0.35">
      <c r="V3458" s="1013"/>
      <c r="W3458" s="138"/>
      <c r="AQ3458" s="138"/>
    </row>
    <row r="3459" spans="22:43" x14ac:dyDescent="0.35">
      <c r="V3459" s="1013"/>
      <c r="W3459" s="138"/>
      <c r="AQ3459" s="138"/>
    </row>
    <row r="3460" spans="22:43" x14ac:dyDescent="0.35">
      <c r="V3460" s="1013"/>
      <c r="W3460" s="138"/>
      <c r="AQ3460" s="138"/>
    </row>
    <row r="3461" spans="22:43" x14ac:dyDescent="0.35">
      <c r="V3461" s="1013"/>
      <c r="W3461" s="138"/>
      <c r="AQ3461" s="138"/>
    </row>
    <row r="3462" spans="22:43" x14ac:dyDescent="0.35">
      <c r="V3462" s="1013"/>
      <c r="W3462" s="138"/>
      <c r="AQ3462" s="138"/>
    </row>
    <row r="3463" spans="22:43" x14ac:dyDescent="0.35">
      <c r="V3463" s="1013"/>
      <c r="W3463" s="138"/>
      <c r="AQ3463" s="138"/>
    </row>
    <row r="3464" spans="22:43" x14ac:dyDescent="0.35">
      <c r="V3464" s="1013"/>
      <c r="W3464" s="138"/>
      <c r="AQ3464" s="138"/>
    </row>
    <row r="3465" spans="22:43" x14ac:dyDescent="0.35">
      <c r="V3465" s="1013"/>
      <c r="W3465" s="138"/>
      <c r="AQ3465" s="138"/>
    </row>
    <row r="3466" spans="22:43" x14ac:dyDescent="0.35">
      <c r="V3466" s="1013"/>
      <c r="W3466" s="138"/>
      <c r="AQ3466" s="138"/>
    </row>
    <row r="3467" spans="22:43" x14ac:dyDescent="0.35">
      <c r="V3467" s="1013"/>
      <c r="W3467" s="138"/>
      <c r="AQ3467" s="138"/>
    </row>
    <row r="3468" spans="22:43" x14ac:dyDescent="0.35">
      <c r="V3468" s="1013"/>
      <c r="W3468" s="138"/>
      <c r="AQ3468" s="138"/>
    </row>
    <row r="3469" spans="22:43" x14ac:dyDescent="0.35">
      <c r="V3469" s="1013"/>
      <c r="W3469" s="138"/>
      <c r="AQ3469" s="138"/>
    </row>
    <row r="3470" spans="22:43" x14ac:dyDescent="0.35">
      <c r="V3470" s="1013"/>
      <c r="W3470" s="138"/>
      <c r="AQ3470" s="138"/>
    </row>
    <row r="3471" spans="22:43" x14ac:dyDescent="0.35">
      <c r="V3471" s="1013"/>
      <c r="W3471" s="138"/>
      <c r="AQ3471" s="138"/>
    </row>
    <row r="3472" spans="22:43" x14ac:dyDescent="0.35">
      <c r="V3472" s="1013"/>
      <c r="W3472" s="138"/>
      <c r="AQ3472" s="138"/>
    </row>
    <row r="3473" spans="22:43" x14ac:dyDescent="0.35">
      <c r="V3473" s="1013"/>
      <c r="W3473" s="138"/>
      <c r="AQ3473" s="138"/>
    </row>
  </sheetData>
  <hyperlinks>
    <hyperlink ref="A68" location="Contents!A1" display="Return to Contents Page" xr:uid="{00000000-0004-0000-1B00-000000000000}"/>
    <hyperlink ref="E2" r:id="rId1" xr:uid="{00000000-0004-0000-1B00-000001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130"/>
  <sheetViews>
    <sheetView zoomScaleNormal="100" workbookViewId="0">
      <pane xSplit="1" ySplit="9" topLeftCell="B10" activePane="bottomRight" state="frozen"/>
      <selection pane="topRight" activeCell="B1" sqref="B1"/>
      <selection pane="bottomLeft" activeCell="A10" sqref="A10"/>
      <selection pane="bottomRight" activeCell="B2" sqref="B2"/>
    </sheetView>
  </sheetViews>
  <sheetFormatPr defaultRowHeight="14.25" x14ac:dyDescent="0.45"/>
  <cols>
    <col min="26" max="26" width="13" bestFit="1" customWidth="1"/>
    <col min="32" max="32" width="10.46484375" bestFit="1" customWidth="1"/>
    <col min="37" max="37" width="11.53125" bestFit="1" customWidth="1"/>
  </cols>
  <sheetData>
    <row r="1" spans="1:39" ht="17.649999999999999" x14ac:dyDescent="0.45">
      <c r="A1" s="1135" t="s">
        <v>2284</v>
      </c>
    </row>
    <row r="2" spans="1:39" ht="15.4" x14ac:dyDescent="0.45">
      <c r="B2" s="1136" t="s">
        <v>2301</v>
      </c>
      <c r="S2" s="942"/>
      <c r="T2" s="11"/>
      <c r="U2" s="11"/>
      <c r="V2" s="11"/>
      <c r="W2" s="942"/>
    </row>
    <row r="3" spans="1:39" x14ac:dyDescent="0.45">
      <c r="C3" t="s">
        <v>2208</v>
      </c>
      <c r="H3" t="s">
        <v>2215</v>
      </c>
      <c r="N3" t="s">
        <v>2209</v>
      </c>
      <c r="S3" t="s">
        <v>2210</v>
      </c>
      <c r="W3" t="s">
        <v>496</v>
      </c>
      <c r="X3" t="s">
        <v>2216</v>
      </c>
      <c r="Y3" t="s">
        <v>2216</v>
      </c>
      <c r="AA3" t="s">
        <v>2217</v>
      </c>
      <c r="AB3" t="s">
        <v>2217</v>
      </c>
      <c r="AF3" t="s">
        <v>2217</v>
      </c>
      <c r="AG3" t="s">
        <v>2217</v>
      </c>
      <c r="AH3" t="s">
        <v>2217</v>
      </c>
      <c r="AJ3" t="s">
        <v>2217</v>
      </c>
      <c r="AK3" t="s">
        <v>2217</v>
      </c>
      <c r="AL3" t="s">
        <v>2217</v>
      </c>
      <c r="AM3" t="s">
        <v>2217</v>
      </c>
    </row>
    <row r="4" spans="1:39" x14ac:dyDescent="0.45">
      <c r="C4" s="138" t="s">
        <v>1853</v>
      </c>
      <c r="D4" s="138" t="s">
        <v>1852</v>
      </c>
      <c r="E4" s="138" t="s">
        <v>1063</v>
      </c>
      <c r="F4" s="138" t="s">
        <v>1171</v>
      </c>
      <c r="G4" s="138"/>
      <c r="H4" s="138" t="s">
        <v>1853</v>
      </c>
      <c r="I4" s="138" t="s">
        <v>1852</v>
      </c>
      <c r="J4" s="138" t="s">
        <v>1063</v>
      </c>
      <c r="K4" s="138" t="s">
        <v>1171</v>
      </c>
      <c r="L4" s="138"/>
      <c r="N4" s="138" t="s">
        <v>1853</v>
      </c>
      <c r="O4" s="138" t="s">
        <v>1852</v>
      </c>
      <c r="P4" s="138" t="s">
        <v>1063</v>
      </c>
      <c r="Q4" s="138" t="s">
        <v>1171</v>
      </c>
      <c r="W4" t="s">
        <v>2218</v>
      </c>
      <c r="X4" t="s">
        <v>2219</v>
      </c>
      <c r="Y4" t="s">
        <v>2220</v>
      </c>
      <c r="AA4" t="s">
        <v>2221</v>
      </c>
      <c r="AB4" t="s">
        <v>2221</v>
      </c>
    </row>
    <row r="5" spans="1:39" x14ac:dyDescent="0.45">
      <c r="C5" t="s">
        <v>1840</v>
      </c>
      <c r="D5" t="s">
        <v>1840</v>
      </c>
      <c r="E5" t="s">
        <v>1840</v>
      </c>
      <c r="F5" t="s">
        <v>1840</v>
      </c>
      <c r="H5" t="s">
        <v>2222</v>
      </c>
      <c r="I5" t="s">
        <v>2222</v>
      </c>
      <c r="J5" t="s">
        <v>2222</v>
      </c>
      <c r="K5" t="s">
        <v>2222</v>
      </c>
      <c r="N5" s="138" t="s">
        <v>2211</v>
      </c>
      <c r="S5" t="s">
        <v>2212</v>
      </c>
      <c r="W5" t="s">
        <v>2223</v>
      </c>
      <c r="X5" t="s">
        <v>2223</v>
      </c>
      <c r="Y5" t="s">
        <v>2223</v>
      </c>
      <c r="AA5" t="s">
        <v>2224</v>
      </c>
      <c r="AB5" t="s">
        <v>2225</v>
      </c>
      <c r="AF5" t="s">
        <v>2226</v>
      </c>
      <c r="AK5" t="s">
        <v>2227</v>
      </c>
    </row>
    <row r="6" spans="1:39" x14ac:dyDescent="0.45">
      <c r="C6" s="138" t="s">
        <v>2213</v>
      </c>
      <c r="N6" s="138" t="s">
        <v>2213</v>
      </c>
      <c r="S6" t="s">
        <v>2214</v>
      </c>
      <c r="X6" t="s">
        <v>2228</v>
      </c>
      <c r="Y6" t="s">
        <v>2229</v>
      </c>
      <c r="AA6" t="s">
        <v>2230</v>
      </c>
      <c r="AB6" t="s">
        <v>2231</v>
      </c>
      <c r="AE6" t="s">
        <v>2232</v>
      </c>
      <c r="AJ6" t="s">
        <v>2232</v>
      </c>
    </row>
    <row r="7" spans="1:39" x14ac:dyDescent="0.45">
      <c r="W7" s="1030" t="s">
        <v>2233</v>
      </c>
      <c r="X7" s="9"/>
    </row>
    <row r="8" spans="1:39" ht="15.75" x14ac:dyDescent="0.5">
      <c r="H8" t="s">
        <v>2234</v>
      </c>
      <c r="I8" s="926">
        <v>425</v>
      </c>
      <c r="J8" s="926" t="s">
        <v>1029</v>
      </c>
      <c r="O8">
        <v>43.3</v>
      </c>
    </row>
    <row r="9" spans="1:39" ht="15.75" x14ac:dyDescent="0.5">
      <c r="I9" s="926">
        <v>12700</v>
      </c>
      <c r="J9" s="926" t="s">
        <v>1015</v>
      </c>
      <c r="O9" t="s">
        <v>2186</v>
      </c>
    </row>
    <row r="10" spans="1:39" x14ac:dyDescent="0.45">
      <c r="A10">
        <v>1900</v>
      </c>
      <c r="C10" s="1031">
        <f t="shared" ref="C10:D31" si="0">H10/$T10*100</f>
        <v>101.99651188287801</v>
      </c>
      <c r="H10" s="975">
        <f t="shared" ref="H10:H63" si="1">H$65*W10/W$65</f>
        <v>1.1352774259743175</v>
      </c>
      <c r="S10" s="1032">
        <v>1.0544890041372983</v>
      </c>
      <c r="T10" s="975">
        <f t="shared" ref="T10:T73" si="2">S10/S$120*100</f>
        <v>1.1130551476877462</v>
      </c>
      <c r="W10" s="964">
        <v>0.54564983888292162</v>
      </c>
    </row>
    <row r="11" spans="1:39" x14ac:dyDescent="0.45">
      <c r="A11">
        <v>1901</v>
      </c>
      <c r="C11" s="1031">
        <f t="shared" si="0"/>
        <v>89.161779639417645</v>
      </c>
      <c r="H11" s="975">
        <f t="shared" si="1"/>
        <v>0.97860914118986164</v>
      </c>
      <c r="S11" s="1032">
        <v>1.0398146042234135</v>
      </c>
      <c r="T11" s="975">
        <f t="shared" si="2"/>
        <v>1.0975657340482547</v>
      </c>
      <c r="W11" s="964">
        <v>0.47035016111707845</v>
      </c>
    </row>
    <row r="12" spans="1:39" x14ac:dyDescent="0.45">
      <c r="A12">
        <v>1902</v>
      </c>
      <c r="C12" s="1031">
        <f t="shared" si="0"/>
        <v>79.684486660015949</v>
      </c>
      <c r="H12" s="975">
        <f t="shared" si="1"/>
        <v>0.86508139859242994</v>
      </c>
      <c r="S12" s="1032">
        <v>1.0285101155662568</v>
      </c>
      <c r="T12" s="975">
        <f t="shared" si="2"/>
        <v>1.0856333959750664</v>
      </c>
      <c r="W12" s="964">
        <v>0.41578517722878627</v>
      </c>
    </row>
    <row r="13" spans="1:39" x14ac:dyDescent="0.45">
      <c r="A13">
        <v>1903</v>
      </c>
      <c r="C13" s="1031">
        <f t="shared" si="0"/>
        <v>64.499897061691939</v>
      </c>
      <c r="H13" s="975">
        <f t="shared" si="1"/>
        <v>0.69819561697420518</v>
      </c>
      <c r="S13" s="1032">
        <v>1.0255184296629043</v>
      </c>
      <c r="T13" s="975">
        <f t="shared" si="2"/>
        <v>1.0824755523352307</v>
      </c>
      <c r="W13" s="964">
        <v>0.33557465091299676</v>
      </c>
    </row>
    <row r="14" spans="1:39" x14ac:dyDescent="0.45">
      <c r="A14">
        <v>1904</v>
      </c>
      <c r="C14" s="1031">
        <f t="shared" si="0"/>
        <v>70.91804606224774</v>
      </c>
      <c r="H14" s="975">
        <f t="shared" si="1"/>
        <v>0.75950059797681846</v>
      </c>
      <c r="S14" s="1032">
        <v>1.0146043772550446</v>
      </c>
      <c r="T14" s="975">
        <f t="shared" si="2"/>
        <v>1.0709553352755559</v>
      </c>
      <c r="W14" s="964">
        <v>0.3650397422126746</v>
      </c>
    </row>
    <row r="15" spans="1:39" x14ac:dyDescent="0.45">
      <c r="A15">
        <v>1905</v>
      </c>
      <c r="C15" s="1031">
        <f t="shared" si="0"/>
        <v>67.357774192817502</v>
      </c>
      <c r="H15" s="975">
        <f t="shared" si="1"/>
        <v>0.72430699777161456</v>
      </c>
      <c r="S15" s="1032">
        <v>1.0187328868266257</v>
      </c>
      <c r="T15" s="975">
        <f t="shared" si="2"/>
        <v>1.0753131415806922</v>
      </c>
      <c r="W15" s="964">
        <v>0.34812459720730399</v>
      </c>
    </row>
    <row r="16" spans="1:39" x14ac:dyDescent="0.45">
      <c r="A16">
        <v>1906</v>
      </c>
      <c r="C16" s="1031">
        <f t="shared" si="0"/>
        <v>67.19687084047348</v>
      </c>
      <c r="H16" s="975">
        <f t="shared" si="1"/>
        <v>0.73338921717940897</v>
      </c>
      <c r="S16" s="1032">
        <v>1.0339769171772673</v>
      </c>
      <c r="T16" s="975">
        <f t="shared" si="2"/>
        <v>1.0914038228364644</v>
      </c>
      <c r="W16" s="964">
        <v>0.35248979591836732</v>
      </c>
    </row>
    <row r="17" spans="1:25" x14ac:dyDescent="0.45">
      <c r="A17">
        <v>1907</v>
      </c>
      <c r="C17" s="1031">
        <f t="shared" si="0"/>
        <v>86.174406574449051</v>
      </c>
      <c r="H17" s="975">
        <f t="shared" si="1"/>
        <v>0.95136248296647796</v>
      </c>
      <c r="S17" s="1032">
        <v>1.0459070550601237</v>
      </c>
      <c r="T17" s="975">
        <f t="shared" si="2"/>
        <v>1.1039965585890783</v>
      </c>
      <c r="W17" s="964">
        <v>0.45725456498388833</v>
      </c>
    </row>
    <row r="18" spans="1:25" x14ac:dyDescent="0.45">
      <c r="A18">
        <v>1908</v>
      </c>
      <c r="C18" s="1031">
        <f t="shared" si="0"/>
        <v>85.347599781733805</v>
      </c>
      <c r="H18" s="975">
        <f t="shared" si="1"/>
        <v>0.93433332157686333</v>
      </c>
      <c r="S18" s="1032">
        <v>1.0371364516939527</v>
      </c>
      <c r="T18" s="975">
        <f t="shared" si="2"/>
        <v>1.094738837373644</v>
      </c>
      <c r="W18" s="964">
        <v>0.4490698174006445</v>
      </c>
    </row>
    <row r="19" spans="1:25" x14ac:dyDescent="0.45">
      <c r="A19">
        <v>1909</v>
      </c>
      <c r="C19" s="1031">
        <f t="shared" si="0"/>
        <v>75.668651070622488</v>
      </c>
      <c r="H19" s="975">
        <f t="shared" si="1"/>
        <v>0.82648196610930313</v>
      </c>
      <c r="S19" s="1032">
        <v>1.0347674587493831</v>
      </c>
      <c r="T19" s="975">
        <f t="shared" si="2"/>
        <v>1.0922382709557452</v>
      </c>
      <c r="W19" s="964">
        <v>0.39723308270676694</v>
      </c>
    </row>
    <row r="20" spans="1:25" x14ac:dyDescent="0.45">
      <c r="A20">
        <v>1910</v>
      </c>
      <c r="C20" s="1031">
        <f t="shared" si="0"/>
        <v>77.294716198611368</v>
      </c>
      <c r="H20" s="975">
        <f t="shared" si="1"/>
        <v>0.85599917918463553</v>
      </c>
      <c r="S20" s="1032">
        <v>1.0491773690354913</v>
      </c>
      <c r="T20" s="975">
        <f t="shared" si="2"/>
        <v>1.1074485052576128</v>
      </c>
      <c r="W20" s="964">
        <v>0.41141997851772294</v>
      </c>
    </row>
    <row r="21" spans="1:25" x14ac:dyDescent="0.45">
      <c r="A21">
        <v>1911</v>
      </c>
      <c r="C21" s="1031">
        <f t="shared" si="0"/>
        <v>76.860956672834675</v>
      </c>
      <c r="H21" s="975">
        <f t="shared" si="1"/>
        <v>0.85599917918463553</v>
      </c>
      <c r="S21" s="1032">
        <v>1.0550983294001353</v>
      </c>
      <c r="T21" s="975">
        <f t="shared" si="2"/>
        <v>1.1136983147741319</v>
      </c>
      <c r="W21" s="964">
        <v>0.41141997851772294</v>
      </c>
    </row>
    <row r="22" spans="1:25" x14ac:dyDescent="0.45">
      <c r="A22">
        <v>1912</v>
      </c>
      <c r="C22" s="1031">
        <f t="shared" si="0"/>
        <v>83.35376287634908</v>
      </c>
      <c r="H22" s="975">
        <f t="shared" si="1"/>
        <v>0.95136248296647796</v>
      </c>
      <c r="S22" s="1032">
        <v>1.0812999520554281</v>
      </c>
      <c r="T22" s="975">
        <f t="shared" si="2"/>
        <v>1.1413551711849819</v>
      </c>
      <c r="W22" s="964">
        <v>0.45725456498388833</v>
      </c>
    </row>
    <row r="23" spans="1:25" x14ac:dyDescent="0.45">
      <c r="A23">
        <v>1913</v>
      </c>
      <c r="C23" s="1031">
        <f t="shared" si="0"/>
        <v>92.658775636100344</v>
      </c>
      <c r="H23" s="975">
        <f t="shared" si="1"/>
        <v>1.0569432835820896</v>
      </c>
      <c r="S23" s="1032">
        <v>1.0806635392797366</v>
      </c>
      <c r="T23" s="975">
        <f t="shared" si="2"/>
        <v>1.140683412149792</v>
      </c>
      <c r="W23" s="964">
        <v>0.50800000000000001</v>
      </c>
    </row>
    <row r="24" spans="1:25" x14ac:dyDescent="0.45">
      <c r="A24">
        <v>1914</v>
      </c>
      <c r="C24" s="1031">
        <f t="shared" si="0"/>
        <v>91.939323705995605</v>
      </c>
      <c r="H24" s="975">
        <f t="shared" si="1"/>
        <v>1.0402985074626865</v>
      </c>
      <c r="S24" s="1032">
        <v>1.0719685487881527</v>
      </c>
      <c r="T24" s="975">
        <f t="shared" si="2"/>
        <v>1.131505503335398</v>
      </c>
      <c r="W24" s="964">
        <v>0.5</v>
      </c>
    </row>
    <row r="25" spans="1:25" x14ac:dyDescent="0.45">
      <c r="A25">
        <v>1915</v>
      </c>
      <c r="C25" s="1031">
        <f t="shared" si="0"/>
        <v>101.20470332004025</v>
      </c>
      <c r="H25" s="975">
        <f t="shared" si="1"/>
        <v>1.3003731343283582</v>
      </c>
      <c r="S25" s="1032">
        <v>1.2172861064818288</v>
      </c>
      <c r="T25" s="975">
        <f t="shared" si="2"/>
        <v>1.2848939739650047</v>
      </c>
      <c r="W25" s="964">
        <v>0.625</v>
      </c>
    </row>
    <row r="26" spans="1:25" x14ac:dyDescent="0.45">
      <c r="A26">
        <v>1916</v>
      </c>
      <c r="C26" s="1031">
        <f t="shared" si="0"/>
        <v>110.06974591732848</v>
      </c>
      <c r="H26" s="975">
        <f t="shared" si="1"/>
        <v>1.6207850746268657</v>
      </c>
      <c r="S26" s="1032">
        <v>1.395027720947144</v>
      </c>
      <c r="T26" s="975">
        <f t="shared" si="2"/>
        <v>1.4725073280756094</v>
      </c>
      <c r="W26" s="964">
        <v>0.77900000000000003</v>
      </c>
    </row>
    <row r="27" spans="1:25" x14ac:dyDescent="0.45">
      <c r="A27">
        <v>1917</v>
      </c>
      <c r="C27" s="1031">
        <f t="shared" si="0"/>
        <v>95.100548444600491</v>
      </c>
      <c r="H27" s="975">
        <f t="shared" si="1"/>
        <v>1.7424999999999999</v>
      </c>
      <c r="S27" s="1032">
        <v>1.7358617685299726</v>
      </c>
      <c r="T27" s="975">
        <f t="shared" si="2"/>
        <v>1.8322712418583675</v>
      </c>
      <c r="W27" s="964">
        <v>0.83750000000000002</v>
      </c>
    </row>
    <row r="28" spans="1:25" x14ac:dyDescent="0.45">
      <c r="A28">
        <v>1918</v>
      </c>
      <c r="C28" s="1031">
        <f t="shared" si="0"/>
        <v>101.97824726079865</v>
      </c>
      <c r="H28" s="975">
        <f t="shared" si="1"/>
        <v>2.1763044776119402</v>
      </c>
      <c r="S28" s="1032">
        <v>2.0217967085251956</v>
      </c>
      <c r="T28" s="975">
        <f t="shared" si="2"/>
        <v>2.1340869607674962</v>
      </c>
      <c r="W28" s="964">
        <v>1.046</v>
      </c>
    </row>
    <row r="29" spans="1:25" x14ac:dyDescent="0.45">
      <c r="A29">
        <v>1919</v>
      </c>
      <c r="C29" s="1031">
        <f t="shared" si="0"/>
        <v>114.32320380069658</v>
      </c>
      <c r="H29" s="975">
        <f t="shared" si="1"/>
        <v>2.8431358208955215</v>
      </c>
      <c r="S29" s="1032">
        <v>2.3560721913307252</v>
      </c>
      <c r="T29" s="975">
        <f t="shared" si="2"/>
        <v>2.4869280481782634</v>
      </c>
      <c r="W29" s="964">
        <v>1.3664999999999998</v>
      </c>
    </row>
    <row r="30" spans="1:25" x14ac:dyDescent="0.45">
      <c r="A30">
        <v>1920</v>
      </c>
      <c r="C30" s="1031">
        <f t="shared" si="0"/>
        <v>124.48099385795604</v>
      </c>
      <c r="H30" s="975">
        <f t="shared" si="1"/>
        <v>3.5973522388059695</v>
      </c>
      <c r="I30" s="975"/>
      <c r="S30" s="1032">
        <v>2.7378225117608368</v>
      </c>
      <c r="T30" s="975">
        <f t="shared" si="2"/>
        <v>2.8898807177832069</v>
      </c>
      <c r="W30" s="964">
        <v>1.7289999999999999</v>
      </c>
      <c r="X30">
        <v>9.2100000000000009</v>
      </c>
    </row>
    <row r="31" spans="1:25" x14ac:dyDescent="0.45">
      <c r="A31">
        <v>1921</v>
      </c>
      <c r="C31" s="1031">
        <f t="shared" si="0"/>
        <v>103.50702691216556</v>
      </c>
      <c r="D31" s="1031">
        <f t="shared" si="0"/>
        <v>843.29367071750403</v>
      </c>
      <c r="H31" s="975">
        <f t="shared" si="1"/>
        <v>2.721420895522388</v>
      </c>
      <c r="I31" s="975">
        <f t="shared" ref="I31:I63" si="3">I$65*Y31/Y$65</f>
        <v>22.171992424242426</v>
      </c>
      <c r="S31" s="1032">
        <v>2.4908710990076841</v>
      </c>
      <c r="T31" s="975">
        <f t="shared" si="2"/>
        <v>2.6292136647222448</v>
      </c>
      <c r="W31" s="964">
        <v>1.3080000000000001</v>
      </c>
      <c r="X31">
        <v>6.18</v>
      </c>
      <c r="Y31" s="9">
        <v>13.94</v>
      </c>
    </row>
    <row r="32" spans="1:25" x14ac:dyDescent="0.45">
      <c r="A32">
        <v>1922</v>
      </c>
      <c r="C32" s="1031">
        <f t="shared" ref="C32:E65" si="4">H32/$T32*100</f>
        <v>80.975321387250602</v>
      </c>
      <c r="D32" s="1031">
        <f t="shared" si="4"/>
        <v>231.34488054125529</v>
      </c>
      <c r="H32" s="975">
        <f t="shared" si="1"/>
        <v>1.8371671641791045</v>
      </c>
      <c r="I32" s="975">
        <f t="shared" si="3"/>
        <v>5.2487500000000002</v>
      </c>
      <c r="K32" s="964"/>
      <c r="S32" s="1032">
        <v>2.1494204036453417</v>
      </c>
      <c r="T32" s="975">
        <f t="shared" si="2"/>
        <v>2.2687988546450679</v>
      </c>
      <c r="W32" s="964">
        <v>0.88300000000000001</v>
      </c>
      <c r="X32">
        <v>3.68</v>
      </c>
      <c r="Y32" s="9">
        <v>3.3</v>
      </c>
    </row>
    <row r="33" spans="1:37" x14ac:dyDescent="0.45">
      <c r="A33">
        <v>1923</v>
      </c>
      <c r="C33" s="1031">
        <f t="shared" si="4"/>
        <v>93.243539491982588</v>
      </c>
      <c r="D33" s="1031">
        <f t="shared" si="4"/>
        <v>212.51896323811431</v>
      </c>
      <c r="H33" s="975">
        <f t="shared" si="1"/>
        <v>1.9609626865671643</v>
      </c>
      <c r="I33" s="975">
        <f t="shared" si="3"/>
        <v>4.4693901515151522</v>
      </c>
      <c r="K33" s="964"/>
      <c r="S33" s="1032">
        <v>1.9923973343292196</v>
      </c>
      <c r="T33" s="975">
        <f t="shared" si="2"/>
        <v>2.1030547502283254</v>
      </c>
      <c r="W33" s="964">
        <v>0.94250000000000012</v>
      </c>
      <c r="X33">
        <v>3.29</v>
      </c>
      <c r="Y33" s="9">
        <v>2.81</v>
      </c>
    </row>
    <row r="34" spans="1:37" x14ac:dyDescent="0.45">
      <c r="A34">
        <v>1924</v>
      </c>
      <c r="C34" s="1031">
        <f t="shared" si="4"/>
        <v>95.152426311364195</v>
      </c>
      <c r="D34" s="1031">
        <f t="shared" si="4"/>
        <v>283.24258481046297</v>
      </c>
      <c r="F34" s="1031">
        <f t="shared" ref="F34:F64" si="5">K34/$T34*100</f>
        <v>2748.9619903593207</v>
      </c>
      <c r="H34" s="975">
        <f t="shared" si="1"/>
        <v>1.9609626865671643</v>
      </c>
      <c r="I34" s="975">
        <f t="shared" si="3"/>
        <v>5.8372462121212116</v>
      </c>
      <c r="K34" s="964">
        <f t="shared" ref="K34:K60" si="6">AB34/240*$I$9</f>
        <v>56.652385008517896</v>
      </c>
      <c r="S34" s="1032">
        <v>1.9524271395805666</v>
      </c>
      <c r="T34" s="975">
        <f t="shared" si="2"/>
        <v>2.0608646175246963</v>
      </c>
      <c r="W34" s="964">
        <v>0.94250000000000012</v>
      </c>
      <c r="X34">
        <v>3.63</v>
      </c>
      <c r="Y34" s="9">
        <v>3.67</v>
      </c>
      <c r="AA34" s="1033">
        <f>AK34/AF34/10^6*1000</f>
        <v>4.4608177172061336E-3</v>
      </c>
      <c r="AB34" s="1034">
        <f t="shared" ref="AB34:AB56" si="7">AA34*240</f>
        <v>1.0705962521294721</v>
      </c>
      <c r="AF34" s="1035">
        <f>3522</f>
        <v>3522</v>
      </c>
      <c r="AG34" s="1035"/>
      <c r="AH34" s="1035"/>
      <c r="AI34" s="1035"/>
      <c r="AJ34" s="1035"/>
      <c r="AK34" s="1035">
        <f>15711</f>
        <v>15711</v>
      </c>
    </row>
    <row r="35" spans="1:37" x14ac:dyDescent="0.45">
      <c r="A35">
        <v>1925</v>
      </c>
      <c r="C35" s="1031">
        <f t="shared" si="4"/>
        <v>82.643978989752384</v>
      </c>
      <c r="D35" s="1031">
        <f t="shared" si="4"/>
        <v>253.79487619020819</v>
      </c>
      <c r="F35" s="1031">
        <f t="shared" si="5"/>
        <v>2561.8689264659097</v>
      </c>
      <c r="H35" s="975">
        <f t="shared" si="1"/>
        <v>1.6988074626865668</v>
      </c>
      <c r="I35" s="975">
        <f t="shared" si="3"/>
        <v>5.2169393939393949</v>
      </c>
      <c r="K35" s="964">
        <f t="shared" si="6"/>
        <v>52.661090425531917</v>
      </c>
      <c r="S35" s="1032">
        <v>1.9474141191576013</v>
      </c>
      <c r="T35" s="975">
        <f t="shared" si="2"/>
        <v>2.0555731747829009</v>
      </c>
      <c r="W35" s="964">
        <v>0.81649999999999989</v>
      </c>
      <c r="X35">
        <v>3.48</v>
      </c>
      <c r="Y35" s="9">
        <v>3.28</v>
      </c>
      <c r="AA35" s="1033">
        <f t="shared" ref="AA35:AA58" si="8">AK35/AF35/10^6*1000</f>
        <v>4.1465425531914896E-3</v>
      </c>
      <c r="AB35" s="1034">
        <f t="shared" si="7"/>
        <v>0.99517021276595752</v>
      </c>
      <c r="AF35" s="1035">
        <f>3760</f>
        <v>3760</v>
      </c>
      <c r="AG35" s="1035"/>
      <c r="AH35" s="1035"/>
      <c r="AI35" s="1035"/>
      <c r="AJ35" s="1035"/>
      <c r="AK35" s="1035">
        <f>15591</f>
        <v>15591</v>
      </c>
    </row>
    <row r="36" spans="1:37" x14ac:dyDescent="0.45">
      <c r="A36">
        <v>1926</v>
      </c>
      <c r="C36" s="1031">
        <f t="shared" si="4"/>
        <v>99.608431825532463</v>
      </c>
      <c r="D36" s="1031">
        <f t="shared" si="4"/>
        <v>257.18876776613382</v>
      </c>
      <c r="F36" s="1031">
        <f t="shared" si="5"/>
        <v>2938.2247110783001</v>
      </c>
      <c r="H36" s="975">
        <f t="shared" si="1"/>
        <v>2.0389850746268658</v>
      </c>
      <c r="I36" s="975">
        <f t="shared" si="3"/>
        <v>5.2646553030303043</v>
      </c>
      <c r="K36" s="964">
        <f t="shared" si="6"/>
        <v>60.145473851871515</v>
      </c>
      <c r="S36" s="1032">
        <v>1.9392924950501886</v>
      </c>
      <c r="T36" s="975">
        <f t="shared" si="2"/>
        <v>2.0470004770260988</v>
      </c>
      <c r="W36" s="964">
        <v>0.98000000000000009</v>
      </c>
      <c r="X36">
        <v>3.38</v>
      </c>
      <c r="Y36" s="9">
        <v>3.31</v>
      </c>
      <c r="AA36" s="1033">
        <f t="shared" si="8"/>
        <v>4.7358640828245287E-3</v>
      </c>
      <c r="AB36" s="1034">
        <f t="shared" si="7"/>
        <v>1.1366073798778868</v>
      </c>
      <c r="AF36" s="1035">
        <f>3767</f>
        <v>3767</v>
      </c>
      <c r="AG36" s="1035"/>
      <c r="AH36" s="1035"/>
      <c r="AI36" s="1035"/>
      <c r="AJ36" s="1035"/>
      <c r="AK36" s="1035">
        <f>17840</f>
        <v>17840</v>
      </c>
    </row>
    <row r="37" spans="1:37" x14ac:dyDescent="0.45">
      <c r="A37">
        <v>1927</v>
      </c>
      <c r="C37" s="1031">
        <f t="shared" si="4"/>
        <v>75.556656035226794</v>
      </c>
      <c r="D37" s="1031">
        <f t="shared" si="4"/>
        <v>286.42598541999672</v>
      </c>
      <c r="F37" s="1031">
        <f t="shared" si="5"/>
        <v>2461.5459724096008</v>
      </c>
      <c r="H37" s="975">
        <f t="shared" si="1"/>
        <v>1.5188358208955224</v>
      </c>
      <c r="I37" s="975">
        <f t="shared" si="3"/>
        <v>5.7577196969696978</v>
      </c>
      <c r="K37" s="964">
        <f t="shared" si="6"/>
        <v>49.481864257382114</v>
      </c>
      <c r="S37" s="1032">
        <v>1.9044232517522555</v>
      </c>
      <c r="T37" s="975">
        <f t="shared" si="2"/>
        <v>2.010194601766647</v>
      </c>
      <c r="W37" s="964">
        <v>0.73</v>
      </c>
      <c r="X37">
        <v>3.52</v>
      </c>
      <c r="Y37" s="9">
        <v>3.62</v>
      </c>
      <c r="AA37" s="1033">
        <f>AK37/AF37/10^6*1000</f>
        <v>3.8962097840458355E-3</v>
      </c>
      <c r="AB37" s="1034">
        <f t="shared" si="7"/>
        <v>0.93509034817100056</v>
      </c>
      <c r="AF37" s="1035">
        <f>4538</f>
        <v>4538</v>
      </c>
      <c r="AG37" s="1035"/>
      <c r="AH37" s="1035"/>
      <c r="AI37" s="1035"/>
      <c r="AJ37" s="1035"/>
      <c r="AK37" s="1035">
        <f>17681</f>
        <v>17681</v>
      </c>
    </row>
    <row r="38" spans="1:37" x14ac:dyDescent="0.45">
      <c r="A38">
        <v>1928</v>
      </c>
      <c r="C38" s="1031">
        <f t="shared" si="4"/>
        <v>67.090809984551754</v>
      </c>
      <c r="D38" s="1031">
        <f t="shared" si="4"/>
        <v>193.17870296380718</v>
      </c>
      <c r="F38" s="1031">
        <f t="shared" si="5"/>
        <v>2281.8479894402831</v>
      </c>
      <c r="H38" s="975">
        <f t="shared" si="1"/>
        <v>1.3367835820895519</v>
      </c>
      <c r="I38" s="975">
        <f t="shared" si="3"/>
        <v>3.8490833333333336</v>
      </c>
      <c r="K38" s="964">
        <f t="shared" si="6"/>
        <v>45.465793747462442</v>
      </c>
      <c r="S38" s="1032">
        <v>1.8876585557783581</v>
      </c>
      <c r="T38" s="975">
        <f t="shared" si="2"/>
        <v>1.9924987973723349</v>
      </c>
      <c r="W38" s="964">
        <v>0.64249999999999996</v>
      </c>
      <c r="X38">
        <v>2.66</v>
      </c>
      <c r="Y38" s="9">
        <v>2.42</v>
      </c>
      <c r="AA38" s="1033">
        <f t="shared" si="8"/>
        <v>3.5799837596427121E-3</v>
      </c>
      <c r="AB38" s="1034">
        <f t="shared" si="7"/>
        <v>0.85919610231425092</v>
      </c>
      <c r="AF38" s="1035">
        <f>4926</f>
        <v>4926</v>
      </c>
      <c r="AG38" s="1035"/>
      <c r="AH38" s="1035"/>
      <c r="AI38" s="1035"/>
      <c r="AJ38" s="1035"/>
      <c r="AK38" s="1035">
        <f>17635</f>
        <v>17635</v>
      </c>
    </row>
    <row r="39" spans="1:37" x14ac:dyDescent="0.45">
      <c r="A39">
        <v>1929</v>
      </c>
      <c r="C39" s="1031">
        <f t="shared" si="4"/>
        <v>70.541266441101783</v>
      </c>
      <c r="D39" s="1031">
        <f t="shared" si="4"/>
        <v>177.87491275038909</v>
      </c>
      <c r="F39" s="1031">
        <f t="shared" si="5"/>
        <v>2188.9565572169909</v>
      </c>
      <c r="H39" s="975">
        <f t="shared" si="1"/>
        <v>1.3939999999999999</v>
      </c>
      <c r="I39" s="975">
        <f t="shared" si="3"/>
        <v>3.5150719696969697</v>
      </c>
      <c r="K39" s="964">
        <f t="shared" si="6"/>
        <v>43.257026627218934</v>
      </c>
      <c r="S39" s="1032">
        <v>1.8721683297143383</v>
      </c>
      <c r="T39" s="975">
        <f t="shared" si="2"/>
        <v>1.9761482467342943</v>
      </c>
      <c r="W39" s="964">
        <v>0.67</v>
      </c>
      <c r="X39">
        <v>2.25</v>
      </c>
      <c r="Y39" s="9">
        <v>2.21</v>
      </c>
      <c r="AA39" s="1033">
        <f>AK39/AF39/10^6*1000</f>
        <v>3.4060650887573962E-3</v>
      </c>
      <c r="AB39" s="1034">
        <f t="shared" si="7"/>
        <v>0.81745562130177507</v>
      </c>
      <c r="AF39" s="1035">
        <f>5408</f>
        <v>5408</v>
      </c>
      <c r="AG39" s="1035"/>
      <c r="AH39" s="1035"/>
      <c r="AI39" s="1035"/>
      <c r="AJ39" s="1035"/>
      <c r="AK39" s="1035">
        <f>18420</f>
        <v>18420</v>
      </c>
    </row>
    <row r="40" spans="1:37" x14ac:dyDescent="0.45">
      <c r="A40">
        <v>1930</v>
      </c>
      <c r="C40" s="1031">
        <f t="shared" si="4"/>
        <v>72.206900831573918</v>
      </c>
      <c r="D40" s="1031">
        <f t="shared" si="4"/>
        <v>200.50292953284924</v>
      </c>
      <c r="F40" s="1031">
        <f t="shared" si="5"/>
        <v>2189.1104428661733</v>
      </c>
      <c r="H40" s="975">
        <f t="shared" si="1"/>
        <v>1.4148059701492535</v>
      </c>
      <c r="I40" s="975">
        <f t="shared" si="3"/>
        <v>3.9286098484848493</v>
      </c>
      <c r="K40" s="964">
        <f t="shared" si="6"/>
        <v>42.892943585924407</v>
      </c>
      <c r="S40" s="1032">
        <v>1.856280281988715</v>
      </c>
      <c r="T40" s="975">
        <f t="shared" si="2"/>
        <v>1.9593777794858647</v>
      </c>
      <c r="W40" s="964">
        <v>0.67999999999999994</v>
      </c>
      <c r="X40">
        <v>2.36</v>
      </c>
      <c r="Y40" s="9">
        <v>2.4700000000000002</v>
      </c>
      <c r="AA40" s="1033">
        <f t="shared" si="8"/>
        <v>3.3773971327499533E-3</v>
      </c>
      <c r="AB40" s="1034">
        <f t="shared" si="7"/>
        <v>0.81057531185998877</v>
      </c>
      <c r="AF40" s="1035">
        <f>5371</f>
        <v>5371</v>
      </c>
      <c r="AG40" s="1035"/>
      <c r="AH40" s="1035"/>
      <c r="AI40" s="1035"/>
      <c r="AJ40" s="1035"/>
      <c r="AK40" s="1035">
        <f>18140</f>
        <v>18140</v>
      </c>
    </row>
    <row r="41" spans="1:37" x14ac:dyDescent="0.45">
      <c r="A41">
        <v>1931</v>
      </c>
      <c r="C41" s="1031">
        <f t="shared" si="4"/>
        <v>73.07115418705358</v>
      </c>
      <c r="D41" s="1031">
        <f t="shared" si="4"/>
        <v>164.68318113223594</v>
      </c>
      <c r="F41" s="1031">
        <f t="shared" si="5"/>
        <v>2184.0071913753736</v>
      </c>
      <c r="H41" s="975">
        <f t="shared" si="1"/>
        <v>1.4044029850746267</v>
      </c>
      <c r="I41" s="975">
        <f t="shared" si="3"/>
        <v>3.1651553030303035</v>
      </c>
      <c r="K41" s="964">
        <f t="shared" si="6"/>
        <v>41.97588300220751</v>
      </c>
      <c r="S41" s="1032">
        <v>1.8208373342848025</v>
      </c>
      <c r="T41" s="975">
        <f t="shared" si="2"/>
        <v>1.9219663363733381</v>
      </c>
      <c r="W41" s="964">
        <v>0.67500000000000004</v>
      </c>
      <c r="X41">
        <v>1.95</v>
      </c>
      <c r="Y41" s="9">
        <v>1.99</v>
      </c>
      <c r="AA41" s="1033">
        <f t="shared" si="8"/>
        <v>3.3051876379690953E-3</v>
      </c>
      <c r="AB41" s="1034">
        <f t="shared" si="7"/>
        <v>0.79324503311258288</v>
      </c>
      <c r="AF41">
        <v>5436</v>
      </c>
      <c r="AK41">
        <v>17967</v>
      </c>
    </row>
    <row r="42" spans="1:37" x14ac:dyDescent="0.45">
      <c r="A42">
        <v>1932</v>
      </c>
      <c r="C42" s="1031">
        <f t="shared" si="4"/>
        <v>73.350562932322489</v>
      </c>
      <c r="D42" s="1031">
        <f t="shared" si="4"/>
        <v>199.7485099277728</v>
      </c>
      <c r="F42" s="1031">
        <f t="shared" si="5"/>
        <v>2175.5036531665282</v>
      </c>
      <c r="H42" s="975">
        <f t="shared" si="1"/>
        <v>1.3783955223880595</v>
      </c>
      <c r="I42" s="975">
        <f t="shared" si="3"/>
        <v>3.7536515151515153</v>
      </c>
      <c r="K42" s="964">
        <f t="shared" si="6"/>
        <v>40.88181977867557</v>
      </c>
      <c r="S42" s="1032">
        <v>1.7803105906400936</v>
      </c>
      <c r="T42" s="975">
        <f t="shared" si="2"/>
        <v>1.87918874414072</v>
      </c>
      <c r="W42" s="964">
        <v>0.66249999999999998</v>
      </c>
      <c r="X42">
        <v>1.92</v>
      </c>
      <c r="Y42" s="9">
        <v>2.36</v>
      </c>
      <c r="AA42" s="1033">
        <f t="shared" si="8"/>
        <v>3.2190409274547691E-3</v>
      </c>
      <c r="AB42" s="1034">
        <f t="shared" si="7"/>
        <v>0.77256982258914453</v>
      </c>
      <c r="AF42">
        <v>5693</v>
      </c>
      <c r="AK42">
        <v>18326</v>
      </c>
    </row>
    <row r="43" spans="1:37" x14ac:dyDescent="0.45">
      <c r="A43">
        <v>1933</v>
      </c>
      <c r="C43" s="1031">
        <f t="shared" si="4"/>
        <v>72.951847646357237</v>
      </c>
      <c r="D43" s="1031">
        <f t="shared" si="4"/>
        <v>181.03367639832314</v>
      </c>
      <c r="F43" s="1031">
        <f t="shared" si="5"/>
        <v>2091.882257001057</v>
      </c>
      <c r="H43" s="975">
        <f t="shared" si="1"/>
        <v>1.3523880597014926</v>
      </c>
      <c r="I43" s="975">
        <f t="shared" si="3"/>
        <v>3.3560189393939397</v>
      </c>
      <c r="K43" s="964">
        <f t="shared" si="6"/>
        <v>38.779505632040049</v>
      </c>
      <c r="S43" s="1032">
        <v>1.7562664492567115</v>
      </c>
      <c r="T43" s="975">
        <f t="shared" si="2"/>
        <v>1.8538091951520606</v>
      </c>
      <c r="W43" s="964">
        <v>0.65</v>
      </c>
      <c r="X43">
        <v>1.85</v>
      </c>
      <c r="Y43" s="9">
        <v>2.11</v>
      </c>
      <c r="AA43" s="1033">
        <f t="shared" si="8"/>
        <v>3.0535043804755945E-3</v>
      </c>
      <c r="AB43" s="1034">
        <f t="shared" si="7"/>
        <v>0.73284105131414268</v>
      </c>
      <c r="AF43">
        <v>6392</v>
      </c>
      <c r="AK43">
        <v>19518</v>
      </c>
    </row>
    <row r="44" spans="1:37" x14ac:dyDescent="0.45">
      <c r="A44">
        <v>1934</v>
      </c>
      <c r="C44" s="1031">
        <f t="shared" si="4"/>
        <v>72.993494593123586</v>
      </c>
      <c r="D44" s="1031">
        <f t="shared" si="4"/>
        <v>192.92267776375306</v>
      </c>
      <c r="F44" s="1031">
        <f t="shared" si="5"/>
        <v>1984.7262468585263</v>
      </c>
      <c r="H44" s="975">
        <f t="shared" si="1"/>
        <v>1.3419850746268658</v>
      </c>
      <c r="I44" s="975">
        <f t="shared" si="3"/>
        <v>3.5468825757575764</v>
      </c>
      <c r="K44" s="964">
        <f t="shared" si="6"/>
        <v>36.489183253260123</v>
      </c>
      <c r="S44" s="1032">
        <v>1.7417623653610455</v>
      </c>
      <c r="T44" s="975">
        <f t="shared" si="2"/>
        <v>1.838499556854055</v>
      </c>
      <c r="W44" s="964">
        <v>0.64500000000000002</v>
      </c>
      <c r="X44">
        <v>1.81</v>
      </c>
      <c r="Y44" s="9">
        <v>2.23</v>
      </c>
      <c r="AA44" s="1033">
        <f t="shared" si="8"/>
        <v>2.8731640356897737E-3</v>
      </c>
      <c r="AB44" s="1034">
        <f t="shared" si="7"/>
        <v>0.68955936856554567</v>
      </c>
      <c r="AF44">
        <v>7285</v>
      </c>
      <c r="AK44">
        <v>20931</v>
      </c>
    </row>
    <row r="45" spans="1:37" x14ac:dyDescent="0.45">
      <c r="A45">
        <v>1935</v>
      </c>
      <c r="C45" s="1031">
        <f t="shared" si="4"/>
        <v>73.004745724311292</v>
      </c>
      <c r="D45" s="1031">
        <f t="shared" si="4"/>
        <v>195.76117348491323</v>
      </c>
      <c r="F45" s="1031">
        <f t="shared" si="5"/>
        <v>1883.1226547586866</v>
      </c>
      <c r="H45" s="975">
        <f t="shared" si="1"/>
        <v>1.3523880597014926</v>
      </c>
      <c r="I45" s="975">
        <f t="shared" si="3"/>
        <v>3.6264090909090911</v>
      </c>
      <c r="K45" s="964">
        <f t="shared" si="6"/>
        <v>34.884206060606054</v>
      </c>
      <c r="S45" s="1032">
        <v>1.7549938865127539</v>
      </c>
      <c r="T45" s="975">
        <f t="shared" si="2"/>
        <v>1.8524659544853865</v>
      </c>
      <c r="W45" s="964">
        <v>0.65</v>
      </c>
      <c r="X45">
        <v>1.72</v>
      </c>
      <c r="Y45" s="9">
        <v>2.2799999999999998</v>
      </c>
      <c r="AA45" s="1033">
        <f t="shared" si="8"/>
        <v>2.7467878787878785E-3</v>
      </c>
      <c r="AB45" s="1034">
        <f t="shared" si="7"/>
        <v>0.65922909090909088</v>
      </c>
      <c r="AF45">
        <v>8250</v>
      </c>
      <c r="AK45">
        <v>22661</v>
      </c>
    </row>
    <row r="46" spans="1:37" x14ac:dyDescent="0.45">
      <c r="A46">
        <v>1936</v>
      </c>
      <c r="C46" s="1031">
        <f t="shared" si="4"/>
        <v>77.953519109271468</v>
      </c>
      <c r="D46" s="1031">
        <f t="shared" si="4"/>
        <v>195.80307067630577</v>
      </c>
      <c r="F46" s="1031">
        <f t="shared" si="5"/>
        <v>1838.4741049527331</v>
      </c>
      <c r="H46" s="975">
        <f t="shared" si="1"/>
        <v>1.456417910447761</v>
      </c>
      <c r="I46" s="975">
        <f t="shared" si="3"/>
        <v>3.658219696969697</v>
      </c>
      <c r="K46" s="964">
        <f t="shared" si="6"/>
        <v>34.348502093847316</v>
      </c>
      <c r="S46" s="1032">
        <v>1.7700097487599105</v>
      </c>
      <c r="T46" s="975">
        <f t="shared" si="2"/>
        <v>1.868315795219232</v>
      </c>
      <c r="W46" s="964">
        <v>0.7</v>
      </c>
      <c r="X46">
        <v>1.87</v>
      </c>
      <c r="Y46" s="9">
        <v>2.2999999999999998</v>
      </c>
      <c r="AA46" s="1033">
        <f t="shared" si="8"/>
        <v>2.7046064640824656E-3</v>
      </c>
      <c r="AB46" s="1034">
        <f t="shared" si="7"/>
        <v>0.64910555137979176</v>
      </c>
      <c r="AF46">
        <v>9313</v>
      </c>
      <c r="AK46">
        <v>25188</v>
      </c>
    </row>
    <row r="47" spans="1:37" x14ac:dyDescent="0.45">
      <c r="A47">
        <v>1937</v>
      </c>
      <c r="C47" s="1031">
        <f t="shared" si="4"/>
        <v>81.686127560447702</v>
      </c>
      <c r="D47" s="1031">
        <f t="shared" si="4"/>
        <v>203.48389053012554</v>
      </c>
      <c r="F47" s="1031">
        <f t="shared" si="5"/>
        <v>1761.5219505442485</v>
      </c>
      <c r="H47" s="975">
        <f t="shared" si="1"/>
        <v>1.5770925373134328</v>
      </c>
      <c r="I47" s="975">
        <f t="shared" si="3"/>
        <v>3.9286098484848493</v>
      </c>
      <c r="K47" s="964">
        <f t="shared" si="6"/>
        <v>34.009240069084626</v>
      </c>
      <c r="S47" s="1032">
        <v>1.8290864874027881</v>
      </c>
      <c r="T47" s="975">
        <f t="shared" si="2"/>
        <v>1.9306736460807068</v>
      </c>
      <c r="W47" s="964">
        <v>0.75800000000000001</v>
      </c>
      <c r="X47">
        <v>2.54</v>
      </c>
      <c r="Y47" s="9">
        <v>2.4700000000000002</v>
      </c>
      <c r="AA47" s="1033">
        <f t="shared" si="8"/>
        <v>2.6778929188255611E-3</v>
      </c>
      <c r="AB47" s="1034">
        <f t="shared" si="7"/>
        <v>0.6426943005181347</v>
      </c>
      <c r="AF47">
        <v>10422</v>
      </c>
      <c r="AK47">
        <v>27909</v>
      </c>
    </row>
    <row r="48" spans="1:37" x14ac:dyDescent="0.45">
      <c r="A48">
        <v>1938</v>
      </c>
      <c r="C48" s="1031">
        <f t="shared" si="4"/>
        <v>91.242421082806757</v>
      </c>
      <c r="D48" s="1031">
        <f t="shared" si="4"/>
        <v>218.14813332969175</v>
      </c>
      <c r="F48" s="1031">
        <f t="shared" si="5"/>
        <v>1753.6031834711102</v>
      </c>
      <c r="H48" s="975">
        <f t="shared" si="1"/>
        <v>1.8028373134328355</v>
      </c>
      <c r="I48" s="975">
        <f t="shared" si="3"/>
        <v>4.3103371212121218</v>
      </c>
      <c r="K48" s="964">
        <f t="shared" si="6"/>
        <v>34.649028539555637</v>
      </c>
      <c r="S48" s="1032">
        <v>1.8719106295301953</v>
      </c>
      <c r="T48" s="975">
        <f t="shared" si="2"/>
        <v>1.9758762339248719</v>
      </c>
      <c r="W48" s="964">
        <v>0.86649999999999994</v>
      </c>
      <c r="X48">
        <v>2.35</v>
      </c>
      <c r="Y48" s="9">
        <v>2.71</v>
      </c>
      <c r="AA48" s="1033">
        <f t="shared" si="8"/>
        <v>2.7282699637445383E-3</v>
      </c>
      <c r="AB48" s="1034">
        <f t="shared" si="7"/>
        <v>0.65478479129868916</v>
      </c>
      <c r="AF48">
        <v>10757</v>
      </c>
      <c r="AK48">
        <v>29348</v>
      </c>
    </row>
    <row r="49" spans="1:37" x14ac:dyDescent="0.45">
      <c r="A49">
        <v>1939</v>
      </c>
      <c r="C49" s="1031">
        <f t="shared" si="4"/>
        <v>91.717589138445447</v>
      </c>
      <c r="D49" s="1031">
        <f t="shared" si="4"/>
        <v>182.80497354511863</v>
      </c>
      <c r="F49" s="1031">
        <f t="shared" si="5"/>
        <v>1671.1468128788435</v>
      </c>
      <c r="H49" s="975">
        <f t="shared" si="1"/>
        <v>1.8673358208955222</v>
      </c>
      <c r="I49" s="975">
        <f t="shared" si="3"/>
        <v>3.721840909090909</v>
      </c>
      <c r="K49" s="964">
        <f t="shared" si="6"/>
        <v>34.023924254633357</v>
      </c>
      <c r="S49" s="1032">
        <v>1.9288354118569089</v>
      </c>
      <c r="T49" s="975">
        <f t="shared" si="2"/>
        <v>2.0359626091750238</v>
      </c>
      <c r="W49" s="964">
        <v>0.89749999999999996</v>
      </c>
      <c r="X49">
        <v>2.4</v>
      </c>
      <c r="Y49" s="9">
        <v>2.34</v>
      </c>
      <c r="AA49" s="1033">
        <f t="shared" si="8"/>
        <v>2.6790491539081386E-3</v>
      </c>
      <c r="AB49" s="1034">
        <f t="shared" si="7"/>
        <v>0.64297179693795325</v>
      </c>
      <c r="AF49">
        <v>12410</v>
      </c>
      <c r="AK49">
        <v>33247</v>
      </c>
    </row>
    <row r="50" spans="1:37" x14ac:dyDescent="0.45">
      <c r="A50">
        <v>1940</v>
      </c>
      <c r="C50" s="1031">
        <f t="shared" si="4"/>
        <v>94.395775133917141</v>
      </c>
      <c r="D50" s="1031">
        <f t="shared" si="4"/>
        <v>287.23171781146516</v>
      </c>
      <c r="F50" s="1031">
        <f t="shared" si="5"/>
        <v>1593.2412844077983</v>
      </c>
      <c r="H50" s="975">
        <f t="shared" si="1"/>
        <v>2.1222089552238805</v>
      </c>
      <c r="I50" s="975">
        <f t="shared" si="3"/>
        <v>6.4575530303030302</v>
      </c>
      <c r="K50" s="964">
        <f t="shared" si="6"/>
        <v>35.819303531390133</v>
      </c>
      <c r="S50" s="1032">
        <v>2.1299085586247544</v>
      </c>
      <c r="T50" s="975">
        <f t="shared" si="2"/>
        <v>2.248203325003848</v>
      </c>
      <c r="W50" s="964">
        <v>1.02</v>
      </c>
      <c r="X50">
        <v>3.61</v>
      </c>
      <c r="Y50" s="9">
        <v>4.0599999999999996</v>
      </c>
      <c r="AA50" s="1033">
        <f t="shared" si="8"/>
        <v>2.8204176008968609E-3</v>
      </c>
      <c r="AB50" s="1034">
        <f t="shared" si="7"/>
        <v>0.67690022421524665</v>
      </c>
      <c r="AF50">
        <v>14272</v>
      </c>
      <c r="AK50">
        <v>40253</v>
      </c>
    </row>
    <row r="51" spans="1:37" x14ac:dyDescent="0.45">
      <c r="A51">
        <v>1941</v>
      </c>
      <c r="C51" s="1031">
        <f t="shared" si="4"/>
        <v>100.61011038674378</v>
      </c>
      <c r="D51" s="1031">
        <f t="shared" si="4"/>
        <v>337.64803555569921</v>
      </c>
      <c r="F51" s="1031">
        <f t="shared" si="5"/>
        <v>1517.3562797322109</v>
      </c>
      <c r="H51" s="975">
        <f t="shared" si="1"/>
        <v>2.5071194029850745</v>
      </c>
      <c r="I51" s="975">
        <f t="shared" si="3"/>
        <v>8.4139053030303046</v>
      </c>
      <c r="K51" s="964">
        <f t="shared" si="6"/>
        <v>37.811243378370335</v>
      </c>
      <c r="S51" s="1032">
        <v>2.3607976564612221</v>
      </c>
      <c r="T51" s="975">
        <f t="shared" si="2"/>
        <v>2.4919159648545701</v>
      </c>
      <c r="W51" s="964">
        <v>1.2050000000000001</v>
      </c>
      <c r="X51">
        <v>4.5999999999999996</v>
      </c>
      <c r="Y51" s="9">
        <v>5.29</v>
      </c>
      <c r="AA51" s="1033">
        <f t="shared" si="8"/>
        <v>2.9772632581393965E-3</v>
      </c>
      <c r="AB51" s="1034">
        <f t="shared" si="7"/>
        <v>0.71454318195345512</v>
      </c>
      <c r="AF51">
        <v>16801</v>
      </c>
      <c r="AK51">
        <v>50021</v>
      </c>
    </row>
    <row r="52" spans="1:37" x14ac:dyDescent="0.45">
      <c r="A52">
        <v>1942</v>
      </c>
      <c r="C52" s="1031">
        <f t="shared" si="4"/>
        <v>102.11842062658376</v>
      </c>
      <c r="D52" s="1031">
        <f t="shared" si="4"/>
        <v>488.6123212536699</v>
      </c>
      <c r="F52" s="1031">
        <f t="shared" si="5"/>
        <v>1415.8266189803967</v>
      </c>
      <c r="H52" s="975">
        <f t="shared" si="1"/>
        <v>2.7391059701492537</v>
      </c>
      <c r="I52" s="975">
        <f t="shared" si="3"/>
        <v>13.1059696969697</v>
      </c>
      <c r="K52" s="964">
        <f t="shared" si="6"/>
        <v>37.976489657301649</v>
      </c>
      <c r="S52" s="1032">
        <v>2.5411489265643326</v>
      </c>
      <c r="T52" s="975">
        <f t="shared" si="2"/>
        <v>2.6822839144421726</v>
      </c>
      <c r="W52" s="964">
        <v>1.3165</v>
      </c>
      <c r="X52">
        <v>6.43</v>
      </c>
      <c r="Y52" s="9">
        <v>8.24</v>
      </c>
      <c r="AA52" s="1033">
        <f t="shared" si="8"/>
        <v>2.9902747761654837E-3</v>
      </c>
      <c r="AB52" s="1034">
        <f t="shared" si="7"/>
        <v>0.71766594627971614</v>
      </c>
      <c r="AF52">
        <v>19434</v>
      </c>
      <c r="AK52">
        <v>58113</v>
      </c>
    </row>
    <row r="53" spans="1:37" x14ac:dyDescent="0.45">
      <c r="A53">
        <v>1943</v>
      </c>
      <c r="C53" s="1031">
        <f t="shared" si="4"/>
        <v>107.11882639063914</v>
      </c>
      <c r="D53" s="1031">
        <f t="shared" si="4"/>
        <v>453.35866674305419</v>
      </c>
      <c r="F53" s="1031">
        <f t="shared" si="5"/>
        <v>1388.6652298510373</v>
      </c>
      <c r="H53" s="975">
        <f t="shared" si="1"/>
        <v>3.0064626865671635</v>
      </c>
      <c r="I53" s="975">
        <f t="shared" si="3"/>
        <v>12.724242424242426</v>
      </c>
      <c r="K53" s="964">
        <f t="shared" si="6"/>
        <v>38.975130127501075</v>
      </c>
      <c r="S53" s="1032">
        <v>2.6589819255046132</v>
      </c>
      <c r="T53" s="975">
        <f t="shared" si="2"/>
        <v>2.8066613385057502</v>
      </c>
      <c r="W53" s="964">
        <v>1.4449999999999998</v>
      </c>
      <c r="X53">
        <v>6.41</v>
      </c>
      <c r="Y53" s="9">
        <v>8</v>
      </c>
      <c r="AA53" s="1033">
        <f t="shared" si="8"/>
        <v>3.0689078840552028E-3</v>
      </c>
      <c r="AB53" s="1034">
        <f t="shared" si="7"/>
        <v>0.73653789217324872</v>
      </c>
      <c r="AF53">
        <v>20941</v>
      </c>
      <c r="AK53">
        <v>64266</v>
      </c>
    </row>
    <row r="54" spans="1:37" x14ac:dyDescent="0.45">
      <c r="A54">
        <v>1944</v>
      </c>
      <c r="C54" s="1031">
        <f t="shared" si="4"/>
        <v>116.80688635622218</v>
      </c>
      <c r="D54" s="1031">
        <f t="shared" si="4"/>
        <v>506.49185159614706</v>
      </c>
      <c r="F54" s="1031">
        <f t="shared" si="5"/>
        <v>1437.2100284169603</v>
      </c>
      <c r="H54" s="975">
        <f t="shared" si="1"/>
        <v>3.4589925373134331</v>
      </c>
      <c r="I54" s="975">
        <f t="shared" si="3"/>
        <v>14.99870075757576</v>
      </c>
      <c r="K54" s="964">
        <f t="shared" si="6"/>
        <v>42.559980134094864</v>
      </c>
      <c r="S54" s="1032">
        <v>2.8054759531712397</v>
      </c>
      <c r="T54" s="975">
        <f t="shared" si="2"/>
        <v>2.9612916200545363</v>
      </c>
      <c r="W54" s="964">
        <v>1.6625000000000001</v>
      </c>
      <c r="X54">
        <v>6.4</v>
      </c>
      <c r="Y54" s="9">
        <v>9.43</v>
      </c>
      <c r="AA54" s="1033">
        <f t="shared" si="8"/>
        <v>3.3511795381177059E-3</v>
      </c>
      <c r="AB54" s="1034">
        <f t="shared" si="7"/>
        <v>0.80428308914824942</v>
      </c>
      <c r="AF54">
        <v>20135</v>
      </c>
      <c r="AK54">
        <v>67476</v>
      </c>
    </row>
    <row r="55" spans="1:37" x14ac:dyDescent="0.45">
      <c r="A55">
        <v>1945</v>
      </c>
      <c r="C55" s="1031">
        <f t="shared" si="4"/>
        <v>131.44728000418843</v>
      </c>
      <c r="D55" s="1031">
        <f t="shared" si="4"/>
        <v>316.52038270571433</v>
      </c>
      <c r="F55" s="1031">
        <f t="shared" si="5"/>
        <v>1529.1269819424801</v>
      </c>
      <c r="H55" s="975">
        <f t="shared" si="1"/>
        <v>3.9697791044776118</v>
      </c>
      <c r="I55" s="975">
        <f t="shared" si="3"/>
        <v>9.5590871212121229</v>
      </c>
      <c r="K55" s="964">
        <f t="shared" si="6"/>
        <v>46.180463687150834</v>
      </c>
      <c r="S55" s="1032">
        <v>2.8611465977794013</v>
      </c>
      <c r="T55" s="975">
        <f t="shared" si="2"/>
        <v>3.0200542029862607</v>
      </c>
      <c r="W55" s="964">
        <v>1.9079999999999999</v>
      </c>
      <c r="X55">
        <v>5.84</v>
      </c>
      <c r="Y55" s="9">
        <v>6.01</v>
      </c>
      <c r="AA55" s="1033">
        <f t="shared" si="8"/>
        <v>3.6362569832402232E-3</v>
      </c>
      <c r="AB55" s="1034">
        <f t="shared" si="7"/>
        <v>0.87270167597765358</v>
      </c>
      <c r="AF55">
        <v>17900</v>
      </c>
      <c r="AK55">
        <v>65089</v>
      </c>
    </row>
    <row r="56" spans="1:37" x14ac:dyDescent="0.45">
      <c r="A56">
        <v>1946</v>
      </c>
      <c r="C56" s="1031">
        <f t="shared" si="4"/>
        <v>131.57448451184501</v>
      </c>
      <c r="D56" s="1031">
        <f t="shared" si="4"/>
        <v>317.06698864804827</v>
      </c>
      <c r="F56" s="1031">
        <f t="shared" si="5"/>
        <v>1500.9984771513973</v>
      </c>
      <c r="H56" s="975">
        <f t="shared" si="1"/>
        <v>4.0987761194029853</v>
      </c>
      <c r="I56" s="975">
        <f t="shared" si="3"/>
        <v>9.877193181818182</v>
      </c>
      <c r="K56" s="964">
        <f t="shared" si="6"/>
        <v>46.758736971183318</v>
      </c>
      <c r="S56" s="1032">
        <v>2.9512628628173174</v>
      </c>
      <c r="T56" s="975">
        <f t="shared" si="2"/>
        <v>3.1151755103657597</v>
      </c>
      <c r="W56" s="964">
        <v>1.97</v>
      </c>
      <c r="X56">
        <v>4.54</v>
      </c>
      <c r="Y56" s="9">
        <v>6.21</v>
      </c>
      <c r="AA56" s="1033">
        <f t="shared" si="8"/>
        <v>3.6817903126915999E-3</v>
      </c>
      <c r="AB56" s="1034">
        <f t="shared" si="7"/>
        <v>0.883629675045984</v>
      </c>
      <c r="AF56">
        <v>17941</v>
      </c>
      <c r="AK56">
        <v>66055</v>
      </c>
    </row>
    <row r="57" spans="1:37" x14ac:dyDescent="0.45">
      <c r="A57">
        <v>1947</v>
      </c>
      <c r="C57" s="1031">
        <f t="shared" si="4"/>
        <v>120.80063316138514</v>
      </c>
      <c r="D57" s="1031">
        <f t="shared" si="4"/>
        <v>251.8556841095247</v>
      </c>
      <c r="F57" s="1031">
        <f t="shared" si="5"/>
        <v>1407.9483775099002</v>
      </c>
      <c r="H57" s="975">
        <f t="shared" si="1"/>
        <v>4.1195820895522388</v>
      </c>
      <c r="I57" s="975">
        <f t="shared" si="3"/>
        <v>8.588863636363639</v>
      </c>
      <c r="K57" s="964">
        <f t="shared" si="6"/>
        <v>48.014308925476605</v>
      </c>
      <c r="S57" s="1032">
        <v>3.2307944162919409</v>
      </c>
      <c r="T57" s="975">
        <f t="shared" si="2"/>
        <v>3.4102321997341116</v>
      </c>
      <c r="W57" s="964">
        <v>1.98</v>
      </c>
      <c r="X57">
        <v>5.47</v>
      </c>
      <c r="Y57" s="9">
        <v>5.4</v>
      </c>
      <c r="AA57" s="1033">
        <f t="shared" si="8"/>
        <v>3.7806542461005202E-3</v>
      </c>
      <c r="AB57" s="1034">
        <f>AA57*240</f>
        <v>0.9073570190641248</v>
      </c>
      <c r="AF57">
        <v>18464</v>
      </c>
      <c r="AK57">
        <v>69806</v>
      </c>
    </row>
    <row r="58" spans="1:37" x14ac:dyDescent="0.45">
      <c r="A58">
        <v>1948</v>
      </c>
      <c r="C58" s="1031">
        <f t="shared" si="4"/>
        <v>133.01388430433695</v>
      </c>
      <c r="D58" s="1031">
        <f t="shared" si="4"/>
        <v>303.73595325905393</v>
      </c>
      <c r="F58" s="1031">
        <f t="shared" si="5"/>
        <v>1354.6565876744257</v>
      </c>
      <c r="H58" s="975">
        <f t="shared" si="1"/>
        <v>4.8269850746268643</v>
      </c>
      <c r="I58" s="975">
        <f t="shared" si="3"/>
        <v>11.022375</v>
      </c>
      <c r="K58" s="964">
        <f t="shared" si="6"/>
        <v>49.15958333333333</v>
      </c>
      <c r="S58" s="1032">
        <v>3.4379879710497723</v>
      </c>
      <c r="T58" s="975">
        <f t="shared" si="2"/>
        <v>3.6289332499926692</v>
      </c>
      <c r="W58" s="964">
        <v>2.3199999999999998</v>
      </c>
      <c r="X58">
        <v>6.44</v>
      </c>
      <c r="Y58" s="9">
        <v>6.93</v>
      </c>
      <c r="AA58" s="1033">
        <f t="shared" si="8"/>
        <v>3.879577141106174E-3</v>
      </c>
      <c r="AB58">
        <v>0.92900000000000005</v>
      </c>
      <c r="AF58">
        <v>19581</v>
      </c>
      <c r="AK58">
        <v>75966</v>
      </c>
    </row>
    <row r="59" spans="1:37" x14ac:dyDescent="0.45">
      <c r="A59">
        <v>1949</v>
      </c>
      <c r="C59" s="1031">
        <f t="shared" si="4"/>
        <v>131.24628321857963</v>
      </c>
      <c r="D59" s="1031">
        <f t="shared" si="4"/>
        <v>224.47237918398878</v>
      </c>
      <c r="F59" s="1031">
        <f t="shared" si="5"/>
        <v>1328.1438355773303</v>
      </c>
      <c r="H59" s="975">
        <f t="shared" si="1"/>
        <v>4.9102089552238795</v>
      </c>
      <c r="I59" s="975">
        <f t="shared" si="3"/>
        <v>8.3980000000000015</v>
      </c>
      <c r="K59" s="964">
        <f t="shared" si="6"/>
        <v>49.688749999999999</v>
      </c>
      <c r="S59" s="1032">
        <v>3.5443641365368435</v>
      </c>
      <c r="T59" s="975">
        <f t="shared" si="2"/>
        <v>3.7412175299824222</v>
      </c>
      <c r="W59" s="964">
        <v>2.36</v>
      </c>
      <c r="X59">
        <v>4.97</v>
      </c>
      <c r="Y59" s="9">
        <v>5.28</v>
      </c>
      <c r="AA59" s="1033"/>
      <c r="AB59">
        <v>0.93899999999999995</v>
      </c>
    </row>
    <row r="60" spans="1:37" x14ac:dyDescent="0.45">
      <c r="A60">
        <v>1950</v>
      </c>
      <c r="C60" s="1031">
        <f t="shared" si="4"/>
        <v>128.98775002989578</v>
      </c>
      <c r="D60" s="1031">
        <f t="shared" si="4"/>
        <v>242.10869950468975</v>
      </c>
      <c r="F60" s="1031">
        <f t="shared" si="5"/>
        <v>1299.675087023262</v>
      </c>
      <c r="H60" s="975">
        <f t="shared" si="1"/>
        <v>4.8894029850746268</v>
      </c>
      <c r="I60" s="975">
        <f t="shared" si="3"/>
        <v>9.1773598484848495</v>
      </c>
      <c r="K60" s="964">
        <f t="shared" si="6"/>
        <v>49.265416666666674</v>
      </c>
      <c r="S60" s="1032">
        <v>3.5911433288675667</v>
      </c>
      <c r="T60" s="975">
        <f t="shared" si="2"/>
        <v>3.7905948308590536</v>
      </c>
      <c r="W60" s="964">
        <v>2.35</v>
      </c>
      <c r="Y60" s="9">
        <v>5.77</v>
      </c>
      <c r="AA60" s="1033"/>
      <c r="AB60">
        <v>0.93100000000000005</v>
      </c>
    </row>
    <row r="61" spans="1:37" x14ac:dyDescent="0.45">
      <c r="A61">
        <v>1951</v>
      </c>
      <c r="C61" s="1031">
        <f t="shared" si="4"/>
        <v>127.79410136149765</v>
      </c>
      <c r="D61" s="1031">
        <f t="shared" si="4"/>
        <v>239.58119093090832</v>
      </c>
      <c r="F61" s="1031">
        <f t="shared" si="5"/>
        <v>1260.1125575617787</v>
      </c>
      <c r="H61" s="975">
        <f t="shared" si="1"/>
        <v>5.24310447761194</v>
      </c>
      <c r="I61" s="975">
        <f t="shared" si="3"/>
        <v>9.8294772727272726</v>
      </c>
      <c r="K61" s="964">
        <f>AB61/240*$I$9</f>
        <v>51.699583333333337</v>
      </c>
      <c r="S61" s="1032">
        <v>3.8868973942677103</v>
      </c>
      <c r="T61" s="975">
        <f t="shared" si="2"/>
        <v>4.1027750277616528</v>
      </c>
      <c r="W61" s="964">
        <v>2.52</v>
      </c>
      <c r="Y61" s="9">
        <v>6.18</v>
      </c>
      <c r="AA61" s="1033"/>
      <c r="AB61">
        <v>0.97699999999999998</v>
      </c>
    </row>
    <row r="62" spans="1:37" x14ac:dyDescent="0.45">
      <c r="A62">
        <v>1952</v>
      </c>
      <c r="C62" s="1031">
        <f t="shared" si="4"/>
        <v>133.75221415402291</v>
      </c>
      <c r="D62" s="1031">
        <f t="shared" si="4"/>
        <v>246.91811930536954</v>
      </c>
      <c r="F62" s="1031">
        <f t="shared" si="5"/>
        <v>1236.5768515716024</v>
      </c>
      <c r="H62" s="975">
        <f t="shared" si="1"/>
        <v>5.8672835820895513</v>
      </c>
      <c r="I62" s="975">
        <f t="shared" si="3"/>
        <v>10.831511363636364</v>
      </c>
      <c r="K62" s="1036">
        <f>K61+(K$65-K$61)/4</f>
        <v>54.244687500000005</v>
      </c>
      <c r="S62" s="1032">
        <v>4.1558653899403746</v>
      </c>
      <c r="T62" s="975">
        <f t="shared" si="2"/>
        <v>4.3866814610882301</v>
      </c>
      <c r="W62" s="964">
        <v>2.82</v>
      </c>
      <c r="Y62" s="9">
        <v>6.81</v>
      </c>
      <c r="AA62" s="1033"/>
    </row>
    <row r="63" spans="1:37" x14ac:dyDescent="0.45">
      <c r="A63">
        <v>1953</v>
      </c>
      <c r="C63" s="1031">
        <f t="shared" si="4"/>
        <v>140.45659157443902</v>
      </c>
      <c r="D63" s="1031">
        <f t="shared" si="4"/>
        <v>232.5825898374959</v>
      </c>
      <c r="F63" s="1031">
        <f t="shared" si="5"/>
        <v>1273.6729753986147</v>
      </c>
      <c r="H63" s="975">
        <f t="shared" si="1"/>
        <v>6.2625970149253725</v>
      </c>
      <c r="I63" s="975">
        <f t="shared" si="3"/>
        <v>10.370257575757575</v>
      </c>
      <c r="K63" s="1036">
        <f t="shared" ref="K63:K64" si="9">K62+(K$65-K$61)/4</f>
        <v>56.789791666666673</v>
      </c>
      <c r="S63" s="1032">
        <v>4.2241342686422447</v>
      </c>
      <c r="T63" s="975">
        <f t="shared" si="2"/>
        <v>4.4587419819356278</v>
      </c>
      <c r="W63" s="964">
        <v>3.01</v>
      </c>
      <c r="Y63" s="9">
        <v>6.52</v>
      </c>
      <c r="AA63" s="1033"/>
    </row>
    <row r="64" spans="1:37" x14ac:dyDescent="0.45">
      <c r="A64">
        <v>1954</v>
      </c>
      <c r="C64" s="1031">
        <f t="shared" si="4"/>
        <v>143.92651990693696</v>
      </c>
      <c r="D64" s="1031">
        <f t="shared" si="4"/>
        <v>221.4623228867973</v>
      </c>
      <c r="F64" s="1031">
        <f t="shared" si="5"/>
        <v>1315.5532857030655</v>
      </c>
      <c r="H64" s="975">
        <f>H$65*W64/W$65</f>
        <v>6.4914626865671643</v>
      </c>
      <c r="I64" s="975">
        <f>I$65*Y64/Y$65</f>
        <v>9.9885303030303039</v>
      </c>
      <c r="K64" s="1036">
        <f t="shared" si="9"/>
        <v>59.334895833333341</v>
      </c>
      <c r="S64" s="1032">
        <v>4.2729431384435497</v>
      </c>
      <c r="T64" s="975">
        <f t="shared" si="2"/>
        <v>4.510261688231294</v>
      </c>
      <c r="W64" s="964">
        <v>3.12</v>
      </c>
      <c r="Y64" s="9">
        <v>6.28</v>
      </c>
      <c r="AA64" s="1033"/>
    </row>
    <row r="65" spans="1:27" x14ac:dyDescent="0.45">
      <c r="A65">
        <v>1955</v>
      </c>
      <c r="C65" s="1031">
        <f t="shared" si="4"/>
        <v>147.57603357567913</v>
      </c>
      <c r="D65" s="1031">
        <f t="shared" si="4"/>
        <v>222.26390422678506</v>
      </c>
      <c r="E65" s="1031">
        <f t="shared" si="4"/>
        <v>521.91524069447496</v>
      </c>
      <c r="F65" s="1031">
        <f>K65/$T65*100</f>
        <v>1310.1872249157855</v>
      </c>
      <c r="G65" s="1037"/>
      <c r="H65" s="1038">
        <f t="shared" ref="H65:K80" si="10">N65*$I$8/100</f>
        <v>6.97</v>
      </c>
      <c r="I65" s="1038">
        <f t="shared" si="10"/>
        <v>10.4975</v>
      </c>
      <c r="J65" s="1039">
        <f t="shared" si="10"/>
        <v>24.65</v>
      </c>
      <c r="K65" s="1039">
        <f>Q65*$I$8/100</f>
        <v>61.88</v>
      </c>
      <c r="L65" s="1037"/>
      <c r="N65">
        <v>1.64</v>
      </c>
      <c r="O65">
        <v>2.4700000000000002</v>
      </c>
      <c r="P65">
        <v>5.8</v>
      </c>
      <c r="Q65">
        <v>14.56</v>
      </c>
      <c r="S65" s="1032">
        <v>4.4744773852878597</v>
      </c>
      <c r="T65" s="975">
        <f t="shared" si="2"/>
        <v>4.7229891135579836</v>
      </c>
      <c r="W65" s="964">
        <v>3.35</v>
      </c>
      <c r="Y65" s="9">
        <v>6.6</v>
      </c>
      <c r="AA65" s="1033"/>
    </row>
    <row r="66" spans="1:27" x14ac:dyDescent="0.45">
      <c r="A66">
        <v>1956</v>
      </c>
      <c r="C66" s="1031">
        <f t="shared" ref="C66:F102" si="11">H66/$T66*100</f>
        <v>158.32236601895769</v>
      </c>
      <c r="D66" s="1031">
        <f t="shared" si="11"/>
        <v>252.6420734345069</v>
      </c>
      <c r="E66" s="1031">
        <f t="shared" si="11"/>
        <v>532.23263470202789</v>
      </c>
      <c r="F66" s="1031">
        <f t="shared" si="11"/>
        <v>1305.3173794116192</v>
      </c>
      <c r="G66" s="1037"/>
      <c r="H66" s="1038">
        <f t="shared" si="10"/>
        <v>7.99</v>
      </c>
      <c r="I66" s="1038">
        <f t="shared" si="10"/>
        <v>12.75</v>
      </c>
      <c r="J66" s="1039">
        <f t="shared" si="10"/>
        <v>26.86</v>
      </c>
      <c r="K66" s="1039">
        <f t="shared" si="10"/>
        <v>65.875</v>
      </c>
      <c r="L66" s="1037"/>
      <c r="N66">
        <v>1.88</v>
      </c>
      <c r="O66">
        <v>3</v>
      </c>
      <c r="P66">
        <v>6.32</v>
      </c>
      <c r="Q66">
        <v>15.5</v>
      </c>
      <c r="S66" s="1032">
        <v>4.781122605407492</v>
      </c>
      <c r="T66" s="975">
        <f t="shared" si="2"/>
        <v>5.0466653580980907</v>
      </c>
      <c r="W66" s="964">
        <v>3.79</v>
      </c>
      <c r="Y66" s="9">
        <v>7.36</v>
      </c>
      <c r="AA66" s="1033"/>
    </row>
    <row r="67" spans="1:27" x14ac:dyDescent="0.45">
      <c r="A67">
        <v>1957</v>
      </c>
      <c r="C67" s="1031">
        <f t="shared" si="11"/>
        <v>161.87859501233891</v>
      </c>
      <c r="D67" s="1031">
        <f t="shared" si="11"/>
        <v>250.91182226912531</v>
      </c>
      <c r="E67" s="1031">
        <f t="shared" si="11"/>
        <v>536.62754246590339</v>
      </c>
      <c r="F67" s="1031">
        <f t="shared" si="11"/>
        <v>1303.1226898493283</v>
      </c>
      <c r="G67" s="1037"/>
      <c r="H67" s="1038">
        <f t="shared" si="10"/>
        <v>8.5</v>
      </c>
      <c r="I67" s="1038">
        <f t="shared" si="10"/>
        <v>13.175000000000001</v>
      </c>
      <c r="J67" s="1039">
        <f t="shared" si="10"/>
        <v>28.177499999999998</v>
      </c>
      <c r="K67" s="1039">
        <f t="shared" si="10"/>
        <v>68.425000000000011</v>
      </c>
      <c r="L67" s="1037"/>
      <c r="N67">
        <v>2</v>
      </c>
      <c r="O67">
        <v>3.1</v>
      </c>
      <c r="P67">
        <v>6.63</v>
      </c>
      <c r="Q67">
        <v>16.100000000000001</v>
      </c>
      <c r="S67" s="1032">
        <v>4.9745622772945763</v>
      </c>
      <c r="T67" s="975">
        <f t="shared" si="2"/>
        <v>5.2508486371234584</v>
      </c>
      <c r="W67" s="964">
        <v>4.03</v>
      </c>
      <c r="Y67" s="9">
        <v>7.54</v>
      </c>
      <c r="AA67" s="1033"/>
    </row>
    <row r="68" spans="1:27" x14ac:dyDescent="0.45">
      <c r="A68">
        <v>1958</v>
      </c>
      <c r="C68" s="1031">
        <f t="shared" si="11"/>
        <v>165.39921725927712</v>
      </c>
      <c r="D68" s="1031">
        <f t="shared" si="11"/>
        <v>203.62828162580814</v>
      </c>
      <c r="E68" s="1031">
        <f t="shared" si="11"/>
        <v>540.66819604093905</v>
      </c>
      <c r="F68" s="1031">
        <f t="shared" si="11"/>
        <v>1281.0637487723259</v>
      </c>
      <c r="G68" s="1037"/>
      <c r="H68" s="1038">
        <f t="shared" si="10"/>
        <v>9.01</v>
      </c>
      <c r="I68" s="1038">
        <f t="shared" si="10"/>
        <v>11.092499999999999</v>
      </c>
      <c r="J68" s="1039">
        <f t="shared" si="10"/>
        <v>29.452500000000001</v>
      </c>
      <c r="K68" s="1039">
        <f t="shared" si="10"/>
        <v>69.785000000000011</v>
      </c>
      <c r="L68" s="1037"/>
      <c r="N68">
        <v>2.12</v>
      </c>
      <c r="O68">
        <v>2.61</v>
      </c>
      <c r="P68">
        <v>6.93</v>
      </c>
      <c r="Q68">
        <v>16.420000000000002</v>
      </c>
      <c r="S68" s="1032">
        <v>5.1607962572564068</v>
      </c>
      <c r="T68" s="975">
        <f t="shared" si="2"/>
        <v>5.4474260212949313</v>
      </c>
      <c r="W68" s="964">
        <v>4.18</v>
      </c>
      <c r="Y68" s="9">
        <v>6.14</v>
      </c>
      <c r="AA68" s="1033"/>
    </row>
    <row r="69" spans="1:27" x14ac:dyDescent="0.45">
      <c r="A69">
        <v>1959</v>
      </c>
      <c r="C69" s="1031">
        <f t="shared" si="11"/>
        <v>164.95226655589858</v>
      </c>
      <c r="D69" s="1031">
        <f t="shared" si="11"/>
        <v>185.08728500873127</v>
      </c>
      <c r="E69" s="1031">
        <f t="shared" si="11"/>
        <v>533.57798900006617</v>
      </c>
      <c r="F69" s="1031">
        <f t="shared" si="11"/>
        <v>1216.6197688230827</v>
      </c>
      <c r="G69" s="1037"/>
      <c r="H69" s="1038">
        <f t="shared" si="10"/>
        <v>9.0525000000000002</v>
      </c>
      <c r="I69" s="1038">
        <f t="shared" si="10"/>
        <v>10.157500000000001</v>
      </c>
      <c r="J69" s="1039">
        <f t="shared" si="10"/>
        <v>29.282499999999999</v>
      </c>
      <c r="K69" s="1039">
        <f t="shared" si="10"/>
        <v>66.767499999999998</v>
      </c>
      <c r="L69" s="1037"/>
      <c r="N69">
        <v>2.13</v>
      </c>
      <c r="O69">
        <v>2.39</v>
      </c>
      <c r="P69">
        <v>6.89</v>
      </c>
      <c r="Q69">
        <v>15.71</v>
      </c>
      <c r="S69" s="1032">
        <v>5.1991891657665619</v>
      </c>
      <c r="T69" s="975">
        <f t="shared" si="2"/>
        <v>5.4879512655452443</v>
      </c>
      <c r="W69" s="964">
        <v>4.0999999999999996</v>
      </c>
      <c r="Y69" s="9">
        <v>5.54</v>
      </c>
      <c r="AA69" s="1033"/>
    </row>
    <row r="70" spans="1:27" x14ac:dyDescent="0.45">
      <c r="A70">
        <v>1960</v>
      </c>
      <c r="C70" s="1031">
        <f t="shared" si="11"/>
        <v>166.32868479650384</v>
      </c>
      <c r="D70" s="1031">
        <f t="shared" si="11"/>
        <v>174.76009278158006</v>
      </c>
      <c r="E70" s="1031">
        <f t="shared" si="11"/>
        <v>533.47817796482332</v>
      </c>
      <c r="F70" s="1031">
        <f t="shared" si="11"/>
        <v>1184.2295760857069</v>
      </c>
      <c r="G70" s="1037"/>
      <c r="H70" s="1038">
        <f t="shared" si="10"/>
        <v>9.2225000000000001</v>
      </c>
      <c r="I70" s="1038">
        <f t="shared" si="10"/>
        <v>9.69</v>
      </c>
      <c r="J70" s="1039">
        <f t="shared" si="10"/>
        <v>29.58</v>
      </c>
      <c r="K70" s="1039">
        <f t="shared" si="10"/>
        <v>65.662499999999994</v>
      </c>
      <c r="L70" s="1037"/>
      <c r="N70">
        <v>2.17</v>
      </c>
      <c r="O70">
        <v>2.2799999999999998</v>
      </c>
      <c r="P70">
        <v>6.96</v>
      </c>
      <c r="Q70">
        <v>15.45</v>
      </c>
      <c r="S70" s="1032">
        <v>5.2529937410376712</v>
      </c>
      <c r="T70" s="975">
        <f t="shared" si="2"/>
        <v>5.544744137959932</v>
      </c>
      <c r="W70" s="964">
        <v>4.2300000000000004</v>
      </c>
      <c r="Y70" s="9">
        <v>5.24</v>
      </c>
      <c r="AA70" s="1033"/>
    </row>
    <row r="71" spans="1:27" x14ac:dyDescent="0.45">
      <c r="A71">
        <v>1961</v>
      </c>
      <c r="C71" s="1031">
        <f t="shared" si="11"/>
        <v>166.6220482814613</v>
      </c>
      <c r="D71" s="1031">
        <f t="shared" si="11"/>
        <v>154.77336929255736</v>
      </c>
      <c r="E71" s="1031">
        <f t="shared" si="11"/>
        <v>523.56350282219171</v>
      </c>
      <c r="F71" s="1031">
        <f t="shared" si="11"/>
        <v>1204.8625446841668</v>
      </c>
      <c r="G71" s="1037"/>
      <c r="H71" s="1038">
        <f t="shared" si="10"/>
        <v>9.5625</v>
      </c>
      <c r="I71" s="1038">
        <f t="shared" si="10"/>
        <v>8.8824999999999985</v>
      </c>
      <c r="J71" s="1039">
        <f t="shared" si="10"/>
        <v>30.047499999999999</v>
      </c>
      <c r="K71" s="1039">
        <f t="shared" si="10"/>
        <v>69.147499999999994</v>
      </c>
      <c r="L71" s="1037"/>
      <c r="N71">
        <v>2.25</v>
      </c>
      <c r="O71">
        <v>2.09</v>
      </c>
      <c r="P71">
        <v>7.07</v>
      </c>
      <c r="Q71">
        <v>16.27</v>
      </c>
      <c r="S71" s="1032">
        <v>5.4370628354702051</v>
      </c>
      <c r="T71" s="975">
        <f t="shared" si="2"/>
        <v>5.7390363992206082</v>
      </c>
      <c r="W71" s="964">
        <v>4.47</v>
      </c>
      <c r="AA71" s="1033"/>
    </row>
    <row r="72" spans="1:27" x14ac:dyDescent="0.45">
      <c r="A72">
        <v>1962</v>
      </c>
      <c r="C72" s="1031">
        <f t="shared" si="11"/>
        <v>166.68611447394446</v>
      </c>
      <c r="D72" s="1031">
        <f t="shared" si="11"/>
        <v>167.40150552318883</v>
      </c>
      <c r="E72" s="1031">
        <f t="shared" si="11"/>
        <v>517.22772860369889</v>
      </c>
      <c r="F72" s="1031">
        <f t="shared" si="11"/>
        <v>1187.549141745699</v>
      </c>
      <c r="G72" s="1037"/>
      <c r="H72" s="1038">
        <f t="shared" si="10"/>
        <v>9.9024999999999999</v>
      </c>
      <c r="I72" s="1038">
        <f t="shared" si="10"/>
        <v>9.9449999999999985</v>
      </c>
      <c r="J72" s="1039">
        <f t="shared" si="10"/>
        <v>30.727499999999999</v>
      </c>
      <c r="K72" s="1039">
        <f t="shared" si="10"/>
        <v>70.550000000000011</v>
      </c>
      <c r="L72" s="1037"/>
      <c r="N72">
        <v>2.33</v>
      </c>
      <c r="O72">
        <v>2.34</v>
      </c>
      <c r="P72">
        <v>7.23</v>
      </c>
      <c r="Q72">
        <v>16.600000000000001</v>
      </c>
      <c r="S72" s="1032">
        <v>5.6282165753986346</v>
      </c>
      <c r="T72" s="975">
        <f t="shared" si="2"/>
        <v>5.9408067860073066</v>
      </c>
      <c r="W72" s="964">
        <v>4.5199999999999996</v>
      </c>
    </row>
    <row r="73" spans="1:27" x14ac:dyDescent="0.45">
      <c r="A73">
        <v>1963</v>
      </c>
      <c r="C73" s="1031">
        <f t="shared" si="11"/>
        <v>161.60989130593521</v>
      </c>
      <c r="D73" s="1031">
        <f t="shared" si="11"/>
        <v>151.72981061474266</v>
      </c>
      <c r="E73" s="1031">
        <f t="shared" si="11"/>
        <v>510.94131574452877</v>
      </c>
      <c r="F73" s="1031">
        <f t="shared" si="11"/>
        <v>1191.9611633874438</v>
      </c>
      <c r="G73" s="1037"/>
      <c r="H73" s="1038">
        <f t="shared" si="10"/>
        <v>9.7324999999999999</v>
      </c>
      <c r="I73" s="1038">
        <f t="shared" si="10"/>
        <v>9.1374999999999993</v>
      </c>
      <c r="J73" s="1039">
        <f t="shared" si="10"/>
        <v>30.77</v>
      </c>
      <c r="K73" s="1039">
        <f t="shared" si="10"/>
        <v>71.782499999999999</v>
      </c>
      <c r="L73" s="1037"/>
      <c r="N73">
        <v>2.29</v>
      </c>
      <c r="O73">
        <v>2.15</v>
      </c>
      <c r="P73">
        <v>7.24</v>
      </c>
      <c r="Q73">
        <v>16.89</v>
      </c>
      <c r="S73" s="1032">
        <v>5.7053441585489733</v>
      </c>
      <c r="T73" s="975">
        <f t="shared" si="2"/>
        <v>6.0222180222718631</v>
      </c>
      <c r="W73" s="964">
        <v>4.55</v>
      </c>
    </row>
    <row r="74" spans="1:27" x14ac:dyDescent="0.45">
      <c r="A74">
        <v>1964</v>
      </c>
      <c r="C74" s="1031">
        <f t="shared" si="11"/>
        <v>156.07622397940801</v>
      </c>
      <c r="D74" s="1031">
        <f t="shared" si="11"/>
        <v>137.67422377222891</v>
      </c>
      <c r="E74" s="1031">
        <f t="shared" si="11"/>
        <v>492.76467221446285</v>
      </c>
      <c r="F74" s="1031">
        <f t="shared" si="11"/>
        <v>1145.013346224478</v>
      </c>
      <c r="G74" s="1037"/>
      <c r="H74" s="1038">
        <f t="shared" si="10"/>
        <v>9.7324999999999999</v>
      </c>
      <c r="I74" s="1038">
        <f t="shared" si="10"/>
        <v>8.5850000000000009</v>
      </c>
      <c r="J74" s="1039">
        <f t="shared" si="10"/>
        <v>30.727499999999999</v>
      </c>
      <c r="K74" s="1039">
        <f t="shared" si="10"/>
        <v>71.400000000000006</v>
      </c>
      <c r="L74" s="1037"/>
      <c r="N74">
        <v>2.29</v>
      </c>
      <c r="O74">
        <v>2.02</v>
      </c>
      <c r="P74">
        <v>7.23</v>
      </c>
      <c r="Q74">
        <v>16.8</v>
      </c>
      <c r="S74" s="1032">
        <v>5.9076265802515939</v>
      </c>
      <c r="T74" s="975">
        <f t="shared" ref="T74:T125" si="12">S74/S$120*100</f>
        <v>6.2357351759638044</v>
      </c>
      <c r="W74" s="964">
        <v>4.5199999999999996</v>
      </c>
    </row>
    <row r="75" spans="1:27" x14ac:dyDescent="0.45">
      <c r="A75">
        <v>1965</v>
      </c>
      <c r="C75" s="1031">
        <f t="shared" si="11"/>
        <v>147.39624399857411</v>
      </c>
      <c r="D75" s="1031">
        <f t="shared" si="11"/>
        <v>121.00652345734468</v>
      </c>
      <c r="E75" s="1031">
        <f t="shared" si="11"/>
        <v>459.56732844970264</v>
      </c>
      <c r="F75" s="1031">
        <f t="shared" si="11"/>
        <v>1130.8960729497585</v>
      </c>
      <c r="G75" s="1037"/>
      <c r="H75" s="1038">
        <f t="shared" si="10"/>
        <v>9.7324999999999999</v>
      </c>
      <c r="I75" s="1038">
        <f t="shared" si="10"/>
        <v>7.99</v>
      </c>
      <c r="J75" s="1039">
        <f t="shared" si="10"/>
        <v>30.344999999999999</v>
      </c>
      <c r="K75" s="1039">
        <f t="shared" si="10"/>
        <v>74.672499999999999</v>
      </c>
      <c r="L75" s="1037"/>
      <c r="N75">
        <v>2.29</v>
      </c>
      <c r="O75">
        <v>1.88</v>
      </c>
      <c r="P75">
        <v>7.14</v>
      </c>
      <c r="Q75">
        <v>17.57</v>
      </c>
      <c r="S75" s="1032">
        <v>6.2555193016653252</v>
      </c>
      <c r="T75" s="975">
        <f t="shared" si="12"/>
        <v>6.6029498011456464</v>
      </c>
      <c r="W75" s="964">
        <v>4.51</v>
      </c>
    </row>
    <row r="76" spans="1:27" x14ac:dyDescent="0.45">
      <c r="A76">
        <v>1966</v>
      </c>
      <c r="C76" s="1031">
        <f t="shared" si="11"/>
        <v>142.59369773528357</v>
      </c>
      <c r="D76" s="1031">
        <f t="shared" si="11"/>
        <v>122.39802380711036</v>
      </c>
      <c r="E76" s="1031">
        <f t="shared" si="11"/>
        <v>441.24487582463286</v>
      </c>
      <c r="F76" s="1031">
        <f t="shared" si="11"/>
        <v>1113.2100265256688</v>
      </c>
      <c r="G76" s="1037"/>
      <c r="H76" s="1038">
        <f t="shared" si="10"/>
        <v>9.9024999999999999</v>
      </c>
      <c r="I76" s="1038">
        <f t="shared" si="10"/>
        <v>8.5</v>
      </c>
      <c r="J76" s="1039">
        <f t="shared" si="10"/>
        <v>30.642499999999998</v>
      </c>
      <c r="K76" s="1039">
        <f t="shared" si="10"/>
        <v>77.307500000000005</v>
      </c>
      <c r="L76" s="1037"/>
      <c r="N76">
        <v>2.33</v>
      </c>
      <c r="O76">
        <v>2</v>
      </c>
      <c r="P76">
        <v>7.21</v>
      </c>
      <c r="Q76">
        <v>18.190000000000001</v>
      </c>
      <c r="S76" s="1032">
        <v>6.5791515843333981</v>
      </c>
      <c r="T76" s="975">
        <f t="shared" si="12"/>
        <v>6.9445565668571003</v>
      </c>
      <c r="W76" s="964">
        <v>4.95</v>
      </c>
    </row>
    <row r="77" spans="1:27" x14ac:dyDescent="0.45">
      <c r="A77">
        <v>1967</v>
      </c>
      <c r="C77" s="1031">
        <f t="shared" si="11"/>
        <v>133.11596581469703</v>
      </c>
      <c r="D77" s="1031">
        <f t="shared" si="11"/>
        <v>137.87010745093619</v>
      </c>
      <c r="E77" s="1031">
        <f t="shared" si="11"/>
        <v>426.08994414793642</v>
      </c>
      <c r="F77" s="1031">
        <f t="shared" si="11"/>
        <v>1107.1207335391989</v>
      </c>
      <c r="G77" s="1037"/>
      <c r="H77" s="1038">
        <f t="shared" si="10"/>
        <v>9.5200000000000014</v>
      </c>
      <c r="I77" s="1038">
        <f t="shared" si="10"/>
        <v>9.86</v>
      </c>
      <c r="J77" s="1039">
        <f t="shared" si="10"/>
        <v>30.4725</v>
      </c>
      <c r="K77" s="1039">
        <f t="shared" si="10"/>
        <v>79.177499999999995</v>
      </c>
      <c r="L77" s="1037"/>
      <c r="N77">
        <v>2.2400000000000002</v>
      </c>
      <c r="O77">
        <v>2.3199999999999998</v>
      </c>
      <c r="P77">
        <v>7.17</v>
      </c>
      <c r="Q77">
        <v>18.63</v>
      </c>
      <c r="S77" s="1032">
        <v>6.7753568476924855</v>
      </c>
      <c r="T77" s="975">
        <f t="shared" si="12"/>
        <v>7.1516590378439178</v>
      </c>
      <c r="W77" s="964">
        <v>4.8499999999999996</v>
      </c>
    </row>
    <row r="78" spans="1:27" x14ac:dyDescent="0.45">
      <c r="A78">
        <v>1968</v>
      </c>
      <c r="C78" s="1031">
        <f t="shared" si="11"/>
        <v>123.86870314089882</v>
      </c>
      <c r="D78" s="1031">
        <f t="shared" si="11"/>
        <v>144.98917326169723</v>
      </c>
      <c r="E78" s="1031">
        <f t="shared" si="11"/>
        <v>410.99293208040166</v>
      </c>
      <c r="F78" s="1031">
        <f t="shared" si="11"/>
        <v>1085.7063289123942</v>
      </c>
      <c r="G78" s="1037"/>
      <c r="H78" s="1038">
        <f t="shared" si="10"/>
        <v>9.2225000000000001</v>
      </c>
      <c r="I78" s="1038">
        <f t="shared" si="10"/>
        <v>10.795</v>
      </c>
      <c r="J78" s="1039">
        <f t="shared" si="10"/>
        <v>30.6</v>
      </c>
      <c r="K78" s="1039">
        <f t="shared" si="10"/>
        <v>80.834999999999994</v>
      </c>
      <c r="L78" s="1037"/>
      <c r="N78">
        <v>2.17</v>
      </c>
      <c r="O78">
        <v>2.54</v>
      </c>
      <c r="P78">
        <v>7.2</v>
      </c>
      <c r="Q78">
        <v>19.02</v>
      </c>
      <c r="S78" s="1032">
        <v>7.0536262836078523</v>
      </c>
      <c r="T78" s="975">
        <f t="shared" si="12"/>
        <v>7.4453835118541143</v>
      </c>
      <c r="W78" s="964">
        <v>4.83</v>
      </c>
    </row>
    <row r="79" spans="1:27" x14ac:dyDescent="0.45">
      <c r="A79">
        <v>1969</v>
      </c>
      <c r="C79" s="1031">
        <f t="shared" si="11"/>
        <v>118.01650816236437</v>
      </c>
      <c r="D79" s="1031">
        <f t="shared" si="11"/>
        <v>134.10966836632315</v>
      </c>
      <c r="E79" s="1031">
        <f t="shared" si="11"/>
        <v>339.02924163006486</v>
      </c>
      <c r="F79" s="1031">
        <f t="shared" si="11"/>
        <v>1020.3063569309863</v>
      </c>
      <c r="G79" s="1037"/>
      <c r="H79" s="1038">
        <f t="shared" si="10"/>
        <v>9.3500000000000014</v>
      </c>
      <c r="I79" s="1038">
        <f t="shared" si="10"/>
        <v>10.625</v>
      </c>
      <c r="J79" s="1039">
        <f t="shared" si="10"/>
        <v>26.86</v>
      </c>
      <c r="K79" s="1039">
        <f t="shared" si="10"/>
        <v>80.834999999999994</v>
      </c>
      <c r="L79" s="1037"/>
      <c r="N79">
        <v>2.2000000000000002</v>
      </c>
      <c r="O79">
        <v>2.5</v>
      </c>
      <c r="P79">
        <v>6.32</v>
      </c>
      <c r="Q79">
        <v>19.02</v>
      </c>
      <c r="S79" s="1032">
        <v>7.5057522143948123</v>
      </c>
      <c r="T79" s="975">
        <f t="shared" si="12"/>
        <v>7.9226204414864467</v>
      </c>
      <c r="W79" s="964">
        <v>5.04</v>
      </c>
    </row>
    <row r="80" spans="1:27" x14ac:dyDescent="0.45">
      <c r="A80">
        <v>1970</v>
      </c>
      <c r="C80" s="1031">
        <f t="shared" si="11"/>
        <v>129.24899498164172</v>
      </c>
      <c r="D80" s="1031">
        <f t="shared" si="11"/>
        <v>122.39488161140312</v>
      </c>
      <c r="E80" s="1031">
        <f t="shared" si="11"/>
        <v>238.9148089054589</v>
      </c>
      <c r="F80" s="1031">
        <f t="shared" si="11"/>
        <v>945.37806556647774</v>
      </c>
      <c r="G80" s="1037"/>
      <c r="H80" s="1038">
        <f t="shared" si="10"/>
        <v>11.22</v>
      </c>
      <c r="I80" s="1038">
        <f t="shared" si="10"/>
        <v>10.625</v>
      </c>
      <c r="J80" s="1039">
        <f t="shared" si="10"/>
        <v>20.74</v>
      </c>
      <c r="K80" s="1039">
        <f t="shared" si="10"/>
        <v>82.067499999999995</v>
      </c>
      <c r="L80" s="1037"/>
      <c r="N80">
        <v>2.64</v>
      </c>
      <c r="O80">
        <v>2.5</v>
      </c>
      <c r="P80">
        <v>4.88</v>
      </c>
      <c r="Q80">
        <v>19.309999999999999</v>
      </c>
      <c r="S80" s="1032">
        <v>8.2241506103838802</v>
      </c>
      <c r="T80" s="975">
        <f t="shared" si="12"/>
        <v>8.6809185646616971</v>
      </c>
      <c r="W80" s="964">
        <v>5.75</v>
      </c>
    </row>
    <row r="81" spans="1:23" x14ac:dyDescent="0.45">
      <c r="A81">
        <v>1971</v>
      </c>
      <c r="C81" s="1031">
        <f t="shared" si="11"/>
        <v>142.45305873254151</v>
      </c>
      <c r="D81" s="1031">
        <f t="shared" si="11"/>
        <v>169.58697468159704</v>
      </c>
      <c r="E81" s="1031">
        <f t="shared" si="11"/>
        <v>159.63787216694334</v>
      </c>
      <c r="F81" s="1031">
        <f t="shared" si="11"/>
        <v>962.80178425898703</v>
      </c>
      <c r="G81" s="1037"/>
      <c r="H81" s="1038">
        <f t="shared" ref="H81:K102" si="13">N81*$I$8/100</f>
        <v>13.387499999999999</v>
      </c>
      <c r="I81" s="1038">
        <f t="shared" si="13"/>
        <v>15.9375</v>
      </c>
      <c r="J81" s="1039">
        <f t="shared" si="13"/>
        <v>15.0025</v>
      </c>
      <c r="K81" s="1039">
        <f t="shared" si="13"/>
        <v>90.482500000000002</v>
      </c>
      <c r="L81" s="1037"/>
      <c r="N81">
        <v>3.15</v>
      </c>
      <c r="O81">
        <v>3.75</v>
      </c>
      <c r="P81">
        <v>3.53</v>
      </c>
      <c r="Q81">
        <v>21.29</v>
      </c>
      <c r="S81" s="1032">
        <v>8.903342448930859</v>
      </c>
      <c r="T81" s="975">
        <f t="shared" si="12"/>
        <v>9.397832604728622</v>
      </c>
      <c r="W81" s="964">
        <v>6.4</v>
      </c>
    </row>
    <row r="82" spans="1:23" x14ac:dyDescent="0.45">
      <c r="A82">
        <v>1972</v>
      </c>
      <c r="C82" s="1031">
        <f t="shared" si="11"/>
        <v>142.45829438169017</v>
      </c>
      <c r="D82" s="1031">
        <f t="shared" si="11"/>
        <v>150.44268256237484</v>
      </c>
      <c r="E82" s="1031">
        <f t="shared" si="11"/>
        <v>134.47390620100543</v>
      </c>
      <c r="F82" s="1031">
        <f t="shared" si="11"/>
        <v>916.94394790810577</v>
      </c>
      <c r="G82" s="1037"/>
      <c r="H82" s="1038">
        <f t="shared" si="13"/>
        <v>14.407500000000001</v>
      </c>
      <c r="I82" s="1038">
        <f t="shared" si="13"/>
        <v>15.215</v>
      </c>
      <c r="J82" s="1039">
        <f t="shared" si="13"/>
        <v>13.6</v>
      </c>
      <c r="K82" s="1039">
        <f t="shared" si="13"/>
        <v>92.734999999999999</v>
      </c>
      <c r="L82" s="1037"/>
      <c r="N82">
        <v>3.39</v>
      </c>
      <c r="O82">
        <v>3.58</v>
      </c>
      <c r="P82">
        <v>3.2</v>
      </c>
      <c r="Q82">
        <v>21.82</v>
      </c>
      <c r="S82" s="1032">
        <v>9.5813402019706455</v>
      </c>
      <c r="T82" s="975">
        <f t="shared" si="12"/>
        <v>10.113486239978291</v>
      </c>
      <c r="W82" s="964">
        <v>6.87</v>
      </c>
    </row>
    <row r="83" spans="1:23" x14ac:dyDescent="0.45">
      <c r="A83">
        <v>1973</v>
      </c>
      <c r="C83" s="1031">
        <f t="shared" si="11"/>
        <v>137.13112432574613</v>
      </c>
      <c r="D83" s="1031">
        <f t="shared" si="11"/>
        <v>135.58598489672363</v>
      </c>
      <c r="E83" s="1031">
        <f t="shared" si="11"/>
        <v>128.24657260886679</v>
      </c>
      <c r="F83" s="1031">
        <f t="shared" si="11"/>
        <v>846.35012224706986</v>
      </c>
      <c r="G83" s="1037"/>
      <c r="H83" s="1038">
        <f t="shared" si="13"/>
        <v>15.0875</v>
      </c>
      <c r="I83" s="1038">
        <f t="shared" si="13"/>
        <v>14.9175</v>
      </c>
      <c r="J83" s="1039">
        <f t="shared" si="13"/>
        <v>14.11</v>
      </c>
      <c r="K83" s="1039">
        <f t="shared" si="13"/>
        <v>93.117500000000007</v>
      </c>
      <c r="L83" s="1037"/>
      <c r="N83">
        <v>3.55</v>
      </c>
      <c r="O83">
        <v>3.51</v>
      </c>
      <c r="P83">
        <v>3.32</v>
      </c>
      <c r="Q83">
        <v>21.91</v>
      </c>
      <c r="S83" s="1032">
        <v>10.423333158474533</v>
      </c>
      <c r="T83" s="975">
        <f t="shared" si="12"/>
        <v>11.002243344961293</v>
      </c>
      <c r="W83" s="964">
        <v>7.06</v>
      </c>
    </row>
    <row r="84" spans="1:23" x14ac:dyDescent="0.45">
      <c r="A84">
        <v>1974</v>
      </c>
      <c r="C84" s="1031">
        <f t="shared" si="11"/>
        <v>128.45320567035662</v>
      </c>
      <c r="D84" s="1031">
        <f t="shared" si="11"/>
        <v>276.54045054939473</v>
      </c>
      <c r="E84" s="1031">
        <f t="shared" si="11"/>
        <v>106.82248450824994</v>
      </c>
      <c r="F84" s="1031">
        <f t="shared" si="11"/>
        <v>1002.3343406194666</v>
      </c>
      <c r="G84" s="1037"/>
      <c r="H84" s="1038">
        <f t="shared" si="13"/>
        <v>16.405000000000001</v>
      </c>
      <c r="I84" s="1038">
        <f t="shared" si="13"/>
        <v>35.317500000000003</v>
      </c>
      <c r="J84" s="1039">
        <f t="shared" si="13"/>
        <v>13.6425</v>
      </c>
      <c r="K84" s="1039">
        <f t="shared" si="13"/>
        <v>128.01</v>
      </c>
      <c r="L84" s="1037"/>
      <c r="N84">
        <v>3.86</v>
      </c>
      <c r="O84">
        <v>8.31</v>
      </c>
      <c r="P84">
        <v>3.21</v>
      </c>
      <c r="Q84">
        <v>30.12</v>
      </c>
      <c r="S84" s="1032">
        <v>12.099200138535952</v>
      </c>
      <c r="T84" s="975">
        <f t="shared" si="12"/>
        <v>12.771187697798196</v>
      </c>
      <c r="W84" s="964">
        <v>11.1</v>
      </c>
    </row>
    <row r="85" spans="1:23" x14ac:dyDescent="0.45">
      <c r="A85">
        <v>1975</v>
      </c>
      <c r="C85" s="1031">
        <f t="shared" si="11"/>
        <v>152.83433827104821</v>
      </c>
      <c r="D85" s="1031">
        <f t="shared" si="11"/>
        <v>276.10486672109909</v>
      </c>
      <c r="E85" s="1031">
        <f t="shared" si="11"/>
        <v>121.68675292392609</v>
      </c>
      <c r="F85" s="1031">
        <f t="shared" si="11"/>
        <v>1047.6675105315894</v>
      </c>
      <c r="G85" s="1037"/>
      <c r="H85" s="1038">
        <f t="shared" si="13"/>
        <v>24.607500000000002</v>
      </c>
      <c r="I85" s="1038">
        <f t="shared" si="13"/>
        <v>44.454999999999998</v>
      </c>
      <c r="J85" s="1039">
        <f t="shared" si="13"/>
        <v>19.592500000000001</v>
      </c>
      <c r="K85" s="1039">
        <f t="shared" si="13"/>
        <v>168.6825</v>
      </c>
      <c r="L85" s="1037"/>
      <c r="N85">
        <v>5.79</v>
      </c>
      <c r="O85">
        <v>10.46</v>
      </c>
      <c r="P85">
        <v>4.6100000000000003</v>
      </c>
      <c r="Q85">
        <v>39.69</v>
      </c>
      <c r="S85" s="1032">
        <v>15.253584974004943</v>
      </c>
      <c r="T85" s="975">
        <f t="shared" si="12"/>
        <v>16.100766541324742</v>
      </c>
      <c r="W85" s="964">
        <v>15.55</v>
      </c>
    </row>
    <row r="86" spans="1:23" x14ac:dyDescent="0.45">
      <c r="A86">
        <v>1976</v>
      </c>
      <c r="C86" s="1031">
        <f t="shared" si="11"/>
        <v>163.84831429370215</v>
      </c>
      <c r="D86" s="1031">
        <f t="shared" si="11"/>
        <v>273.76608162322896</v>
      </c>
      <c r="E86" s="1031">
        <f t="shared" si="11"/>
        <v>159.96348675814716</v>
      </c>
      <c r="F86" s="1031">
        <f t="shared" si="11"/>
        <v>1052.1027043350134</v>
      </c>
      <c r="G86" s="1037"/>
      <c r="H86" s="1038">
        <f t="shared" si="13"/>
        <v>30.4725</v>
      </c>
      <c r="I86" s="1038">
        <f t="shared" si="13"/>
        <v>50.914999999999999</v>
      </c>
      <c r="J86" s="1039">
        <f t="shared" si="13"/>
        <v>29.75</v>
      </c>
      <c r="K86" s="1039">
        <f t="shared" si="13"/>
        <v>195.67</v>
      </c>
      <c r="L86" s="1037"/>
      <c r="N86">
        <v>7.17</v>
      </c>
      <c r="O86">
        <v>11.98</v>
      </c>
      <c r="P86">
        <v>7</v>
      </c>
      <c r="Q86">
        <v>46.04</v>
      </c>
      <c r="S86" s="1032">
        <v>17.61941484268657</v>
      </c>
      <c r="T86" s="975">
        <f t="shared" si="12"/>
        <v>18.597994206627778</v>
      </c>
      <c r="W86" s="964">
        <v>18.72</v>
      </c>
    </row>
    <row r="87" spans="1:23" x14ac:dyDescent="0.45">
      <c r="A87">
        <v>1977</v>
      </c>
      <c r="C87" s="1031">
        <f t="shared" si="11"/>
        <v>171.88586714011581</v>
      </c>
      <c r="D87" s="1031">
        <f t="shared" si="11"/>
        <v>305.01709367504196</v>
      </c>
      <c r="E87" s="1031">
        <f t="shared" si="11"/>
        <v>200.80124665901374</v>
      </c>
      <c r="F87" s="1031">
        <f t="shared" si="11"/>
        <v>1061.4353898395468</v>
      </c>
      <c r="G87" s="1037"/>
      <c r="H87" s="1038">
        <f t="shared" si="13"/>
        <v>36.380000000000003</v>
      </c>
      <c r="I87" s="1038">
        <f t="shared" si="13"/>
        <v>64.557500000000005</v>
      </c>
      <c r="J87" s="1039">
        <f t="shared" si="13"/>
        <v>42.5</v>
      </c>
      <c r="K87" s="1039">
        <f t="shared" si="13"/>
        <v>224.655</v>
      </c>
      <c r="L87" s="1037"/>
      <c r="N87">
        <v>8.56</v>
      </c>
      <c r="O87">
        <v>15.19</v>
      </c>
      <c r="P87">
        <v>10</v>
      </c>
      <c r="Q87">
        <v>52.86</v>
      </c>
      <c r="S87" s="1032">
        <v>20.051547628518644</v>
      </c>
      <c r="T87" s="975">
        <f t="shared" si="12"/>
        <v>21.165207242049867</v>
      </c>
      <c r="W87" s="964">
        <v>21.34</v>
      </c>
    </row>
    <row r="88" spans="1:23" x14ac:dyDescent="0.45">
      <c r="A88">
        <v>1978</v>
      </c>
      <c r="C88" s="1031">
        <f t="shared" si="11"/>
        <v>166.9270131405797</v>
      </c>
      <c r="D88" s="1031">
        <f t="shared" si="11"/>
        <v>256.05058528022187</v>
      </c>
      <c r="E88" s="1031">
        <f t="shared" si="11"/>
        <v>227.30104588033731</v>
      </c>
      <c r="F88" s="1031">
        <f t="shared" si="11"/>
        <v>1052.2331420357748</v>
      </c>
      <c r="G88" s="1037"/>
      <c r="H88" s="1038">
        <f t="shared" si="13"/>
        <v>39.482499999999995</v>
      </c>
      <c r="I88" s="1038">
        <f t="shared" si="13"/>
        <v>60.5625</v>
      </c>
      <c r="J88" s="1039">
        <f t="shared" si="13"/>
        <v>53.762500000000003</v>
      </c>
      <c r="K88" s="1039">
        <f t="shared" si="13"/>
        <v>248.88</v>
      </c>
      <c r="L88" s="1037"/>
      <c r="N88">
        <v>9.2899999999999991</v>
      </c>
      <c r="O88">
        <v>14.25</v>
      </c>
      <c r="P88">
        <v>12.65</v>
      </c>
      <c r="Q88">
        <v>58.56</v>
      </c>
      <c r="S88" s="1032">
        <v>22.408015406411987</v>
      </c>
      <c r="T88" s="975">
        <f t="shared" si="12"/>
        <v>23.652552847602507</v>
      </c>
      <c r="W88" s="964">
        <v>23.06</v>
      </c>
    </row>
    <row r="89" spans="1:23" x14ac:dyDescent="0.45">
      <c r="A89">
        <v>1979</v>
      </c>
      <c r="C89" s="1031">
        <f t="shared" si="11"/>
        <v>169.83613201820117</v>
      </c>
      <c r="D89" s="1031">
        <f t="shared" si="11"/>
        <v>277.82805330149358</v>
      </c>
      <c r="E89" s="1031">
        <f t="shared" si="11"/>
        <v>231.68034275310993</v>
      </c>
      <c r="F89" s="1031">
        <f t="shared" si="11"/>
        <v>1015.2496320644414</v>
      </c>
      <c r="G89" s="1037"/>
      <c r="H89" s="1038">
        <f t="shared" si="13"/>
        <v>45.984999999999999</v>
      </c>
      <c r="I89" s="1038">
        <f t="shared" si="13"/>
        <v>75.224999999999994</v>
      </c>
      <c r="J89" s="1039">
        <f t="shared" si="13"/>
        <v>62.73</v>
      </c>
      <c r="K89" s="1039">
        <f t="shared" si="13"/>
        <v>274.89000000000004</v>
      </c>
      <c r="L89" s="1037"/>
      <c r="N89">
        <v>10.82</v>
      </c>
      <c r="O89">
        <v>17.7</v>
      </c>
      <c r="P89">
        <v>14.76</v>
      </c>
      <c r="Q89">
        <v>64.680000000000007</v>
      </c>
      <c r="S89" s="1032">
        <v>25.651423651150264</v>
      </c>
      <c r="T89" s="975">
        <f t="shared" si="12"/>
        <v>27.076099445712664</v>
      </c>
      <c r="W89" s="964">
        <v>27.38</v>
      </c>
    </row>
    <row r="90" spans="1:23" x14ac:dyDescent="0.45">
      <c r="A90">
        <v>1980</v>
      </c>
      <c r="C90" s="1031">
        <f t="shared" si="11"/>
        <v>183.16171637766655</v>
      </c>
      <c r="D90" s="1031">
        <f t="shared" si="11"/>
        <v>327.52241295207563</v>
      </c>
      <c r="E90" s="1031">
        <f t="shared" si="11"/>
        <v>247.96072588074972</v>
      </c>
      <c r="F90" s="1031">
        <f t="shared" si="11"/>
        <v>1042.9243807724051</v>
      </c>
      <c r="G90" s="1037"/>
      <c r="H90" s="1038">
        <f t="shared" si="13"/>
        <v>59.585000000000001</v>
      </c>
      <c r="I90" s="1038">
        <f t="shared" si="13"/>
        <v>106.5475</v>
      </c>
      <c r="J90" s="1039">
        <f t="shared" si="13"/>
        <v>80.665000000000006</v>
      </c>
      <c r="K90" s="1039">
        <f t="shared" si="13"/>
        <v>339.27749999999997</v>
      </c>
      <c r="L90" s="1037"/>
      <c r="N90">
        <v>14.02</v>
      </c>
      <c r="O90">
        <v>25.07</v>
      </c>
      <c r="P90">
        <v>18.98</v>
      </c>
      <c r="Q90">
        <v>79.83</v>
      </c>
      <c r="S90" s="1032">
        <v>30.819643585517291</v>
      </c>
      <c r="T90" s="975">
        <f t="shared" si="12"/>
        <v>32.531361453907721</v>
      </c>
      <c r="W90" s="964">
        <v>32.83</v>
      </c>
    </row>
    <row r="91" spans="1:23" x14ac:dyDescent="0.45">
      <c r="A91">
        <v>1981</v>
      </c>
      <c r="C91" s="1031">
        <f t="shared" si="11"/>
        <v>188.51694416395489</v>
      </c>
      <c r="D91" s="1031">
        <f t="shared" si="11"/>
        <v>349.57092609167938</v>
      </c>
      <c r="E91" s="1031">
        <f t="shared" si="11"/>
        <v>271.37130480885361</v>
      </c>
      <c r="F91" s="1031">
        <f t="shared" si="11"/>
        <v>1076.6412144474759</v>
      </c>
      <c r="G91" s="1037"/>
      <c r="H91" s="1038">
        <f t="shared" si="13"/>
        <v>68.849999999999994</v>
      </c>
      <c r="I91" s="1038">
        <f t="shared" si="13"/>
        <v>127.67</v>
      </c>
      <c r="J91" s="1039">
        <f t="shared" si="13"/>
        <v>99.11</v>
      </c>
      <c r="K91" s="1039">
        <f t="shared" si="13"/>
        <v>393.21</v>
      </c>
      <c r="L91" s="1037"/>
      <c r="N91">
        <v>16.2</v>
      </c>
      <c r="O91">
        <v>30.04</v>
      </c>
      <c r="P91">
        <v>23.32</v>
      </c>
      <c r="Q91">
        <v>92.52</v>
      </c>
      <c r="S91" s="1032">
        <v>34.600225259065958</v>
      </c>
      <c r="T91" s="975">
        <f t="shared" si="12"/>
        <v>36.521916003539992</v>
      </c>
      <c r="W91" s="964">
        <v>35.590000000000003</v>
      </c>
    </row>
    <row r="92" spans="1:23" x14ac:dyDescent="0.45">
      <c r="A92">
        <v>1982</v>
      </c>
      <c r="C92" s="1031">
        <f t="shared" si="11"/>
        <v>207.60043160653993</v>
      </c>
      <c r="D92" s="1031">
        <f t="shared" si="11"/>
        <v>342.36807145922626</v>
      </c>
      <c r="E92" s="1031">
        <f t="shared" si="11"/>
        <v>270.83008489210772</v>
      </c>
      <c r="F92" s="1031">
        <f t="shared" si="11"/>
        <v>1098.750101377025</v>
      </c>
      <c r="G92" s="1037"/>
      <c r="H92" s="1038">
        <f t="shared" si="13"/>
        <v>81.77</v>
      </c>
      <c r="I92" s="1038">
        <f t="shared" si="13"/>
        <v>134.85249999999999</v>
      </c>
      <c r="J92" s="1039">
        <f t="shared" si="13"/>
        <v>106.675</v>
      </c>
      <c r="K92" s="1039">
        <f t="shared" si="13"/>
        <v>432.77749999999997</v>
      </c>
      <c r="L92" s="1037"/>
      <c r="N92">
        <v>19.239999999999998</v>
      </c>
      <c r="O92">
        <v>31.73</v>
      </c>
      <c r="P92">
        <v>25.1</v>
      </c>
      <c r="Q92">
        <v>101.83</v>
      </c>
      <c r="S92" s="1032">
        <v>37.315659243548957</v>
      </c>
      <c r="T92" s="975">
        <f t="shared" si="12"/>
        <v>39.388164738971589</v>
      </c>
      <c r="W92" s="964">
        <v>37.909999999999997</v>
      </c>
    </row>
    <row r="93" spans="1:23" x14ac:dyDescent="0.45">
      <c r="A93">
        <v>1983</v>
      </c>
      <c r="C93" s="1031">
        <f t="shared" si="11"/>
        <v>203.59211008533609</v>
      </c>
      <c r="D93" s="1031">
        <f t="shared" si="11"/>
        <v>357.28319067712914</v>
      </c>
      <c r="E93" s="1031">
        <f t="shared" si="11"/>
        <v>265.76388453630761</v>
      </c>
      <c r="F93" s="1031">
        <f t="shared" si="11"/>
        <v>1046.387776244723</v>
      </c>
      <c r="G93" s="1037"/>
      <c r="H93" s="1038">
        <f t="shared" si="13"/>
        <v>84.617500000000007</v>
      </c>
      <c r="I93" s="1038">
        <f t="shared" si="13"/>
        <v>148.49499999999998</v>
      </c>
      <c r="J93" s="1039">
        <f t="shared" si="13"/>
        <v>110.4575</v>
      </c>
      <c r="K93" s="1039">
        <f t="shared" si="13"/>
        <v>434.90249999999997</v>
      </c>
      <c r="L93" s="1037"/>
      <c r="N93">
        <v>19.91</v>
      </c>
      <c r="O93">
        <v>34.94</v>
      </c>
      <c r="P93">
        <v>25.99</v>
      </c>
      <c r="Q93">
        <v>102.33</v>
      </c>
      <c r="S93" s="1032">
        <v>39.375367430922985</v>
      </c>
      <c r="T93" s="975">
        <f t="shared" si="12"/>
        <v>41.562268775804917</v>
      </c>
      <c r="W93" s="964"/>
    </row>
    <row r="94" spans="1:23" x14ac:dyDescent="0.45">
      <c r="A94">
        <v>1984</v>
      </c>
      <c r="C94" s="1031">
        <f t="shared" si="11"/>
        <v>193.82315540819656</v>
      </c>
      <c r="D94" s="1031">
        <f t="shared" si="11"/>
        <v>404.08189198246697</v>
      </c>
      <c r="E94" s="1031">
        <f t="shared" si="11"/>
        <v>276.68182495550383</v>
      </c>
      <c r="F94" s="1031">
        <f t="shared" si="11"/>
        <v>1000.0419001818791</v>
      </c>
      <c r="G94" s="1037"/>
      <c r="H94" s="1038">
        <f t="shared" si="13"/>
        <v>84.702500000000001</v>
      </c>
      <c r="I94" s="1038">
        <f t="shared" si="13"/>
        <v>176.58750000000001</v>
      </c>
      <c r="J94" s="1039">
        <f t="shared" si="13"/>
        <v>120.91249999999999</v>
      </c>
      <c r="K94" s="1039">
        <f t="shared" si="13"/>
        <v>437.02749999999997</v>
      </c>
      <c r="L94" s="1037"/>
      <c r="N94">
        <v>19.93</v>
      </c>
      <c r="O94">
        <v>41.55</v>
      </c>
      <c r="P94">
        <v>28.45</v>
      </c>
      <c r="Q94">
        <v>102.83</v>
      </c>
      <c r="S94" s="1032">
        <v>41.401487223080146</v>
      </c>
      <c r="T94" s="975">
        <f t="shared" si="12"/>
        <v>43.700918923548819</v>
      </c>
      <c r="W94" s="964"/>
    </row>
    <row r="95" spans="1:23" x14ac:dyDescent="0.45">
      <c r="A95">
        <v>1985</v>
      </c>
      <c r="C95" s="1031">
        <f t="shared" si="11"/>
        <v>190.7044487968999</v>
      </c>
      <c r="D95" s="1031">
        <f t="shared" si="11"/>
        <v>387.94680964815996</v>
      </c>
      <c r="E95" s="1031">
        <f t="shared" si="11"/>
        <v>282.51146736305594</v>
      </c>
      <c r="F95" s="1031">
        <f t="shared" si="11"/>
        <v>975.99056146708938</v>
      </c>
      <c r="G95" s="1037"/>
      <c r="H95" s="1038">
        <f t="shared" si="13"/>
        <v>88.017499999999998</v>
      </c>
      <c r="I95" s="1038">
        <f t="shared" si="13"/>
        <v>179.05250000000001</v>
      </c>
      <c r="J95" s="1039">
        <f t="shared" si="13"/>
        <v>130.38999999999999</v>
      </c>
      <c r="K95" s="1039">
        <f t="shared" si="13"/>
        <v>450.45749999999998</v>
      </c>
      <c r="L95" s="1037"/>
      <c r="N95">
        <v>20.71</v>
      </c>
      <c r="O95">
        <v>42.13</v>
      </c>
      <c r="P95">
        <v>30.68</v>
      </c>
      <c r="Q95">
        <v>105.99</v>
      </c>
      <c r="S95" s="1032">
        <v>43.725378480433818</v>
      </c>
      <c r="T95" s="975">
        <f t="shared" si="12"/>
        <v>46.153878714040161</v>
      </c>
    </row>
    <row r="96" spans="1:23" x14ac:dyDescent="0.45">
      <c r="A96">
        <v>1986</v>
      </c>
      <c r="C96" s="1031">
        <f t="shared" si="11"/>
        <v>173.49908457440057</v>
      </c>
      <c r="D96" s="1031">
        <f t="shared" si="11"/>
        <v>178.70053070747457</v>
      </c>
      <c r="E96" s="1031">
        <f t="shared" si="11"/>
        <v>226.39514694464467</v>
      </c>
      <c r="F96" s="1031">
        <f t="shared" si="11"/>
        <v>940.05118842318768</v>
      </c>
      <c r="G96" s="1037"/>
      <c r="H96" s="1038">
        <f t="shared" si="13"/>
        <v>83.64</v>
      </c>
      <c r="I96" s="1038">
        <f t="shared" si="13"/>
        <v>86.147499999999994</v>
      </c>
      <c r="J96" s="1039">
        <f t="shared" si="13"/>
        <v>109.14</v>
      </c>
      <c r="K96" s="1039">
        <f t="shared" si="13"/>
        <v>453.17750000000001</v>
      </c>
      <c r="L96" s="1037"/>
      <c r="N96">
        <v>19.68</v>
      </c>
      <c r="O96">
        <v>20.27</v>
      </c>
      <c r="P96">
        <v>25.68</v>
      </c>
      <c r="Q96">
        <v>106.63</v>
      </c>
      <c r="S96" s="1032">
        <v>45.671177560250101</v>
      </c>
      <c r="T96" s="975">
        <f t="shared" si="12"/>
        <v>48.207747150465892</v>
      </c>
    </row>
    <row r="97" spans="1:20" x14ac:dyDescent="0.45">
      <c r="A97">
        <v>1987</v>
      </c>
      <c r="C97" s="1031">
        <f t="shared" si="11"/>
        <v>157.98200281628064</v>
      </c>
      <c r="D97" s="1031">
        <f t="shared" si="11"/>
        <v>181.59139592396011</v>
      </c>
      <c r="E97" s="1031">
        <f t="shared" si="11"/>
        <v>198.58681011140308</v>
      </c>
      <c r="F97" s="1031">
        <f t="shared" si="11"/>
        <v>867.35217232467789</v>
      </c>
      <c r="G97" s="1037"/>
      <c r="H97" s="1038">
        <f t="shared" si="13"/>
        <v>80.197500000000005</v>
      </c>
      <c r="I97" s="1038">
        <f t="shared" si="13"/>
        <v>92.182500000000005</v>
      </c>
      <c r="J97" s="1039">
        <f t="shared" si="13"/>
        <v>100.81</v>
      </c>
      <c r="K97" s="1039">
        <f t="shared" si="13"/>
        <v>440.3</v>
      </c>
      <c r="L97" s="1037"/>
      <c r="N97">
        <v>18.87</v>
      </c>
      <c r="O97">
        <v>21.69</v>
      </c>
      <c r="P97">
        <v>23.72</v>
      </c>
      <c r="Q97">
        <v>103.6</v>
      </c>
      <c r="S97" s="1032">
        <v>48.09263666768846</v>
      </c>
      <c r="T97" s="975">
        <f t="shared" si="12"/>
        <v>50.763693693175128</v>
      </c>
    </row>
    <row r="98" spans="1:20" x14ac:dyDescent="0.45">
      <c r="A98">
        <v>1988</v>
      </c>
      <c r="C98" s="1031">
        <f t="shared" si="11"/>
        <v>133.33446530834686</v>
      </c>
      <c r="D98" s="1031">
        <f t="shared" si="11"/>
        <v>121.5510517075499</v>
      </c>
      <c r="E98" s="1031">
        <f t="shared" si="11"/>
        <v>180.07270314774954</v>
      </c>
      <c r="F98" s="1031">
        <f t="shared" si="11"/>
        <v>859.55652635612216</v>
      </c>
      <c r="G98" s="1037"/>
      <c r="H98" s="1038">
        <f t="shared" si="13"/>
        <v>71.655000000000001</v>
      </c>
      <c r="I98" s="1038">
        <f t="shared" si="13"/>
        <v>65.322500000000005</v>
      </c>
      <c r="J98" s="1039">
        <f t="shared" si="13"/>
        <v>96.772499999999994</v>
      </c>
      <c r="K98" s="1039">
        <f t="shared" si="13"/>
        <v>461.9325</v>
      </c>
      <c r="L98" s="1037"/>
      <c r="N98">
        <v>16.86</v>
      </c>
      <c r="O98">
        <v>15.37</v>
      </c>
      <c r="P98">
        <v>22.77</v>
      </c>
      <c r="Q98">
        <v>108.69</v>
      </c>
      <c r="S98" s="1032">
        <v>50.913089258408554</v>
      </c>
      <c r="T98" s="975">
        <f t="shared" si="12"/>
        <v>53.74079375073201</v>
      </c>
    </row>
    <row r="99" spans="1:20" x14ac:dyDescent="0.45">
      <c r="A99">
        <v>1989</v>
      </c>
      <c r="C99" s="1031">
        <f t="shared" si="11"/>
        <v>120.95067298661945</v>
      </c>
      <c r="D99" s="1031">
        <f t="shared" si="11"/>
        <v>126.67875586030274</v>
      </c>
      <c r="E99" s="1031">
        <f t="shared" si="11"/>
        <v>161.78162270159243</v>
      </c>
      <c r="F99" s="1031">
        <f t="shared" si="11"/>
        <v>860.02023761159739</v>
      </c>
      <c r="G99" s="1037"/>
      <c r="H99" s="1038">
        <f t="shared" si="13"/>
        <v>69.997499999999988</v>
      </c>
      <c r="I99" s="1038">
        <f t="shared" si="13"/>
        <v>73.3125</v>
      </c>
      <c r="J99" s="1039">
        <f t="shared" si="13"/>
        <v>93.627499999999998</v>
      </c>
      <c r="K99" s="1039">
        <f t="shared" si="13"/>
        <v>497.71749999999997</v>
      </c>
      <c r="L99" s="1037"/>
      <c r="N99">
        <v>16.47</v>
      </c>
      <c r="O99">
        <v>17.25</v>
      </c>
      <c r="P99">
        <v>22.03</v>
      </c>
      <c r="Q99">
        <v>117.11</v>
      </c>
      <c r="S99" s="1032">
        <v>54.827647627152494</v>
      </c>
      <c r="T99" s="975">
        <f t="shared" si="12"/>
        <v>57.872766038882375</v>
      </c>
    </row>
    <row r="100" spans="1:20" x14ac:dyDescent="0.45">
      <c r="A100">
        <v>1990</v>
      </c>
      <c r="C100" s="1031">
        <f t="shared" si="11"/>
        <v>115.20472600497733</v>
      </c>
      <c r="D100" s="1031">
        <f t="shared" si="11"/>
        <v>127.58209326171044</v>
      </c>
      <c r="E100" s="1031">
        <f t="shared" si="11"/>
        <v>152.88088787437371</v>
      </c>
      <c r="F100" s="1031">
        <f t="shared" si="11"/>
        <v>789.09116637293505</v>
      </c>
      <c r="G100" s="1037"/>
      <c r="H100" s="1038">
        <f t="shared" si="13"/>
        <v>71.995000000000005</v>
      </c>
      <c r="I100" s="1038">
        <f t="shared" si="13"/>
        <v>79.73</v>
      </c>
      <c r="J100" s="1039">
        <f t="shared" si="13"/>
        <v>95.54</v>
      </c>
      <c r="K100" s="1039">
        <f t="shared" si="13"/>
        <v>493.1275</v>
      </c>
      <c r="L100" s="1037"/>
      <c r="N100">
        <v>16.940000000000001</v>
      </c>
      <c r="O100">
        <v>18.760000000000002</v>
      </c>
      <c r="P100">
        <v>22.48</v>
      </c>
      <c r="Q100">
        <v>116.03</v>
      </c>
      <c r="S100" s="1032">
        <v>59.204867509179728</v>
      </c>
      <c r="T100" s="975">
        <f t="shared" si="12"/>
        <v>62.493095983657398</v>
      </c>
    </row>
    <row r="101" spans="1:20" x14ac:dyDescent="0.45">
      <c r="A101">
        <v>1991</v>
      </c>
      <c r="C101" s="1031">
        <f t="shared" si="11"/>
        <v>106.51286110239953</v>
      </c>
      <c r="D101" s="1031">
        <f t="shared" si="11"/>
        <v>105.17187184391605</v>
      </c>
      <c r="E101" s="1031">
        <f t="shared" si="11"/>
        <v>140.93158540347466</v>
      </c>
      <c r="F101" s="1031">
        <f t="shared" si="11"/>
        <v>764.30002070420858</v>
      </c>
      <c r="G101" s="1037"/>
      <c r="H101" s="1038">
        <f t="shared" si="13"/>
        <v>70.89</v>
      </c>
      <c r="I101" s="1038">
        <f t="shared" si="13"/>
        <v>69.997499999999988</v>
      </c>
      <c r="J101" s="1039">
        <f t="shared" si="13"/>
        <v>93.797499999999999</v>
      </c>
      <c r="K101" s="1039">
        <f t="shared" si="13"/>
        <v>508.6825</v>
      </c>
      <c r="L101" s="1037"/>
      <c r="N101">
        <v>16.68</v>
      </c>
      <c r="O101">
        <v>16.47</v>
      </c>
      <c r="P101">
        <v>22.07</v>
      </c>
      <c r="Q101">
        <v>119.69</v>
      </c>
      <c r="S101" s="1032">
        <v>63.053369332619127</v>
      </c>
      <c r="T101" s="975">
        <f t="shared" si="12"/>
        <v>66.555342956985868</v>
      </c>
    </row>
    <row r="102" spans="1:20" x14ac:dyDescent="0.45">
      <c r="A102">
        <v>1992</v>
      </c>
      <c r="C102" s="1031">
        <f t="shared" si="11"/>
        <v>104.66811065404183</v>
      </c>
      <c r="D102" s="1031">
        <f t="shared" si="11"/>
        <v>98.343378849117499</v>
      </c>
      <c r="E102" s="1031">
        <f t="shared" si="11"/>
        <v>137.40789882070897</v>
      </c>
      <c r="F102" s="1031">
        <f t="shared" si="11"/>
        <v>785.44488012722024</v>
      </c>
      <c r="G102" s="1037"/>
      <c r="H102" s="1038">
        <f t="shared" si="13"/>
        <v>71.739999999999995</v>
      </c>
      <c r="I102" s="1038">
        <f t="shared" si="13"/>
        <v>67.405000000000001</v>
      </c>
      <c r="J102" s="1039">
        <f t="shared" si="13"/>
        <v>94.18</v>
      </c>
      <c r="K102" s="1039">
        <f t="shared" si="13"/>
        <v>538.34749999999997</v>
      </c>
      <c r="L102" s="1037"/>
      <c r="N102">
        <v>16.88</v>
      </c>
      <c r="O102">
        <v>15.86</v>
      </c>
      <c r="P102">
        <v>22.16</v>
      </c>
      <c r="Q102">
        <v>126.67</v>
      </c>
      <c r="S102" s="1032">
        <v>64.934030456066964</v>
      </c>
      <c r="T102" s="975">
        <f t="shared" si="12"/>
        <v>68.540455685802243</v>
      </c>
    </row>
    <row r="103" spans="1:20" x14ac:dyDescent="0.45">
      <c r="A103">
        <v>1993</v>
      </c>
      <c r="S103" s="1032">
        <v>66.594696447527738</v>
      </c>
      <c r="T103" s="975">
        <f t="shared" si="12"/>
        <v>70.293354789664974</v>
      </c>
    </row>
    <row r="104" spans="1:20" x14ac:dyDescent="0.45">
      <c r="A104">
        <v>1994</v>
      </c>
      <c r="S104" s="1032">
        <v>67.370328548342385</v>
      </c>
      <c r="T104" s="975">
        <f t="shared" si="12"/>
        <v>71.11206536809334</v>
      </c>
    </row>
    <row r="105" spans="1:20" x14ac:dyDescent="0.45">
      <c r="A105">
        <v>1995</v>
      </c>
      <c r="S105" s="1032">
        <v>68.984777349566869</v>
      </c>
      <c r="T105" s="975">
        <f t="shared" si="12"/>
        <v>72.81618038667655</v>
      </c>
    </row>
    <row r="106" spans="1:20" x14ac:dyDescent="0.45">
      <c r="A106">
        <v>1996</v>
      </c>
      <c r="S106" s="1032">
        <v>71.79332142808326</v>
      </c>
      <c r="T106" s="975">
        <f t="shared" si="12"/>
        <v>75.780710535246584</v>
      </c>
    </row>
    <row r="107" spans="1:20" x14ac:dyDescent="0.45">
      <c r="A107">
        <v>1997</v>
      </c>
      <c r="S107" s="1032">
        <v>73.199246531659867</v>
      </c>
      <c r="T107" s="975">
        <f t="shared" si="12"/>
        <v>77.264720484766755</v>
      </c>
    </row>
    <row r="108" spans="1:20" x14ac:dyDescent="0.45">
      <c r="A108">
        <v>1998</v>
      </c>
      <c r="S108" s="1032">
        <v>74.067850523638725</v>
      </c>
      <c r="T108" s="975">
        <f t="shared" si="12"/>
        <v>78.181566597700069</v>
      </c>
    </row>
    <row r="109" spans="1:20" x14ac:dyDescent="0.45">
      <c r="A109">
        <v>1999</v>
      </c>
      <c r="S109" s="1032">
        <v>74.705025592856671</v>
      </c>
      <c r="T109" s="975">
        <f t="shared" si="12"/>
        <v>78.85413026407187</v>
      </c>
    </row>
    <row r="110" spans="1:20" x14ac:dyDescent="0.45">
      <c r="A110">
        <v>2000</v>
      </c>
      <c r="S110" s="1032">
        <v>76.215011394918548</v>
      </c>
      <c r="T110" s="975">
        <f t="shared" si="12"/>
        <v>80.447980425928606</v>
      </c>
    </row>
    <row r="111" spans="1:20" x14ac:dyDescent="0.45">
      <c r="A111">
        <v>2001</v>
      </c>
      <c r="S111" s="1032">
        <v>76.918351195089087</v>
      </c>
      <c r="T111" s="975">
        <f t="shared" si="12"/>
        <v>81.190383601383203</v>
      </c>
    </row>
    <row r="112" spans="1:20" x14ac:dyDescent="0.45">
      <c r="A112">
        <v>2002</v>
      </c>
      <c r="S112" s="1032">
        <v>78.608570675865636</v>
      </c>
      <c r="T112" s="975">
        <f t="shared" si="12"/>
        <v>82.974477590432997</v>
      </c>
    </row>
    <row r="113" spans="1:20" x14ac:dyDescent="0.45">
      <c r="A113">
        <v>2003</v>
      </c>
      <c r="S113" s="1032">
        <v>80.49723091116887</v>
      </c>
      <c r="T113" s="975">
        <f t="shared" si="12"/>
        <v>84.968033700444082</v>
      </c>
    </row>
    <row r="114" spans="1:20" x14ac:dyDescent="0.45">
      <c r="A114">
        <v>2004</v>
      </c>
      <c r="S114" s="1032">
        <v>82.457222370371682</v>
      </c>
      <c r="T114" s="975">
        <f t="shared" si="12"/>
        <v>87.036882758642179</v>
      </c>
    </row>
    <row r="115" spans="1:20" x14ac:dyDescent="0.45">
      <c r="A115">
        <v>2005</v>
      </c>
      <c r="S115" s="1032">
        <v>84.654244596104746</v>
      </c>
      <c r="T115" s="975">
        <f t="shared" si="12"/>
        <v>89.355927232640482</v>
      </c>
    </row>
    <row r="116" spans="1:20" x14ac:dyDescent="0.45">
      <c r="A116">
        <v>2006</v>
      </c>
      <c r="S116" s="1032">
        <v>87.148342878490524</v>
      </c>
      <c r="T116" s="975">
        <f t="shared" si="12"/>
        <v>91.9885473179678</v>
      </c>
    </row>
    <row r="117" spans="1:20" x14ac:dyDescent="0.45">
      <c r="A117">
        <v>2007</v>
      </c>
      <c r="S117" s="1032">
        <v>89.369152058732183</v>
      </c>
      <c r="T117" s="975">
        <f t="shared" si="12"/>
        <v>94.332699869963818</v>
      </c>
    </row>
    <row r="118" spans="1:20" x14ac:dyDescent="0.45">
      <c r="A118">
        <v>2008</v>
      </c>
      <c r="S118" s="1032">
        <v>91.893092209614082</v>
      </c>
      <c r="T118" s="975">
        <f t="shared" si="12"/>
        <v>96.996819236190134</v>
      </c>
    </row>
    <row r="119" spans="1:20" x14ac:dyDescent="0.45">
      <c r="A119">
        <v>2009</v>
      </c>
      <c r="S119" s="1032">
        <v>93.299451117935035</v>
      </c>
      <c r="T119" s="975">
        <f t="shared" si="12"/>
        <v>98.481287083897868</v>
      </c>
    </row>
    <row r="120" spans="1:20" x14ac:dyDescent="0.45">
      <c r="A120">
        <v>2010</v>
      </c>
      <c r="S120" s="1032">
        <v>94.738253205862009</v>
      </c>
      <c r="T120" s="975">
        <f t="shared" si="12"/>
        <v>100</v>
      </c>
    </row>
    <row r="121" spans="1:20" x14ac:dyDescent="0.45">
      <c r="A121">
        <v>2011</v>
      </c>
      <c r="S121" s="1032">
        <v>96.643795776403408</v>
      </c>
      <c r="T121" s="975">
        <f t="shared" si="12"/>
        <v>102.0113760873348</v>
      </c>
    </row>
    <row r="122" spans="1:20" x14ac:dyDescent="0.45">
      <c r="A122">
        <v>2012</v>
      </c>
      <c r="S122" s="1032">
        <v>98.131278039909972</v>
      </c>
      <c r="T122" s="975">
        <f t="shared" si="12"/>
        <v>103.58147286785527</v>
      </c>
    </row>
    <row r="123" spans="1:20" x14ac:dyDescent="0.45">
      <c r="A123">
        <v>2013</v>
      </c>
      <c r="S123" s="1032">
        <v>100</v>
      </c>
      <c r="T123" s="975">
        <f t="shared" si="12"/>
        <v>105.55398333417068</v>
      </c>
    </row>
    <row r="124" spans="1:20" x14ac:dyDescent="0.45">
      <c r="A124">
        <v>2014</v>
      </c>
      <c r="S124" s="1032">
        <v>101.64553234399122</v>
      </c>
      <c r="T124" s="975">
        <f t="shared" si="12"/>
        <v>107.29090827030556</v>
      </c>
    </row>
    <row r="125" spans="1:20" x14ac:dyDescent="0.45">
      <c r="A125">
        <v>2015</v>
      </c>
      <c r="S125" s="1032">
        <v>102.20463915106438</v>
      </c>
      <c r="T125" s="975">
        <f t="shared" si="12"/>
        <v>107.88106777626379</v>
      </c>
    </row>
    <row r="126" spans="1:20" x14ac:dyDescent="0.45">
      <c r="A126">
        <v>2016</v>
      </c>
      <c r="S126" s="1032">
        <v>103.97912523252261</v>
      </c>
      <c r="T126" s="975">
        <f>S126/S$120*100</f>
        <v>109.75410851895337</v>
      </c>
    </row>
    <row r="127" spans="1:20" x14ac:dyDescent="0.45">
      <c r="A127">
        <v>2017</v>
      </c>
      <c r="S127" s="1032"/>
    </row>
    <row r="128" spans="1:20" x14ac:dyDescent="0.45">
      <c r="A128">
        <v>2018</v>
      </c>
    </row>
    <row r="129" spans="1:1" x14ac:dyDescent="0.45">
      <c r="A129">
        <v>2019</v>
      </c>
    </row>
    <row r="130" spans="1:1" x14ac:dyDescent="0.45">
      <c r="A130">
        <v>2020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5"/>
  <sheetViews>
    <sheetView zoomScaleNormal="100" workbookViewId="0">
      <selection activeCell="H40" sqref="H40"/>
    </sheetView>
  </sheetViews>
  <sheetFormatPr defaultRowHeight="14.25" x14ac:dyDescent="0.45"/>
  <cols>
    <col min="1" max="1" width="26.19921875" customWidth="1"/>
    <col min="2" max="2" width="14.19921875" customWidth="1"/>
    <col min="3" max="3" width="14" customWidth="1"/>
    <col min="5" max="5" width="14.53125" bestFit="1" customWidth="1"/>
  </cols>
  <sheetData>
    <row r="1" spans="1:16" ht="18" x14ac:dyDescent="0.55000000000000004">
      <c r="A1" s="927" t="s">
        <v>1846</v>
      </c>
    </row>
    <row r="3" spans="1:16" ht="15.75" x14ac:dyDescent="0.5">
      <c r="A3" s="1149" t="s">
        <v>987</v>
      </c>
      <c r="B3" s="924"/>
      <c r="C3" s="924"/>
      <c r="D3" s="924"/>
      <c r="E3" s="924"/>
      <c r="F3" s="924"/>
      <c r="G3" s="924"/>
      <c r="H3" s="924"/>
      <c r="I3" s="627"/>
      <c r="J3" s="627"/>
    </row>
    <row r="4" spans="1:16" ht="15.75" x14ac:dyDescent="0.5">
      <c r="A4" s="926"/>
      <c r="B4" s="924"/>
      <c r="C4" s="924"/>
      <c r="D4" s="924"/>
      <c r="E4" s="924"/>
      <c r="F4" s="924"/>
      <c r="G4" s="924"/>
      <c r="H4" s="924"/>
      <c r="I4" s="627"/>
      <c r="J4" s="627"/>
    </row>
    <row r="5" spans="1:16" ht="15.75" x14ac:dyDescent="0.5">
      <c r="A5" s="924" t="s">
        <v>996</v>
      </c>
      <c r="B5" s="924"/>
      <c r="C5" s="924"/>
      <c r="D5" s="924"/>
      <c r="E5" s="924"/>
      <c r="F5" s="924"/>
      <c r="G5" s="924"/>
      <c r="H5" s="924"/>
      <c r="I5" s="627"/>
      <c r="J5" s="627"/>
    </row>
    <row r="6" spans="1:16" ht="15.75" x14ac:dyDescent="0.5">
      <c r="A6" s="924" t="s">
        <v>1009</v>
      </c>
      <c r="B6" s="924"/>
      <c r="C6" s="924"/>
      <c r="D6" s="924"/>
      <c r="E6" s="924"/>
      <c r="F6" s="924"/>
      <c r="G6" s="924"/>
      <c r="H6" s="924"/>
      <c r="I6" s="627"/>
      <c r="J6" s="627"/>
    </row>
    <row r="7" spans="1:16" ht="15.75" x14ac:dyDescent="0.5">
      <c r="H7" s="924"/>
      <c r="I7" s="627"/>
      <c r="J7" s="627"/>
    </row>
    <row r="8" spans="1:16" ht="15.75" x14ac:dyDescent="0.5">
      <c r="A8" s="926" t="s">
        <v>1002</v>
      </c>
      <c r="B8" s="926" t="s">
        <v>1010</v>
      </c>
      <c r="C8" s="926">
        <v>7.5</v>
      </c>
      <c r="D8" s="926" t="s">
        <v>1030</v>
      </c>
      <c r="E8" s="926"/>
      <c r="H8" s="924"/>
      <c r="I8" s="627"/>
      <c r="J8" s="1151"/>
      <c r="K8" s="11"/>
      <c r="L8" s="11"/>
      <c r="M8" s="11"/>
      <c r="N8" s="11"/>
      <c r="O8" s="11"/>
      <c r="P8" s="11"/>
    </row>
    <row r="9" spans="1:16" ht="15.75" x14ac:dyDescent="0.5">
      <c r="A9" s="926"/>
      <c r="B9" s="926" t="s">
        <v>1010</v>
      </c>
      <c r="C9" s="926">
        <v>425</v>
      </c>
      <c r="D9" s="926" t="s">
        <v>1029</v>
      </c>
      <c r="E9" s="926"/>
      <c r="H9" s="924"/>
      <c r="I9" s="627"/>
      <c r="J9" s="1151"/>
      <c r="K9" s="11"/>
      <c r="L9" s="11"/>
      <c r="M9" s="11"/>
      <c r="N9" s="11"/>
      <c r="O9" s="11"/>
      <c r="P9" s="11"/>
    </row>
    <row r="10" spans="1:16" ht="15.75" x14ac:dyDescent="0.5">
      <c r="A10" s="926"/>
      <c r="B10" s="926" t="s">
        <v>1010</v>
      </c>
      <c r="C10" s="926">
        <v>12700</v>
      </c>
      <c r="D10" s="926" t="s">
        <v>1015</v>
      </c>
      <c r="E10" s="926"/>
      <c r="H10" s="924"/>
      <c r="I10" s="627"/>
      <c r="J10" s="1151"/>
      <c r="K10" s="11"/>
      <c r="L10" s="11"/>
      <c r="M10" s="11"/>
      <c r="N10" s="11"/>
      <c r="O10" s="11"/>
      <c r="P10" s="11"/>
    </row>
    <row r="11" spans="1:16" ht="15.75" x14ac:dyDescent="0.5">
      <c r="A11" s="926"/>
      <c r="B11" s="926" t="s">
        <v>1010</v>
      </c>
      <c r="C11" s="926">
        <v>42000</v>
      </c>
      <c r="D11" s="926" t="s">
        <v>1027</v>
      </c>
      <c r="E11" s="926"/>
      <c r="H11" s="924"/>
      <c r="I11" s="627"/>
      <c r="J11" s="1151"/>
      <c r="K11" s="11"/>
      <c r="L11" s="11"/>
      <c r="M11" s="11"/>
      <c r="N11" s="11"/>
      <c r="O11" s="11"/>
      <c r="P11" s="11"/>
    </row>
    <row r="12" spans="1:16" ht="15.75" x14ac:dyDescent="0.5">
      <c r="A12" s="926"/>
      <c r="B12" s="926" t="s">
        <v>1010</v>
      </c>
      <c r="C12" s="926">
        <v>1200</v>
      </c>
      <c r="D12" s="926" t="s">
        <v>1028</v>
      </c>
      <c r="E12" s="926"/>
      <c r="H12" s="924"/>
      <c r="I12" s="627"/>
      <c r="J12" s="11"/>
      <c r="K12" s="11"/>
      <c r="L12" s="11"/>
      <c r="M12" s="11"/>
      <c r="N12" s="11"/>
      <c r="O12" s="11"/>
      <c r="P12" s="11"/>
    </row>
    <row r="13" spans="1:16" ht="15.75" x14ac:dyDescent="0.5">
      <c r="A13" s="926"/>
      <c r="B13" s="926" t="s">
        <v>1010</v>
      </c>
      <c r="C13" s="974">
        <v>41870000</v>
      </c>
      <c r="D13" s="926" t="s">
        <v>1013</v>
      </c>
      <c r="E13" s="1150"/>
      <c r="H13" s="924"/>
      <c r="I13" s="627"/>
      <c r="J13" s="1151"/>
      <c r="K13" s="11"/>
      <c r="L13" s="11"/>
      <c r="M13" s="11"/>
      <c r="N13" s="11"/>
      <c r="O13" s="11"/>
      <c r="P13" s="11"/>
    </row>
    <row r="14" spans="1:16" ht="15.75" x14ac:dyDescent="0.5">
      <c r="A14" s="926"/>
      <c r="B14" s="926" t="s">
        <v>1010</v>
      </c>
      <c r="C14" s="924">
        <v>46.2</v>
      </c>
      <c r="D14" t="s">
        <v>2164</v>
      </c>
      <c r="E14" s="974"/>
      <c r="F14" s="926"/>
      <c r="G14" s="926"/>
      <c r="H14" s="924"/>
      <c r="I14" s="627"/>
      <c r="J14" s="11"/>
      <c r="K14" s="11"/>
      <c r="L14" s="11"/>
      <c r="M14" s="11"/>
      <c r="N14" s="11"/>
      <c r="O14" s="11"/>
      <c r="P14" s="11"/>
    </row>
    <row r="15" spans="1:16" ht="15.75" x14ac:dyDescent="0.5">
      <c r="A15" s="926"/>
      <c r="B15" s="926"/>
      <c r="C15" s="924"/>
      <c r="E15" s="974"/>
      <c r="F15" s="926"/>
      <c r="G15" s="926"/>
      <c r="H15" s="924"/>
      <c r="I15" s="627"/>
      <c r="J15" s="11"/>
      <c r="K15" s="11"/>
      <c r="L15" s="11"/>
      <c r="M15" s="11"/>
      <c r="N15" s="11"/>
      <c r="O15" s="11"/>
      <c r="P15" s="11"/>
    </row>
    <row r="16" spans="1:16" ht="15.75" x14ac:dyDescent="0.5">
      <c r="A16" s="924" t="s">
        <v>997</v>
      </c>
      <c r="B16" s="926" t="s">
        <v>1010</v>
      </c>
      <c r="C16" s="926">
        <v>0.94779999999999998</v>
      </c>
      <c r="D16" s="926" t="s">
        <v>1011</v>
      </c>
      <c r="F16" s="926"/>
      <c r="G16" s="926"/>
      <c r="H16" s="924"/>
      <c r="I16" s="627"/>
    </row>
    <row r="17" spans="1:15" ht="15.75" x14ac:dyDescent="0.5">
      <c r="A17" s="924" t="s">
        <v>998</v>
      </c>
      <c r="B17" s="926" t="s">
        <v>1010</v>
      </c>
      <c r="C17" s="926">
        <v>9478</v>
      </c>
      <c r="D17" s="926" t="s">
        <v>1012</v>
      </c>
      <c r="F17" s="926"/>
      <c r="G17" s="926"/>
      <c r="H17" s="924"/>
      <c r="I17" s="627"/>
    </row>
    <row r="18" spans="1:15" ht="15.75" x14ac:dyDescent="0.5">
      <c r="A18" s="924" t="s">
        <v>999</v>
      </c>
      <c r="B18" s="926" t="s">
        <v>1010</v>
      </c>
      <c r="C18" s="926">
        <v>3600</v>
      </c>
      <c r="D18" s="926" t="s">
        <v>1013</v>
      </c>
      <c r="F18" s="926"/>
      <c r="G18" s="926"/>
      <c r="H18" s="924"/>
      <c r="I18" s="627"/>
    </row>
    <row r="19" spans="1:15" ht="15.75" x14ac:dyDescent="0.5">
      <c r="A19" s="924" t="s">
        <v>1000</v>
      </c>
      <c r="B19" s="926" t="s">
        <v>1010</v>
      </c>
      <c r="C19" s="926">
        <v>8.5999999999999993E-2</v>
      </c>
      <c r="D19" s="926" t="s">
        <v>1014</v>
      </c>
      <c r="F19" s="926"/>
      <c r="G19" s="926"/>
      <c r="H19" s="924"/>
      <c r="I19" s="627"/>
    </row>
    <row r="20" spans="1:15" ht="15.75" x14ac:dyDescent="0.5">
      <c r="A20" s="924" t="s">
        <v>1001</v>
      </c>
      <c r="B20" s="926" t="s">
        <v>1010</v>
      </c>
      <c r="C20" s="926">
        <v>0.58799999999999997</v>
      </c>
      <c r="D20" s="926" t="s">
        <v>1014</v>
      </c>
      <c r="F20" s="926"/>
      <c r="G20" s="926"/>
      <c r="H20" s="924"/>
      <c r="I20" s="627"/>
      <c r="J20" s="627"/>
    </row>
    <row r="21" spans="1:15" ht="15.75" x14ac:dyDescent="0.5">
      <c r="A21" s="924" t="s">
        <v>1202</v>
      </c>
      <c r="B21" s="926" t="s">
        <v>1010</v>
      </c>
      <c r="C21" s="938">
        <f>+'1.4.1 MSFLR'!F228/'1.4.1 MSFLR'!S228</f>
        <v>0.71176077194993803</v>
      </c>
      <c r="D21" s="926" t="s">
        <v>1014</v>
      </c>
      <c r="E21" s="926"/>
      <c r="F21" s="926"/>
      <c r="G21" s="926"/>
      <c r="H21" s="924"/>
      <c r="I21" s="627"/>
      <c r="J21" s="627"/>
    </row>
    <row r="22" spans="1:15" ht="15.75" x14ac:dyDescent="0.5">
      <c r="A22" s="926" t="s">
        <v>1023</v>
      </c>
      <c r="B22" s="926" t="s">
        <v>1010</v>
      </c>
      <c r="C22" s="926">
        <v>18</v>
      </c>
      <c r="D22" s="926" t="s">
        <v>1024</v>
      </c>
      <c r="E22" s="926"/>
      <c r="F22" s="926"/>
      <c r="G22" s="926"/>
      <c r="H22" s="924"/>
      <c r="M22" s="926"/>
      <c r="N22" s="926"/>
      <c r="O22" s="926"/>
    </row>
    <row r="23" spans="1:15" ht="15.75" x14ac:dyDescent="0.5">
      <c r="A23" s="924" t="s">
        <v>1025</v>
      </c>
      <c r="B23" s="926" t="s">
        <v>1010</v>
      </c>
      <c r="C23" s="926">
        <f>C11/C12</f>
        <v>35</v>
      </c>
      <c r="D23" s="926" t="s">
        <v>1026</v>
      </c>
      <c r="E23" s="926"/>
      <c r="F23" s="926"/>
      <c r="G23" s="926"/>
      <c r="H23" s="924"/>
      <c r="M23" s="926"/>
      <c r="N23" s="926"/>
      <c r="O23" s="926"/>
    </row>
    <row r="24" spans="1:15" ht="15.75" x14ac:dyDescent="0.5">
      <c r="A24" s="924" t="s">
        <v>1003</v>
      </c>
      <c r="B24" s="926" t="s">
        <v>1010</v>
      </c>
      <c r="C24" s="926">
        <v>1.1339999999999999</v>
      </c>
      <c r="D24" s="926" t="s">
        <v>1016</v>
      </c>
      <c r="E24" s="926"/>
      <c r="F24" s="926"/>
      <c r="G24" s="926"/>
      <c r="H24" s="924"/>
      <c r="M24" s="926"/>
      <c r="N24" s="926"/>
      <c r="O24" s="926"/>
    </row>
    <row r="25" spans="1:15" ht="15.75" x14ac:dyDescent="0.5">
      <c r="A25" s="924" t="s">
        <v>1004</v>
      </c>
      <c r="B25" s="926" t="s">
        <v>1010</v>
      </c>
      <c r="C25" s="926">
        <v>550</v>
      </c>
      <c r="D25" s="926" t="s">
        <v>1017</v>
      </c>
      <c r="E25" s="926"/>
      <c r="F25" s="926"/>
      <c r="G25" s="926"/>
      <c r="H25" s="924"/>
      <c r="M25" s="926"/>
      <c r="N25" s="926"/>
      <c r="O25" s="926"/>
    </row>
    <row r="26" spans="1:15" ht="15.75" x14ac:dyDescent="0.5">
      <c r="A26" s="924" t="s">
        <v>1005</v>
      </c>
      <c r="B26" s="926" t="s">
        <v>1010</v>
      </c>
      <c r="C26" s="926">
        <v>1000</v>
      </c>
      <c r="D26" s="926" t="s">
        <v>1018</v>
      </c>
      <c r="E26" s="926"/>
      <c r="F26" s="926"/>
      <c r="G26" s="926"/>
      <c r="H26" s="924"/>
      <c r="M26" s="926"/>
      <c r="N26" s="926"/>
      <c r="O26" s="926"/>
    </row>
    <row r="27" spans="1:15" ht="15.75" x14ac:dyDescent="0.5">
      <c r="A27" s="924" t="s">
        <v>1006</v>
      </c>
      <c r="B27" s="926" t="s">
        <v>1010</v>
      </c>
      <c r="C27" s="926">
        <v>1000</v>
      </c>
      <c r="D27" s="926" t="s">
        <v>1019</v>
      </c>
      <c r="E27" s="926"/>
      <c r="F27" s="926"/>
      <c r="G27" s="926"/>
      <c r="H27" s="924"/>
      <c r="I27" s="627"/>
      <c r="J27" s="627"/>
    </row>
    <row r="28" spans="1:15" ht="15.75" x14ac:dyDescent="0.5">
      <c r="A28" s="924" t="s">
        <v>1007</v>
      </c>
      <c r="B28" s="926" t="s">
        <v>1010</v>
      </c>
      <c r="C28" s="926">
        <v>1000</v>
      </c>
      <c r="D28" s="926" t="s">
        <v>1020</v>
      </c>
      <c r="E28" s="926"/>
      <c r="F28" s="926"/>
      <c r="G28" s="926"/>
      <c r="H28" s="924"/>
      <c r="I28" s="627"/>
      <c r="J28" s="627"/>
    </row>
    <row r="29" spans="1:15" ht="15.75" x14ac:dyDescent="0.5">
      <c r="A29" s="924" t="s">
        <v>1008</v>
      </c>
      <c r="B29" s="926" t="s">
        <v>1010</v>
      </c>
      <c r="C29" s="926">
        <v>1000</v>
      </c>
      <c r="D29" s="926" t="s">
        <v>1021</v>
      </c>
      <c r="E29" s="926"/>
      <c r="F29" s="926"/>
      <c r="G29" s="926"/>
      <c r="H29" s="924"/>
      <c r="I29" s="627"/>
      <c r="J29" s="627"/>
    </row>
    <row r="30" spans="1:15" ht="15.75" x14ac:dyDescent="0.5">
      <c r="A30" s="924"/>
      <c r="B30" s="926"/>
      <c r="C30" s="926"/>
      <c r="D30" s="926"/>
      <c r="E30" s="926"/>
      <c r="F30" s="926"/>
      <c r="G30" s="926"/>
      <c r="H30" s="924"/>
      <c r="I30" s="627"/>
      <c r="J30" s="627"/>
    </row>
    <row r="31" spans="1:15" ht="15.75" x14ac:dyDescent="0.5">
      <c r="A31" s="924" t="s">
        <v>2308</v>
      </c>
      <c r="B31" s="926"/>
      <c r="C31" s="926"/>
      <c r="D31" s="926"/>
      <c r="E31" s="926"/>
      <c r="F31" s="926"/>
      <c r="G31" s="926"/>
      <c r="H31" s="924"/>
      <c r="I31" s="627"/>
      <c r="J31" s="627"/>
    </row>
    <row r="32" spans="1:15" ht="15.75" x14ac:dyDescent="0.5">
      <c r="A32" s="924" t="s">
        <v>2185</v>
      </c>
      <c r="B32" s="926">
        <v>27.3</v>
      </c>
      <c r="C32" s="926" t="s">
        <v>2186</v>
      </c>
      <c r="D32" s="926"/>
      <c r="E32" s="926"/>
      <c r="F32" s="926"/>
      <c r="G32" s="926"/>
      <c r="H32" s="924"/>
      <c r="I32" s="627"/>
      <c r="J32" s="627"/>
    </row>
    <row r="33" spans="1:10" ht="15.75" x14ac:dyDescent="0.5">
      <c r="A33" s="924" t="s">
        <v>1852</v>
      </c>
      <c r="B33" s="926">
        <v>43.3</v>
      </c>
      <c r="C33" s="926" t="s">
        <v>2186</v>
      </c>
      <c r="D33" s="926"/>
      <c r="E33" s="926"/>
      <c r="F33" s="926"/>
      <c r="G33" s="926"/>
      <c r="H33" s="924"/>
      <c r="I33" s="627"/>
      <c r="J33" s="627"/>
    </row>
    <row r="34" spans="1:10" ht="15.75" x14ac:dyDescent="0.5">
      <c r="A34" s="627"/>
      <c r="D34" s="926"/>
      <c r="E34" s="926"/>
      <c r="F34" s="926"/>
      <c r="G34" s="926"/>
      <c r="H34" s="924"/>
      <c r="I34" s="627"/>
      <c r="J34" s="627"/>
    </row>
    <row r="36" spans="1:10" ht="15.75" x14ac:dyDescent="0.5">
      <c r="A36" s="1149" t="s">
        <v>1856</v>
      </c>
    </row>
    <row r="37" spans="1:10" x14ac:dyDescent="0.45">
      <c r="A37" t="s">
        <v>2309</v>
      </c>
    </row>
    <row r="38" spans="1:10" x14ac:dyDescent="0.45">
      <c r="A38" s="508" t="s">
        <v>1855</v>
      </c>
    </row>
    <row r="39" spans="1:10" x14ac:dyDescent="0.45">
      <c r="A39" s="972" t="s">
        <v>2311</v>
      </c>
      <c r="C39" s="972" t="s">
        <v>2312</v>
      </c>
    </row>
    <row r="40" spans="1:10" x14ac:dyDescent="0.45">
      <c r="C40" t="s">
        <v>2310</v>
      </c>
    </row>
    <row r="41" spans="1:10" x14ac:dyDescent="0.45">
      <c r="A41" t="s">
        <v>2160</v>
      </c>
      <c r="C41">
        <v>18.2</v>
      </c>
    </row>
    <row r="42" spans="1:10" x14ac:dyDescent="0.45">
      <c r="A42" t="s">
        <v>2161</v>
      </c>
      <c r="C42">
        <v>15</v>
      </c>
    </row>
    <row r="43" spans="1:10" x14ac:dyDescent="0.45">
      <c r="A43" t="s">
        <v>2107</v>
      </c>
      <c r="C43">
        <v>15</v>
      </c>
    </row>
    <row r="44" spans="1:10" x14ac:dyDescent="0.45">
      <c r="A44" t="s">
        <v>2324</v>
      </c>
      <c r="C44">
        <v>10.07</v>
      </c>
    </row>
    <row r="45" spans="1:10" x14ac:dyDescent="0.45">
      <c r="A45" t="s">
        <v>2313</v>
      </c>
      <c r="C45">
        <v>10.89</v>
      </c>
    </row>
    <row r="46" spans="1:10" x14ac:dyDescent="0.45">
      <c r="A46" t="s">
        <v>2159</v>
      </c>
      <c r="C46">
        <v>14.55</v>
      </c>
    </row>
    <row r="47" spans="1:10" x14ac:dyDescent="0.45">
      <c r="A47" t="s">
        <v>2321</v>
      </c>
      <c r="C47">
        <v>14.55</v>
      </c>
    </row>
    <row r="48" spans="1:10" x14ac:dyDescent="0.45">
      <c r="A48" t="s">
        <v>2322</v>
      </c>
      <c r="C48">
        <v>14.55</v>
      </c>
    </row>
    <row r="49" spans="1:3" x14ac:dyDescent="0.45">
      <c r="A49" t="s">
        <v>2323</v>
      </c>
      <c r="C49">
        <v>14.55</v>
      </c>
    </row>
    <row r="50" spans="1:3" x14ac:dyDescent="0.45">
      <c r="A50" t="s">
        <v>179</v>
      </c>
      <c r="C50">
        <v>14.55</v>
      </c>
    </row>
    <row r="51" spans="1:3" x14ac:dyDescent="0.45">
      <c r="A51" t="s">
        <v>1852</v>
      </c>
      <c r="C51">
        <v>17.399999999999999</v>
      </c>
    </row>
    <row r="52" spans="1:3" x14ac:dyDescent="0.45">
      <c r="A52" t="s">
        <v>2314</v>
      </c>
      <c r="C52">
        <v>15</v>
      </c>
    </row>
    <row r="53" spans="1:3" x14ac:dyDescent="0.45">
      <c r="A53" t="s">
        <v>2315</v>
      </c>
      <c r="C53">
        <v>17.399999999999999</v>
      </c>
    </row>
    <row r="54" spans="1:3" x14ac:dyDescent="0.45">
      <c r="A54" t="s">
        <v>2162</v>
      </c>
      <c r="C54">
        <v>8.0399999999999991</v>
      </c>
    </row>
    <row r="55" spans="1:3" x14ac:dyDescent="0.45">
      <c r="A55" t="s">
        <v>2316</v>
      </c>
      <c r="C55">
        <v>19.600000000000001</v>
      </c>
    </row>
    <row r="56" spans="1:3" x14ac:dyDescent="0.45">
      <c r="A56" t="s">
        <v>2317</v>
      </c>
      <c r="C56">
        <v>9.1199999999999992</v>
      </c>
    </row>
    <row r="57" spans="1:3" x14ac:dyDescent="0.45">
      <c r="A57" t="s">
        <v>2318</v>
      </c>
      <c r="C57">
        <v>15</v>
      </c>
    </row>
    <row r="58" spans="1:3" x14ac:dyDescent="0.45">
      <c r="A58" t="s">
        <v>2319</v>
      </c>
      <c r="C58">
        <v>17.399999999999999</v>
      </c>
    </row>
    <row r="59" spans="1:3" x14ac:dyDescent="0.45">
      <c r="A59" t="s">
        <v>1851</v>
      </c>
      <c r="C59">
        <v>14.1</v>
      </c>
    </row>
    <row r="60" spans="1:3" x14ac:dyDescent="0.45">
      <c r="A60" t="s">
        <v>2320</v>
      </c>
      <c r="C60" s="964">
        <v>6.5600606939999997</v>
      </c>
    </row>
    <row r="61" spans="1:3" x14ac:dyDescent="0.45">
      <c r="A61" t="s">
        <v>1850</v>
      </c>
      <c r="C61">
        <v>7.38</v>
      </c>
    </row>
    <row r="62" spans="1:3" x14ac:dyDescent="0.45">
      <c r="A62" t="s">
        <v>1849</v>
      </c>
      <c r="C62">
        <v>18.2</v>
      </c>
    </row>
    <row r="63" spans="1:3" x14ac:dyDescent="0.45">
      <c r="A63" t="s">
        <v>1848</v>
      </c>
      <c r="C63">
        <v>12.2</v>
      </c>
    </row>
    <row r="64" spans="1:3" x14ac:dyDescent="0.45">
      <c r="A64" t="s">
        <v>1847</v>
      </c>
      <c r="C64">
        <v>9.18</v>
      </c>
    </row>
    <row r="65" spans="1:3" x14ac:dyDescent="0.45">
      <c r="A65" t="s">
        <v>2163</v>
      </c>
      <c r="C65">
        <v>9.65</v>
      </c>
    </row>
  </sheetData>
  <hyperlinks>
    <hyperlink ref="A38" r:id="rId1" xr:uid="{00000000-0004-0000-0200-000000000000}"/>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K898"/>
  <sheetViews>
    <sheetView zoomScaleNormal="100" workbookViewId="0">
      <pane xSplit="1" ySplit="9" topLeftCell="B10" activePane="bottomRight" state="frozen"/>
      <selection pane="topRight" activeCell="B1" sqref="B1"/>
      <selection pane="bottomLeft" activeCell="A10" sqref="A10"/>
      <selection pane="bottomRight" activeCell="B2" sqref="B2"/>
    </sheetView>
  </sheetViews>
  <sheetFormatPr defaultColWidth="9.19921875" defaultRowHeight="13.5" x14ac:dyDescent="0.35"/>
  <cols>
    <col min="1" max="4" width="12.46484375" style="1096" customWidth="1"/>
    <col min="5" max="5" width="14.53125" style="1096" customWidth="1"/>
    <col min="6" max="6" width="13" style="1096" customWidth="1"/>
    <col min="7" max="7" width="14.73046875" style="1096" customWidth="1"/>
    <col min="8" max="8" width="14.796875" style="1096" customWidth="1"/>
    <col min="9" max="10" width="14.19921875" style="1096" customWidth="1"/>
    <col min="11" max="12" width="15.46484375" style="1096" customWidth="1"/>
    <col min="13" max="13" width="16.19921875" style="1096" customWidth="1"/>
    <col min="14" max="14" width="16" style="1096" customWidth="1"/>
    <col min="15" max="15" width="14.46484375" style="1096" customWidth="1"/>
    <col min="16" max="16" width="14.73046875" style="1096" customWidth="1"/>
    <col min="17" max="18" width="9.19921875" style="1096"/>
    <col min="19" max="20" width="11.53125" style="1096" bestFit="1" customWidth="1"/>
    <col min="21" max="22" width="10.53125" style="1096" bestFit="1" customWidth="1"/>
    <col min="23" max="24" width="9.53125" style="1096" bestFit="1" customWidth="1"/>
    <col min="25" max="25" width="9.265625" style="1096" bestFit="1" customWidth="1"/>
    <col min="26" max="26" width="10.53125" style="1096" bestFit="1" customWidth="1"/>
    <col min="27" max="30" width="9.19921875" style="1096"/>
    <col min="31" max="31" width="11.46484375" style="1096" customWidth="1"/>
    <col min="32" max="32" width="11.265625" style="1096" customWidth="1"/>
    <col min="33" max="16384" width="9.19921875" style="1096"/>
  </cols>
  <sheetData>
    <row r="1" spans="1:37" ht="17.649999999999999" x14ac:dyDescent="0.5">
      <c r="A1" s="1137" t="s">
        <v>2302</v>
      </c>
      <c r="AE1" s="1138"/>
    </row>
    <row r="2" spans="1:37" ht="15" x14ac:dyDescent="0.4">
      <c r="B2" s="1136" t="s">
        <v>2303</v>
      </c>
    </row>
    <row r="3" spans="1:37" ht="13.9" x14ac:dyDescent="0.4">
      <c r="C3" s="1102" t="s">
        <v>2175</v>
      </c>
      <c r="K3" s="1102" t="s">
        <v>2175</v>
      </c>
      <c r="S3" s="1102" t="s">
        <v>2183</v>
      </c>
      <c r="AE3" s="1102" t="s">
        <v>2184</v>
      </c>
      <c r="AF3" s="1102" t="s">
        <v>2184</v>
      </c>
    </row>
    <row r="4" spans="1:37" ht="13.9" x14ac:dyDescent="0.4">
      <c r="C4" s="1102" t="s">
        <v>178</v>
      </c>
      <c r="D4" s="1102" t="s">
        <v>192</v>
      </c>
      <c r="E4" s="1102" t="s">
        <v>496</v>
      </c>
      <c r="F4" s="1102" t="s">
        <v>2172</v>
      </c>
      <c r="G4" s="1102" t="s">
        <v>2173</v>
      </c>
      <c r="H4" s="1102" t="s">
        <v>211</v>
      </c>
      <c r="I4" s="1102" t="s">
        <v>211</v>
      </c>
      <c r="J4" s="1102"/>
      <c r="K4" s="1102" t="s">
        <v>178</v>
      </c>
      <c r="L4" s="1102" t="s">
        <v>192</v>
      </c>
      <c r="M4" s="1102" t="s">
        <v>496</v>
      </c>
      <c r="N4" s="1102" t="s">
        <v>2172</v>
      </c>
      <c r="O4" s="1102" t="s">
        <v>2173</v>
      </c>
      <c r="P4" s="1102" t="s">
        <v>211</v>
      </c>
      <c r="Q4" s="1102" t="s">
        <v>211</v>
      </c>
      <c r="R4" s="1102"/>
      <c r="S4" s="1102" t="s">
        <v>2168</v>
      </c>
      <c r="T4" s="1102" t="s">
        <v>2177</v>
      </c>
      <c r="U4" s="1102" t="s">
        <v>2178</v>
      </c>
      <c r="V4" s="1102" t="s">
        <v>2179</v>
      </c>
      <c r="W4" s="1102" t="s">
        <v>2180</v>
      </c>
      <c r="X4" s="1102" t="s">
        <v>2181</v>
      </c>
      <c r="Y4" s="1102" t="s">
        <v>2169</v>
      </c>
      <c r="Z4" s="1102" t="s">
        <v>2182</v>
      </c>
      <c r="AA4" s="1102"/>
      <c r="AE4" s="1102" t="s">
        <v>2158</v>
      </c>
      <c r="AF4" s="1102" t="s">
        <v>2158</v>
      </c>
    </row>
    <row r="5" spans="1:37" x14ac:dyDescent="0.35">
      <c r="AE5" s="1096" t="s">
        <v>166</v>
      </c>
      <c r="AF5" s="1096" t="s">
        <v>166</v>
      </c>
      <c r="AG5" s="1096" t="s">
        <v>496</v>
      </c>
      <c r="AH5" s="1096" t="s">
        <v>168</v>
      </c>
      <c r="AI5" s="1096" t="s">
        <v>497</v>
      </c>
    </row>
    <row r="6" spans="1:37" x14ac:dyDescent="0.35">
      <c r="C6" s="1096" t="s">
        <v>2187</v>
      </c>
      <c r="D6" s="1096" t="s">
        <v>2187</v>
      </c>
      <c r="E6" s="1096" t="s">
        <v>2187</v>
      </c>
      <c r="F6" s="1096" t="s">
        <v>2187</v>
      </c>
      <c r="G6" s="1096" t="s">
        <v>2187</v>
      </c>
      <c r="H6" s="1096" t="s">
        <v>2187</v>
      </c>
      <c r="I6" s="1096" t="s">
        <v>2188</v>
      </c>
      <c r="K6" s="1096" t="s">
        <v>2176</v>
      </c>
      <c r="L6" s="1096" t="s">
        <v>2176</v>
      </c>
      <c r="M6" s="1096" t="s">
        <v>2176</v>
      </c>
      <c r="N6" s="1096" t="s">
        <v>2176</v>
      </c>
      <c r="O6" s="1096" t="s">
        <v>2176</v>
      </c>
      <c r="P6" s="1096" t="s">
        <v>2176</v>
      </c>
      <c r="Q6" s="1096" t="s">
        <v>2188</v>
      </c>
      <c r="S6" s="508" t="s">
        <v>2166</v>
      </c>
      <c r="AE6" s="1096" t="s">
        <v>2188</v>
      </c>
    </row>
    <row r="7" spans="1:37" x14ac:dyDescent="0.35">
      <c r="C7" s="508" t="s">
        <v>2174</v>
      </c>
      <c r="K7" s="1024" t="s">
        <v>2174</v>
      </c>
      <c r="S7" s="1096" t="s">
        <v>2167</v>
      </c>
    </row>
    <row r="8" spans="1:37" x14ac:dyDescent="0.35">
      <c r="C8" s="1024" t="s">
        <v>1855</v>
      </c>
      <c r="K8" s="1024" t="s">
        <v>1855</v>
      </c>
      <c r="S8" s="1096" t="s">
        <v>2170</v>
      </c>
      <c r="T8" s="1096" t="s">
        <v>2170</v>
      </c>
      <c r="U8" s="1096" t="s">
        <v>2170</v>
      </c>
      <c r="V8" s="1096" t="s">
        <v>2170</v>
      </c>
      <c r="W8" s="1096" t="s">
        <v>2170</v>
      </c>
      <c r="X8" s="1096" t="s">
        <v>2170</v>
      </c>
      <c r="AF8" s="1096" t="s">
        <v>2170</v>
      </c>
      <c r="AG8" s="1096" t="s">
        <v>2170</v>
      </c>
      <c r="AH8" s="1096" t="s">
        <v>2170</v>
      </c>
      <c r="AI8" s="1096" t="s">
        <v>2170</v>
      </c>
    </row>
    <row r="9" spans="1:37" x14ac:dyDescent="0.35">
      <c r="C9" s="1096" t="s">
        <v>2189</v>
      </c>
      <c r="D9" s="1113">
        <f>44/12</f>
        <v>3.6666666666666665</v>
      </c>
      <c r="S9" s="1096" t="s">
        <v>2165</v>
      </c>
      <c r="AE9" s="1096" t="s">
        <v>2156</v>
      </c>
      <c r="AG9" s="1096">
        <v>41.87</v>
      </c>
      <c r="AH9" s="1096">
        <v>41.87</v>
      </c>
      <c r="AI9" s="1096">
        <v>41.87</v>
      </c>
      <c r="AJ9" s="1096" t="s">
        <v>2157</v>
      </c>
    </row>
    <row r="10" spans="1:37" x14ac:dyDescent="0.35">
      <c r="A10" s="1116">
        <v>1700</v>
      </c>
      <c r="B10" s="1116"/>
      <c r="C10" s="1116"/>
      <c r="D10" s="1116"/>
      <c r="E10" s="1119">
        <f t="shared" ref="E10:E59" si="0">AG10/1000</f>
        <v>1.0616143155990021</v>
      </c>
      <c r="F10" s="1139">
        <f t="shared" ref="F10:F59" si="1">W10/1000</f>
        <v>0</v>
      </c>
      <c r="G10" s="1116"/>
      <c r="H10" s="1139">
        <f t="shared" ref="H10:H59" si="2">SUM(C10:G10)</f>
        <v>1.0616143155990021</v>
      </c>
      <c r="I10" s="1116"/>
      <c r="J10" s="1116"/>
      <c r="K10" s="1116"/>
      <c r="L10" s="1116"/>
      <c r="M10" s="1116"/>
      <c r="N10" s="1116"/>
      <c r="O10" s="1116"/>
      <c r="P10" s="1116"/>
      <c r="Q10" s="1116"/>
      <c r="R10" s="1116"/>
      <c r="S10" s="1116"/>
      <c r="T10" s="1116"/>
      <c r="U10" s="1116"/>
      <c r="V10" s="1116"/>
      <c r="W10" s="1116"/>
      <c r="X10" s="1116"/>
      <c r="Y10" s="1116"/>
      <c r="Z10" s="1116"/>
      <c r="AA10" s="1116"/>
      <c r="AB10" s="1116"/>
      <c r="AC10" s="1116"/>
      <c r="AD10" s="1116"/>
      <c r="AE10" s="1116"/>
      <c r="AF10" s="1140">
        <f t="shared" ref="AF10:AF73" si="3">AG10+AH10+AI10</f>
        <v>1061.6143155990021</v>
      </c>
      <c r="AG10" s="1117">
        <f>'1.1.1 PrimEnLR'!B10*'3.1.1 CO2LR'!$AG$9*Units!$C$47/1000</f>
        <v>1061.6143155990021</v>
      </c>
      <c r="AH10" s="1117">
        <f>'1.1.1 PrimEnLR'!C10*'3.1.1 CO2LR'!$AG$9*Units!$C$47/1000</f>
        <v>0</v>
      </c>
      <c r="AI10" s="1117">
        <f>'1.1.1 PrimEnLR'!D10*Units!$C$14*Units!$C$59/1000</f>
        <v>0</v>
      </c>
      <c r="AJ10" s="1116"/>
      <c r="AK10" s="1116"/>
    </row>
    <row r="11" spans="1:37" x14ac:dyDescent="0.35">
      <c r="A11" s="1116">
        <v>1701</v>
      </c>
      <c r="B11" s="1116"/>
      <c r="C11" s="1116"/>
      <c r="D11" s="1116"/>
      <c r="E11" s="1119">
        <f t="shared" si="0"/>
        <v>1.0753938600802933</v>
      </c>
      <c r="F11" s="1139">
        <f t="shared" si="1"/>
        <v>0</v>
      </c>
      <c r="G11" s="1116"/>
      <c r="H11" s="1139">
        <f t="shared" si="2"/>
        <v>1.0753938600802933</v>
      </c>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40">
        <f t="shared" si="3"/>
        <v>1075.3938600802933</v>
      </c>
      <c r="AG11" s="1117">
        <f>'1.1.1 PrimEnLR'!B11*'3.1.1 CO2LR'!$AG$9*Units!$C$47/1000</f>
        <v>1075.3938600802933</v>
      </c>
      <c r="AH11" s="1117">
        <f>'1.1.1 PrimEnLR'!C11*'3.1.1 CO2LR'!$AG$9*Units!$C$47/1000</f>
        <v>0</v>
      </c>
      <c r="AI11" s="1117">
        <f>'1.1.1 PrimEnLR'!D11*Units!$C$14*Units!$C$59/1000</f>
        <v>0</v>
      </c>
      <c r="AJ11" s="1116"/>
      <c r="AK11" s="1116"/>
    </row>
    <row r="12" spans="1:37" x14ac:dyDescent="0.35">
      <c r="A12" s="1116">
        <v>1702</v>
      </c>
      <c r="B12" s="1116"/>
      <c r="C12" s="1116"/>
      <c r="D12" s="1116"/>
      <c r="E12" s="1119">
        <f t="shared" si="0"/>
        <v>1.098986006835992</v>
      </c>
      <c r="F12" s="1139">
        <f t="shared" si="1"/>
        <v>0</v>
      </c>
      <c r="G12" s="1116"/>
      <c r="H12" s="1139">
        <f t="shared" si="2"/>
        <v>1.098986006835992</v>
      </c>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40">
        <f t="shared" si="3"/>
        <v>1098.9860068359919</v>
      </c>
      <c r="AG12" s="1117">
        <f>'1.1.1 PrimEnLR'!B12*'3.1.1 CO2LR'!$AG$9*Units!$C$47/1000</f>
        <v>1098.9860068359919</v>
      </c>
      <c r="AH12" s="1117">
        <f>'1.1.1 PrimEnLR'!C12*'3.1.1 CO2LR'!$AG$9*Units!$C$47/1000</f>
        <v>0</v>
      </c>
      <c r="AI12" s="1117">
        <f>'1.1.1 PrimEnLR'!D12*Units!$C$14*Units!$C$59/1000</f>
        <v>0</v>
      </c>
      <c r="AJ12" s="1116"/>
      <c r="AK12" s="1116"/>
    </row>
    <row r="13" spans="1:37" x14ac:dyDescent="0.35">
      <c r="A13" s="1116">
        <v>1703</v>
      </c>
      <c r="B13" s="1116"/>
      <c r="C13" s="1116"/>
      <c r="D13" s="1116"/>
      <c r="E13" s="1119">
        <f t="shared" si="0"/>
        <v>1.1185603755146194</v>
      </c>
      <c r="F13" s="1139">
        <f t="shared" si="1"/>
        <v>0</v>
      </c>
      <c r="G13" s="1116"/>
      <c r="H13" s="1139">
        <f t="shared" si="2"/>
        <v>1.1185603755146194</v>
      </c>
      <c r="I13" s="1116"/>
      <c r="J13" s="1116"/>
      <c r="K13" s="1116"/>
      <c r="L13" s="1116"/>
      <c r="M13" s="1116"/>
      <c r="N13" s="1116"/>
      <c r="O13" s="1116"/>
      <c r="P13" s="1116"/>
      <c r="Q13" s="1116"/>
      <c r="R13" s="1116"/>
      <c r="S13" s="1116"/>
      <c r="T13" s="1116"/>
      <c r="U13" s="1116"/>
      <c r="V13" s="1116"/>
      <c r="W13" s="1116"/>
      <c r="X13" s="1116"/>
      <c r="Y13" s="1116"/>
      <c r="Z13" s="1116"/>
      <c r="AA13" s="1116"/>
      <c r="AB13" s="1116"/>
      <c r="AC13" s="1116"/>
      <c r="AD13" s="1116"/>
      <c r="AE13" s="1116"/>
      <c r="AF13" s="1140">
        <f t="shared" si="3"/>
        <v>1118.5603755146194</v>
      </c>
      <c r="AG13" s="1117">
        <f>'1.1.1 PrimEnLR'!B13*'3.1.1 CO2LR'!$AG$9*Units!$C$47/1000</f>
        <v>1118.5603755146194</v>
      </c>
      <c r="AH13" s="1117">
        <f>'1.1.1 PrimEnLR'!C13*'3.1.1 CO2LR'!$AG$9*Units!$C$47/1000</f>
        <v>0</v>
      </c>
      <c r="AI13" s="1117">
        <f>'1.1.1 PrimEnLR'!D13*Units!$C$14*Units!$C$59/1000</f>
        <v>0</v>
      </c>
      <c r="AJ13" s="1116"/>
      <c r="AK13" s="1116"/>
    </row>
    <row r="14" spans="1:37" x14ac:dyDescent="0.35">
      <c r="A14" s="1116">
        <v>1704</v>
      </c>
      <c r="B14" s="1116"/>
      <c r="C14" s="1116"/>
      <c r="D14" s="1116"/>
      <c r="E14" s="1119">
        <f t="shared" si="0"/>
        <v>1.1333886295665507</v>
      </c>
      <c r="F14" s="1139">
        <f t="shared" si="1"/>
        <v>0</v>
      </c>
      <c r="G14" s="1116"/>
      <c r="H14" s="1139">
        <f t="shared" si="2"/>
        <v>1.1333886295665507</v>
      </c>
      <c r="I14" s="1116"/>
      <c r="J14" s="1116"/>
      <c r="K14" s="1116"/>
      <c r="L14" s="1116"/>
      <c r="M14" s="1116"/>
      <c r="N14" s="1116"/>
      <c r="O14" s="1116"/>
      <c r="P14" s="1116"/>
      <c r="Q14" s="1116"/>
      <c r="R14" s="1116"/>
      <c r="S14" s="1116"/>
      <c r="T14" s="1116"/>
      <c r="U14" s="1116"/>
      <c r="V14" s="1116"/>
      <c r="W14" s="1116"/>
      <c r="X14" s="1116"/>
      <c r="Y14" s="1116"/>
      <c r="Z14" s="1116"/>
      <c r="AA14" s="1116"/>
      <c r="AB14" s="1116"/>
      <c r="AC14" s="1116"/>
      <c r="AD14" s="1116"/>
      <c r="AE14" s="1116"/>
      <c r="AF14" s="1140">
        <f t="shared" si="3"/>
        <v>1133.3886295665507</v>
      </c>
      <c r="AG14" s="1117">
        <f>'1.1.1 PrimEnLR'!B14*'3.1.1 CO2LR'!$AG$9*Units!$C$47/1000</f>
        <v>1133.3886295665507</v>
      </c>
      <c r="AH14" s="1117">
        <f>'1.1.1 PrimEnLR'!C14*'3.1.1 CO2LR'!$AG$9*Units!$C$47/1000</f>
        <v>0</v>
      </c>
      <c r="AI14" s="1117">
        <f>'1.1.1 PrimEnLR'!D14*Units!$C$14*Units!$C$59/1000</f>
        <v>0</v>
      </c>
      <c r="AJ14" s="1116"/>
      <c r="AK14" s="1116"/>
    </row>
    <row r="15" spans="1:37" x14ac:dyDescent="0.35">
      <c r="A15" s="1116">
        <v>1705</v>
      </c>
      <c r="B15" s="1116"/>
      <c r="C15" s="1116"/>
      <c r="D15" s="1116"/>
      <c r="E15" s="1119">
        <f t="shared" si="0"/>
        <v>1.1496573932949474</v>
      </c>
      <c r="F15" s="1139">
        <f t="shared" si="1"/>
        <v>0</v>
      </c>
      <c r="G15" s="1116"/>
      <c r="H15" s="1139">
        <f t="shared" si="2"/>
        <v>1.1496573932949474</v>
      </c>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40">
        <f t="shared" si="3"/>
        <v>1149.6573932949475</v>
      </c>
      <c r="AG15" s="1117">
        <f>'1.1.1 PrimEnLR'!B15*'3.1.1 CO2LR'!$AG$9*Units!$C$47/1000</f>
        <v>1149.6573932949475</v>
      </c>
      <c r="AH15" s="1117">
        <f>'1.1.1 PrimEnLR'!C15*'3.1.1 CO2LR'!$AG$9*Units!$C$47/1000</f>
        <v>0</v>
      </c>
      <c r="AI15" s="1117">
        <f>'1.1.1 PrimEnLR'!D15*Units!$C$14*Units!$C$59/1000</f>
        <v>0</v>
      </c>
      <c r="AJ15" s="1116"/>
      <c r="AK15" s="1116"/>
    </row>
    <row r="16" spans="1:37" x14ac:dyDescent="0.35">
      <c r="A16" s="1116">
        <v>1706</v>
      </c>
      <c r="B16" s="1116"/>
      <c r="C16" s="1116"/>
      <c r="D16" s="1116"/>
      <c r="E16" s="1119">
        <f t="shared" si="0"/>
        <v>1.1670022482625773</v>
      </c>
      <c r="F16" s="1139">
        <f t="shared" si="1"/>
        <v>0</v>
      </c>
      <c r="G16" s="1116"/>
      <c r="H16" s="1139">
        <f t="shared" si="2"/>
        <v>1.1670022482625773</v>
      </c>
      <c r="I16" s="1116"/>
      <c r="J16" s="1116"/>
      <c r="K16" s="1116"/>
      <c r="L16" s="1116"/>
      <c r="M16" s="1116"/>
      <c r="N16" s="1116"/>
      <c r="O16" s="1116"/>
      <c r="P16" s="1116"/>
      <c r="Q16" s="1116"/>
      <c r="R16" s="1116"/>
      <c r="S16" s="1116"/>
      <c r="T16" s="1116"/>
      <c r="U16" s="1116"/>
      <c r="V16" s="1116"/>
      <c r="W16" s="1116"/>
      <c r="X16" s="1116"/>
      <c r="Y16" s="1116"/>
      <c r="Z16" s="1116"/>
      <c r="AA16" s="1116"/>
      <c r="AB16" s="1116"/>
      <c r="AC16" s="1116"/>
      <c r="AD16" s="1116"/>
      <c r="AE16" s="1116"/>
      <c r="AF16" s="1140">
        <f t="shared" si="3"/>
        <v>1167.0022482625773</v>
      </c>
      <c r="AG16" s="1117">
        <f>'1.1.1 PrimEnLR'!B16*'3.1.1 CO2LR'!$AG$9*Units!$C$47/1000</f>
        <v>1167.0022482625773</v>
      </c>
      <c r="AH16" s="1117">
        <f>'1.1.1 PrimEnLR'!C16*'3.1.1 CO2LR'!$AG$9*Units!$C$47/1000</f>
        <v>0</v>
      </c>
      <c r="AI16" s="1117">
        <f>'1.1.1 PrimEnLR'!D16*Units!$C$14*Units!$C$59/1000</f>
        <v>0</v>
      </c>
      <c r="AJ16" s="1116"/>
      <c r="AK16" s="1116"/>
    </row>
    <row r="17" spans="1:37" x14ac:dyDescent="0.35">
      <c r="A17" s="1116">
        <v>1707</v>
      </c>
      <c r="B17" s="1116"/>
      <c r="C17" s="1116"/>
      <c r="D17" s="1116"/>
      <c r="E17" s="1119">
        <f t="shared" si="0"/>
        <v>1.1795995709482037</v>
      </c>
      <c r="F17" s="1139">
        <f t="shared" si="1"/>
        <v>0</v>
      </c>
      <c r="G17" s="1116"/>
      <c r="H17" s="1139">
        <f t="shared" si="2"/>
        <v>1.1795995709482037</v>
      </c>
      <c r="I17" s="1116"/>
      <c r="J17" s="1116"/>
      <c r="K17" s="1116"/>
      <c r="L17" s="1116"/>
      <c r="M17" s="1116"/>
      <c r="N17" s="1116"/>
      <c r="O17" s="1116"/>
      <c r="P17" s="1116"/>
      <c r="Q17" s="1116"/>
      <c r="R17" s="1116"/>
      <c r="S17" s="1116"/>
      <c r="T17" s="1116"/>
      <c r="U17" s="1116"/>
      <c r="V17" s="1116"/>
      <c r="W17" s="1116"/>
      <c r="X17" s="1116"/>
      <c r="Y17" s="1116"/>
      <c r="Z17" s="1116"/>
      <c r="AA17" s="1116"/>
      <c r="AB17" s="1116"/>
      <c r="AC17" s="1116"/>
      <c r="AD17" s="1116"/>
      <c r="AE17" s="1116"/>
      <c r="AF17" s="1140">
        <f t="shared" si="3"/>
        <v>1179.5995709482036</v>
      </c>
      <c r="AG17" s="1117">
        <f>'1.1.1 PrimEnLR'!B17*'3.1.1 CO2LR'!$AG$9*Units!$C$47/1000</f>
        <v>1179.5995709482036</v>
      </c>
      <c r="AH17" s="1117">
        <f>'1.1.1 PrimEnLR'!C17*'3.1.1 CO2LR'!$AG$9*Units!$C$47/1000</f>
        <v>0</v>
      </c>
      <c r="AI17" s="1117">
        <f>'1.1.1 PrimEnLR'!D17*Units!$C$14*Units!$C$59/1000</f>
        <v>0</v>
      </c>
      <c r="AJ17" s="1116"/>
      <c r="AK17" s="1116"/>
    </row>
    <row r="18" spans="1:37" x14ac:dyDescent="0.35">
      <c r="A18" s="1116">
        <v>1708</v>
      </c>
      <c r="B18" s="1116"/>
      <c r="C18" s="1116"/>
      <c r="D18" s="1116"/>
      <c r="E18" s="1119">
        <f t="shared" si="0"/>
        <v>1.1947277799046829</v>
      </c>
      <c r="F18" s="1139">
        <f t="shared" si="1"/>
        <v>0</v>
      </c>
      <c r="G18" s="1116"/>
      <c r="H18" s="1139">
        <f t="shared" si="2"/>
        <v>1.1947277799046829</v>
      </c>
      <c r="I18" s="1116"/>
      <c r="J18" s="1116"/>
      <c r="K18" s="1116"/>
      <c r="L18" s="1116"/>
      <c r="M18" s="1116"/>
      <c r="N18" s="1116"/>
      <c r="O18" s="1116"/>
      <c r="P18" s="1116"/>
      <c r="Q18" s="1116"/>
      <c r="R18" s="1116"/>
      <c r="S18" s="1116"/>
      <c r="T18" s="1116"/>
      <c r="U18" s="1116"/>
      <c r="V18" s="1116"/>
      <c r="W18" s="1116"/>
      <c r="X18" s="1116"/>
      <c r="Y18" s="1116"/>
      <c r="Z18" s="1116"/>
      <c r="AA18" s="1116"/>
      <c r="AB18" s="1116"/>
      <c r="AC18" s="1116"/>
      <c r="AD18" s="1116"/>
      <c r="AE18" s="1116"/>
      <c r="AF18" s="1140">
        <f t="shared" si="3"/>
        <v>1194.7277799046828</v>
      </c>
      <c r="AG18" s="1117">
        <f>'1.1.1 PrimEnLR'!B18*'3.1.1 CO2LR'!$AG$9*Units!$C$47/1000</f>
        <v>1194.7277799046828</v>
      </c>
      <c r="AH18" s="1117">
        <f>'1.1.1 PrimEnLR'!C18*'3.1.1 CO2LR'!$AG$9*Units!$C$47/1000</f>
        <v>0</v>
      </c>
      <c r="AI18" s="1117">
        <f>'1.1.1 PrimEnLR'!D18*Units!$C$14*Units!$C$59/1000</f>
        <v>0</v>
      </c>
      <c r="AJ18" s="1116"/>
      <c r="AK18" s="1116"/>
    </row>
    <row r="19" spans="1:37" x14ac:dyDescent="0.35">
      <c r="A19" s="1116">
        <v>1709</v>
      </c>
      <c r="B19" s="1116"/>
      <c r="C19" s="1116"/>
      <c r="D19" s="1116"/>
      <c r="E19" s="1119">
        <f t="shared" si="0"/>
        <v>1.2076550591149264</v>
      </c>
      <c r="F19" s="1139">
        <f t="shared" si="1"/>
        <v>0</v>
      </c>
      <c r="G19" s="1116"/>
      <c r="H19" s="1139">
        <f t="shared" si="2"/>
        <v>1.2076550591149264</v>
      </c>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40">
        <f t="shared" si="3"/>
        <v>1207.6550591149264</v>
      </c>
      <c r="AG19" s="1117">
        <f>'1.1.1 PrimEnLR'!B19*'3.1.1 CO2LR'!$AG$9*Units!$C$47/1000</f>
        <v>1207.6550591149264</v>
      </c>
      <c r="AH19" s="1117">
        <f>'1.1.1 PrimEnLR'!C19*'3.1.1 CO2LR'!$AG$9*Units!$C$47/1000</f>
        <v>0</v>
      </c>
      <c r="AI19" s="1117">
        <f>'1.1.1 PrimEnLR'!D19*Units!$C$14*Units!$C$59/1000</f>
        <v>0</v>
      </c>
      <c r="AJ19" s="1116"/>
      <c r="AK19" s="1116"/>
    </row>
    <row r="20" spans="1:37" x14ac:dyDescent="0.35">
      <c r="A20" s="1116">
        <v>1710</v>
      </c>
      <c r="B20" s="1116"/>
      <c r="C20" s="1116"/>
      <c r="D20" s="1116"/>
      <c r="E20" s="1119">
        <f t="shared" si="0"/>
        <v>1.2256597955951345</v>
      </c>
      <c r="F20" s="1139">
        <f t="shared" si="1"/>
        <v>0</v>
      </c>
      <c r="G20" s="1116"/>
      <c r="H20" s="1139">
        <f t="shared" si="2"/>
        <v>1.2256597955951345</v>
      </c>
      <c r="I20" s="1116"/>
      <c r="J20" s="1116"/>
      <c r="K20" s="1116"/>
      <c r="L20" s="1116"/>
      <c r="M20" s="1116"/>
      <c r="N20" s="1116"/>
      <c r="O20" s="1116"/>
      <c r="P20" s="1116"/>
      <c r="Q20" s="1116"/>
      <c r="R20" s="1116"/>
      <c r="S20" s="1116"/>
      <c r="T20" s="1116"/>
      <c r="U20" s="1116"/>
      <c r="V20" s="1116"/>
      <c r="W20" s="1116"/>
      <c r="X20" s="1116"/>
      <c r="Y20" s="1116"/>
      <c r="Z20" s="1116"/>
      <c r="AA20" s="1116"/>
      <c r="AB20" s="1116"/>
      <c r="AC20" s="1116"/>
      <c r="AD20" s="1116"/>
      <c r="AE20" s="1116"/>
      <c r="AF20" s="1140">
        <f t="shared" si="3"/>
        <v>1225.6597955951345</v>
      </c>
      <c r="AG20" s="1117">
        <f>'1.1.1 PrimEnLR'!B20*'3.1.1 CO2LR'!$AG$9*Units!$C$47/1000</f>
        <v>1225.6597955951345</v>
      </c>
      <c r="AH20" s="1117">
        <f>'1.1.1 PrimEnLR'!C20*'3.1.1 CO2LR'!$AG$9*Units!$C$47/1000</f>
        <v>0</v>
      </c>
      <c r="AI20" s="1117">
        <f>'1.1.1 PrimEnLR'!D20*Units!$C$14*Units!$C$59/1000</f>
        <v>0</v>
      </c>
      <c r="AJ20" s="1116"/>
      <c r="AK20" s="1116"/>
    </row>
    <row r="21" spans="1:37" x14ac:dyDescent="0.35">
      <c r="A21" s="1116">
        <v>1711</v>
      </c>
      <c r="B21" s="1116"/>
      <c r="C21" s="1116"/>
      <c r="D21" s="1116"/>
      <c r="E21" s="1119">
        <f t="shared" si="0"/>
        <v>1.2407346265320895</v>
      </c>
      <c r="F21" s="1139">
        <f t="shared" si="1"/>
        <v>0</v>
      </c>
      <c r="G21" s="1116"/>
      <c r="H21" s="1139">
        <f t="shared" si="2"/>
        <v>1.2407346265320895</v>
      </c>
      <c r="I21" s="1116"/>
      <c r="J21" s="1116"/>
      <c r="K21" s="1116"/>
      <c r="L21" s="1116"/>
      <c r="M21" s="1116"/>
      <c r="N21" s="1116"/>
      <c r="O21" s="1116"/>
      <c r="P21" s="1116"/>
      <c r="Q21" s="1116"/>
      <c r="R21" s="1116"/>
      <c r="S21" s="1116"/>
      <c r="T21" s="1116"/>
      <c r="U21" s="1116"/>
      <c r="V21" s="1116"/>
      <c r="W21" s="1116"/>
      <c r="X21" s="1116"/>
      <c r="Y21" s="1116"/>
      <c r="Z21" s="1116"/>
      <c r="AA21" s="1116"/>
      <c r="AB21" s="1116"/>
      <c r="AC21" s="1116"/>
      <c r="AD21" s="1116"/>
      <c r="AE21" s="1116"/>
      <c r="AF21" s="1140">
        <f t="shared" si="3"/>
        <v>1240.7346265320896</v>
      </c>
      <c r="AG21" s="1117">
        <f>'1.1.1 PrimEnLR'!B21*'3.1.1 CO2LR'!$AG$9*Units!$C$47/1000</f>
        <v>1240.7346265320896</v>
      </c>
      <c r="AH21" s="1117">
        <f>'1.1.1 PrimEnLR'!C21*'3.1.1 CO2LR'!$AG$9*Units!$C$47/1000</f>
        <v>0</v>
      </c>
      <c r="AI21" s="1117">
        <f>'1.1.1 PrimEnLR'!D21*Units!$C$14*Units!$C$59/1000</f>
        <v>0</v>
      </c>
      <c r="AJ21" s="1116"/>
      <c r="AK21" s="1116"/>
    </row>
    <row r="22" spans="1:37" x14ac:dyDescent="0.35">
      <c r="A22" s="1116">
        <v>1712</v>
      </c>
      <c r="B22" s="1116"/>
      <c r="C22" s="1116"/>
      <c r="D22" s="1116"/>
      <c r="E22" s="1119">
        <f t="shared" si="0"/>
        <v>1.244872172098594</v>
      </c>
      <c r="F22" s="1139">
        <f t="shared" si="1"/>
        <v>0</v>
      </c>
      <c r="G22" s="1116"/>
      <c r="H22" s="1139">
        <f t="shared" si="2"/>
        <v>1.244872172098594</v>
      </c>
      <c r="I22" s="1116"/>
      <c r="J22" s="1116"/>
      <c r="K22" s="1116"/>
      <c r="L22" s="1116"/>
      <c r="M22" s="1116"/>
      <c r="N22" s="1116"/>
      <c r="O22" s="1116"/>
      <c r="P22" s="1116"/>
      <c r="Q22" s="1116"/>
      <c r="R22" s="1116"/>
      <c r="S22" s="1116"/>
      <c r="T22" s="1116"/>
      <c r="U22" s="1116"/>
      <c r="V22" s="1116"/>
      <c r="W22" s="1116"/>
      <c r="X22" s="1116"/>
      <c r="Y22" s="1116"/>
      <c r="Z22" s="1116"/>
      <c r="AA22" s="1116"/>
      <c r="AB22" s="1116"/>
      <c r="AC22" s="1116"/>
      <c r="AD22" s="1116"/>
      <c r="AE22" s="1116"/>
      <c r="AF22" s="1140">
        <f t="shared" si="3"/>
        <v>1244.8721720985941</v>
      </c>
      <c r="AG22" s="1117">
        <f>'1.1.1 PrimEnLR'!B22*'3.1.1 CO2LR'!$AG$9*Units!$C$47/1000</f>
        <v>1244.8721720985941</v>
      </c>
      <c r="AH22" s="1117">
        <f>'1.1.1 PrimEnLR'!C22*'3.1.1 CO2LR'!$AG$9*Units!$C$47/1000</f>
        <v>0</v>
      </c>
      <c r="AI22" s="1117">
        <f>'1.1.1 PrimEnLR'!D22*Units!$C$14*Units!$C$59/1000</f>
        <v>0</v>
      </c>
      <c r="AJ22" s="1116"/>
      <c r="AK22" s="1116"/>
    </row>
    <row r="23" spans="1:37" x14ac:dyDescent="0.35">
      <c r="A23" s="1116">
        <v>1713</v>
      </c>
      <c r="B23" s="1116"/>
      <c r="C23" s="1116"/>
      <c r="D23" s="1116"/>
      <c r="E23" s="1119">
        <f t="shared" si="0"/>
        <v>1.2679154222103339</v>
      </c>
      <c r="F23" s="1139">
        <f t="shared" si="1"/>
        <v>0</v>
      </c>
      <c r="G23" s="1116"/>
      <c r="H23" s="1139">
        <f t="shared" si="2"/>
        <v>1.2679154222103339</v>
      </c>
      <c r="I23" s="1116"/>
      <c r="J23" s="1116"/>
      <c r="K23" s="1116"/>
      <c r="L23" s="1116"/>
      <c r="M23" s="1116"/>
      <c r="N23" s="1116"/>
      <c r="O23" s="1116"/>
      <c r="P23" s="1116"/>
      <c r="Q23" s="1116"/>
      <c r="R23" s="1116"/>
      <c r="S23" s="1116"/>
      <c r="T23" s="1116"/>
      <c r="U23" s="1116"/>
      <c r="V23" s="1116"/>
      <c r="W23" s="1116"/>
      <c r="X23" s="1116"/>
      <c r="Y23" s="1116"/>
      <c r="Z23" s="1116"/>
      <c r="AA23" s="1116"/>
      <c r="AB23" s="1116"/>
      <c r="AC23" s="1116"/>
      <c r="AD23" s="1116"/>
      <c r="AE23" s="1116"/>
      <c r="AF23" s="1140">
        <f t="shared" si="3"/>
        <v>1267.9154222103339</v>
      </c>
      <c r="AG23" s="1117">
        <f>'1.1.1 PrimEnLR'!B23*'3.1.1 CO2LR'!$AG$9*Units!$C$47/1000</f>
        <v>1267.9154222103339</v>
      </c>
      <c r="AH23" s="1117">
        <f>'1.1.1 PrimEnLR'!C23*'3.1.1 CO2LR'!$AG$9*Units!$C$47/1000</f>
        <v>0</v>
      </c>
      <c r="AI23" s="1117">
        <f>'1.1.1 PrimEnLR'!D23*Units!$C$14*Units!$C$59/1000</f>
        <v>0</v>
      </c>
      <c r="AJ23" s="1116"/>
      <c r="AK23" s="1116"/>
    </row>
    <row r="24" spans="1:37" x14ac:dyDescent="0.35">
      <c r="A24" s="1116">
        <v>1714</v>
      </c>
      <c r="B24" s="1116"/>
      <c r="C24" s="1116"/>
      <c r="D24" s="1116"/>
      <c r="E24" s="1119">
        <f t="shared" si="0"/>
        <v>1.2760167931759301</v>
      </c>
      <c r="F24" s="1139">
        <f t="shared" si="1"/>
        <v>0</v>
      </c>
      <c r="G24" s="1116"/>
      <c r="H24" s="1139">
        <f t="shared" si="2"/>
        <v>1.2760167931759301</v>
      </c>
      <c r="I24" s="1116"/>
      <c r="J24" s="1116"/>
      <c r="K24" s="1116"/>
      <c r="L24" s="1116"/>
      <c r="M24" s="1116"/>
      <c r="N24" s="1116"/>
      <c r="O24" s="1116"/>
      <c r="P24" s="1116"/>
      <c r="Q24" s="1116"/>
      <c r="R24" s="1116"/>
      <c r="S24" s="1116"/>
      <c r="T24" s="1116"/>
      <c r="U24" s="1116"/>
      <c r="V24" s="1116"/>
      <c r="W24" s="1116"/>
      <c r="X24" s="1116"/>
      <c r="Y24" s="1116"/>
      <c r="Z24" s="1116"/>
      <c r="AA24" s="1116"/>
      <c r="AB24" s="1116"/>
      <c r="AC24" s="1116"/>
      <c r="AD24" s="1116"/>
      <c r="AE24" s="1116"/>
      <c r="AF24" s="1140">
        <f t="shared" si="3"/>
        <v>1276.0167931759302</v>
      </c>
      <c r="AG24" s="1117">
        <f>'1.1.1 PrimEnLR'!B24*'3.1.1 CO2LR'!$AG$9*Units!$C$47/1000</f>
        <v>1276.0167931759302</v>
      </c>
      <c r="AH24" s="1117">
        <f>'1.1.1 PrimEnLR'!C24*'3.1.1 CO2LR'!$AG$9*Units!$C$47/1000</f>
        <v>0</v>
      </c>
      <c r="AI24" s="1117">
        <f>'1.1.1 PrimEnLR'!D24*Units!$C$14*Units!$C$59/1000</f>
        <v>0</v>
      </c>
      <c r="AJ24" s="1116"/>
      <c r="AK24" s="1116"/>
    </row>
    <row r="25" spans="1:37" x14ac:dyDescent="0.35">
      <c r="A25" s="1116">
        <v>1715</v>
      </c>
      <c r="B25" s="1116"/>
      <c r="C25" s="1116"/>
      <c r="D25" s="1116"/>
      <c r="E25" s="1119">
        <f t="shared" si="0"/>
        <v>1.2939239937445266</v>
      </c>
      <c r="F25" s="1139">
        <f t="shared" si="1"/>
        <v>0</v>
      </c>
      <c r="G25" s="1116"/>
      <c r="H25" s="1139">
        <f t="shared" si="2"/>
        <v>1.2939239937445266</v>
      </c>
      <c r="I25" s="1116"/>
      <c r="J25" s="1116"/>
      <c r="K25" s="1116"/>
      <c r="L25" s="1116"/>
      <c r="M25" s="1116"/>
      <c r="N25" s="1116"/>
      <c r="O25" s="1116"/>
      <c r="P25" s="1116"/>
      <c r="Q25" s="1116"/>
      <c r="R25" s="1116"/>
      <c r="S25" s="1116"/>
      <c r="T25" s="1116"/>
      <c r="U25" s="1116"/>
      <c r="V25" s="1116"/>
      <c r="W25" s="1116"/>
      <c r="X25" s="1116"/>
      <c r="Y25" s="1116"/>
      <c r="Z25" s="1116"/>
      <c r="AA25" s="1116"/>
      <c r="AB25" s="1116"/>
      <c r="AC25" s="1116"/>
      <c r="AD25" s="1116"/>
      <c r="AE25" s="1116"/>
      <c r="AF25" s="1140">
        <f t="shared" si="3"/>
        <v>1293.9239937445266</v>
      </c>
      <c r="AG25" s="1117">
        <f>'1.1.1 PrimEnLR'!B25*'3.1.1 CO2LR'!$AG$9*Units!$C$47/1000</f>
        <v>1293.9239937445266</v>
      </c>
      <c r="AH25" s="1117">
        <f>'1.1.1 PrimEnLR'!C25*'3.1.1 CO2LR'!$AG$9*Units!$C$47/1000</f>
        <v>0</v>
      </c>
      <c r="AI25" s="1117">
        <f>'1.1.1 PrimEnLR'!D25*Units!$C$14*Units!$C$59/1000</f>
        <v>0</v>
      </c>
      <c r="AJ25" s="1116"/>
      <c r="AK25" s="1116"/>
    </row>
    <row r="26" spans="1:37" x14ac:dyDescent="0.35">
      <c r="A26" s="1116">
        <v>1716</v>
      </c>
      <c r="B26" s="1116"/>
      <c r="C26" s="1116"/>
      <c r="D26" s="1116"/>
      <c r="E26" s="1119">
        <f t="shared" si="0"/>
        <v>1.3092622182268521</v>
      </c>
      <c r="F26" s="1139">
        <f t="shared" si="1"/>
        <v>0</v>
      </c>
      <c r="G26" s="1116"/>
      <c r="H26" s="1139">
        <f t="shared" si="2"/>
        <v>1.3092622182268521</v>
      </c>
      <c r="I26" s="1116"/>
      <c r="J26" s="1116"/>
      <c r="K26" s="1116"/>
      <c r="L26" s="1116"/>
      <c r="M26" s="1116"/>
      <c r="N26" s="1116"/>
      <c r="O26" s="1116"/>
      <c r="P26" s="1116"/>
      <c r="Q26" s="1116"/>
      <c r="R26" s="1116"/>
      <c r="S26" s="1116"/>
      <c r="T26" s="1116"/>
      <c r="U26" s="1116"/>
      <c r="V26" s="1116"/>
      <c r="W26" s="1116"/>
      <c r="X26" s="1116"/>
      <c r="Y26" s="1116"/>
      <c r="Z26" s="1116"/>
      <c r="AA26" s="1116"/>
      <c r="AB26" s="1116"/>
      <c r="AC26" s="1116"/>
      <c r="AD26" s="1116"/>
      <c r="AE26" s="1116"/>
      <c r="AF26" s="1140">
        <f t="shared" si="3"/>
        <v>1309.2622182268522</v>
      </c>
      <c r="AG26" s="1117">
        <f>'1.1.1 PrimEnLR'!B26*'3.1.1 CO2LR'!$AG$9*Units!$C$47/1000</f>
        <v>1309.2622182268522</v>
      </c>
      <c r="AH26" s="1117">
        <f>'1.1.1 PrimEnLR'!C26*'3.1.1 CO2LR'!$AG$9*Units!$C$47/1000</f>
        <v>0</v>
      </c>
      <c r="AI26" s="1117">
        <f>'1.1.1 PrimEnLR'!D26*Units!$C$14*Units!$C$59/1000</f>
        <v>0</v>
      </c>
      <c r="AJ26" s="1116"/>
      <c r="AK26" s="1116"/>
    </row>
    <row r="27" spans="1:37" x14ac:dyDescent="0.35">
      <c r="A27" s="1116">
        <v>1717</v>
      </c>
      <c r="B27" s="1116"/>
      <c r="C27" s="1116"/>
      <c r="D27" s="1116"/>
      <c r="E27" s="1119">
        <f t="shared" si="0"/>
        <v>1.3300376188885794</v>
      </c>
      <c r="F27" s="1139">
        <f t="shared" si="1"/>
        <v>0</v>
      </c>
      <c r="G27" s="1116"/>
      <c r="H27" s="1139">
        <f t="shared" si="2"/>
        <v>1.3300376188885794</v>
      </c>
      <c r="I27" s="1116"/>
      <c r="J27" s="1116"/>
      <c r="K27" s="1116"/>
      <c r="L27" s="1116"/>
      <c r="M27" s="1116"/>
      <c r="N27" s="1116"/>
      <c r="O27" s="1116"/>
      <c r="P27" s="1116"/>
      <c r="Q27" s="1116"/>
      <c r="R27" s="1116"/>
      <c r="S27" s="1116"/>
      <c r="T27" s="1116"/>
      <c r="U27" s="1116"/>
      <c r="V27" s="1116"/>
      <c r="W27" s="1116"/>
      <c r="X27" s="1116"/>
      <c r="Y27" s="1116"/>
      <c r="Z27" s="1116"/>
      <c r="AA27" s="1116"/>
      <c r="AB27" s="1116"/>
      <c r="AC27" s="1116"/>
      <c r="AD27" s="1116"/>
      <c r="AE27" s="1116"/>
      <c r="AF27" s="1140">
        <f t="shared" si="3"/>
        <v>1330.0376188885793</v>
      </c>
      <c r="AG27" s="1117">
        <f>'1.1.1 PrimEnLR'!B27*'3.1.1 CO2LR'!$AG$9*Units!$C$47/1000</f>
        <v>1330.0376188885793</v>
      </c>
      <c r="AH27" s="1117">
        <f>'1.1.1 PrimEnLR'!C27*'3.1.1 CO2LR'!$AG$9*Units!$C$47/1000</f>
        <v>0</v>
      </c>
      <c r="AI27" s="1117">
        <f>'1.1.1 PrimEnLR'!D27*Units!$C$14*Units!$C$59/1000</f>
        <v>0</v>
      </c>
      <c r="AJ27" s="1116"/>
      <c r="AK27" s="1116"/>
    </row>
    <row r="28" spans="1:37" x14ac:dyDescent="0.35">
      <c r="A28" s="1116">
        <v>1718</v>
      </c>
      <c r="B28" s="1116"/>
      <c r="C28" s="1116"/>
      <c r="D28" s="1116"/>
      <c r="E28" s="1119">
        <f t="shared" si="0"/>
        <v>1.3431474577388036</v>
      </c>
      <c r="F28" s="1139">
        <f t="shared" si="1"/>
        <v>0</v>
      </c>
      <c r="G28" s="1116"/>
      <c r="H28" s="1139">
        <f t="shared" si="2"/>
        <v>1.3431474577388036</v>
      </c>
      <c r="I28" s="1116"/>
      <c r="J28" s="1116"/>
      <c r="K28" s="1116"/>
      <c r="L28" s="1116"/>
      <c r="M28" s="1116"/>
      <c r="N28" s="1116"/>
      <c r="O28" s="1116"/>
      <c r="P28" s="1116"/>
      <c r="Q28" s="1116"/>
      <c r="R28" s="1116"/>
      <c r="S28" s="1116"/>
      <c r="T28" s="1116"/>
      <c r="U28" s="1116"/>
      <c r="V28" s="1116"/>
      <c r="W28" s="1116"/>
      <c r="X28" s="1116"/>
      <c r="Y28" s="1116"/>
      <c r="Z28" s="1116"/>
      <c r="AA28" s="1116"/>
      <c r="AB28" s="1116"/>
      <c r="AC28" s="1116"/>
      <c r="AD28" s="1116"/>
      <c r="AE28" s="1116"/>
      <c r="AF28" s="1140">
        <f t="shared" si="3"/>
        <v>1343.1474577388037</v>
      </c>
      <c r="AG28" s="1117">
        <f>'1.1.1 PrimEnLR'!B28*'3.1.1 CO2LR'!$AG$9*Units!$C$47/1000</f>
        <v>1343.1474577388037</v>
      </c>
      <c r="AH28" s="1117">
        <f>'1.1.1 PrimEnLR'!C28*'3.1.1 CO2LR'!$AG$9*Units!$C$47/1000</f>
        <v>0</v>
      </c>
      <c r="AI28" s="1117">
        <f>'1.1.1 PrimEnLR'!D28*Units!$C$14*Units!$C$59/1000</f>
        <v>0</v>
      </c>
      <c r="AJ28" s="1116"/>
      <c r="AK28" s="1116"/>
    </row>
    <row r="29" spans="1:37" x14ac:dyDescent="0.35">
      <c r="A29" s="1116">
        <v>1719</v>
      </c>
      <c r="B29" s="1116"/>
      <c r="C29" s="1116"/>
      <c r="D29" s="1116"/>
      <c r="E29" s="1119">
        <f t="shared" si="0"/>
        <v>1.3562338995286403</v>
      </c>
      <c r="F29" s="1139">
        <f t="shared" si="1"/>
        <v>0</v>
      </c>
      <c r="G29" s="1116"/>
      <c r="H29" s="1139">
        <f t="shared" si="2"/>
        <v>1.3562338995286403</v>
      </c>
      <c r="I29" s="1116"/>
      <c r="J29" s="1116"/>
      <c r="K29" s="1116"/>
      <c r="L29" s="1116"/>
      <c r="M29" s="1116"/>
      <c r="N29" s="1116"/>
      <c r="O29" s="1116"/>
      <c r="P29" s="1116"/>
      <c r="Q29" s="1116"/>
      <c r="R29" s="1116"/>
      <c r="S29" s="1116"/>
      <c r="T29" s="1116"/>
      <c r="U29" s="1116"/>
      <c r="V29" s="1116"/>
      <c r="W29" s="1116"/>
      <c r="X29" s="1116"/>
      <c r="Y29" s="1116"/>
      <c r="Z29" s="1116"/>
      <c r="AA29" s="1116"/>
      <c r="AB29" s="1116"/>
      <c r="AC29" s="1116"/>
      <c r="AD29" s="1116"/>
      <c r="AE29" s="1116"/>
      <c r="AF29" s="1140">
        <f t="shared" si="3"/>
        <v>1356.2338995286402</v>
      </c>
      <c r="AG29" s="1117">
        <f>'1.1.1 PrimEnLR'!B29*'3.1.1 CO2LR'!$AG$9*Units!$C$47/1000</f>
        <v>1356.2338995286402</v>
      </c>
      <c r="AH29" s="1117">
        <f>'1.1.1 PrimEnLR'!C29*'3.1.1 CO2LR'!$AG$9*Units!$C$47/1000</f>
        <v>0</v>
      </c>
      <c r="AI29" s="1117">
        <f>'1.1.1 PrimEnLR'!D29*Units!$C$14*Units!$C$59/1000</f>
        <v>0</v>
      </c>
      <c r="AJ29" s="1116"/>
      <c r="AK29" s="1116"/>
    </row>
    <row r="30" spans="1:37" x14ac:dyDescent="0.35">
      <c r="A30" s="1116">
        <v>1720</v>
      </c>
      <c r="B30" s="1116"/>
      <c r="C30" s="1116"/>
      <c r="D30" s="1116"/>
      <c r="E30" s="1119">
        <f t="shared" si="0"/>
        <v>1.3762111952374578</v>
      </c>
      <c r="F30" s="1139">
        <f t="shared" si="1"/>
        <v>0</v>
      </c>
      <c r="G30" s="1116"/>
      <c r="H30" s="1139">
        <f t="shared" si="2"/>
        <v>1.3762111952374578</v>
      </c>
      <c r="I30" s="1116"/>
      <c r="J30" s="1116"/>
      <c r="K30" s="1116"/>
      <c r="L30" s="1116"/>
      <c r="M30" s="1116"/>
      <c r="N30" s="1116"/>
      <c r="O30" s="1116"/>
      <c r="P30" s="1116"/>
      <c r="Q30" s="1116"/>
      <c r="R30" s="1116"/>
      <c r="S30" s="1116"/>
      <c r="T30" s="1116"/>
      <c r="U30" s="1116"/>
      <c r="V30" s="1116"/>
      <c r="W30" s="1116"/>
      <c r="X30" s="1116"/>
      <c r="Y30" s="1116"/>
      <c r="Z30" s="1116"/>
      <c r="AA30" s="1116"/>
      <c r="AB30" s="1116"/>
      <c r="AC30" s="1116"/>
      <c r="AD30" s="1116"/>
      <c r="AE30" s="1116"/>
      <c r="AF30" s="1140">
        <f t="shared" si="3"/>
        <v>1376.2111952374578</v>
      </c>
      <c r="AG30" s="1117">
        <f>'1.1.1 PrimEnLR'!B30*'3.1.1 CO2LR'!$AG$9*Units!$C$47/1000</f>
        <v>1376.2111952374578</v>
      </c>
      <c r="AH30" s="1117">
        <f>'1.1.1 PrimEnLR'!C30*'3.1.1 CO2LR'!$AG$9*Units!$C$47/1000</f>
        <v>0</v>
      </c>
      <c r="AI30" s="1117">
        <f>'1.1.1 PrimEnLR'!D30*Units!$C$14*Units!$C$59/1000</f>
        <v>0</v>
      </c>
      <c r="AJ30" s="1116"/>
      <c r="AK30" s="1116"/>
    </row>
    <row r="31" spans="1:37" x14ac:dyDescent="0.35">
      <c r="A31" s="1116">
        <v>1721</v>
      </c>
      <c r="B31" s="1116"/>
      <c r="C31" s="1116"/>
      <c r="D31" s="1116"/>
      <c r="E31" s="1119">
        <f t="shared" si="0"/>
        <v>1.387792865538962</v>
      </c>
      <c r="F31" s="1139">
        <f t="shared" si="1"/>
        <v>0</v>
      </c>
      <c r="G31" s="1116"/>
      <c r="H31" s="1139">
        <f t="shared" si="2"/>
        <v>1.387792865538962</v>
      </c>
      <c r="I31" s="1116"/>
      <c r="J31" s="1116"/>
      <c r="K31" s="1116"/>
      <c r="L31" s="1116"/>
      <c r="M31" s="1116"/>
      <c r="N31" s="1116"/>
      <c r="O31" s="1116"/>
      <c r="P31" s="1116"/>
      <c r="Q31" s="1116"/>
      <c r="R31" s="1116"/>
      <c r="S31" s="1116"/>
      <c r="T31" s="1116"/>
      <c r="U31" s="1116"/>
      <c r="V31" s="1116"/>
      <c r="W31" s="1116"/>
      <c r="X31" s="1116"/>
      <c r="Y31" s="1116"/>
      <c r="Z31" s="1116"/>
      <c r="AA31" s="1116"/>
      <c r="AB31" s="1116"/>
      <c r="AC31" s="1116"/>
      <c r="AD31" s="1116"/>
      <c r="AE31" s="1116"/>
      <c r="AF31" s="1140">
        <f t="shared" si="3"/>
        <v>1387.7928655389619</v>
      </c>
      <c r="AG31" s="1117">
        <f>'1.1.1 PrimEnLR'!B31*'3.1.1 CO2LR'!$AG$9*Units!$C$47/1000</f>
        <v>1387.7928655389619</v>
      </c>
      <c r="AH31" s="1117">
        <f>'1.1.1 PrimEnLR'!C31*'3.1.1 CO2LR'!$AG$9*Units!$C$47/1000</f>
        <v>0</v>
      </c>
      <c r="AI31" s="1117">
        <f>'1.1.1 PrimEnLR'!D31*Units!$C$14*Units!$C$59/1000</f>
        <v>0</v>
      </c>
      <c r="AJ31" s="1116"/>
      <c r="AK31" s="1116"/>
    </row>
    <row r="32" spans="1:37" x14ac:dyDescent="0.35">
      <c r="A32" s="1116">
        <v>1722</v>
      </c>
      <c r="B32" s="1116"/>
      <c r="C32" s="1116"/>
      <c r="D32" s="1116"/>
      <c r="E32" s="1119">
        <f t="shared" si="0"/>
        <v>1.4033523064338496</v>
      </c>
      <c r="F32" s="1139">
        <f t="shared" si="1"/>
        <v>0</v>
      </c>
      <c r="G32" s="1116"/>
      <c r="H32" s="1139">
        <f t="shared" si="2"/>
        <v>1.4033523064338496</v>
      </c>
      <c r="I32" s="1116"/>
      <c r="J32" s="1116"/>
      <c r="K32" s="1116"/>
      <c r="L32" s="1116"/>
      <c r="M32" s="1116"/>
      <c r="N32" s="1116"/>
      <c r="O32" s="1116"/>
      <c r="P32" s="1116"/>
      <c r="Q32" s="1116"/>
      <c r="R32" s="1116"/>
      <c r="S32" s="1116"/>
      <c r="T32" s="1116"/>
      <c r="U32" s="1116"/>
      <c r="V32" s="1116"/>
      <c r="W32" s="1116"/>
      <c r="X32" s="1116"/>
      <c r="Y32" s="1116"/>
      <c r="Z32" s="1116"/>
      <c r="AA32" s="1116"/>
      <c r="AB32" s="1116"/>
      <c r="AC32" s="1116"/>
      <c r="AD32" s="1116"/>
      <c r="AE32" s="1116"/>
      <c r="AF32" s="1140">
        <f t="shared" si="3"/>
        <v>1403.3523064338497</v>
      </c>
      <c r="AG32" s="1117">
        <f>'1.1.1 PrimEnLR'!B32*'3.1.1 CO2LR'!$AG$9*Units!$C$47/1000</f>
        <v>1403.3523064338497</v>
      </c>
      <c r="AH32" s="1117">
        <f>'1.1.1 PrimEnLR'!C32*'3.1.1 CO2LR'!$AG$9*Units!$C$47/1000</f>
        <v>0</v>
      </c>
      <c r="AI32" s="1117">
        <f>'1.1.1 PrimEnLR'!D32*Units!$C$14*Units!$C$59/1000</f>
        <v>0</v>
      </c>
      <c r="AJ32" s="1116"/>
      <c r="AK32" s="1116"/>
    </row>
    <row r="33" spans="1:37" x14ac:dyDescent="0.35">
      <c r="A33" s="1116">
        <v>1723</v>
      </c>
      <c r="B33" s="1116"/>
      <c r="C33" s="1116"/>
      <c r="D33" s="1116"/>
      <c r="E33" s="1119">
        <f t="shared" si="0"/>
        <v>1.4185213726849371</v>
      </c>
      <c r="F33" s="1139">
        <f t="shared" si="1"/>
        <v>0</v>
      </c>
      <c r="G33" s="1116"/>
      <c r="H33" s="1139">
        <f t="shared" si="2"/>
        <v>1.4185213726849371</v>
      </c>
      <c r="I33" s="1116"/>
      <c r="J33" s="1116"/>
      <c r="K33" s="1116"/>
      <c r="L33" s="1116"/>
      <c r="M33" s="1116"/>
      <c r="N33" s="1116"/>
      <c r="O33" s="1116"/>
      <c r="P33" s="1116"/>
      <c r="Q33" s="1116"/>
      <c r="R33" s="1116"/>
      <c r="S33" s="1116"/>
      <c r="T33" s="1116"/>
      <c r="U33" s="1116"/>
      <c r="V33" s="1116"/>
      <c r="W33" s="1116"/>
      <c r="X33" s="1116"/>
      <c r="Y33" s="1116"/>
      <c r="Z33" s="1116"/>
      <c r="AA33" s="1116"/>
      <c r="AB33" s="1116"/>
      <c r="AC33" s="1116"/>
      <c r="AD33" s="1116"/>
      <c r="AE33" s="1116"/>
      <c r="AF33" s="1140">
        <f t="shared" si="3"/>
        <v>1418.521372684937</v>
      </c>
      <c r="AG33" s="1117">
        <f>'1.1.1 PrimEnLR'!B33*'3.1.1 CO2LR'!$AG$9*Units!$C$47/1000</f>
        <v>1418.521372684937</v>
      </c>
      <c r="AH33" s="1117">
        <f>'1.1.1 PrimEnLR'!C33*'3.1.1 CO2LR'!$AG$9*Units!$C$47/1000</f>
        <v>0</v>
      </c>
      <c r="AI33" s="1117">
        <f>'1.1.1 PrimEnLR'!D33*Units!$C$14*Units!$C$59/1000</f>
        <v>0</v>
      </c>
      <c r="AJ33" s="1116"/>
      <c r="AK33" s="1116"/>
    </row>
    <row r="34" spans="1:37" x14ac:dyDescent="0.35">
      <c r="A34" s="1116">
        <v>1724</v>
      </c>
      <c r="B34" s="1116"/>
      <c r="C34" s="1116"/>
      <c r="D34" s="1116"/>
      <c r="E34" s="1119">
        <f t="shared" si="0"/>
        <v>1.4132822151762254</v>
      </c>
      <c r="F34" s="1139">
        <f t="shared" si="1"/>
        <v>0</v>
      </c>
      <c r="G34" s="1116"/>
      <c r="H34" s="1139">
        <f t="shared" si="2"/>
        <v>1.4132822151762254</v>
      </c>
      <c r="I34" s="1116"/>
      <c r="J34" s="1116"/>
      <c r="K34" s="1116"/>
      <c r="L34" s="1116"/>
      <c r="M34" s="1116"/>
      <c r="N34" s="1116"/>
      <c r="O34" s="1116"/>
      <c r="P34" s="1116"/>
      <c r="Q34" s="1116"/>
      <c r="R34" s="1116"/>
      <c r="S34" s="1116"/>
      <c r="T34" s="1116"/>
      <c r="U34" s="1116"/>
      <c r="V34" s="1116"/>
      <c r="W34" s="1116"/>
      <c r="X34" s="1116"/>
      <c r="Y34" s="1116"/>
      <c r="Z34" s="1116"/>
      <c r="AA34" s="1116"/>
      <c r="AB34" s="1116"/>
      <c r="AC34" s="1116"/>
      <c r="AD34" s="1116"/>
      <c r="AE34" s="1116"/>
      <c r="AF34" s="1140">
        <f t="shared" si="3"/>
        <v>1413.2822151762255</v>
      </c>
      <c r="AG34" s="1117">
        <f>'1.1.1 PrimEnLR'!B34*'3.1.1 CO2LR'!$AG$9*Units!$C$47/1000</f>
        <v>1413.2822151762255</v>
      </c>
      <c r="AH34" s="1117">
        <f>'1.1.1 PrimEnLR'!C34*'3.1.1 CO2LR'!$AG$9*Units!$C$47/1000</f>
        <v>0</v>
      </c>
      <c r="AI34" s="1117">
        <f>'1.1.1 PrimEnLR'!D34*Units!$C$14*Units!$C$59/1000</f>
        <v>0</v>
      </c>
      <c r="AJ34" s="1116"/>
      <c r="AK34" s="1116"/>
    </row>
    <row r="35" spans="1:37" x14ac:dyDescent="0.35">
      <c r="A35" s="1116">
        <v>1725</v>
      </c>
      <c r="B35" s="1116"/>
      <c r="C35" s="1116"/>
      <c r="D35" s="1116"/>
      <c r="E35" s="1119">
        <f t="shared" si="0"/>
        <v>1.4527803308988401</v>
      </c>
      <c r="F35" s="1139">
        <f t="shared" si="1"/>
        <v>0</v>
      </c>
      <c r="G35" s="1116"/>
      <c r="H35" s="1139">
        <f t="shared" si="2"/>
        <v>1.4527803308988401</v>
      </c>
      <c r="I35" s="1116"/>
      <c r="J35" s="1116"/>
      <c r="K35" s="1116"/>
      <c r="L35" s="1116"/>
      <c r="M35" s="1116"/>
      <c r="N35" s="1116"/>
      <c r="O35" s="1116"/>
      <c r="P35" s="1116"/>
      <c r="Q35" s="1116"/>
      <c r="R35" s="1116"/>
      <c r="S35" s="1116"/>
      <c r="T35" s="1116"/>
      <c r="U35" s="1116"/>
      <c r="V35" s="1116"/>
      <c r="W35" s="1116"/>
      <c r="X35" s="1116"/>
      <c r="Y35" s="1116"/>
      <c r="Z35" s="1116"/>
      <c r="AA35" s="1116"/>
      <c r="AB35" s="1116"/>
      <c r="AC35" s="1116"/>
      <c r="AD35" s="1116"/>
      <c r="AE35" s="1116"/>
      <c r="AF35" s="1140">
        <f t="shared" si="3"/>
        <v>1452.78033089884</v>
      </c>
      <c r="AG35" s="1117">
        <f>'1.1.1 PrimEnLR'!B35*'3.1.1 CO2LR'!$AG$9*Units!$C$47/1000</f>
        <v>1452.78033089884</v>
      </c>
      <c r="AH35" s="1117">
        <f>'1.1.1 PrimEnLR'!C35*'3.1.1 CO2LR'!$AG$9*Units!$C$47/1000</f>
        <v>0</v>
      </c>
      <c r="AI35" s="1117">
        <f>'1.1.1 PrimEnLR'!D35*Units!$C$14*Units!$C$59/1000</f>
        <v>0</v>
      </c>
      <c r="AJ35" s="1116"/>
      <c r="AK35" s="1116"/>
    </row>
    <row r="36" spans="1:37" x14ac:dyDescent="0.35">
      <c r="A36" s="1116">
        <v>1726</v>
      </c>
      <c r="B36" s="1116"/>
      <c r="C36" s="1116"/>
      <c r="D36" s="1116"/>
      <c r="E36" s="1119">
        <f t="shared" si="0"/>
        <v>1.4605861845023185</v>
      </c>
      <c r="F36" s="1139">
        <f t="shared" si="1"/>
        <v>0</v>
      </c>
      <c r="G36" s="1116"/>
      <c r="H36" s="1139">
        <f t="shared" si="2"/>
        <v>1.4605861845023185</v>
      </c>
      <c r="I36" s="1116"/>
      <c r="J36" s="1116"/>
      <c r="K36" s="1116"/>
      <c r="L36" s="1116"/>
      <c r="M36" s="1116"/>
      <c r="N36" s="1116"/>
      <c r="O36" s="1116"/>
      <c r="P36" s="1116"/>
      <c r="Q36" s="1116"/>
      <c r="R36" s="1116"/>
      <c r="S36" s="1116"/>
      <c r="T36" s="1116"/>
      <c r="U36" s="1116"/>
      <c r="V36" s="1116"/>
      <c r="W36" s="1116"/>
      <c r="X36" s="1116"/>
      <c r="Y36" s="1116"/>
      <c r="Z36" s="1116"/>
      <c r="AA36" s="1116"/>
      <c r="AB36" s="1116"/>
      <c r="AC36" s="1116"/>
      <c r="AD36" s="1116"/>
      <c r="AE36" s="1116"/>
      <c r="AF36" s="1140">
        <f t="shared" si="3"/>
        <v>1460.5861845023185</v>
      </c>
      <c r="AG36" s="1117">
        <f>'1.1.1 PrimEnLR'!B36*'3.1.1 CO2LR'!$AG$9*Units!$C$47/1000</f>
        <v>1460.5861845023185</v>
      </c>
      <c r="AH36" s="1117">
        <f>'1.1.1 PrimEnLR'!C36*'3.1.1 CO2LR'!$AG$9*Units!$C$47/1000</f>
        <v>0</v>
      </c>
      <c r="AI36" s="1117">
        <f>'1.1.1 PrimEnLR'!D36*Units!$C$14*Units!$C$59/1000</f>
        <v>0</v>
      </c>
      <c r="AJ36" s="1116"/>
      <c r="AK36" s="1116"/>
    </row>
    <row r="37" spans="1:37" x14ac:dyDescent="0.35">
      <c r="A37" s="1116">
        <v>1727</v>
      </c>
      <c r="B37" s="1116"/>
      <c r="C37" s="1116"/>
      <c r="D37" s="1116"/>
      <c r="E37" s="1119">
        <f t="shared" si="0"/>
        <v>1.472729537523048</v>
      </c>
      <c r="F37" s="1139">
        <f t="shared" si="1"/>
        <v>0</v>
      </c>
      <c r="G37" s="1116"/>
      <c r="H37" s="1139">
        <f t="shared" si="2"/>
        <v>1.472729537523048</v>
      </c>
      <c r="I37" s="1116"/>
      <c r="J37" s="1116"/>
      <c r="K37" s="1116"/>
      <c r="L37" s="1116"/>
      <c r="M37" s="1116"/>
      <c r="N37" s="1116"/>
      <c r="O37" s="1116"/>
      <c r="P37" s="1116"/>
      <c r="Q37" s="1116"/>
      <c r="R37" s="1116"/>
      <c r="S37" s="1116"/>
      <c r="T37" s="1116"/>
      <c r="U37" s="1116"/>
      <c r="V37" s="1116"/>
      <c r="W37" s="1116"/>
      <c r="X37" s="1116"/>
      <c r="Y37" s="1116"/>
      <c r="Z37" s="1116"/>
      <c r="AA37" s="1116"/>
      <c r="AB37" s="1116"/>
      <c r="AC37" s="1116"/>
      <c r="AD37" s="1116"/>
      <c r="AE37" s="1116"/>
      <c r="AF37" s="1140">
        <f t="shared" si="3"/>
        <v>1472.7295375230481</v>
      </c>
      <c r="AG37" s="1117">
        <f>'1.1.1 PrimEnLR'!B37*'3.1.1 CO2LR'!$AG$9*Units!$C$47/1000</f>
        <v>1472.7295375230481</v>
      </c>
      <c r="AH37" s="1117">
        <f>'1.1.1 PrimEnLR'!C37*'3.1.1 CO2LR'!$AG$9*Units!$C$47/1000</f>
        <v>0</v>
      </c>
      <c r="AI37" s="1117">
        <f>'1.1.1 PrimEnLR'!D37*Units!$C$14*Units!$C$59/1000</f>
        <v>0</v>
      </c>
      <c r="AJ37" s="1116"/>
      <c r="AK37" s="1116"/>
    </row>
    <row r="38" spans="1:37" x14ac:dyDescent="0.35">
      <c r="A38" s="1116">
        <v>1728</v>
      </c>
      <c r="B38" s="1116"/>
      <c r="C38" s="1116"/>
      <c r="D38" s="1116"/>
      <c r="E38" s="1119">
        <f t="shared" si="0"/>
        <v>1.5004917936521631</v>
      </c>
      <c r="F38" s="1139">
        <f t="shared" si="1"/>
        <v>0</v>
      </c>
      <c r="G38" s="1116"/>
      <c r="H38" s="1139">
        <f t="shared" si="2"/>
        <v>1.5004917936521631</v>
      </c>
      <c r="I38" s="1116"/>
      <c r="J38" s="1116"/>
      <c r="K38" s="1116"/>
      <c r="L38" s="1116"/>
      <c r="M38" s="1116"/>
      <c r="N38" s="1116"/>
      <c r="O38" s="1116"/>
      <c r="P38" s="1116"/>
      <c r="Q38" s="1116"/>
      <c r="R38" s="1116"/>
      <c r="S38" s="1116"/>
      <c r="T38" s="1116"/>
      <c r="U38" s="1116"/>
      <c r="V38" s="1116"/>
      <c r="W38" s="1116"/>
      <c r="X38" s="1116"/>
      <c r="Y38" s="1116"/>
      <c r="Z38" s="1116"/>
      <c r="AA38" s="1116"/>
      <c r="AB38" s="1116"/>
      <c r="AC38" s="1116"/>
      <c r="AD38" s="1116"/>
      <c r="AE38" s="1116"/>
      <c r="AF38" s="1140">
        <f t="shared" si="3"/>
        <v>1500.4917936521631</v>
      </c>
      <c r="AG38" s="1117">
        <f>'1.1.1 PrimEnLR'!B38*'3.1.1 CO2LR'!$AG$9*Units!$C$47/1000</f>
        <v>1500.4917936521631</v>
      </c>
      <c r="AH38" s="1117">
        <f>'1.1.1 PrimEnLR'!C38*'3.1.1 CO2LR'!$AG$9*Units!$C$47/1000</f>
        <v>0</v>
      </c>
      <c r="AI38" s="1117">
        <f>'1.1.1 PrimEnLR'!D38*Units!$C$14*Units!$C$59/1000</f>
        <v>0</v>
      </c>
      <c r="AJ38" s="1116"/>
      <c r="AK38" s="1116"/>
    </row>
    <row r="39" spans="1:37" x14ac:dyDescent="0.35">
      <c r="A39" s="1116">
        <v>1729</v>
      </c>
      <c r="B39" s="1116"/>
      <c r="C39" s="1116"/>
      <c r="D39" s="1116"/>
      <c r="E39" s="1119">
        <f t="shared" si="0"/>
        <v>1.5060216137638391</v>
      </c>
      <c r="F39" s="1139">
        <f t="shared" si="1"/>
        <v>0</v>
      </c>
      <c r="G39" s="1116"/>
      <c r="H39" s="1139">
        <f t="shared" si="2"/>
        <v>1.5060216137638391</v>
      </c>
      <c r="I39" s="1116"/>
      <c r="J39" s="1116"/>
      <c r="K39" s="1116"/>
      <c r="L39" s="1116"/>
      <c r="M39" s="1116"/>
      <c r="N39" s="1116"/>
      <c r="O39" s="1116"/>
      <c r="P39" s="1116"/>
      <c r="Q39" s="1116"/>
      <c r="R39" s="1116"/>
      <c r="S39" s="1116"/>
      <c r="T39" s="1116"/>
      <c r="U39" s="1116"/>
      <c r="V39" s="1116"/>
      <c r="W39" s="1116"/>
      <c r="X39" s="1116"/>
      <c r="Y39" s="1116"/>
      <c r="Z39" s="1116"/>
      <c r="AA39" s="1116"/>
      <c r="AB39" s="1116"/>
      <c r="AC39" s="1116"/>
      <c r="AD39" s="1116"/>
      <c r="AE39" s="1116"/>
      <c r="AF39" s="1140">
        <f t="shared" si="3"/>
        <v>1506.0216137638392</v>
      </c>
      <c r="AG39" s="1117">
        <f>'1.1.1 PrimEnLR'!B39*'3.1.1 CO2LR'!$AG$9*Units!$C$47/1000</f>
        <v>1506.0216137638392</v>
      </c>
      <c r="AH39" s="1117">
        <f>'1.1.1 PrimEnLR'!C39*'3.1.1 CO2LR'!$AG$9*Units!$C$47/1000</f>
        <v>0</v>
      </c>
      <c r="AI39" s="1117">
        <f>'1.1.1 PrimEnLR'!D39*Units!$C$14*Units!$C$59/1000</f>
        <v>0</v>
      </c>
      <c r="AJ39" s="1116"/>
      <c r="AK39" s="1116"/>
    </row>
    <row r="40" spans="1:37" x14ac:dyDescent="0.35">
      <c r="A40" s="1116">
        <v>1730</v>
      </c>
      <c r="B40" s="1116"/>
      <c r="C40" s="1116"/>
      <c r="D40" s="1116"/>
      <c r="E40" s="1119">
        <f t="shared" si="0"/>
        <v>1.5355391625860233</v>
      </c>
      <c r="F40" s="1139">
        <f t="shared" si="1"/>
        <v>0</v>
      </c>
      <c r="G40" s="1116"/>
      <c r="H40" s="1139">
        <f t="shared" si="2"/>
        <v>1.5355391625860233</v>
      </c>
      <c r="I40" s="1116"/>
      <c r="J40" s="1116"/>
      <c r="K40" s="1116"/>
      <c r="L40" s="1116"/>
      <c r="M40" s="1116"/>
      <c r="N40" s="1116"/>
      <c r="O40" s="1116"/>
      <c r="P40" s="1116"/>
      <c r="Q40" s="1116"/>
      <c r="R40" s="1116"/>
      <c r="S40" s="1116"/>
      <c r="T40" s="1116"/>
      <c r="U40" s="1116"/>
      <c r="V40" s="1116"/>
      <c r="W40" s="1116"/>
      <c r="X40" s="1116"/>
      <c r="Y40" s="1116"/>
      <c r="Z40" s="1116"/>
      <c r="AA40" s="1116"/>
      <c r="AB40" s="1116"/>
      <c r="AC40" s="1116"/>
      <c r="AD40" s="1116"/>
      <c r="AE40" s="1116"/>
      <c r="AF40" s="1140">
        <f t="shared" si="3"/>
        <v>1535.5391625860234</v>
      </c>
      <c r="AG40" s="1117">
        <f>'1.1.1 PrimEnLR'!B40*'3.1.1 CO2LR'!$AG$9*Units!$C$47/1000</f>
        <v>1535.5391625860234</v>
      </c>
      <c r="AH40" s="1117">
        <f>'1.1.1 PrimEnLR'!C40*'3.1.1 CO2LR'!$AG$9*Units!$C$47/1000</f>
        <v>0</v>
      </c>
      <c r="AI40" s="1117">
        <f>'1.1.1 PrimEnLR'!D40*Units!$C$14*Units!$C$59/1000</f>
        <v>0</v>
      </c>
      <c r="AJ40" s="1116"/>
      <c r="AK40" s="1116"/>
    </row>
    <row r="41" spans="1:37" x14ac:dyDescent="0.35">
      <c r="A41" s="1116">
        <v>1731</v>
      </c>
      <c r="B41" s="1116"/>
      <c r="C41" s="1116"/>
      <c r="D41" s="1116"/>
      <c r="E41" s="1119">
        <f t="shared" si="0"/>
        <v>1.5399107142269421</v>
      </c>
      <c r="F41" s="1139">
        <f t="shared" si="1"/>
        <v>0</v>
      </c>
      <c r="G41" s="1116"/>
      <c r="H41" s="1139">
        <f t="shared" si="2"/>
        <v>1.5399107142269421</v>
      </c>
      <c r="I41" s="1116"/>
      <c r="J41" s="1116"/>
      <c r="K41" s="1116"/>
      <c r="L41" s="1116"/>
      <c r="M41" s="1116"/>
      <c r="N41" s="1116"/>
      <c r="O41" s="1116"/>
      <c r="P41" s="1116"/>
      <c r="Q41" s="1116"/>
      <c r="R41" s="1116"/>
      <c r="S41" s="1116"/>
      <c r="T41" s="1116"/>
      <c r="U41" s="1116"/>
      <c r="V41" s="1116"/>
      <c r="W41" s="1116"/>
      <c r="X41" s="1116"/>
      <c r="Y41" s="1116"/>
      <c r="Z41" s="1116"/>
      <c r="AA41" s="1116"/>
      <c r="AB41" s="1116"/>
      <c r="AC41" s="1116"/>
      <c r="AD41" s="1116"/>
      <c r="AE41" s="1116"/>
      <c r="AF41" s="1140">
        <f t="shared" si="3"/>
        <v>1539.9107142269422</v>
      </c>
      <c r="AG41" s="1117">
        <f>'1.1.1 PrimEnLR'!B41*'3.1.1 CO2LR'!$AG$9*Units!$C$47/1000</f>
        <v>1539.9107142269422</v>
      </c>
      <c r="AH41" s="1117">
        <f>'1.1.1 PrimEnLR'!C41*'3.1.1 CO2LR'!$AG$9*Units!$C$47/1000</f>
        <v>0</v>
      </c>
      <c r="AI41" s="1117">
        <f>'1.1.1 PrimEnLR'!D41*Units!$C$14*Units!$C$59/1000</f>
        <v>0</v>
      </c>
      <c r="AJ41" s="1116"/>
      <c r="AK41" s="1116"/>
    </row>
    <row r="42" spans="1:37" x14ac:dyDescent="0.35">
      <c r="A42" s="1116">
        <v>1732</v>
      </c>
      <c r="B42" s="1116"/>
      <c r="C42" s="1116"/>
      <c r="D42" s="1116"/>
      <c r="E42" s="1119">
        <f t="shared" si="0"/>
        <v>1.5515264225785275</v>
      </c>
      <c r="F42" s="1139">
        <f t="shared" si="1"/>
        <v>0</v>
      </c>
      <c r="G42" s="1116"/>
      <c r="H42" s="1139">
        <f t="shared" si="2"/>
        <v>1.5515264225785275</v>
      </c>
      <c r="I42" s="1116"/>
      <c r="J42" s="1116"/>
      <c r="K42" s="1116"/>
      <c r="L42" s="1116"/>
      <c r="M42" s="1116"/>
      <c r="N42" s="1116"/>
      <c r="O42" s="1116"/>
      <c r="P42" s="1116"/>
      <c r="Q42" s="1116"/>
      <c r="R42" s="1116"/>
      <c r="S42" s="1116"/>
      <c r="T42" s="1116"/>
      <c r="U42" s="1116"/>
      <c r="V42" s="1116"/>
      <c r="W42" s="1116"/>
      <c r="X42" s="1116"/>
      <c r="Y42" s="1116"/>
      <c r="Z42" s="1116"/>
      <c r="AA42" s="1116"/>
      <c r="AB42" s="1116"/>
      <c r="AC42" s="1116"/>
      <c r="AD42" s="1116"/>
      <c r="AE42" s="1116"/>
      <c r="AF42" s="1140">
        <f t="shared" si="3"/>
        <v>1551.5264225785274</v>
      </c>
      <c r="AG42" s="1117">
        <f>'1.1.1 PrimEnLR'!B42*'3.1.1 CO2LR'!$AG$9*Units!$C$47/1000</f>
        <v>1551.5264225785274</v>
      </c>
      <c r="AH42" s="1117">
        <f>'1.1.1 PrimEnLR'!C42*'3.1.1 CO2LR'!$AG$9*Units!$C$47/1000</f>
        <v>0</v>
      </c>
      <c r="AI42" s="1117">
        <f>'1.1.1 PrimEnLR'!D42*Units!$C$14*Units!$C$59/1000</f>
        <v>0</v>
      </c>
      <c r="AJ42" s="1116"/>
      <c r="AK42" s="1116"/>
    </row>
    <row r="43" spans="1:37" x14ac:dyDescent="0.35">
      <c r="A43" s="1116">
        <v>1733</v>
      </c>
      <c r="B43" s="1116"/>
      <c r="C43" s="1116"/>
      <c r="D43" s="1116"/>
      <c r="E43" s="1119">
        <f t="shared" si="0"/>
        <v>1.5696573204048392</v>
      </c>
      <c r="F43" s="1139">
        <f t="shared" si="1"/>
        <v>0</v>
      </c>
      <c r="G43" s="1116"/>
      <c r="H43" s="1139">
        <f t="shared" si="2"/>
        <v>1.5696573204048392</v>
      </c>
      <c r="I43" s="1116"/>
      <c r="J43" s="1116"/>
      <c r="K43" s="1116"/>
      <c r="L43" s="1116"/>
      <c r="M43" s="1116"/>
      <c r="N43" s="1116"/>
      <c r="O43" s="1116"/>
      <c r="P43" s="1116"/>
      <c r="Q43" s="1116"/>
      <c r="R43" s="1116"/>
      <c r="S43" s="1116"/>
      <c r="T43" s="1116"/>
      <c r="U43" s="1116"/>
      <c r="V43" s="1116"/>
      <c r="W43" s="1116"/>
      <c r="X43" s="1116"/>
      <c r="Y43" s="1116"/>
      <c r="Z43" s="1116"/>
      <c r="AA43" s="1116"/>
      <c r="AB43" s="1116"/>
      <c r="AC43" s="1116"/>
      <c r="AD43" s="1116"/>
      <c r="AE43" s="1116"/>
      <c r="AF43" s="1140">
        <f t="shared" si="3"/>
        <v>1569.6573204048391</v>
      </c>
      <c r="AG43" s="1117">
        <f>'1.1.1 PrimEnLR'!B43*'3.1.1 CO2LR'!$AG$9*Units!$C$47/1000</f>
        <v>1569.6573204048391</v>
      </c>
      <c r="AH43" s="1117">
        <f>'1.1.1 PrimEnLR'!C43*'3.1.1 CO2LR'!$AG$9*Units!$C$47/1000</f>
        <v>0</v>
      </c>
      <c r="AI43" s="1117">
        <f>'1.1.1 PrimEnLR'!D43*Units!$C$14*Units!$C$59/1000</f>
        <v>0</v>
      </c>
      <c r="AJ43" s="1116"/>
      <c r="AK43" s="1116"/>
    </row>
    <row r="44" spans="1:37" x14ac:dyDescent="0.35">
      <c r="A44" s="1116">
        <v>1734</v>
      </c>
      <c r="B44" s="1116"/>
      <c r="C44" s="1116"/>
      <c r="D44" s="1116"/>
      <c r="E44" s="1119">
        <f t="shared" si="0"/>
        <v>1.580836296112287</v>
      </c>
      <c r="F44" s="1139">
        <f t="shared" si="1"/>
        <v>0</v>
      </c>
      <c r="G44" s="1116"/>
      <c r="H44" s="1139">
        <f t="shared" si="2"/>
        <v>1.580836296112287</v>
      </c>
      <c r="I44" s="1116"/>
      <c r="J44" s="1116"/>
      <c r="K44" s="1116"/>
      <c r="L44" s="1116"/>
      <c r="M44" s="1116"/>
      <c r="N44" s="1116"/>
      <c r="O44" s="1116"/>
      <c r="P44" s="1116"/>
      <c r="Q44" s="1116"/>
      <c r="R44" s="1116"/>
      <c r="S44" s="1116"/>
      <c r="T44" s="1116"/>
      <c r="U44" s="1116"/>
      <c r="V44" s="1116"/>
      <c r="W44" s="1116"/>
      <c r="X44" s="1116"/>
      <c r="Y44" s="1116"/>
      <c r="Z44" s="1116"/>
      <c r="AA44" s="1116"/>
      <c r="AB44" s="1116"/>
      <c r="AC44" s="1116"/>
      <c r="AD44" s="1116"/>
      <c r="AE44" s="1116"/>
      <c r="AF44" s="1140">
        <f t="shared" si="3"/>
        <v>1580.8362961122871</v>
      </c>
      <c r="AG44" s="1117">
        <f>'1.1.1 PrimEnLR'!B44*'3.1.1 CO2LR'!$AG$9*Units!$C$47/1000</f>
        <v>1580.8362961122871</v>
      </c>
      <c r="AH44" s="1117">
        <f>'1.1.1 PrimEnLR'!C44*'3.1.1 CO2LR'!$AG$9*Units!$C$47/1000</f>
        <v>0</v>
      </c>
      <c r="AI44" s="1117">
        <f>'1.1.1 PrimEnLR'!D44*Units!$C$14*Units!$C$59/1000</f>
        <v>0</v>
      </c>
      <c r="AJ44" s="1116"/>
      <c r="AK44" s="1116"/>
    </row>
    <row r="45" spans="1:37" x14ac:dyDescent="0.35">
      <c r="A45" s="1116">
        <v>1735</v>
      </c>
      <c r="B45" s="1116"/>
      <c r="C45" s="1116"/>
      <c r="D45" s="1116"/>
      <c r="E45" s="1119">
        <f t="shared" si="0"/>
        <v>1.5956166419095696</v>
      </c>
      <c r="F45" s="1139">
        <f t="shared" si="1"/>
        <v>0</v>
      </c>
      <c r="G45" s="1116"/>
      <c r="H45" s="1139">
        <f t="shared" si="2"/>
        <v>1.5956166419095696</v>
      </c>
      <c r="I45" s="1116"/>
      <c r="J45" s="1116"/>
      <c r="K45" s="1116"/>
      <c r="L45" s="1116"/>
      <c r="M45" s="1116"/>
      <c r="N45" s="1116"/>
      <c r="O45" s="1116"/>
      <c r="P45" s="1116"/>
      <c r="Q45" s="1116"/>
      <c r="R45" s="1116"/>
      <c r="S45" s="1116"/>
      <c r="T45" s="1116"/>
      <c r="U45" s="1116"/>
      <c r="V45" s="1116"/>
      <c r="W45" s="1116"/>
      <c r="X45" s="1116"/>
      <c r="Y45" s="1116"/>
      <c r="Z45" s="1116"/>
      <c r="AA45" s="1116"/>
      <c r="AB45" s="1116"/>
      <c r="AC45" s="1116"/>
      <c r="AD45" s="1116"/>
      <c r="AE45" s="1116"/>
      <c r="AF45" s="1140">
        <f t="shared" si="3"/>
        <v>1595.6166419095696</v>
      </c>
      <c r="AG45" s="1117">
        <f>'1.1.1 PrimEnLR'!B45*'3.1.1 CO2LR'!$AG$9*Units!$C$47/1000</f>
        <v>1595.6166419095696</v>
      </c>
      <c r="AH45" s="1117">
        <f>'1.1.1 PrimEnLR'!C45*'3.1.1 CO2LR'!$AG$9*Units!$C$47/1000</f>
        <v>0</v>
      </c>
      <c r="AI45" s="1117">
        <f>'1.1.1 PrimEnLR'!D45*Units!$C$14*Units!$C$59/1000</f>
        <v>0</v>
      </c>
      <c r="AJ45" s="1116"/>
      <c r="AK45" s="1116"/>
    </row>
    <row r="46" spans="1:37" x14ac:dyDescent="0.35">
      <c r="A46" s="1116">
        <v>1736</v>
      </c>
      <c r="B46" s="1116"/>
      <c r="C46" s="1116"/>
      <c r="D46" s="1116"/>
      <c r="E46" s="1119">
        <f t="shared" si="0"/>
        <v>1.6085379892749441</v>
      </c>
      <c r="F46" s="1139">
        <f t="shared" si="1"/>
        <v>0</v>
      </c>
      <c r="G46" s="1116"/>
      <c r="H46" s="1139">
        <f t="shared" si="2"/>
        <v>1.6085379892749441</v>
      </c>
      <c r="I46" s="1116"/>
      <c r="J46" s="1116"/>
      <c r="K46" s="1116"/>
      <c r="L46" s="1116"/>
      <c r="M46" s="1116"/>
      <c r="N46" s="1116"/>
      <c r="O46" s="1116"/>
      <c r="P46" s="1116"/>
      <c r="Q46" s="1116"/>
      <c r="R46" s="1116"/>
      <c r="S46" s="1116"/>
      <c r="T46" s="1116"/>
      <c r="U46" s="1116"/>
      <c r="V46" s="1116"/>
      <c r="W46" s="1116"/>
      <c r="X46" s="1116"/>
      <c r="Y46" s="1116"/>
      <c r="Z46" s="1116"/>
      <c r="AA46" s="1116"/>
      <c r="AB46" s="1116"/>
      <c r="AC46" s="1116"/>
      <c r="AD46" s="1116"/>
      <c r="AE46" s="1116"/>
      <c r="AF46" s="1140">
        <f t="shared" si="3"/>
        <v>1608.537989274944</v>
      </c>
      <c r="AG46" s="1117">
        <f>'1.1.1 PrimEnLR'!B46*'3.1.1 CO2LR'!$AG$9*Units!$C$47/1000</f>
        <v>1608.537989274944</v>
      </c>
      <c r="AH46" s="1117">
        <f>'1.1.1 PrimEnLR'!C46*'3.1.1 CO2LR'!$AG$9*Units!$C$47/1000</f>
        <v>0</v>
      </c>
      <c r="AI46" s="1117">
        <f>'1.1.1 PrimEnLR'!D46*Units!$C$14*Units!$C$59/1000</f>
        <v>0</v>
      </c>
      <c r="AJ46" s="1116"/>
      <c r="AK46" s="1116"/>
    </row>
    <row r="47" spans="1:37" x14ac:dyDescent="0.35">
      <c r="A47" s="1116">
        <v>1737</v>
      </c>
      <c r="B47" s="1116"/>
      <c r="C47" s="1116"/>
      <c r="D47" s="1116"/>
      <c r="E47" s="1119">
        <f t="shared" si="0"/>
        <v>1.6276059364202027</v>
      </c>
      <c r="F47" s="1139">
        <f t="shared" si="1"/>
        <v>0</v>
      </c>
      <c r="G47" s="1116"/>
      <c r="H47" s="1139">
        <f t="shared" si="2"/>
        <v>1.6276059364202027</v>
      </c>
      <c r="I47" s="1116"/>
      <c r="J47" s="1116"/>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40">
        <f t="shared" si="3"/>
        <v>1627.6059364202026</v>
      </c>
      <c r="AG47" s="1117">
        <f>'1.1.1 PrimEnLR'!B47*'3.1.1 CO2LR'!$AG$9*Units!$C$47/1000</f>
        <v>1627.6059364202026</v>
      </c>
      <c r="AH47" s="1117">
        <f>'1.1.1 PrimEnLR'!C47*'3.1.1 CO2LR'!$AG$9*Units!$C$47/1000</f>
        <v>0</v>
      </c>
      <c r="AI47" s="1117">
        <f>'1.1.1 PrimEnLR'!D47*Units!$C$14*Units!$C$59/1000</f>
        <v>0</v>
      </c>
      <c r="AJ47" s="1116"/>
      <c r="AK47" s="1116"/>
    </row>
    <row r="48" spans="1:37" x14ac:dyDescent="0.35">
      <c r="A48" s="1116">
        <v>1738</v>
      </c>
      <c r="B48" s="1116"/>
      <c r="C48" s="1116"/>
      <c r="D48" s="1116"/>
      <c r="E48" s="1119">
        <f t="shared" si="0"/>
        <v>1.6429926884489869</v>
      </c>
      <c r="F48" s="1139">
        <f t="shared" si="1"/>
        <v>0</v>
      </c>
      <c r="G48" s="1116"/>
      <c r="H48" s="1139">
        <f t="shared" si="2"/>
        <v>1.6429926884489869</v>
      </c>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40">
        <f t="shared" si="3"/>
        <v>1642.9926884489869</v>
      </c>
      <c r="AG48" s="1117">
        <f>'1.1.1 PrimEnLR'!B48*'3.1.1 CO2LR'!$AG$9*Units!$C$47/1000</f>
        <v>1642.9926884489869</v>
      </c>
      <c r="AH48" s="1117">
        <f>'1.1.1 PrimEnLR'!C48*'3.1.1 CO2LR'!$AG$9*Units!$C$47/1000</f>
        <v>0</v>
      </c>
      <c r="AI48" s="1117">
        <f>'1.1.1 PrimEnLR'!D48*Units!$C$14*Units!$C$59/1000</f>
        <v>0</v>
      </c>
      <c r="AJ48" s="1116"/>
      <c r="AK48" s="1116"/>
    </row>
    <row r="49" spans="1:37" x14ac:dyDescent="0.35">
      <c r="A49" s="1116">
        <v>1739</v>
      </c>
      <c r="B49" s="1116"/>
      <c r="C49" s="1116"/>
      <c r="D49" s="1116"/>
      <c r="E49" s="1119">
        <f t="shared" si="0"/>
        <v>1.6506935482470133</v>
      </c>
      <c r="F49" s="1139">
        <f t="shared" si="1"/>
        <v>0</v>
      </c>
      <c r="G49" s="1116"/>
      <c r="H49" s="1139">
        <f t="shared" si="2"/>
        <v>1.6506935482470133</v>
      </c>
      <c r="I49" s="1116"/>
      <c r="J49" s="1116"/>
      <c r="K49" s="1116"/>
      <c r="L49" s="1116"/>
      <c r="M49" s="1116"/>
      <c r="N49" s="1116"/>
      <c r="O49" s="1116"/>
      <c r="P49" s="1116"/>
      <c r="Q49" s="1116"/>
      <c r="R49" s="1116"/>
      <c r="S49" s="1116"/>
      <c r="T49" s="1116"/>
      <c r="U49" s="1116"/>
      <c r="V49" s="1116"/>
      <c r="W49" s="1116"/>
      <c r="X49" s="1116"/>
      <c r="Y49" s="1116"/>
      <c r="Z49" s="1116"/>
      <c r="AA49" s="1116"/>
      <c r="AB49" s="1116"/>
      <c r="AC49" s="1116"/>
      <c r="AD49" s="1116"/>
      <c r="AE49" s="1116"/>
      <c r="AF49" s="1140">
        <f t="shared" si="3"/>
        <v>1650.6935482470133</v>
      </c>
      <c r="AG49" s="1117">
        <f>'1.1.1 PrimEnLR'!B49*'3.1.1 CO2LR'!$AG$9*Units!$C$47/1000</f>
        <v>1650.6935482470133</v>
      </c>
      <c r="AH49" s="1117">
        <f>'1.1.1 PrimEnLR'!C49*'3.1.1 CO2LR'!$AG$9*Units!$C$47/1000</f>
        <v>0</v>
      </c>
      <c r="AI49" s="1117">
        <f>'1.1.1 PrimEnLR'!D49*Units!$C$14*Units!$C$59/1000</f>
        <v>0</v>
      </c>
      <c r="AJ49" s="1116"/>
      <c r="AK49" s="1116"/>
    </row>
    <row r="50" spans="1:37" x14ac:dyDescent="0.35">
      <c r="A50" s="1116">
        <v>1740</v>
      </c>
      <c r="B50" s="1116"/>
      <c r="C50" s="1116"/>
      <c r="D50" s="1116"/>
      <c r="E50" s="1119">
        <f t="shared" si="0"/>
        <v>1.6576221597264089</v>
      </c>
      <c r="F50" s="1139">
        <f t="shared" si="1"/>
        <v>0</v>
      </c>
      <c r="G50" s="1116"/>
      <c r="H50" s="1139">
        <f t="shared" si="2"/>
        <v>1.6576221597264089</v>
      </c>
      <c r="I50" s="1116"/>
      <c r="J50" s="1116"/>
      <c r="K50" s="1116"/>
      <c r="L50" s="1116"/>
      <c r="M50" s="1116"/>
      <c r="N50" s="1116"/>
      <c r="O50" s="1116"/>
      <c r="P50" s="1116"/>
      <c r="Q50" s="1116"/>
      <c r="R50" s="1116"/>
      <c r="S50" s="1116"/>
      <c r="T50" s="1116"/>
      <c r="U50" s="1116"/>
      <c r="V50" s="1116"/>
      <c r="W50" s="1116"/>
      <c r="X50" s="1116"/>
      <c r="Y50" s="1116"/>
      <c r="Z50" s="1116"/>
      <c r="AA50" s="1116"/>
      <c r="AB50" s="1116"/>
      <c r="AC50" s="1116"/>
      <c r="AD50" s="1116"/>
      <c r="AE50" s="1116"/>
      <c r="AF50" s="1140">
        <f t="shared" si="3"/>
        <v>1657.6221597264089</v>
      </c>
      <c r="AG50" s="1117">
        <f>'1.1.1 PrimEnLR'!B50*'3.1.1 CO2LR'!$AG$9*Units!$C$47/1000</f>
        <v>1657.6221597264089</v>
      </c>
      <c r="AH50" s="1117">
        <f>'1.1.1 PrimEnLR'!C50*'3.1.1 CO2LR'!$AG$9*Units!$C$47/1000</f>
        <v>0</v>
      </c>
      <c r="AI50" s="1117">
        <f>'1.1.1 PrimEnLR'!D50*Units!$C$14*Units!$C$59/1000</f>
        <v>0</v>
      </c>
      <c r="AJ50" s="1116"/>
      <c r="AK50" s="1116"/>
    </row>
    <row r="51" spans="1:37" x14ac:dyDescent="0.35">
      <c r="A51" s="1116">
        <v>1741</v>
      </c>
      <c r="B51" s="1116"/>
      <c r="C51" s="1116"/>
      <c r="D51" s="1116"/>
      <c r="E51" s="1119">
        <f t="shared" si="0"/>
        <v>1.6863418050014363</v>
      </c>
      <c r="F51" s="1139">
        <f t="shared" si="1"/>
        <v>0</v>
      </c>
      <c r="G51" s="1116"/>
      <c r="H51" s="1139">
        <f t="shared" si="2"/>
        <v>1.6863418050014363</v>
      </c>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40">
        <f t="shared" si="3"/>
        <v>1686.3418050014363</v>
      </c>
      <c r="AG51" s="1117">
        <f>'1.1.1 PrimEnLR'!B51*'3.1.1 CO2LR'!$AG$9*Units!$C$47/1000</f>
        <v>1686.3418050014363</v>
      </c>
      <c r="AH51" s="1117">
        <f>'1.1.1 PrimEnLR'!C51*'3.1.1 CO2LR'!$AG$9*Units!$C$47/1000</f>
        <v>0</v>
      </c>
      <c r="AI51" s="1117">
        <f>'1.1.1 PrimEnLR'!D51*Units!$C$14*Units!$C$59/1000</f>
        <v>0</v>
      </c>
      <c r="AJ51" s="1116"/>
      <c r="AK51" s="1116"/>
    </row>
    <row r="52" spans="1:37" x14ac:dyDescent="0.35">
      <c r="A52" s="1116">
        <v>1742</v>
      </c>
      <c r="B52" s="1116"/>
      <c r="C52" s="1116"/>
      <c r="D52" s="1116"/>
      <c r="E52" s="1119">
        <f t="shared" si="0"/>
        <v>1.7055517110861613</v>
      </c>
      <c r="F52" s="1139">
        <f t="shared" si="1"/>
        <v>0</v>
      </c>
      <c r="G52" s="1116"/>
      <c r="H52" s="1139">
        <f t="shared" si="2"/>
        <v>1.7055517110861613</v>
      </c>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40">
        <f t="shared" si="3"/>
        <v>1705.5517110861613</v>
      </c>
      <c r="AG52" s="1117">
        <f>'1.1.1 PrimEnLR'!B52*'3.1.1 CO2LR'!$AG$9*Units!$C$47/1000</f>
        <v>1705.5517110861613</v>
      </c>
      <c r="AH52" s="1117">
        <f>'1.1.1 PrimEnLR'!C52*'3.1.1 CO2LR'!$AG$9*Units!$C$47/1000</f>
        <v>0</v>
      </c>
      <c r="AI52" s="1117">
        <f>'1.1.1 PrimEnLR'!D52*Units!$C$14*Units!$C$59/1000</f>
        <v>0</v>
      </c>
      <c r="AJ52" s="1116"/>
      <c r="AK52" s="1116"/>
    </row>
    <row r="53" spans="1:37" x14ac:dyDescent="0.35">
      <c r="A53" s="1116">
        <v>1743</v>
      </c>
      <c r="B53" s="1116"/>
      <c r="C53" s="1116"/>
      <c r="D53" s="1116"/>
      <c r="E53" s="1119">
        <f t="shared" si="0"/>
        <v>1.713430689811315</v>
      </c>
      <c r="F53" s="1139">
        <f t="shared" si="1"/>
        <v>0</v>
      </c>
      <c r="G53" s="1116"/>
      <c r="H53" s="1139">
        <f t="shared" si="2"/>
        <v>1.713430689811315</v>
      </c>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40">
        <f t="shared" si="3"/>
        <v>1713.430689811315</v>
      </c>
      <c r="AG53" s="1117">
        <f>'1.1.1 PrimEnLR'!B53*'3.1.1 CO2LR'!$AG$9*Units!$C$47/1000</f>
        <v>1713.430689811315</v>
      </c>
      <c r="AH53" s="1117">
        <f>'1.1.1 PrimEnLR'!C53*'3.1.1 CO2LR'!$AG$9*Units!$C$47/1000</f>
        <v>0</v>
      </c>
      <c r="AI53" s="1117">
        <f>'1.1.1 PrimEnLR'!D53*Units!$C$14*Units!$C$59/1000</f>
        <v>0</v>
      </c>
      <c r="AJ53" s="1116"/>
      <c r="AK53" s="1116"/>
    </row>
    <row r="54" spans="1:37" x14ac:dyDescent="0.35">
      <c r="A54" s="1116">
        <v>1744</v>
      </c>
      <c r="B54" s="1116"/>
      <c r="C54" s="1116"/>
      <c r="D54" s="1116"/>
      <c r="E54" s="1119">
        <f t="shared" si="0"/>
        <v>1.7339976761558198</v>
      </c>
      <c r="F54" s="1139">
        <f t="shared" si="1"/>
        <v>0</v>
      </c>
      <c r="G54" s="1116"/>
      <c r="H54" s="1139">
        <f t="shared" si="2"/>
        <v>1.7339976761558198</v>
      </c>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40">
        <f t="shared" si="3"/>
        <v>1733.9976761558198</v>
      </c>
      <c r="AG54" s="1117">
        <f>'1.1.1 PrimEnLR'!B54*'3.1.1 CO2LR'!$AG$9*Units!$C$47/1000</f>
        <v>1733.9976761558198</v>
      </c>
      <c r="AH54" s="1117">
        <f>'1.1.1 PrimEnLR'!C54*'3.1.1 CO2LR'!$AG$9*Units!$C$47/1000</f>
        <v>0</v>
      </c>
      <c r="AI54" s="1117">
        <f>'1.1.1 PrimEnLR'!D54*Units!$C$14*Units!$C$59/1000</f>
        <v>0</v>
      </c>
      <c r="AJ54" s="1116"/>
      <c r="AK54" s="1116"/>
    </row>
    <row r="55" spans="1:37" x14ac:dyDescent="0.35">
      <c r="A55" s="1116">
        <v>1745</v>
      </c>
      <c r="B55" s="1116"/>
      <c r="C55" s="1116"/>
      <c r="D55" s="1116"/>
      <c r="E55" s="1119">
        <f t="shared" si="0"/>
        <v>1.7479619808542359</v>
      </c>
      <c r="F55" s="1139">
        <f t="shared" si="1"/>
        <v>0</v>
      </c>
      <c r="G55" s="1116"/>
      <c r="H55" s="1139">
        <f t="shared" si="2"/>
        <v>1.7479619808542359</v>
      </c>
      <c r="I55" s="1116"/>
      <c r="J55" s="1116"/>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40">
        <f t="shared" si="3"/>
        <v>1747.9619808542359</v>
      </c>
      <c r="AG55" s="1117">
        <f>'1.1.1 PrimEnLR'!B55*'3.1.1 CO2LR'!$AG$9*Units!$C$47/1000</f>
        <v>1747.9619808542359</v>
      </c>
      <c r="AH55" s="1117">
        <f>'1.1.1 PrimEnLR'!C55*'3.1.1 CO2LR'!$AG$9*Units!$C$47/1000</f>
        <v>0</v>
      </c>
      <c r="AI55" s="1117">
        <f>'1.1.1 PrimEnLR'!D55*Units!$C$14*Units!$C$59/1000</f>
        <v>0</v>
      </c>
      <c r="AJ55" s="1116"/>
      <c r="AK55" s="1116"/>
    </row>
    <row r="56" spans="1:37" x14ac:dyDescent="0.35">
      <c r="A56" s="1116">
        <v>1746</v>
      </c>
      <c r="B56" s="1116"/>
      <c r="C56" s="1116"/>
      <c r="D56" s="1116"/>
      <c r="E56" s="1119">
        <f t="shared" si="0"/>
        <v>1.7600533047990745</v>
      </c>
      <c r="F56" s="1139">
        <f t="shared" si="1"/>
        <v>0</v>
      </c>
      <c r="G56" s="1116"/>
      <c r="H56" s="1139">
        <f t="shared" si="2"/>
        <v>1.7600533047990745</v>
      </c>
      <c r="I56" s="1116"/>
      <c r="J56" s="1116"/>
      <c r="K56" s="1116"/>
      <c r="L56" s="1116"/>
      <c r="M56" s="1116"/>
      <c r="N56" s="1116"/>
      <c r="O56" s="1116"/>
      <c r="P56" s="1116"/>
      <c r="Q56" s="1116"/>
      <c r="R56" s="1116"/>
      <c r="S56" s="1116"/>
      <c r="T56" s="1116"/>
      <c r="U56" s="1116"/>
      <c r="V56" s="1116"/>
      <c r="W56" s="1116"/>
      <c r="X56" s="1116"/>
      <c r="Y56" s="1116"/>
      <c r="Z56" s="1116"/>
      <c r="AA56" s="1116"/>
      <c r="AB56" s="1116"/>
      <c r="AC56" s="1116"/>
      <c r="AD56" s="1116"/>
      <c r="AE56" s="1116"/>
      <c r="AF56" s="1140">
        <f t="shared" si="3"/>
        <v>1760.0533047990746</v>
      </c>
      <c r="AG56" s="1117">
        <f>'1.1.1 PrimEnLR'!B56*'3.1.1 CO2LR'!$AG$9*Units!$C$47/1000</f>
        <v>1760.0533047990746</v>
      </c>
      <c r="AH56" s="1117">
        <f>'1.1.1 PrimEnLR'!C56*'3.1.1 CO2LR'!$AG$9*Units!$C$47/1000</f>
        <v>0</v>
      </c>
      <c r="AI56" s="1117">
        <f>'1.1.1 PrimEnLR'!D56*Units!$C$14*Units!$C$59/1000</f>
        <v>0</v>
      </c>
      <c r="AJ56" s="1116"/>
      <c r="AK56" s="1116"/>
    </row>
    <row r="57" spans="1:37" x14ac:dyDescent="0.35">
      <c r="A57" s="1116">
        <v>1747</v>
      </c>
      <c r="B57" s="1116"/>
      <c r="C57" s="1116"/>
      <c r="D57" s="1116"/>
      <c r="E57" s="1119">
        <f t="shared" si="0"/>
        <v>1.782644166138007</v>
      </c>
      <c r="F57" s="1139">
        <f t="shared" si="1"/>
        <v>0</v>
      </c>
      <c r="G57" s="1116"/>
      <c r="H57" s="1139">
        <f t="shared" si="2"/>
        <v>1.782644166138007</v>
      </c>
      <c r="I57" s="1116"/>
      <c r="J57" s="1116"/>
      <c r="K57" s="1116"/>
      <c r="L57" s="1116"/>
      <c r="M57" s="1116"/>
      <c r="N57" s="1116"/>
      <c r="O57" s="1116"/>
      <c r="P57" s="1116"/>
      <c r="Q57" s="1116"/>
      <c r="R57" s="1116"/>
      <c r="S57" s="1116"/>
      <c r="T57" s="1116"/>
      <c r="U57" s="1116"/>
      <c r="V57" s="1116"/>
      <c r="W57" s="1116"/>
      <c r="X57" s="1116"/>
      <c r="Y57" s="1116"/>
      <c r="Z57" s="1116"/>
      <c r="AA57" s="1116"/>
      <c r="AB57" s="1116"/>
      <c r="AC57" s="1116"/>
      <c r="AD57" s="1116"/>
      <c r="AE57" s="1116"/>
      <c r="AF57" s="1140">
        <f t="shared" si="3"/>
        <v>1782.644166138007</v>
      </c>
      <c r="AG57" s="1117">
        <f>'1.1.1 PrimEnLR'!B57*'3.1.1 CO2LR'!$AG$9*Units!$C$47/1000</f>
        <v>1782.644166138007</v>
      </c>
      <c r="AH57" s="1117">
        <f>'1.1.1 PrimEnLR'!C57*'3.1.1 CO2LR'!$AG$9*Units!$C$47/1000</f>
        <v>0</v>
      </c>
      <c r="AI57" s="1117">
        <f>'1.1.1 PrimEnLR'!D57*Units!$C$14*Units!$C$59/1000</f>
        <v>0</v>
      </c>
      <c r="AJ57" s="1116"/>
      <c r="AK57" s="1116"/>
    </row>
    <row r="58" spans="1:37" x14ac:dyDescent="0.35">
      <c r="A58" s="1116">
        <v>1748</v>
      </c>
      <c r="B58" s="1116"/>
      <c r="C58" s="1116"/>
      <c r="D58" s="1116"/>
      <c r="E58" s="1119">
        <f t="shared" si="0"/>
        <v>1.7884369146419472</v>
      </c>
      <c r="F58" s="1139">
        <f t="shared" si="1"/>
        <v>0</v>
      </c>
      <c r="G58" s="1116"/>
      <c r="H58" s="1139">
        <f t="shared" si="2"/>
        <v>1.7884369146419472</v>
      </c>
      <c r="I58" s="1116"/>
      <c r="J58" s="1116"/>
      <c r="K58" s="1116"/>
      <c r="L58" s="1116"/>
      <c r="M58" s="1116"/>
      <c r="N58" s="1116"/>
      <c r="O58" s="1116"/>
      <c r="P58" s="1116"/>
      <c r="Q58" s="1116"/>
      <c r="R58" s="1116"/>
      <c r="S58" s="1116"/>
      <c r="T58" s="1116"/>
      <c r="U58" s="1116"/>
      <c r="V58" s="1116"/>
      <c r="W58" s="1116"/>
      <c r="X58" s="1116"/>
      <c r="Y58" s="1116"/>
      <c r="Z58" s="1116"/>
      <c r="AA58" s="1116"/>
      <c r="AB58" s="1116"/>
      <c r="AC58" s="1116"/>
      <c r="AD58" s="1116"/>
      <c r="AE58" s="1116"/>
      <c r="AF58" s="1140">
        <f t="shared" si="3"/>
        <v>1788.4369146419472</v>
      </c>
      <c r="AG58" s="1117">
        <f>'1.1.1 PrimEnLR'!B58*'3.1.1 CO2LR'!$AG$9*Units!$C$47/1000</f>
        <v>1788.4369146419472</v>
      </c>
      <c r="AH58" s="1117">
        <f>'1.1.1 PrimEnLR'!C58*'3.1.1 CO2LR'!$AG$9*Units!$C$47/1000</f>
        <v>0</v>
      </c>
      <c r="AI58" s="1117">
        <f>'1.1.1 PrimEnLR'!D58*Units!$C$14*Units!$C$59/1000</f>
        <v>0</v>
      </c>
      <c r="AJ58" s="1116"/>
      <c r="AK58" s="1116"/>
    </row>
    <row r="59" spans="1:37" x14ac:dyDescent="0.35">
      <c r="A59" s="1116">
        <v>1749</v>
      </c>
      <c r="B59" s="1116"/>
      <c r="C59" s="1116"/>
      <c r="D59" s="1116"/>
      <c r="E59" s="1119">
        <f t="shared" si="0"/>
        <v>1.7945352634219249</v>
      </c>
      <c r="F59" s="1139">
        <f t="shared" si="1"/>
        <v>0</v>
      </c>
      <c r="G59" s="1116"/>
      <c r="H59" s="1139">
        <f t="shared" si="2"/>
        <v>1.7945352634219249</v>
      </c>
      <c r="I59" s="1116"/>
      <c r="J59" s="1116"/>
      <c r="K59" s="1116"/>
      <c r="L59" s="1116"/>
      <c r="M59" s="1116"/>
      <c r="N59" s="1116"/>
      <c r="O59" s="1116"/>
      <c r="P59" s="1116"/>
      <c r="Q59" s="1116"/>
      <c r="R59" s="1116"/>
      <c r="S59" s="1116"/>
      <c r="T59" s="1116"/>
      <c r="U59" s="1116"/>
      <c r="V59" s="1116"/>
      <c r="W59" s="1116"/>
      <c r="X59" s="1116"/>
      <c r="Y59" s="1116"/>
      <c r="Z59" s="1116"/>
      <c r="AA59" s="1116"/>
      <c r="AB59" s="1116"/>
      <c r="AC59" s="1116"/>
      <c r="AD59" s="1116"/>
      <c r="AE59" s="1116"/>
      <c r="AF59" s="1140">
        <f t="shared" si="3"/>
        <v>1794.535263421925</v>
      </c>
      <c r="AG59" s="1117">
        <f>'1.1.1 PrimEnLR'!B59*'3.1.1 CO2LR'!$AG$9*Units!$C$47/1000</f>
        <v>1794.535263421925</v>
      </c>
      <c r="AH59" s="1117">
        <f>'1.1.1 PrimEnLR'!C59*'3.1.1 CO2LR'!$AG$9*Units!$C$47/1000</f>
        <v>0</v>
      </c>
      <c r="AI59" s="1117">
        <f>'1.1.1 PrimEnLR'!D59*Units!$C$14*Units!$C$59/1000</f>
        <v>0</v>
      </c>
      <c r="AJ59" s="1116"/>
      <c r="AK59" s="1116"/>
    </row>
    <row r="60" spans="1:37" x14ac:dyDescent="0.35">
      <c r="A60" s="1116">
        <v>1750</v>
      </c>
      <c r="B60" s="1116"/>
      <c r="C60" s="1119"/>
      <c r="D60" s="1119">
        <f t="shared" ref="D60:D123" si="4">U60/1000</f>
        <v>0</v>
      </c>
      <c r="E60" s="1119">
        <f>AG60/1000</f>
        <v>1.8133115730433473</v>
      </c>
      <c r="F60" s="1139">
        <f t="shared" ref="F60:F123" si="5">W60/1000</f>
        <v>0</v>
      </c>
      <c r="G60" s="1116"/>
      <c r="H60" s="1139">
        <f t="shared" ref="H60:H123" si="6">SUM(C60:G60)</f>
        <v>1.8133115730433473</v>
      </c>
      <c r="I60" s="1116"/>
      <c r="J60" s="1116"/>
      <c r="K60" s="1116"/>
      <c r="L60" s="1116"/>
      <c r="M60" s="1116"/>
      <c r="N60" s="1116"/>
      <c r="O60" s="1116"/>
      <c r="P60" s="1116"/>
      <c r="Q60" s="1116"/>
      <c r="R60" s="1116"/>
      <c r="S60" s="1116"/>
      <c r="T60" s="1116"/>
      <c r="U60" s="1116"/>
      <c r="V60" s="1116"/>
      <c r="W60" s="1116"/>
      <c r="X60" s="1116"/>
      <c r="Y60" s="1116"/>
      <c r="Z60" s="1116"/>
      <c r="AA60" s="1116"/>
      <c r="AB60" s="1116"/>
      <c r="AC60" s="1116"/>
      <c r="AD60" s="1116"/>
      <c r="AE60" s="1116"/>
      <c r="AF60" s="1140">
        <f t="shared" si="3"/>
        <v>1813.3115730433474</v>
      </c>
      <c r="AG60" s="1117">
        <f>'1.1.1 PrimEnLR'!B60*'3.1.1 CO2LR'!$AG$9*Units!$C$47/1000</f>
        <v>1813.3115730433474</v>
      </c>
      <c r="AH60" s="1117">
        <f>'1.1.1 PrimEnLR'!C60*'3.1.1 CO2LR'!$AG$9*Units!$C$47/1000</f>
        <v>0</v>
      </c>
      <c r="AI60" s="1117">
        <f>'1.1.1 PrimEnLR'!D60*Units!$C$14*Units!$C$59/1000</f>
        <v>0</v>
      </c>
      <c r="AJ60" s="1116"/>
      <c r="AK60" s="1116"/>
    </row>
    <row r="61" spans="1:37" x14ac:dyDescent="0.35">
      <c r="A61" s="1116">
        <v>1751</v>
      </c>
      <c r="B61" s="1116"/>
      <c r="C61" s="1119"/>
      <c r="D61" s="1119">
        <f t="shared" si="4"/>
        <v>0</v>
      </c>
      <c r="E61" s="1119">
        <f t="shared" ref="E61:E92" si="7">T61/1000</f>
        <v>2.552</v>
      </c>
      <c r="F61" s="1139">
        <f t="shared" si="5"/>
        <v>0</v>
      </c>
      <c r="G61" s="1116"/>
      <c r="H61" s="1139">
        <f t="shared" si="6"/>
        <v>2.552</v>
      </c>
      <c r="I61" s="1116"/>
      <c r="J61" s="1116"/>
      <c r="K61" s="1116"/>
      <c r="L61" s="1116"/>
      <c r="M61" s="1116"/>
      <c r="N61" s="1116"/>
      <c r="O61" s="1116"/>
      <c r="P61" s="1116"/>
      <c r="Q61" s="1116"/>
      <c r="R61" s="1116"/>
      <c r="S61" s="1117">
        <v>2552</v>
      </c>
      <c r="T61" s="1117">
        <v>2552</v>
      </c>
      <c r="U61" s="1117">
        <v>0</v>
      </c>
      <c r="V61" s="1117">
        <v>0</v>
      </c>
      <c r="W61" s="1117">
        <v>0</v>
      </c>
      <c r="X61" s="1117" t="s">
        <v>2171</v>
      </c>
      <c r="Y61" s="1117" t="s">
        <v>2171</v>
      </c>
      <c r="Z61" s="1117">
        <v>0</v>
      </c>
      <c r="AA61" s="1116"/>
      <c r="AB61" s="1116"/>
      <c r="AC61" s="1116"/>
      <c r="AD61" s="1116"/>
      <c r="AE61" s="1116"/>
      <c r="AF61" s="1140">
        <f t="shared" si="3"/>
        <v>1846.3289511245348</v>
      </c>
      <c r="AG61" s="1117">
        <f>'1.1.1 PrimEnLR'!B61*'3.1.1 CO2LR'!$AG$9*Units!$C$47/1000</f>
        <v>1846.3289511245348</v>
      </c>
      <c r="AH61" s="1117">
        <f>'1.1.1 PrimEnLR'!C61*'3.1.1 CO2LR'!$AG$9*Units!$C$47/1000</f>
        <v>0</v>
      </c>
      <c r="AI61" s="1117">
        <f>'1.1.1 PrimEnLR'!D61*Units!$C$14*Units!$C$59/1000</f>
        <v>0</v>
      </c>
      <c r="AJ61" s="1116"/>
      <c r="AK61" s="1116"/>
    </row>
    <row r="62" spans="1:37" x14ac:dyDescent="0.35">
      <c r="A62" s="1116">
        <v>1752</v>
      </c>
      <c r="B62" s="1116"/>
      <c r="C62" s="1119"/>
      <c r="D62" s="1119">
        <f t="shared" si="4"/>
        <v>0</v>
      </c>
      <c r="E62" s="1119">
        <f t="shared" si="7"/>
        <v>2.5529999999999999</v>
      </c>
      <c r="F62" s="1139">
        <f t="shared" si="5"/>
        <v>0</v>
      </c>
      <c r="G62" s="1116"/>
      <c r="H62" s="1139">
        <f t="shared" si="6"/>
        <v>2.5529999999999999</v>
      </c>
      <c r="I62" s="1116"/>
      <c r="J62" s="1116"/>
      <c r="K62" s="1116"/>
      <c r="L62" s="1116"/>
      <c r="M62" s="1116"/>
      <c r="N62" s="1116"/>
      <c r="O62" s="1116"/>
      <c r="P62" s="1116"/>
      <c r="Q62" s="1116"/>
      <c r="R62" s="1116"/>
      <c r="S62" s="1117">
        <v>2553</v>
      </c>
      <c r="T62" s="1117">
        <v>2553</v>
      </c>
      <c r="U62" s="1117">
        <v>0</v>
      </c>
      <c r="V62" s="1117">
        <v>0</v>
      </c>
      <c r="W62" s="1117">
        <v>0</v>
      </c>
      <c r="X62" s="1117" t="s">
        <v>2171</v>
      </c>
      <c r="Y62" s="1117" t="s">
        <v>2171</v>
      </c>
      <c r="Z62" s="1117">
        <v>0</v>
      </c>
      <c r="AA62" s="1116"/>
      <c r="AB62" s="1116"/>
      <c r="AC62" s="1116"/>
      <c r="AD62" s="1116"/>
      <c r="AE62" s="1116"/>
      <c r="AF62" s="1140">
        <f t="shared" si="3"/>
        <v>1903.6667848869038</v>
      </c>
      <c r="AG62" s="1117">
        <f>'1.1.1 PrimEnLR'!B62*'3.1.1 CO2LR'!$AG$9*Units!$C$47/1000</f>
        <v>1903.6667848869038</v>
      </c>
      <c r="AH62" s="1117">
        <f>'1.1.1 PrimEnLR'!C62*'3.1.1 CO2LR'!$AG$9*Units!$C$47/1000</f>
        <v>0</v>
      </c>
      <c r="AI62" s="1117">
        <f>'1.1.1 PrimEnLR'!D62*Units!$C$14*Units!$C$59/1000</f>
        <v>0</v>
      </c>
      <c r="AJ62" s="1116"/>
      <c r="AK62" s="1116"/>
    </row>
    <row r="63" spans="1:37" x14ac:dyDescent="0.35">
      <c r="A63" s="1116">
        <v>1753</v>
      </c>
      <c r="B63" s="1116"/>
      <c r="C63" s="1119"/>
      <c r="D63" s="1119">
        <f t="shared" si="4"/>
        <v>0</v>
      </c>
      <c r="E63" s="1119">
        <f t="shared" si="7"/>
        <v>2.5529999999999999</v>
      </c>
      <c r="F63" s="1139">
        <f t="shared" si="5"/>
        <v>0</v>
      </c>
      <c r="G63" s="1116"/>
      <c r="H63" s="1139">
        <f t="shared" si="6"/>
        <v>2.5529999999999999</v>
      </c>
      <c r="I63" s="1116"/>
      <c r="J63" s="1116"/>
      <c r="K63" s="1116"/>
      <c r="L63" s="1116"/>
      <c r="M63" s="1116"/>
      <c r="N63" s="1116"/>
      <c r="O63" s="1116"/>
      <c r="P63" s="1116"/>
      <c r="Q63" s="1116"/>
      <c r="R63" s="1116"/>
      <c r="S63" s="1117">
        <v>2553</v>
      </c>
      <c r="T63" s="1117">
        <v>2553</v>
      </c>
      <c r="U63" s="1117">
        <v>0</v>
      </c>
      <c r="V63" s="1117">
        <v>0</v>
      </c>
      <c r="W63" s="1117">
        <v>0</v>
      </c>
      <c r="X63" s="1117" t="s">
        <v>2171</v>
      </c>
      <c r="Y63" s="1117" t="s">
        <v>2171</v>
      </c>
      <c r="Z63" s="1117">
        <v>0</v>
      </c>
      <c r="AA63" s="1116"/>
      <c r="AB63" s="1116"/>
      <c r="AC63" s="1116"/>
      <c r="AD63" s="1116"/>
      <c r="AE63" s="1116"/>
      <c r="AF63" s="1140">
        <f t="shared" si="3"/>
        <v>1954.0237384475474</v>
      </c>
      <c r="AG63" s="1117">
        <f>'1.1.1 PrimEnLR'!B63*'3.1.1 CO2LR'!$AG$9*Units!$C$47/1000</f>
        <v>1954.0237384475474</v>
      </c>
      <c r="AH63" s="1117">
        <f>'1.1.1 PrimEnLR'!C63*'3.1.1 CO2LR'!$AG$9*Units!$C$47/1000</f>
        <v>0</v>
      </c>
      <c r="AI63" s="1117">
        <f>'1.1.1 PrimEnLR'!D63*Units!$C$14*Units!$C$59/1000</f>
        <v>0</v>
      </c>
      <c r="AJ63" s="1116"/>
      <c r="AK63" s="1116"/>
    </row>
    <row r="64" spans="1:37" x14ac:dyDescent="0.35">
      <c r="A64" s="1116">
        <v>1754</v>
      </c>
      <c r="B64" s="1116"/>
      <c r="C64" s="1119"/>
      <c r="D64" s="1119">
        <f t="shared" si="4"/>
        <v>0</v>
      </c>
      <c r="E64" s="1119">
        <f t="shared" si="7"/>
        <v>2.5539999999999998</v>
      </c>
      <c r="F64" s="1139">
        <f t="shared" si="5"/>
        <v>0</v>
      </c>
      <c r="G64" s="1116"/>
      <c r="H64" s="1139">
        <f t="shared" si="6"/>
        <v>2.5539999999999998</v>
      </c>
      <c r="I64" s="1116"/>
      <c r="J64" s="1116"/>
      <c r="K64" s="1116"/>
      <c r="L64" s="1116"/>
      <c r="M64" s="1116"/>
      <c r="N64" s="1116"/>
      <c r="O64" s="1116"/>
      <c r="P64" s="1116"/>
      <c r="Q64" s="1116"/>
      <c r="R64" s="1116"/>
      <c r="S64" s="1117">
        <v>2554</v>
      </c>
      <c r="T64" s="1117">
        <v>2554</v>
      </c>
      <c r="U64" s="1117">
        <v>0</v>
      </c>
      <c r="V64" s="1117">
        <v>0</v>
      </c>
      <c r="W64" s="1117">
        <v>0</v>
      </c>
      <c r="X64" s="1117" t="s">
        <v>2171</v>
      </c>
      <c r="Y64" s="1117" t="s">
        <v>2171</v>
      </c>
      <c r="Z64" s="1117">
        <v>0</v>
      </c>
      <c r="AA64" s="1116"/>
      <c r="AB64" s="1116"/>
      <c r="AC64" s="1116"/>
      <c r="AD64" s="1116"/>
      <c r="AE64" s="1116"/>
      <c r="AF64" s="1140">
        <f t="shared" si="3"/>
        <v>2011.2277226884639</v>
      </c>
      <c r="AG64" s="1117">
        <f>'1.1.1 PrimEnLR'!B64*'3.1.1 CO2LR'!$AG$9*Units!$C$47/1000</f>
        <v>2011.2277226884639</v>
      </c>
      <c r="AH64" s="1117">
        <f>'1.1.1 PrimEnLR'!C64*'3.1.1 CO2LR'!$AG$9*Units!$C$47/1000</f>
        <v>0</v>
      </c>
      <c r="AI64" s="1117">
        <f>'1.1.1 PrimEnLR'!D64*Units!$C$14*Units!$C$59/1000</f>
        <v>0</v>
      </c>
      <c r="AJ64" s="1116"/>
      <c r="AK64" s="1116"/>
    </row>
    <row r="65" spans="1:37" x14ac:dyDescent="0.35">
      <c r="A65" s="1116">
        <v>1755</v>
      </c>
      <c r="B65" s="1116"/>
      <c r="C65" s="1119"/>
      <c r="D65" s="1119">
        <f t="shared" si="4"/>
        <v>0</v>
      </c>
      <c r="E65" s="1119">
        <f t="shared" si="7"/>
        <v>2.5550000000000002</v>
      </c>
      <c r="F65" s="1139">
        <f t="shared" si="5"/>
        <v>0</v>
      </c>
      <c r="G65" s="1116"/>
      <c r="H65" s="1139">
        <f t="shared" si="6"/>
        <v>2.5550000000000002</v>
      </c>
      <c r="I65" s="1116"/>
      <c r="J65" s="1116"/>
      <c r="K65" s="1116"/>
      <c r="L65" s="1116"/>
      <c r="M65" s="1116"/>
      <c r="N65" s="1116"/>
      <c r="O65" s="1116"/>
      <c r="P65" s="1116"/>
      <c r="Q65" s="1116"/>
      <c r="R65" s="1116"/>
      <c r="S65" s="1117">
        <v>2555</v>
      </c>
      <c r="T65" s="1117">
        <v>2555</v>
      </c>
      <c r="U65" s="1117">
        <v>0</v>
      </c>
      <c r="V65" s="1117">
        <v>0</v>
      </c>
      <c r="W65" s="1117">
        <v>0</v>
      </c>
      <c r="X65" s="1117" t="s">
        <v>2171</v>
      </c>
      <c r="Y65" s="1117" t="s">
        <v>2171</v>
      </c>
      <c r="Z65" s="1117">
        <v>0</v>
      </c>
      <c r="AA65" s="1116"/>
      <c r="AB65" s="1116"/>
      <c r="AC65" s="1116"/>
      <c r="AD65" s="1116"/>
      <c r="AE65" s="1116"/>
      <c r="AF65" s="1140">
        <f t="shared" si="3"/>
        <v>2065.8140394305497</v>
      </c>
      <c r="AG65" s="1117">
        <f>'1.1.1 PrimEnLR'!B65*'3.1.1 CO2LR'!$AG$9*Units!$C$47/1000</f>
        <v>2065.8140394305497</v>
      </c>
      <c r="AH65" s="1117">
        <f>'1.1.1 PrimEnLR'!C65*'3.1.1 CO2LR'!$AG$9*Units!$C$47/1000</f>
        <v>0</v>
      </c>
      <c r="AI65" s="1117">
        <f>'1.1.1 PrimEnLR'!D65*Units!$C$14*Units!$C$59/1000</f>
        <v>0</v>
      </c>
      <c r="AJ65" s="1116"/>
      <c r="AK65" s="1116"/>
    </row>
    <row r="66" spans="1:37" x14ac:dyDescent="0.35">
      <c r="A66" s="1116">
        <v>1756</v>
      </c>
      <c r="B66" s="1116"/>
      <c r="C66" s="1119"/>
      <c r="D66" s="1119">
        <f t="shared" si="4"/>
        <v>0</v>
      </c>
      <c r="E66" s="1119">
        <f t="shared" si="7"/>
        <v>2.7309999999999999</v>
      </c>
      <c r="F66" s="1139">
        <f t="shared" si="5"/>
        <v>0</v>
      </c>
      <c r="G66" s="1116"/>
      <c r="H66" s="1139">
        <f t="shared" si="6"/>
        <v>2.7309999999999999</v>
      </c>
      <c r="I66" s="1116"/>
      <c r="J66" s="1116"/>
      <c r="K66" s="1116"/>
      <c r="L66" s="1116"/>
      <c r="M66" s="1116"/>
      <c r="N66" s="1116"/>
      <c r="O66" s="1116"/>
      <c r="P66" s="1116"/>
      <c r="Q66" s="1116"/>
      <c r="R66" s="1116"/>
      <c r="S66" s="1117">
        <v>2731</v>
      </c>
      <c r="T66" s="1117">
        <v>2731</v>
      </c>
      <c r="U66" s="1117">
        <v>0</v>
      </c>
      <c r="V66" s="1117">
        <v>0</v>
      </c>
      <c r="W66" s="1117">
        <v>0</v>
      </c>
      <c r="X66" s="1117" t="s">
        <v>2171</v>
      </c>
      <c r="Y66" s="1117" t="s">
        <v>2171</v>
      </c>
      <c r="Z66" s="1117">
        <v>0</v>
      </c>
      <c r="AA66" s="1116"/>
      <c r="AB66" s="1116"/>
      <c r="AC66" s="1116"/>
      <c r="AD66" s="1116"/>
      <c r="AE66" s="1116"/>
      <c r="AF66" s="1140">
        <f t="shared" si="3"/>
        <v>2117.7805223250052</v>
      </c>
      <c r="AG66" s="1117">
        <f>'1.1.1 PrimEnLR'!B66*'3.1.1 CO2LR'!$AG$9*Units!$C$47/1000</f>
        <v>2117.7805223250052</v>
      </c>
      <c r="AH66" s="1117">
        <f>'1.1.1 PrimEnLR'!C66*'3.1.1 CO2LR'!$AG$9*Units!$C$47/1000</f>
        <v>0</v>
      </c>
      <c r="AI66" s="1117">
        <f>'1.1.1 PrimEnLR'!D66*Units!$C$14*Units!$C$59/1000</f>
        <v>0</v>
      </c>
      <c r="AJ66" s="1116"/>
      <c r="AK66" s="1116"/>
    </row>
    <row r="67" spans="1:37" x14ac:dyDescent="0.35">
      <c r="A67" s="1116">
        <v>1757</v>
      </c>
      <c r="B67" s="1116"/>
      <c r="C67" s="1119"/>
      <c r="D67" s="1119">
        <f t="shared" si="4"/>
        <v>0</v>
      </c>
      <c r="E67" s="1119">
        <f t="shared" si="7"/>
        <v>2.7320000000000002</v>
      </c>
      <c r="F67" s="1139">
        <f t="shared" si="5"/>
        <v>0</v>
      </c>
      <c r="G67" s="1116"/>
      <c r="H67" s="1139">
        <f t="shared" si="6"/>
        <v>2.7320000000000002</v>
      </c>
      <c r="I67" s="1116"/>
      <c r="J67" s="1116"/>
      <c r="K67" s="1116"/>
      <c r="L67" s="1116"/>
      <c r="M67" s="1116"/>
      <c r="N67" s="1116"/>
      <c r="O67" s="1116"/>
      <c r="P67" s="1116"/>
      <c r="Q67" s="1116"/>
      <c r="R67" s="1116"/>
      <c r="S67" s="1117">
        <v>2732</v>
      </c>
      <c r="T67" s="1117">
        <v>2732</v>
      </c>
      <c r="U67" s="1117">
        <v>0</v>
      </c>
      <c r="V67" s="1117">
        <v>0</v>
      </c>
      <c r="W67" s="1117">
        <v>0</v>
      </c>
      <c r="X67" s="1117" t="s">
        <v>2171</v>
      </c>
      <c r="Y67" s="1117" t="s">
        <v>2171</v>
      </c>
      <c r="Z67" s="1117">
        <v>0</v>
      </c>
      <c r="AA67" s="1116"/>
      <c r="AB67" s="1116"/>
      <c r="AC67" s="1116"/>
      <c r="AD67" s="1116"/>
      <c r="AE67" s="1116"/>
      <c r="AF67" s="1140">
        <f t="shared" si="3"/>
        <v>2178.4072650011617</v>
      </c>
      <c r="AG67" s="1117">
        <f>'1.1.1 PrimEnLR'!B67*'3.1.1 CO2LR'!$AG$9*Units!$C$47/1000</f>
        <v>2178.4072650011617</v>
      </c>
      <c r="AH67" s="1117">
        <f>'1.1.1 PrimEnLR'!C67*'3.1.1 CO2LR'!$AG$9*Units!$C$47/1000</f>
        <v>0</v>
      </c>
      <c r="AI67" s="1117">
        <f>'1.1.1 PrimEnLR'!D67*Units!$C$14*Units!$C$59/1000</f>
        <v>0</v>
      </c>
      <c r="AJ67" s="1116"/>
      <c r="AK67" s="1116"/>
    </row>
    <row r="68" spans="1:37" x14ac:dyDescent="0.35">
      <c r="A68" s="1116">
        <v>1758</v>
      </c>
      <c r="B68" s="1116"/>
      <c r="C68" s="1119"/>
      <c r="D68" s="1119">
        <f t="shared" si="4"/>
        <v>0</v>
      </c>
      <c r="E68" s="1119">
        <f t="shared" si="7"/>
        <v>2.7330000000000001</v>
      </c>
      <c r="F68" s="1139">
        <f t="shared" si="5"/>
        <v>0</v>
      </c>
      <c r="G68" s="1116"/>
      <c r="H68" s="1139">
        <f t="shared" si="6"/>
        <v>2.7330000000000001</v>
      </c>
      <c r="I68" s="1116"/>
      <c r="J68" s="1116"/>
      <c r="K68" s="1116"/>
      <c r="L68" s="1116"/>
      <c r="M68" s="1116"/>
      <c r="N68" s="1116"/>
      <c r="O68" s="1116"/>
      <c r="P68" s="1116"/>
      <c r="Q68" s="1116"/>
      <c r="R68" s="1116"/>
      <c r="S68" s="1117">
        <v>2733</v>
      </c>
      <c r="T68" s="1117">
        <v>2733</v>
      </c>
      <c r="U68" s="1117">
        <v>0</v>
      </c>
      <c r="V68" s="1117">
        <v>0</v>
      </c>
      <c r="W68" s="1117">
        <v>0</v>
      </c>
      <c r="X68" s="1117" t="s">
        <v>2171</v>
      </c>
      <c r="Y68" s="1117" t="s">
        <v>2171</v>
      </c>
      <c r="Z68" s="1117">
        <v>0</v>
      </c>
      <c r="AA68" s="1116"/>
      <c r="AB68" s="1116"/>
      <c r="AC68" s="1116"/>
      <c r="AD68" s="1116"/>
      <c r="AE68" s="1116"/>
      <c r="AF68" s="1140">
        <f t="shared" si="3"/>
        <v>2229.1307174271137</v>
      </c>
      <c r="AG68" s="1117">
        <f>'1.1.1 PrimEnLR'!B68*'3.1.1 CO2LR'!$AG$9*Units!$C$47/1000</f>
        <v>2229.1307174271137</v>
      </c>
      <c r="AH68" s="1117">
        <f>'1.1.1 PrimEnLR'!C68*'3.1.1 CO2LR'!$AG$9*Units!$C$47/1000</f>
        <v>0</v>
      </c>
      <c r="AI68" s="1117">
        <f>'1.1.1 PrimEnLR'!D68*Units!$C$14*Units!$C$59/1000</f>
        <v>0</v>
      </c>
      <c r="AJ68" s="1116"/>
      <c r="AK68" s="1116"/>
    </row>
    <row r="69" spans="1:37" x14ac:dyDescent="0.35">
      <c r="A69" s="1116">
        <v>1759</v>
      </c>
      <c r="B69" s="1116"/>
      <c r="C69" s="1119"/>
      <c r="D69" s="1119">
        <f t="shared" si="4"/>
        <v>0</v>
      </c>
      <c r="E69" s="1119">
        <f t="shared" si="7"/>
        <v>2.734</v>
      </c>
      <c r="F69" s="1139">
        <f t="shared" si="5"/>
        <v>0</v>
      </c>
      <c r="G69" s="1116"/>
      <c r="H69" s="1139">
        <f t="shared" si="6"/>
        <v>2.734</v>
      </c>
      <c r="I69" s="1116"/>
      <c r="J69" s="1116"/>
      <c r="K69" s="1116"/>
      <c r="L69" s="1116"/>
      <c r="M69" s="1116"/>
      <c r="N69" s="1116"/>
      <c r="O69" s="1116"/>
      <c r="P69" s="1116"/>
      <c r="Q69" s="1116"/>
      <c r="R69" s="1116"/>
      <c r="S69" s="1117">
        <v>2734</v>
      </c>
      <c r="T69" s="1117">
        <v>2734</v>
      </c>
      <c r="U69" s="1117">
        <v>0</v>
      </c>
      <c r="V69" s="1117">
        <v>0</v>
      </c>
      <c r="W69" s="1117">
        <v>0</v>
      </c>
      <c r="X69" s="1117" t="s">
        <v>2171</v>
      </c>
      <c r="Y69" s="1117" t="s">
        <v>2171</v>
      </c>
      <c r="Z69" s="1117">
        <v>0</v>
      </c>
      <c r="AA69" s="1116"/>
      <c r="AB69" s="1116"/>
      <c r="AC69" s="1116"/>
      <c r="AD69" s="1116"/>
      <c r="AE69" s="1116"/>
      <c r="AF69" s="1140">
        <f t="shared" si="3"/>
        <v>2283.4145091400155</v>
      </c>
      <c r="AG69" s="1117">
        <f>'1.1.1 PrimEnLR'!B69*'3.1.1 CO2LR'!$AG$9*Units!$C$47/1000</f>
        <v>2283.4145091400155</v>
      </c>
      <c r="AH69" s="1117">
        <f>'1.1.1 PrimEnLR'!C69*'3.1.1 CO2LR'!$AG$9*Units!$C$47/1000</f>
        <v>0</v>
      </c>
      <c r="AI69" s="1117">
        <f>'1.1.1 PrimEnLR'!D69*Units!$C$14*Units!$C$59/1000</f>
        <v>0</v>
      </c>
      <c r="AJ69" s="1116"/>
      <c r="AK69" s="1116"/>
    </row>
    <row r="70" spans="1:37" x14ac:dyDescent="0.35">
      <c r="A70" s="1116">
        <v>1760</v>
      </c>
      <c r="B70" s="1116"/>
      <c r="C70" s="1119"/>
      <c r="D70" s="1119">
        <f t="shared" si="4"/>
        <v>0</v>
      </c>
      <c r="E70" s="1119">
        <f t="shared" si="7"/>
        <v>2.734</v>
      </c>
      <c r="F70" s="1139">
        <f t="shared" si="5"/>
        <v>0</v>
      </c>
      <c r="G70" s="1116"/>
      <c r="H70" s="1139">
        <f t="shared" si="6"/>
        <v>2.734</v>
      </c>
      <c r="I70" s="1116"/>
      <c r="J70" s="1116"/>
      <c r="K70" s="1116"/>
      <c r="L70" s="1116"/>
      <c r="M70" s="1116"/>
      <c r="N70" s="1116"/>
      <c r="O70" s="1116"/>
      <c r="P70" s="1116"/>
      <c r="Q70" s="1116"/>
      <c r="R70" s="1116"/>
      <c r="S70" s="1117">
        <v>2734</v>
      </c>
      <c r="T70" s="1117">
        <v>2734</v>
      </c>
      <c r="U70" s="1117">
        <v>0</v>
      </c>
      <c r="V70" s="1117">
        <v>0</v>
      </c>
      <c r="W70" s="1117">
        <v>0</v>
      </c>
      <c r="X70" s="1117" t="s">
        <v>2171</v>
      </c>
      <c r="Y70" s="1117" t="s">
        <v>2171</v>
      </c>
      <c r="Z70" s="1117">
        <v>0</v>
      </c>
      <c r="AA70" s="1116"/>
      <c r="AB70" s="1116"/>
      <c r="AC70" s="1116"/>
      <c r="AD70" s="1116"/>
      <c r="AE70" s="1116"/>
      <c r="AF70" s="1140">
        <f t="shared" si="3"/>
        <v>2334.7051645295178</v>
      </c>
      <c r="AG70" s="1117">
        <f>'1.1.1 PrimEnLR'!B70*'3.1.1 CO2LR'!$AG$9*Units!$C$47/1000</f>
        <v>2334.7051645295178</v>
      </c>
      <c r="AH70" s="1117">
        <f>'1.1.1 PrimEnLR'!C70*'3.1.1 CO2LR'!$AG$9*Units!$C$47/1000</f>
        <v>0</v>
      </c>
      <c r="AI70" s="1117">
        <f>'1.1.1 PrimEnLR'!D70*Units!$C$14*Units!$C$59/1000</f>
        <v>0</v>
      </c>
      <c r="AJ70" s="1116"/>
      <c r="AK70" s="1116"/>
    </row>
    <row r="71" spans="1:37" x14ac:dyDescent="0.35">
      <c r="A71" s="1116">
        <v>1761</v>
      </c>
      <c r="B71" s="1116"/>
      <c r="C71" s="1119"/>
      <c r="D71" s="1119">
        <f t="shared" si="4"/>
        <v>0</v>
      </c>
      <c r="E71" s="1119">
        <f t="shared" si="7"/>
        <v>2.9950000000000001</v>
      </c>
      <c r="F71" s="1139">
        <f t="shared" si="5"/>
        <v>0</v>
      </c>
      <c r="G71" s="1116"/>
      <c r="H71" s="1139">
        <f t="shared" si="6"/>
        <v>2.9950000000000001</v>
      </c>
      <c r="I71" s="1116"/>
      <c r="J71" s="1116"/>
      <c r="K71" s="1116"/>
      <c r="L71" s="1116"/>
      <c r="M71" s="1116"/>
      <c r="N71" s="1116"/>
      <c r="O71" s="1116"/>
      <c r="P71" s="1116"/>
      <c r="Q71" s="1116"/>
      <c r="R71" s="1116"/>
      <c r="S71" s="1117">
        <v>2995</v>
      </c>
      <c r="T71" s="1117">
        <v>2995</v>
      </c>
      <c r="U71" s="1117">
        <v>0</v>
      </c>
      <c r="V71" s="1117">
        <v>0</v>
      </c>
      <c r="W71" s="1117">
        <v>0</v>
      </c>
      <c r="X71" s="1117" t="s">
        <v>2171</v>
      </c>
      <c r="Y71" s="1117" t="s">
        <v>2171</v>
      </c>
      <c r="Z71" s="1117">
        <v>0</v>
      </c>
      <c r="AA71" s="1116"/>
      <c r="AB71" s="1116"/>
      <c r="AC71" s="1116"/>
      <c r="AD71" s="1116"/>
      <c r="AE71" s="1116"/>
      <c r="AF71" s="1140">
        <f t="shared" si="3"/>
        <v>2371.7178338931717</v>
      </c>
      <c r="AG71" s="1117">
        <f>'1.1.1 PrimEnLR'!B71*'3.1.1 CO2LR'!$AG$9*Units!$C$47/1000</f>
        <v>2371.7178338931717</v>
      </c>
      <c r="AH71" s="1117">
        <f>'1.1.1 PrimEnLR'!C71*'3.1.1 CO2LR'!$AG$9*Units!$C$47/1000</f>
        <v>0</v>
      </c>
      <c r="AI71" s="1117">
        <f>'1.1.1 PrimEnLR'!D71*Units!$C$14*Units!$C$59/1000</f>
        <v>0</v>
      </c>
      <c r="AJ71" s="1116"/>
      <c r="AK71" s="1116"/>
    </row>
    <row r="72" spans="1:37" x14ac:dyDescent="0.35">
      <c r="A72" s="1116">
        <v>1762</v>
      </c>
      <c r="B72" s="1116"/>
      <c r="C72" s="1119"/>
      <c r="D72" s="1119">
        <f t="shared" si="4"/>
        <v>0</v>
      </c>
      <c r="E72" s="1119">
        <f t="shared" si="7"/>
        <v>2.996</v>
      </c>
      <c r="F72" s="1139">
        <f t="shared" si="5"/>
        <v>0</v>
      </c>
      <c r="G72" s="1116"/>
      <c r="H72" s="1139">
        <f t="shared" si="6"/>
        <v>2.996</v>
      </c>
      <c r="I72" s="1116"/>
      <c r="J72" s="1116"/>
      <c r="K72" s="1116"/>
      <c r="L72" s="1116"/>
      <c r="M72" s="1116"/>
      <c r="N72" s="1116"/>
      <c r="O72" s="1116"/>
      <c r="P72" s="1116"/>
      <c r="Q72" s="1116"/>
      <c r="R72" s="1116"/>
      <c r="S72" s="1117">
        <v>2996</v>
      </c>
      <c r="T72" s="1117">
        <v>2996</v>
      </c>
      <c r="U72" s="1117">
        <v>0</v>
      </c>
      <c r="V72" s="1117">
        <v>0</v>
      </c>
      <c r="W72" s="1117">
        <v>0</v>
      </c>
      <c r="X72" s="1117" t="s">
        <v>2171</v>
      </c>
      <c r="Y72" s="1117" t="s">
        <v>2171</v>
      </c>
      <c r="Z72" s="1117">
        <v>0</v>
      </c>
      <c r="AA72" s="1116"/>
      <c r="AB72" s="1116"/>
      <c r="AC72" s="1116"/>
      <c r="AD72" s="1116"/>
      <c r="AE72" s="1116"/>
      <c r="AF72" s="1140">
        <f t="shared" si="3"/>
        <v>2422.8377069470525</v>
      </c>
      <c r="AG72" s="1117">
        <f>'1.1.1 PrimEnLR'!B72*'3.1.1 CO2LR'!$AG$9*Units!$C$47/1000</f>
        <v>2422.8377069470525</v>
      </c>
      <c r="AH72" s="1117">
        <f>'1.1.1 PrimEnLR'!C72*'3.1.1 CO2LR'!$AG$9*Units!$C$47/1000</f>
        <v>0</v>
      </c>
      <c r="AI72" s="1117">
        <f>'1.1.1 PrimEnLR'!D72*Units!$C$14*Units!$C$59/1000</f>
        <v>0</v>
      </c>
      <c r="AJ72" s="1116"/>
      <c r="AK72" s="1116"/>
    </row>
    <row r="73" spans="1:37" x14ac:dyDescent="0.35">
      <c r="A73" s="1116">
        <v>1763</v>
      </c>
      <c r="B73" s="1116"/>
      <c r="C73" s="1119"/>
      <c r="D73" s="1119">
        <f t="shared" si="4"/>
        <v>0</v>
      </c>
      <c r="E73" s="1119">
        <f t="shared" si="7"/>
        <v>2.9969999999999999</v>
      </c>
      <c r="F73" s="1139">
        <f t="shared" si="5"/>
        <v>0</v>
      </c>
      <c r="G73" s="1116"/>
      <c r="H73" s="1139">
        <f t="shared" si="6"/>
        <v>2.9969999999999999</v>
      </c>
      <c r="I73" s="1116"/>
      <c r="J73" s="1116"/>
      <c r="K73" s="1116"/>
      <c r="L73" s="1116"/>
      <c r="M73" s="1116"/>
      <c r="N73" s="1116"/>
      <c r="O73" s="1116"/>
      <c r="P73" s="1116"/>
      <c r="Q73" s="1116"/>
      <c r="R73" s="1116"/>
      <c r="S73" s="1117">
        <v>2997</v>
      </c>
      <c r="T73" s="1117">
        <v>2997</v>
      </c>
      <c r="U73" s="1117">
        <v>0</v>
      </c>
      <c r="V73" s="1117">
        <v>0</v>
      </c>
      <c r="W73" s="1117">
        <v>0</v>
      </c>
      <c r="X73" s="1117" t="s">
        <v>2171</v>
      </c>
      <c r="Y73" s="1117" t="s">
        <v>2171</v>
      </c>
      <c r="Z73" s="1117">
        <v>0</v>
      </c>
      <c r="AA73" s="1116"/>
      <c r="AB73" s="1116"/>
      <c r="AC73" s="1116"/>
      <c r="AD73" s="1116"/>
      <c r="AE73" s="1116"/>
      <c r="AF73" s="1140">
        <f t="shared" si="3"/>
        <v>2468.7729628363791</v>
      </c>
      <c r="AG73" s="1117">
        <f>'1.1.1 PrimEnLR'!B73*'3.1.1 CO2LR'!$AG$9*Units!$C$47/1000</f>
        <v>2468.7729628363791</v>
      </c>
      <c r="AH73" s="1117">
        <f>'1.1.1 PrimEnLR'!C73*'3.1.1 CO2LR'!$AG$9*Units!$C$47/1000</f>
        <v>0</v>
      </c>
      <c r="AI73" s="1117">
        <f>'1.1.1 PrimEnLR'!D73*Units!$C$14*Units!$C$59/1000</f>
        <v>0</v>
      </c>
      <c r="AJ73" s="1116"/>
      <c r="AK73" s="1116"/>
    </row>
    <row r="74" spans="1:37" x14ac:dyDescent="0.35">
      <c r="A74" s="1116">
        <v>1764</v>
      </c>
      <c r="B74" s="1116"/>
      <c r="C74" s="1119"/>
      <c r="D74" s="1119">
        <f t="shared" si="4"/>
        <v>0</v>
      </c>
      <c r="E74" s="1119">
        <f t="shared" si="7"/>
        <v>2.9980000000000002</v>
      </c>
      <c r="F74" s="1139">
        <f t="shared" si="5"/>
        <v>0</v>
      </c>
      <c r="G74" s="1116"/>
      <c r="H74" s="1139">
        <f t="shared" si="6"/>
        <v>2.9980000000000002</v>
      </c>
      <c r="I74" s="1116"/>
      <c r="J74" s="1116"/>
      <c r="K74" s="1116"/>
      <c r="L74" s="1116"/>
      <c r="M74" s="1116"/>
      <c r="N74" s="1116"/>
      <c r="O74" s="1116"/>
      <c r="P74" s="1116"/>
      <c r="Q74" s="1116"/>
      <c r="R74" s="1116"/>
      <c r="S74" s="1117">
        <v>2998</v>
      </c>
      <c r="T74" s="1117">
        <v>2998</v>
      </c>
      <c r="U74" s="1117">
        <v>0</v>
      </c>
      <c r="V74" s="1117">
        <v>0</v>
      </c>
      <c r="W74" s="1117">
        <v>0</v>
      </c>
      <c r="X74" s="1117" t="s">
        <v>2171</v>
      </c>
      <c r="Y74" s="1117" t="s">
        <v>2171</v>
      </c>
      <c r="Z74" s="1117">
        <v>0</v>
      </c>
      <c r="AA74" s="1116"/>
      <c r="AB74" s="1116"/>
      <c r="AC74" s="1116"/>
      <c r="AD74" s="1116"/>
      <c r="AE74" s="1116"/>
      <c r="AF74" s="1140">
        <f t="shared" ref="AF74:AF137" si="8">AG74+AH74+AI74</f>
        <v>2514.6160818982803</v>
      </c>
      <c r="AG74" s="1117">
        <f>'1.1.1 PrimEnLR'!B74*'3.1.1 CO2LR'!$AG$9*Units!$C$47/1000</f>
        <v>2514.6160818982803</v>
      </c>
      <c r="AH74" s="1117">
        <f>'1.1.1 PrimEnLR'!C74*'3.1.1 CO2LR'!$AG$9*Units!$C$47/1000</f>
        <v>0</v>
      </c>
      <c r="AI74" s="1117">
        <f>'1.1.1 PrimEnLR'!D74*Units!$C$14*Units!$C$59/1000</f>
        <v>0</v>
      </c>
      <c r="AJ74" s="1116"/>
      <c r="AK74" s="1116"/>
    </row>
    <row r="75" spans="1:37" x14ac:dyDescent="0.35">
      <c r="A75" s="1116">
        <v>1765</v>
      </c>
      <c r="B75" s="1116"/>
      <c r="C75" s="1119"/>
      <c r="D75" s="1119">
        <f t="shared" si="4"/>
        <v>0</v>
      </c>
      <c r="E75" s="1119">
        <f t="shared" si="7"/>
        <v>2.9990000000000001</v>
      </c>
      <c r="F75" s="1139">
        <f t="shared" si="5"/>
        <v>0</v>
      </c>
      <c r="G75" s="1116"/>
      <c r="H75" s="1139">
        <f t="shared" si="6"/>
        <v>2.9990000000000001</v>
      </c>
      <c r="I75" s="1116"/>
      <c r="J75" s="1116"/>
      <c r="K75" s="1116"/>
      <c r="L75" s="1116"/>
      <c r="M75" s="1116"/>
      <c r="N75" s="1116"/>
      <c r="O75" s="1116"/>
      <c r="P75" s="1116"/>
      <c r="Q75" s="1116"/>
      <c r="R75" s="1116"/>
      <c r="S75" s="1117">
        <v>2999</v>
      </c>
      <c r="T75" s="1117">
        <v>2999</v>
      </c>
      <c r="U75" s="1117">
        <v>0</v>
      </c>
      <c r="V75" s="1117">
        <v>0</v>
      </c>
      <c r="W75" s="1117">
        <v>0</v>
      </c>
      <c r="X75" s="1117" t="s">
        <v>2171</v>
      </c>
      <c r="Y75" s="1117" t="s">
        <v>2171</v>
      </c>
      <c r="Z75" s="1117">
        <v>0</v>
      </c>
      <c r="AA75" s="1116"/>
      <c r="AB75" s="1116"/>
      <c r="AC75" s="1116"/>
      <c r="AD75" s="1116"/>
      <c r="AE75" s="1116"/>
      <c r="AF75" s="1140">
        <f t="shared" si="8"/>
        <v>2530.8845859831495</v>
      </c>
      <c r="AG75" s="1117">
        <f>'1.1.1 PrimEnLR'!B75*'3.1.1 CO2LR'!$AG$9*Units!$C$47/1000</f>
        <v>2530.8845859831495</v>
      </c>
      <c r="AH75" s="1117">
        <f>'1.1.1 PrimEnLR'!C75*'3.1.1 CO2LR'!$AG$9*Units!$C$47/1000</f>
        <v>0</v>
      </c>
      <c r="AI75" s="1117">
        <f>'1.1.1 PrimEnLR'!D75*Units!$C$14*Units!$C$59/1000</f>
        <v>0</v>
      </c>
      <c r="AJ75" s="1116"/>
      <c r="AK75" s="1116"/>
    </row>
    <row r="76" spans="1:37" x14ac:dyDescent="0.35">
      <c r="A76" s="1116">
        <v>1766</v>
      </c>
      <c r="B76" s="1116"/>
      <c r="C76" s="1119"/>
      <c r="D76" s="1119">
        <f t="shared" si="4"/>
        <v>0</v>
      </c>
      <c r="E76" s="1119">
        <f t="shared" si="7"/>
        <v>3.3460000000000001</v>
      </c>
      <c r="F76" s="1139">
        <f t="shared" si="5"/>
        <v>0</v>
      </c>
      <c r="G76" s="1116"/>
      <c r="H76" s="1139">
        <f t="shared" si="6"/>
        <v>3.3460000000000001</v>
      </c>
      <c r="I76" s="1116"/>
      <c r="J76" s="1116"/>
      <c r="K76" s="1116"/>
      <c r="L76" s="1116"/>
      <c r="M76" s="1116"/>
      <c r="N76" s="1116"/>
      <c r="O76" s="1116"/>
      <c r="P76" s="1116"/>
      <c r="Q76" s="1116"/>
      <c r="R76" s="1116"/>
      <c r="S76" s="1117">
        <v>3346</v>
      </c>
      <c r="T76" s="1117">
        <v>3346</v>
      </c>
      <c r="U76" s="1117">
        <v>0</v>
      </c>
      <c r="V76" s="1117">
        <v>0</v>
      </c>
      <c r="W76" s="1117">
        <v>0</v>
      </c>
      <c r="X76" s="1117" t="s">
        <v>2171</v>
      </c>
      <c r="Y76" s="1117" t="s">
        <v>2171</v>
      </c>
      <c r="Z76" s="1117">
        <v>0</v>
      </c>
      <c r="AA76" s="1116"/>
      <c r="AB76" s="1116"/>
      <c r="AC76" s="1116"/>
      <c r="AD76" s="1116"/>
      <c r="AE76" s="1116"/>
      <c r="AF76" s="1140">
        <f t="shared" si="8"/>
        <v>2520.1231595876288</v>
      </c>
      <c r="AG76" s="1117">
        <f>'1.1.1 PrimEnLR'!B76*'3.1.1 CO2LR'!$AG$9*Units!$C$47/1000</f>
        <v>2520.1231595876288</v>
      </c>
      <c r="AH76" s="1117">
        <f>'1.1.1 PrimEnLR'!C76*'3.1.1 CO2LR'!$AG$9*Units!$C$47/1000</f>
        <v>0</v>
      </c>
      <c r="AI76" s="1117">
        <f>'1.1.1 PrimEnLR'!D76*Units!$C$14*Units!$C$59/1000</f>
        <v>0</v>
      </c>
      <c r="AJ76" s="1116"/>
      <c r="AK76" s="1116"/>
    </row>
    <row r="77" spans="1:37" x14ac:dyDescent="0.35">
      <c r="A77" s="1116">
        <v>1767</v>
      </c>
      <c r="B77" s="1116"/>
      <c r="C77" s="1119"/>
      <c r="D77" s="1119">
        <f t="shared" si="4"/>
        <v>0</v>
      </c>
      <c r="E77" s="1119">
        <f t="shared" si="7"/>
        <v>3.347</v>
      </c>
      <c r="F77" s="1139">
        <f t="shared" si="5"/>
        <v>0</v>
      </c>
      <c r="G77" s="1116"/>
      <c r="H77" s="1139">
        <f t="shared" si="6"/>
        <v>3.347</v>
      </c>
      <c r="I77" s="1116"/>
      <c r="J77" s="1116"/>
      <c r="K77" s="1116"/>
      <c r="L77" s="1116"/>
      <c r="M77" s="1116"/>
      <c r="N77" s="1116"/>
      <c r="O77" s="1116"/>
      <c r="P77" s="1116"/>
      <c r="Q77" s="1116"/>
      <c r="R77" s="1116"/>
      <c r="S77" s="1117">
        <v>3347</v>
      </c>
      <c r="T77" s="1117">
        <v>3347</v>
      </c>
      <c r="U77" s="1117">
        <v>0</v>
      </c>
      <c r="V77" s="1117">
        <v>0</v>
      </c>
      <c r="W77" s="1117">
        <v>0</v>
      </c>
      <c r="X77" s="1117" t="s">
        <v>2171</v>
      </c>
      <c r="Y77" s="1117" t="s">
        <v>2171</v>
      </c>
      <c r="Z77" s="1117">
        <v>0</v>
      </c>
      <c r="AA77" s="1116"/>
      <c r="AB77" s="1116"/>
      <c r="AC77" s="1116"/>
      <c r="AD77" s="1116"/>
      <c r="AE77" s="1116"/>
      <c r="AF77" s="1140">
        <f t="shared" si="8"/>
        <v>2576.9547423376152</v>
      </c>
      <c r="AG77" s="1117">
        <f>'1.1.1 PrimEnLR'!B77*'3.1.1 CO2LR'!$AG$9*Units!$C$47/1000</f>
        <v>2576.9547423376152</v>
      </c>
      <c r="AH77" s="1117">
        <f>'1.1.1 PrimEnLR'!C77*'3.1.1 CO2LR'!$AG$9*Units!$C$47/1000</f>
        <v>0</v>
      </c>
      <c r="AI77" s="1117">
        <f>'1.1.1 PrimEnLR'!D77*Units!$C$14*Units!$C$59/1000</f>
        <v>0</v>
      </c>
      <c r="AJ77" s="1116"/>
      <c r="AK77" s="1116"/>
    </row>
    <row r="78" spans="1:37" x14ac:dyDescent="0.35">
      <c r="A78" s="1116">
        <v>1768</v>
      </c>
      <c r="B78" s="1116"/>
      <c r="C78" s="1119"/>
      <c r="D78" s="1119">
        <f t="shared" si="4"/>
        <v>0</v>
      </c>
      <c r="E78" s="1119">
        <f t="shared" si="7"/>
        <v>3.3479999999999999</v>
      </c>
      <c r="F78" s="1139">
        <f t="shared" si="5"/>
        <v>0</v>
      </c>
      <c r="G78" s="1116"/>
      <c r="H78" s="1139">
        <f t="shared" si="6"/>
        <v>3.3479999999999999</v>
      </c>
      <c r="I78" s="1116"/>
      <c r="J78" s="1116"/>
      <c r="K78" s="1116"/>
      <c r="L78" s="1116"/>
      <c r="M78" s="1116"/>
      <c r="N78" s="1116"/>
      <c r="O78" s="1116"/>
      <c r="P78" s="1116"/>
      <c r="Q78" s="1116"/>
      <c r="R78" s="1116"/>
      <c r="S78" s="1117">
        <v>3348</v>
      </c>
      <c r="T78" s="1117">
        <v>3348</v>
      </c>
      <c r="U78" s="1117">
        <v>0</v>
      </c>
      <c r="V78" s="1117">
        <v>0</v>
      </c>
      <c r="W78" s="1117">
        <v>0</v>
      </c>
      <c r="X78" s="1117" t="s">
        <v>2171</v>
      </c>
      <c r="Y78" s="1117" t="s">
        <v>2171</v>
      </c>
      <c r="Z78" s="1117">
        <v>0</v>
      </c>
      <c r="AA78" s="1116"/>
      <c r="AB78" s="1116"/>
      <c r="AC78" s="1116"/>
      <c r="AD78" s="1116"/>
      <c r="AE78" s="1116"/>
      <c r="AF78" s="1140">
        <f t="shared" si="8"/>
        <v>2663.1618786692065</v>
      </c>
      <c r="AG78" s="1117">
        <f>'1.1.1 PrimEnLR'!B78*'3.1.1 CO2LR'!$AG$9*Units!$C$47/1000</f>
        <v>2663.1618786692065</v>
      </c>
      <c r="AH78" s="1117">
        <f>'1.1.1 PrimEnLR'!C78*'3.1.1 CO2LR'!$AG$9*Units!$C$47/1000</f>
        <v>0</v>
      </c>
      <c r="AI78" s="1117">
        <f>'1.1.1 PrimEnLR'!D78*Units!$C$14*Units!$C$59/1000</f>
        <v>0</v>
      </c>
      <c r="AJ78" s="1116"/>
      <c r="AK78" s="1116"/>
    </row>
    <row r="79" spans="1:37" x14ac:dyDescent="0.35">
      <c r="A79" s="1116">
        <v>1769</v>
      </c>
      <c r="B79" s="1116"/>
      <c r="C79" s="1119"/>
      <c r="D79" s="1119">
        <f t="shared" si="4"/>
        <v>0</v>
      </c>
      <c r="E79" s="1119">
        <f t="shared" si="7"/>
        <v>3.3490000000000002</v>
      </c>
      <c r="F79" s="1139">
        <f t="shared" si="5"/>
        <v>0</v>
      </c>
      <c r="G79" s="1116"/>
      <c r="H79" s="1139">
        <f t="shared" si="6"/>
        <v>3.3490000000000002</v>
      </c>
      <c r="I79" s="1116"/>
      <c r="J79" s="1116"/>
      <c r="K79" s="1116"/>
      <c r="L79" s="1116"/>
      <c r="M79" s="1116"/>
      <c r="N79" s="1116"/>
      <c r="O79" s="1116"/>
      <c r="P79" s="1116"/>
      <c r="Q79" s="1116"/>
      <c r="R79" s="1116"/>
      <c r="S79" s="1117">
        <v>3349</v>
      </c>
      <c r="T79" s="1117">
        <v>3349</v>
      </c>
      <c r="U79" s="1117">
        <v>0</v>
      </c>
      <c r="V79" s="1117">
        <v>0</v>
      </c>
      <c r="W79" s="1117">
        <v>0</v>
      </c>
      <c r="X79" s="1117" t="s">
        <v>2171</v>
      </c>
      <c r="Y79" s="1117" t="s">
        <v>2171</v>
      </c>
      <c r="Z79" s="1117">
        <v>0</v>
      </c>
      <c r="AA79" s="1116"/>
      <c r="AB79" s="1116"/>
      <c r="AC79" s="1116"/>
      <c r="AD79" s="1116"/>
      <c r="AE79" s="1116"/>
      <c r="AF79" s="1140">
        <f t="shared" si="8"/>
        <v>2723.4215529703952</v>
      </c>
      <c r="AG79" s="1117">
        <f>'1.1.1 PrimEnLR'!B79*'3.1.1 CO2LR'!$AG$9*Units!$C$47/1000</f>
        <v>2723.4215529703952</v>
      </c>
      <c r="AH79" s="1117">
        <f>'1.1.1 PrimEnLR'!C79*'3.1.1 CO2LR'!$AG$9*Units!$C$47/1000</f>
        <v>0</v>
      </c>
      <c r="AI79" s="1117">
        <f>'1.1.1 PrimEnLR'!D79*Units!$C$14*Units!$C$59/1000</f>
        <v>0</v>
      </c>
      <c r="AJ79" s="1116"/>
      <c r="AK79" s="1116"/>
    </row>
    <row r="80" spans="1:37" x14ac:dyDescent="0.35">
      <c r="A80" s="1116">
        <v>1770</v>
      </c>
      <c r="B80" s="1116"/>
      <c r="C80" s="1119"/>
      <c r="D80" s="1119">
        <f t="shared" si="4"/>
        <v>0</v>
      </c>
      <c r="E80" s="1119">
        <f t="shared" si="7"/>
        <v>3.35</v>
      </c>
      <c r="F80" s="1139">
        <f t="shared" si="5"/>
        <v>0</v>
      </c>
      <c r="G80" s="1116"/>
      <c r="H80" s="1139">
        <f t="shared" si="6"/>
        <v>3.35</v>
      </c>
      <c r="I80" s="1116"/>
      <c r="J80" s="1116"/>
      <c r="K80" s="1116"/>
      <c r="L80" s="1116"/>
      <c r="M80" s="1116"/>
      <c r="N80" s="1116"/>
      <c r="O80" s="1116"/>
      <c r="P80" s="1116"/>
      <c r="Q80" s="1116"/>
      <c r="R80" s="1116"/>
      <c r="S80" s="1117">
        <v>3350</v>
      </c>
      <c r="T80" s="1117">
        <v>3350</v>
      </c>
      <c r="U80" s="1117">
        <v>0</v>
      </c>
      <c r="V80" s="1117">
        <v>0</v>
      </c>
      <c r="W80" s="1117">
        <v>0</v>
      </c>
      <c r="X80" s="1117" t="s">
        <v>2171</v>
      </c>
      <c r="Y80" s="1117" t="s">
        <v>2171</v>
      </c>
      <c r="Z80" s="1117">
        <v>0</v>
      </c>
      <c r="AA80" s="1116"/>
      <c r="AB80" s="1116"/>
      <c r="AC80" s="1116"/>
      <c r="AD80" s="1116"/>
      <c r="AE80" s="1116"/>
      <c r="AF80" s="1140">
        <f t="shared" si="8"/>
        <v>2791.9413738439621</v>
      </c>
      <c r="AG80" s="1117">
        <f>'1.1.1 PrimEnLR'!B80*'3.1.1 CO2LR'!$AG$9*Units!$C$47/1000</f>
        <v>2791.9413738439621</v>
      </c>
      <c r="AH80" s="1117">
        <f>'1.1.1 PrimEnLR'!C80*'3.1.1 CO2LR'!$AG$9*Units!$C$47/1000</f>
        <v>0</v>
      </c>
      <c r="AI80" s="1117">
        <f>'1.1.1 PrimEnLR'!D80*Units!$C$14*Units!$C$59/1000</f>
        <v>0</v>
      </c>
      <c r="AJ80" s="1116"/>
      <c r="AK80" s="1116"/>
    </row>
    <row r="81" spans="1:37" x14ac:dyDescent="0.35">
      <c r="A81" s="1116">
        <v>1771</v>
      </c>
      <c r="B81" s="1116"/>
      <c r="C81" s="1119"/>
      <c r="D81" s="1119">
        <f t="shared" si="4"/>
        <v>0</v>
      </c>
      <c r="E81" s="1119">
        <f t="shared" si="7"/>
        <v>3.7149999999999999</v>
      </c>
      <c r="F81" s="1139">
        <f t="shared" si="5"/>
        <v>0</v>
      </c>
      <c r="G81" s="1116"/>
      <c r="H81" s="1139">
        <f t="shared" si="6"/>
        <v>3.7149999999999999</v>
      </c>
      <c r="I81" s="1116"/>
      <c r="J81" s="1116"/>
      <c r="K81" s="1116"/>
      <c r="L81" s="1116"/>
      <c r="M81" s="1116"/>
      <c r="N81" s="1116"/>
      <c r="O81" s="1116"/>
      <c r="P81" s="1116"/>
      <c r="Q81" s="1116"/>
      <c r="R81" s="1116"/>
      <c r="S81" s="1117">
        <v>3715</v>
      </c>
      <c r="T81" s="1117">
        <v>3715</v>
      </c>
      <c r="U81" s="1117">
        <v>0</v>
      </c>
      <c r="V81" s="1117">
        <v>0</v>
      </c>
      <c r="W81" s="1117">
        <v>0</v>
      </c>
      <c r="X81" s="1117" t="s">
        <v>2171</v>
      </c>
      <c r="Y81" s="1117" t="s">
        <v>2171</v>
      </c>
      <c r="Z81" s="1117">
        <v>0</v>
      </c>
      <c r="AA81" s="1116"/>
      <c r="AB81" s="1116"/>
      <c r="AC81" s="1116"/>
      <c r="AD81" s="1116"/>
      <c r="AE81" s="1116"/>
      <c r="AF81" s="1140">
        <f t="shared" si="8"/>
        <v>2811.2144473077183</v>
      </c>
      <c r="AG81" s="1117">
        <f>'1.1.1 PrimEnLR'!B81*'3.1.1 CO2LR'!$AG$9*Units!$C$47/1000</f>
        <v>2811.2144473077183</v>
      </c>
      <c r="AH81" s="1117">
        <f>'1.1.1 PrimEnLR'!C81*'3.1.1 CO2LR'!$AG$9*Units!$C$47/1000</f>
        <v>0</v>
      </c>
      <c r="AI81" s="1117">
        <f>'1.1.1 PrimEnLR'!D81*Units!$C$14*Units!$C$59/1000</f>
        <v>0</v>
      </c>
      <c r="AJ81" s="1116"/>
      <c r="AK81" s="1116"/>
    </row>
    <row r="82" spans="1:37" x14ac:dyDescent="0.35">
      <c r="A82" s="1116">
        <v>1772</v>
      </c>
      <c r="B82" s="1116"/>
      <c r="C82" s="1119"/>
      <c r="D82" s="1119">
        <f t="shared" si="4"/>
        <v>0</v>
      </c>
      <c r="E82" s="1119">
        <f t="shared" si="7"/>
        <v>3.7160000000000002</v>
      </c>
      <c r="F82" s="1139">
        <f t="shared" si="5"/>
        <v>0</v>
      </c>
      <c r="G82" s="1116"/>
      <c r="H82" s="1139">
        <f t="shared" si="6"/>
        <v>3.7160000000000002</v>
      </c>
      <c r="I82" s="1116"/>
      <c r="J82" s="1116"/>
      <c r="K82" s="1116"/>
      <c r="L82" s="1116"/>
      <c r="M82" s="1116"/>
      <c r="N82" s="1116"/>
      <c r="O82" s="1116"/>
      <c r="P82" s="1116"/>
      <c r="Q82" s="1116"/>
      <c r="R82" s="1116"/>
      <c r="S82" s="1117">
        <v>3716</v>
      </c>
      <c r="T82" s="1117">
        <v>3716</v>
      </c>
      <c r="U82" s="1117">
        <v>0</v>
      </c>
      <c r="V82" s="1117">
        <v>0</v>
      </c>
      <c r="W82" s="1117">
        <v>0</v>
      </c>
      <c r="X82" s="1117" t="s">
        <v>2171</v>
      </c>
      <c r="Y82" s="1117" t="s">
        <v>2171</v>
      </c>
      <c r="Z82" s="1117">
        <v>0</v>
      </c>
      <c r="AA82" s="1116"/>
      <c r="AB82" s="1116"/>
      <c r="AC82" s="1116"/>
      <c r="AD82" s="1116"/>
      <c r="AE82" s="1116"/>
      <c r="AF82" s="1140">
        <f t="shared" si="8"/>
        <v>2862.7611576345039</v>
      </c>
      <c r="AG82" s="1117">
        <f>'1.1.1 PrimEnLR'!B82*'3.1.1 CO2LR'!$AG$9*Units!$C$47/1000</f>
        <v>2862.7611576345039</v>
      </c>
      <c r="AH82" s="1117">
        <f>'1.1.1 PrimEnLR'!C82*'3.1.1 CO2LR'!$AG$9*Units!$C$47/1000</f>
        <v>0</v>
      </c>
      <c r="AI82" s="1117">
        <f>'1.1.1 PrimEnLR'!D82*Units!$C$14*Units!$C$59/1000</f>
        <v>0</v>
      </c>
      <c r="AJ82" s="1116"/>
      <c r="AK82" s="1116"/>
    </row>
    <row r="83" spans="1:37" x14ac:dyDescent="0.35">
      <c r="A83" s="1116">
        <v>1773</v>
      </c>
      <c r="B83" s="1116"/>
      <c r="C83" s="1119"/>
      <c r="D83" s="1119">
        <f t="shared" si="4"/>
        <v>0</v>
      </c>
      <c r="E83" s="1119">
        <f t="shared" si="7"/>
        <v>3.7170000000000001</v>
      </c>
      <c r="F83" s="1139">
        <f t="shared" si="5"/>
        <v>0</v>
      </c>
      <c r="G83" s="1116"/>
      <c r="H83" s="1139">
        <f t="shared" si="6"/>
        <v>3.7170000000000001</v>
      </c>
      <c r="I83" s="1116"/>
      <c r="J83" s="1116"/>
      <c r="K83" s="1116"/>
      <c r="L83" s="1116"/>
      <c r="M83" s="1116"/>
      <c r="N83" s="1116"/>
      <c r="O83" s="1116"/>
      <c r="P83" s="1116"/>
      <c r="Q83" s="1116"/>
      <c r="R83" s="1116"/>
      <c r="S83" s="1117">
        <v>3717</v>
      </c>
      <c r="T83" s="1117">
        <v>3717</v>
      </c>
      <c r="U83" s="1117">
        <v>0</v>
      </c>
      <c r="V83" s="1117">
        <v>0</v>
      </c>
      <c r="W83" s="1117">
        <v>0</v>
      </c>
      <c r="X83" s="1117" t="s">
        <v>2171</v>
      </c>
      <c r="Y83" s="1117" t="s">
        <v>2171</v>
      </c>
      <c r="Z83" s="1117">
        <v>0</v>
      </c>
      <c r="AA83" s="1116"/>
      <c r="AB83" s="1116"/>
      <c r="AC83" s="1116"/>
      <c r="AD83" s="1116"/>
      <c r="AE83" s="1116"/>
      <c r="AF83" s="1140">
        <f t="shared" si="8"/>
        <v>2921.1016467399186</v>
      </c>
      <c r="AG83" s="1117">
        <f>'1.1.1 PrimEnLR'!B83*'3.1.1 CO2LR'!$AG$9*Units!$C$47/1000</f>
        <v>2921.1016467399186</v>
      </c>
      <c r="AH83" s="1117">
        <f>'1.1.1 PrimEnLR'!C83*'3.1.1 CO2LR'!$AG$9*Units!$C$47/1000</f>
        <v>0</v>
      </c>
      <c r="AI83" s="1117">
        <f>'1.1.1 PrimEnLR'!D83*Units!$C$14*Units!$C$59/1000</f>
        <v>0</v>
      </c>
      <c r="AJ83" s="1116"/>
      <c r="AK83" s="1116"/>
    </row>
    <row r="84" spans="1:37" x14ac:dyDescent="0.35">
      <c r="A84" s="1116">
        <v>1774</v>
      </c>
      <c r="B84" s="1116"/>
      <c r="C84" s="1119"/>
      <c r="D84" s="1119">
        <f t="shared" si="4"/>
        <v>0</v>
      </c>
      <c r="E84" s="1119">
        <f t="shared" si="7"/>
        <v>3.718</v>
      </c>
      <c r="F84" s="1139">
        <f t="shared" si="5"/>
        <v>0</v>
      </c>
      <c r="G84" s="1116"/>
      <c r="H84" s="1139">
        <f t="shared" si="6"/>
        <v>3.718</v>
      </c>
      <c r="I84" s="1116"/>
      <c r="J84" s="1116"/>
      <c r="K84" s="1116"/>
      <c r="L84" s="1116"/>
      <c r="M84" s="1116"/>
      <c r="N84" s="1116"/>
      <c r="O84" s="1116"/>
      <c r="P84" s="1116"/>
      <c r="Q84" s="1116"/>
      <c r="R84" s="1116"/>
      <c r="S84" s="1117">
        <v>3718</v>
      </c>
      <c r="T84" s="1117">
        <v>3718</v>
      </c>
      <c r="U84" s="1117">
        <v>0</v>
      </c>
      <c r="V84" s="1117">
        <v>0</v>
      </c>
      <c r="W84" s="1117">
        <v>0</v>
      </c>
      <c r="X84" s="1117" t="s">
        <v>2171</v>
      </c>
      <c r="Y84" s="1117" t="s">
        <v>2171</v>
      </c>
      <c r="Z84" s="1117">
        <v>0</v>
      </c>
      <c r="AA84" s="1116"/>
      <c r="AB84" s="1116"/>
      <c r="AC84" s="1116"/>
      <c r="AD84" s="1116"/>
      <c r="AE84" s="1116"/>
      <c r="AF84" s="1140">
        <f t="shared" si="8"/>
        <v>2953.1130774269113</v>
      </c>
      <c r="AG84" s="1117">
        <f>'1.1.1 PrimEnLR'!B84*'3.1.1 CO2LR'!$AG$9*Units!$C$47/1000</f>
        <v>2953.1130774269113</v>
      </c>
      <c r="AH84" s="1117">
        <f>'1.1.1 PrimEnLR'!C84*'3.1.1 CO2LR'!$AG$9*Units!$C$47/1000</f>
        <v>0</v>
      </c>
      <c r="AI84" s="1117">
        <f>'1.1.1 PrimEnLR'!D84*Units!$C$14*Units!$C$59/1000</f>
        <v>0</v>
      </c>
      <c r="AJ84" s="1116"/>
      <c r="AK84" s="1116"/>
    </row>
    <row r="85" spans="1:37" x14ac:dyDescent="0.35">
      <c r="A85" s="1116">
        <v>1775</v>
      </c>
      <c r="B85" s="1116"/>
      <c r="C85" s="1119"/>
      <c r="D85" s="1119">
        <f t="shared" si="4"/>
        <v>0</v>
      </c>
      <c r="E85" s="1119">
        <f t="shared" si="7"/>
        <v>3.7189999999999999</v>
      </c>
      <c r="F85" s="1139">
        <f t="shared" si="5"/>
        <v>0</v>
      </c>
      <c r="G85" s="1116"/>
      <c r="H85" s="1139">
        <f t="shared" si="6"/>
        <v>3.7189999999999999</v>
      </c>
      <c r="I85" s="1116"/>
      <c r="J85" s="1116"/>
      <c r="K85" s="1116"/>
      <c r="L85" s="1116"/>
      <c r="M85" s="1116"/>
      <c r="N85" s="1116"/>
      <c r="O85" s="1116"/>
      <c r="P85" s="1116"/>
      <c r="Q85" s="1116"/>
      <c r="R85" s="1116"/>
      <c r="S85" s="1117">
        <v>3719</v>
      </c>
      <c r="T85" s="1117">
        <v>3719</v>
      </c>
      <c r="U85" s="1117">
        <v>0</v>
      </c>
      <c r="V85" s="1117">
        <v>0</v>
      </c>
      <c r="W85" s="1117">
        <v>0</v>
      </c>
      <c r="X85" s="1117" t="s">
        <v>2171</v>
      </c>
      <c r="Y85" s="1117" t="s">
        <v>2171</v>
      </c>
      <c r="Z85" s="1117">
        <v>0</v>
      </c>
      <c r="AA85" s="1116"/>
      <c r="AB85" s="1116"/>
      <c r="AC85" s="1116"/>
      <c r="AD85" s="1116"/>
      <c r="AE85" s="1116"/>
      <c r="AF85" s="1140">
        <f t="shared" si="8"/>
        <v>3004.2848393895588</v>
      </c>
      <c r="AG85" s="1117">
        <f>'1.1.1 PrimEnLR'!B85*'3.1.1 CO2LR'!$AG$9*Units!$C$47/1000</f>
        <v>3004.2848393895588</v>
      </c>
      <c r="AH85" s="1117">
        <f>'1.1.1 PrimEnLR'!C85*'3.1.1 CO2LR'!$AG$9*Units!$C$47/1000</f>
        <v>0</v>
      </c>
      <c r="AI85" s="1117">
        <f>'1.1.1 PrimEnLR'!D85*Units!$C$14*Units!$C$59/1000</f>
        <v>0</v>
      </c>
      <c r="AJ85" s="1116"/>
      <c r="AK85" s="1116"/>
    </row>
    <row r="86" spans="1:37" x14ac:dyDescent="0.35">
      <c r="A86" s="1116">
        <v>1776</v>
      </c>
      <c r="B86" s="1116"/>
      <c r="C86" s="1119"/>
      <c r="D86" s="1119">
        <f t="shared" si="4"/>
        <v>0</v>
      </c>
      <c r="E86" s="1119">
        <f t="shared" si="7"/>
        <v>4.1040000000000001</v>
      </c>
      <c r="F86" s="1139">
        <f t="shared" si="5"/>
        <v>0</v>
      </c>
      <c r="G86" s="1116"/>
      <c r="H86" s="1139">
        <f t="shared" si="6"/>
        <v>4.1040000000000001</v>
      </c>
      <c r="I86" s="1116"/>
      <c r="J86" s="1116"/>
      <c r="K86" s="1116"/>
      <c r="L86" s="1116"/>
      <c r="M86" s="1116"/>
      <c r="N86" s="1116"/>
      <c r="O86" s="1116"/>
      <c r="P86" s="1116"/>
      <c r="Q86" s="1116"/>
      <c r="R86" s="1116"/>
      <c r="S86" s="1117">
        <v>4104</v>
      </c>
      <c r="T86" s="1117">
        <v>4104</v>
      </c>
      <c r="U86" s="1117">
        <v>0</v>
      </c>
      <c r="V86" s="1117">
        <v>0</v>
      </c>
      <c r="W86" s="1117">
        <v>0</v>
      </c>
      <c r="X86" s="1117" t="s">
        <v>2171</v>
      </c>
      <c r="Y86" s="1117" t="s">
        <v>2171</v>
      </c>
      <c r="Z86" s="1117">
        <v>0</v>
      </c>
      <c r="AA86" s="1116"/>
      <c r="AB86" s="1116"/>
      <c r="AC86" s="1116"/>
      <c r="AD86" s="1116"/>
      <c r="AE86" s="1116"/>
      <c r="AF86" s="1140">
        <f t="shared" si="8"/>
        <v>3084.7306485405829</v>
      </c>
      <c r="AG86" s="1117">
        <f>'1.1.1 PrimEnLR'!B86*'3.1.1 CO2LR'!$AG$9*Units!$C$47/1000</f>
        <v>3084.7306485405829</v>
      </c>
      <c r="AH86" s="1117">
        <f>'1.1.1 PrimEnLR'!C86*'3.1.1 CO2LR'!$AG$9*Units!$C$47/1000</f>
        <v>0</v>
      </c>
      <c r="AI86" s="1117">
        <f>'1.1.1 PrimEnLR'!D86*Units!$C$14*Units!$C$59/1000</f>
        <v>0</v>
      </c>
      <c r="AJ86" s="1116"/>
      <c r="AK86" s="1116"/>
    </row>
    <row r="87" spans="1:37" x14ac:dyDescent="0.35">
      <c r="A87" s="1116">
        <v>1777</v>
      </c>
      <c r="B87" s="1116"/>
      <c r="C87" s="1119"/>
      <c r="D87" s="1119">
        <f t="shared" si="4"/>
        <v>0</v>
      </c>
      <c r="E87" s="1119">
        <f t="shared" si="7"/>
        <v>4.1050000000000004</v>
      </c>
      <c r="F87" s="1139">
        <f t="shared" si="5"/>
        <v>0</v>
      </c>
      <c r="G87" s="1116"/>
      <c r="H87" s="1139">
        <f t="shared" si="6"/>
        <v>4.1050000000000004</v>
      </c>
      <c r="I87" s="1116"/>
      <c r="J87" s="1116"/>
      <c r="K87" s="1116"/>
      <c r="L87" s="1116"/>
      <c r="M87" s="1116"/>
      <c r="N87" s="1116"/>
      <c r="O87" s="1116"/>
      <c r="P87" s="1116"/>
      <c r="Q87" s="1116"/>
      <c r="R87" s="1116"/>
      <c r="S87" s="1117">
        <v>4105</v>
      </c>
      <c r="T87" s="1117">
        <v>4105</v>
      </c>
      <c r="U87" s="1117">
        <v>0</v>
      </c>
      <c r="V87" s="1117">
        <v>0</v>
      </c>
      <c r="W87" s="1117">
        <v>0</v>
      </c>
      <c r="X87" s="1117" t="s">
        <v>2171</v>
      </c>
      <c r="Y87" s="1117" t="s">
        <v>2171</v>
      </c>
      <c r="Z87" s="1117">
        <v>0</v>
      </c>
      <c r="AA87" s="1116"/>
      <c r="AB87" s="1116"/>
      <c r="AC87" s="1116"/>
      <c r="AD87" s="1116"/>
      <c r="AE87" s="1116"/>
      <c r="AF87" s="1140">
        <f t="shared" si="8"/>
        <v>3169.7708569655779</v>
      </c>
      <c r="AG87" s="1117">
        <f>'1.1.1 PrimEnLR'!B87*'3.1.1 CO2LR'!$AG$9*Units!$C$47/1000</f>
        <v>3169.7708569655779</v>
      </c>
      <c r="AH87" s="1117">
        <f>'1.1.1 PrimEnLR'!C87*'3.1.1 CO2LR'!$AG$9*Units!$C$47/1000</f>
        <v>0</v>
      </c>
      <c r="AI87" s="1117">
        <f>'1.1.1 PrimEnLR'!D87*Units!$C$14*Units!$C$59/1000</f>
        <v>0</v>
      </c>
      <c r="AJ87" s="1116"/>
      <c r="AK87" s="1116"/>
    </row>
    <row r="88" spans="1:37" x14ac:dyDescent="0.35">
      <c r="A88" s="1116">
        <v>1778</v>
      </c>
      <c r="B88" s="1116"/>
      <c r="C88" s="1119"/>
      <c r="D88" s="1119">
        <f t="shared" si="4"/>
        <v>0</v>
      </c>
      <c r="E88" s="1119">
        <f t="shared" si="7"/>
        <v>4.1059999999999999</v>
      </c>
      <c r="F88" s="1139">
        <f t="shared" si="5"/>
        <v>0</v>
      </c>
      <c r="G88" s="1116"/>
      <c r="H88" s="1139">
        <f t="shared" si="6"/>
        <v>4.1059999999999999</v>
      </c>
      <c r="I88" s="1116"/>
      <c r="J88" s="1116"/>
      <c r="K88" s="1116"/>
      <c r="L88" s="1116"/>
      <c r="M88" s="1116"/>
      <c r="N88" s="1116"/>
      <c r="O88" s="1116"/>
      <c r="P88" s="1116"/>
      <c r="Q88" s="1116"/>
      <c r="R88" s="1116"/>
      <c r="S88" s="1117">
        <v>4106</v>
      </c>
      <c r="T88" s="1117">
        <v>4106</v>
      </c>
      <c r="U88" s="1117">
        <v>0</v>
      </c>
      <c r="V88" s="1117">
        <v>0</v>
      </c>
      <c r="W88" s="1117">
        <v>0</v>
      </c>
      <c r="X88" s="1117" t="s">
        <v>2171</v>
      </c>
      <c r="Y88" s="1117" t="s">
        <v>2171</v>
      </c>
      <c r="Z88" s="1117">
        <v>0</v>
      </c>
      <c r="AA88" s="1116"/>
      <c r="AB88" s="1116"/>
      <c r="AC88" s="1116"/>
      <c r="AD88" s="1116"/>
      <c r="AE88" s="1116"/>
      <c r="AF88" s="1140">
        <f t="shared" si="8"/>
        <v>3279.7822084384452</v>
      </c>
      <c r="AG88" s="1117">
        <f>'1.1.1 PrimEnLR'!B88*'3.1.1 CO2LR'!$AG$9*Units!$C$47/1000</f>
        <v>3279.7822084384452</v>
      </c>
      <c r="AH88" s="1117">
        <f>'1.1.1 PrimEnLR'!C88*'3.1.1 CO2LR'!$AG$9*Units!$C$47/1000</f>
        <v>0</v>
      </c>
      <c r="AI88" s="1117">
        <f>'1.1.1 PrimEnLR'!D88*Units!$C$14*Units!$C$59/1000</f>
        <v>0</v>
      </c>
      <c r="AJ88" s="1116"/>
      <c r="AK88" s="1116"/>
    </row>
    <row r="89" spans="1:37" x14ac:dyDescent="0.35">
      <c r="A89" s="1116">
        <v>1779</v>
      </c>
      <c r="B89" s="1116"/>
      <c r="C89" s="1119"/>
      <c r="D89" s="1119">
        <f t="shared" si="4"/>
        <v>0</v>
      </c>
      <c r="E89" s="1119">
        <f t="shared" si="7"/>
        <v>4.1070000000000002</v>
      </c>
      <c r="F89" s="1139">
        <f t="shared" si="5"/>
        <v>0</v>
      </c>
      <c r="G89" s="1116"/>
      <c r="H89" s="1139">
        <f t="shared" si="6"/>
        <v>4.1070000000000002</v>
      </c>
      <c r="I89" s="1116"/>
      <c r="J89" s="1116"/>
      <c r="K89" s="1116"/>
      <c r="L89" s="1116"/>
      <c r="M89" s="1116"/>
      <c r="N89" s="1116"/>
      <c r="O89" s="1116"/>
      <c r="P89" s="1116"/>
      <c r="Q89" s="1116"/>
      <c r="R89" s="1116"/>
      <c r="S89" s="1117">
        <v>4107</v>
      </c>
      <c r="T89" s="1117">
        <v>4107</v>
      </c>
      <c r="U89" s="1117">
        <v>0</v>
      </c>
      <c r="V89" s="1117">
        <v>0</v>
      </c>
      <c r="W89" s="1117">
        <v>0</v>
      </c>
      <c r="X89" s="1117" t="s">
        <v>2171</v>
      </c>
      <c r="Y89" s="1117" t="s">
        <v>2171</v>
      </c>
      <c r="Z89" s="1117">
        <v>0</v>
      </c>
      <c r="AA89" s="1116"/>
      <c r="AB89" s="1116"/>
      <c r="AC89" s="1116"/>
      <c r="AD89" s="1116"/>
      <c r="AE89" s="1116"/>
      <c r="AF89" s="1140">
        <f t="shared" si="8"/>
        <v>3379.0936269233443</v>
      </c>
      <c r="AG89" s="1117">
        <f>'1.1.1 PrimEnLR'!B89*'3.1.1 CO2LR'!$AG$9*Units!$C$47/1000</f>
        <v>3379.0936269233443</v>
      </c>
      <c r="AH89" s="1117">
        <f>'1.1.1 PrimEnLR'!C89*'3.1.1 CO2LR'!$AG$9*Units!$C$47/1000</f>
        <v>0</v>
      </c>
      <c r="AI89" s="1117">
        <f>'1.1.1 PrimEnLR'!D89*Units!$C$14*Units!$C$59/1000</f>
        <v>0</v>
      </c>
      <c r="AJ89" s="1116"/>
      <c r="AK89" s="1116"/>
    </row>
    <row r="90" spans="1:37" x14ac:dyDescent="0.35">
      <c r="A90" s="1116">
        <v>1780</v>
      </c>
      <c r="B90" s="1116"/>
      <c r="C90" s="1119"/>
      <c r="D90" s="1119">
        <f t="shared" si="4"/>
        <v>0</v>
      </c>
      <c r="E90" s="1119">
        <f t="shared" si="7"/>
        <v>4.109</v>
      </c>
      <c r="F90" s="1139">
        <f t="shared" si="5"/>
        <v>0</v>
      </c>
      <c r="G90" s="1116"/>
      <c r="H90" s="1139">
        <f t="shared" si="6"/>
        <v>4.109</v>
      </c>
      <c r="I90" s="1116"/>
      <c r="J90" s="1116"/>
      <c r="K90" s="1116"/>
      <c r="L90" s="1116"/>
      <c r="M90" s="1116"/>
      <c r="N90" s="1116"/>
      <c r="O90" s="1116"/>
      <c r="P90" s="1116"/>
      <c r="Q90" s="1116"/>
      <c r="R90" s="1116"/>
      <c r="S90" s="1117">
        <v>4109</v>
      </c>
      <c r="T90" s="1117">
        <v>4109</v>
      </c>
      <c r="U90" s="1117">
        <v>0</v>
      </c>
      <c r="V90" s="1117">
        <v>0</v>
      </c>
      <c r="W90" s="1117">
        <v>0</v>
      </c>
      <c r="X90" s="1117" t="s">
        <v>2171</v>
      </c>
      <c r="Y90" s="1117" t="s">
        <v>2171</v>
      </c>
      <c r="Z90" s="1117">
        <v>0</v>
      </c>
      <c r="AA90" s="1116"/>
      <c r="AB90" s="1116"/>
      <c r="AC90" s="1116"/>
      <c r="AD90" s="1116"/>
      <c r="AE90" s="1116"/>
      <c r="AF90" s="1140">
        <f t="shared" si="8"/>
        <v>3463.6972061326405</v>
      </c>
      <c r="AG90" s="1117">
        <f>'1.1.1 PrimEnLR'!B90*'3.1.1 CO2LR'!$AG$9*Units!$C$47/1000</f>
        <v>3463.6972061326405</v>
      </c>
      <c r="AH90" s="1117">
        <f>'1.1.1 PrimEnLR'!C90*'3.1.1 CO2LR'!$AG$9*Units!$C$47/1000</f>
        <v>0</v>
      </c>
      <c r="AI90" s="1117">
        <f>'1.1.1 PrimEnLR'!D90*Units!$C$14*Units!$C$59/1000</f>
        <v>0</v>
      </c>
      <c r="AJ90" s="1116"/>
      <c r="AK90" s="1116"/>
    </row>
    <row r="91" spans="1:37" x14ac:dyDescent="0.35">
      <c r="A91" s="1116">
        <v>1781</v>
      </c>
      <c r="B91" s="1116"/>
      <c r="C91" s="1119"/>
      <c r="D91" s="1119">
        <f t="shared" si="4"/>
        <v>0</v>
      </c>
      <c r="E91" s="1119">
        <f t="shared" si="7"/>
        <v>4.5970000000000004</v>
      </c>
      <c r="F91" s="1139">
        <f t="shared" si="5"/>
        <v>0</v>
      </c>
      <c r="G91" s="1116"/>
      <c r="H91" s="1139">
        <f t="shared" si="6"/>
        <v>4.5970000000000004</v>
      </c>
      <c r="I91" s="1116"/>
      <c r="J91" s="1116"/>
      <c r="K91" s="1116"/>
      <c r="L91" s="1116"/>
      <c r="M91" s="1116"/>
      <c r="N91" s="1116"/>
      <c r="O91" s="1116"/>
      <c r="P91" s="1116"/>
      <c r="Q91" s="1116"/>
      <c r="R91" s="1116"/>
      <c r="S91" s="1117">
        <v>4597</v>
      </c>
      <c r="T91" s="1117">
        <v>4597</v>
      </c>
      <c r="U91" s="1117">
        <v>0</v>
      </c>
      <c r="V91" s="1117">
        <v>0</v>
      </c>
      <c r="W91" s="1117">
        <v>0</v>
      </c>
      <c r="X91" s="1117" t="s">
        <v>2171</v>
      </c>
      <c r="Y91" s="1117" t="s">
        <v>2171</v>
      </c>
      <c r="Z91" s="1117">
        <v>0</v>
      </c>
      <c r="AA91" s="1116"/>
      <c r="AB91" s="1116"/>
      <c r="AC91" s="1116"/>
      <c r="AD91" s="1116"/>
      <c r="AE91" s="1116"/>
      <c r="AF91" s="1140">
        <f t="shared" si="8"/>
        <v>3578.7176148669678</v>
      </c>
      <c r="AG91" s="1117">
        <f>'1.1.1 PrimEnLR'!B91*'3.1.1 CO2LR'!$AG$9*Units!$C$47/1000</f>
        <v>3578.7176148669678</v>
      </c>
      <c r="AH91" s="1117">
        <f>'1.1.1 PrimEnLR'!C91*'3.1.1 CO2LR'!$AG$9*Units!$C$47/1000</f>
        <v>0</v>
      </c>
      <c r="AI91" s="1117">
        <f>'1.1.1 PrimEnLR'!D91*Units!$C$14*Units!$C$59/1000</f>
        <v>0</v>
      </c>
      <c r="AJ91" s="1116"/>
      <c r="AK91" s="1116"/>
    </row>
    <row r="92" spans="1:37" x14ac:dyDescent="0.35">
      <c r="A92" s="1116">
        <v>1782</v>
      </c>
      <c r="B92" s="1116"/>
      <c r="C92" s="1119"/>
      <c r="D92" s="1119">
        <f t="shared" si="4"/>
        <v>0</v>
      </c>
      <c r="E92" s="1119">
        <f t="shared" si="7"/>
        <v>4.5979999999999999</v>
      </c>
      <c r="F92" s="1139">
        <f t="shared" si="5"/>
        <v>0</v>
      </c>
      <c r="G92" s="1116"/>
      <c r="H92" s="1139">
        <f t="shared" si="6"/>
        <v>4.5979999999999999</v>
      </c>
      <c r="I92" s="1116"/>
      <c r="J92" s="1116"/>
      <c r="K92" s="1116"/>
      <c r="L92" s="1116"/>
      <c r="M92" s="1116"/>
      <c r="N92" s="1116"/>
      <c r="O92" s="1116"/>
      <c r="P92" s="1116"/>
      <c r="Q92" s="1116"/>
      <c r="R92" s="1116"/>
      <c r="S92" s="1117">
        <v>4598</v>
      </c>
      <c r="T92" s="1117">
        <v>4598</v>
      </c>
      <c r="U92" s="1117">
        <v>0</v>
      </c>
      <c r="V92" s="1117">
        <v>0</v>
      </c>
      <c r="W92" s="1117">
        <v>0</v>
      </c>
      <c r="X92" s="1117" t="s">
        <v>2171</v>
      </c>
      <c r="Y92" s="1117" t="s">
        <v>2171</v>
      </c>
      <c r="Z92" s="1117">
        <v>0</v>
      </c>
      <c r="AA92" s="1116"/>
      <c r="AB92" s="1116"/>
      <c r="AC92" s="1116"/>
      <c r="AD92" s="1116"/>
      <c r="AE92" s="1116"/>
      <c r="AF92" s="1140">
        <f t="shared" si="8"/>
        <v>3663.3710832629199</v>
      </c>
      <c r="AG92" s="1117">
        <f>'1.1.1 PrimEnLR'!B92*'3.1.1 CO2LR'!$AG$9*Units!$C$47/1000</f>
        <v>3663.3710832629199</v>
      </c>
      <c r="AH92" s="1117">
        <f>'1.1.1 PrimEnLR'!C92*'3.1.1 CO2LR'!$AG$9*Units!$C$47/1000</f>
        <v>0</v>
      </c>
      <c r="AI92" s="1117">
        <f>'1.1.1 PrimEnLR'!D92*Units!$C$14*Units!$C$59/1000</f>
        <v>0</v>
      </c>
      <c r="AJ92" s="1116"/>
      <c r="AK92" s="1116"/>
    </row>
    <row r="93" spans="1:37" x14ac:dyDescent="0.35">
      <c r="A93" s="1116">
        <v>1783</v>
      </c>
      <c r="B93" s="1116"/>
      <c r="C93" s="1119"/>
      <c r="D93" s="1119">
        <f t="shared" si="4"/>
        <v>0</v>
      </c>
      <c r="E93" s="1119">
        <f t="shared" ref="E93:E123" si="9">T93/1000</f>
        <v>4.5999999999999996</v>
      </c>
      <c r="F93" s="1139">
        <f t="shared" si="5"/>
        <v>0</v>
      </c>
      <c r="G93" s="1116"/>
      <c r="H93" s="1139">
        <f t="shared" si="6"/>
        <v>4.5999999999999996</v>
      </c>
      <c r="I93" s="1116"/>
      <c r="J93" s="1116"/>
      <c r="K93" s="1116"/>
      <c r="L93" s="1116"/>
      <c r="M93" s="1116"/>
      <c r="N93" s="1116"/>
      <c r="O93" s="1116"/>
      <c r="P93" s="1116"/>
      <c r="Q93" s="1116"/>
      <c r="R93" s="1116"/>
      <c r="S93" s="1117">
        <v>4600</v>
      </c>
      <c r="T93" s="1117">
        <v>4600</v>
      </c>
      <c r="U93" s="1117">
        <v>0</v>
      </c>
      <c r="V93" s="1117">
        <v>0</v>
      </c>
      <c r="W93" s="1117">
        <v>0</v>
      </c>
      <c r="X93" s="1117" t="s">
        <v>2171</v>
      </c>
      <c r="Y93" s="1117" t="s">
        <v>2171</v>
      </c>
      <c r="Z93" s="1117">
        <v>0</v>
      </c>
      <c r="AA93" s="1116"/>
      <c r="AB93" s="1116"/>
      <c r="AC93" s="1116"/>
      <c r="AD93" s="1116"/>
      <c r="AE93" s="1116"/>
      <c r="AF93" s="1140">
        <f t="shared" si="8"/>
        <v>3699.0914332037801</v>
      </c>
      <c r="AG93" s="1117">
        <f>'1.1.1 PrimEnLR'!B93*'3.1.1 CO2LR'!$AG$9*Units!$C$47/1000</f>
        <v>3699.0914332037801</v>
      </c>
      <c r="AH93" s="1117">
        <f>'1.1.1 PrimEnLR'!C93*'3.1.1 CO2LR'!$AG$9*Units!$C$47/1000</f>
        <v>0</v>
      </c>
      <c r="AI93" s="1117">
        <f>'1.1.1 PrimEnLR'!D93*Units!$C$14*Units!$C$59/1000</f>
        <v>0</v>
      </c>
      <c r="AJ93" s="1116"/>
      <c r="AK93" s="1116"/>
    </row>
    <row r="94" spans="1:37" x14ac:dyDescent="0.35">
      <c r="A94" s="1116">
        <v>1784</v>
      </c>
      <c r="B94" s="1116"/>
      <c r="C94" s="1119"/>
      <c r="D94" s="1119">
        <f t="shared" si="4"/>
        <v>0</v>
      </c>
      <c r="E94" s="1119">
        <f t="shared" si="9"/>
        <v>4.601</v>
      </c>
      <c r="F94" s="1139">
        <f t="shared" si="5"/>
        <v>0</v>
      </c>
      <c r="G94" s="1116"/>
      <c r="H94" s="1139">
        <f t="shared" si="6"/>
        <v>4.601</v>
      </c>
      <c r="I94" s="1116"/>
      <c r="J94" s="1116"/>
      <c r="K94" s="1116"/>
      <c r="L94" s="1116"/>
      <c r="M94" s="1116"/>
      <c r="N94" s="1116"/>
      <c r="O94" s="1116"/>
      <c r="P94" s="1116"/>
      <c r="Q94" s="1116"/>
      <c r="R94" s="1116"/>
      <c r="S94" s="1117">
        <v>4601</v>
      </c>
      <c r="T94" s="1117">
        <v>4601</v>
      </c>
      <c r="U94" s="1117">
        <v>0</v>
      </c>
      <c r="V94" s="1117">
        <v>0</v>
      </c>
      <c r="W94" s="1117">
        <v>0</v>
      </c>
      <c r="X94" s="1117" t="s">
        <v>2171</v>
      </c>
      <c r="Y94" s="1117" t="s">
        <v>2171</v>
      </c>
      <c r="Z94" s="1117">
        <v>0</v>
      </c>
      <c r="AA94" s="1116"/>
      <c r="AB94" s="1116"/>
      <c r="AC94" s="1116"/>
      <c r="AD94" s="1116"/>
      <c r="AE94" s="1116"/>
      <c r="AF94" s="1140">
        <f t="shared" si="8"/>
        <v>3788.5063625950784</v>
      </c>
      <c r="AG94" s="1117">
        <f>'1.1.1 PrimEnLR'!B94*'3.1.1 CO2LR'!$AG$9*Units!$C$47/1000</f>
        <v>3788.5063625950784</v>
      </c>
      <c r="AH94" s="1117">
        <f>'1.1.1 PrimEnLR'!C94*'3.1.1 CO2LR'!$AG$9*Units!$C$47/1000</f>
        <v>0</v>
      </c>
      <c r="AI94" s="1117">
        <f>'1.1.1 PrimEnLR'!D94*Units!$C$14*Units!$C$59/1000</f>
        <v>0</v>
      </c>
      <c r="AJ94" s="1116"/>
      <c r="AK94" s="1116"/>
    </row>
    <row r="95" spans="1:37" x14ac:dyDescent="0.35">
      <c r="A95" s="1116">
        <v>1785</v>
      </c>
      <c r="B95" s="1116"/>
      <c r="C95" s="1119"/>
      <c r="D95" s="1119">
        <f t="shared" si="4"/>
        <v>0</v>
      </c>
      <c r="E95" s="1119">
        <f t="shared" si="9"/>
        <v>4.6029999999999998</v>
      </c>
      <c r="F95" s="1139">
        <f t="shared" si="5"/>
        <v>0</v>
      </c>
      <c r="G95" s="1116"/>
      <c r="H95" s="1139">
        <f t="shared" si="6"/>
        <v>4.6029999999999998</v>
      </c>
      <c r="I95" s="1116"/>
      <c r="J95" s="1116"/>
      <c r="K95" s="1116"/>
      <c r="L95" s="1116"/>
      <c r="M95" s="1116"/>
      <c r="N95" s="1116"/>
      <c r="O95" s="1116"/>
      <c r="P95" s="1116"/>
      <c r="Q95" s="1116"/>
      <c r="R95" s="1116"/>
      <c r="S95" s="1117">
        <v>4603</v>
      </c>
      <c r="T95" s="1117">
        <v>4603</v>
      </c>
      <c r="U95" s="1117">
        <v>0</v>
      </c>
      <c r="V95" s="1117">
        <v>0</v>
      </c>
      <c r="W95" s="1117">
        <v>0</v>
      </c>
      <c r="X95" s="1117" t="s">
        <v>2171</v>
      </c>
      <c r="Y95" s="1117" t="s">
        <v>2171</v>
      </c>
      <c r="Z95" s="1117">
        <v>0</v>
      </c>
      <c r="AA95" s="1116"/>
      <c r="AB95" s="1116"/>
      <c r="AC95" s="1116"/>
      <c r="AD95" s="1116"/>
      <c r="AE95" s="1116"/>
      <c r="AF95" s="1140">
        <f t="shared" si="8"/>
        <v>3828.6139043003363</v>
      </c>
      <c r="AG95" s="1117">
        <f>'1.1.1 PrimEnLR'!B95*'3.1.1 CO2LR'!$AG$9*Units!$C$47/1000</f>
        <v>3828.6139043003363</v>
      </c>
      <c r="AH95" s="1117">
        <f>'1.1.1 PrimEnLR'!C95*'3.1.1 CO2LR'!$AG$9*Units!$C$47/1000</f>
        <v>0</v>
      </c>
      <c r="AI95" s="1117">
        <f>'1.1.1 PrimEnLR'!D95*Units!$C$14*Units!$C$59/1000</f>
        <v>0</v>
      </c>
      <c r="AJ95" s="1116"/>
      <c r="AK95" s="1116"/>
    </row>
    <row r="96" spans="1:37" x14ac:dyDescent="0.35">
      <c r="A96" s="1116">
        <v>1786</v>
      </c>
      <c r="B96" s="1116"/>
      <c r="C96" s="1119"/>
      <c r="D96" s="1119">
        <f t="shared" si="4"/>
        <v>0</v>
      </c>
      <c r="E96" s="1119">
        <f t="shared" si="9"/>
        <v>5.226</v>
      </c>
      <c r="F96" s="1139">
        <f t="shared" si="5"/>
        <v>0</v>
      </c>
      <c r="G96" s="1116"/>
      <c r="H96" s="1139">
        <f t="shared" si="6"/>
        <v>5.226</v>
      </c>
      <c r="I96" s="1116"/>
      <c r="J96" s="1116"/>
      <c r="K96" s="1116"/>
      <c r="L96" s="1116"/>
      <c r="M96" s="1116"/>
      <c r="N96" s="1116"/>
      <c r="O96" s="1116"/>
      <c r="P96" s="1116"/>
      <c r="Q96" s="1116"/>
      <c r="R96" s="1116"/>
      <c r="S96" s="1117">
        <v>5226</v>
      </c>
      <c r="T96" s="1117">
        <v>5226</v>
      </c>
      <c r="U96" s="1117">
        <v>0</v>
      </c>
      <c r="V96" s="1117">
        <v>0</v>
      </c>
      <c r="W96" s="1117">
        <v>0</v>
      </c>
      <c r="X96" s="1117" t="s">
        <v>2171</v>
      </c>
      <c r="Y96" s="1117" t="s">
        <v>2171</v>
      </c>
      <c r="Z96" s="1117">
        <v>0</v>
      </c>
      <c r="AA96" s="1116"/>
      <c r="AB96" s="1116"/>
      <c r="AC96" s="1116"/>
      <c r="AD96" s="1116"/>
      <c r="AE96" s="1116"/>
      <c r="AF96" s="1140">
        <f t="shared" si="8"/>
        <v>3930.7761417085071</v>
      </c>
      <c r="AG96" s="1117">
        <f>'1.1.1 PrimEnLR'!B96*'3.1.1 CO2LR'!$AG$9*Units!$C$47/1000</f>
        <v>3930.7761417085071</v>
      </c>
      <c r="AH96" s="1117">
        <f>'1.1.1 PrimEnLR'!C96*'3.1.1 CO2LR'!$AG$9*Units!$C$47/1000</f>
        <v>0</v>
      </c>
      <c r="AI96" s="1117">
        <f>'1.1.1 PrimEnLR'!D96*Units!$C$14*Units!$C$59/1000</f>
        <v>0</v>
      </c>
      <c r="AJ96" s="1116"/>
      <c r="AK96" s="1116"/>
    </row>
    <row r="97" spans="1:37" x14ac:dyDescent="0.35">
      <c r="A97" s="1116">
        <v>1787</v>
      </c>
      <c r="B97" s="1116"/>
      <c r="C97" s="1119"/>
      <c r="D97" s="1119">
        <f t="shared" si="4"/>
        <v>0</v>
      </c>
      <c r="E97" s="1119">
        <f t="shared" si="9"/>
        <v>5.2279999999999998</v>
      </c>
      <c r="F97" s="1139">
        <f t="shared" si="5"/>
        <v>0</v>
      </c>
      <c r="G97" s="1116"/>
      <c r="H97" s="1139">
        <f t="shared" si="6"/>
        <v>5.2279999999999998</v>
      </c>
      <c r="I97" s="1116"/>
      <c r="J97" s="1116"/>
      <c r="K97" s="1116"/>
      <c r="L97" s="1116"/>
      <c r="M97" s="1116"/>
      <c r="N97" s="1116"/>
      <c r="O97" s="1116"/>
      <c r="P97" s="1116"/>
      <c r="Q97" s="1116"/>
      <c r="R97" s="1116"/>
      <c r="S97" s="1117">
        <v>5228</v>
      </c>
      <c r="T97" s="1117">
        <v>5228</v>
      </c>
      <c r="U97" s="1117">
        <v>0</v>
      </c>
      <c r="V97" s="1117">
        <v>0</v>
      </c>
      <c r="W97" s="1117">
        <v>0</v>
      </c>
      <c r="X97" s="1117" t="s">
        <v>2171</v>
      </c>
      <c r="Y97" s="1117" t="s">
        <v>2171</v>
      </c>
      <c r="Z97" s="1117">
        <v>0</v>
      </c>
      <c r="AA97" s="1116"/>
      <c r="AB97" s="1116"/>
      <c r="AC97" s="1116"/>
      <c r="AD97" s="1116"/>
      <c r="AE97" s="1116"/>
      <c r="AF97" s="1140">
        <f t="shared" si="8"/>
        <v>4036.3921943857454</v>
      </c>
      <c r="AG97" s="1117">
        <f>'1.1.1 PrimEnLR'!B97*'3.1.1 CO2LR'!$AG$9*Units!$C$47/1000</f>
        <v>4036.3921943857454</v>
      </c>
      <c r="AH97" s="1117">
        <f>'1.1.1 PrimEnLR'!C97*'3.1.1 CO2LR'!$AG$9*Units!$C$47/1000</f>
        <v>0</v>
      </c>
      <c r="AI97" s="1117">
        <f>'1.1.1 PrimEnLR'!D97*Units!$C$14*Units!$C$59/1000</f>
        <v>0</v>
      </c>
      <c r="AJ97" s="1116"/>
      <c r="AK97" s="1116"/>
    </row>
    <row r="98" spans="1:37" x14ac:dyDescent="0.35">
      <c r="A98" s="1116">
        <v>1788</v>
      </c>
      <c r="B98" s="1116"/>
      <c r="C98" s="1119"/>
      <c r="D98" s="1119">
        <f t="shared" si="4"/>
        <v>0</v>
      </c>
      <c r="E98" s="1119">
        <f t="shared" si="9"/>
        <v>5.2290000000000001</v>
      </c>
      <c r="F98" s="1139">
        <f t="shared" si="5"/>
        <v>0</v>
      </c>
      <c r="G98" s="1116"/>
      <c r="H98" s="1139">
        <f t="shared" si="6"/>
        <v>5.2290000000000001</v>
      </c>
      <c r="I98" s="1116"/>
      <c r="J98" s="1116"/>
      <c r="K98" s="1116"/>
      <c r="L98" s="1116"/>
      <c r="M98" s="1116"/>
      <c r="N98" s="1116"/>
      <c r="O98" s="1116"/>
      <c r="P98" s="1116"/>
      <c r="Q98" s="1116"/>
      <c r="R98" s="1116"/>
      <c r="S98" s="1117">
        <v>5229</v>
      </c>
      <c r="T98" s="1117">
        <v>5229</v>
      </c>
      <c r="U98" s="1117">
        <v>0</v>
      </c>
      <c r="V98" s="1117">
        <v>0</v>
      </c>
      <c r="W98" s="1117">
        <v>0</v>
      </c>
      <c r="X98" s="1117" t="s">
        <v>2171</v>
      </c>
      <c r="Y98" s="1117" t="s">
        <v>2171</v>
      </c>
      <c r="Z98" s="1117">
        <v>0</v>
      </c>
      <c r="AA98" s="1116"/>
      <c r="AB98" s="1116"/>
      <c r="AC98" s="1116"/>
      <c r="AD98" s="1116"/>
      <c r="AE98" s="1116"/>
      <c r="AF98" s="1140">
        <f t="shared" si="8"/>
        <v>4066.8439779139826</v>
      </c>
      <c r="AG98" s="1117">
        <f>'1.1.1 PrimEnLR'!B98*'3.1.1 CO2LR'!$AG$9*Units!$C$47/1000</f>
        <v>4066.8439779139826</v>
      </c>
      <c r="AH98" s="1117">
        <f>'1.1.1 PrimEnLR'!C98*'3.1.1 CO2LR'!$AG$9*Units!$C$47/1000</f>
        <v>0</v>
      </c>
      <c r="AI98" s="1117">
        <f>'1.1.1 PrimEnLR'!D98*Units!$C$14*Units!$C$59/1000</f>
        <v>0</v>
      </c>
      <c r="AJ98" s="1116"/>
      <c r="AK98" s="1116"/>
    </row>
    <row r="99" spans="1:37" x14ac:dyDescent="0.35">
      <c r="A99" s="1116">
        <v>1789</v>
      </c>
      <c r="B99" s="1116"/>
      <c r="C99" s="1119"/>
      <c r="D99" s="1119">
        <f t="shared" si="4"/>
        <v>0</v>
      </c>
      <c r="E99" s="1119">
        <f t="shared" si="9"/>
        <v>5.2309999999999999</v>
      </c>
      <c r="F99" s="1139">
        <f t="shared" si="5"/>
        <v>0</v>
      </c>
      <c r="G99" s="1116"/>
      <c r="H99" s="1139">
        <f t="shared" si="6"/>
        <v>5.2309999999999999</v>
      </c>
      <c r="I99" s="1116"/>
      <c r="J99" s="1116"/>
      <c r="K99" s="1116"/>
      <c r="L99" s="1116"/>
      <c r="M99" s="1116"/>
      <c r="N99" s="1116"/>
      <c r="O99" s="1116"/>
      <c r="P99" s="1116"/>
      <c r="Q99" s="1116"/>
      <c r="R99" s="1116"/>
      <c r="S99" s="1117">
        <v>5231</v>
      </c>
      <c r="T99" s="1117">
        <v>5231</v>
      </c>
      <c r="U99" s="1117">
        <v>0</v>
      </c>
      <c r="V99" s="1117">
        <v>0</v>
      </c>
      <c r="W99" s="1117">
        <v>0</v>
      </c>
      <c r="X99" s="1117" t="s">
        <v>2171</v>
      </c>
      <c r="Y99" s="1117" t="s">
        <v>2171</v>
      </c>
      <c r="Z99" s="1117">
        <v>0</v>
      </c>
      <c r="AA99" s="1116"/>
      <c r="AB99" s="1116"/>
      <c r="AC99" s="1116"/>
      <c r="AD99" s="1116"/>
      <c r="AE99" s="1116"/>
      <c r="AF99" s="1140">
        <f t="shared" si="8"/>
        <v>4163.7005793985509</v>
      </c>
      <c r="AG99" s="1117">
        <f>'1.1.1 PrimEnLR'!B99*'3.1.1 CO2LR'!$AG$9*Units!$C$47/1000</f>
        <v>4163.7005793985509</v>
      </c>
      <c r="AH99" s="1117">
        <f>'1.1.1 PrimEnLR'!C99*'3.1.1 CO2LR'!$AG$9*Units!$C$47/1000</f>
        <v>0</v>
      </c>
      <c r="AI99" s="1117">
        <f>'1.1.1 PrimEnLR'!D99*Units!$C$14*Units!$C$59/1000</f>
        <v>0</v>
      </c>
      <c r="AJ99" s="1116"/>
      <c r="AK99" s="1116"/>
    </row>
    <row r="100" spans="1:37" x14ac:dyDescent="0.35">
      <c r="A100" s="1116">
        <v>1790</v>
      </c>
      <c r="B100" s="1116"/>
      <c r="C100" s="1119"/>
      <c r="D100" s="1119">
        <f t="shared" si="4"/>
        <v>0</v>
      </c>
      <c r="E100" s="1119">
        <f t="shared" si="9"/>
        <v>5.2329999999999997</v>
      </c>
      <c r="F100" s="1139">
        <f t="shared" si="5"/>
        <v>0</v>
      </c>
      <c r="G100" s="1116"/>
      <c r="H100" s="1139">
        <f t="shared" si="6"/>
        <v>5.2329999999999997</v>
      </c>
      <c r="I100" s="1116"/>
      <c r="J100" s="1116"/>
      <c r="K100" s="1116"/>
      <c r="L100" s="1116"/>
      <c r="M100" s="1116"/>
      <c r="N100" s="1116"/>
      <c r="O100" s="1116"/>
      <c r="P100" s="1116"/>
      <c r="Q100" s="1116"/>
      <c r="R100" s="1116"/>
      <c r="S100" s="1117">
        <v>5233</v>
      </c>
      <c r="T100" s="1117">
        <v>5233</v>
      </c>
      <c r="U100" s="1117">
        <v>0</v>
      </c>
      <c r="V100" s="1117">
        <v>0</v>
      </c>
      <c r="W100" s="1117">
        <v>0</v>
      </c>
      <c r="X100" s="1117" t="s">
        <v>2171</v>
      </c>
      <c r="Y100" s="1117" t="s">
        <v>2171</v>
      </c>
      <c r="Z100" s="1117">
        <v>0</v>
      </c>
      <c r="AA100" s="1116"/>
      <c r="AB100" s="1116"/>
      <c r="AC100" s="1116"/>
      <c r="AD100" s="1116"/>
      <c r="AE100" s="1116"/>
      <c r="AF100" s="1140">
        <f t="shared" si="8"/>
        <v>4242.5204172738022</v>
      </c>
      <c r="AG100" s="1117">
        <f>'1.1.1 PrimEnLR'!B100*'3.1.1 CO2LR'!$AG$9*Units!$C$47/1000</f>
        <v>4242.5204172738022</v>
      </c>
      <c r="AH100" s="1117">
        <f>'1.1.1 PrimEnLR'!C100*'3.1.1 CO2LR'!$AG$9*Units!$C$47/1000</f>
        <v>0</v>
      </c>
      <c r="AI100" s="1117">
        <f>'1.1.1 PrimEnLR'!D100*Units!$C$14*Units!$C$59/1000</f>
        <v>0</v>
      </c>
      <c r="AJ100" s="1116"/>
      <c r="AK100" s="1116"/>
    </row>
    <row r="101" spans="1:37" x14ac:dyDescent="0.35">
      <c r="A101" s="1116">
        <v>1791</v>
      </c>
      <c r="B101" s="1116"/>
      <c r="C101" s="1119"/>
      <c r="D101" s="1119">
        <f t="shared" si="4"/>
        <v>0</v>
      </c>
      <c r="E101" s="1119">
        <f t="shared" si="9"/>
        <v>5.8449999999999998</v>
      </c>
      <c r="F101" s="1139">
        <f t="shared" si="5"/>
        <v>0</v>
      </c>
      <c r="G101" s="1116"/>
      <c r="H101" s="1139">
        <f t="shared" si="6"/>
        <v>5.8449999999999998</v>
      </c>
      <c r="I101" s="1116"/>
      <c r="J101" s="1116"/>
      <c r="K101" s="1116"/>
      <c r="L101" s="1116"/>
      <c r="M101" s="1116"/>
      <c r="N101" s="1116"/>
      <c r="O101" s="1116"/>
      <c r="P101" s="1116"/>
      <c r="Q101" s="1116"/>
      <c r="R101" s="1116"/>
      <c r="S101" s="1117">
        <v>5845</v>
      </c>
      <c r="T101" s="1117">
        <v>5845</v>
      </c>
      <c r="U101" s="1117">
        <v>0</v>
      </c>
      <c r="V101" s="1117">
        <v>0</v>
      </c>
      <c r="W101" s="1117">
        <v>0</v>
      </c>
      <c r="X101" s="1117" t="s">
        <v>2171</v>
      </c>
      <c r="Y101" s="1117" t="s">
        <v>2171</v>
      </c>
      <c r="Z101" s="1117">
        <v>0</v>
      </c>
      <c r="AA101" s="1116"/>
      <c r="AB101" s="1116"/>
      <c r="AC101" s="1116"/>
      <c r="AD101" s="1116"/>
      <c r="AE101" s="1116"/>
      <c r="AF101" s="1140">
        <f t="shared" si="8"/>
        <v>4318.9468799261522</v>
      </c>
      <c r="AG101" s="1117">
        <f>'1.1.1 PrimEnLR'!B101*'3.1.1 CO2LR'!$AG$9*Units!$C$47/1000</f>
        <v>4318.9468799261522</v>
      </c>
      <c r="AH101" s="1117">
        <f>'1.1.1 PrimEnLR'!C101*'3.1.1 CO2LR'!$AG$9*Units!$C$47/1000</f>
        <v>0</v>
      </c>
      <c r="AI101" s="1117">
        <f>'1.1.1 PrimEnLR'!D101*Units!$C$14*Units!$C$59/1000</f>
        <v>0</v>
      </c>
      <c r="AJ101" s="1116"/>
      <c r="AK101" s="1116"/>
    </row>
    <row r="102" spans="1:37" x14ac:dyDescent="0.35">
      <c r="A102" s="1116">
        <v>1792</v>
      </c>
      <c r="B102" s="1116"/>
      <c r="C102" s="1119"/>
      <c r="D102" s="1119">
        <f t="shared" si="4"/>
        <v>0</v>
      </c>
      <c r="E102" s="1119">
        <f t="shared" si="9"/>
        <v>5.8470000000000004</v>
      </c>
      <c r="F102" s="1139">
        <f t="shared" si="5"/>
        <v>0</v>
      </c>
      <c r="G102" s="1116"/>
      <c r="H102" s="1139">
        <f t="shared" si="6"/>
        <v>5.8470000000000004</v>
      </c>
      <c r="I102" s="1116"/>
      <c r="J102" s="1116"/>
      <c r="K102" s="1116"/>
      <c r="L102" s="1116"/>
      <c r="M102" s="1116"/>
      <c r="N102" s="1116"/>
      <c r="O102" s="1116"/>
      <c r="P102" s="1116"/>
      <c r="Q102" s="1116"/>
      <c r="R102" s="1116"/>
      <c r="S102" s="1117">
        <v>5847</v>
      </c>
      <c r="T102" s="1117">
        <v>5847</v>
      </c>
      <c r="U102" s="1117">
        <v>0</v>
      </c>
      <c r="V102" s="1117">
        <v>0</v>
      </c>
      <c r="W102" s="1117">
        <v>0</v>
      </c>
      <c r="X102" s="1117" t="s">
        <v>2171</v>
      </c>
      <c r="Y102" s="1117" t="s">
        <v>2171</v>
      </c>
      <c r="Z102" s="1117">
        <v>0</v>
      </c>
      <c r="AA102" s="1116"/>
      <c r="AB102" s="1116"/>
      <c r="AC102" s="1116"/>
      <c r="AD102" s="1116"/>
      <c r="AE102" s="1116"/>
      <c r="AF102" s="1140">
        <f t="shared" si="8"/>
        <v>4392.2455897553518</v>
      </c>
      <c r="AG102" s="1117">
        <f>'1.1.1 PrimEnLR'!B102*'3.1.1 CO2LR'!$AG$9*Units!$C$47/1000</f>
        <v>4392.2455897553518</v>
      </c>
      <c r="AH102" s="1117">
        <f>'1.1.1 PrimEnLR'!C102*'3.1.1 CO2LR'!$AG$9*Units!$C$47/1000</f>
        <v>0</v>
      </c>
      <c r="AI102" s="1117">
        <f>'1.1.1 PrimEnLR'!D102*Units!$C$14*Units!$C$59/1000</f>
        <v>0</v>
      </c>
      <c r="AJ102" s="1116"/>
      <c r="AK102" s="1116"/>
    </row>
    <row r="103" spans="1:37" x14ac:dyDescent="0.35">
      <c r="A103" s="1116">
        <v>1793</v>
      </c>
      <c r="B103" s="1116"/>
      <c r="C103" s="1119"/>
      <c r="D103" s="1119">
        <f t="shared" si="4"/>
        <v>0</v>
      </c>
      <c r="E103" s="1119">
        <f t="shared" si="9"/>
        <v>5.8490000000000002</v>
      </c>
      <c r="F103" s="1139">
        <f t="shared" si="5"/>
        <v>0</v>
      </c>
      <c r="G103" s="1116"/>
      <c r="H103" s="1139">
        <f t="shared" si="6"/>
        <v>5.8490000000000002</v>
      </c>
      <c r="I103" s="1116"/>
      <c r="J103" s="1116"/>
      <c r="K103" s="1116"/>
      <c r="L103" s="1116"/>
      <c r="M103" s="1116"/>
      <c r="N103" s="1116"/>
      <c r="O103" s="1116"/>
      <c r="P103" s="1116"/>
      <c r="Q103" s="1116"/>
      <c r="R103" s="1116"/>
      <c r="S103" s="1117">
        <v>5849</v>
      </c>
      <c r="T103" s="1117">
        <v>5849</v>
      </c>
      <c r="U103" s="1117">
        <v>0</v>
      </c>
      <c r="V103" s="1117">
        <v>0</v>
      </c>
      <c r="W103" s="1117">
        <v>0</v>
      </c>
      <c r="X103" s="1117" t="s">
        <v>2171</v>
      </c>
      <c r="Y103" s="1117" t="s">
        <v>2171</v>
      </c>
      <c r="Z103" s="1117">
        <v>0</v>
      </c>
      <c r="AA103" s="1116"/>
      <c r="AB103" s="1116"/>
      <c r="AC103" s="1116"/>
      <c r="AD103" s="1116"/>
      <c r="AE103" s="1116"/>
      <c r="AF103" s="1140">
        <f t="shared" si="8"/>
        <v>4470.0527273035841</v>
      </c>
      <c r="AG103" s="1117">
        <f>'1.1.1 PrimEnLR'!B103*'3.1.1 CO2LR'!$AG$9*Units!$C$47/1000</f>
        <v>4470.0527273035841</v>
      </c>
      <c r="AH103" s="1117">
        <f>'1.1.1 PrimEnLR'!C103*'3.1.1 CO2LR'!$AG$9*Units!$C$47/1000</f>
        <v>0</v>
      </c>
      <c r="AI103" s="1117">
        <f>'1.1.1 PrimEnLR'!D103*Units!$C$14*Units!$C$59/1000</f>
        <v>0</v>
      </c>
      <c r="AJ103" s="1116"/>
      <c r="AK103" s="1116"/>
    </row>
    <row r="104" spans="1:37" x14ac:dyDescent="0.35">
      <c r="A104" s="1116">
        <v>1794</v>
      </c>
      <c r="B104" s="1116"/>
      <c r="C104" s="1119"/>
      <c r="D104" s="1119">
        <f t="shared" si="4"/>
        <v>0</v>
      </c>
      <c r="E104" s="1119">
        <f t="shared" si="9"/>
        <v>5.85</v>
      </c>
      <c r="F104" s="1139">
        <f t="shared" si="5"/>
        <v>0</v>
      </c>
      <c r="G104" s="1116"/>
      <c r="H104" s="1139">
        <f t="shared" si="6"/>
        <v>5.85</v>
      </c>
      <c r="I104" s="1116"/>
      <c r="J104" s="1116"/>
      <c r="K104" s="1116"/>
      <c r="L104" s="1116"/>
      <c r="M104" s="1116"/>
      <c r="N104" s="1116"/>
      <c r="O104" s="1116"/>
      <c r="P104" s="1116"/>
      <c r="Q104" s="1116"/>
      <c r="R104" s="1116"/>
      <c r="S104" s="1117">
        <v>5850</v>
      </c>
      <c r="T104" s="1117">
        <v>5850</v>
      </c>
      <c r="U104" s="1117">
        <v>0</v>
      </c>
      <c r="V104" s="1117">
        <v>0</v>
      </c>
      <c r="W104" s="1117">
        <v>0</v>
      </c>
      <c r="X104" s="1117" t="s">
        <v>2171</v>
      </c>
      <c r="Y104" s="1117" t="s">
        <v>2171</v>
      </c>
      <c r="Z104" s="1117">
        <v>0</v>
      </c>
      <c r="AA104" s="1116"/>
      <c r="AB104" s="1116"/>
      <c r="AC104" s="1116"/>
      <c r="AD104" s="1116"/>
      <c r="AE104" s="1116"/>
      <c r="AF104" s="1140">
        <f t="shared" si="8"/>
        <v>4586.208380598694</v>
      </c>
      <c r="AG104" s="1117">
        <f>'1.1.1 PrimEnLR'!B104*'3.1.1 CO2LR'!$AG$9*Units!$C$47/1000</f>
        <v>4586.208380598694</v>
      </c>
      <c r="AH104" s="1117">
        <f>'1.1.1 PrimEnLR'!C104*'3.1.1 CO2LR'!$AG$9*Units!$C$47/1000</f>
        <v>0</v>
      </c>
      <c r="AI104" s="1117">
        <f>'1.1.1 PrimEnLR'!D104*Units!$C$14*Units!$C$59/1000</f>
        <v>0</v>
      </c>
      <c r="AJ104" s="1116"/>
      <c r="AK104" s="1116"/>
    </row>
    <row r="105" spans="1:37" x14ac:dyDescent="0.35">
      <c r="A105" s="1116">
        <v>1795</v>
      </c>
      <c r="B105" s="1116"/>
      <c r="C105" s="1119"/>
      <c r="D105" s="1119">
        <f t="shared" si="4"/>
        <v>0</v>
      </c>
      <c r="E105" s="1119">
        <f t="shared" si="9"/>
        <v>5.8520000000000003</v>
      </c>
      <c r="F105" s="1139">
        <f t="shared" si="5"/>
        <v>0</v>
      </c>
      <c r="G105" s="1116"/>
      <c r="H105" s="1139">
        <f t="shared" si="6"/>
        <v>5.8520000000000003</v>
      </c>
      <c r="I105" s="1116"/>
      <c r="J105" s="1116"/>
      <c r="K105" s="1116"/>
      <c r="L105" s="1116"/>
      <c r="M105" s="1116"/>
      <c r="N105" s="1116"/>
      <c r="O105" s="1116"/>
      <c r="P105" s="1116"/>
      <c r="Q105" s="1116"/>
      <c r="R105" s="1116"/>
      <c r="S105" s="1117">
        <v>5852</v>
      </c>
      <c r="T105" s="1117">
        <v>5852</v>
      </c>
      <c r="U105" s="1117">
        <v>0</v>
      </c>
      <c r="V105" s="1117">
        <v>0</v>
      </c>
      <c r="W105" s="1117">
        <v>0</v>
      </c>
      <c r="X105" s="1117" t="s">
        <v>2171</v>
      </c>
      <c r="Y105" s="1117" t="s">
        <v>2171</v>
      </c>
      <c r="Z105" s="1117">
        <v>0</v>
      </c>
      <c r="AA105" s="1116"/>
      <c r="AB105" s="1116"/>
      <c r="AC105" s="1116"/>
      <c r="AD105" s="1116"/>
      <c r="AE105" s="1116"/>
      <c r="AF105" s="1140">
        <f t="shared" si="8"/>
        <v>4704.6747864247509</v>
      </c>
      <c r="AG105" s="1117">
        <f>'1.1.1 PrimEnLR'!B105*'3.1.1 CO2LR'!$AG$9*Units!$C$47/1000</f>
        <v>4704.6747864247509</v>
      </c>
      <c r="AH105" s="1117">
        <f>'1.1.1 PrimEnLR'!C105*'3.1.1 CO2LR'!$AG$9*Units!$C$47/1000</f>
        <v>0</v>
      </c>
      <c r="AI105" s="1117">
        <f>'1.1.1 PrimEnLR'!D105*Units!$C$14*Units!$C$59/1000</f>
        <v>0</v>
      </c>
      <c r="AJ105" s="1116"/>
      <c r="AK105" s="1116"/>
    </row>
    <row r="106" spans="1:37" x14ac:dyDescent="0.35">
      <c r="A106" s="1116">
        <v>1796</v>
      </c>
      <c r="B106" s="1116"/>
      <c r="C106" s="1119"/>
      <c r="D106" s="1119">
        <f t="shared" si="4"/>
        <v>0</v>
      </c>
      <c r="E106" s="1119">
        <f t="shared" si="9"/>
        <v>6.117</v>
      </c>
      <c r="F106" s="1139">
        <f t="shared" si="5"/>
        <v>0</v>
      </c>
      <c r="G106" s="1116"/>
      <c r="H106" s="1139">
        <f t="shared" si="6"/>
        <v>6.117</v>
      </c>
      <c r="I106" s="1116"/>
      <c r="J106" s="1116"/>
      <c r="K106" s="1116"/>
      <c r="L106" s="1116"/>
      <c r="M106" s="1116"/>
      <c r="N106" s="1116"/>
      <c r="O106" s="1116"/>
      <c r="P106" s="1116"/>
      <c r="Q106" s="1116"/>
      <c r="R106" s="1116"/>
      <c r="S106" s="1117">
        <v>6117</v>
      </c>
      <c r="T106" s="1117">
        <v>6117</v>
      </c>
      <c r="U106" s="1117">
        <v>0</v>
      </c>
      <c r="V106" s="1117">
        <v>0</v>
      </c>
      <c r="W106" s="1117">
        <v>0</v>
      </c>
      <c r="X106" s="1117" t="s">
        <v>2171</v>
      </c>
      <c r="Y106" s="1117" t="s">
        <v>2171</v>
      </c>
      <c r="Z106" s="1117">
        <v>0</v>
      </c>
      <c r="AA106" s="1116"/>
      <c r="AB106" s="1116"/>
      <c r="AC106" s="1116"/>
      <c r="AD106" s="1116"/>
      <c r="AE106" s="1116"/>
      <c r="AF106" s="1140">
        <f t="shared" si="8"/>
        <v>4762.1180094222173</v>
      </c>
      <c r="AG106" s="1117">
        <f>'1.1.1 PrimEnLR'!B106*'3.1.1 CO2LR'!$AG$9*Units!$C$47/1000</f>
        <v>4762.1180094222173</v>
      </c>
      <c r="AH106" s="1117">
        <f>'1.1.1 PrimEnLR'!C106*'3.1.1 CO2LR'!$AG$9*Units!$C$47/1000</f>
        <v>0</v>
      </c>
      <c r="AI106" s="1117">
        <f>'1.1.1 PrimEnLR'!D106*Units!$C$14*Units!$C$59/1000</f>
        <v>0</v>
      </c>
      <c r="AJ106" s="1116"/>
      <c r="AK106" s="1116"/>
    </row>
    <row r="107" spans="1:37" x14ac:dyDescent="0.35">
      <c r="A107" s="1116">
        <v>1797</v>
      </c>
      <c r="B107" s="1116"/>
      <c r="C107" s="1119"/>
      <c r="D107" s="1119">
        <f t="shared" si="4"/>
        <v>0</v>
      </c>
      <c r="E107" s="1119">
        <f t="shared" si="9"/>
        <v>6.4249999999999998</v>
      </c>
      <c r="F107" s="1139">
        <f t="shared" si="5"/>
        <v>0</v>
      </c>
      <c r="G107" s="1116"/>
      <c r="H107" s="1139">
        <f t="shared" si="6"/>
        <v>6.4249999999999998</v>
      </c>
      <c r="I107" s="1116"/>
      <c r="J107" s="1116"/>
      <c r="K107" s="1116"/>
      <c r="L107" s="1116"/>
      <c r="M107" s="1116"/>
      <c r="N107" s="1116"/>
      <c r="O107" s="1116"/>
      <c r="P107" s="1116"/>
      <c r="Q107" s="1116"/>
      <c r="R107" s="1116"/>
      <c r="S107" s="1117">
        <v>6425</v>
      </c>
      <c r="T107" s="1117">
        <v>6425</v>
      </c>
      <c r="U107" s="1117">
        <v>0</v>
      </c>
      <c r="V107" s="1117">
        <v>0</v>
      </c>
      <c r="W107" s="1117">
        <v>0</v>
      </c>
      <c r="X107" s="1117" t="s">
        <v>2171</v>
      </c>
      <c r="Y107" s="1117" t="s">
        <v>2171</v>
      </c>
      <c r="Z107" s="1117">
        <v>0</v>
      </c>
      <c r="AA107" s="1116"/>
      <c r="AB107" s="1116"/>
      <c r="AC107" s="1116"/>
      <c r="AD107" s="1116"/>
      <c r="AE107" s="1116"/>
      <c r="AF107" s="1140">
        <f t="shared" si="8"/>
        <v>4874.9932272529586</v>
      </c>
      <c r="AG107" s="1117">
        <f>'1.1.1 PrimEnLR'!B107*'3.1.1 CO2LR'!$AG$9*Units!$C$47/1000</f>
        <v>4874.9932272529586</v>
      </c>
      <c r="AH107" s="1117">
        <f>'1.1.1 PrimEnLR'!C107*'3.1.1 CO2LR'!$AG$9*Units!$C$47/1000</f>
        <v>0</v>
      </c>
      <c r="AI107" s="1117">
        <f>'1.1.1 PrimEnLR'!D107*Units!$C$14*Units!$C$59/1000</f>
        <v>0</v>
      </c>
      <c r="AJ107" s="1116"/>
      <c r="AK107" s="1116"/>
    </row>
    <row r="108" spans="1:37" x14ac:dyDescent="0.35">
      <c r="A108" s="1116">
        <v>1798</v>
      </c>
      <c r="B108" s="1116"/>
      <c r="C108" s="1119"/>
      <c r="D108" s="1119">
        <f t="shared" si="4"/>
        <v>0</v>
      </c>
      <c r="E108" s="1119">
        <f t="shared" si="9"/>
        <v>6.6909999999999998</v>
      </c>
      <c r="F108" s="1139">
        <f t="shared" si="5"/>
        <v>0</v>
      </c>
      <c r="G108" s="1116"/>
      <c r="H108" s="1139">
        <f t="shared" si="6"/>
        <v>6.6909999999999998</v>
      </c>
      <c r="I108" s="1116"/>
      <c r="J108" s="1116"/>
      <c r="K108" s="1116"/>
      <c r="L108" s="1116"/>
      <c r="M108" s="1116"/>
      <c r="N108" s="1116"/>
      <c r="O108" s="1116"/>
      <c r="P108" s="1116"/>
      <c r="Q108" s="1116"/>
      <c r="R108" s="1116"/>
      <c r="S108" s="1117">
        <v>6691</v>
      </c>
      <c r="T108" s="1117">
        <v>6691</v>
      </c>
      <c r="U108" s="1117">
        <v>0</v>
      </c>
      <c r="V108" s="1117">
        <v>0</v>
      </c>
      <c r="W108" s="1117">
        <v>0</v>
      </c>
      <c r="X108" s="1117" t="s">
        <v>2171</v>
      </c>
      <c r="Y108" s="1117" t="s">
        <v>2171</v>
      </c>
      <c r="Z108" s="1117">
        <v>0</v>
      </c>
      <c r="AA108" s="1116"/>
      <c r="AB108" s="1116"/>
      <c r="AC108" s="1116"/>
      <c r="AD108" s="1116"/>
      <c r="AE108" s="1116"/>
      <c r="AF108" s="1140">
        <f t="shared" si="8"/>
        <v>4959.9490126673827</v>
      </c>
      <c r="AG108" s="1117">
        <f>'1.1.1 PrimEnLR'!B108*'3.1.1 CO2LR'!$AG$9*Units!$C$47/1000</f>
        <v>4959.9490126673827</v>
      </c>
      <c r="AH108" s="1117">
        <f>'1.1.1 PrimEnLR'!C108*'3.1.1 CO2LR'!$AG$9*Units!$C$47/1000</f>
        <v>0</v>
      </c>
      <c r="AI108" s="1117">
        <f>'1.1.1 PrimEnLR'!D108*Units!$C$14*Units!$C$59/1000</f>
        <v>0</v>
      </c>
      <c r="AJ108" s="1116"/>
      <c r="AK108" s="1116"/>
    </row>
    <row r="109" spans="1:37" x14ac:dyDescent="0.35">
      <c r="A109" s="1116">
        <v>1799</v>
      </c>
      <c r="B109" s="1116"/>
      <c r="C109" s="1119"/>
      <c r="D109" s="1119">
        <f t="shared" si="4"/>
        <v>0</v>
      </c>
      <c r="E109" s="1119">
        <f t="shared" si="9"/>
        <v>7.0410000000000004</v>
      </c>
      <c r="F109" s="1139">
        <f t="shared" si="5"/>
        <v>0</v>
      </c>
      <c r="G109" s="1116"/>
      <c r="H109" s="1139">
        <f t="shared" si="6"/>
        <v>7.0410000000000004</v>
      </c>
      <c r="I109" s="1116"/>
      <c r="J109" s="1116"/>
      <c r="K109" s="1116"/>
      <c r="L109" s="1116"/>
      <c r="M109" s="1116"/>
      <c r="N109" s="1116"/>
      <c r="O109" s="1116"/>
      <c r="P109" s="1116"/>
      <c r="Q109" s="1116"/>
      <c r="R109" s="1116"/>
      <c r="S109" s="1117">
        <v>7041</v>
      </c>
      <c r="T109" s="1117">
        <v>7041</v>
      </c>
      <c r="U109" s="1117">
        <v>0</v>
      </c>
      <c r="V109" s="1117">
        <v>0</v>
      </c>
      <c r="W109" s="1117">
        <v>0</v>
      </c>
      <c r="X109" s="1117" t="s">
        <v>2171</v>
      </c>
      <c r="Y109" s="1117" t="s">
        <v>2171</v>
      </c>
      <c r="Z109" s="1117">
        <v>0</v>
      </c>
      <c r="AA109" s="1116"/>
      <c r="AB109" s="1116"/>
      <c r="AC109" s="1116"/>
      <c r="AD109" s="1116"/>
      <c r="AE109" s="1116"/>
      <c r="AF109" s="1140">
        <f t="shared" si="8"/>
        <v>5038.8141007343029</v>
      </c>
      <c r="AG109" s="1117">
        <f>'1.1.1 PrimEnLR'!B109*'3.1.1 CO2LR'!$AG$9*Units!$C$47/1000</f>
        <v>5038.8141007343029</v>
      </c>
      <c r="AH109" s="1117">
        <f>'1.1.1 PrimEnLR'!C109*'3.1.1 CO2LR'!$AG$9*Units!$C$47/1000</f>
        <v>0</v>
      </c>
      <c r="AI109" s="1117">
        <f>'1.1.1 PrimEnLR'!D109*Units!$C$14*Units!$C$59/1000</f>
        <v>0</v>
      </c>
      <c r="AJ109" s="1116"/>
      <c r="AK109" s="1116"/>
    </row>
    <row r="110" spans="1:37" x14ac:dyDescent="0.35">
      <c r="A110" s="1116">
        <v>1800</v>
      </c>
      <c r="B110" s="1116"/>
      <c r="C110" s="1119"/>
      <c r="D110" s="1119">
        <f t="shared" si="4"/>
        <v>0</v>
      </c>
      <c r="E110" s="1119">
        <f t="shared" si="9"/>
        <v>7.2690000000000001</v>
      </c>
      <c r="F110" s="1139">
        <f t="shared" si="5"/>
        <v>0</v>
      </c>
      <c r="G110" s="1116"/>
      <c r="H110" s="1139">
        <f t="shared" si="6"/>
        <v>7.2690000000000001</v>
      </c>
      <c r="I110" s="1116"/>
      <c r="J110" s="1116"/>
      <c r="K110" s="1116"/>
      <c r="L110" s="1116"/>
      <c r="M110" s="1116"/>
      <c r="N110" s="1116"/>
      <c r="O110" s="1116"/>
      <c r="P110" s="1116"/>
      <c r="Q110" s="1116"/>
      <c r="R110" s="1116"/>
      <c r="S110" s="1117">
        <v>7269</v>
      </c>
      <c r="T110" s="1117">
        <v>7269</v>
      </c>
      <c r="U110" s="1117">
        <v>0</v>
      </c>
      <c r="V110" s="1117">
        <v>0</v>
      </c>
      <c r="W110" s="1117">
        <v>0</v>
      </c>
      <c r="X110" s="1117" t="s">
        <v>2171</v>
      </c>
      <c r="Y110" s="1117" t="s">
        <v>2171</v>
      </c>
      <c r="Z110" s="1117">
        <v>0</v>
      </c>
      <c r="AA110" s="1116"/>
      <c r="AB110" s="1116"/>
      <c r="AC110" s="1116"/>
      <c r="AD110" s="1116"/>
      <c r="AE110" s="1116"/>
      <c r="AF110" s="1140">
        <f t="shared" si="8"/>
        <v>5103.9373497131892</v>
      </c>
      <c r="AG110" s="1117">
        <f>'1.1.1 PrimEnLR'!B110*'3.1.1 CO2LR'!$AG$9*Units!$C$47/1000</f>
        <v>5103.9373497131892</v>
      </c>
      <c r="AH110" s="1117">
        <f>'1.1.1 PrimEnLR'!C110*'3.1.1 CO2LR'!$AG$9*Units!$C$47/1000</f>
        <v>0</v>
      </c>
      <c r="AI110" s="1117">
        <f>'1.1.1 PrimEnLR'!D110*Units!$C$14*Units!$C$59/1000</f>
        <v>0</v>
      </c>
      <c r="AJ110" s="1116"/>
      <c r="AK110" s="1116"/>
    </row>
    <row r="111" spans="1:37" x14ac:dyDescent="0.35">
      <c r="A111" s="1116">
        <v>1801</v>
      </c>
      <c r="B111" s="1116"/>
      <c r="C111" s="1119"/>
      <c r="D111" s="1119">
        <f t="shared" si="4"/>
        <v>0</v>
      </c>
      <c r="E111" s="1119">
        <f t="shared" si="9"/>
        <v>7.29</v>
      </c>
      <c r="F111" s="1139">
        <f t="shared" si="5"/>
        <v>0</v>
      </c>
      <c r="G111" s="1116"/>
      <c r="H111" s="1139">
        <f t="shared" si="6"/>
        <v>7.29</v>
      </c>
      <c r="I111" s="1116"/>
      <c r="J111" s="1116"/>
      <c r="K111" s="1116"/>
      <c r="L111" s="1116"/>
      <c r="M111" s="1116"/>
      <c r="N111" s="1116"/>
      <c r="O111" s="1116"/>
      <c r="P111" s="1116"/>
      <c r="Q111" s="1116"/>
      <c r="R111" s="1116"/>
      <c r="S111" s="1117">
        <v>7290</v>
      </c>
      <c r="T111" s="1117">
        <v>7290</v>
      </c>
      <c r="U111" s="1117">
        <v>0</v>
      </c>
      <c r="V111" s="1117">
        <v>0</v>
      </c>
      <c r="W111" s="1117">
        <v>0</v>
      </c>
      <c r="X111" s="1117" t="s">
        <v>2171</v>
      </c>
      <c r="Y111" s="1117" t="s">
        <v>2171</v>
      </c>
      <c r="Z111" s="1117">
        <v>0</v>
      </c>
      <c r="AA111" s="1116"/>
      <c r="AB111" s="1116"/>
      <c r="AC111" s="1116"/>
      <c r="AD111" s="1116"/>
      <c r="AE111" s="1116"/>
      <c r="AF111" s="1140">
        <f t="shared" si="8"/>
        <v>5307.9734573045935</v>
      </c>
      <c r="AG111" s="1117">
        <f>'1.1.1 PrimEnLR'!B111*'3.1.1 CO2LR'!$AG$9*Units!$C$47/1000</f>
        <v>5307.9734573045935</v>
      </c>
      <c r="AH111" s="1117">
        <f>'1.1.1 PrimEnLR'!C111*'3.1.1 CO2LR'!$AG$9*Units!$C$47/1000</f>
        <v>0</v>
      </c>
      <c r="AI111" s="1117">
        <f>'1.1.1 PrimEnLR'!D111*Units!$C$14*Units!$C$59/1000</f>
        <v>0</v>
      </c>
      <c r="AJ111" s="1116"/>
      <c r="AK111" s="1116"/>
    </row>
    <row r="112" spans="1:37" x14ac:dyDescent="0.35">
      <c r="A112" s="1116">
        <v>1802</v>
      </c>
      <c r="B112" s="1116"/>
      <c r="C112" s="1119"/>
      <c r="D112" s="1119">
        <f t="shared" si="4"/>
        <v>0</v>
      </c>
      <c r="E112" s="1119">
        <f t="shared" si="9"/>
        <v>7.3280000000000003</v>
      </c>
      <c r="F112" s="1139">
        <f t="shared" si="5"/>
        <v>0</v>
      </c>
      <c r="G112" s="1116"/>
      <c r="H112" s="1139">
        <f t="shared" si="6"/>
        <v>7.3280000000000003</v>
      </c>
      <c r="I112" s="1116"/>
      <c r="J112" s="1116"/>
      <c r="K112" s="1116"/>
      <c r="L112" s="1116"/>
      <c r="M112" s="1116"/>
      <c r="N112" s="1116"/>
      <c r="O112" s="1116"/>
      <c r="P112" s="1116"/>
      <c r="Q112" s="1116"/>
      <c r="R112" s="1116"/>
      <c r="S112" s="1117">
        <v>7328</v>
      </c>
      <c r="T112" s="1117">
        <v>7328</v>
      </c>
      <c r="U112" s="1117">
        <v>0</v>
      </c>
      <c r="V112" s="1117">
        <v>0</v>
      </c>
      <c r="W112" s="1117">
        <v>0</v>
      </c>
      <c r="X112" s="1117" t="s">
        <v>2171</v>
      </c>
      <c r="Y112" s="1117" t="s">
        <v>2171</v>
      </c>
      <c r="Z112" s="1117">
        <v>0</v>
      </c>
      <c r="AA112" s="1116"/>
      <c r="AB112" s="1116"/>
      <c r="AC112" s="1116"/>
      <c r="AD112" s="1116"/>
      <c r="AE112" s="1116"/>
      <c r="AF112" s="1140">
        <f t="shared" si="8"/>
        <v>5461.1279047267535</v>
      </c>
      <c r="AG112" s="1117">
        <f>'1.1.1 PrimEnLR'!B112*'3.1.1 CO2LR'!$AG$9*Units!$C$47/1000</f>
        <v>5461.1279047267535</v>
      </c>
      <c r="AH112" s="1117">
        <f>'1.1.1 PrimEnLR'!C112*'3.1.1 CO2LR'!$AG$9*Units!$C$47/1000</f>
        <v>0</v>
      </c>
      <c r="AI112" s="1117">
        <f>'1.1.1 PrimEnLR'!D112*Units!$C$14*Units!$C$59/1000</f>
        <v>0</v>
      </c>
      <c r="AJ112" s="1116"/>
      <c r="AK112" s="1116"/>
    </row>
    <row r="113" spans="1:37" x14ac:dyDescent="0.35">
      <c r="A113" s="1116">
        <v>1803</v>
      </c>
      <c r="B113" s="1116"/>
      <c r="C113" s="1119"/>
      <c r="D113" s="1119">
        <f t="shared" si="4"/>
        <v>0</v>
      </c>
      <c r="E113" s="1119">
        <f t="shared" si="9"/>
        <v>8.24</v>
      </c>
      <c r="F113" s="1139">
        <f t="shared" si="5"/>
        <v>0</v>
      </c>
      <c r="G113" s="1116"/>
      <c r="H113" s="1139">
        <f t="shared" si="6"/>
        <v>8.24</v>
      </c>
      <c r="I113" s="1116"/>
      <c r="J113" s="1116"/>
      <c r="K113" s="1116"/>
      <c r="L113" s="1116"/>
      <c r="M113" s="1116"/>
      <c r="N113" s="1116"/>
      <c r="O113" s="1116"/>
      <c r="P113" s="1116"/>
      <c r="Q113" s="1116"/>
      <c r="R113" s="1116"/>
      <c r="S113" s="1117">
        <v>8240</v>
      </c>
      <c r="T113" s="1117">
        <v>8240</v>
      </c>
      <c r="U113" s="1117">
        <v>0</v>
      </c>
      <c r="V113" s="1117">
        <v>0</v>
      </c>
      <c r="W113" s="1117">
        <v>0</v>
      </c>
      <c r="X113" s="1117" t="s">
        <v>2171</v>
      </c>
      <c r="Y113" s="1117" t="s">
        <v>2171</v>
      </c>
      <c r="Z113" s="1117">
        <v>0</v>
      </c>
      <c r="AA113" s="1116"/>
      <c r="AB113" s="1116"/>
      <c r="AC113" s="1116"/>
      <c r="AD113" s="1116"/>
      <c r="AE113" s="1116"/>
      <c r="AF113" s="1140">
        <f t="shared" si="8"/>
        <v>5641.6400219075713</v>
      </c>
      <c r="AG113" s="1117">
        <f>'1.1.1 PrimEnLR'!B113*'3.1.1 CO2LR'!$AG$9*Units!$C$47/1000</f>
        <v>5641.6400219075713</v>
      </c>
      <c r="AH113" s="1117">
        <f>'1.1.1 PrimEnLR'!C113*'3.1.1 CO2LR'!$AG$9*Units!$C$47/1000</f>
        <v>0</v>
      </c>
      <c r="AI113" s="1117">
        <f>'1.1.1 PrimEnLR'!D113*Units!$C$14*Units!$C$59/1000</f>
        <v>0</v>
      </c>
      <c r="AJ113" s="1116"/>
      <c r="AK113" s="1116"/>
    </row>
    <row r="114" spans="1:37" x14ac:dyDescent="0.35">
      <c r="A114" s="1116">
        <v>1804</v>
      </c>
      <c r="B114" s="1116"/>
      <c r="C114" s="1119"/>
      <c r="D114" s="1119">
        <f t="shared" si="4"/>
        <v>0</v>
      </c>
      <c r="E114" s="1119">
        <f t="shared" si="9"/>
        <v>8.2780000000000005</v>
      </c>
      <c r="F114" s="1139">
        <f t="shared" si="5"/>
        <v>0</v>
      </c>
      <c r="G114" s="1116"/>
      <c r="H114" s="1139">
        <f t="shared" si="6"/>
        <v>8.2780000000000005</v>
      </c>
      <c r="I114" s="1116"/>
      <c r="J114" s="1116"/>
      <c r="K114" s="1116"/>
      <c r="L114" s="1116"/>
      <c r="M114" s="1116"/>
      <c r="N114" s="1116"/>
      <c r="O114" s="1116"/>
      <c r="P114" s="1116"/>
      <c r="Q114" s="1116"/>
      <c r="R114" s="1116"/>
      <c r="S114" s="1117">
        <v>8278</v>
      </c>
      <c r="T114" s="1117">
        <v>8278</v>
      </c>
      <c r="U114" s="1117">
        <v>0</v>
      </c>
      <c r="V114" s="1117">
        <v>0</v>
      </c>
      <c r="W114" s="1117">
        <v>0</v>
      </c>
      <c r="X114" s="1117" t="s">
        <v>2171</v>
      </c>
      <c r="Y114" s="1117" t="s">
        <v>2171</v>
      </c>
      <c r="Z114" s="1117">
        <v>0</v>
      </c>
      <c r="AA114" s="1116"/>
      <c r="AB114" s="1116"/>
      <c r="AC114" s="1116"/>
      <c r="AD114" s="1116"/>
      <c r="AE114" s="1116"/>
      <c r="AF114" s="1140">
        <f t="shared" si="8"/>
        <v>5822.2045092019071</v>
      </c>
      <c r="AG114" s="1117">
        <f>'1.1.1 PrimEnLR'!B114*'3.1.1 CO2LR'!$AG$9*Units!$C$47/1000</f>
        <v>5822.2045092019071</v>
      </c>
      <c r="AH114" s="1117">
        <f>'1.1.1 PrimEnLR'!C114*'3.1.1 CO2LR'!$AG$9*Units!$C$47/1000</f>
        <v>0</v>
      </c>
      <c r="AI114" s="1117">
        <f>'1.1.1 PrimEnLR'!D114*Units!$C$14*Units!$C$59/1000</f>
        <v>0</v>
      </c>
      <c r="AJ114" s="1116"/>
      <c r="AK114" s="1116"/>
    </row>
    <row r="115" spans="1:37" x14ac:dyDescent="0.35">
      <c r="A115" s="1116">
        <v>1805</v>
      </c>
      <c r="B115" s="1116"/>
      <c r="C115" s="1119"/>
      <c r="D115" s="1119">
        <f t="shared" si="4"/>
        <v>0</v>
      </c>
      <c r="E115" s="1119">
        <f t="shared" si="9"/>
        <v>8.5869999999999997</v>
      </c>
      <c r="F115" s="1139">
        <f t="shared" si="5"/>
        <v>0</v>
      </c>
      <c r="G115" s="1116"/>
      <c r="H115" s="1139">
        <f t="shared" si="6"/>
        <v>8.5869999999999997</v>
      </c>
      <c r="I115" s="1116"/>
      <c r="J115" s="1116"/>
      <c r="K115" s="1116"/>
      <c r="L115" s="1116"/>
      <c r="M115" s="1116"/>
      <c r="N115" s="1116"/>
      <c r="O115" s="1116"/>
      <c r="P115" s="1116"/>
      <c r="Q115" s="1116"/>
      <c r="R115" s="1116"/>
      <c r="S115" s="1117">
        <v>8587</v>
      </c>
      <c r="T115" s="1117">
        <v>8587</v>
      </c>
      <c r="U115" s="1117">
        <v>0</v>
      </c>
      <c r="V115" s="1117">
        <v>0</v>
      </c>
      <c r="W115" s="1117">
        <v>0</v>
      </c>
      <c r="X115" s="1117" t="s">
        <v>2171</v>
      </c>
      <c r="Y115" s="1117" t="s">
        <v>2171</v>
      </c>
      <c r="Z115" s="1117">
        <v>0</v>
      </c>
      <c r="AA115" s="1116"/>
      <c r="AB115" s="1116"/>
      <c r="AC115" s="1116"/>
      <c r="AD115" s="1116"/>
      <c r="AE115" s="1116"/>
      <c r="AF115" s="1140">
        <f t="shared" si="8"/>
        <v>6004.2675143674342</v>
      </c>
      <c r="AG115" s="1117">
        <f>'1.1.1 PrimEnLR'!B115*'3.1.1 CO2LR'!$AG$9*Units!$C$47/1000</f>
        <v>6004.2675143674342</v>
      </c>
      <c r="AH115" s="1117">
        <f>'1.1.1 PrimEnLR'!C115*'3.1.1 CO2LR'!$AG$9*Units!$C$47/1000</f>
        <v>0</v>
      </c>
      <c r="AI115" s="1117">
        <f>'1.1.1 PrimEnLR'!D115*Units!$C$14*Units!$C$59/1000</f>
        <v>0</v>
      </c>
      <c r="AJ115" s="1116"/>
      <c r="AK115" s="1116"/>
    </row>
    <row r="116" spans="1:37" x14ac:dyDescent="0.35">
      <c r="A116" s="1116">
        <v>1806</v>
      </c>
      <c r="B116" s="1116"/>
      <c r="C116" s="1119"/>
      <c r="D116" s="1119">
        <f t="shared" si="4"/>
        <v>0</v>
      </c>
      <c r="E116" s="1119">
        <f t="shared" si="9"/>
        <v>9.0749999999999993</v>
      </c>
      <c r="F116" s="1139">
        <f t="shared" si="5"/>
        <v>0</v>
      </c>
      <c r="G116" s="1116"/>
      <c r="H116" s="1139">
        <f t="shared" si="6"/>
        <v>9.0749999999999993</v>
      </c>
      <c r="I116" s="1116"/>
      <c r="J116" s="1116"/>
      <c r="K116" s="1116"/>
      <c r="L116" s="1116"/>
      <c r="M116" s="1116"/>
      <c r="N116" s="1116"/>
      <c r="O116" s="1116"/>
      <c r="P116" s="1116"/>
      <c r="Q116" s="1116"/>
      <c r="R116" s="1116"/>
      <c r="S116" s="1117">
        <v>9075</v>
      </c>
      <c r="T116" s="1117">
        <v>9075</v>
      </c>
      <c r="U116" s="1117">
        <v>0</v>
      </c>
      <c r="V116" s="1117">
        <v>0</v>
      </c>
      <c r="W116" s="1117">
        <v>0</v>
      </c>
      <c r="X116" s="1117" t="s">
        <v>2171</v>
      </c>
      <c r="Y116" s="1117" t="s">
        <v>2171</v>
      </c>
      <c r="Z116" s="1117">
        <v>0</v>
      </c>
      <c r="AA116" s="1116"/>
      <c r="AB116" s="1116"/>
      <c r="AC116" s="1116"/>
      <c r="AD116" s="1116"/>
      <c r="AE116" s="1116"/>
      <c r="AF116" s="1140">
        <f t="shared" si="8"/>
        <v>6169.2578553935627</v>
      </c>
      <c r="AG116" s="1117">
        <f>'1.1.1 PrimEnLR'!B116*'3.1.1 CO2LR'!$AG$9*Units!$C$47/1000</f>
        <v>6169.2578553935627</v>
      </c>
      <c r="AH116" s="1117">
        <f>'1.1.1 PrimEnLR'!C116*'3.1.1 CO2LR'!$AG$9*Units!$C$47/1000</f>
        <v>0</v>
      </c>
      <c r="AI116" s="1117">
        <f>'1.1.1 PrimEnLR'!D116*Units!$C$14*Units!$C$59/1000</f>
        <v>0</v>
      </c>
      <c r="AJ116" s="1116"/>
      <c r="AK116" s="1116"/>
    </row>
    <row r="117" spans="1:37" x14ac:dyDescent="0.35">
      <c r="A117" s="1116">
        <v>1807</v>
      </c>
      <c r="B117" s="1116"/>
      <c r="C117" s="1119"/>
      <c r="D117" s="1119">
        <f t="shared" si="4"/>
        <v>0</v>
      </c>
      <c r="E117" s="1119">
        <f t="shared" si="9"/>
        <v>9.077</v>
      </c>
      <c r="F117" s="1139">
        <f t="shared" si="5"/>
        <v>0</v>
      </c>
      <c r="G117" s="1116"/>
      <c r="H117" s="1139">
        <f t="shared" si="6"/>
        <v>9.077</v>
      </c>
      <c r="I117" s="1116"/>
      <c r="J117" s="1116"/>
      <c r="K117" s="1116"/>
      <c r="L117" s="1116"/>
      <c r="M117" s="1116"/>
      <c r="N117" s="1116"/>
      <c r="O117" s="1116"/>
      <c r="P117" s="1116"/>
      <c r="Q117" s="1116"/>
      <c r="R117" s="1116"/>
      <c r="S117" s="1117">
        <v>9077</v>
      </c>
      <c r="T117" s="1117">
        <v>9077</v>
      </c>
      <c r="U117" s="1117">
        <v>0</v>
      </c>
      <c r="V117" s="1117">
        <v>0</v>
      </c>
      <c r="W117" s="1117">
        <v>0</v>
      </c>
      <c r="X117" s="1117" t="s">
        <v>2171</v>
      </c>
      <c r="Y117" s="1117" t="s">
        <v>2171</v>
      </c>
      <c r="Z117" s="1117">
        <v>0</v>
      </c>
      <c r="AA117" s="1116"/>
      <c r="AB117" s="1116"/>
      <c r="AC117" s="1116"/>
      <c r="AD117" s="1116"/>
      <c r="AE117" s="1116"/>
      <c r="AF117" s="1140">
        <f t="shared" si="8"/>
        <v>6382.6755763124156</v>
      </c>
      <c r="AG117" s="1117">
        <f>'1.1.1 PrimEnLR'!B117*'3.1.1 CO2LR'!$AG$9*Units!$C$47/1000</f>
        <v>6382.6755763124156</v>
      </c>
      <c r="AH117" s="1117">
        <f>'1.1.1 PrimEnLR'!C117*'3.1.1 CO2LR'!$AG$9*Units!$C$47/1000</f>
        <v>0</v>
      </c>
      <c r="AI117" s="1117">
        <f>'1.1.1 PrimEnLR'!D117*Units!$C$14*Units!$C$59/1000</f>
        <v>0</v>
      </c>
      <c r="AJ117" s="1116"/>
      <c r="AK117" s="1116"/>
    </row>
    <row r="118" spans="1:37" x14ac:dyDescent="0.35">
      <c r="A118" s="1116">
        <v>1808</v>
      </c>
      <c r="B118" s="1116"/>
      <c r="C118" s="1119"/>
      <c r="D118" s="1119">
        <f t="shared" si="4"/>
        <v>0</v>
      </c>
      <c r="E118" s="1119">
        <f t="shared" si="9"/>
        <v>9.08</v>
      </c>
      <c r="F118" s="1139">
        <f t="shared" si="5"/>
        <v>0</v>
      </c>
      <c r="G118" s="1116"/>
      <c r="H118" s="1139">
        <f t="shared" si="6"/>
        <v>9.08</v>
      </c>
      <c r="I118" s="1116"/>
      <c r="J118" s="1116"/>
      <c r="K118" s="1116"/>
      <c r="L118" s="1116"/>
      <c r="M118" s="1116"/>
      <c r="N118" s="1116"/>
      <c r="O118" s="1116"/>
      <c r="P118" s="1116"/>
      <c r="Q118" s="1116"/>
      <c r="R118" s="1116"/>
      <c r="S118" s="1117">
        <v>9080</v>
      </c>
      <c r="T118" s="1117">
        <v>9080</v>
      </c>
      <c r="U118" s="1117">
        <v>0</v>
      </c>
      <c r="V118" s="1117">
        <v>0</v>
      </c>
      <c r="W118" s="1117">
        <v>0</v>
      </c>
      <c r="X118" s="1117" t="s">
        <v>2171</v>
      </c>
      <c r="Y118" s="1117" t="s">
        <v>2171</v>
      </c>
      <c r="Z118" s="1117">
        <v>0</v>
      </c>
      <c r="AA118" s="1116"/>
      <c r="AB118" s="1116"/>
      <c r="AC118" s="1116"/>
      <c r="AD118" s="1116"/>
      <c r="AE118" s="1116"/>
      <c r="AF118" s="1140">
        <f t="shared" si="8"/>
        <v>6540.4215536933552</v>
      </c>
      <c r="AG118" s="1117">
        <f>'1.1.1 PrimEnLR'!B118*'3.1.1 CO2LR'!$AG$9*Units!$C$47/1000</f>
        <v>6540.4215536933552</v>
      </c>
      <c r="AH118" s="1117">
        <f>'1.1.1 PrimEnLR'!C118*'3.1.1 CO2LR'!$AG$9*Units!$C$47/1000</f>
        <v>0</v>
      </c>
      <c r="AI118" s="1117">
        <f>'1.1.1 PrimEnLR'!D118*Units!$C$14*Units!$C$59/1000</f>
        <v>0</v>
      </c>
      <c r="AJ118" s="1116"/>
      <c r="AK118" s="1116"/>
    </row>
    <row r="119" spans="1:37" x14ac:dyDescent="0.35">
      <c r="A119" s="1116">
        <v>1809</v>
      </c>
      <c r="B119" s="1116"/>
      <c r="C119" s="1119"/>
      <c r="D119" s="1119">
        <f t="shared" si="4"/>
        <v>0</v>
      </c>
      <c r="E119" s="1119">
        <f t="shared" si="9"/>
        <v>9.0830000000000002</v>
      </c>
      <c r="F119" s="1139">
        <f t="shared" si="5"/>
        <v>0</v>
      </c>
      <c r="G119" s="1116"/>
      <c r="H119" s="1139">
        <f t="shared" si="6"/>
        <v>9.0830000000000002</v>
      </c>
      <c r="I119" s="1116"/>
      <c r="J119" s="1116"/>
      <c r="K119" s="1116"/>
      <c r="L119" s="1116"/>
      <c r="M119" s="1116"/>
      <c r="N119" s="1116"/>
      <c r="O119" s="1116"/>
      <c r="P119" s="1116"/>
      <c r="Q119" s="1116"/>
      <c r="R119" s="1116"/>
      <c r="S119" s="1117">
        <v>9083</v>
      </c>
      <c r="T119" s="1117">
        <v>9083</v>
      </c>
      <c r="U119" s="1117">
        <v>0</v>
      </c>
      <c r="V119" s="1117">
        <v>0</v>
      </c>
      <c r="W119" s="1117">
        <v>0</v>
      </c>
      <c r="X119" s="1117" t="s">
        <v>2171</v>
      </c>
      <c r="Y119" s="1117" t="s">
        <v>2171</v>
      </c>
      <c r="Z119" s="1117">
        <v>0</v>
      </c>
      <c r="AA119" s="1116"/>
      <c r="AB119" s="1116"/>
      <c r="AC119" s="1116"/>
      <c r="AD119" s="1116"/>
      <c r="AE119" s="1116"/>
      <c r="AF119" s="1140">
        <f t="shared" si="8"/>
        <v>6707.4644336385436</v>
      </c>
      <c r="AG119" s="1117">
        <f>'1.1.1 PrimEnLR'!B119*'3.1.1 CO2LR'!$AG$9*Units!$C$47/1000</f>
        <v>6707.4644336385436</v>
      </c>
      <c r="AH119" s="1117">
        <f>'1.1.1 PrimEnLR'!C119*'3.1.1 CO2LR'!$AG$9*Units!$C$47/1000</f>
        <v>0</v>
      </c>
      <c r="AI119" s="1117">
        <f>'1.1.1 PrimEnLR'!D119*Units!$C$14*Units!$C$59/1000</f>
        <v>0</v>
      </c>
      <c r="AJ119" s="1116"/>
      <c r="AK119" s="1116"/>
    </row>
    <row r="120" spans="1:37" x14ac:dyDescent="0.35">
      <c r="A120" s="1116">
        <v>1810</v>
      </c>
      <c r="B120" s="1116"/>
      <c r="C120" s="1119"/>
      <c r="D120" s="1119">
        <f t="shared" si="4"/>
        <v>0</v>
      </c>
      <c r="E120" s="1119">
        <f t="shared" si="9"/>
        <v>9.0860000000000003</v>
      </c>
      <c r="F120" s="1139">
        <f t="shared" si="5"/>
        <v>0</v>
      </c>
      <c r="G120" s="1116"/>
      <c r="H120" s="1139">
        <f t="shared" si="6"/>
        <v>9.0860000000000003</v>
      </c>
      <c r="I120" s="1116"/>
      <c r="J120" s="1116"/>
      <c r="K120" s="1116"/>
      <c r="L120" s="1116"/>
      <c r="M120" s="1116"/>
      <c r="N120" s="1116"/>
      <c r="O120" s="1116"/>
      <c r="P120" s="1116"/>
      <c r="Q120" s="1116"/>
      <c r="R120" s="1116"/>
      <c r="S120" s="1117">
        <v>9086</v>
      </c>
      <c r="T120" s="1117">
        <v>9086</v>
      </c>
      <c r="U120" s="1117">
        <v>0</v>
      </c>
      <c r="V120" s="1117">
        <v>0</v>
      </c>
      <c r="W120" s="1117">
        <v>0</v>
      </c>
      <c r="X120" s="1117" t="s">
        <v>2171</v>
      </c>
      <c r="Y120" s="1117" t="s">
        <v>2171</v>
      </c>
      <c r="Z120" s="1117">
        <v>0</v>
      </c>
      <c r="AA120" s="1116"/>
      <c r="AB120" s="1116"/>
      <c r="AC120" s="1116"/>
      <c r="AD120" s="1116"/>
      <c r="AE120" s="1116"/>
      <c r="AF120" s="1140">
        <f t="shared" si="8"/>
        <v>6874.1332602947787</v>
      </c>
      <c r="AG120" s="1117">
        <f>'1.1.1 PrimEnLR'!B120*'3.1.1 CO2LR'!$AG$9*Units!$C$47/1000</f>
        <v>6874.1332602947787</v>
      </c>
      <c r="AH120" s="1117">
        <f>'1.1.1 PrimEnLR'!C120*'3.1.1 CO2LR'!$AG$9*Units!$C$47/1000</f>
        <v>0</v>
      </c>
      <c r="AI120" s="1117">
        <f>'1.1.1 PrimEnLR'!D120*Units!$C$14*Units!$C$59/1000</f>
        <v>0</v>
      </c>
      <c r="AJ120" s="1116"/>
      <c r="AK120" s="1116"/>
    </row>
    <row r="121" spans="1:37" x14ac:dyDescent="0.35">
      <c r="A121" s="1116">
        <v>1811</v>
      </c>
      <c r="B121" s="1116"/>
      <c r="C121" s="1119"/>
      <c r="D121" s="1119">
        <f t="shared" si="4"/>
        <v>0</v>
      </c>
      <c r="E121" s="1119">
        <f t="shared" si="9"/>
        <v>9.7059999999999995</v>
      </c>
      <c r="F121" s="1139">
        <f t="shared" si="5"/>
        <v>0</v>
      </c>
      <c r="G121" s="1116"/>
      <c r="H121" s="1139">
        <f t="shared" si="6"/>
        <v>9.7059999999999995</v>
      </c>
      <c r="I121" s="1116"/>
      <c r="J121" s="1116"/>
      <c r="K121" s="1116"/>
      <c r="L121" s="1116"/>
      <c r="M121" s="1116"/>
      <c r="N121" s="1116"/>
      <c r="O121" s="1116"/>
      <c r="P121" s="1116"/>
      <c r="Q121" s="1116"/>
      <c r="R121" s="1116"/>
      <c r="S121" s="1117">
        <v>9706</v>
      </c>
      <c r="T121" s="1117">
        <v>9706</v>
      </c>
      <c r="U121" s="1117">
        <v>0</v>
      </c>
      <c r="V121" s="1117">
        <v>0</v>
      </c>
      <c r="W121" s="1117">
        <v>0</v>
      </c>
      <c r="X121" s="1117" t="s">
        <v>2171</v>
      </c>
      <c r="Y121" s="1117" t="s">
        <v>2171</v>
      </c>
      <c r="Z121" s="1117">
        <v>0</v>
      </c>
      <c r="AA121" s="1116"/>
      <c r="AB121" s="1116"/>
      <c r="AC121" s="1116"/>
      <c r="AD121" s="1116"/>
      <c r="AE121" s="1116"/>
      <c r="AF121" s="1140">
        <f t="shared" si="8"/>
        <v>7040.4164650036364</v>
      </c>
      <c r="AG121" s="1117">
        <f>'1.1.1 PrimEnLR'!B121*'3.1.1 CO2LR'!$AG$9*Units!$C$47/1000</f>
        <v>7040.4164650036364</v>
      </c>
      <c r="AH121" s="1117">
        <f>'1.1.1 PrimEnLR'!C121*'3.1.1 CO2LR'!$AG$9*Units!$C$47/1000</f>
        <v>0</v>
      </c>
      <c r="AI121" s="1117">
        <f>'1.1.1 PrimEnLR'!D121*Units!$C$14*Units!$C$59/1000</f>
        <v>0</v>
      </c>
      <c r="AJ121" s="1116"/>
      <c r="AK121" s="1116"/>
    </row>
    <row r="122" spans="1:37" x14ac:dyDescent="0.35">
      <c r="A122" s="1116">
        <v>1812</v>
      </c>
      <c r="B122" s="1116"/>
      <c r="C122" s="1119"/>
      <c r="D122" s="1119">
        <f t="shared" si="4"/>
        <v>0</v>
      </c>
      <c r="E122" s="1119">
        <f t="shared" si="9"/>
        <v>10.081</v>
      </c>
      <c r="F122" s="1139">
        <f t="shared" si="5"/>
        <v>0</v>
      </c>
      <c r="G122" s="1116"/>
      <c r="H122" s="1139">
        <f t="shared" si="6"/>
        <v>10.081</v>
      </c>
      <c r="I122" s="1116"/>
      <c r="J122" s="1116"/>
      <c r="K122" s="1116"/>
      <c r="L122" s="1116"/>
      <c r="M122" s="1116"/>
      <c r="N122" s="1116"/>
      <c r="O122" s="1116"/>
      <c r="P122" s="1116"/>
      <c r="Q122" s="1116"/>
      <c r="R122" s="1116"/>
      <c r="S122" s="1117">
        <v>10081</v>
      </c>
      <c r="T122" s="1117">
        <v>10081</v>
      </c>
      <c r="U122" s="1117">
        <v>0</v>
      </c>
      <c r="V122" s="1117">
        <v>0</v>
      </c>
      <c r="W122" s="1117">
        <v>0</v>
      </c>
      <c r="X122" s="1117" t="s">
        <v>2171</v>
      </c>
      <c r="Y122" s="1117" t="s">
        <v>2171</v>
      </c>
      <c r="Z122" s="1117">
        <v>0</v>
      </c>
      <c r="AA122" s="1116"/>
      <c r="AB122" s="1116"/>
      <c r="AC122" s="1116"/>
      <c r="AD122" s="1116"/>
      <c r="AE122" s="1116"/>
      <c r="AF122" s="1140">
        <f t="shared" si="8"/>
        <v>7206.3021213131424</v>
      </c>
      <c r="AG122" s="1117">
        <f>'1.1.1 PrimEnLR'!B122*'3.1.1 CO2LR'!$AG$9*Units!$C$47/1000</f>
        <v>7206.3021213131424</v>
      </c>
      <c r="AH122" s="1117">
        <f>'1.1.1 PrimEnLR'!C122*'3.1.1 CO2LR'!$AG$9*Units!$C$47/1000</f>
        <v>0</v>
      </c>
      <c r="AI122" s="1117">
        <f>'1.1.1 PrimEnLR'!D122*Units!$C$14*Units!$C$59/1000</f>
        <v>0</v>
      </c>
      <c r="AJ122" s="1116"/>
      <c r="AK122" s="1116"/>
    </row>
    <row r="123" spans="1:37" x14ac:dyDescent="0.35">
      <c r="A123" s="1116">
        <v>1813</v>
      </c>
      <c r="B123" s="1116"/>
      <c r="C123" s="1119"/>
      <c r="D123" s="1119">
        <f t="shared" si="4"/>
        <v>0</v>
      </c>
      <c r="E123" s="1119">
        <f t="shared" si="9"/>
        <v>10.201000000000001</v>
      </c>
      <c r="F123" s="1139">
        <f t="shared" si="5"/>
        <v>0</v>
      </c>
      <c r="G123" s="1116"/>
      <c r="H123" s="1139">
        <f t="shared" si="6"/>
        <v>10.201000000000001</v>
      </c>
      <c r="I123" s="1116"/>
      <c r="J123" s="1116"/>
      <c r="K123" s="1116"/>
      <c r="L123" s="1116"/>
      <c r="M123" s="1116"/>
      <c r="N123" s="1116"/>
      <c r="O123" s="1116"/>
      <c r="P123" s="1116"/>
      <c r="Q123" s="1116"/>
      <c r="R123" s="1116"/>
      <c r="S123" s="1117">
        <v>10201</v>
      </c>
      <c r="T123" s="1117">
        <v>10201</v>
      </c>
      <c r="U123" s="1117">
        <v>0</v>
      </c>
      <c r="V123" s="1117">
        <v>0</v>
      </c>
      <c r="W123" s="1117">
        <v>0</v>
      </c>
      <c r="X123" s="1117" t="s">
        <v>2171</v>
      </c>
      <c r="Y123" s="1117" t="s">
        <v>2171</v>
      </c>
      <c r="Z123" s="1117">
        <v>0</v>
      </c>
      <c r="AA123" s="1116"/>
      <c r="AB123" s="1116"/>
      <c r="AC123" s="1116"/>
      <c r="AD123" s="1116"/>
      <c r="AE123" s="1116"/>
      <c r="AF123" s="1140">
        <f t="shared" si="8"/>
        <v>7371.7779339119688</v>
      </c>
      <c r="AG123" s="1117">
        <f>'1.1.1 PrimEnLR'!B123*'3.1.1 CO2LR'!$AG$9*Units!$C$47/1000</f>
        <v>7371.7779339119688</v>
      </c>
      <c r="AH123" s="1117">
        <f>'1.1.1 PrimEnLR'!C123*'3.1.1 CO2LR'!$AG$9*Units!$C$47/1000</f>
        <v>0</v>
      </c>
      <c r="AI123" s="1117">
        <f>'1.1.1 PrimEnLR'!D123*Units!$C$14*Units!$C$59/1000</f>
        <v>0</v>
      </c>
      <c r="AJ123" s="1116"/>
      <c r="AK123" s="1116"/>
    </row>
    <row r="124" spans="1:37" x14ac:dyDescent="0.35">
      <c r="A124" s="1116">
        <v>1814</v>
      </c>
      <c r="B124" s="1116"/>
      <c r="C124" s="1119"/>
      <c r="D124" s="1119">
        <f t="shared" ref="D124:D187" si="10">U124/1000</f>
        <v>0</v>
      </c>
      <c r="E124" s="1119">
        <f t="shared" ref="E124:E187" si="11">T124/1000</f>
        <v>10.395</v>
      </c>
      <c r="F124" s="1139">
        <f t="shared" ref="F124:F187" si="12">W124/1000</f>
        <v>0</v>
      </c>
      <c r="G124" s="1116"/>
      <c r="H124" s="1139">
        <f t="shared" ref="H124:H187" si="13">SUM(C124:G124)</f>
        <v>10.395</v>
      </c>
      <c r="I124" s="1116"/>
      <c r="J124" s="1116"/>
      <c r="K124" s="1116"/>
      <c r="L124" s="1116"/>
      <c r="M124" s="1116"/>
      <c r="N124" s="1116"/>
      <c r="O124" s="1116"/>
      <c r="P124" s="1116"/>
      <c r="Q124" s="1116"/>
      <c r="R124" s="1116"/>
      <c r="S124" s="1117">
        <v>10395</v>
      </c>
      <c r="T124" s="1117">
        <v>10395</v>
      </c>
      <c r="U124" s="1117">
        <v>0</v>
      </c>
      <c r="V124" s="1117">
        <v>0</v>
      </c>
      <c r="W124" s="1117">
        <v>0</v>
      </c>
      <c r="X124" s="1117" t="s">
        <v>2171</v>
      </c>
      <c r="Y124" s="1117" t="s">
        <v>2171</v>
      </c>
      <c r="Z124" s="1117">
        <v>0</v>
      </c>
      <c r="AA124" s="1116"/>
      <c r="AB124" s="1116"/>
      <c r="AC124" s="1116"/>
      <c r="AD124" s="1116"/>
      <c r="AE124" s="1116"/>
      <c r="AF124" s="1140">
        <f t="shared" si="8"/>
        <v>7536.8312272214398</v>
      </c>
      <c r="AG124" s="1117">
        <f>'1.1.1 PrimEnLR'!B124*'3.1.1 CO2LR'!$AG$9*Units!$C$47/1000</f>
        <v>7536.8312272214398</v>
      </c>
      <c r="AH124" s="1117">
        <f>'1.1.1 PrimEnLR'!C124*'3.1.1 CO2LR'!$AG$9*Units!$C$47/1000</f>
        <v>0</v>
      </c>
      <c r="AI124" s="1117">
        <f>'1.1.1 PrimEnLR'!D124*Units!$C$14*Units!$C$59/1000</f>
        <v>0</v>
      </c>
      <c r="AJ124" s="1116"/>
      <c r="AK124" s="1116"/>
    </row>
    <row r="125" spans="1:37" x14ac:dyDescent="0.35">
      <c r="A125" s="1116">
        <v>1815</v>
      </c>
      <c r="B125" s="1116"/>
      <c r="C125" s="1119"/>
      <c r="D125" s="1119">
        <f t="shared" si="10"/>
        <v>0</v>
      </c>
      <c r="E125" s="1119">
        <f t="shared" si="11"/>
        <v>10.622999999999999</v>
      </c>
      <c r="F125" s="1139">
        <f t="shared" si="12"/>
        <v>0</v>
      </c>
      <c r="G125" s="1116"/>
      <c r="H125" s="1139">
        <f t="shared" si="13"/>
        <v>10.622999999999999</v>
      </c>
      <c r="I125" s="1116"/>
      <c r="J125" s="1116"/>
      <c r="K125" s="1116"/>
      <c r="L125" s="1116"/>
      <c r="M125" s="1116"/>
      <c r="N125" s="1116"/>
      <c r="O125" s="1116"/>
      <c r="P125" s="1116"/>
      <c r="Q125" s="1116"/>
      <c r="R125" s="1116"/>
      <c r="S125" s="1117">
        <v>10623</v>
      </c>
      <c r="T125" s="1117">
        <v>10623</v>
      </c>
      <c r="U125" s="1117">
        <v>0</v>
      </c>
      <c r="V125" s="1117">
        <v>0</v>
      </c>
      <c r="W125" s="1117">
        <v>0</v>
      </c>
      <c r="X125" s="1117" t="s">
        <v>2171</v>
      </c>
      <c r="Y125" s="1117" t="s">
        <v>2171</v>
      </c>
      <c r="Z125" s="1117">
        <v>0</v>
      </c>
      <c r="AA125" s="1116"/>
      <c r="AB125" s="1116"/>
      <c r="AC125" s="1116"/>
      <c r="AD125" s="1116"/>
      <c r="AE125" s="1116"/>
      <c r="AF125" s="1140">
        <f t="shared" si="8"/>
        <v>7701.4489336346669</v>
      </c>
      <c r="AG125" s="1117">
        <f>'1.1.1 PrimEnLR'!B125*'3.1.1 CO2LR'!$AG$9*Units!$C$47/1000</f>
        <v>7701.4489336346669</v>
      </c>
      <c r="AH125" s="1117">
        <f>'1.1.1 PrimEnLR'!C125*'3.1.1 CO2LR'!$AG$9*Units!$C$47/1000</f>
        <v>0</v>
      </c>
      <c r="AI125" s="1117">
        <f>'1.1.1 PrimEnLR'!D125*Units!$C$14*Units!$C$59/1000</f>
        <v>0</v>
      </c>
      <c r="AJ125" s="1116"/>
      <c r="AK125" s="1116"/>
    </row>
    <row r="126" spans="1:37" x14ac:dyDescent="0.35">
      <c r="A126" s="1116">
        <v>1816</v>
      </c>
      <c r="B126" s="1116"/>
      <c r="C126" s="1119"/>
      <c r="D126" s="1119">
        <f t="shared" si="10"/>
        <v>0</v>
      </c>
      <c r="E126" s="1119">
        <f t="shared" si="11"/>
        <v>11.308999999999999</v>
      </c>
      <c r="F126" s="1139">
        <f t="shared" si="12"/>
        <v>0</v>
      </c>
      <c r="G126" s="1116"/>
      <c r="H126" s="1139">
        <f t="shared" si="13"/>
        <v>11.308999999999999</v>
      </c>
      <c r="I126" s="1116"/>
      <c r="J126" s="1116"/>
      <c r="K126" s="1116"/>
      <c r="L126" s="1116"/>
      <c r="M126" s="1116"/>
      <c r="N126" s="1116"/>
      <c r="O126" s="1116"/>
      <c r="P126" s="1116"/>
      <c r="Q126" s="1116"/>
      <c r="R126" s="1116"/>
      <c r="S126" s="1117">
        <v>11309</v>
      </c>
      <c r="T126" s="1117">
        <v>11309</v>
      </c>
      <c r="U126" s="1117">
        <v>0</v>
      </c>
      <c r="V126" s="1117">
        <v>0</v>
      </c>
      <c r="W126" s="1117">
        <v>0</v>
      </c>
      <c r="X126" s="1117" t="s">
        <v>2171</v>
      </c>
      <c r="Y126" s="1117" t="s">
        <v>2171</v>
      </c>
      <c r="Z126" s="1117">
        <v>0</v>
      </c>
      <c r="AA126" s="1116"/>
      <c r="AB126" s="1116"/>
      <c r="AC126" s="1116"/>
      <c r="AD126" s="1116"/>
      <c r="AE126" s="1116"/>
      <c r="AF126" s="1140">
        <f t="shared" si="8"/>
        <v>7865.6175813919726</v>
      </c>
      <c r="AG126" s="1117">
        <f>'1.1.1 PrimEnLR'!B126*'3.1.1 CO2LR'!$AG$9*Units!$C$47/1000</f>
        <v>7865.6175813919726</v>
      </c>
      <c r="AH126" s="1117">
        <f>'1.1.1 PrimEnLR'!C126*'3.1.1 CO2LR'!$AG$9*Units!$C$47/1000</f>
        <v>0</v>
      </c>
      <c r="AI126" s="1117">
        <f>'1.1.1 PrimEnLR'!D126*Units!$C$14*Units!$C$59/1000</f>
        <v>0</v>
      </c>
      <c r="AJ126" s="1116"/>
      <c r="AK126" s="1116"/>
    </row>
    <row r="127" spans="1:37" x14ac:dyDescent="0.35">
      <c r="A127" s="1116">
        <v>1817</v>
      </c>
      <c r="B127" s="1116"/>
      <c r="C127" s="1119"/>
      <c r="D127" s="1119">
        <f t="shared" si="10"/>
        <v>0</v>
      </c>
      <c r="E127" s="1119">
        <f t="shared" si="11"/>
        <v>11.442</v>
      </c>
      <c r="F127" s="1139">
        <f t="shared" si="12"/>
        <v>0</v>
      </c>
      <c r="G127" s="1116"/>
      <c r="H127" s="1139">
        <f t="shared" si="13"/>
        <v>11.442</v>
      </c>
      <c r="I127" s="1116"/>
      <c r="J127" s="1116"/>
      <c r="K127" s="1116"/>
      <c r="L127" s="1116"/>
      <c r="M127" s="1116"/>
      <c r="N127" s="1116"/>
      <c r="O127" s="1116"/>
      <c r="P127" s="1116"/>
      <c r="Q127" s="1116"/>
      <c r="R127" s="1116"/>
      <c r="S127" s="1117">
        <v>11442</v>
      </c>
      <c r="T127" s="1117">
        <v>11442</v>
      </c>
      <c r="U127" s="1117">
        <v>0</v>
      </c>
      <c r="V127" s="1117">
        <v>0</v>
      </c>
      <c r="W127" s="1117">
        <v>0</v>
      </c>
      <c r="X127" s="1117" t="s">
        <v>2171</v>
      </c>
      <c r="Y127" s="1117" t="s">
        <v>2171</v>
      </c>
      <c r="Z127" s="1117">
        <v>0</v>
      </c>
      <c r="AA127" s="1116"/>
      <c r="AB127" s="1116"/>
      <c r="AC127" s="1116"/>
      <c r="AD127" s="1116"/>
      <c r="AE127" s="1116"/>
      <c r="AF127" s="1140">
        <f t="shared" si="8"/>
        <v>8030.7032441176761</v>
      </c>
      <c r="AG127" s="1117">
        <f>'1.1.1 PrimEnLR'!B127*'3.1.1 CO2LR'!$AG$9*Units!$C$47/1000</f>
        <v>8030.7032441176761</v>
      </c>
      <c r="AH127" s="1117">
        <f>'1.1.1 PrimEnLR'!C127*'3.1.1 CO2LR'!$AG$9*Units!$C$47/1000</f>
        <v>0</v>
      </c>
      <c r="AI127" s="1117">
        <f>'1.1.1 PrimEnLR'!D127*Units!$C$14*Units!$C$59/1000</f>
        <v>0</v>
      </c>
      <c r="AJ127" s="1116"/>
      <c r="AK127" s="1116"/>
    </row>
    <row r="128" spans="1:37" x14ac:dyDescent="0.35">
      <c r="A128" s="1116">
        <v>1818</v>
      </c>
      <c r="B128" s="1116"/>
      <c r="C128" s="1119"/>
      <c r="D128" s="1119">
        <f t="shared" si="10"/>
        <v>0</v>
      </c>
      <c r="E128" s="1119">
        <f t="shared" si="11"/>
        <v>11.468999999999999</v>
      </c>
      <c r="F128" s="1139">
        <f t="shared" si="12"/>
        <v>0</v>
      </c>
      <c r="G128" s="1116"/>
      <c r="H128" s="1139">
        <f t="shared" si="13"/>
        <v>11.468999999999999</v>
      </c>
      <c r="I128" s="1116"/>
      <c r="J128" s="1116"/>
      <c r="K128" s="1116"/>
      <c r="L128" s="1116"/>
      <c r="M128" s="1116"/>
      <c r="N128" s="1116"/>
      <c r="O128" s="1116"/>
      <c r="P128" s="1116"/>
      <c r="Q128" s="1116"/>
      <c r="R128" s="1116"/>
      <c r="S128" s="1117">
        <v>11469</v>
      </c>
      <c r="T128" s="1117">
        <v>11469</v>
      </c>
      <c r="U128" s="1117">
        <v>0</v>
      </c>
      <c r="V128" s="1117">
        <v>0</v>
      </c>
      <c r="W128" s="1117">
        <v>0</v>
      </c>
      <c r="X128" s="1117" t="s">
        <v>2171</v>
      </c>
      <c r="Y128" s="1117" t="s">
        <v>2171</v>
      </c>
      <c r="Z128" s="1117">
        <v>0</v>
      </c>
      <c r="AA128" s="1116"/>
      <c r="AB128" s="1116"/>
      <c r="AC128" s="1116"/>
      <c r="AD128" s="1116"/>
      <c r="AE128" s="1116"/>
      <c r="AF128" s="1140">
        <f t="shared" si="8"/>
        <v>8193.8558576985943</v>
      </c>
      <c r="AG128" s="1117">
        <f>'1.1.1 PrimEnLR'!B128*'3.1.1 CO2LR'!$AG$9*Units!$C$47/1000</f>
        <v>8193.8558576985943</v>
      </c>
      <c r="AH128" s="1117">
        <f>'1.1.1 PrimEnLR'!C128*'3.1.1 CO2LR'!$AG$9*Units!$C$47/1000</f>
        <v>0</v>
      </c>
      <c r="AI128" s="1117">
        <f>'1.1.1 PrimEnLR'!D128*Units!$C$14*Units!$C$59/1000</f>
        <v>0</v>
      </c>
      <c r="AJ128" s="1116"/>
      <c r="AK128" s="1116"/>
    </row>
    <row r="129" spans="1:37" x14ac:dyDescent="0.35">
      <c r="A129" s="1116">
        <v>1819</v>
      </c>
      <c r="B129" s="1116"/>
      <c r="C129" s="1119"/>
      <c r="D129" s="1119">
        <f t="shared" si="10"/>
        <v>0</v>
      </c>
      <c r="E129" s="1119">
        <f t="shared" si="11"/>
        <v>11.555</v>
      </c>
      <c r="F129" s="1139">
        <f t="shared" si="12"/>
        <v>0</v>
      </c>
      <c r="G129" s="1116"/>
      <c r="H129" s="1139">
        <f t="shared" si="13"/>
        <v>11.555</v>
      </c>
      <c r="I129" s="1116"/>
      <c r="J129" s="1116"/>
      <c r="K129" s="1116"/>
      <c r="L129" s="1116"/>
      <c r="M129" s="1116"/>
      <c r="N129" s="1116"/>
      <c r="O129" s="1116"/>
      <c r="P129" s="1116"/>
      <c r="Q129" s="1116"/>
      <c r="R129" s="1116"/>
      <c r="S129" s="1117">
        <v>11555</v>
      </c>
      <c r="T129" s="1117">
        <v>11555</v>
      </c>
      <c r="U129" s="1117">
        <v>0</v>
      </c>
      <c r="V129" s="1117">
        <v>0</v>
      </c>
      <c r="W129" s="1117">
        <v>0</v>
      </c>
      <c r="X129" s="1117" t="s">
        <v>2171</v>
      </c>
      <c r="Y129" s="1117" t="s">
        <v>2171</v>
      </c>
      <c r="Z129" s="1117">
        <v>0</v>
      </c>
      <c r="AA129" s="1116"/>
      <c r="AB129" s="1116"/>
      <c r="AC129" s="1116"/>
      <c r="AD129" s="1116"/>
      <c r="AE129" s="1116"/>
      <c r="AF129" s="1140">
        <f t="shared" si="8"/>
        <v>8375.8055851603312</v>
      </c>
      <c r="AG129" s="1117">
        <f>'1.1.1 PrimEnLR'!B129*'3.1.1 CO2LR'!$AG$9*Units!$C$47/1000</f>
        <v>8375.8055851603312</v>
      </c>
      <c r="AH129" s="1117">
        <f>'1.1.1 PrimEnLR'!C129*'3.1.1 CO2LR'!$AG$9*Units!$C$47/1000</f>
        <v>0</v>
      </c>
      <c r="AI129" s="1117">
        <f>'1.1.1 PrimEnLR'!D129*Units!$C$14*Units!$C$59/1000</f>
        <v>0</v>
      </c>
      <c r="AJ129" s="1116"/>
      <c r="AK129" s="1116"/>
    </row>
    <row r="130" spans="1:37" x14ac:dyDescent="0.35">
      <c r="A130" s="1116">
        <v>1820</v>
      </c>
      <c r="B130" s="1116"/>
      <c r="C130" s="1119"/>
      <c r="D130" s="1119">
        <f t="shared" si="10"/>
        <v>0</v>
      </c>
      <c r="E130" s="1119">
        <f t="shared" si="11"/>
        <v>11.606999999999999</v>
      </c>
      <c r="F130" s="1139">
        <f t="shared" si="12"/>
        <v>0</v>
      </c>
      <c r="G130" s="1116"/>
      <c r="H130" s="1139">
        <f t="shared" si="13"/>
        <v>11.606999999999999</v>
      </c>
      <c r="I130" s="1116"/>
      <c r="J130" s="1116"/>
      <c r="K130" s="1116"/>
      <c r="L130" s="1116"/>
      <c r="M130" s="1116"/>
      <c r="N130" s="1116"/>
      <c r="O130" s="1116"/>
      <c r="P130" s="1116"/>
      <c r="Q130" s="1116"/>
      <c r="R130" s="1116"/>
      <c r="S130" s="1117">
        <v>11607</v>
      </c>
      <c r="T130" s="1117">
        <v>11607</v>
      </c>
      <c r="U130" s="1117">
        <v>0</v>
      </c>
      <c r="V130" s="1117">
        <v>0</v>
      </c>
      <c r="W130" s="1117">
        <v>0</v>
      </c>
      <c r="X130" s="1117" t="s">
        <v>2171</v>
      </c>
      <c r="Y130" s="1117" t="s">
        <v>2171</v>
      </c>
      <c r="Z130" s="1117">
        <v>0</v>
      </c>
      <c r="AA130" s="1116"/>
      <c r="AB130" s="1116"/>
      <c r="AC130" s="1116"/>
      <c r="AD130" s="1116"/>
      <c r="AE130" s="1116"/>
      <c r="AF130" s="1140">
        <f t="shared" si="8"/>
        <v>8540.1426060535432</v>
      </c>
      <c r="AG130" s="1117">
        <f>'1.1.1 PrimEnLR'!B130*'3.1.1 CO2LR'!$AG$9*Units!$C$47/1000</f>
        <v>8540.1426060535432</v>
      </c>
      <c r="AH130" s="1117">
        <f>'1.1.1 PrimEnLR'!C130*'3.1.1 CO2LR'!$AG$9*Units!$C$47/1000</f>
        <v>0</v>
      </c>
      <c r="AI130" s="1117">
        <f>'1.1.1 PrimEnLR'!D130*Units!$C$14*Units!$C$59/1000</f>
        <v>0</v>
      </c>
      <c r="AJ130" s="1116"/>
      <c r="AK130" s="1116"/>
    </row>
    <row r="131" spans="1:37" x14ac:dyDescent="0.35">
      <c r="A131" s="1116">
        <v>1821</v>
      </c>
      <c r="B131" s="1116"/>
      <c r="C131" s="1119"/>
      <c r="D131" s="1119">
        <f t="shared" si="10"/>
        <v>0</v>
      </c>
      <c r="E131" s="1119">
        <f t="shared" si="11"/>
        <v>11.701000000000001</v>
      </c>
      <c r="F131" s="1139">
        <f t="shared" si="12"/>
        <v>0</v>
      </c>
      <c r="G131" s="1116"/>
      <c r="H131" s="1139">
        <f t="shared" si="13"/>
        <v>11.701000000000001</v>
      </c>
      <c r="I131" s="1116"/>
      <c r="J131" s="1116"/>
      <c r="K131" s="1116"/>
      <c r="L131" s="1116"/>
      <c r="M131" s="1116"/>
      <c r="N131" s="1116"/>
      <c r="O131" s="1116"/>
      <c r="P131" s="1116"/>
      <c r="Q131" s="1116"/>
      <c r="R131" s="1116"/>
      <c r="S131" s="1117">
        <v>11701</v>
      </c>
      <c r="T131" s="1117">
        <v>11701</v>
      </c>
      <c r="U131" s="1117">
        <v>0</v>
      </c>
      <c r="V131" s="1117">
        <v>0</v>
      </c>
      <c r="W131" s="1117">
        <v>0</v>
      </c>
      <c r="X131" s="1117" t="s">
        <v>2171</v>
      </c>
      <c r="Y131" s="1117" t="s">
        <v>2171</v>
      </c>
      <c r="Z131" s="1117">
        <v>0</v>
      </c>
      <c r="AA131" s="1116"/>
      <c r="AB131" s="1116"/>
      <c r="AC131" s="1116"/>
      <c r="AD131" s="1116"/>
      <c r="AE131" s="1116"/>
      <c r="AF131" s="1140">
        <f t="shared" si="8"/>
        <v>8704.3206419630351</v>
      </c>
      <c r="AG131" s="1117">
        <f>'1.1.1 PrimEnLR'!B131*'3.1.1 CO2LR'!$AG$9*Units!$C$47/1000</f>
        <v>8704.3206419630351</v>
      </c>
      <c r="AH131" s="1117">
        <f>'1.1.1 PrimEnLR'!C131*'3.1.1 CO2LR'!$AG$9*Units!$C$47/1000</f>
        <v>0</v>
      </c>
      <c r="AI131" s="1117">
        <f>'1.1.1 PrimEnLR'!D131*Units!$C$14*Units!$C$59/1000</f>
        <v>0</v>
      </c>
      <c r="AJ131" s="1116"/>
      <c r="AK131" s="1116"/>
    </row>
    <row r="132" spans="1:37" x14ac:dyDescent="0.35">
      <c r="A132" s="1116">
        <v>1822</v>
      </c>
      <c r="B132" s="1116"/>
      <c r="C132" s="1119"/>
      <c r="D132" s="1119">
        <f t="shared" si="10"/>
        <v>0</v>
      </c>
      <c r="E132" s="1119">
        <f t="shared" si="11"/>
        <v>12.151</v>
      </c>
      <c r="F132" s="1139">
        <f t="shared" si="12"/>
        <v>0</v>
      </c>
      <c r="G132" s="1116"/>
      <c r="H132" s="1139">
        <f t="shared" si="13"/>
        <v>12.151</v>
      </c>
      <c r="I132" s="1116"/>
      <c r="J132" s="1116"/>
      <c r="K132" s="1116"/>
      <c r="L132" s="1116"/>
      <c r="M132" s="1116"/>
      <c r="N132" s="1116"/>
      <c r="O132" s="1116"/>
      <c r="P132" s="1116"/>
      <c r="Q132" s="1116"/>
      <c r="R132" s="1116"/>
      <c r="S132" s="1117">
        <v>12151</v>
      </c>
      <c r="T132" s="1117">
        <v>12151</v>
      </c>
      <c r="U132" s="1117">
        <v>0</v>
      </c>
      <c r="V132" s="1117">
        <v>0</v>
      </c>
      <c r="W132" s="1117">
        <v>0</v>
      </c>
      <c r="X132" s="1117" t="s">
        <v>2171</v>
      </c>
      <c r="Y132" s="1117" t="s">
        <v>2171</v>
      </c>
      <c r="Z132" s="1117">
        <v>0</v>
      </c>
      <c r="AA132" s="1116"/>
      <c r="AB132" s="1116"/>
      <c r="AC132" s="1116"/>
      <c r="AD132" s="1116"/>
      <c r="AE132" s="1116"/>
      <c r="AF132" s="1140">
        <f t="shared" si="8"/>
        <v>8863.5922213542381</v>
      </c>
      <c r="AG132" s="1117">
        <f>'1.1.1 PrimEnLR'!B132*'3.1.1 CO2LR'!$AG$9*Units!$C$47/1000</f>
        <v>8863.5922213542381</v>
      </c>
      <c r="AH132" s="1117">
        <f>'1.1.1 PrimEnLR'!C132*'3.1.1 CO2LR'!$AG$9*Units!$C$47/1000</f>
        <v>0</v>
      </c>
      <c r="AI132" s="1117">
        <f>'1.1.1 PrimEnLR'!D132*Units!$C$14*Units!$C$59/1000</f>
        <v>0</v>
      </c>
      <c r="AJ132" s="1116"/>
      <c r="AK132" s="1116"/>
    </row>
    <row r="133" spans="1:37" x14ac:dyDescent="0.35">
      <c r="A133" s="1116">
        <v>1823</v>
      </c>
      <c r="B133" s="1116"/>
      <c r="C133" s="1119"/>
      <c r="D133" s="1119">
        <f t="shared" si="10"/>
        <v>0</v>
      </c>
      <c r="E133" s="1119">
        <f t="shared" si="11"/>
        <v>12.792999999999999</v>
      </c>
      <c r="F133" s="1139">
        <f t="shared" si="12"/>
        <v>0</v>
      </c>
      <c r="G133" s="1116"/>
      <c r="H133" s="1139">
        <f t="shared" si="13"/>
        <v>12.792999999999999</v>
      </c>
      <c r="I133" s="1116"/>
      <c r="J133" s="1116"/>
      <c r="K133" s="1116"/>
      <c r="L133" s="1116"/>
      <c r="M133" s="1116"/>
      <c r="N133" s="1116"/>
      <c r="O133" s="1116"/>
      <c r="P133" s="1116"/>
      <c r="Q133" s="1116"/>
      <c r="R133" s="1116"/>
      <c r="S133" s="1117">
        <v>12793</v>
      </c>
      <c r="T133" s="1117">
        <v>12793</v>
      </c>
      <c r="U133" s="1117">
        <v>0</v>
      </c>
      <c r="V133" s="1117">
        <v>0</v>
      </c>
      <c r="W133" s="1117">
        <v>0</v>
      </c>
      <c r="X133" s="1117" t="s">
        <v>2171</v>
      </c>
      <c r="Y133" s="1117" t="s">
        <v>2171</v>
      </c>
      <c r="Z133" s="1117">
        <v>0</v>
      </c>
      <c r="AA133" s="1116"/>
      <c r="AB133" s="1116"/>
      <c r="AC133" s="1116"/>
      <c r="AD133" s="1116"/>
      <c r="AE133" s="1116"/>
      <c r="AF133" s="1140">
        <f t="shared" si="8"/>
        <v>9043.0529470814454</v>
      </c>
      <c r="AG133" s="1117">
        <f>'1.1.1 PrimEnLR'!B133*'3.1.1 CO2LR'!$AG$9*Units!$C$47/1000</f>
        <v>9043.0529470814454</v>
      </c>
      <c r="AH133" s="1117">
        <f>'1.1.1 PrimEnLR'!C133*'3.1.1 CO2LR'!$AG$9*Units!$C$47/1000</f>
        <v>0</v>
      </c>
      <c r="AI133" s="1117">
        <f>'1.1.1 PrimEnLR'!D133*Units!$C$14*Units!$C$59/1000</f>
        <v>0</v>
      </c>
      <c r="AJ133" s="1116"/>
      <c r="AK133" s="1116"/>
    </row>
    <row r="134" spans="1:37" x14ac:dyDescent="0.35">
      <c r="A134" s="1116">
        <v>1824</v>
      </c>
      <c r="B134" s="1116"/>
      <c r="C134" s="1119"/>
      <c r="D134" s="1119">
        <f t="shared" si="10"/>
        <v>0</v>
      </c>
      <c r="E134" s="1119">
        <f t="shared" si="11"/>
        <v>13.396000000000001</v>
      </c>
      <c r="F134" s="1139">
        <f t="shared" si="12"/>
        <v>0</v>
      </c>
      <c r="G134" s="1116"/>
      <c r="H134" s="1139">
        <f t="shared" si="13"/>
        <v>13.396000000000001</v>
      </c>
      <c r="I134" s="1116"/>
      <c r="J134" s="1116"/>
      <c r="K134" s="1116"/>
      <c r="L134" s="1116"/>
      <c r="M134" s="1116"/>
      <c r="N134" s="1116"/>
      <c r="O134" s="1116"/>
      <c r="P134" s="1116"/>
      <c r="Q134" s="1116"/>
      <c r="R134" s="1116"/>
      <c r="S134" s="1117">
        <v>13396</v>
      </c>
      <c r="T134" s="1117">
        <v>13396</v>
      </c>
      <c r="U134" s="1117">
        <v>0</v>
      </c>
      <c r="V134" s="1117">
        <v>0</v>
      </c>
      <c r="W134" s="1117">
        <v>0</v>
      </c>
      <c r="X134" s="1117" t="s">
        <v>2171</v>
      </c>
      <c r="Y134" s="1117" t="s">
        <v>2171</v>
      </c>
      <c r="Z134" s="1117">
        <v>0</v>
      </c>
      <c r="AA134" s="1116"/>
      <c r="AB134" s="1116"/>
      <c r="AC134" s="1116"/>
      <c r="AD134" s="1116"/>
      <c r="AE134" s="1116"/>
      <c r="AF134" s="1140">
        <f t="shared" si="8"/>
        <v>9199.7399984259137</v>
      </c>
      <c r="AG134" s="1117">
        <f>'1.1.1 PrimEnLR'!B134*'3.1.1 CO2LR'!$AG$9*Units!$C$47/1000</f>
        <v>9199.7399984259137</v>
      </c>
      <c r="AH134" s="1117">
        <f>'1.1.1 PrimEnLR'!C134*'3.1.1 CO2LR'!$AG$9*Units!$C$47/1000</f>
        <v>0</v>
      </c>
      <c r="AI134" s="1117">
        <f>'1.1.1 PrimEnLR'!D134*Units!$C$14*Units!$C$59/1000</f>
        <v>0</v>
      </c>
      <c r="AJ134" s="1116"/>
      <c r="AK134" s="1116"/>
    </row>
    <row r="135" spans="1:37" x14ac:dyDescent="0.35">
      <c r="A135" s="1116">
        <v>1825</v>
      </c>
      <c r="B135" s="1116"/>
      <c r="C135" s="1119"/>
      <c r="D135" s="1119">
        <f t="shared" si="10"/>
        <v>0</v>
      </c>
      <c r="E135" s="1119">
        <f t="shared" si="11"/>
        <v>13.535</v>
      </c>
      <c r="F135" s="1139">
        <f t="shared" si="12"/>
        <v>0</v>
      </c>
      <c r="G135" s="1116"/>
      <c r="H135" s="1139">
        <f t="shared" si="13"/>
        <v>13.535</v>
      </c>
      <c r="I135" s="1116"/>
      <c r="J135" s="1116"/>
      <c r="K135" s="1116"/>
      <c r="L135" s="1116"/>
      <c r="M135" s="1116"/>
      <c r="N135" s="1116"/>
      <c r="O135" s="1116"/>
      <c r="P135" s="1116"/>
      <c r="Q135" s="1116"/>
      <c r="R135" s="1116"/>
      <c r="S135" s="1117">
        <v>13535</v>
      </c>
      <c r="T135" s="1117">
        <v>13535</v>
      </c>
      <c r="U135" s="1117">
        <v>0</v>
      </c>
      <c r="V135" s="1117">
        <v>0</v>
      </c>
      <c r="W135" s="1117">
        <v>0</v>
      </c>
      <c r="X135" s="1117" t="s">
        <v>2171</v>
      </c>
      <c r="Y135" s="1117" t="s">
        <v>2171</v>
      </c>
      <c r="Z135" s="1117">
        <v>0</v>
      </c>
      <c r="AA135" s="1116"/>
      <c r="AB135" s="1116"/>
      <c r="AC135" s="1116"/>
      <c r="AD135" s="1116"/>
      <c r="AE135" s="1116"/>
      <c r="AF135" s="1140">
        <f t="shared" si="8"/>
        <v>9354.7445246065199</v>
      </c>
      <c r="AG135" s="1117">
        <f>'1.1.1 PrimEnLR'!B135*'3.1.1 CO2LR'!$AG$9*Units!$C$47/1000</f>
        <v>9354.7445246065199</v>
      </c>
      <c r="AH135" s="1117">
        <f>'1.1.1 PrimEnLR'!C135*'3.1.1 CO2LR'!$AG$9*Units!$C$47/1000</f>
        <v>0</v>
      </c>
      <c r="AI135" s="1117">
        <f>'1.1.1 PrimEnLR'!D135*Units!$C$14*Units!$C$59/1000</f>
        <v>0</v>
      </c>
      <c r="AJ135" s="1116"/>
      <c r="AK135" s="1116"/>
    </row>
    <row r="136" spans="1:37" x14ac:dyDescent="0.35">
      <c r="A136" s="1116">
        <v>1826</v>
      </c>
      <c r="B136" s="1116"/>
      <c r="C136" s="1119"/>
      <c r="D136" s="1119">
        <f t="shared" si="10"/>
        <v>0</v>
      </c>
      <c r="E136" s="1119">
        <f t="shared" si="11"/>
        <v>13.686</v>
      </c>
      <c r="F136" s="1139">
        <f t="shared" si="12"/>
        <v>0</v>
      </c>
      <c r="G136" s="1116"/>
      <c r="H136" s="1139">
        <f t="shared" si="13"/>
        <v>13.686</v>
      </c>
      <c r="I136" s="1116"/>
      <c r="J136" s="1116"/>
      <c r="K136" s="1116"/>
      <c r="L136" s="1116"/>
      <c r="M136" s="1116"/>
      <c r="N136" s="1116"/>
      <c r="O136" s="1116"/>
      <c r="P136" s="1116"/>
      <c r="Q136" s="1116"/>
      <c r="R136" s="1116"/>
      <c r="S136" s="1117">
        <v>13686</v>
      </c>
      <c r="T136" s="1117">
        <v>13686</v>
      </c>
      <c r="U136" s="1117">
        <v>0</v>
      </c>
      <c r="V136" s="1117">
        <v>0</v>
      </c>
      <c r="W136" s="1117">
        <v>0</v>
      </c>
      <c r="X136" s="1117" t="s">
        <v>2171</v>
      </c>
      <c r="Y136" s="1117" t="s">
        <v>2171</v>
      </c>
      <c r="Z136" s="1117">
        <v>0</v>
      </c>
      <c r="AA136" s="1116"/>
      <c r="AB136" s="1116"/>
      <c r="AC136" s="1116"/>
      <c r="AD136" s="1116"/>
      <c r="AE136" s="1116"/>
      <c r="AF136" s="1140">
        <f t="shared" si="8"/>
        <v>9507.6843109194524</v>
      </c>
      <c r="AG136" s="1117">
        <f>'1.1.1 PrimEnLR'!B136*'3.1.1 CO2LR'!$AG$9*Units!$C$47/1000</f>
        <v>9507.6843109194524</v>
      </c>
      <c r="AH136" s="1117">
        <f>'1.1.1 PrimEnLR'!C136*'3.1.1 CO2LR'!$AG$9*Units!$C$47/1000</f>
        <v>0</v>
      </c>
      <c r="AI136" s="1117">
        <f>'1.1.1 PrimEnLR'!D136*Units!$C$14*Units!$C$59/1000</f>
        <v>0</v>
      </c>
      <c r="AJ136" s="1116"/>
      <c r="AK136" s="1116"/>
    </row>
    <row r="137" spans="1:37" x14ac:dyDescent="0.35">
      <c r="A137" s="1116">
        <v>1827</v>
      </c>
      <c r="B137" s="1116"/>
      <c r="C137" s="1119"/>
      <c r="D137" s="1119">
        <f t="shared" si="10"/>
        <v>0</v>
      </c>
      <c r="E137" s="1119">
        <f t="shared" si="11"/>
        <v>14.255000000000001</v>
      </c>
      <c r="F137" s="1139">
        <f t="shared" si="12"/>
        <v>0</v>
      </c>
      <c r="G137" s="1116"/>
      <c r="H137" s="1139">
        <f t="shared" si="13"/>
        <v>14.255000000000001</v>
      </c>
      <c r="I137" s="1116"/>
      <c r="J137" s="1116"/>
      <c r="K137" s="1116"/>
      <c r="L137" s="1116"/>
      <c r="M137" s="1116"/>
      <c r="N137" s="1116"/>
      <c r="O137" s="1116"/>
      <c r="P137" s="1116"/>
      <c r="Q137" s="1116"/>
      <c r="R137" s="1116"/>
      <c r="S137" s="1117">
        <v>14255</v>
      </c>
      <c r="T137" s="1117">
        <v>14255</v>
      </c>
      <c r="U137" s="1117">
        <v>0</v>
      </c>
      <c r="V137" s="1117">
        <v>0</v>
      </c>
      <c r="W137" s="1117">
        <v>0</v>
      </c>
      <c r="X137" s="1117" t="s">
        <v>2171</v>
      </c>
      <c r="Y137" s="1117" t="s">
        <v>2171</v>
      </c>
      <c r="Z137" s="1117">
        <v>0</v>
      </c>
      <c r="AA137" s="1116"/>
      <c r="AB137" s="1116"/>
      <c r="AC137" s="1116"/>
      <c r="AD137" s="1116"/>
      <c r="AE137" s="1116"/>
      <c r="AF137" s="1140">
        <f t="shared" si="8"/>
        <v>9665.091552250211</v>
      </c>
      <c r="AG137" s="1117">
        <f>'1.1.1 PrimEnLR'!B137*'3.1.1 CO2LR'!$AG$9*Units!$C$47/1000</f>
        <v>9665.091552250211</v>
      </c>
      <c r="AH137" s="1117">
        <f>'1.1.1 PrimEnLR'!C137*'3.1.1 CO2LR'!$AG$9*Units!$C$47/1000</f>
        <v>0</v>
      </c>
      <c r="AI137" s="1117">
        <f>'1.1.1 PrimEnLR'!D137*Units!$C$14*Units!$C$59/1000</f>
        <v>0</v>
      </c>
      <c r="AJ137" s="1116"/>
      <c r="AK137" s="1116"/>
    </row>
    <row r="138" spans="1:37" x14ac:dyDescent="0.35">
      <c r="A138" s="1116">
        <v>1828</v>
      </c>
      <c r="B138" s="1116"/>
      <c r="C138" s="1119"/>
      <c r="D138" s="1119">
        <f t="shared" si="10"/>
        <v>0</v>
      </c>
      <c r="E138" s="1119">
        <f t="shared" si="11"/>
        <v>14.353</v>
      </c>
      <c r="F138" s="1139">
        <f t="shared" si="12"/>
        <v>0</v>
      </c>
      <c r="G138" s="1116"/>
      <c r="H138" s="1139">
        <f t="shared" si="13"/>
        <v>14.353</v>
      </c>
      <c r="I138" s="1116"/>
      <c r="J138" s="1116"/>
      <c r="K138" s="1116"/>
      <c r="L138" s="1116"/>
      <c r="M138" s="1116"/>
      <c r="N138" s="1116"/>
      <c r="O138" s="1116"/>
      <c r="P138" s="1116"/>
      <c r="Q138" s="1116"/>
      <c r="R138" s="1116"/>
      <c r="S138" s="1117">
        <v>14353</v>
      </c>
      <c r="T138" s="1117">
        <v>14353</v>
      </c>
      <c r="U138" s="1117">
        <v>0</v>
      </c>
      <c r="V138" s="1117">
        <v>0</v>
      </c>
      <c r="W138" s="1117">
        <v>0</v>
      </c>
      <c r="X138" s="1117" t="s">
        <v>2171</v>
      </c>
      <c r="Y138" s="1117" t="s">
        <v>2171</v>
      </c>
      <c r="Z138" s="1117">
        <v>0</v>
      </c>
      <c r="AA138" s="1116"/>
      <c r="AB138" s="1116"/>
      <c r="AC138" s="1116"/>
      <c r="AD138" s="1116"/>
      <c r="AE138" s="1116"/>
      <c r="AF138" s="1140">
        <f t="shared" ref="AF138:AF201" si="14">AG138+AH138+AI138</f>
        <v>9833.4978609992559</v>
      </c>
      <c r="AG138" s="1117">
        <f>'1.1.1 PrimEnLR'!B138*'3.1.1 CO2LR'!$AG$9*Units!$C$47/1000</f>
        <v>9833.4978609992559</v>
      </c>
      <c r="AH138" s="1117">
        <f>'1.1.1 PrimEnLR'!C138*'3.1.1 CO2LR'!$AG$9*Units!$C$47/1000</f>
        <v>0</v>
      </c>
      <c r="AI138" s="1117">
        <f>'1.1.1 PrimEnLR'!D138*Units!$C$14*Units!$C$59/1000</f>
        <v>0</v>
      </c>
      <c r="AJ138" s="1116"/>
      <c r="AK138" s="1116"/>
    </row>
    <row r="139" spans="1:37" x14ac:dyDescent="0.35">
      <c r="A139" s="1116">
        <v>1829</v>
      </c>
      <c r="B139" s="1116"/>
      <c r="C139" s="1119"/>
      <c r="D139" s="1119">
        <f t="shared" si="10"/>
        <v>0</v>
      </c>
      <c r="E139" s="1119">
        <f t="shared" si="11"/>
        <v>14.557</v>
      </c>
      <c r="F139" s="1139">
        <f t="shared" si="12"/>
        <v>0</v>
      </c>
      <c r="G139" s="1116"/>
      <c r="H139" s="1139">
        <f t="shared" si="13"/>
        <v>14.557</v>
      </c>
      <c r="I139" s="1116"/>
      <c r="J139" s="1116"/>
      <c r="K139" s="1116"/>
      <c r="L139" s="1116"/>
      <c r="M139" s="1116"/>
      <c r="N139" s="1116"/>
      <c r="O139" s="1116"/>
      <c r="P139" s="1116"/>
      <c r="Q139" s="1116"/>
      <c r="R139" s="1116"/>
      <c r="S139" s="1117">
        <v>14557</v>
      </c>
      <c r="T139" s="1117">
        <v>14557</v>
      </c>
      <c r="U139" s="1117">
        <v>0</v>
      </c>
      <c r="V139" s="1117">
        <v>0</v>
      </c>
      <c r="W139" s="1117">
        <v>0</v>
      </c>
      <c r="X139" s="1117" t="s">
        <v>2171</v>
      </c>
      <c r="Y139" s="1117" t="s">
        <v>2171</v>
      </c>
      <c r="Z139" s="1117">
        <v>0</v>
      </c>
      <c r="AA139" s="1116"/>
      <c r="AB139" s="1116"/>
      <c r="AC139" s="1116"/>
      <c r="AD139" s="1116"/>
      <c r="AE139" s="1116"/>
      <c r="AF139" s="1140">
        <f t="shared" si="14"/>
        <v>9992.5022427310014</v>
      </c>
      <c r="AG139" s="1117">
        <f>'1.1.1 PrimEnLR'!B139*'3.1.1 CO2LR'!$AG$9*Units!$C$47/1000</f>
        <v>9992.5022427310014</v>
      </c>
      <c r="AH139" s="1117">
        <f>'1.1.1 PrimEnLR'!C139*'3.1.1 CO2LR'!$AG$9*Units!$C$47/1000</f>
        <v>0</v>
      </c>
      <c r="AI139" s="1117">
        <f>'1.1.1 PrimEnLR'!D139*Units!$C$14*Units!$C$59/1000</f>
        <v>0</v>
      </c>
      <c r="AJ139" s="1116"/>
      <c r="AK139" s="1116"/>
    </row>
    <row r="140" spans="1:37" x14ac:dyDescent="0.35">
      <c r="A140" s="1116">
        <v>1830</v>
      </c>
      <c r="B140" s="1116"/>
      <c r="C140" s="1119"/>
      <c r="D140" s="1119">
        <f t="shared" si="10"/>
        <v>0</v>
      </c>
      <c r="E140" s="1119">
        <f t="shared" si="11"/>
        <v>18.521999999999998</v>
      </c>
      <c r="F140" s="1139">
        <f t="shared" si="12"/>
        <v>0</v>
      </c>
      <c r="G140" s="1116"/>
      <c r="H140" s="1139">
        <f t="shared" si="13"/>
        <v>18.521999999999998</v>
      </c>
      <c r="I140" s="1116"/>
      <c r="J140" s="1116"/>
      <c r="K140" s="1116"/>
      <c r="L140" s="1116"/>
      <c r="M140" s="1116"/>
      <c r="N140" s="1116"/>
      <c r="O140" s="1116"/>
      <c r="P140" s="1116"/>
      <c r="Q140" s="1116"/>
      <c r="R140" s="1116"/>
      <c r="S140" s="1117">
        <v>18522</v>
      </c>
      <c r="T140" s="1117">
        <v>18522</v>
      </c>
      <c r="U140" s="1117">
        <v>0</v>
      </c>
      <c r="V140" s="1117">
        <v>0</v>
      </c>
      <c r="W140" s="1117">
        <v>0</v>
      </c>
      <c r="X140" s="1117" t="s">
        <v>2171</v>
      </c>
      <c r="Y140" s="1117" t="s">
        <v>2171</v>
      </c>
      <c r="Z140" s="1117">
        <v>0</v>
      </c>
      <c r="AA140" s="1116"/>
      <c r="AB140" s="1116"/>
      <c r="AC140" s="1116"/>
      <c r="AD140" s="1116"/>
      <c r="AE140" s="1116"/>
      <c r="AF140" s="1140">
        <f t="shared" si="14"/>
        <v>9380.98523275962</v>
      </c>
      <c r="AG140" s="1117">
        <f>'1.1.1 PrimEnLR'!B140*'3.1.1 CO2LR'!$AG$9*Units!$C$47/1000</f>
        <v>9380.98523275962</v>
      </c>
      <c r="AH140" s="1117">
        <f>'1.1.1 PrimEnLR'!C140*'3.1.1 CO2LR'!$AG$9*Units!$C$47/1000</f>
        <v>0</v>
      </c>
      <c r="AI140" s="1117">
        <f>'1.1.1 PrimEnLR'!D140*Units!$C$14*Units!$C$59/1000</f>
        <v>0</v>
      </c>
      <c r="AJ140" s="1116"/>
      <c r="AK140" s="1116"/>
    </row>
    <row r="141" spans="1:37" x14ac:dyDescent="0.35">
      <c r="A141" s="1116">
        <v>1831</v>
      </c>
      <c r="B141" s="1116"/>
      <c r="C141" s="1119"/>
      <c r="D141" s="1119">
        <f t="shared" si="10"/>
        <v>0</v>
      </c>
      <c r="E141" s="1119">
        <f t="shared" si="11"/>
        <v>17.949000000000002</v>
      </c>
      <c r="F141" s="1139">
        <f t="shared" si="12"/>
        <v>0</v>
      </c>
      <c r="G141" s="1116"/>
      <c r="H141" s="1139">
        <f t="shared" si="13"/>
        <v>17.949000000000002</v>
      </c>
      <c r="I141" s="1116"/>
      <c r="J141" s="1116"/>
      <c r="K141" s="1116"/>
      <c r="L141" s="1116"/>
      <c r="M141" s="1116"/>
      <c r="N141" s="1116"/>
      <c r="O141" s="1116"/>
      <c r="P141" s="1116"/>
      <c r="Q141" s="1116"/>
      <c r="R141" s="1116"/>
      <c r="S141" s="1117">
        <v>17949</v>
      </c>
      <c r="T141" s="1117">
        <v>17949</v>
      </c>
      <c r="U141" s="1117">
        <v>0</v>
      </c>
      <c r="V141" s="1117">
        <v>0</v>
      </c>
      <c r="W141" s="1117">
        <v>0</v>
      </c>
      <c r="X141" s="1117" t="s">
        <v>2171</v>
      </c>
      <c r="Y141" s="1117" t="s">
        <v>2171</v>
      </c>
      <c r="Z141" s="1117">
        <v>0</v>
      </c>
      <c r="AA141" s="1116"/>
      <c r="AB141" s="1116"/>
      <c r="AC141" s="1116"/>
      <c r="AD141" s="1116"/>
      <c r="AE141" s="1116"/>
      <c r="AF141" s="1140">
        <f t="shared" si="14"/>
        <v>9643.4166776180609</v>
      </c>
      <c r="AG141" s="1117">
        <f>'1.1.1 PrimEnLR'!B141*'3.1.1 CO2LR'!$AG$9*Units!$C$47/1000</f>
        <v>9643.4166776180609</v>
      </c>
      <c r="AH141" s="1117">
        <f>'1.1.1 PrimEnLR'!C141*'3.1.1 CO2LR'!$AG$9*Units!$C$47/1000</f>
        <v>0</v>
      </c>
      <c r="AI141" s="1117">
        <f>'1.1.1 PrimEnLR'!D141*Units!$C$14*Units!$C$59/1000</f>
        <v>0</v>
      </c>
      <c r="AJ141" s="1116"/>
      <c r="AK141" s="1116"/>
    </row>
    <row r="142" spans="1:37" x14ac:dyDescent="0.35">
      <c r="A142" s="1116">
        <v>1832</v>
      </c>
      <c r="B142" s="1116"/>
      <c r="C142" s="1119"/>
      <c r="D142" s="1119">
        <f t="shared" si="10"/>
        <v>0</v>
      </c>
      <c r="E142" s="1119">
        <f t="shared" si="11"/>
        <v>17.901</v>
      </c>
      <c r="F142" s="1139">
        <f t="shared" si="12"/>
        <v>0</v>
      </c>
      <c r="G142" s="1116"/>
      <c r="H142" s="1139">
        <f t="shared" si="13"/>
        <v>17.901</v>
      </c>
      <c r="I142" s="1116"/>
      <c r="J142" s="1116"/>
      <c r="K142" s="1116"/>
      <c r="L142" s="1116"/>
      <c r="M142" s="1116"/>
      <c r="N142" s="1116"/>
      <c r="O142" s="1116"/>
      <c r="P142" s="1116"/>
      <c r="Q142" s="1116"/>
      <c r="R142" s="1116"/>
      <c r="S142" s="1117">
        <v>17901</v>
      </c>
      <c r="T142" s="1117">
        <v>17901</v>
      </c>
      <c r="U142" s="1117">
        <v>0</v>
      </c>
      <c r="V142" s="1117">
        <v>0</v>
      </c>
      <c r="W142" s="1117">
        <v>0</v>
      </c>
      <c r="X142" s="1117" t="s">
        <v>2171</v>
      </c>
      <c r="Y142" s="1117" t="s">
        <v>2171</v>
      </c>
      <c r="Z142" s="1117">
        <v>0</v>
      </c>
      <c r="AA142" s="1116"/>
      <c r="AB142" s="1116"/>
      <c r="AC142" s="1116"/>
      <c r="AD142" s="1116"/>
      <c r="AE142" s="1116"/>
      <c r="AF142" s="1140">
        <f t="shared" si="14"/>
        <v>9939.4093429306922</v>
      </c>
      <c r="AG142" s="1117">
        <f>'1.1.1 PrimEnLR'!B142*'3.1.1 CO2LR'!$AG$9*Units!$C$47/1000</f>
        <v>9939.4093429306922</v>
      </c>
      <c r="AH142" s="1117">
        <f>'1.1.1 PrimEnLR'!C142*'3.1.1 CO2LR'!$AG$9*Units!$C$47/1000</f>
        <v>0</v>
      </c>
      <c r="AI142" s="1117">
        <f>'1.1.1 PrimEnLR'!D142*Units!$C$14*Units!$C$59/1000</f>
        <v>0</v>
      </c>
      <c r="AJ142" s="1116"/>
      <c r="AK142" s="1116"/>
    </row>
    <row r="143" spans="1:37" x14ac:dyDescent="0.35">
      <c r="A143" s="1116">
        <v>1833</v>
      </c>
      <c r="B143" s="1116"/>
      <c r="C143" s="1119"/>
      <c r="D143" s="1119">
        <f t="shared" si="10"/>
        <v>0</v>
      </c>
      <c r="E143" s="1119">
        <f t="shared" si="11"/>
        <v>17.875</v>
      </c>
      <c r="F143" s="1139">
        <f t="shared" si="12"/>
        <v>0</v>
      </c>
      <c r="G143" s="1116"/>
      <c r="H143" s="1139">
        <f t="shared" si="13"/>
        <v>17.875</v>
      </c>
      <c r="I143" s="1116"/>
      <c r="J143" s="1116"/>
      <c r="K143" s="1116"/>
      <c r="L143" s="1116"/>
      <c r="M143" s="1116"/>
      <c r="N143" s="1116"/>
      <c r="O143" s="1116"/>
      <c r="P143" s="1116"/>
      <c r="Q143" s="1116"/>
      <c r="R143" s="1116"/>
      <c r="S143" s="1117">
        <v>17875</v>
      </c>
      <c r="T143" s="1117">
        <v>17875</v>
      </c>
      <c r="U143" s="1117">
        <v>0</v>
      </c>
      <c r="V143" s="1117">
        <v>0</v>
      </c>
      <c r="W143" s="1117">
        <v>0</v>
      </c>
      <c r="X143" s="1117" t="s">
        <v>2171</v>
      </c>
      <c r="Y143" s="1117" t="s">
        <v>2171</v>
      </c>
      <c r="Z143" s="1117">
        <v>0</v>
      </c>
      <c r="AA143" s="1116"/>
      <c r="AB143" s="1116"/>
      <c r="AC143" s="1116"/>
      <c r="AD143" s="1116"/>
      <c r="AE143" s="1116"/>
      <c r="AF143" s="1140">
        <f t="shared" si="14"/>
        <v>10221.419668741877</v>
      </c>
      <c r="AG143" s="1117">
        <f>'1.1.1 PrimEnLR'!B143*'3.1.1 CO2LR'!$AG$9*Units!$C$47/1000</f>
        <v>10221.419668741877</v>
      </c>
      <c r="AH143" s="1117">
        <f>'1.1.1 PrimEnLR'!C143*'3.1.1 CO2LR'!$AG$9*Units!$C$47/1000</f>
        <v>0</v>
      </c>
      <c r="AI143" s="1117">
        <f>'1.1.1 PrimEnLR'!D143*Units!$C$14*Units!$C$59/1000</f>
        <v>0</v>
      </c>
      <c r="AJ143" s="1116"/>
      <c r="AK143" s="1116"/>
    </row>
    <row r="144" spans="1:37" x14ac:dyDescent="0.35">
      <c r="A144" s="1116">
        <v>1834</v>
      </c>
      <c r="B144" s="1116"/>
      <c r="C144" s="1119"/>
      <c r="D144" s="1119">
        <f t="shared" si="10"/>
        <v>0</v>
      </c>
      <c r="E144" s="1119">
        <f t="shared" si="11"/>
        <v>17.887</v>
      </c>
      <c r="F144" s="1139">
        <f t="shared" si="12"/>
        <v>0</v>
      </c>
      <c r="G144" s="1116"/>
      <c r="H144" s="1139">
        <f t="shared" si="13"/>
        <v>17.887</v>
      </c>
      <c r="I144" s="1116"/>
      <c r="J144" s="1116"/>
      <c r="K144" s="1116"/>
      <c r="L144" s="1116"/>
      <c r="M144" s="1116"/>
      <c r="N144" s="1116"/>
      <c r="O144" s="1116"/>
      <c r="P144" s="1116"/>
      <c r="Q144" s="1116"/>
      <c r="R144" s="1116"/>
      <c r="S144" s="1117">
        <v>17887</v>
      </c>
      <c r="T144" s="1117">
        <v>17887</v>
      </c>
      <c r="U144" s="1117">
        <v>0</v>
      </c>
      <c r="V144" s="1117">
        <v>0</v>
      </c>
      <c r="W144" s="1117">
        <v>0</v>
      </c>
      <c r="X144" s="1117" t="s">
        <v>2171</v>
      </c>
      <c r="Y144" s="1117" t="s">
        <v>2171</v>
      </c>
      <c r="Z144" s="1117">
        <v>0</v>
      </c>
      <c r="AA144" s="1116"/>
      <c r="AB144" s="1116"/>
      <c r="AC144" s="1116"/>
      <c r="AD144" s="1116"/>
      <c r="AE144" s="1116"/>
      <c r="AF144" s="1140">
        <f t="shared" si="14"/>
        <v>10523.947988780143</v>
      </c>
      <c r="AG144" s="1117">
        <f>'1.1.1 PrimEnLR'!B144*'3.1.1 CO2LR'!$AG$9*Units!$C$47/1000</f>
        <v>10523.947988780143</v>
      </c>
      <c r="AH144" s="1117">
        <f>'1.1.1 PrimEnLR'!C144*'3.1.1 CO2LR'!$AG$9*Units!$C$47/1000</f>
        <v>0</v>
      </c>
      <c r="AI144" s="1117">
        <f>'1.1.1 PrimEnLR'!D144*Units!$C$14*Units!$C$59/1000</f>
        <v>0</v>
      </c>
      <c r="AJ144" s="1116"/>
      <c r="AK144" s="1116"/>
    </row>
    <row r="145" spans="1:37" x14ac:dyDescent="0.35">
      <c r="A145" s="1116">
        <v>1835</v>
      </c>
      <c r="B145" s="1116"/>
      <c r="C145" s="1119"/>
      <c r="D145" s="1119">
        <f t="shared" si="10"/>
        <v>0</v>
      </c>
      <c r="E145" s="1119">
        <f t="shared" si="11"/>
        <v>17.812000000000001</v>
      </c>
      <c r="F145" s="1139">
        <f t="shared" si="12"/>
        <v>0</v>
      </c>
      <c r="G145" s="1116"/>
      <c r="H145" s="1139">
        <f t="shared" si="13"/>
        <v>17.812000000000001</v>
      </c>
      <c r="I145" s="1116"/>
      <c r="J145" s="1116"/>
      <c r="K145" s="1116"/>
      <c r="L145" s="1116"/>
      <c r="M145" s="1116"/>
      <c r="N145" s="1116"/>
      <c r="O145" s="1116"/>
      <c r="P145" s="1116"/>
      <c r="Q145" s="1116"/>
      <c r="R145" s="1116"/>
      <c r="S145" s="1117">
        <v>17812</v>
      </c>
      <c r="T145" s="1117">
        <v>17812</v>
      </c>
      <c r="U145" s="1117">
        <v>0</v>
      </c>
      <c r="V145" s="1117">
        <v>0</v>
      </c>
      <c r="W145" s="1117">
        <v>0</v>
      </c>
      <c r="X145" s="1117" t="s">
        <v>2171</v>
      </c>
      <c r="Y145" s="1117" t="s">
        <v>2171</v>
      </c>
      <c r="Z145" s="1117">
        <v>0</v>
      </c>
      <c r="AA145" s="1116"/>
      <c r="AB145" s="1116"/>
      <c r="AC145" s="1116"/>
      <c r="AD145" s="1116"/>
      <c r="AE145" s="1116"/>
      <c r="AF145" s="1140">
        <f t="shared" si="14"/>
        <v>10875.463829130907</v>
      </c>
      <c r="AG145" s="1117">
        <f>'1.1.1 PrimEnLR'!B145*'3.1.1 CO2LR'!$AG$9*Units!$C$47/1000</f>
        <v>10875.463829130907</v>
      </c>
      <c r="AH145" s="1117">
        <f>'1.1.1 PrimEnLR'!C145*'3.1.1 CO2LR'!$AG$9*Units!$C$47/1000</f>
        <v>0</v>
      </c>
      <c r="AI145" s="1117">
        <f>'1.1.1 PrimEnLR'!D145*Units!$C$14*Units!$C$59/1000</f>
        <v>0</v>
      </c>
      <c r="AJ145" s="1116"/>
      <c r="AK145" s="1116"/>
    </row>
    <row r="146" spans="1:37" x14ac:dyDescent="0.35">
      <c r="A146" s="1116">
        <v>1836</v>
      </c>
      <c r="B146" s="1116"/>
      <c r="C146" s="1119"/>
      <c r="D146" s="1119">
        <f t="shared" si="10"/>
        <v>0</v>
      </c>
      <c r="E146" s="1119">
        <f t="shared" si="11"/>
        <v>20.864000000000001</v>
      </c>
      <c r="F146" s="1139">
        <f t="shared" si="12"/>
        <v>0</v>
      </c>
      <c r="G146" s="1116"/>
      <c r="H146" s="1139">
        <f t="shared" si="13"/>
        <v>20.864000000000001</v>
      </c>
      <c r="I146" s="1116"/>
      <c r="J146" s="1116"/>
      <c r="K146" s="1116"/>
      <c r="L146" s="1116"/>
      <c r="M146" s="1116"/>
      <c r="N146" s="1116"/>
      <c r="O146" s="1116"/>
      <c r="P146" s="1116"/>
      <c r="Q146" s="1116"/>
      <c r="R146" s="1116"/>
      <c r="S146" s="1117">
        <v>20864</v>
      </c>
      <c r="T146" s="1117">
        <v>20864</v>
      </c>
      <c r="U146" s="1117">
        <v>0</v>
      </c>
      <c r="V146" s="1117">
        <v>0</v>
      </c>
      <c r="W146" s="1117">
        <v>0</v>
      </c>
      <c r="X146" s="1117" t="s">
        <v>2171</v>
      </c>
      <c r="Y146" s="1117" t="s">
        <v>2171</v>
      </c>
      <c r="Z146" s="1117">
        <v>0</v>
      </c>
      <c r="AA146" s="1116"/>
      <c r="AB146" s="1116"/>
      <c r="AC146" s="1116"/>
      <c r="AD146" s="1116"/>
      <c r="AE146" s="1116"/>
      <c r="AF146" s="1140">
        <f t="shared" si="14"/>
        <v>11210.905368762216</v>
      </c>
      <c r="AG146" s="1117">
        <f>'1.1.1 PrimEnLR'!B146*'3.1.1 CO2LR'!$AG$9*Units!$C$47/1000</f>
        <v>11210.905368762216</v>
      </c>
      <c r="AH146" s="1117">
        <f>'1.1.1 PrimEnLR'!C146*'3.1.1 CO2LR'!$AG$9*Units!$C$47/1000</f>
        <v>0</v>
      </c>
      <c r="AI146" s="1117">
        <f>'1.1.1 PrimEnLR'!D146*Units!$C$14*Units!$C$59/1000</f>
        <v>0</v>
      </c>
      <c r="AJ146" s="1116"/>
      <c r="AK146" s="1116"/>
    </row>
    <row r="147" spans="1:37" x14ac:dyDescent="0.35">
      <c r="A147" s="1116">
        <v>1837</v>
      </c>
      <c r="B147" s="1116"/>
      <c r="C147" s="1119"/>
      <c r="D147" s="1119">
        <f t="shared" si="10"/>
        <v>0</v>
      </c>
      <c r="E147" s="1119">
        <f t="shared" si="11"/>
        <v>20.134</v>
      </c>
      <c r="F147" s="1139">
        <f t="shared" si="12"/>
        <v>0</v>
      </c>
      <c r="G147" s="1116"/>
      <c r="H147" s="1139">
        <f t="shared" si="13"/>
        <v>20.134</v>
      </c>
      <c r="I147" s="1116"/>
      <c r="J147" s="1116"/>
      <c r="K147" s="1116"/>
      <c r="L147" s="1116"/>
      <c r="M147" s="1116"/>
      <c r="N147" s="1116"/>
      <c r="O147" s="1116"/>
      <c r="P147" s="1116"/>
      <c r="Q147" s="1116"/>
      <c r="R147" s="1116"/>
      <c r="S147" s="1117">
        <v>20134</v>
      </c>
      <c r="T147" s="1117">
        <v>20134</v>
      </c>
      <c r="U147" s="1117">
        <v>0</v>
      </c>
      <c r="V147" s="1117">
        <v>0</v>
      </c>
      <c r="W147" s="1117">
        <v>0</v>
      </c>
      <c r="X147" s="1117" t="s">
        <v>2171</v>
      </c>
      <c r="Y147" s="1117" t="s">
        <v>2171</v>
      </c>
      <c r="Z147" s="1117">
        <v>0</v>
      </c>
      <c r="AA147" s="1116"/>
      <c r="AB147" s="1116"/>
      <c r="AC147" s="1116"/>
      <c r="AD147" s="1116"/>
      <c r="AE147" s="1116"/>
      <c r="AF147" s="1140">
        <f t="shared" si="14"/>
        <v>11510.39409779147</v>
      </c>
      <c r="AG147" s="1117">
        <f>'1.1.1 PrimEnLR'!B147*'3.1.1 CO2LR'!$AG$9*Units!$C$47/1000</f>
        <v>11510.39409779147</v>
      </c>
      <c r="AH147" s="1117">
        <f>'1.1.1 PrimEnLR'!C147*'3.1.1 CO2LR'!$AG$9*Units!$C$47/1000</f>
        <v>0</v>
      </c>
      <c r="AI147" s="1117">
        <f>'1.1.1 PrimEnLR'!D147*Units!$C$14*Units!$C$59/1000</f>
        <v>0</v>
      </c>
      <c r="AJ147" s="1116"/>
      <c r="AK147" s="1116"/>
    </row>
    <row r="148" spans="1:37" x14ac:dyDescent="0.35">
      <c r="A148" s="1116">
        <v>1838</v>
      </c>
      <c r="B148" s="1116"/>
      <c r="C148" s="1119"/>
      <c r="D148" s="1119">
        <f t="shared" si="10"/>
        <v>0</v>
      </c>
      <c r="E148" s="1119">
        <f t="shared" si="11"/>
        <v>20.690999999999999</v>
      </c>
      <c r="F148" s="1139">
        <f t="shared" si="12"/>
        <v>0</v>
      </c>
      <c r="G148" s="1116"/>
      <c r="H148" s="1139">
        <f t="shared" si="13"/>
        <v>20.690999999999999</v>
      </c>
      <c r="I148" s="1116"/>
      <c r="J148" s="1116"/>
      <c r="K148" s="1116"/>
      <c r="L148" s="1116"/>
      <c r="M148" s="1116"/>
      <c r="N148" s="1116"/>
      <c r="O148" s="1116"/>
      <c r="P148" s="1116"/>
      <c r="Q148" s="1116"/>
      <c r="R148" s="1116"/>
      <c r="S148" s="1117">
        <v>20691</v>
      </c>
      <c r="T148" s="1117">
        <v>20691</v>
      </c>
      <c r="U148" s="1117">
        <v>0</v>
      </c>
      <c r="V148" s="1117">
        <v>0</v>
      </c>
      <c r="W148" s="1117">
        <v>0</v>
      </c>
      <c r="X148" s="1117" t="s">
        <v>2171</v>
      </c>
      <c r="Y148" s="1117" t="s">
        <v>2171</v>
      </c>
      <c r="Z148" s="1117">
        <v>0</v>
      </c>
      <c r="AA148" s="1116"/>
      <c r="AB148" s="1116"/>
      <c r="AC148" s="1116"/>
      <c r="AD148" s="1116"/>
      <c r="AE148" s="1116"/>
      <c r="AF148" s="1140">
        <f t="shared" si="14"/>
        <v>11844.798270599891</v>
      </c>
      <c r="AG148" s="1117">
        <f>'1.1.1 PrimEnLR'!B148*'3.1.1 CO2LR'!$AG$9*Units!$C$47/1000</f>
        <v>11844.798270599891</v>
      </c>
      <c r="AH148" s="1117">
        <f>'1.1.1 PrimEnLR'!C148*'3.1.1 CO2LR'!$AG$9*Units!$C$47/1000</f>
        <v>0</v>
      </c>
      <c r="AI148" s="1117">
        <f>'1.1.1 PrimEnLR'!D148*Units!$C$14*Units!$C$59/1000</f>
        <v>0</v>
      </c>
      <c r="AJ148" s="1116"/>
      <c r="AK148" s="1116"/>
    </row>
    <row r="149" spans="1:37" x14ac:dyDescent="0.35">
      <c r="A149" s="1116">
        <v>1839</v>
      </c>
      <c r="B149" s="1116"/>
      <c r="C149" s="1119"/>
      <c r="D149" s="1119">
        <f t="shared" si="10"/>
        <v>0</v>
      </c>
      <c r="E149" s="1119">
        <f t="shared" si="11"/>
        <v>21.228000000000002</v>
      </c>
      <c r="F149" s="1139">
        <f t="shared" si="12"/>
        <v>0</v>
      </c>
      <c r="G149" s="1116"/>
      <c r="H149" s="1139">
        <f t="shared" si="13"/>
        <v>21.228000000000002</v>
      </c>
      <c r="I149" s="1116"/>
      <c r="J149" s="1116"/>
      <c r="K149" s="1116"/>
      <c r="L149" s="1116"/>
      <c r="M149" s="1116"/>
      <c r="N149" s="1116"/>
      <c r="O149" s="1116"/>
      <c r="P149" s="1116"/>
      <c r="Q149" s="1116"/>
      <c r="R149" s="1116"/>
      <c r="S149" s="1117">
        <v>21228</v>
      </c>
      <c r="T149" s="1117">
        <v>21228</v>
      </c>
      <c r="U149" s="1117">
        <v>0</v>
      </c>
      <c r="V149" s="1117">
        <v>0</v>
      </c>
      <c r="W149" s="1117">
        <v>0</v>
      </c>
      <c r="X149" s="1117" t="s">
        <v>2171</v>
      </c>
      <c r="Y149" s="1117" t="s">
        <v>2171</v>
      </c>
      <c r="Z149" s="1117">
        <v>0</v>
      </c>
      <c r="AA149" s="1116"/>
      <c r="AB149" s="1116"/>
      <c r="AC149" s="1116"/>
      <c r="AD149" s="1116"/>
      <c r="AE149" s="1116"/>
      <c r="AF149" s="1140">
        <f t="shared" si="14"/>
        <v>12181.672202757656</v>
      </c>
      <c r="AG149" s="1117">
        <f>'1.1.1 PrimEnLR'!B149*'3.1.1 CO2LR'!$AG$9*Units!$C$47/1000</f>
        <v>12181.672202757656</v>
      </c>
      <c r="AH149" s="1117">
        <f>'1.1.1 PrimEnLR'!C149*'3.1.1 CO2LR'!$AG$9*Units!$C$47/1000</f>
        <v>0</v>
      </c>
      <c r="AI149" s="1117">
        <f>'1.1.1 PrimEnLR'!D149*Units!$C$14*Units!$C$59/1000</f>
        <v>0</v>
      </c>
      <c r="AJ149" s="1116"/>
      <c r="AK149" s="1116"/>
    </row>
    <row r="150" spans="1:37" x14ac:dyDescent="0.35">
      <c r="A150" s="1116">
        <v>1840</v>
      </c>
      <c r="B150" s="1116"/>
      <c r="C150" s="1119"/>
      <c r="D150" s="1119">
        <f t="shared" si="10"/>
        <v>0</v>
      </c>
      <c r="E150" s="1119">
        <f t="shared" si="11"/>
        <v>22.096</v>
      </c>
      <c r="F150" s="1139">
        <f t="shared" si="12"/>
        <v>0</v>
      </c>
      <c r="G150" s="1116"/>
      <c r="H150" s="1139">
        <f t="shared" si="13"/>
        <v>22.096</v>
      </c>
      <c r="I150" s="1116"/>
      <c r="J150" s="1116"/>
      <c r="K150" s="1116"/>
      <c r="L150" s="1116"/>
      <c r="M150" s="1116"/>
      <c r="N150" s="1116"/>
      <c r="O150" s="1116"/>
      <c r="P150" s="1116"/>
      <c r="Q150" s="1116"/>
      <c r="R150" s="1116"/>
      <c r="S150" s="1117">
        <v>22096</v>
      </c>
      <c r="T150" s="1117">
        <v>22096</v>
      </c>
      <c r="U150" s="1117">
        <v>0</v>
      </c>
      <c r="V150" s="1117">
        <v>0</v>
      </c>
      <c r="W150" s="1117">
        <v>0</v>
      </c>
      <c r="X150" s="1117" t="s">
        <v>2171</v>
      </c>
      <c r="Y150" s="1117" t="s">
        <v>2171</v>
      </c>
      <c r="Z150" s="1117">
        <v>0</v>
      </c>
      <c r="AA150" s="1116"/>
      <c r="AB150" s="1116"/>
      <c r="AC150" s="1116"/>
      <c r="AD150" s="1116"/>
      <c r="AE150" s="1116"/>
      <c r="AF150" s="1140">
        <f t="shared" si="14"/>
        <v>12546.933166799165</v>
      </c>
      <c r="AG150" s="1117">
        <f>'1.1.1 PrimEnLR'!B150*'3.1.1 CO2LR'!$AG$9*Units!$C$47/1000</f>
        <v>12546.933166799165</v>
      </c>
      <c r="AH150" s="1117">
        <f>'1.1.1 PrimEnLR'!C150*'3.1.1 CO2LR'!$AG$9*Units!$C$47/1000</f>
        <v>0</v>
      </c>
      <c r="AI150" s="1117">
        <f>'1.1.1 PrimEnLR'!D150*Units!$C$14*Units!$C$59/1000</f>
        <v>0</v>
      </c>
      <c r="AJ150" s="1116"/>
      <c r="AK150" s="1116"/>
    </row>
    <row r="151" spans="1:37" x14ac:dyDescent="0.35">
      <c r="A151" s="1116">
        <v>1841</v>
      </c>
      <c r="B151" s="1116"/>
      <c r="C151" s="1119"/>
      <c r="D151" s="1119">
        <f t="shared" si="10"/>
        <v>0</v>
      </c>
      <c r="E151" s="1119">
        <f t="shared" si="11"/>
        <v>22.335999999999999</v>
      </c>
      <c r="F151" s="1139">
        <f t="shared" si="12"/>
        <v>0</v>
      </c>
      <c r="G151" s="1116"/>
      <c r="H151" s="1139">
        <f t="shared" si="13"/>
        <v>22.335999999999999</v>
      </c>
      <c r="I151" s="1116"/>
      <c r="J151" s="1116"/>
      <c r="K151" s="1116"/>
      <c r="L151" s="1116"/>
      <c r="M151" s="1116"/>
      <c r="N151" s="1116"/>
      <c r="O151" s="1116"/>
      <c r="P151" s="1116"/>
      <c r="Q151" s="1116"/>
      <c r="R151" s="1116"/>
      <c r="S151" s="1117">
        <v>22336</v>
      </c>
      <c r="T151" s="1117">
        <v>22336</v>
      </c>
      <c r="U151" s="1117">
        <v>0</v>
      </c>
      <c r="V151" s="1117">
        <v>0</v>
      </c>
      <c r="W151" s="1117">
        <v>0</v>
      </c>
      <c r="X151" s="1117" t="s">
        <v>2171</v>
      </c>
      <c r="Y151" s="1117" t="s">
        <v>2171</v>
      </c>
      <c r="Z151" s="1117">
        <v>0</v>
      </c>
      <c r="AA151" s="1116"/>
      <c r="AB151" s="1116"/>
      <c r="AC151" s="1116"/>
      <c r="AD151" s="1116"/>
      <c r="AE151" s="1116"/>
      <c r="AF151" s="1140">
        <f t="shared" si="14"/>
        <v>13087.122624652377</v>
      </c>
      <c r="AG151" s="1117">
        <f>'1.1.1 PrimEnLR'!B151*'3.1.1 CO2LR'!$AG$9*Units!$C$47/1000</f>
        <v>13087.122624652377</v>
      </c>
      <c r="AH151" s="1117">
        <f>'1.1.1 PrimEnLR'!C151*'3.1.1 CO2LR'!$AG$9*Units!$C$47/1000</f>
        <v>0</v>
      </c>
      <c r="AI151" s="1117">
        <f>'1.1.1 PrimEnLR'!D151*Units!$C$14*Units!$C$59/1000</f>
        <v>0</v>
      </c>
      <c r="AJ151" s="1116"/>
      <c r="AK151" s="1116"/>
    </row>
    <row r="152" spans="1:37" x14ac:dyDescent="0.35">
      <c r="A152" s="1116">
        <v>1842</v>
      </c>
      <c r="B152" s="1116"/>
      <c r="C152" s="1119"/>
      <c r="D152" s="1119">
        <f t="shared" si="10"/>
        <v>0</v>
      </c>
      <c r="E152" s="1119">
        <f t="shared" si="11"/>
        <v>23.3</v>
      </c>
      <c r="F152" s="1139">
        <f t="shared" si="12"/>
        <v>0</v>
      </c>
      <c r="G152" s="1116"/>
      <c r="H152" s="1139">
        <f t="shared" si="13"/>
        <v>23.3</v>
      </c>
      <c r="I152" s="1116"/>
      <c r="J152" s="1116"/>
      <c r="K152" s="1116"/>
      <c r="L152" s="1116"/>
      <c r="M152" s="1116"/>
      <c r="N152" s="1116"/>
      <c r="O152" s="1116"/>
      <c r="P152" s="1116"/>
      <c r="Q152" s="1116"/>
      <c r="R152" s="1116"/>
      <c r="S152" s="1117">
        <v>23300</v>
      </c>
      <c r="T152" s="1117">
        <v>23300</v>
      </c>
      <c r="U152" s="1117">
        <v>0</v>
      </c>
      <c r="V152" s="1117">
        <v>0</v>
      </c>
      <c r="W152" s="1117">
        <v>0</v>
      </c>
      <c r="X152" s="1117" t="s">
        <v>2171</v>
      </c>
      <c r="Y152" s="1117" t="s">
        <v>2171</v>
      </c>
      <c r="Z152" s="1117">
        <v>0</v>
      </c>
      <c r="AA152" s="1116"/>
      <c r="AB152" s="1116"/>
      <c r="AC152" s="1116"/>
      <c r="AD152" s="1116"/>
      <c r="AE152" s="1116"/>
      <c r="AF152" s="1140">
        <f t="shared" si="14"/>
        <v>13533.642623062891</v>
      </c>
      <c r="AG152" s="1117">
        <f>'1.1.1 PrimEnLR'!B152*'3.1.1 CO2LR'!$AG$9*Units!$C$47/1000</f>
        <v>13533.642623062891</v>
      </c>
      <c r="AH152" s="1117">
        <f>'1.1.1 PrimEnLR'!C152*'3.1.1 CO2LR'!$AG$9*Units!$C$47/1000</f>
        <v>0</v>
      </c>
      <c r="AI152" s="1117">
        <f>'1.1.1 PrimEnLR'!D152*Units!$C$14*Units!$C$59/1000</f>
        <v>0</v>
      </c>
      <c r="AJ152" s="1116"/>
      <c r="AK152" s="1116"/>
    </row>
    <row r="153" spans="1:37" x14ac:dyDescent="0.35">
      <c r="A153" s="1116">
        <v>1843</v>
      </c>
      <c r="B153" s="1116"/>
      <c r="C153" s="1119"/>
      <c r="D153" s="1119">
        <f t="shared" si="10"/>
        <v>0</v>
      </c>
      <c r="E153" s="1119">
        <f t="shared" si="11"/>
        <v>24.315999999999999</v>
      </c>
      <c r="F153" s="1139">
        <f t="shared" si="12"/>
        <v>0</v>
      </c>
      <c r="G153" s="1116"/>
      <c r="H153" s="1139">
        <f t="shared" si="13"/>
        <v>24.315999999999999</v>
      </c>
      <c r="I153" s="1116"/>
      <c r="J153" s="1116"/>
      <c r="K153" s="1116"/>
      <c r="L153" s="1116"/>
      <c r="M153" s="1116"/>
      <c r="N153" s="1116"/>
      <c r="O153" s="1116"/>
      <c r="P153" s="1116"/>
      <c r="Q153" s="1116"/>
      <c r="R153" s="1116"/>
      <c r="S153" s="1117">
        <v>24316</v>
      </c>
      <c r="T153" s="1117">
        <v>24316</v>
      </c>
      <c r="U153" s="1117">
        <v>0</v>
      </c>
      <c r="V153" s="1117">
        <v>0</v>
      </c>
      <c r="W153" s="1117">
        <v>0</v>
      </c>
      <c r="X153" s="1117" t="s">
        <v>2171</v>
      </c>
      <c r="Y153" s="1117" t="s">
        <v>2171</v>
      </c>
      <c r="Z153" s="1117">
        <v>0</v>
      </c>
      <c r="AA153" s="1116"/>
      <c r="AB153" s="1116"/>
      <c r="AC153" s="1116"/>
      <c r="AD153" s="1116"/>
      <c r="AE153" s="1116"/>
      <c r="AF153" s="1140">
        <f t="shared" si="14"/>
        <v>14191.149126516597</v>
      </c>
      <c r="AG153" s="1117">
        <f>'1.1.1 PrimEnLR'!B153*'3.1.1 CO2LR'!$AG$9*Units!$C$47/1000</f>
        <v>14191.149126516597</v>
      </c>
      <c r="AH153" s="1117">
        <f>'1.1.1 PrimEnLR'!C153*'3.1.1 CO2LR'!$AG$9*Units!$C$47/1000</f>
        <v>0</v>
      </c>
      <c r="AI153" s="1117">
        <f>'1.1.1 PrimEnLR'!D153*Units!$C$14*Units!$C$59/1000</f>
        <v>0</v>
      </c>
      <c r="AJ153" s="1116"/>
      <c r="AK153" s="1116"/>
    </row>
    <row r="154" spans="1:37" x14ac:dyDescent="0.35">
      <c r="A154" s="1116">
        <v>1844</v>
      </c>
      <c r="B154" s="1116"/>
      <c r="C154" s="1119"/>
      <c r="D154" s="1119">
        <f t="shared" si="10"/>
        <v>0</v>
      </c>
      <c r="E154" s="1119">
        <f t="shared" si="11"/>
        <v>25.510999999999999</v>
      </c>
      <c r="F154" s="1139">
        <f t="shared" si="12"/>
        <v>0</v>
      </c>
      <c r="G154" s="1116"/>
      <c r="H154" s="1139">
        <f t="shared" si="13"/>
        <v>25.510999999999999</v>
      </c>
      <c r="I154" s="1116"/>
      <c r="J154" s="1116"/>
      <c r="K154" s="1116"/>
      <c r="L154" s="1116"/>
      <c r="M154" s="1116"/>
      <c r="N154" s="1116"/>
      <c r="O154" s="1116"/>
      <c r="P154" s="1116"/>
      <c r="Q154" s="1116"/>
      <c r="R154" s="1116"/>
      <c r="S154" s="1117">
        <v>25511</v>
      </c>
      <c r="T154" s="1117">
        <v>25511</v>
      </c>
      <c r="U154" s="1117">
        <v>0</v>
      </c>
      <c r="V154" s="1117">
        <v>0</v>
      </c>
      <c r="W154" s="1117">
        <v>0</v>
      </c>
      <c r="X154" s="1117" t="s">
        <v>2171</v>
      </c>
      <c r="Y154" s="1117" t="s">
        <v>2171</v>
      </c>
      <c r="Z154" s="1117">
        <v>0</v>
      </c>
      <c r="AA154" s="1116"/>
      <c r="AB154" s="1116"/>
      <c r="AC154" s="1116"/>
      <c r="AD154" s="1116"/>
      <c r="AE154" s="1116"/>
      <c r="AF154" s="1140">
        <f t="shared" si="14"/>
        <v>14811.20127935267</v>
      </c>
      <c r="AG154" s="1117">
        <f>'1.1.1 PrimEnLR'!B154*'3.1.1 CO2LR'!$AG$9*Units!$C$47/1000</f>
        <v>14811.20127935267</v>
      </c>
      <c r="AH154" s="1117">
        <f>'1.1.1 PrimEnLR'!C154*'3.1.1 CO2LR'!$AG$9*Units!$C$47/1000</f>
        <v>0</v>
      </c>
      <c r="AI154" s="1117">
        <f>'1.1.1 PrimEnLR'!D154*Units!$C$14*Units!$C$59/1000</f>
        <v>0</v>
      </c>
      <c r="AJ154" s="1116"/>
      <c r="AK154" s="1116"/>
    </row>
    <row r="155" spans="1:37" x14ac:dyDescent="0.35">
      <c r="A155" s="1116">
        <v>1845</v>
      </c>
      <c r="B155" s="1116"/>
      <c r="C155" s="1119"/>
      <c r="D155" s="1119">
        <f t="shared" si="10"/>
        <v>0</v>
      </c>
      <c r="E155" s="1119">
        <f t="shared" si="11"/>
        <v>27.289000000000001</v>
      </c>
      <c r="F155" s="1139">
        <f t="shared" si="12"/>
        <v>0</v>
      </c>
      <c r="G155" s="1116"/>
      <c r="H155" s="1139">
        <f t="shared" si="13"/>
        <v>27.289000000000001</v>
      </c>
      <c r="I155" s="1116"/>
      <c r="J155" s="1116"/>
      <c r="K155" s="1116"/>
      <c r="L155" s="1116"/>
      <c r="M155" s="1116"/>
      <c r="N155" s="1116"/>
      <c r="O155" s="1116"/>
      <c r="P155" s="1116"/>
      <c r="Q155" s="1116"/>
      <c r="R155" s="1116"/>
      <c r="S155" s="1117">
        <v>27289</v>
      </c>
      <c r="T155" s="1117">
        <v>27289</v>
      </c>
      <c r="U155" s="1117">
        <v>0</v>
      </c>
      <c r="V155" s="1117">
        <v>0</v>
      </c>
      <c r="W155" s="1117">
        <v>0</v>
      </c>
      <c r="X155" s="1117" t="s">
        <v>2171</v>
      </c>
      <c r="Y155" s="1117" t="s">
        <v>2171</v>
      </c>
      <c r="Z155" s="1117">
        <v>0</v>
      </c>
      <c r="AA155" s="1116"/>
      <c r="AB155" s="1116"/>
      <c r="AC155" s="1116"/>
      <c r="AD155" s="1116"/>
      <c r="AE155" s="1116"/>
      <c r="AF155" s="1140">
        <f t="shared" si="14"/>
        <v>15548.193809564196</v>
      </c>
      <c r="AG155" s="1117">
        <f>'1.1.1 PrimEnLR'!B155*'3.1.1 CO2LR'!$AG$9*Units!$C$47/1000</f>
        <v>15548.193809564196</v>
      </c>
      <c r="AH155" s="1117">
        <f>'1.1.1 PrimEnLR'!C155*'3.1.1 CO2LR'!$AG$9*Units!$C$47/1000</f>
        <v>0</v>
      </c>
      <c r="AI155" s="1117">
        <f>'1.1.1 PrimEnLR'!D155*Units!$C$14*Units!$C$59/1000</f>
        <v>0</v>
      </c>
      <c r="AJ155" s="1116"/>
      <c r="AK155" s="1116"/>
    </row>
    <row r="156" spans="1:37" x14ac:dyDescent="0.35">
      <c r="A156" s="1116">
        <v>1846</v>
      </c>
      <c r="B156" s="1116"/>
      <c r="C156" s="1119"/>
      <c r="D156" s="1119">
        <f t="shared" si="10"/>
        <v>0</v>
      </c>
      <c r="E156" s="1119">
        <f t="shared" si="11"/>
        <v>26.117000000000001</v>
      </c>
      <c r="F156" s="1139">
        <f t="shared" si="12"/>
        <v>0</v>
      </c>
      <c r="G156" s="1116"/>
      <c r="H156" s="1139">
        <f t="shared" si="13"/>
        <v>26.117000000000001</v>
      </c>
      <c r="I156" s="1116"/>
      <c r="J156" s="1116"/>
      <c r="K156" s="1116"/>
      <c r="L156" s="1116"/>
      <c r="M156" s="1116"/>
      <c r="N156" s="1116"/>
      <c r="O156" s="1116"/>
      <c r="P156" s="1116"/>
      <c r="Q156" s="1116"/>
      <c r="R156" s="1116"/>
      <c r="S156" s="1117">
        <v>26117</v>
      </c>
      <c r="T156" s="1117">
        <v>26117</v>
      </c>
      <c r="U156" s="1117">
        <v>0</v>
      </c>
      <c r="V156" s="1117">
        <v>0</v>
      </c>
      <c r="W156" s="1117">
        <v>0</v>
      </c>
      <c r="X156" s="1117" t="s">
        <v>2171</v>
      </c>
      <c r="Y156" s="1117" t="s">
        <v>2171</v>
      </c>
      <c r="Z156" s="1117">
        <v>0</v>
      </c>
      <c r="AA156" s="1116"/>
      <c r="AB156" s="1116"/>
      <c r="AC156" s="1116"/>
      <c r="AD156" s="1116"/>
      <c r="AE156" s="1116"/>
      <c r="AF156" s="1140">
        <f t="shared" si="14"/>
        <v>16188.318901299957</v>
      </c>
      <c r="AG156" s="1117">
        <f>'1.1.1 PrimEnLR'!B156*'3.1.1 CO2LR'!$AG$9*Units!$C$47/1000</f>
        <v>16188.318901299957</v>
      </c>
      <c r="AH156" s="1117">
        <f>'1.1.1 PrimEnLR'!C156*'3.1.1 CO2LR'!$AG$9*Units!$C$47/1000</f>
        <v>0</v>
      </c>
      <c r="AI156" s="1117">
        <f>'1.1.1 PrimEnLR'!D156*Units!$C$14*Units!$C$59/1000</f>
        <v>0</v>
      </c>
      <c r="AJ156" s="1116"/>
      <c r="AK156" s="1116"/>
    </row>
    <row r="157" spans="1:37" x14ac:dyDescent="0.35">
      <c r="A157" s="1116">
        <v>1847</v>
      </c>
      <c r="B157" s="1116"/>
      <c r="C157" s="1119"/>
      <c r="D157" s="1119">
        <f t="shared" si="10"/>
        <v>0</v>
      </c>
      <c r="E157" s="1119">
        <f t="shared" si="11"/>
        <v>28.260999999999999</v>
      </c>
      <c r="F157" s="1139">
        <f t="shared" si="12"/>
        <v>0</v>
      </c>
      <c r="G157" s="1116"/>
      <c r="H157" s="1139">
        <f t="shared" si="13"/>
        <v>28.260999999999999</v>
      </c>
      <c r="I157" s="1116"/>
      <c r="J157" s="1116"/>
      <c r="K157" s="1116"/>
      <c r="L157" s="1116"/>
      <c r="M157" s="1116"/>
      <c r="N157" s="1116"/>
      <c r="O157" s="1116"/>
      <c r="P157" s="1116"/>
      <c r="Q157" s="1116"/>
      <c r="R157" s="1116"/>
      <c r="S157" s="1117">
        <v>28261</v>
      </c>
      <c r="T157" s="1117">
        <v>28261</v>
      </c>
      <c r="U157" s="1117">
        <v>0</v>
      </c>
      <c r="V157" s="1117">
        <v>0</v>
      </c>
      <c r="W157" s="1117">
        <v>0</v>
      </c>
      <c r="X157" s="1117" t="s">
        <v>2171</v>
      </c>
      <c r="Y157" s="1117" t="s">
        <v>2171</v>
      </c>
      <c r="Z157" s="1117">
        <v>0</v>
      </c>
      <c r="AA157" s="1116"/>
      <c r="AB157" s="1116"/>
      <c r="AC157" s="1116"/>
      <c r="AD157" s="1116"/>
      <c r="AE157" s="1116"/>
      <c r="AF157" s="1140">
        <f t="shared" si="14"/>
        <v>16732.352382621182</v>
      </c>
      <c r="AG157" s="1117">
        <f>'1.1.1 PrimEnLR'!B157*'3.1.1 CO2LR'!$AG$9*Units!$C$47/1000</f>
        <v>16732.352382621182</v>
      </c>
      <c r="AH157" s="1117">
        <f>'1.1.1 PrimEnLR'!C157*'3.1.1 CO2LR'!$AG$9*Units!$C$47/1000</f>
        <v>0</v>
      </c>
      <c r="AI157" s="1117">
        <f>'1.1.1 PrimEnLR'!D157*Units!$C$14*Units!$C$59/1000</f>
        <v>0</v>
      </c>
      <c r="AJ157" s="1116"/>
      <c r="AK157" s="1116"/>
    </row>
    <row r="158" spans="1:37" x14ac:dyDescent="0.35">
      <c r="A158" s="1116">
        <v>1848</v>
      </c>
      <c r="B158" s="1116"/>
      <c r="C158" s="1119"/>
      <c r="D158" s="1119">
        <f t="shared" si="10"/>
        <v>0</v>
      </c>
      <c r="E158" s="1119">
        <f t="shared" si="11"/>
        <v>29.827000000000002</v>
      </c>
      <c r="F158" s="1139">
        <f t="shared" si="12"/>
        <v>0</v>
      </c>
      <c r="G158" s="1116"/>
      <c r="H158" s="1139">
        <f t="shared" si="13"/>
        <v>29.827000000000002</v>
      </c>
      <c r="I158" s="1116"/>
      <c r="J158" s="1116"/>
      <c r="K158" s="1116"/>
      <c r="L158" s="1116"/>
      <c r="M158" s="1116"/>
      <c r="N158" s="1116"/>
      <c r="O158" s="1116"/>
      <c r="P158" s="1116"/>
      <c r="Q158" s="1116"/>
      <c r="R158" s="1116"/>
      <c r="S158" s="1117">
        <v>29827</v>
      </c>
      <c r="T158" s="1117">
        <v>29827</v>
      </c>
      <c r="U158" s="1117">
        <v>0</v>
      </c>
      <c r="V158" s="1117">
        <v>0</v>
      </c>
      <c r="W158" s="1117">
        <v>0</v>
      </c>
      <c r="X158" s="1117" t="s">
        <v>2171</v>
      </c>
      <c r="Y158" s="1117" t="s">
        <v>2171</v>
      </c>
      <c r="Z158" s="1117">
        <v>0</v>
      </c>
      <c r="AA158" s="1116"/>
      <c r="AB158" s="1116"/>
      <c r="AC158" s="1116"/>
      <c r="AD158" s="1116"/>
      <c r="AE158" s="1116"/>
      <c r="AF158" s="1140">
        <f t="shared" si="14"/>
        <v>17336.887446278321</v>
      </c>
      <c r="AG158" s="1117">
        <f>'1.1.1 PrimEnLR'!B158*'3.1.1 CO2LR'!$AG$9*Units!$C$47/1000</f>
        <v>17336.887446278321</v>
      </c>
      <c r="AH158" s="1117">
        <f>'1.1.1 PrimEnLR'!C158*'3.1.1 CO2LR'!$AG$9*Units!$C$47/1000</f>
        <v>0</v>
      </c>
      <c r="AI158" s="1117">
        <f>'1.1.1 PrimEnLR'!D158*Units!$C$14*Units!$C$59/1000</f>
        <v>0</v>
      </c>
      <c r="AJ158" s="1116"/>
      <c r="AK158" s="1116"/>
    </row>
    <row r="159" spans="1:37" x14ac:dyDescent="0.35">
      <c r="A159" s="1116">
        <v>1849</v>
      </c>
      <c r="B159" s="1116"/>
      <c r="C159" s="1119"/>
      <c r="D159" s="1119">
        <f t="shared" si="10"/>
        <v>0</v>
      </c>
      <c r="E159" s="1119">
        <f t="shared" si="11"/>
        <v>31.661000000000001</v>
      </c>
      <c r="F159" s="1139">
        <f t="shared" si="12"/>
        <v>0</v>
      </c>
      <c r="G159" s="1116"/>
      <c r="H159" s="1139">
        <f t="shared" si="13"/>
        <v>31.661000000000001</v>
      </c>
      <c r="I159" s="1116"/>
      <c r="J159" s="1116"/>
      <c r="K159" s="1116"/>
      <c r="L159" s="1116"/>
      <c r="M159" s="1116"/>
      <c r="N159" s="1116"/>
      <c r="O159" s="1116"/>
      <c r="P159" s="1116"/>
      <c r="Q159" s="1116"/>
      <c r="R159" s="1116"/>
      <c r="S159" s="1117">
        <v>31661</v>
      </c>
      <c r="T159" s="1117">
        <v>31661</v>
      </c>
      <c r="U159" s="1117">
        <v>0</v>
      </c>
      <c r="V159" s="1117">
        <v>0</v>
      </c>
      <c r="W159" s="1117">
        <v>0</v>
      </c>
      <c r="X159" s="1117" t="s">
        <v>2171</v>
      </c>
      <c r="Y159" s="1117" t="s">
        <v>2171</v>
      </c>
      <c r="Z159" s="1117">
        <v>0</v>
      </c>
      <c r="AA159" s="1116"/>
      <c r="AB159" s="1116"/>
      <c r="AC159" s="1116"/>
      <c r="AD159" s="1116"/>
      <c r="AE159" s="1116"/>
      <c r="AF159" s="1140">
        <f t="shared" si="14"/>
        <v>18018.369449364502</v>
      </c>
      <c r="AG159" s="1117">
        <f>'1.1.1 PrimEnLR'!B159*'3.1.1 CO2LR'!$AG$9*Units!$C$47/1000</f>
        <v>18018.369449364502</v>
      </c>
      <c r="AH159" s="1117">
        <f>'1.1.1 PrimEnLR'!C159*'3.1.1 CO2LR'!$AG$9*Units!$C$47/1000</f>
        <v>0</v>
      </c>
      <c r="AI159" s="1117">
        <f>'1.1.1 PrimEnLR'!D159*Units!$C$14*Units!$C$59/1000</f>
        <v>0</v>
      </c>
      <c r="AJ159" s="1116"/>
      <c r="AK159" s="1116"/>
    </row>
    <row r="160" spans="1:37" x14ac:dyDescent="0.35">
      <c r="A160" s="1116">
        <v>1850</v>
      </c>
      <c r="B160" s="1116"/>
      <c r="C160" s="1119"/>
      <c r="D160" s="1119">
        <f t="shared" si="10"/>
        <v>0</v>
      </c>
      <c r="E160" s="1119">
        <f t="shared" si="11"/>
        <v>33.462000000000003</v>
      </c>
      <c r="F160" s="1139">
        <f t="shared" si="12"/>
        <v>0</v>
      </c>
      <c r="G160" s="1116"/>
      <c r="H160" s="1139">
        <f t="shared" si="13"/>
        <v>33.462000000000003</v>
      </c>
      <c r="I160" s="1116"/>
      <c r="J160" s="1116"/>
      <c r="K160" s="1116"/>
      <c r="L160" s="1116"/>
      <c r="M160" s="1116"/>
      <c r="N160" s="1116"/>
      <c r="O160" s="1116"/>
      <c r="P160" s="1116"/>
      <c r="Q160" s="1116"/>
      <c r="R160" s="1116"/>
      <c r="S160" s="1117">
        <v>33462</v>
      </c>
      <c r="T160" s="1117">
        <v>33462</v>
      </c>
      <c r="U160" s="1117">
        <v>0</v>
      </c>
      <c r="V160" s="1117">
        <v>0</v>
      </c>
      <c r="W160" s="1117">
        <v>0</v>
      </c>
      <c r="X160" s="1117" t="s">
        <v>2171</v>
      </c>
      <c r="Y160" s="1117" t="s">
        <v>2171</v>
      </c>
      <c r="Z160" s="1117">
        <v>0</v>
      </c>
      <c r="AA160" s="1116"/>
      <c r="AB160" s="1116"/>
      <c r="AC160" s="1116"/>
      <c r="AD160" s="1116"/>
      <c r="AE160" s="1116"/>
      <c r="AF160" s="1140">
        <f t="shared" si="14"/>
        <v>18693.439366565763</v>
      </c>
      <c r="AG160" s="1117">
        <f>'1.1.1 PrimEnLR'!B160*'3.1.1 CO2LR'!$AG$9*Units!$C$47/1000</f>
        <v>18693.439366565763</v>
      </c>
      <c r="AH160" s="1117">
        <f>'1.1.1 PrimEnLR'!C160*'3.1.1 CO2LR'!$AG$9*Units!$C$47/1000</f>
        <v>0</v>
      </c>
      <c r="AI160" s="1117">
        <f>'1.1.1 PrimEnLR'!D160*Units!$C$14*Units!$C$59/1000</f>
        <v>0</v>
      </c>
      <c r="AJ160" s="1116"/>
      <c r="AK160" s="1116"/>
    </row>
    <row r="161" spans="1:37" x14ac:dyDescent="0.35">
      <c r="A161" s="1116">
        <v>1851</v>
      </c>
      <c r="B161" s="1116"/>
      <c r="C161" s="1119"/>
      <c r="D161" s="1119">
        <f t="shared" si="10"/>
        <v>0</v>
      </c>
      <c r="E161" s="1119">
        <f t="shared" si="11"/>
        <v>31.838000000000001</v>
      </c>
      <c r="F161" s="1139">
        <f t="shared" si="12"/>
        <v>0</v>
      </c>
      <c r="G161" s="1116"/>
      <c r="H161" s="1139">
        <f t="shared" si="13"/>
        <v>31.838000000000001</v>
      </c>
      <c r="I161" s="1116"/>
      <c r="J161" s="1116"/>
      <c r="K161" s="1116"/>
      <c r="L161" s="1116"/>
      <c r="M161" s="1116"/>
      <c r="N161" s="1116"/>
      <c r="O161" s="1116"/>
      <c r="P161" s="1116"/>
      <c r="Q161" s="1116"/>
      <c r="R161" s="1116"/>
      <c r="S161" s="1117">
        <v>31838</v>
      </c>
      <c r="T161" s="1117">
        <v>31838</v>
      </c>
      <c r="U161" s="1117">
        <v>0</v>
      </c>
      <c r="V161" s="1117">
        <v>0</v>
      </c>
      <c r="W161" s="1117">
        <v>0</v>
      </c>
      <c r="X161" s="1117" t="s">
        <v>2171</v>
      </c>
      <c r="Y161" s="1117" t="s">
        <v>2171</v>
      </c>
      <c r="Z161" s="1117">
        <v>0</v>
      </c>
      <c r="AA161" s="1116"/>
      <c r="AB161" s="1116"/>
      <c r="AC161" s="1116"/>
      <c r="AD161" s="1116"/>
      <c r="AE161" s="1116"/>
      <c r="AF161" s="1140">
        <f t="shared" si="14"/>
        <v>19341.685107384179</v>
      </c>
      <c r="AG161" s="1117">
        <f>'1.1.1 PrimEnLR'!B161*'3.1.1 CO2LR'!$AG$9*Units!$C$47/1000</f>
        <v>19341.685107384179</v>
      </c>
      <c r="AH161" s="1117">
        <f>'1.1.1 PrimEnLR'!C161*'3.1.1 CO2LR'!$AG$9*Units!$C$47/1000</f>
        <v>0</v>
      </c>
      <c r="AI161" s="1117">
        <f>'1.1.1 PrimEnLR'!D161*Units!$C$14*Units!$C$59/1000</f>
        <v>0</v>
      </c>
      <c r="AJ161" s="1116"/>
      <c r="AK161" s="1116"/>
    </row>
    <row r="162" spans="1:37" x14ac:dyDescent="0.35">
      <c r="A162" s="1116">
        <v>1852</v>
      </c>
      <c r="B162" s="1116"/>
      <c r="C162" s="1119"/>
      <c r="D162" s="1119">
        <f t="shared" si="10"/>
        <v>0</v>
      </c>
      <c r="E162" s="1119">
        <f t="shared" si="11"/>
        <v>31.725000000000001</v>
      </c>
      <c r="F162" s="1139">
        <f t="shared" si="12"/>
        <v>0</v>
      </c>
      <c r="G162" s="1116"/>
      <c r="H162" s="1139">
        <f t="shared" si="13"/>
        <v>31.725000000000001</v>
      </c>
      <c r="I162" s="1116"/>
      <c r="J162" s="1116"/>
      <c r="K162" s="1116"/>
      <c r="L162" s="1116"/>
      <c r="M162" s="1116"/>
      <c r="N162" s="1116"/>
      <c r="O162" s="1116"/>
      <c r="P162" s="1116"/>
      <c r="Q162" s="1116"/>
      <c r="R162" s="1116"/>
      <c r="S162" s="1117">
        <v>31725</v>
      </c>
      <c r="T162" s="1117">
        <v>31725</v>
      </c>
      <c r="U162" s="1117">
        <v>0</v>
      </c>
      <c r="V162" s="1117">
        <v>0</v>
      </c>
      <c r="W162" s="1117">
        <v>0</v>
      </c>
      <c r="X162" s="1117" t="s">
        <v>2171</v>
      </c>
      <c r="Y162" s="1117" t="s">
        <v>2171</v>
      </c>
      <c r="Z162" s="1117">
        <v>0</v>
      </c>
      <c r="AA162" s="1116"/>
      <c r="AB162" s="1116"/>
      <c r="AC162" s="1116"/>
      <c r="AD162" s="1116"/>
      <c r="AE162" s="1116"/>
      <c r="AF162" s="1140">
        <f t="shared" si="14"/>
        <v>20010.222380067091</v>
      </c>
      <c r="AG162" s="1117">
        <f>'1.1.1 PrimEnLR'!B162*'3.1.1 CO2LR'!$AG$9*Units!$C$47/1000</f>
        <v>20010.222380067091</v>
      </c>
      <c r="AH162" s="1117">
        <f>'1.1.1 PrimEnLR'!C162*'3.1.1 CO2LR'!$AG$9*Units!$C$47/1000</f>
        <v>0</v>
      </c>
      <c r="AI162" s="1117">
        <f>'1.1.1 PrimEnLR'!D162*Units!$C$14*Units!$C$59/1000</f>
        <v>0</v>
      </c>
      <c r="AJ162" s="1116"/>
      <c r="AK162" s="1116"/>
    </row>
    <row r="163" spans="1:37" x14ac:dyDescent="0.35">
      <c r="A163" s="1116">
        <v>1853</v>
      </c>
      <c r="B163" s="1116"/>
      <c r="C163" s="1119"/>
      <c r="D163" s="1119">
        <f t="shared" si="10"/>
        <v>0</v>
      </c>
      <c r="E163" s="1119">
        <f t="shared" si="11"/>
        <v>31.55</v>
      </c>
      <c r="F163" s="1139">
        <f t="shared" si="12"/>
        <v>0</v>
      </c>
      <c r="G163" s="1116"/>
      <c r="H163" s="1139">
        <f t="shared" si="13"/>
        <v>31.55</v>
      </c>
      <c r="I163" s="1116"/>
      <c r="J163" s="1116"/>
      <c r="K163" s="1116"/>
      <c r="L163" s="1116"/>
      <c r="M163" s="1116"/>
      <c r="N163" s="1116"/>
      <c r="O163" s="1116"/>
      <c r="P163" s="1116"/>
      <c r="Q163" s="1116"/>
      <c r="R163" s="1116"/>
      <c r="S163" s="1117">
        <v>31550</v>
      </c>
      <c r="T163" s="1117">
        <v>31550</v>
      </c>
      <c r="U163" s="1117">
        <v>0</v>
      </c>
      <c r="V163" s="1117">
        <v>0</v>
      </c>
      <c r="W163" s="1117">
        <v>0</v>
      </c>
      <c r="X163" s="1117" t="s">
        <v>2171</v>
      </c>
      <c r="Y163" s="1117" t="s">
        <v>2171</v>
      </c>
      <c r="Z163" s="1117">
        <v>0</v>
      </c>
      <c r="AA163" s="1116"/>
      <c r="AB163" s="1116"/>
      <c r="AC163" s="1116"/>
      <c r="AD163" s="1116"/>
      <c r="AE163" s="1116"/>
      <c r="AF163" s="1140">
        <f t="shared" si="14"/>
        <v>20634.634787612904</v>
      </c>
      <c r="AG163" s="1117">
        <f>'1.1.1 PrimEnLR'!B163*'3.1.1 CO2LR'!$AG$9*Units!$C$47/1000</f>
        <v>20634.634787612904</v>
      </c>
      <c r="AH163" s="1117">
        <f>'1.1.1 PrimEnLR'!C163*'3.1.1 CO2LR'!$AG$9*Units!$C$47/1000</f>
        <v>0</v>
      </c>
      <c r="AI163" s="1117">
        <f>'1.1.1 PrimEnLR'!D163*Units!$C$14*Units!$C$59/1000</f>
        <v>0</v>
      </c>
      <c r="AJ163" s="1116"/>
      <c r="AK163" s="1116"/>
    </row>
    <row r="164" spans="1:37" x14ac:dyDescent="0.35">
      <c r="A164" s="1116">
        <v>1854</v>
      </c>
      <c r="B164" s="1116"/>
      <c r="C164" s="1119"/>
      <c r="D164" s="1119">
        <f t="shared" si="10"/>
        <v>0</v>
      </c>
      <c r="E164" s="1119">
        <f t="shared" si="11"/>
        <v>38.018999999999998</v>
      </c>
      <c r="F164" s="1139">
        <f t="shared" si="12"/>
        <v>0</v>
      </c>
      <c r="G164" s="1116"/>
      <c r="H164" s="1139">
        <f t="shared" si="13"/>
        <v>38.018999999999998</v>
      </c>
      <c r="I164" s="1116"/>
      <c r="J164" s="1116"/>
      <c r="K164" s="1116"/>
      <c r="L164" s="1116"/>
      <c r="M164" s="1116"/>
      <c r="N164" s="1116"/>
      <c r="O164" s="1116"/>
      <c r="P164" s="1116"/>
      <c r="Q164" s="1116"/>
      <c r="R164" s="1116"/>
      <c r="S164" s="1117">
        <v>38019</v>
      </c>
      <c r="T164" s="1117">
        <v>38019</v>
      </c>
      <c r="U164" s="1117">
        <v>0</v>
      </c>
      <c r="V164" s="1117">
        <v>0</v>
      </c>
      <c r="W164" s="1117">
        <v>0</v>
      </c>
      <c r="X164" s="1117" t="s">
        <v>2171</v>
      </c>
      <c r="Y164" s="1117" t="s">
        <v>2171</v>
      </c>
      <c r="Z164" s="1117">
        <v>0</v>
      </c>
      <c r="AA164" s="1116"/>
      <c r="AB164" s="1116"/>
      <c r="AC164" s="1116"/>
      <c r="AD164" s="1116"/>
      <c r="AE164" s="1116"/>
      <c r="AF164" s="1140">
        <f t="shared" si="14"/>
        <v>21336.09587506545</v>
      </c>
      <c r="AG164" s="1117">
        <f>'1.1.1 PrimEnLR'!B164*'3.1.1 CO2LR'!$AG$9*Units!$C$47/1000</f>
        <v>21336.09587506545</v>
      </c>
      <c r="AH164" s="1117">
        <f>'1.1.1 PrimEnLR'!C164*'3.1.1 CO2LR'!$AG$9*Units!$C$47/1000</f>
        <v>0</v>
      </c>
      <c r="AI164" s="1117">
        <f>'1.1.1 PrimEnLR'!D164*Units!$C$14*Units!$C$59/1000</f>
        <v>0</v>
      </c>
      <c r="AJ164" s="1116"/>
      <c r="AK164" s="1116"/>
    </row>
    <row r="165" spans="1:37" x14ac:dyDescent="0.35">
      <c r="A165" s="1116">
        <v>1855</v>
      </c>
      <c r="B165" s="1116"/>
      <c r="C165" s="1119"/>
      <c r="D165" s="1119">
        <f t="shared" si="10"/>
        <v>0</v>
      </c>
      <c r="E165" s="1119">
        <f t="shared" si="11"/>
        <v>35.600999999999999</v>
      </c>
      <c r="F165" s="1139">
        <f t="shared" si="12"/>
        <v>0</v>
      </c>
      <c r="G165" s="1116"/>
      <c r="H165" s="1139">
        <f t="shared" si="13"/>
        <v>35.600999999999999</v>
      </c>
      <c r="I165" s="1116"/>
      <c r="J165" s="1116"/>
      <c r="K165" s="1116"/>
      <c r="L165" s="1116"/>
      <c r="M165" s="1116"/>
      <c r="N165" s="1116"/>
      <c r="O165" s="1116"/>
      <c r="P165" s="1116"/>
      <c r="Q165" s="1116"/>
      <c r="R165" s="1116"/>
      <c r="S165" s="1117">
        <v>35601</v>
      </c>
      <c r="T165" s="1117">
        <v>35601</v>
      </c>
      <c r="U165" s="1117">
        <v>0</v>
      </c>
      <c r="V165" s="1117">
        <v>0</v>
      </c>
      <c r="W165" s="1117">
        <v>0</v>
      </c>
      <c r="X165" s="1117" t="s">
        <v>2171</v>
      </c>
      <c r="Y165" s="1117" t="s">
        <v>2171</v>
      </c>
      <c r="Z165" s="1117">
        <v>0</v>
      </c>
      <c r="AA165" s="1116"/>
      <c r="AB165" s="1116"/>
      <c r="AC165" s="1116"/>
      <c r="AD165" s="1116"/>
      <c r="AE165" s="1116"/>
      <c r="AF165" s="1140">
        <f t="shared" si="14"/>
        <v>21746.890204321404</v>
      </c>
      <c r="AG165" s="1117">
        <f>'1.1.1 PrimEnLR'!B165*'3.1.1 CO2LR'!$AG$9*Units!$C$47/1000</f>
        <v>21746.890204321404</v>
      </c>
      <c r="AH165" s="1117">
        <f>'1.1.1 PrimEnLR'!C165*'3.1.1 CO2LR'!$AG$9*Units!$C$47/1000</f>
        <v>0</v>
      </c>
      <c r="AI165" s="1117">
        <f>'1.1.1 PrimEnLR'!D165*Units!$C$14*Units!$C$59/1000</f>
        <v>0</v>
      </c>
      <c r="AJ165" s="1116"/>
      <c r="AK165" s="1116"/>
    </row>
    <row r="166" spans="1:37" x14ac:dyDescent="0.35">
      <c r="A166" s="1116">
        <v>1856</v>
      </c>
      <c r="B166" s="1116"/>
      <c r="C166" s="1119"/>
      <c r="D166" s="1119">
        <f t="shared" si="10"/>
        <v>0</v>
      </c>
      <c r="E166" s="1119">
        <f t="shared" si="11"/>
        <v>38.311999999999998</v>
      </c>
      <c r="F166" s="1139">
        <f t="shared" si="12"/>
        <v>0</v>
      </c>
      <c r="G166" s="1116"/>
      <c r="H166" s="1139">
        <f t="shared" si="13"/>
        <v>38.311999999999998</v>
      </c>
      <c r="I166" s="1116"/>
      <c r="J166" s="1116"/>
      <c r="K166" s="1116"/>
      <c r="L166" s="1116"/>
      <c r="M166" s="1116"/>
      <c r="N166" s="1116"/>
      <c r="O166" s="1116"/>
      <c r="P166" s="1116"/>
      <c r="Q166" s="1116"/>
      <c r="R166" s="1116"/>
      <c r="S166" s="1117">
        <v>38312</v>
      </c>
      <c r="T166" s="1117">
        <v>38312</v>
      </c>
      <c r="U166" s="1117">
        <v>0</v>
      </c>
      <c r="V166" s="1117">
        <v>0</v>
      </c>
      <c r="W166" s="1117">
        <v>0</v>
      </c>
      <c r="X166" s="1117" t="s">
        <v>2171</v>
      </c>
      <c r="Y166" s="1117" t="s">
        <v>2171</v>
      </c>
      <c r="Z166" s="1117">
        <v>0</v>
      </c>
      <c r="AA166" s="1116"/>
      <c r="AB166" s="1116"/>
      <c r="AC166" s="1116"/>
      <c r="AD166" s="1116"/>
      <c r="AE166" s="1116"/>
      <c r="AF166" s="1140">
        <f t="shared" si="14"/>
        <v>22370.39713092085</v>
      </c>
      <c r="AG166" s="1117">
        <f>'1.1.1 PrimEnLR'!B166*'3.1.1 CO2LR'!$AG$9*Units!$C$47/1000</f>
        <v>22370.39713092085</v>
      </c>
      <c r="AH166" s="1117">
        <f>'1.1.1 PrimEnLR'!C166*'3.1.1 CO2LR'!$AG$9*Units!$C$47/1000</f>
        <v>0</v>
      </c>
      <c r="AI166" s="1117">
        <f>'1.1.1 PrimEnLR'!D166*Units!$C$14*Units!$C$59/1000</f>
        <v>0</v>
      </c>
      <c r="AJ166" s="1116"/>
      <c r="AK166" s="1116"/>
    </row>
    <row r="167" spans="1:37" x14ac:dyDescent="0.35">
      <c r="A167" s="1116">
        <v>1857</v>
      </c>
      <c r="B167" s="1116"/>
      <c r="C167" s="1119"/>
      <c r="D167" s="1119">
        <f t="shared" si="10"/>
        <v>2E-3</v>
      </c>
      <c r="E167" s="1119">
        <f t="shared" si="11"/>
        <v>37.624000000000002</v>
      </c>
      <c r="F167" s="1139">
        <f t="shared" si="12"/>
        <v>0</v>
      </c>
      <c r="G167" s="1116"/>
      <c r="H167" s="1139">
        <f t="shared" si="13"/>
        <v>37.626000000000005</v>
      </c>
      <c r="I167" s="1116"/>
      <c r="J167" s="1116"/>
      <c r="K167" s="1116"/>
      <c r="L167" s="1116"/>
      <c r="M167" s="1116"/>
      <c r="N167" s="1116"/>
      <c r="O167" s="1116"/>
      <c r="P167" s="1116"/>
      <c r="Q167" s="1116"/>
      <c r="R167" s="1116"/>
      <c r="S167" s="1117">
        <v>37626</v>
      </c>
      <c r="T167" s="1117">
        <v>37624</v>
      </c>
      <c r="U167" s="1117">
        <v>2</v>
      </c>
      <c r="V167" s="1117">
        <v>0</v>
      </c>
      <c r="W167" s="1117">
        <v>0</v>
      </c>
      <c r="X167" s="1117" t="s">
        <v>2171</v>
      </c>
      <c r="Y167" s="1117" t="s">
        <v>2171</v>
      </c>
      <c r="Z167" s="1117">
        <v>0</v>
      </c>
      <c r="AA167" s="1116"/>
      <c r="AB167" s="1116"/>
      <c r="AC167" s="1116"/>
      <c r="AD167" s="1116"/>
      <c r="AE167" s="1116"/>
      <c r="AF167" s="1140">
        <f t="shared" si="14"/>
        <v>22968.924114140595</v>
      </c>
      <c r="AG167" s="1117">
        <f>'1.1.1 PrimEnLR'!B167*'3.1.1 CO2LR'!$AG$9*Units!$C$47/1000</f>
        <v>22968.924114140595</v>
      </c>
      <c r="AH167" s="1117">
        <f>'1.1.1 PrimEnLR'!C167*'3.1.1 CO2LR'!$AG$9*Units!$C$47/1000</f>
        <v>0</v>
      </c>
      <c r="AI167" s="1117">
        <f>'1.1.1 PrimEnLR'!D167*Units!$C$14*Units!$C$59/1000</f>
        <v>0</v>
      </c>
      <c r="AJ167" s="1116"/>
      <c r="AK167" s="1116"/>
    </row>
    <row r="168" spans="1:37" x14ac:dyDescent="0.35">
      <c r="A168" s="1116">
        <v>1858</v>
      </c>
      <c r="B168" s="1116"/>
      <c r="C168" s="1119"/>
      <c r="D168" s="1119">
        <f t="shared" si="10"/>
        <v>3.0000000000000001E-3</v>
      </c>
      <c r="E168" s="1119">
        <f t="shared" si="11"/>
        <v>36.872999999999998</v>
      </c>
      <c r="F168" s="1139">
        <f t="shared" si="12"/>
        <v>0</v>
      </c>
      <c r="G168" s="1116"/>
      <c r="H168" s="1139">
        <f t="shared" si="13"/>
        <v>36.875999999999998</v>
      </c>
      <c r="I168" s="1116"/>
      <c r="J168" s="1116"/>
      <c r="K168" s="1116"/>
      <c r="L168" s="1116"/>
      <c r="M168" s="1116"/>
      <c r="N168" s="1116"/>
      <c r="O168" s="1116"/>
      <c r="P168" s="1116"/>
      <c r="Q168" s="1116"/>
      <c r="R168" s="1116"/>
      <c r="S168" s="1117">
        <v>36876</v>
      </c>
      <c r="T168" s="1117">
        <v>36873</v>
      </c>
      <c r="U168" s="1117">
        <v>3</v>
      </c>
      <c r="V168" s="1117">
        <v>0</v>
      </c>
      <c r="W168" s="1117">
        <v>0</v>
      </c>
      <c r="X168" s="1117" t="s">
        <v>2171</v>
      </c>
      <c r="Y168" s="1117" t="s">
        <v>2171</v>
      </c>
      <c r="Z168" s="1117">
        <v>0</v>
      </c>
      <c r="AA168" s="1116"/>
      <c r="AB168" s="1116"/>
      <c r="AC168" s="1116"/>
      <c r="AD168" s="1116"/>
      <c r="AE168" s="1116"/>
      <c r="AF168" s="1140">
        <f t="shared" si="14"/>
        <v>23310.421872932679</v>
      </c>
      <c r="AG168" s="1117">
        <f>'1.1.1 PrimEnLR'!B168*'3.1.1 CO2LR'!$AG$9*Units!$C$47/1000</f>
        <v>23310.421872932679</v>
      </c>
      <c r="AH168" s="1117">
        <f>'1.1.1 PrimEnLR'!C168*'3.1.1 CO2LR'!$AG$9*Units!$C$47/1000</f>
        <v>0</v>
      </c>
      <c r="AI168" s="1117">
        <f>'1.1.1 PrimEnLR'!D168*Units!$C$14*Units!$C$59/1000</f>
        <v>0</v>
      </c>
      <c r="AJ168" s="1116"/>
      <c r="AK168" s="1116"/>
    </row>
    <row r="169" spans="1:37" x14ac:dyDescent="0.35">
      <c r="A169" s="1116">
        <v>1859</v>
      </c>
      <c r="B169" s="1116"/>
      <c r="C169" s="1119"/>
      <c r="D169" s="1119">
        <f t="shared" si="10"/>
        <v>1E-3</v>
      </c>
      <c r="E169" s="1119">
        <f t="shared" si="11"/>
        <v>40.942</v>
      </c>
      <c r="F169" s="1139">
        <f t="shared" si="12"/>
        <v>0</v>
      </c>
      <c r="G169" s="1116"/>
      <c r="H169" s="1139">
        <f t="shared" si="13"/>
        <v>40.942999999999998</v>
      </c>
      <c r="I169" s="1116"/>
      <c r="J169" s="1116"/>
      <c r="K169" s="1116"/>
      <c r="L169" s="1116"/>
      <c r="M169" s="1116"/>
      <c r="N169" s="1116"/>
      <c r="O169" s="1116"/>
      <c r="P169" s="1116"/>
      <c r="Q169" s="1116"/>
      <c r="R169" s="1116"/>
      <c r="S169" s="1117">
        <v>40942</v>
      </c>
      <c r="T169" s="1117">
        <v>40942</v>
      </c>
      <c r="U169" s="1117">
        <v>1</v>
      </c>
      <c r="V169" s="1117">
        <v>0</v>
      </c>
      <c r="W169" s="1117">
        <v>0</v>
      </c>
      <c r="X169" s="1117" t="s">
        <v>2171</v>
      </c>
      <c r="Y169" s="1117" t="s">
        <v>2171</v>
      </c>
      <c r="Z169" s="1117">
        <v>0</v>
      </c>
      <c r="AA169" s="1116"/>
      <c r="AB169" s="1116"/>
      <c r="AC169" s="1116"/>
      <c r="AD169" s="1116"/>
      <c r="AE169" s="1116"/>
      <c r="AF169" s="1140">
        <f t="shared" si="14"/>
        <v>23950.650626779552</v>
      </c>
      <c r="AG169" s="1117">
        <f>'1.1.1 PrimEnLR'!B169*'3.1.1 CO2LR'!$AG$9*Units!$C$47/1000</f>
        <v>23950.650626779552</v>
      </c>
      <c r="AH169" s="1117">
        <f>'1.1.1 PrimEnLR'!C169*'3.1.1 CO2LR'!$AG$9*Units!$C$47/1000</f>
        <v>0</v>
      </c>
      <c r="AI169" s="1117">
        <f>'1.1.1 PrimEnLR'!D169*Units!$C$14*Units!$C$59/1000</f>
        <v>0</v>
      </c>
      <c r="AJ169" s="1116"/>
      <c r="AK169" s="1116"/>
    </row>
    <row r="170" spans="1:37" x14ac:dyDescent="0.35">
      <c r="A170" s="1116">
        <v>1860</v>
      </c>
      <c r="B170" s="1116"/>
      <c r="C170" s="1119"/>
      <c r="D170" s="1119">
        <f t="shared" si="10"/>
        <v>0</v>
      </c>
      <c r="E170" s="1119">
        <f t="shared" si="11"/>
        <v>45.838000000000001</v>
      </c>
      <c r="F170" s="1139">
        <f t="shared" si="12"/>
        <v>0</v>
      </c>
      <c r="G170" s="1116"/>
      <c r="H170" s="1139">
        <f t="shared" si="13"/>
        <v>45.838000000000001</v>
      </c>
      <c r="I170" s="1116"/>
      <c r="J170" s="1116"/>
      <c r="K170" s="1116"/>
      <c r="L170" s="1116"/>
      <c r="M170" s="1116"/>
      <c r="N170" s="1116"/>
      <c r="O170" s="1116"/>
      <c r="P170" s="1116"/>
      <c r="Q170" s="1116"/>
      <c r="R170" s="1116"/>
      <c r="S170" s="1117">
        <v>45838</v>
      </c>
      <c r="T170" s="1117">
        <v>45838</v>
      </c>
      <c r="U170" s="1117">
        <v>0</v>
      </c>
      <c r="V170" s="1117">
        <v>0</v>
      </c>
      <c r="W170" s="1117">
        <v>0</v>
      </c>
      <c r="X170" s="1117" t="s">
        <v>2171</v>
      </c>
      <c r="Y170" s="1117" t="s">
        <v>2171</v>
      </c>
      <c r="Z170" s="1117">
        <v>0</v>
      </c>
      <c r="AA170" s="1116"/>
      <c r="AB170" s="1116"/>
      <c r="AC170" s="1116"/>
      <c r="AD170" s="1116"/>
      <c r="AE170" s="1116"/>
      <c r="AF170" s="1140">
        <f t="shared" si="14"/>
        <v>24844.881878032527</v>
      </c>
      <c r="AG170" s="1117">
        <f>'1.1.1 PrimEnLR'!B170*'3.1.1 CO2LR'!$AG$9*Units!$C$47/1000</f>
        <v>24844.881878032527</v>
      </c>
      <c r="AH170" s="1117">
        <f>'1.1.1 PrimEnLR'!C170*'3.1.1 CO2LR'!$AG$9*Units!$C$47/1000</f>
        <v>0</v>
      </c>
      <c r="AI170" s="1117">
        <f>'1.1.1 PrimEnLR'!D170*Units!$C$14*Units!$C$59/1000</f>
        <v>0</v>
      </c>
      <c r="AJ170" s="1116"/>
      <c r="AK170" s="1116"/>
    </row>
    <row r="171" spans="1:37" x14ac:dyDescent="0.35">
      <c r="A171" s="1116">
        <v>1861</v>
      </c>
      <c r="B171" s="1116"/>
      <c r="C171" s="1119"/>
      <c r="D171" s="1119">
        <f t="shared" si="10"/>
        <v>1E-3</v>
      </c>
      <c r="E171" s="1119">
        <f t="shared" si="11"/>
        <v>47.773000000000003</v>
      </c>
      <c r="F171" s="1139">
        <f t="shared" si="12"/>
        <v>0</v>
      </c>
      <c r="G171" s="1116"/>
      <c r="H171" s="1139">
        <f t="shared" si="13"/>
        <v>47.774000000000001</v>
      </c>
      <c r="I171" s="1116"/>
      <c r="J171" s="1116"/>
      <c r="K171" s="1116"/>
      <c r="L171" s="1116"/>
      <c r="M171" s="1116"/>
      <c r="N171" s="1116"/>
      <c r="O171" s="1116"/>
      <c r="P171" s="1116"/>
      <c r="Q171" s="1116"/>
      <c r="R171" s="1116"/>
      <c r="S171" s="1117">
        <v>47775</v>
      </c>
      <c r="T171" s="1117">
        <v>47773</v>
      </c>
      <c r="U171" s="1117">
        <v>1</v>
      </c>
      <c r="V171" s="1117">
        <v>0</v>
      </c>
      <c r="W171" s="1117">
        <v>0</v>
      </c>
      <c r="X171" s="1117" t="s">
        <v>2171</v>
      </c>
      <c r="Y171" s="1117" t="s">
        <v>2171</v>
      </c>
      <c r="Z171" s="1117">
        <v>0</v>
      </c>
      <c r="AA171" s="1116"/>
      <c r="AB171" s="1116"/>
      <c r="AC171" s="1116"/>
      <c r="AD171" s="1116"/>
      <c r="AE171" s="1116"/>
      <c r="AF171" s="1140">
        <f t="shared" si="14"/>
        <v>25368.392918989386</v>
      </c>
      <c r="AG171" s="1117">
        <f>'1.1.1 PrimEnLR'!B171*'3.1.1 CO2LR'!$AG$9*Units!$C$47/1000</f>
        <v>25368.392918989386</v>
      </c>
      <c r="AH171" s="1117">
        <f>'1.1.1 PrimEnLR'!C171*'3.1.1 CO2LR'!$AG$9*Units!$C$47/1000</f>
        <v>0</v>
      </c>
      <c r="AI171" s="1117">
        <f>'1.1.1 PrimEnLR'!D171*Units!$C$14*Units!$C$59/1000</f>
        <v>0</v>
      </c>
      <c r="AJ171" s="1116"/>
      <c r="AK171" s="1116"/>
    </row>
    <row r="172" spans="1:37" x14ac:dyDescent="0.35">
      <c r="A172" s="1116">
        <v>1862</v>
      </c>
      <c r="B172" s="1116"/>
      <c r="C172" s="1119"/>
      <c r="D172" s="1119">
        <f t="shared" si="10"/>
        <v>1.7000000000000001E-2</v>
      </c>
      <c r="E172" s="1119">
        <f t="shared" si="11"/>
        <v>46.235999999999997</v>
      </c>
      <c r="F172" s="1139">
        <f t="shared" si="12"/>
        <v>0</v>
      </c>
      <c r="G172" s="1116"/>
      <c r="H172" s="1139">
        <f t="shared" si="13"/>
        <v>46.253</v>
      </c>
      <c r="I172" s="1116"/>
      <c r="J172" s="1116"/>
      <c r="K172" s="1116"/>
      <c r="L172" s="1116"/>
      <c r="M172" s="1116"/>
      <c r="N172" s="1116"/>
      <c r="O172" s="1116"/>
      <c r="P172" s="1116"/>
      <c r="Q172" s="1116"/>
      <c r="R172" s="1116"/>
      <c r="S172" s="1117">
        <v>46253</v>
      </c>
      <c r="T172" s="1117">
        <v>46236</v>
      </c>
      <c r="U172" s="1117">
        <v>17</v>
      </c>
      <c r="V172" s="1117">
        <v>0</v>
      </c>
      <c r="W172" s="1117">
        <v>0</v>
      </c>
      <c r="X172" s="1117" t="s">
        <v>2171</v>
      </c>
      <c r="Y172" s="1117" t="s">
        <v>2171</v>
      </c>
      <c r="Z172" s="1117">
        <v>0</v>
      </c>
      <c r="AA172" s="1116"/>
      <c r="AB172" s="1116"/>
      <c r="AC172" s="1116"/>
      <c r="AD172" s="1116"/>
      <c r="AE172" s="1116"/>
      <c r="AF172" s="1140">
        <f t="shared" si="14"/>
        <v>25944.893808523881</v>
      </c>
      <c r="AG172" s="1117">
        <f>'1.1.1 PrimEnLR'!B172*'3.1.1 CO2LR'!$AG$9*Units!$C$47/1000</f>
        <v>25944.893808523881</v>
      </c>
      <c r="AH172" s="1117">
        <f>'1.1.1 PrimEnLR'!C172*'3.1.1 CO2LR'!$AG$9*Units!$C$47/1000</f>
        <v>0</v>
      </c>
      <c r="AI172" s="1117">
        <f>'1.1.1 PrimEnLR'!D172*Units!$C$14*Units!$C$59/1000</f>
        <v>0</v>
      </c>
      <c r="AJ172" s="1116"/>
      <c r="AK172" s="1116"/>
    </row>
    <row r="173" spans="1:37" x14ac:dyDescent="0.35">
      <c r="A173" s="1116">
        <v>1863</v>
      </c>
      <c r="B173" s="1116"/>
      <c r="C173" s="1119"/>
      <c r="D173" s="1119">
        <f t="shared" si="10"/>
        <v>2.4E-2</v>
      </c>
      <c r="E173" s="1119">
        <f t="shared" si="11"/>
        <v>49.164000000000001</v>
      </c>
      <c r="F173" s="1139">
        <f t="shared" si="12"/>
        <v>0</v>
      </c>
      <c r="G173" s="1116"/>
      <c r="H173" s="1139">
        <f t="shared" si="13"/>
        <v>49.188000000000002</v>
      </c>
      <c r="I173" s="1116"/>
      <c r="J173" s="1116"/>
      <c r="K173" s="1116"/>
      <c r="L173" s="1116"/>
      <c r="M173" s="1116"/>
      <c r="N173" s="1116"/>
      <c r="O173" s="1116"/>
      <c r="P173" s="1116"/>
      <c r="Q173" s="1116"/>
      <c r="R173" s="1116"/>
      <c r="S173" s="1117">
        <v>49188</v>
      </c>
      <c r="T173" s="1117">
        <v>49164</v>
      </c>
      <c r="U173" s="1117">
        <v>24</v>
      </c>
      <c r="V173" s="1117">
        <v>0</v>
      </c>
      <c r="W173" s="1117">
        <v>0</v>
      </c>
      <c r="X173" s="1117" t="s">
        <v>2171</v>
      </c>
      <c r="Y173" s="1117" t="s">
        <v>2171</v>
      </c>
      <c r="Z173" s="1117">
        <v>0</v>
      </c>
      <c r="AA173" s="1116"/>
      <c r="AB173" s="1116"/>
      <c r="AC173" s="1116"/>
      <c r="AD173" s="1116"/>
      <c r="AE173" s="1116"/>
      <c r="AF173" s="1140">
        <f t="shared" si="14"/>
        <v>26815.667694005275</v>
      </c>
      <c r="AG173" s="1117">
        <f>'1.1.1 PrimEnLR'!B173*'3.1.1 CO2LR'!$AG$9*Units!$C$47/1000</f>
        <v>26815.667694005275</v>
      </c>
      <c r="AH173" s="1117">
        <f>'1.1.1 PrimEnLR'!C173*'3.1.1 CO2LR'!$AG$9*Units!$C$47/1000</f>
        <v>0</v>
      </c>
      <c r="AI173" s="1117">
        <f>'1.1.1 PrimEnLR'!D173*Units!$C$14*Units!$C$59/1000</f>
        <v>0</v>
      </c>
      <c r="AJ173" s="1116"/>
      <c r="AK173" s="1116"/>
    </row>
    <row r="174" spans="1:37" x14ac:dyDescent="0.35">
      <c r="A174" s="1116">
        <v>1864</v>
      </c>
      <c r="B174" s="1116"/>
      <c r="C174" s="1119"/>
      <c r="D174" s="1119">
        <f t="shared" si="10"/>
        <v>1.4E-2</v>
      </c>
      <c r="E174" s="1119">
        <f t="shared" si="11"/>
        <v>52.908000000000001</v>
      </c>
      <c r="F174" s="1139">
        <f t="shared" si="12"/>
        <v>0</v>
      </c>
      <c r="G174" s="1116"/>
      <c r="H174" s="1139">
        <f t="shared" si="13"/>
        <v>52.922000000000004</v>
      </c>
      <c r="I174" s="1116"/>
      <c r="J174" s="1116"/>
      <c r="K174" s="1116"/>
      <c r="L174" s="1116"/>
      <c r="M174" s="1116"/>
      <c r="N174" s="1116"/>
      <c r="O174" s="1116"/>
      <c r="P174" s="1116"/>
      <c r="Q174" s="1116"/>
      <c r="R174" s="1116"/>
      <c r="S174" s="1117">
        <v>52923</v>
      </c>
      <c r="T174" s="1117">
        <v>52908</v>
      </c>
      <c r="U174" s="1117">
        <v>14</v>
      </c>
      <c r="V174" s="1117">
        <v>0</v>
      </c>
      <c r="W174" s="1117">
        <v>0</v>
      </c>
      <c r="X174" s="1117" t="s">
        <v>2171</v>
      </c>
      <c r="Y174" s="1117" t="s">
        <v>2171</v>
      </c>
      <c r="Z174" s="1117">
        <v>0</v>
      </c>
      <c r="AA174" s="1116"/>
      <c r="AB174" s="1116"/>
      <c r="AC174" s="1116"/>
      <c r="AD174" s="1116"/>
      <c r="AE174" s="1116"/>
      <c r="AF174" s="1140">
        <f t="shared" si="14"/>
        <v>27510.774341291242</v>
      </c>
      <c r="AG174" s="1117">
        <f>'1.1.1 PrimEnLR'!B174*'3.1.1 CO2LR'!$AG$9*Units!$C$47/1000</f>
        <v>27510.774341291242</v>
      </c>
      <c r="AH174" s="1117">
        <f>'1.1.1 PrimEnLR'!C174*'3.1.1 CO2LR'!$AG$9*Units!$C$47/1000</f>
        <v>0</v>
      </c>
      <c r="AI174" s="1117">
        <f>'1.1.1 PrimEnLR'!D174*Units!$C$14*Units!$C$59/1000</f>
        <v>0</v>
      </c>
      <c r="AJ174" s="1116"/>
      <c r="AK174" s="1116"/>
    </row>
    <row r="175" spans="1:37" x14ac:dyDescent="0.35">
      <c r="A175" s="1116">
        <v>1865</v>
      </c>
      <c r="B175" s="1116"/>
      <c r="C175" s="1119"/>
      <c r="D175" s="1119">
        <f t="shared" si="10"/>
        <v>0.01</v>
      </c>
      <c r="E175" s="1119">
        <f t="shared" si="11"/>
        <v>56.073</v>
      </c>
      <c r="F175" s="1139">
        <f t="shared" si="12"/>
        <v>0</v>
      </c>
      <c r="G175" s="1116"/>
      <c r="H175" s="1139">
        <f t="shared" si="13"/>
        <v>56.082999999999998</v>
      </c>
      <c r="I175" s="1116"/>
      <c r="J175" s="1116"/>
      <c r="K175" s="1116"/>
      <c r="L175" s="1116"/>
      <c r="M175" s="1116"/>
      <c r="N175" s="1116"/>
      <c r="O175" s="1116"/>
      <c r="P175" s="1116"/>
      <c r="Q175" s="1116"/>
      <c r="R175" s="1116"/>
      <c r="S175" s="1117">
        <v>56083</v>
      </c>
      <c r="T175" s="1117">
        <v>56073</v>
      </c>
      <c r="U175" s="1117">
        <v>10</v>
      </c>
      <c r="V175" s="1117">
        <v>0</v>
      </c>
      <c r="W175" s="1117">
        <v>0</v>
      </c>
      <c r="X175" s="1117" t="s">
        <v>2171</v>
      </c>
      <c r="Y175" s="1117" t="s">
        <v>2171</v>
      </c>
      <c r="Z175" s="1117">
        <v>0</v>
      </c>
      <c r="AA175" s="1116"/>
      <c r="AB175" s="1116"/>
      <c r="AC175" s="1116"/>
      <c r="AD175" s="1116"/>
      <c r="AE175" s="1116"/>
      <c r="AF175" s="1140">
        <f t="shared" si="14"/>
        <v>28202.04005477707</v>
      </c>
      <c r="AG175" s="1117">
        <f>'1.1.1 PrimEnLR'!B175*'3.1.1 CO2LR'!$AG$9*Units!$C$47/1000</f>
        <v>28202.04005477707</v>
      </c>
      <c r="AH175" s="1117">
        <f>'1.1.1 PrimEnLR'!C175*'3.1.1 CO2LR'!$AG$9*Units!$C$47/1000</f>
        <v>0</v>
      </c>
      <c r="AI175" s="1117">
        <f>'1.1.1 PrimEnLR'!D175*Units!$C$14*Units!$C$59/1000</f>
        <v>0</v>
      </c>
      <c r="AJ175" s="1116"/>
      <c r="AK175" s="1116"/>
    </row>
    <row r="176" spans="1:37" x14ac:dyDescent="0.35">
      <c r="A176" s="1116">
        <v>1866</v>
      </c>
      <c r="B176" s="1116"/>
      <c r="C176" s="1119"/>
      <c r="D176" s="1119">
        <f t="shared" si="10"/>
        <v>2.1000000000000001E-2</v>
      </c>
      <c r="E176" s="1119">
        <f t="shared" si="11"/>
        <v>57.765999999999998</v>
      </c>
      <c r="F176" s="1139">
        <f t="shared" si="12"/>
        <v>0</v>
      </c>
      <c r="G176" s="1116"/>
      <c r="H176" s="1139">
        <f t="shared" si="13"/>
        <v>57.786999999999999</v>
      </c>
      <c r="I176" s="1116"/>
      <c r="J176" s="1116"/>
      <c r="K176" s="1116"/>
      <c r="L176" s="1116"/>
      <c r="M176" s="1116"/>
      <c r="N176" s="1116"/>
      <c r="O176" s="1116"/>
      <c r="P176" s="1116"/>
      <c r="Q176" s="1116"/>
      <c r="R176" s="1116"/>
      <c r="S176" s="1117">
        <v>57787</v>
      </c>
      <c r="T176" s="1117">
        <v>57766</v>
      </c>
      <c r="U176" s="1117">
        <v>21</v>
      </c>
      <c r="V176" s="1117">
        <v>0</v>
      </c>
      <c r="W176" s="1117">
        <v>0</v>
      </c>
      <c r="X176" s="1117" t="s">
        <v>2171</v>
      </c>
      <c r="Y176" s="1117" t="s">
        <v>2171</v>
      </c>
      <c r="Z176" s="1117">
        <v>0</v>
      </c>
      <c r="AA176" s="1116"/>
      <c r="AB176" s="1116"/>
      <c r="AC176" s="1116"/>
      <c r="AD176" s="1116"/>
      <c r="AE176" s="1116"/>
      <c r="AF176" s="1140">
        <f t="shared" si="14"/>
        <v>28801.59978156025</v>
      </c>
      <c r="AG176" s="1117">
        <f>'1.1.1 PrimEnLR'!B176*'3.1.1 CO2LR'!$AG$9*Units!$C$47/1000</f>
        <v>28801.59978156025</v>
      </c>
      <c r="AH176" s="1117">
        <f>'1.1.1 PrimEnLR'!C176*'3.1.1 CO2LR'!$AG$9*Units!$C$47/1000</f>
        <v>0</v>
      </c>
      <c r="AI176" s="1117">
        <f>'1.1.1 PrimEnLR'!D176*Units!$C$14*Units!$C$59/1000</f>
        <v>0</v>
      </c>
      <c r="AJ176" s="1116"/>
      <c r="AK176" s="1116"/>
    </row>
    <row r="177" spans="1:37" x14ac:dyDescent="0.35">
      <c r="A177" s="1116">
        <v>1867</v>
      </c>
      <c r="B177" s="1116"/>
      <c r="C177" s="1119"/>
      <c r="D177" s="1119">
        <f t="shared" si="10"/>
        <v>1.4999999999999999E-2</v>
      </c>
      <c r="E177" s="1119">
        <f t="shared" si="11"/>
        <v>59.311999999999998</v>
      </c>
      <c r="F177" s="1139">
        <f t="shared" si="12"/>
        <v>0</v>
      </c>
      <c r="G177" s="1116"/>
      <c r="H177" s="1139">
        <f t="shared" si="13"/>
        <v>59.326999999999998</v>
      </c>
      <c r="I177" s="1116"/>
      <c r="J177" s="1116"/>
      <c r="K177" s="1116"/>
      <c r="L177" s="1116"/>
      <c r="M177" s="1116"/>
      <c r="N177" s="1116"/>
      <c r="O177" s="1116"/>
      <c r="P177" s="1116"/>
      <c r="Q177" s="1116"/>
      <c r="R177" s="1116"/>
      <c r="S177" s="1117">
        <v>59327</v>
      </c>
      <c r="T177" s="1117">
        <v>59312</v>
      </c>
      <c r="U177" s="1117">
        <v>15</v>
      </c>
      <c r="V177" s="1117">
        <v>0</v>
      </c>
      <c r="W177" s="1117">
        <v>0</v>
      </c>
      <c r="X177" s="1117" t="s">
        <v>2171</v>
      </c>
      <c r="Y177" s="1117" t="s">
        <v>2171</v>
      </c>
      <c r="Z177" s="1117">
        <v>0</v>
      </c>
      <c r="AA177" s="1116"/>
      <c r="AB177" s="1116"/>
      <c r="AC177" s="1116"/>
      <c r="AD177" s="1116"/>
      <c r="AE177" s="1116"/>
      <c r="AF177" s="1140">
        <f t="shared" si="14"/>
        <v>29328.825423124683</v>
      </c>
      <c r="AG177" s="1117">
        <f>'1.1.1 PrimEnLR'!B177*'3.1.1 CO2LR'!$AG$9*Units!$C$47/1000</f>
        <v>29328.825423124683</v>
      </c>
      <c r="AH177" s="1117">
        <f>'1.1.1 PrimEnLR'!C177*'3.1.1 CO2LR'!$AG$9*Units!$C$47/1000</f>
        <v>0</v>
      </c>
      <c r="AI177" s="1117">
        <f>'1.1.1 PrimEnLR'!D177*Units!$C$14*Units!$C$59/1000</f>
        <v>0</v>
      </c>
      <c r="AJ177" s="1116"/>
      <c r="AK177" s="1116"/>
    </row>
    <row r="178" spans="1:37" x14ac:dyDescent="0.35">
      <c r="A178" s="1116">
        <v>1868</v>
      </c>
      <c r="B178" s="1116"/>
      <c r="C178" s="1119"/>
      <c r="D178" s="1119">
        <f t="shared" si="10"/>
        <v>1.4E-2</v>
      </c>
      <c r="E178" s="1119">
        <f t="shared" si="11"/>
        <v>58.179000000000002</v>
      </c>
      <c r="F178" s="1139">
        <f t="shared" si="12"/>
        <v>0</v>
      </c>
      <c r="G178" s="1116"/>
      <c r="H178" s="1139">
        <f t="shared" si="13"/>
        <v>58.193000000000005</v>
      </c>
      <c r="I178" s="1116"/>
      <c r="J178" s="1116"/>
      <c r="K178" s="1116"/>
      <c r="L178" s="1116"/>
      <c r="M178" s="1116"/>
      <c r="N178" s="1116"/>
      <c r="O178" s="1116"/>
      <c r="P178" s="1116"/>
      <c r="Q178" s="1116"/>
      <c r="R178" s="1116"/>
      <c r="S178" s="1117">
        <v>58193</v>
      </c>
      <c r="T178" s="1117">
        <v>58179</v>
      </c>
      <c r="U178" s="1117">
        <v>14</v>
      </c>
      <c r="V178" s="1117">
        <v>0</v>
      </c>
      <c r="W178" s="1117">
        <v>0</v>
      </c>
      <c r="X178" s="1117" t="s">
        <v>2171</v>
      </c>
      <c r="Y178" s="1117" t="s">
        <v>2171</v>
      </c>
      <c r="Z178" s="1117">
        <v>0</v>
      </c>
      <c r="AA178" s="1116"/>
      <c r="AB178" s="1116"/>
      <c r="AC178" s="1116"/>
      <c r="AD178" s="1116"/>
      <c r="AE178" s="1116"/>
      <c r="AF178" s="1140">
        <f t="shared" si="14"/>
        <v>29889.155042953338</v>
      </c>
      <c r="AG178" s="1117">
        <f>'1.1.1 PrimEnLR'!B178*'3.1.1 CO2LR'!$AG$9*Units!$C$47/1000</f>
        <v>29889.155042953338</v>
      </c>
      <c r="AH178" s="1117">
        <f>'1.1.1 PrimEnLR'!C178*'3.1.1 CO2LR'!$AG$9*Units!$C$47/1000</f>
        <v>0</v>
      </c>
      <c r="AI178" s="1117">
        <f>'1.1.1 PrimEnLR'!D178*Units!$C$14*Units!$C$59/1000</f>
        <v>0</v>
      </c>
      <c r="AJ178" s="1116"/>
      <c r="AK178" s="1116"/>
    </row>
    <row r="179" spans="1:37" x14ac:dyDescent="0.35">
      <c r="A179" s="1116">
        <v>1869</v>
      </c>
      <c r="B179" s="1116"/>
      <c r="C179" s="1119"/>
      <c r="D179" s="1119">
        <f t="shared" si="10"/>
        <v>1.7999999999999999E-2</v>
      </c>
      <c r="E179" s="1119">
        <f t="shared" si="11"/>
        <v>61.036999999999999</v>
      </c>
      <c r="F179" s="1139">
        <f t="shared" si="12"/>
        <v>0</v>
      </c>
      <c r="G179" s="1116"/>
      <c r="H179" s="1139">
        <f t="shared" si="13"/>
        <v>61.055</v>
      </c>
      <c r="I179" s="1116"/>
      <c r="J179" s="1116"/>
      <c r="K179" s="1116"/>
      <c r="L179" s="1116"/>
      <c r="M179" s="1116"/>
      <c r="N179" s="1116"/>
      <c r="O179" s="1116"/>
      <c r="P179" s="1116"/>
      <c r="Q179" s="1116"/>
      <c r="R179" s="1116"/>
      <c r="S179" s="1117">
        <v>61055</v>
      </c>
      <c r="T179" s="1117">
        <v>61037</v>
      </c>
      <c r="U179" s="1117">
        <v>18</v>
      </c>
      <c r="V179" s="1117">
        <v>0</v>
      </c>
      <c r="W179" s="1117">
        <v>0</v>
      </c>
      <c r="X179" s="1117" t="s">
        <v>2171</v>
      </c>
      <c r="Y179" s="1117" t="s">
        <v>2171</v>
      </c>
      <c r="Z179" s="1117">
        <v>0</v>
      </c>
      <c r="AA179" s="1116"/>
      <c r="AB179" s="1116"/>
      <c r="AC179" s="1116"/>
      <c r="AD179" s="1116"/>
      <c r="AE179" s="1116"/>
      <c r="AF179" s="1140">
        <f t="shared" si="14"/>
        <v>30584.942891551978</v>
      </c>
      <c r="AG179" s="1117">
        <f>'1.1.1 PrimEnLR'!B179*'3.1.1 CO2LR'!$AG$9*Units!$C$47/1000</f>
        <v>30584.942891551978</v>
      </c>
      <c r="AH179" s="1117">
        <f>'1.1.1 PrimEnLR'!C179*'3.1.1 CO2LR'!$AG$9*Units!$C$47/1000</f>
        <v>0</v>
      </c>
      <c r="AI179" s="1117">
        <f>'1.1.1 PrimEnLR'!D179*Units!$C$14*Units!$C$59/1000</f>
        <v>0</v>
      </c>
      <c r="AJ179" s="1116"/>
      <c r="AK179" s="1116"/>
    </row>
    <row r="180" spans="1:37" x14ac:dyDescent="0.35">
      <c r="A180" s="1116">
        <v>1870</v>
      </c>
      <c r="B180" s="1116"/>
      <c r="C180" s="1119"/>
      <c r="D180" s="1119">
        <f t="shared" si="10"/>
        <v>2.3E-2</v>
      </c>
      <c r="E180" s="1119">
        <f t="shared" si="11"/>
        <v>62.34</v>
      </c>
      <c r="F180" s="1139">
        <f t="shared" si="12"/>
        <v>0</v>
      </c>
      <c r="G180" s="1116"/>
      <c r="H180" s="1139">
        <f t="shared" si="13"/>
        <v>62.363000000000007</v>
      </c>
      <c r="I180" s="1116"/>
      <c r="J180" s="1116"/>
      <c r="K180" s="1116"/>
      <c r="L180" s="1116"/>
      <c r="M180" s="1116"/>
      <c r="N180" s="1116"/>
      <c r="O180" s="1116"/>
      <c r="P180" s="1116"/>
      <c r="Q180" s="1116"/>
      <c r="R180" s="1116"/>
      <c r="S180" s="1117">
        <v>62362</v>
      </c>
      <c r="T180" s="1117">
        <v>62340</v>
      </c>
      <c r="U180" s="1117">
        <v>23</v>
      </c>
      <c r="V180" s="1117">
        <v>0</v>
      </c>
      <c r="W180" s="1117">
        <v>0</v>
      </c>
      <c r="X180" s="1117" t="s">
        <v>2171</v>
      </c>
      <c r="Y180" s="1117" t="s">
        <v>2171</v>
      </c>
      <c r="Z180" s="1117">
        <v>0</v>
      </c>
      <c r="AA180" s="1116"/>
      <c r="AB180" s="1116"/>
      <c r="AC180" s="1116"/>
      <c r="AD180" s="1116"/>
      <c r="AE180" s="1116"/>
      <c r="AF180" s="1140">
        <f t="shared" si="14"/>
        <v>31335.856420751115</v>
      </c>
      <c r="AG180" s="1117">
        <f>'1.1.1 PrimEnLR'!B180*'3.1.1 CO2LR'!$AG$9*Units!$C$47/1000</f>
        <v>31318.524857159933</v>
      </c>
      <c r="AH180" s="1117">
        <f>'1.1.1 PrimEnLR'!C180*'3.1.1 CO2LR'!$AG$9*Units!$C$47/1000</f>
        <v>17.331563591180579</v>
      </c>
      <c r="AI180" s="1117">
        <f>'1.1.1 PrimEnLR'!D180*Units!$C$14*Units!$C$59/1000</f>
        <v>0</v>
      </c>
      <c r="AJ180" s="1116"/>
      <c r="AK180" s="1116"/>
    </row>
    <row r="181" spans="1:37" x14ac:dyDescent="0.35">
      <c r="A181" s="1116">
        <v>1871</v>
      </c>
      <c r="B181" s="1116"/>
      <c r="C181" s="1119"/>
      <c r="D181" s="1119">
        <f t="shared" si="10"/>
        <v>2.9000000000000001E-2</v>
      </c>
      <c r="E181" s="1119">
        <f t="shared" si="11"/>
        <v>66.028999999999996</v>
      </c>
      <c r="F181" s="1139">
        <f t="shared" si="12"/>
        <v>0</v>
      </c>
      <c r="G181" s="1116"/>
      <c r="H181" s="1139">
        <f t="shared" si="13"/>
        <v>66.057999999999993</v>
      </c>
      <c r="I181" s="1116"/>
      <c r="J181" s="1116"/>
      <c r="K181" s="1116"/>
      <c r="L181" s="1116"/>
      <c r="M181" s="1116"/>
      <c r="N181" s="1116"/>
      <c r="O181" s="1116"/>
      <c r="P181" s="1116"/>
      <c r="Q181" s="1116"/>
      <c r="R181" s="1116"/>
      <c r="S181" s="1117">
        <v>66058</v>
      </c>
      <c r="T181" s="1117">
        <v>66029</v>
      </c>
      <c r="U181" s="1117">
        <v>29</v>
      </c>
      <c r="V181" s="1117">
        <v>0</v>
      </c>
      <c r="W181" s="1117">
        <v>0</v>
      </c>
      <c r="X181" s="1117" t="s">
        <v>2171</v>
      </c>
      <c r="Y181" s="1117" t="s">
        <v>2171</v>
      </c>
      <c r="Z181" s="1117">
        <v>0</v>
      </c>
      <c r="AA181" s="1116"/>
      <c r="AB181" s="1116"/>
      <c r="AC181" s="1116"/>
      <c r="AD181" s="1116"/>
      <c r="AE181" s="1116"/>
      <c r="AF181" s="1140">
        <f t="shared" si="14"/>
        <v>32178.789973368079</v>
      </c>
      <c r="AG181" s="1117">
        <f>'1.1.1 PrimEnLR'!B181*'3.1.1 CO2LR'!$AG$9*Units!$C$47/1000</f>
        <v>32156.506534465134</v>
      </c>
      <c r="AH181" s="1117">
        <f>'1.1.1 PrimEnLR'!C181*'3.1.1 CO2LR'!$AG$9*Units!$C$47/1000</f>
        <v>22.283438902946461</v>
      </c>
      <c r="AI181" s="1117">
        <f>'1.1.1 PrimEnLR'!D181*Units!$C$14*Units!$C$59/1000</f>
        <v>0</v>
      </c>
      <c r="AJ181" s="1116"/>
      <c r="AK181" s="1116"/>
    </row>
    <row r="182" spans="1:37" x14ac:dyDescent="0.35">
      <c r="A182" s="1116">
        <v>1872</v>
      </c>
      <c r="B182" s="1116"/>
      <c r="C182" s="1119"/>
      <c r="D182" s="1119">
        <f t="shared" si="10"/>
        <v>2.1000000000000001E-2</v>
      </c>
      <c r="E182" s="1119">
        <f t="shared" si="11"/>
        <v>69.572000000000003</v>
      </c>
      <c r="F182" s="1139">
        <f t="shared" si="12"/>
        <v>0</v>
      </c>
      <c r="G182" s="1116"/>
      <c r="H182" s="1139">
        <f t="shared" si="13"/>
        <v>69.593000000000004</v>
      </c>
      <c r="I182" s="1116"/>
      <c r="J182" s="1116"/>
      <c r="K182" s="1116"/>
      <c r="L182" s="1116"/>
      <c r="M182" s="1116"/>
      <c r="N182" s="1116"/>
      <c r="O182" s="1116"/>
      <c r="P182" s="1116"/>
      <c r="Q182" s="1116"/>
      <c r="R182" s="1116"/>
      <c r="S182" s="1117">
        <v>69593</v>
      </c>
      <c r="T182" s="1117">
        <v>69572</v>
      </c>
      <c r="U182" s="1117">
        <v>21</v>
      </c>
      <c r="V182" s="1117">
        <v>0</v>
      </c>
      <c r="W182" s="1117">
        <v>0</v>
      </c>
      <c r="X182" s="1117" t="s">
        <v>2171</v>
      </c>
      <c r="Y182" s="1117" t="s">
        <v>2171</v>
      </c>
      <c r="Z182" s="1117">
        <v>0</v>
      </c>
      <c r="AA182" s="1116"/>
      <c r="AB182" s="1116"/>
      <c r="AC182" s="1116"/>
      <c r="AD182" s="1116"/>
      <c r="AE182" s="1116"/>
      <c r="AF182" s="1140">
        <f t="shared" si="14"/>
        <v>32881.847225720478</v>
      </c>
      <c r="AG182" s="1117">
        <f>'1.1.1 PrimEnLR'!B182*'3.1.1 CO2LR'!$AG$9*Units!$C$47/1000</f>
        <v>32865.753630957239</v>
      </c>
      <c r="AH182" s="1117">
        <f>'1.1.1 PrimEnLR'!C182*'3.1.1 CO2LR'!$AG$9*Units!$C$47/1000</f>
        <v>16.093594763239111</v>
      </c>
      <c r="AI182" s="1117">
        <f>'1.1.1 PrimEnLR'!D182*Units!$C$14*Units!$C$59/1000</f>
        <v>0</v>
      </c>
      <c r="AJ182" s="1116"/>
      <c r="AK182" s="1116"/>
    </row>
    <row r="183" spans="1:37" x14ac:dyDescent="0.35">
      <c r="A183" s="1116">
        <v>1873</v>
      </c>
      <c r="B183" s="1116"/>
      <c r="C183" s="1119"/>
      <c r="D183" s="1119">
        <f t="shared" si="10"/>
        <v>5.3999999999999999E-2</v>
      </c>
      <c r="E183" s="1119">
        <f t="shared" si="11"/>
        <v>72.177999999999997</v>
      </c>
      <c r="F183" s="1139">
        <f t="shared" si="12"/>
        <v>0</v>
      </c>
      <c r="G183" s="1116"/>
      <c r="H183" s="1139">
        <f t="shared" si="13"/>
        <v>72.231999999999999</v>
      </c>
      <c r="I183" s="1116"/>
      <c r="J183" s="1116"/>
      <c r="K183" s="1116"/>
      <c r="L183" s="1116"/>
      <c r="M183" s="1116"/>
      <c r="N183" s="1116"/>
      <c r="O183" s="1116"/>
      <c r="P183" s="1116"/>
      <c r="Q183" s="1116"/>
      <c r="R183" s="1116"/>
      <c r="S183" s="1117">
        <v>72232</v>
      </c>
      <c r="T183" s="1117">
        <v>72178</v>
      </c>
      <c r="U183" s="1117">
        <v>54</v>
      </c>
      <c r="V183" s="1117">
        <v>0</v>
      </c>
      <c r="W183" s="1117">
        <v>0</v>
      </c>
      <c r="X183" s="1117" t="s">
        <v>2171</v>
      </c>
      <c r="Y183" s="1117" t="s">
        <v>2171</v>
      </c>
      <c r="Z183" s="1117">
        <v>0</v>
      </c>
      <c r="AA183" s="1116"/>
      <c r="AB183" s="1116"/>
      <c r="AC183" s="1116"/>
      <c r="AD183" s="1116"/>
      <c r="AE183" s="1116"/>
      <c r="AF183" s="1140">
        <f t="shared" si="14"/>
        <v>33786.63784495939</v>
      </c>
      <c r="AG183" s="1117">
        <f>'1.1.1 PrimEnLR'!B183*'3.1.1 CO2LR'!$AG$9*Units!$C$47/1000</f>
        <v>33744.54690480938</v>
      </c>
      <c r="AH183" s="1117">
        <f>'1.1.1 PrimEnLR'!C183*'3.1.1 CO2LR'!$AG$9*Units!$C$47/1000</f>
        <v>42.090940150009978</v>
      </c>
      <c r="AI183" s="1117">
        <f>'1.1.1 PrimEnLR'!D183*Units!$C$14*Units!$C$59/1000</f>
        <v>0</v>
      </c>
      <c r="AJ183" s="1116"/>
      <c r="AK183" s="1116"/>
    </row>
    <row r="184" spans="1:37" x14ac:dyDescent="0.35">
      <c r="A184" s="1116">
        <v>1874</v>
      </c>
      <c r="B184" s="1116"/>
      <c r="C184" s="1119"/>
      <c r="D184" s="1119">
        <f t="shared" si="10"/>
        <v>7.0000000000000007E-2</v>
      </c>
      <c r="E184" s="1119">
        <f t="shared" si="11"/>
        <v>70.123000000000005</v>
      </c>
      <c r="F184" s="1139">
        <f t="shared" si="12"/>
        <v>0</v>
      </c>
      <c r="G184" s="1116"/>
      <c r="H184" s="1139">
        <f t="shared" si="13"/>
        <v>70.192999999999998</v>
      </c>
      <c r="I184" s="1116"/>
      <c r="J184" s="1116"/>
      <c r="K184" s="1116"/>
      <c r="L184" s="1116"/>
      <c r="M184" s="1116"/>
      <c r="N184" s="1116"/>
      <c r="O184" s="1116"/>
      <c r="P184" s="1116"/>
      <c r="Q184" s="1116"/>
      <c r="R184" s="1116"/>
      <c r="S184" s="1117">
        <v>70193</v>
      </c>
      <c r="T184" s="1117">
        <v>70123</v>
      </c>
      <c r="U184" s="1117">
        <v>70</v>
      </c>
      <c r="V184" s="1117">
        <v>0</v>
      </c>
      <c r="W184" s="1117">
        <v>0</v>
      </c>
      <c r="X184" s="1117" t="s">
        <v>2171</v>
      </c>
      <c r="Y184" s="1117" t="s">
        <v>2171</v>
      </c>
      <c r="Z184" s="1117">
        <v>0</v>
      </c>
      <c r="AA184" s="1116"/>
      <c r="AB184" s="1116"/>
      <c r="AC184" s="1116"/>
      <c r="AD184" s="1116"/>
      <c r="AE184" s="1116"/>
      <c r="AF184" s="1140">
        <f t="shared" si="14"/>
        <v>34078.713771609175</v>
      </c>
      <c r="AG184" s="1117">
        <f>'1.1.1 PrimEnLR'!B184*'3.1.1 CO2LR'!$AG$9*Units!$C$47/1000</f>
        <v>34024.862127593718</v>
      </c>
      <c r="AH184" s="1117">
        <f>'1.1.1 PrimEnLR'!C184*'3.1.1 CO2LR'!$AG$9*Units!$C$47/1000</f>
        <v>53.851644015453942</v>
      </c>
      <c r="AI184" s="1117">
        <f>'1.1.1 PrimEnLR'!D184*Units!$C$14*Units!$C$59/1000</f>
        <v>0</v>
      </c>
      <c r="AJ184" s="1116"/>
      <c r="AK184" s="1116"/>
    </row>
    <row r="185" spans="1:37" x14ac:dyDescent="0.35">
      <c r="A185" s="1116">
        <v>1875</v>
      </c>
      <c r="B185" s="1116"/>
      <c r="C185" s="1119"/>
      <c r="D185" s="1119">
        <f t="shared" si="10"/>
        <v>6.4000000000000001E-2</v>
      </c>
      <c r="E185" s="1119">
        <f t="shared" si="11"/>
        <v>74.033000000000001</v>
      </c>
      <c r="F185" s="1139">
        <f t="shared" si="12"/>
        <v>0</v>
      </c>
      <c r="G185" s="1116"/>
      <c r="H185" s="1139">
        <f t="shared" si="13"/>
        <v>74.096999999999994</v>
      </c>
      <c r="I185" s="1116"/>
      <c r="J185" s="1116"/>
      <c r="K185" s="1116"/>
      <c r="L185" s="1116"/>
      <c r="M185" s="1116"/>
      <c r="N185" s="1116"/>
      <c r="O185" s="1116"/>
      <c r="P185" s="1116"/>
      <c r="Q185" s="1116"/>
      <c r="R185" s="1116"/>
      <c r="S185" s="1117">
        <v>74096</v>
      </c>
      <c r="T185" s="1117">
        <v>74033</v>
      </c>
      <c r="U185" s="1117">
        <v>64</v>
      </c>
      <c r="V185" s="1117">
        <v>0</v>
      </c>
      <c r="W185" s="1117">
        <v>0</v>
      </c>
      <c r="X185" s="1117" t="s">
        <v>2171</v>
      </c>
      <c r="Y185" s="1117" t="s">
        <v>2171</v>
      </c>
      <c r="Z185" s="1117">
        <v>0</v>
      </c>
      <c r="AA185" s="1116"/>
      <c r="AB185" s="1116"/>
      <c r="AC185" s="1116"/>
      <c r="AD185" s="1116"/>
      <c r="AE185" s="1116"/>
      <c r="AF185" s="1140">
        <f t="shared" si="14"/>
        <v>34990.273138666875</v>
      </c>
      <c r="AG185" s="1117">
        <f>'1.1.1 PrimEnLR'!B185*'3.1.1 CO2LR'!$AG$9*Units!$C$47/1000</f>
        <v>34941.373369963185</v>
      </c>
      <c r="AH185" s="1117">
        <f>'1.1.1 PrimEnLR'!C185*'3.1.1 CO2LR'!$AG$9*Units!$C$47/1000</f>
        <v>48.899768703688068</v>
      </c>
      <c r="AI185" s="1117">
        <f>'1.1.1 PrimEnLR'!D185*Units!$C$14*Units!$C$59/1000</f>
        <v>0</v>
      </c>
      <c r="AJ185" s="1116"/>
      <c r="AK185" s="1116"/>
    </row>
    <row r="186" spans="1:37" x14ac:dyDescent="0.35">
      <c r="A186" s="1116">
        <v>1876</v>
      </c>
      <c r="B186" s="1116"/>
      <c r="C186" s="1119"/>
      <c r="D186" s="1119">
        <f t="shared" si="10"/>
        <v>8.2000000000000003E-2</v>
      </c>
      <c r="E186" s="1119">
        <f t="shared" si="11"/>
        <v>73.885999999999996</v>
      </c>
      <c r="F186" s="1139">
        <f t="shared" si="12"/>
        <v>0</v>
      </c>
      <c r="G186" s="1116"/>
      <c r="H186" s="1139">
        <f t="shared" si="13"/>
        <v>73.967999999999989</v>
      </c>
      <c r="I186" s="1116"/>
      <c r="J186" s="1116"/>
      <c r="K186" s="1116"/>
      <c r="L186" s="1116"/>
      <c r="M186" s="1116"/>
      <c r="N186" s="1116"/>
      <c r="O186" s="1116"/>
      <c r="P186" s="1116"/>
      <c r="Q186" s="1116"/>
      <c r="R186" s="1116"/>
      <c r="S186" s="1117">
        <v>73968</v>
      </c>
      <c r="T186" s="1117">
        <v>73886</v>
      </c>
      <c r="U186" s="1117">
        <v>82</v>
      </c>
      <c r="V186" s="1117">
        <v>0</v>
      </c>
      <c r="W186" s="1117">
        <v>0</v>
      </c>
      <c r="X186" s="1117" t="s">
        <v>2171</v>
      </c>
      <c r="Y186" s="1117" t="s">
        <v>2171</v>
      </c>
      <c r="Z186" s="1117">
        <v>0</v>
      </c>
      <c r="AA186" s="1116"/>
      <c r="AB186" s="1116"/>
      <c r="AC186" s="1116"/>
      <c r="AD186" s="1116"/>
      <c r="AE186" s="1116"/>
      <c r="AF186" s="1140">
        <f t="shared" si="14"/>
        <v>35336.062727710952</v>
      </c>
      <c r="AG186" s="1117">
        <f>'1.1.1 PrimEnLR'!B186*'3.1.1 CO2LR'!$AG$9*Units!$C$47/1000</f>
        <v>35272.307333071964</v>
      </c>
      <c r="AH186" s="1117">
        <f>'1.1.1 PrimEnLR'!C186*'3.1.1 CO2LR'!$AG$9*Units!$C$47/1000</f>
        <v>63.755394638985699</v>
      </c>
      <c r="AI186" s="1117">
        <f>'1.1.1 PrimEnLR'!D186*Units!$C$14*Units!$C$59/1000</f>
        <v>0</v>
      </c>
      <c r="AJ186" s="1116"/>
      <c r="AK186" s="1116"/>
    </row>
    <row r="187" spans="1:37" x14ac:dyDescent="0.35">
      <c r="A187" s="1116">
        <v>1877</v>
      </c>
      <c r="B187" s="1116"/>
      <c r="C187" s="1119"/>
      <c r="D187" s="1119">
        <f t="shared" si="10"/>
        <v>0.111</v>
      </c>
      <c r="E187" s="1119">
        <f t="shared" si="11"/>
        <v>75.188999999999993</v>
      </c>
      <c r="F187" s="1139">
        <f t="shared" si="12"/>
        <v>0</v>
      </c>
      <c r="G187" s="1116"/>
      <c r="H187" s="1139">
        <f t="shared" si="13"/>
        <v>75.3</v>
      </c>
      <c r="I187" s="1116"/>
      <c r="J187" s="1116"/>
      <c r="K187" s="1116"/>
      <c r="L187" s="1116"/>
      <c r="M187" s="1116"/>
      <c r="N187" s="1116"/>
      <c r="O187" s="1116"/>
      <c r="P187" s="1116"/>
      <c r="Q187" s="1116"/>
      <c r="R187" s="1116"/>
      <c r="S187" s="1117">
        <v>75300</v>
      </c>
      <c r="T187" s="1117">
        <v>75189</v>
      </c>
      <c r="U187" s="1117">
        <v>111</v>
      </c>
      <c r="V187" s="1117">
        <v>0</v>
      </c>
      <c r="W187" s="1117">
        <v>0</v>
      </c>
      <c r="X187" s="1117" t="s">
        <v>2171</v>
      </c>
      <c r="Y187" s="1117" t="s">
        <v>2171</v>
      </c>
      <c r="Z187" s="1117">
        <v>0</v>
      </c>
      <c r="AA187" s="1116"/>
      <c r="AB187" s="1116"/>
      <c r="AC187" s="1116"/>
      <c r="AD187" s="1116"/>
      <c r="AE187" s="1116"/>
      <c r="AF187" s="1140">
        <f t="shared" si="14"/>
        <v>35871.040815546468</v>
      </c>
      <c r="AG187" s="1117">
        <f>'1.1.1 PrimEnLR'!B187*'3.1.1 CO2LR'!$AG$9*Units!$C$47/1000</f>
        <v>35786.239950832474</v>
      </c>
      <c r="AH187" s="1117">
        <f>'1.1.1 PrimEnLR'!C187*'3.1.1 CO2LR'!$AG$9*Units!$C$47/1000</f>
        <v>84.800864713990691</v>
      </c>
      <c r="AI187" s="1117">
        <f>'1.1.1 PrimEnLR'!D187*Units!$C$14*Units!$C$59/1000</f>
        <v>0</v>
      </c>
      <c r="AJ187" s="1116"/>
      <c r="AK187" s="1116"/>
    </row>
    <row r="188" spans="1:37" x14ac:dyDescent="0.35">
      <c r="A188" s="1116">
        <v>1878</v>
      </c>
      <c r="B188" s="1116"/>
      <c r="C188" s="1119"/>
      <c r="D188" s="1119">
        <f t="shared" ref="D188:D251" si="15">U188/1000</f>
        <v>9.9000000000000005E-2</v>
      </c>
      <c r="E188" s="1119">
        <f t="shared" ref="E188:E251" si="16">T188/1000</f>
        <v>73.856999999999999</v>
      </c>
      <c r="F188" s="1139">
        <f t="shared" ref="F188:F251" si="17">W188/1000</f>
        <v>0</v>
      </c>
      <c r="G188" s="1116"/>
      <c r="H188" s="1139">
        <f t="shared" ref="H188:H251" si="18">SUM(C188:G188)</f>
        <v>73.956000000000003</v>
      </c>
      <c r="I188" s="1116"/>
      <c r="J188" s="1116"/>
      <c r="K188" s="1116"/>
      <c r="L188" s="1116"/>
      <c r="M188" s="1116"/>
      <c r="N188" s="1116"/>
      <c r="O188" s="1116"/>
      <c r="P188" s="1116"/>
      <c r="Q188" s="1116"/>
      <c r="R188" s="1116"/>
      <c r="S188" s="1117">
        <v>73956</v>
      </c>
      <c r="T188" s="1117">
        <v>73857</v>
      </c>
      <c r="U188" s="1117">
        <v>99</v>
      </c>
      <c r="V188" s="1117">
        <v>0</v>
      </c>
      <c r="W188" s="1117">
        <v>0</v>
      </c>
      <c r="X188" s="1117" t="s">
        <v>2171</v>
      </c>
      <c r="Y188" s="1117" t="s">
        <v>2171</v>
      </c>
      <c r="Z188" s="1117">
        <v>0</v>
      </c>
      <c r="AA188" s="1116"/>
      <c r="AB188" s="1116"/>
      <c r="AC188" s="1116"/>
      <c r="AD188" s="1116"/>
      <c r="AE188" s="1116"/>
      <c r="AF188" s="1140">
        <f t="shared" si="14"/>
        <v>36137.764301767238</v>
      </c>
      <c r="AG188" s="1117">
        <f>'1.1.1 PrimEnLR'!B188*'3.1.1 CO2LR'!$AG$9*Units!$C$47/1000</f>
        <v>36061.629218848837</v>
      </c>
      <c r="AH188" s="1117">
        <f>'1.1.1 PrimEnLR'!C188*'3.1.1 CO2LR'!$AG$9*Units!$C$47/1000</f>
        <v>76.135082918400414</v>
      </c>
      <c r="AI188" s="1117">
        <f>'1.1.1 PrimEnLR'!D188*Units!$C$14*Units!$C$59/1000</f>
        <v>0</v>
      </c>
      <c r="AJ188" s="1116"/>
      <c r="AK188" s="1116"/>
    </row>
    <row r="189" spans="1:37" x14ac:dyDescent="0.35">
      <c r="A189" s="1116">
        <v>1879</v>
      </c>
      <c r="B189" s="1116"/>
      <c r="C189" s="1119"/>
      <c r="D189" s="1119">
        <f t="shared" si="15"/>
        <v>0.14099999999999999</v>
      </c>
      <c r="E189" s="1119">
        <f t="shared" si="16"/>
        <v>74.271000000000001</v>
      </c>
      <c r="F189" s="1139">
        <f t="shared" si="17"/>
        <v>0</v>
      </c>
      <c r="G189" s="1116"/>
      <c r="H189" s="1139">
        <f t="shared" si="18"/>
        <v>74.412000000000006</v>
      </c>
      <c r="I189" s="1116"/>
      <c r="J189" s="1116"/>
      <c r="K189" s="1116"/>
      <c r="L189" s="1116"/>
      <c r="M189" s="1116"/>
      <c r="N189" s="1116"/>
      <c r="O189" s="1116"/>
      <c r="P189" s="1116"/>
      <c r="Q189" s="1116"/>
      <c r="R189" s="1116"/>
      <c r="S189" s="1117">
        <v>74412</v>
      </c>
      <c r="T189" s="1117">
        <v>74271</v>
      </c>
      <c r="U189" s="1117">
        <v>141</v>
      </c>
      <c r="V189" s="1117">
        <v>0</v>
      </c>
      <c r="W189" s="1117">
        <v>0</v>
      </c>
      <c r="X189" s="1117" t="s">
        <v>2171</v>
      </c>
      <c r="Y189" s="1117" t="s">
        <v>2171</v>
      </c>
      <c r="Z189" s="1117">
        <v>0</v>
      </c>
      <c r="AA189" s="1116"/>
      <c r="AB189" s="1116"/>
      <c r="AC189" s="1116"/>
      <c r="AD189" s="1116"/>
      <c r="AE189" s="1116"/>
      <c r="AF189" s="1140">
        <f t="shared" si="14"/>
        <v>36594.338311776286</v>
      </c>
      <c r="AG189" s="1117">
        <f>'1.1.1 PrimEnLR'!B189*'3.1.1 CO2LR'!$AG$9*Units!$C$47/1000</f>
        <v>36485.397054917434</v>
      </c>
      <c r="AH189" s="1117">
        <f>'1.1.1 PrimEnLR'!C189*'3.1.1 CO2LR'!$AG$9*Units!$C$47/1000</f>
        <v>108.94125685884936</v>
      </c>
      <c r="AI189" s="1117">
        <f>'1.1.1 PrimEnLR'!D189*Units!$C$14*Units!$C$59/1000</f>
        <v>0</v>
      </c>
      <c r="AJ189" s="1116"/>
      <c r="AK189" s="1116"/>
    </row>
    <row r="190" spans="1:37" x14ac:dyDescent="0.35">
      <c r="A190" s="1116">
        <v>1880</v>
      </c>
      <c r="B190" s="1116"/>
      <c r="C190" s="1119"/>
      <c r="D190" s="1119">
        <f t="shared" si="15"/>
        <v>0.127</v>
      </c>
      <c r="E190" s="1119">
        <f t="shared" si="16"/>
        <v>80.965999999999994</v>
      </c>
      <c r="F190" s="1139">
        <f t="shared" si="17"/>
        <v>0</v>
      </c>
      <c r="G190" s="1116"/>
      <c r="H190" s="1139">
        <f t="shared" si="18"/>
        <v>81.092999999999989</v>
      </c>
      <c r="I190" s="1116"/>
      <c r="J190" s="1116"/>
      <c r="K190" s="1116"/>
      <c r="L190" s="1116"/>
      <c r="M190" s="1116"/>
      <c r="N190" s="1116"/>
      <c r="O190" s="1116"/>
      <c r="P190" s="1116"/>
      <c r="Q190" s="1116"/>
      <c r="R190" s="1116"/>
      <c r="S190" s="1117">
        <v>81093</v>
      </c>
      <c r="T190" s="1117">
        <v>80966</v>
      </c>
      <c r="U190" s="1117">
        <v>127</v>
      </c>
      <c r="V190" s="1117">
        <v>0</v>
      </c>
      <c r="W190" s="1117">
        <v>0</v>
      </c>
      <c r="X190" s="1117" t="s">
        <v>2171</v>
      </c>
      <c r="Y190" s="1117" t="s">
        <v>2171</v>
      </c>
      <c r="Z190" s="1117">
        <v>0</v>
      </c>
      <c r="AA190" s="1116"/>
      <c r="AB190" s="1116"/>
      <c r="AC190" s="1116"/>
      <c r="AD190" s="1116"/>
      <c r="AE190" s="1116"/>
      <c r="AF190" s="1140">
        <f t="shared" si="14"/>
        <v>37943.568228679113</v>
      </c>
      <c r="AG190" s="1117">
        <f>'1.1.1 PrimEnLR'!B190*'3.1.1 CO2LR'!$AG$9*Units!$C$47/1000</f>
        <v>37847.625644513646</v>
      </c>
      <c r="AH190" s="1117">
        <f>'1.1.1 PrimEnLR'!C190*'3.1.1 CO2LR'!$AG$9*Units!$C$47/1000</f>
        <v>95.942584165463941</v>
      </c>
      <c r="AI190" s="1117">
        <f>'1.1.1 PrimEnLR'!D190*Units!$C$14*Units!$C$59/1000</f>
        <v>0</v>
      </c>
      <c r="AJ190" s="1116"/>
      <c r="AK190" s="1116"/>
    </row>
    <row r="191" spans="1:37" x14ac:dyDescent="0.35">
      <c r="A191" s="1116">
        <v>1881</v>
      </c>
      <c r="B191" s="1116"/>
      <c r="C191" s="1119"/>
      <c r="D191" s="1119">
        <f t="shared" si="15"/>
        <v>0.193</v>
      </c>
      <c r="E191" s="1119">
        <f t="shared" si="16"/>
        <v>85.045000000000002</v>
      </c>
      <c r="F191" s="1139">
        <f t="shared" si="17"/>
        <v>0</v>
      </c>
      <c r="G191" s="1116"/>
      <c r="H191" s="1139">
        <f t="shared" si="18"/>
        <v>85.238</v>
      </c>
      <c r="I191" s="1116"/>
      <c r="J191" s="1116"/>
      <c r="K191" s="1116"/>
      <c r="L191" s="1116"/>
      <c r="M191" s="1116"/>
      <c r="N191" s="1116"/>
      <c r="O191" s="1116"/>
      <c r="P191" s="1116"/>
      <c r="Q191" s="1116"/>
      <c r="R191" s="1116"/>
      <c r="S191" s="1117">
        <v>85238</v>
      </c>
      <c r="T191" s="1117">
        <v>85045</v>
      </c>
      <c r="U191" s="1117">
        <v>193</v>
      </c>
      <c r="V191" s="1117">
        <v>0</v>
      </c>
      <c r="W191" s="1117">
        <v>0</v>
      </c>
      <c r="X191" s="1117" t="s">
        <v>2171</v>
      </c>
      <c r="Y191" s="1117" t="s">
        <v>2171</v>
      </c>
      <c r="Z191" s="1117">
        <v>0</v>
      </c>
      <c r="AA191" s="1116"/>
      <c r="AB191" s="1116"/>
      <c r="AC191" s="1116"/>
      <c r="AD191" s="1116"/>
      <c r="AE191" s="1116"/>
      <c r="AF191" s="1140">
        <f t="shared" si="14"/>
        <v>38980.382220721171</v>
      </c>
      <c r="AG191" s="1117">
        <f>'1.1.1 PrimEnLR'!B191*'3.1.1 CO2LR'!$AG$9*Units!$C$47/1000</f>
        <v>38831.825961368195</v>
      </c>
      <c r="AH191" s="1117">
        <f>'1.1.1 PrimEnLR'!C191*'3.1.1 CO2LR'!$AG$9*Units!$C$47/1000</f>
        <v>148.55625935297641</v>
      </c>
      <c r="AI191" s="1117">
        <f>'1.1.1 PrimEnLR'!D191*Units!$C$14*Units!$C$59/1000</f>
        <v>0</v>
      </c>
      <c r="AJ191" s="1116"/>
      <c r="AK191" s="1116"/>
    </row>
    <row r="192" spans="1:37" x14ac:dyDescent="0.35">
      <c r="A192" s="1116">
        <v>1882</v>
      </c>
      <c r="B192" s="1116"/>
      <c r="C192" s="1119"/>
      <c r="D192" s="1119">
        <f t="shared" si="15"/>
        <v>0.19500000000000001</v>
      </c>
      <c r="E192" s="1119">
        <f t="shared" si="16"/>
        <v>85.766999999999996</v>
      </c>
      <c r="F192" s="1139">
        <f t="shared" si="17"/>
        <v>0</v>
      </c>
      <c r="G192" s="1116"/>
      <c r="H192" s="1139">
        <f t="shared" si="18"/>
        <v>85.961999999999989</v>
      </c>
      <c r="I192" s="1116"/>
      <c r="J192" s="1116"/>
      <c r="K192" s="1116"/>
      <c r="L192" s="1116"/>
      <c r="M192" s="1116"/>
      <c r="N192" s="1116"/>
      <c r="O192" s="1116"/>
      <c r="P192" s="1116"/>
      <c r="Q192" s="1116"/>
      <c r="R192" s="1116"/>
      <c r="S192" s="1117">
        <v>85962</v>
      </c>
      <c r="T192" s="1117">
        <v>85767</v>
      </c>
      <c r="U192" s="1117">
        <v>195</v>
      </c>
      <c r="V192" s="1117">
        <v>0</v>
      </c>
      <c r="W192" s="1117">
        <v>0</v>
      </c>
      <c r="X192" s="1117" t="s">
        <v>2171</v>
      </c>
      <c r="Y192" s="1117" t="s">
        <v>2171</v>
      </c>
      <c r="Z192" s="1117">
        <v>0</v>
      </c>
      <c r="AA192" s="1116"/>
      <c r="AB192" s="1116"/>
      <c r="AC192" s="1116"/>
      <c r="AD192" s="1116"/>
      <c r="AE192" s="1116"/>
      <c r="AF192" s="1140">
        <f t="shared" si="14"/>
        <v>39470.628659427115</v>
      </c>
      <c r="AG192" s="1117">
        <f>'1.1.1 PrimEnLR'!B192*'3.1.1 CO2LR'!$AG$9*Units!$C$47/1000</f>
        <v>39318.977478004286</v>
      </c>
      <c r="AH192" s="1117">
        <f>'1.1.1 PrimEnLR'!C192*'3.1.1 CO2LR'!$AG$9*Units!$C$47/1000</f>
        <v>151.65118142283009</v>
      </c>
      <c r="AI192" s="1117">
        <f>'1.1.1 PrimEnLR'!D192*Units!$C$14*Units!$C$59/1000</f>
        <v>0</v>
      </c>
      <c r="AJ192" s="1116"/>
      <c r="AK192" s="1116"/>
    </row>
    <row r="193" spans="1:37" x14ac:dyDescent="0.35">
      <c r="A193" s="1116">
        <v>1883</v>
      </c>
      <c r="B193" s="1116"/>
      <c r="C193" s="1119"/>
      <c r="D193" s="1119">
        <f t="shared" si="15"/>
        <v>0.23</v>
      </c>
      <c r="E193" s="1119">
        <f t="shared" si="16"/>
        <v>89.215999999999994</v>
      </c>
      <c r="F193" s="1139">
        <f t="shared" si="17"/>
        <v>0</v>
      </c>
      <c r="G193" s="1116"/>
      <c r="H193" s="1139">
        <f t="shared" si="18"/>
        <v>89.445999999999998</v>
      </c>
      <c r="I193" s="1116"/>
      <c r="J193" s="1116"/>
      <c r="K193" s="1116"/>
      <c r="L193" s="1116"/>
      <c r="M193" s="1116"/>
      <c r="N193" s="1116"/>
      <c r="O193" s="1116"/>
      <c r="P193" s="1116"/>
      <c r="Q193" s="1116"/>
      <c r="R193" s="1116"/>
      <c r="S193" s="1117">
        <v>89446</v>
      </c>
      <c r="T193" s="1117">
        <v>89216</v>
      </c>
      <c r="U193" s="1117">
        <v>230</v>
      </c>
      <c r="V193" s="1117">
        <v>0</v>
      </c>
      <c r="W193" s="1117">
        <v>0</v>
      </c>
      <c r="X193" s="1117" t="s">
        <v>2171</v>
      </c>
      <c r="Y193" s="1117" t="s">
        <v>2171</v>
      </c>
      <c r="Z193" s="1117">
        <v>0</v>
      </c>
      <c r="AA193" s="1116"/>
      <c r="AB193" s="1116"/>
      <c r="AC193" s="1116"/>
      <c r="AD193" s="1116"/>
      <c r="AE193" s="1116"/>
      <c r="AF193" s="1140">
        <f t="shared" si="14"/>
        <v>40347.62438822323</v>
      </c>
      <c r="AG193" s="1117">
        <f>'1.1.1 PrimEnLR'!B193*'3.1.1 CO2LR'!$AG$9*Units!$C$47/1000</f>
        <v>40171.832814655543</v>
      </c>
      <c r="AH193" s="1117">
        <f>'1.1.1 PrimEnLR'!C193*'3.1.1 CO2LR'!$AG$9*Units!$C$47/1000</f>
        <v>175.79157356768872</v>
      </c>
      <c r="AI193" s="1117">
        <f>'1.1.1 PrimEnLR'!D193*Units!$C$14*Units!$C$59/1000</f>
        <v>0</v>
      </c>
      <c r="AJ193" s="1116"/>
      <c r="AK193" s="1116"/>
    </row>
    <row r="194" spans="1:37" x14ac:dyDescent="0.35">
      <c r="A194" s="1116">
        <v>1884</v>
      </c>
      <c r="B194" s="1116"/>
      <c r="C194" s="1119"/>
      <c r="D194" s="1119">
        <f t="shared" si="15"/>
        <v>0.17299999999999999</v>
      </c>
      <c r="E194" s="1119">
        <f t="shared" si="16"/>
        <v>86.915999999999997</v>
      </c>
      <c r="F194" s="1139">
        <f t="shared" si="17"/>
        <v>0</v>
      </c>
      <c r="G194" s="1116"/>
      <c r="H194" s="1139">
        <f t="shared" si="18"/>
        <v>87.088999999999999</v>
      </c>
      <c r="I194" s="1116"/>
      <c r="J194" s="1116"/>
      <c r="K194" s="1116"/>
      <c r="L194" s="1116"/>
      <c r="M194" s="1116"/>
      <c r="N194" s="1116"/>
      <c r="O194" s="1116"/>
      <c r="P194" s="1116"/>
      <c r="Q194" s="1116"/>
      <c r="R194" s="1116"/>
      <c r="S194" s="1117">
        <v>87090</v>
      </c>
      <c r="T194" s="1117">
        <v>86916</v>
      </c>
      <c r="U194" s="1117">
        <v>173</v>
      </c>
      <c r="V194" s="1117">
        <v>0</v>
      </c>
      <c r="W194" s="1117">
        <v>0</v>
      </c>
      <c r="X194" s="1117" t="s">
        <v>2171</v>
      </c>
      <c r="Y194" s="1117" t="s">
        <v>2171</v>
      </c>
      <c r="Z194" s="1117">
        <v>0</v>
      </c>
      <c r="AA194" s="1116"/>
      <c r="AB194" s="1116"/>
      <c r="AC194" s="1116"/>
      <c r="AD194" s="1116"/>
      <c r="AE194" s="1116"/>
      <c r="AF194" s="1140">
        <f t="shared" si="14"/>
        <v>40414.66778529092</v>
      </c>
      <c r="AG194" s="1117">
        <f>'1.1.1 PrimEnLR'!B194*'3.1.1 CO2LR'!$AG$9*Units!$C$47/1000</f>
        <v>40282.205120701183</v>
      </c>
      <c r="AH194" s="1117">
        <f>'1.1.1 PrimEnLR'!C194*'3.1.1 CO2LR'!$AG$9*Units!$C$47/1000</f>
        <v>132.4626645897373</v>
      </c>
      <c r="AI194" s="1117">
        <f>'1.1.1 PrimEnLR'!D194*Units!$C$14*Units!$C$59/1000</f>
        <v>0</v>
      </c>
      <c r="AJ194" s="1116"/>
      <c r="AK194" s="1116"/>
    </row>
    <row r="195" spans="1:37" x14ac:dyDescent="0.35">
      <c r="A195" s="1116">
        <v>1885</v>
      </c>
      <c r="B195" s="1116"/>
      <c r="C195" s="1119"/>
      <c r="D195" s="1119">
        <f t="shared" si="15"/>
        <v>0.24199999999999999</v>
      </c>
      <c r="E195" s="1119">
        <f t="shared" si="16"/>
        <v>85.808999999999997</v>
      </c>
      <c r="F195" s="1139">
        <f t="shared" si="17"/>
        <v>0</v>
      </c>
      <c r="G195" s="1116"/>
      <c r="H195" s="1139">
        <f t="shared" si="18"/>
        <v>86.051000000000002</v>
      </c>
      <c r="I195" s="1116"/>
      <c r="J195" s="1116"/>
      <c r="K195" s="1116"/>
      <c r="L195" s="1116"/>
      <c r="M195" s="1116"/>
      <c r="N195" s="1116"/>
      <c r="O195" s="1116"/>
      <c r="P195" s="1116"/>
      <c r="Q195" s="1116"/>
      <c r="R195" s="1116"/>
      <c r="S195" s="1117">
        <v>86051</v>
      </c>
      <c r="T195" s="1117">
        <v>85809</v>
      </c>
      <c r="U195" s="1117">
        <v>242</v>
      </c>
      <c r="V195" s="1117">
        <v>0</v>
      </c>
      <c r="W195" s="1117">
        <v>0</v>
      </c>
      <c r="X195" s="1117" t="s">
        <v>2171</v>
      </c>
      <c r="Y195" s="1117" t="s">
        <v>2171</v>
      </c>
      <c r="Z195" s="1117">
        <v>0</v>
      </c>
      <c r="AA195" s="1116"/>
      <c r="AB195" s="1116"/>
      <c r="AC195" s="1116"/>
      <c r="AD195" s="1116"/>
      <c r="AE195" s="1116"/>
      <c r="AF195" s="1140">
        <f t="shared" si="14"/>
        <v>40728.268442296758</v>
      </c>
      <c r="AG195" s="1117">
        <f>'1.1.1 PrimEnLR'!B195*'3.1.1 CO2LR'!$AG$9*Units!$C$47/1000</f>
        <v>40542.573118105538</v>
      </c>
      <c r="AH195" s="1117">
        <f>'1.1.1 PrimEnLR'!C195*'3.1.1 CO2LR'!$AG$9*Units!$C$47/1000</f>
        <v>185.69532419122052</v>
      </c>
      <c r="AI195" s="1117">
        <f>'1.1.1 PrimEnLR'!D195*Units!$C$14*Units!$C$59/1000</f>
        <v>0</v>
      </c>
      <c r="AJ195" s="1116"/>
      <c r="AK195" s="1116"/>
    </row>
    <row r="196" spans="1:37" x14ac:dyDescent="0.35">
      <c r="A196" s="1116">
        <v>1886</v>
      </c>
      <c r="B196" s="1116"/>
      <c r="C196" s="1119"/>
      <c r="D196" s="1119">
        <f t="shared" si="15"/>
        <v>0.23300000000000001</v>
      </c>
      <c r="E196" s="1119">
        <f t="shared" si="16"/>
        <v>85.037000000000006</v>
      </c>
      <c r="F196" s="1139">
        <f t="shared" si="17"/>
        <v>0</v>
      </c>
      <c r="G196" s="1116"/>
      <c r="H196" s="1139">
        <f t="shared" si="18"/>
        <v>85.27000000000001</v>
      </c>
      <c r="I196" s="1116"/>
      <c r="J196" s="1116"/>
      <c r="K196" s="1116"/>
      <c r="L196" s="1116"/>
      <c r="M196" s="1116"/>
      <c r="N196" s="1116"/>
      <c r="O196" s="1116"/>
      <c r="P196" s="1116"/>
      <c r="Q196" s="1116"/>
      <c r="R196" s="1116"/>
      <c r="S196" s="1117">
        <v>85270</v>
      </c>
      <c r="T196" s="1117">
        <v>85037</v>
      </c>
      <c r="U196" s="1117">
        <v>233</v>
      </c>
      <c r="V196" s="1117">
        <v>0</v>
      </c>
      <c r="W196" s="1117">
        <v>0</v>
      </c>
      <c r="X196" s="1117" t="s">
        <v>2171</v>
      </c>
      <c r="Y196" s="1117" t="s">
        <v>2171</v>
      </c>
      <c r="Z196" s="1117">
        <v>0</v>
      </c>
      <c r="AA196" s="1116"/>
      <c r="AB196" s="1116"/>
      <c r="AC196" s="1116"/>
      <c r="AD196" s="1116"/>
      <c r="AE196" s="1116"/>
      <c r="AF196" s="1140">
        <f t="shared" si="14"/>
        <v>41027.425250565051</v>
      </c>
      <c r="AG196" s="1117">
        <f>'1.1.1 PrimEnLR'!B196*'3.1.1 CO2LR'!$AG$9*Units!$C$47/1000</f>
        <v>40846.062817271624</v>
      </c>
      <c r="AH196" s="1117">
        <f>'1.1.1 PrimEnLR'!C196*'3.1.1 CO2LR'!$AG$9*Units!$C$47/1000</f>
        <v>181.36243329342537</v>
      </c>
      <c r="AI196" s="1117">
        <f>'1.1.1 PrimEnLR'!D196*Units!$C$14*Units!$C$59/1000</f>
        <v>0</v>
      </c>
      <c r="AJ196" s="1116"/>
      <c r="AK196" s="1116"/>
    </row>
    <row r="197" spans="1:37" x14ac:dyDescent="0.35">
      <c r="A197" s="1116">
        <v>1887</v>
      </c>
      <c r="B197" s="1116"/>
      <c r="C197" s="1119"/>
      <c r="D197" s="1119">
        <f t="shared" si="15"/>
        <v>0.253</v>
      </c>
      <c r="E197" s="1119">
        <f t="shared" si="16"/>
        <v>87.203999999999994</v>
      </c>
      <c r="F197" s="1139">
        <f t="shared" si="17"/>
        <v>0</v>
      </c>
      <c r="G197" s="1116"/>
      <c r="H197" s="1139">
        <f t="shared" si="18"/>
        <v>87.456999999999994</v>
      </c>
      <c r="I197" s="1116"/>
      <c r="J197" s="1116"/>
      <c r="K197" s="1116"/>
      <c r="L197" s="1116"/>
      <c r="M197" s="1116"/>
      <c r="N197" s="1116"/>
      <c r="O197" s="1116"/>
      <c r="P197" s="1116"/>
      <c r="Q197" s="1116"/>
      <c r="R197" s="1116"/>
      <c r="S197" s="1117">
        <v>87457</v>
      </c>
      <c r="T197" s="1117">
        <v>87204</v>
      </c>
      <c r="U197" s="1117">
        <v>253</v>
      </c>
      <c r="V197" s="1117">
        <v>0</v>
      </c>
      <c r="W197" s="1117">
        <v>0</v>
      </c>
      <c r="X197" s="1117" t="s">
        <v>2171</v>
      </c>
      <c r="Y197" s="1117" t="s">
        <v>2171</v>
      </c>
      <c r="Z197" s="1117">
        <v>0</v>
      </c>
      <c r="AA197" s="1116"/>
      <c r="AB197" s="1116"/>
      <c r="AC197" s="1116"/>
      <c r="AD197" s="1116"/>
      <c r="AE197" s="1116"/>
      <c r="AF197" s="1140">
        <f t="shared" si="14"/>
        <v>41781.47013808979</v>
      </c>
      <c r="AG197" s="1117">
        <f>'1.1.1 PrimEnLR'!B197*'3.1.1 CO2LR'!$AG$9*Units!$C$47/1000</f>
        <v>41581.538172377244</v>
      </c>
      <c r="AH197" s="1117">
        <f>'1.1.1 PrimEnLR'!C197*'3.1.1 CO2LR'!$AG$9*Units!$C$47/1000</f>
        <v>199.93196571254742</v>
      </c>
      <c r="AI197" s="1117">
        <f>'1.1.1 PrimEnLR'!D197*Units!$C$14*Units!$C$59/1000</f>
        <v>0</v>
      </c>
      <c r="AJ197" s="1116"/>
      <c r="AK197" s="1116"/>
    </row>
    <row r="198" spans="1:37" x14ac:dyDescent="0.35">
      <c r="A198" s="1116">
        <v>1888</v>
      </c>
      <c r="B198" s="1116"/>
      <c r="C198" s="1119"/>
      <c r="D198" s="1119">
        <f t="shared" si="15"/>
        <v>0.309</v>
      </c>
      <c r="E198" s="1119">
        <f t="shared" si="16"/>
        <v>90.620999999999995</v>
      </c>
      <c r="F198" s="1139">
        <f t="shared" si="17"/>
        <v>0</v>
      </c>
      <c r="G198" s="1116"/>
      <c r="H198" s="1139">
        <f t="shared" si="18"/>
        <v>90.929999999999993</v>
      </c>
      <c r="I198" s="1116"/>
      <c r="J198" s="1116"/>
      <c r="K198" s="1116"/>
      <c r="L198" s="1116"/>
      <c r="M198" s="1116"/>
      <c r="N198" s="1116"/>
      <c r="O198" s="1116"/>
      <c r="P198" s="1116"/>
      <c r="Q198" s="1116"/>
      <c r="R198" s="1116"/>
      <c r="S198" s="1117">
        <v>90930</v>
      </c>
      <c r="T198" s="1117">
        <v>90621</v>
      </c>
      <c r="U198" s="1117">
        <v>309</v>
      </c>
      <c r="V198" s="1117">
        <v>0</v>
      </c>
      <c r="W198" s="1117">
        <v>0</v>
      </c>
      <c r="X198" s="1117" t="s">
        <v>2171</v>
      </c>
      <c r="Y198" s="1117" t="s">
        <v>2171</v>
      </c>
      <c r="Z198" s="1117">
        <v>0</v>
      </c>
      <c r="AA198" s="1116"/>
      <c r="AB198" s="1116"/>
      <c r="AC198" s="1116"/>
      <c r="AD198" s="1116"/>
      <c r="AE198" s="1116"/>
      <c r="AF198" s="1140">
        <f t="shared" si="14"/>
        <v>42321.230572667053</v>
      </c>
      <c r="AG198" s="1117">
        <f>'1.1.1 PrimEnLR'!B198*'3.1.1 CO2LR'!$AG$9*Units!$C$47/1000</f>
        <v>42079.826651218464</v>
      </c>
      <c r="AH198" s="1117">
        <f>'1.1.1 PrimEnLR'!C198*'3.1.1 CO2LR'!$AG$9*Units!$C$47/1000</f>
        <v>241.40392144858669</v>
      </c>
      <c r="AI198" s="1117">
        <f>'1.1.1 PrimEnLR'!D198*Units!$C$14*Units!$C$59/1000</f>
        <v>0</v>
      </c>
      <c r="AJ198" s="1116"/>
      <c r="AK198" s="1116"/>
    </row>
    <row r="199" spans="1:37" x14ac:dyDescent="0.35">
      <c r="A199" s="1116">
        <v>1889</v>
      </c>
      <c r="B199" s="1116"/>
      <c r="C199" s="1119"/>
      <c r="D199" s="1119">
        <f t="shared" si="15"/>
        <v>0.33700000000000002</v>
      </c>
      <c r="E199" s="1119">
        <f t="shared" si="16"/>
        <v>93.828999999999994</v>
      </c>
      <c r="F199" s="1139">
        <f t="shared" si="17"/>
        <v>0</v>
      </c>
      <c r="G199" s="1116"/>
      <c r="H199" s="1139">
        <f t="shared" si="18"/>
        <v>94.165999999999997</v>
      </c>
      <c r="I199" s="1116"/>
      <c r="J199" s="1116"/>
      <c r="K199" s="1116"/>
      <c r="L199" s="1116"/>
      <c r="M199" s="1116"/>
      <c r="N199" s="1116"/>
      <c r="O199" s="1116"/>
      <c r="P199" s="1116"/>
      <c r="Q199" s="1116"/>
      <c r="R199" s="1116"/>
      <c r="S199" s="1117">
        <v>94166</v>
      </c>
      <c r="T199" s="1117">
        <v>93829</v>
      </c>
      <c r="U199" s="1117">
        <v>337</v>
      </c>
      <c r="V199" s="1117">
        <v>0</v>
      </c>
      <c r="W199" s="1117">
        <v>0</v>
      </c>
      <c r="X199" s="1117" t="s">
        <v>2171</v>
      </c>
      <c r="Y199" s="1117" t="s">
        <v>2171</v>
      </c>
      <c r="Z199" s="1117">
        <v>0</v>
      </c>
      <c r="AA199" s="1116"/>
      <c r="AB199" s="1116"/>
      <c r="AC199" s="1116"/>
      <c r="AD199" s="1116"/>
      <c r="AE199" s="1116"/>
      <c r="AF199" s="1140">
        <f t="shared" si="14"/>
        <v>42838.088583927398</v>
      </c>
      <c r="AG199" s="1117">
        <f>'1.1.1 PrimEnLR'!B199*'3.1.1 CO2LR'!$AG$9*Units!$C$47/1000</f>
        <v>42578.11513005969</v>
      </c>
      <c r="AH199" s="1117">
        <f>'1.1.1 PrimEnLR'!C199*'3.1.1 CO2LR'!$AG$9*Units!$C$47/1000</f>
        <v>259.97345386770871</v>
      </c>
      <c r="AI199" s="1117">
        <f>'1.1.1 PrimEnLR'!D199*Units!$C$14*Units!$C$59/1000</f>
        <v>0</v>
      </c>
      <c r="AJ199" s="1116"/>
      <c r="AK199" s="1116"/>
    </row>
    <row r="200" spans="1:37" x14ac:dyDescent="0.35">
      <c r="A200" s="1116">
        <v>1890</v>
      </c>
      <c r="B200" s="1116"/>
      <c r="C200" s="1119"/>
      <c r="D200" s="1119">
        <f t="shared" si="15"/>
        <v>0.34399999999999997</v>
      </c>
      <c r="E200" s="1119">
        <f t="shared" si="16"/>
        <v>96.004000000000005</v>
      </c>
      <c r="F200" s="1139">
        <f t="shared" si="17"/>
        <v>0</v>
      </c>
      <c r="G200" s="1116"/>
      <c r="H200" s="1139">
        <f t="shared" si="18"/>
        <v>96.347999999999999</v>
      </c>
      <c r="I200" s="1116"/>
      <c r="J200" s="1116"/>
      <c r="K200" s="1116"/>
      <c r="L200" s="1116"/>
      <c r="M200" s="1116"/>
      <c r="N200" s="1116"/>
      <c r="O200" s="1116"/>
      <c r="P200" s="1116"/>
      <c r="Q200" s="1116"/>
      <c r="R200" s="1116"/>
      <c r="S200" s="1117">
        <v>96349</v>
      </c>
      <c r="T200" s="1117">
        <v>96004</v>
      </c>
      <c r="U200" s="1117">
        <v>344</v>
      </c>
      <c r="V200" s="1117">
        <v>0</v>
      </c>
      <c r="W200" s="1117">
        <v>0</v>
      </c>
      <c r="X200" s="1117" t="s">
        <v>2171</v>
      </c>
      <c r="Y200" s="1117" t="s">
        <v>2171</v>
      </c>
      <c r="Z200" s="1117">
        <v>0</v>
      </c>
      <c r="AA200" s="1116"/>
      <c r="AB200" s="1116"/>
      <c r="AC200" s="1116"/>
      <c r="AD200" s="1116"/>
      <c r="AE200" s="1116"/>
      <c r="AF200" s="1140">
        <f t="shared" si="14"/>
        <v>43347.518782220097</v>
      </c>
      <c r="AG200" s="1117">
        <f>'1.1.1 PrimEnLR'!B200*'3.1.1 CO2LR'!$AG$9*Units!$C$47/1000</f>
        <v>43076.403608900917</v>
      </c>
      <c r="AH200" s="1117">
        <f>'1.1.1 PrimEnLR'!C200*'3.1.1 CO2LR'!$AG$9*Units!$C$47/1000</f>
        <v>271.11517331918196</v>
      </c>
      <c r="AI200" s="1117">
        <f>'1.1.1 PrimEnLR'!D200*Units!$C$14*Units!$C$59/1000</f>
        <v>0</v>
      </c>
      <c r="AJ200" s="1116"/>
      <c r="AK200" s="1116"/>
    </row>
    <row r="201" spans="1:37" x14ac:dyDescent="0.35">
      <c r="A201" s="1116">
        <v>1891</v>
      </c>
      <c r="B201" s="1116"/>
      <c r="C201" s="1119"/>
      <c r="D201" s="1119">
        <f t="shared" si="15"/>
        <v>0.42699999999999999</v>
      </c>
      <c r="E201" s="1119">
        <f t="shared" si="16"/>
        <v>97.954999999999998</v>
      </c>
      <c r="F201" s="1139">
        <f t="shared" si="17"/>
        <v>0</v>
      </c>
      <c r="G201" s="1116"/>
      <c r="H201" s="1139">
        <f t="shared" si="18"/>
        <v>98.382000000000005</v>
      </c>
      <c r="I201" s="1116"/>
      <c r="J201" s="1116"/>
      <c r="K201" s="1116"/>
      <c r="L201" s="1116"/>
      <c r="M201" s="1116"/>
      <c r="N201" s="1116"/>
      <c r="O201" s="1116"/>
      <c r="P201" s="1116"/>
      <c r="Q201" s="1116"/>
      <c r="R201" s="1116"/>
      <c r="S201" s="1117">
        <v>98382</v>
      </c>
      <c r="T201" s="1117">
        <v>97955</v>
      </c>
      <c r="U201" s="1117">
        <v>427</v>
      </c>
      <c r="V201" s="1117">
        <v>0</v>
      </c>
      <c r="W201" s="1117">
        <v>0</v>
      </c>
      <c r="X201" s="1117" t="s">
        <v>2171</v>
      </c>
      <c r="Y201" s="1117" t="s">
        <v>2171</v>
      </c>
      <c r="Z201" s="1117">
        <v>0</v>
      </c>
      <c r="AA201" s="1116"/>
      <c r="AB201" s="1116"/>
      <c r="AC201" s="1116"/>
      <c r="AD201" s="1116"/>
      <c r="AE201" s="1116"/>
      <c r="AF201" s="1140">
        <f t="shared" si="14"/>
        <v>43912.038593356199</v>
      </c>
      <c r="AG201" s="1117">
        <f>'1.1.1 PrimEnLR'!B201*'3.1.1 CO2LR'!$AG$9*Units!$C$47/1000</f>
        <v>43574.692087742151</v>
      </c>
      <c r="AH201" s="1117">
        <f>'1.1.1 PrimEnLR'!C201*'3.1.1 CO2LR'!$AG$9*Units!$C$47/1000</f>
        <v>337.34650561405056</v>
      </c>
      <c r="AI201" s="1117">
        <f>'1.1.1 PrimEnLR'!D201*Units!$C$14*Units!$C$59/1000</f>
        <v>0</v>
      </c>
      <c r="AJ201" s="1116"/>
      <c r="AK201" s="1116"/>
    </row>
    <row r="202" spans="1:37" x14ac:dyDescent="0.35">
      <c r="A202" s="1116">
        <v>1892</v>
      </c>
      <c r="B202" s="1116"/>
      <c r="C202" s="1119"/>
      <c r="D202" s="1119">
        <f t="shared" si="15"/>
        <v>0.42599999999999999</v>
      </c>
      <c r="E202" s="1119">
        <f t="shared" si="16"/>
        <v>95.918999999999997</v>
      </c>
      <c r="F202" s="1139">
        <f t="shared" si="17"/>
        <v>0</v>
      </c>
      <c r="G202" s="1116"/>
      <c r="H202" s="1139">
        <f t="shared" si="18"/>
        <v>96.344999999999999</v>
      </c>
      <c r="I202" s="1116"/>
      <c r="J202" s="1116"/>
      <c r="K202" s="1116"/>
      <c r="L202" s="1116"/>
      <c r="M202" s="1116"/>
      <c r="N202" s="1116"/>
      <c r="O202" s="1116"/>
      <c r="P202" s="1116"/>
      <c r="Q202" s="1116"/>
      <c r="R202" s="1116"/>
      <c r="S202" s="1117">
        <v>96345</v>
      </c>
      <c r="T202" s="1117">
        <v>95919</v>
      </c>
      <c r="U202" s="1117">
        <v>426</v>
      </c>
      <c r="V202" s="1117">
        <v>0</v>
      </c>
      <c r="W202" s="1117">
        <v>0</v>
      </c>
      <c r="X202" s="1117" t="s">
        <v>2171</v>
      </c>
      <c r="Y202" s="1117" t="s">
        <v>2171</v>
      </c>
      <c r="Z202" s="1117">
        <v>0</v>
      </c>
      <c r="AA202" s="1116"/>
      <c r="AB202" s="1116"/>
      <c r="AC202" s="1116"/>
      <c r="AD202" s="1116"/>
      <c r="AE202" s="1116"/>
      <c r="AF202" s="1140">
        <f t="shared" ref="AF202:AF265" si="19">AG202+AH202+AI202</f>
        <v>44405.994181299626</v>
      </c>
      <c r="AG202" s="1117">
        <f>'1.1.1 PrimEnLR'!B202*'3.1.1 CO2LR'!$AG$9*Units!$C$47/1000</f>
        <v>44072.98056658337</v>
      </c>
      <c r="AH202" s="1117">
        <f>'1.1.1 PrimEnLR'!C202*'3.1.1 CO2LR'!$AG$9*Units!$C$47/1000</f>
        <v>333.01361471625546</v>
      </c>
      <c r="AI202" s="1117">
        <f>'1.1.1 PrimEnLR'!D202*Units!$C$14*Units!$C$59/1000</f>
        <v>0</v>
      </c>
      <c r="AJ202" s="1116"/>
      <c r="AK202" s="1116"/>
    </row>
    <row r="203" spans="1:37" x14ac:dyDescent="0.35">
      <c r="A203" s="1116">
        <v>1893</v>
      </c>
      <c r="B203" s="1116"/>
      <c r="C203" s="1119"/>
      <c r="D203" s="1119">
        <f t="shared" si="15"/>
        <v>0.50700000000000001</v>
      </c>
      <c r="E203" s="1119">
        <f t="shared" si="16"/>
        <v>85.795000000000002</v>
      </c>
      <c r="F203" s="1139">
        <f t="shared" si="17"/>
        <v>0</v>
      </c>
      <c r="G203" s="1116"/>
      <c r="H203" s="1139">
        <f t="shared" si="18"/>
        <v>86.302000000000007</v>
      </c>
      <c r="I203" s="1116"/>
      <c r="J203" s="1116"/>
      <c r="K203" s="1116"/>
      <c r="L203" s="1116"/>
      <c r="M203" s="1116"/>
      <c r="N203" s="1116"/>
      <c r="O203" s="1116"/>
      <c r="P203" s="1116"/>
      <c r="Q203" s="1116"/>
      <c r="R203" s="1116"/>
      <c r="S203" s="1117">
        <v>86302</v>
      </c>
      <c r="T203" s="1117">
        <v>85795</v>
      </c>
      <c r="U203" s="1117">
        <v>507</v>
      </c>
      <c r="V203" s="1117">
        <v>0</v>
      </c>
      <c r="W203" s="1117">
        <v>0</v>
      </c>
      <c r="X203" s="1117" t="s">
        <v>2171</v>
      </c>
      <c r="Y203" s="1117" t="s">
        <v>2171</v>
      </c>
      <c r="Z203" s="1117">
        <v>0</v>
      </c>
      <c r="AA203" s="1116"/>
      <c r="AB203" s="1116"/>
      <c r="AC203" s="1116"/>
      <c r="AD203" s="1116"/>
      <c r="AE203" s="1116"/>
      <c r="AF203" s="1140">
        <f t="shared" si="19"/>
        <v>44973.608914505588</v>
      </c>
      <c r="AG203" s="1117">
        <f>'1.1.1 PrimEnLR'!B203*'3.1.1 CO2LR'!$AG$9*Units!$C$47/1000</f>
        <v>44571.269045424611</v>
      </c>
      <c r="AH203" s="1117">
        <f>'1.1.1 PrimEnLR'!C203*'3.1.1 CO2LR'!$AG$9*Units!$C$47/1000</f>
        <v>402.33986908097773</v>
      </c>
      <c r="AI203" s="1117">
        <f>'1.1.1 PrimEnLR'!D203*Units!$C$14*Units!$C$59/1000</f>
        <v>0</v>
      </c>
      <c r="AJ203" s="1116"/>
      <c r="AK203" s="1116"/>
    </row>
    <row r="204" spans="1:37" x14ac:dyDescent="0.35">
      <c r="A204" s="1116">
        <v>1894</v>
      </c>
      <c r="B204" s="1116"/>
      <c r="C204" s="1119"/>
      <c r="D204" s="1119">
        <f t="shared" si="15"/>
        <v>0.53300000000000003</v>
      </c>
      <c r="E204" s="1119">
        <f t="shared" si="16"/>
        <v>98.293000000000006</v>
      </c>
      <c r="F204" s="1139">
        <f t="shared" si="17"/>
        <v>0</v>
      </c>
      <c r="G204" s="1116"/>
      <c r="H204" s="1139">
        <f t="shared" si="18"/>
        <v>98.826000000000008</v>
      </c>
      <c r="I204" s="1116"/>
      <c r="J204" s="1116"/>
      <c r="K204" s="1116"/>
      <c r="L204" s="1116"/>
      <c r="M204" s="1116"/>
      <c r="N204" s="1116"/>
      <c r="O204" s="1116"/>
      <c r="P204" s="1116"/>
      <c r="Q204" s="1116"/>
      <c r="R204" s="1116"/>
      <c r="S204" s="1117">
        <v>98827</v>
      </c>
      <c r="T204" s="1117">
        <v>98293</v>
      </c>
      <c r="U204" s="1117">
        <v>533</v>
      </c>
      <c r="V204" s="1117">
        <v>0</v>
      </c>
      <c r="W204" s="1117">
        <v>0</v>
      </c>
      <c r="X204" s="1117" t="s">
        <v>2171</v>
      </c>
      <c r="Y204" s="1117" t="s">
        <v>2171</v>
      </c>
      <c r="Z204" s="1117">
        <v>0</v>
      </c>
      <c r="AA204" s="1116"/>
      <c r="AB204" s="1116"/>
      <c r="AC204" s="1116"/>
      <c r="AD204" s="1116"/>
      <c r="AE204" s="1116"/>
      <c r="AF204" s="1140">
        <f t="shared" si="19"/>
        <v>45486.753019282107</v>
      </c>
      <c r="AG204" s="1117">
        <f>'1.1.1 PrimEnLR'!B204*'3.1.1 CO2LR'!$AG$9*Units!$C$47/1000</f>
        <v>45069.557524265831</v>
      </c>
      <c r="AH204" s="1117">
        <f>'1.1.1 PrimEnLR'!C204*'3.1.1 CO2LR'!$AG$9*Units!$C$47/1000</f>
        <v>417.1954950162754</v>
      </c>
      <c r="AI204" s="1117">
        <f>'1.1.1 PrimEnLR'!D204*Units!$C$14*Units!$C$59/1000</f>
        <v>0</v>
      </c>
      <c r="AJ204" s="1116"/>
      <c r="AK204" s="1116"/>
    </row>
    <row r="205" spans="1:37" x14ac:dyDescent="0.35">
      <c r="A205" s="1116">
        <v>1895</v>
      </c>
      <c r="B205" s="1116"/>
      <c r="C205" s="1119"/>
      <c r="D205" s="1119">
        <f t="shared" si="15"/>
        <v>0.57899999999999996</v>
      </c>
      <c r="E205" s="1119">
        <f t="shared" si="16"/>
        <v>99.188000000000002</v>
      </c>
      <c r="F205" s="1139">
        <f t="shared" si="17"/>
        <v>0</v>
      </c>
      <c r="G205" s="1116"/>
      <c r="H205" s="1139">
        <f t="shared" si="18"/>
        <v>99.766999999999996</v>
      </c>
      <c r="I205" s="1116"/>
      <c r="J205" s="1116"/>
      <c r="K205" s="1116"/>
      <c r="L205" s="1116"/>
      <c r="M205" s="1116"/>
      <c r="N205" s="1116"/>
      <c r="O205" s="1116"/>
      <c r="P205" s="1116"/>
      <c r="Q205" s="1116"/>
      <c r="R205" s="1116"/>
      <c r="S205" s="1117">
        <v>99768</v>
      </c>
      <c r="T205" s="1117">
        <v>99188</v>
      </c>
      <c r="U205" s="1117">
        <v>579</v>
      </c>
      <c r="V205" s="1117">
        <v>0</v>
      </c>
      <c r="W205" s="1117">
        <v>0</v>
      </c>
      <c r="X205" s="1117" t="s">
        <v>2171</v>
      </c>
      <c r="Y205" s="1117" t="s">
        <v>2171</v>
      </c>
      <c r="Z205" s="1117">
        <v>0</v>
      </c>
      <c r="AA205" s="1116"/>
      <c r="AB205" s="1116"/>
      <c r="AC205" s="1116"/>
      <c r="AD205" s="1116"/>
      <c r="AE205" s="1116"/>
      <c r="AF205" s="1140">
        <f t="shared" si="19"/>
        <v>46059.858976003503</v>
      </c>
      <c r="AG205" s="1117">
        <f>'1.1.1 PrimEnLR'!B205*'3.1.1 CO2LR'!$AG$9*Units!$C$47/1000</f>
        <v>45603.667462907069</v>
      </c>
      <c r="AH205" s="1117">
        <f>'1.1.1 PrimEnLR'!C205*'3.1.1 CO2LR'!$AG$9*Units!$C$47/1000</f>
        <v>456.19151309643166</v>
      </c>
      <c r="AI205" s="1117">
        <f>'1.1.1 PrimEnLR'!D205*Units!$C$14*Units!$C$59/1000</f>
        <v>0</v>
      </c>
      <c r="AJ205" s="1116"/>
      <c r="AK205" s="1116"/>
    </row>
    <row r="206" spans="1:37" x14ac:dyDescent="0.35">
      <c r="A206" s="1116">
        <v>1896</v>
      </c>
      <c r="B206" s="1116"/>
      <c r="C206" s="1119"/>
      <c r="D206" s="1119">
        <f t="shared" si="15"/>
        <v>0.621</v>
      </c>
      <c r="E206" s="1119">
        <f t="shared" si="16"/>
        <v>101.99299999999999</v>
      </c>
      <c r="F206" s="1139">
        <f t="shared" si="17"/>
        <v>0</v>
      </c>
      <c r="G206" s="1116"/>
      <c r="H206" s="1139">
        <f t="shared" si="18"/>
        <v>102.61399999999999</v>
      </c>
      <c r="I206" s="1116"/>
      <c r="J206" s="1116"/>
      <c r="K206" s="1116"/>
      <c r="L206" s="1116"/>
      <c r="M206" s="1116"/>
      <c r="N206" s="1116"/>
      <c r="O206" s="1116"/>
      <c r="P206" s="1116"/>
      <c r="Q206" s="1116"/>
      <c r="R206" s="1116"/>
      <c r="S206" s="1117">
        <v>102615</v>
      </c>
      <c r="T206" s="1117">
        <v>101993</v>
      </c>
      <c r="U206" s="1117">
        <v>621</v>
      </c>
      <c r="V206" s="1117">
        <v>0</v>
      </c>
      <c r="W206" s="1117">
        <v>0</v>
      </c>
      <c r="X206" s="1117" t="s">
        <v>2171</v>
      </c>
      <c r="Y206" s="1117" t="s">
        <v>2171</v>
      </c>
      <c r="Z206" s="1117">
        <v>0</v>
      </c>
      <c r="AA206" s="1116"/>
      <c r="AB206" s="1116"/>
      <c r="AC206" s="1116"/>
      <c r="AD206" s="1116"/>
      <c r="AE206" s="1116"/>
      <c r="AF206" s="1140">
        <f t="shared" si="19"/>
        <v>46717.711498490309</v>
      </c>
      <c r="AG206" s="1117">
        <f>'1.1.1 PrimEnLR'!B206*'3.1.1 CO2LR'!$AG$9*Units!$C$47/1000</f>
        <v>46231.808733523285</v>
      </c>
      <c r="AH206" s="1117">
        <f>'1.1.1 PrimEnLR'!C206*'3.1.1 CO2LR'!$AG$9*Units!$C$47/1000</f>
        <v>485.90276496702694</v>
      </c>
      <c r="AI206" s="1117">
        <f>'1.1.1 PrimEnLR'!D206*Units!$C$14*Units!$C$59/1000</f>
        <v>0</v>
      </c>
      <c r="AJ206" s="1116"/>
      <c r="AK206" s="1116"/>
    </row>
    <row r="207" spans="1:37" x14ac:dyDescent="0.35">
      <c r="A207" s="1116">
        <v>1897</v>
      </c>
      <c r="B207" s="1116"/>
      <c r="C207" s="1119"/>
      <c r="D207" s="1119">
        <f t="shared" si="15"/>
        <v>0.60699999999999998</v>
      </c>
      <c r="E207" s="1119">
        <f t="shared" si="16"/>
        <v>104.73399999999999</v>
      </c>
      <c r="F207" s="1139">
        <f t="shared" si="17"/>
        <v>0</v>
      </c>
      <c r="G207" s="1116"/>
      <c r="H207" s="1139">
        <f t="shared" si="18"/>
        <v>105.34099999999999</v>
      </c>
      <c r="I207" s="1116"/>
      <c r="J207" s="1116"/>
      <c r="K207" s="1116"/>
      <c r="L207" s="1116"/>
      <c r="M207" s="1116"/>
      <c r="N207" s="1116"/>
      <c r="O207" s="1116"/>
      <c r="P207" s="1116"/>
      <c r="Q207" s="1116"/>
      <c r="R207" s="1116"/>
      <c r="S207" s="1117">
        <v>105341</v>
      </c>
      <c r="T207" s="1117">
        <v>104734</v>
      </c>
      <c r="U207" s="1117">
        <v>607</v>
      </c>
      <c r="V207" s="1117">
        <v>0</v>
      </c>
      <c r="W207" s="1117">
        <v>0</v>
      </c>
      <c r="X207" s="1117" t="s">
        <v>2171</v>
      </c>
      <c r="Y207" s="1117" t="s">
        <v>2171</v>
      </c>
      <c r="Z207" s="1117">
        <v>0</v>
      </c>
      <c r="AA207" s="1116"/>
      <c r="AB207" s="1116"/>
      <c r="AC207" s="1116"/>
      <c r="AD207" s="1116"/>
      <c r="AE207" s="1116"/>
      <c r="AF207" s="1140">
        <f t="shared" si="19"/>
        <v>47339.043940552867</v>
      </c>
      <c r="AG207" s="1117">
        <f>'1.1.1 PrimEnLR'!B207*'3.1.1 CO2LR'!$AG$9*Units!$C$47/1000</f>
        <v>46859.950004139515</v>
      </c>
      <c r="AH207" s="1117">
        <f>'1.1.1 PrimEnLR'!C207*'3.1.1 CO2LR'!$AG$9*Units!$C$47/1000</f>
        <v>479.0939364133489</v>
      </c>
      <c r="AI207" s="1117">
        <f>'1.1.1 PrimEnLR'!D207*Units!$C$14*Units!$C$59/1000</f>
        <v>0</v>
      </c>
      <c r="AJ207" s="1116"/>
      <c r="AK207" s="1116"/>
    </row>
    <row r="208" spans="1:37" x14ac:dyDescent="0.35">
      <c r="A208" s="1116">
        <v>1898</v>
      </c>
      <c r="B208" s="1116"/>
      <c r="C208" s="1119"/>
      <c r="D208" s="1119">
        <f t="shared" si="15"/>
        <v>0.71799999999999997</v>
      </c>
      <c r="E208" s="1119">
        <f t="shared" si="16"/>
        <v>104.872</v>
      </c>
      <c r="F208" s="1139">
        <f t="shared" si="17"/>
        <v>0</v>
      </c>
      <c r="G208" s="1116"/>
      <c r="H208" s="1139">
        <f t="shared" si="18"/>
        <v>105.59</v>
      </c>
      <c r="I208" s="1116"/>
      <c r="J208" s="1116"/>
      <c r="K208" s="1116"/>
      <c r="L208" s="1116"/>
      <c r="M208" s="1116"/>
      <c r="N208" s="1116"/>
      <c r="O208" s="1116"/>
      <c r="P208" s="1116"/>
      <c r="Q208" s="1116"/>
      <c r="R208" s="1116"/>
      <c r="S208" s="1117">
        <v>105589</v>
      </c>
      <c r="T208" s="1117">
        <v>104872</v>
      </c>
      <c r="U208" s="1117">
        <v>718</v>
      </c>
      <c r="V208" s="1117">
        <v>0</v>
      </c>
      <c r="W208" s="1117">
        <v>0</v>
      </c>
      <c r="X208" s="1117" t="s">
        <v>2171</v>
      </c>
      <c r="Y208" s="1117" t="s">
        <v>2171</v>
      </c>
      <c r="Z208" s="1117">
        <v>0</v>
      </c>
      <c r="AA208" s="1116"/>
      <c r="AB208" s="1116"/>
      <c r="AC208" s="1116"/>
      <c r="AD208" s="1116"/>
      <c r="AE208" s="1116"/>
      <c r="AF208" s="1140">
        <f t="shared" si="19"/>
        <v>48056.318966780877</v>
      </c>
      <c r="AG208" s="1117">
        <f>'1.1.1 PrimEnLR'!B208*'3.1.1 CO2LR'!$AG$9*Units!$C$47/1000</f>
        <v>47488.091274755745</v>
      </c>
      <c r="AH208" s="1117">
        <f>'1.1.1 PrimEnLR'!C208*'3.1.1 CO2LR'!$AG$9*Units!$C$47/1000</f>
        <v>568.22769202513473</v>
      </c>
      <c r="AI208" s="1117">
        <f>'1.1.1 PrimEnLR'!D208*Units!$C$14*Units!$C$59/1000</f>
        <v>0</v>
      </c>
      <c r="AJ208" s="1116"/>
      <c r="AK208" s="1116"/>
    </row>
    <row r="209" spans="1:37" x14ac:dyDescent="0.35">
      <c r="A209" s="1116">
        <v>1899</v>
      </c>
      <c r="B209" s="1116"/>
      <c r="C209" s="1119"/>
      <c r="D209" s="1119">
        <f t="shared" si="15"/>
        <v>0.78500000000000003</v>
      </c>
      <c r="E209" s="1119">
        <f t="shared" si="16"/>
        <v>112.357</v>
      </c>
      <c r="F209" s="1139">
        <f t="shared" si="17"/>
        <v>0</v>
      </c>
      <c r="G209" s="1116"/>
      <c r="H209" s="1139">
        <f t="shared" si="18"/>
        <v>113.142</v>
      </c>
      <c r="I209" s="1116"/>
      <c r="J209" s="1116"/>
      <c r="K209" s="1116"/>
      <c r="L209" s="1116"/>
      <c r="M209" s="1116"/>
      <c r="N209" s="1116"/>
      <c r="O209" s="1116"/>
      <c r="P209" s="1116"/>
      <c r="Q209" s="1116"/>
      <c r="R209" s="1116"/>
      <c r="S209" s="1117">
        <v>113142</v>
      </c>
      <c r="T209" s="1117">
        <v>112357</v>
      </c>
      <c r="U209" s="1117">
        <v>785</v>
      </c>
      <c r="V209" s="1117">
        <v>0</v>
      </c>
      <c r="W209" s="1117">
        <v>0</v>
      </c>
      <c r="X209" s="1117" t="s">
        <v>2171</v>
      </c>
      <c r="Y209" s="1117" t="s">
        <v>2171</v>
      </c>
      <c r="Z209" s="1117">
        <v>0</v>
      </c>
      <c r="AA209" s="1116"/>
      <c r="AB209" s="1116"/>
      <c r="AC209" s="1116"/>
      <c r="AD209" s="1116"/>
      <c r="AE209" s="1116"/>
      <c r="AF209" s="1140">
        <f t="shared" si="19"/>
        <v>48652.273047870636</v>
      </c>
      <c r="AG209" s="1117">
        <f>'1.1.1 PrimEnLR'!B209*'3.1.1 CO2LR'!$AG$9*Units!$C$47/1000</f>
        <v>48116.232545371982</v>
      </c>
      <c r="AH209" s="1117">
        <f>'1.1.1 PrimEnLR'!C209*'3.1.1 CO2LR'!$AG$9*Units!$C$47/1000</f>
        <v>536.04050249865656</v>
      </c>
      <c r="AI209" s="1117">
        <f>'1.1.1 PrimEnLR'!D209*Units!$C$14*Units!$C$59/1000</f>
        <v>0</v>
      </c>
      <c r="AJ209" s="1116"/>
      <c r="AK209" s="1116"/>
    </row>
    <row r="210" spans="1:37" x14ac:dyDescent="0.35">
      <c r="A210" s="1116">
        <v>1900</v>
      </c>
      <c r="B210" s="1116"/>
      <c r="C210" s="1119"/>
      <c r="D210" s="1119">
        <f t="shared" si="15"/>
        <v>0.83399999999999996</v>
      </c>
      <c r="E210" s="1119">
        <f t="shared" si="16"/>
        <v>113.724</v>
      </c>
      <c r="F210" s="1139">
        <f t="shared" si="17"/>
        <v>0</v>
      </c>
      <c r="G210" s="1116"/>
      <c r="H210" s="1139">
        <f t="shared" si="18"/>
        <v>114.55800000000001</v>
      </c>
      <c r="I210" s="1116"/>
      <c r="J210" s="1116"/>
      <c r="K210" s="1116"/>
      <c r="L210" s="1116"/>
      <c r="M210" s="1116"/>
      <c r="N210" s="1116"/>
      <c r="O210" s="1116"/>
      <c r="P210" s="1116"/>
      <c r="Q210" s="1116"/>
      <c r="R210" s="1116"/>
      <c r="S210" s="1117">
        <v>114558</v>
      </c>
      <c r="T210" s="1117">
        <v>113724</v>
      </c>
      <c r="U210" s="1117">
        <v>834</v>
      </c>
      <c r="V210" s="1117">
        <v>0</v>
      </c>
      <c r="W210" s="1117">
        <v>0</v>
      </c>
      <c r="X210" s="1117" t="s">
        <v>2171</v>
      </c>
      <c r="Y210" s="1117" t="s">
        <v>2171</v>
      </c>
      <c r="Z210" s="1117">
        <v>0</v>
      </c>
      <c r="AA210" s="1116"/>
      <c r="AB210" s="1116"/>
      <c r="AC210" s="1116"/>
      <c r="AD210" s="1116"/>
      <c r="AE210" s="1116"/>
      <c r="AF210" s="1140">
        <f t="shared" si="19"/>
        <v>56143.122707340292</v>
      </c>
      <c r="AG210" s="1117">
        <f>'1.1.1 PrimEnLR'!B210*'3.1.1 CO2LR'!$AG$9*Units!$C$47/1000</f>
        <v>55574.276030901186</v>
      </c>
      <c r="AH210" s="1117">
        <f>'1.1.1 PrimEnLR'!C210*'3.1.1 CO2LR'!$AG$9*Units!$C$47/1000</f>
        <v>568.84667643910552</v>
      </c>
      <c r="AI210" s="1117">
        <f>'1.1.1 PrimEnLR'!D210*Units!$C$14*Units!$C$59/1000</f>
        <v>0</v>
      </c>
      <c r="AJ210" s="1116"/>
      <c r="AK210" s="1116"/>
    </row>
    <row r="211" spans="1:37" x14ac:dyDescent="0.35">
      <c r="A211" s="1116">
        <v>1901</v>
      </c>
      <c r="B211" s="1116"/>
      <c r="C211" s="1119"/>
      <c r="D211" s="1119">
        <f t="shared" si="15"/>
        <v>0.83</v>
      </c>
      <c r="E211" s="1119">
        <f t="shared" si="16"/>
        <v>111.261</v>
      </c>
      <c r="F211" s="1139">
        <f t="shared" si="17"/>
        <v>0</v>
      </c>
      <c r="G211" s="1116"/>
      <c r="H211" s="1139">
        <f t="shared" si="18"/>
        <v>112.09099999999999</v>
      </c>
      <c r="I211" s="1116"/>
      <c r="J211" s="1116"/>
      <c r="K211" s="1116"/>
      <c r="L211" s="1116"/>
      <c r="M211" s="1116"/>
      <c r="N211" s="1116"/>
      <c r="O211" s="1116"/>
      <c r="P211" s="1116"/>
      <c r="Q211" s="1116"/>
      <c r="R211" s="1116"/>
      <c r="S211" s="1117">
        <v>112091</v>
      </c>
      <c r="T211" s="1117">
        <v>111261</v>
      </c>
      <c r="U211" s="1117">
        <v>830</v>
      </c>
      <c r="V211" s="1117">
        <v>0</v>
      </c>
      <c r="W211" s="1117">
        <v>0</v>
      </c>
      <c r="X211" s="1117" t="s">
        <v>2171</v>
      </c>
      <c r="Y211" s="1117" t="s">
        <v>2171</v>
      </c>
      <c r="Z211" s="1117">
        <v>0</v>
      </c>
      <c r="AA211" s="1116"/>
      <c r="AB211" s="1116"/>
      <c r="AC211" s="1116"/>
      <c r="AD211" s="1116"/>
      <c r="AE211" s="1116"/>
      <c r="AF211" s="1140">
        <f t="shared" si="19"/>
        <v>55304.952514187644</v>
      </c>
      <c r="AG211" s="1117">
        <f>'1.1.1 PrimEnLR'!B211*'3.1.1 CO2LR'!$AG$9*Units!$C$47/1000</f>
        <v>54716.298336501473</v>
      </c>
      <c r="AH211" s="1117">
        <f>'1.1.1 PrimEnLR'!C211*'3.1.1 CO2LR'!$AG$9*Units!$C$47/1000</f>
        <v>588.65417768616896</v>
      </c>
      <c r="AI211" s="1117">
        <f>'1.1.1 PrimEnLR'!D211*Units!$C$14*Units!$C$59/1000</f>
        <v>0</v>
      </c>
      <c r="AJ211" s="1116"/>
      <c r="AK211" s="1116"/>
    </row>
    <row r="212" spans="1:37" x14ac:dyDescent="0.35">
      <c r="A212" s="1116">
        <v>1902</v>
      </c>
      <c r="B212" s="1116"/>
      <c r="C212" s="1119"/>
      <c r="D212" s="1119">
        <f t="shared" si="15"/>
        <v>0.93200000000000005</v>
      </c>
      <c r="E212" s="1119">
        <f t="shared" si="16"/>
        <v>115.509</v>
      </c>
      <c r="F212" s="1139">
        <f t="shared" si="17"/>
        <v>0</v>
      </c>
      <c r="G212" s="1116"/>
      <c r="H212" s="1139">
        <f t="shared" si="18"/>
        <v>116.441</v>
      </c>
      <c r="I212" s="1116"/>
      <c r="J212" s="1116"/>
      <c r="K212" s="1116"/>
      <c r="L212" s="1116"/>
      <c r="M212" s="1116"/>
      <c r="N212" s="1116"/>
      <c r="O212" s="1116"/>
      <c r="P212" s="1116"/>
      <c r="Q212" s="1116"/>
      <c r="R212" s="1116"/>
      <c r="S212" s="1117">
        <v>116441</v>
      </c>
      <c r="T212" s="1117">
        <v>115509</v>
      </c>
      <c r="U212" s="1117">
        <v>932</v>
      </c>
      <c r="V212" s="1117">
        <v>0</v>
      </c>
      <c r="W212" s="1117">
        <v>0</v>
      </c>
      <c r="X212" s="1117" t="s">
        <v>2171</v>
      </c>
      <c r="Y212" s="1117" t="s">
        <v>2171</v>
      </c>
      <c r="Z212" s="1117">
        <v>0</v>
      </c>
      <c r="AA212" s="1116"/>
      <c r="AB212" s="1116"/>
      <c r="AC212" s="1116"/>
      <c r="AD212" s="1116"/>
      <c r="AE212" s="1116"/>
      <c r="AF212" s="1140">
        <f t="shared" si="19"/>
        <v>57253.868662126137</v>
      </c>
      <c r="AG212" s="1117">
        <f>'1.1.1 PrimEnLR'!B212*'3.1.1 CO2LR'!$AG$9*Units!$C$47/1000</f>
        <v>56591.555339177452</v>
      </c>
      <c r="AH212" s="1117">
        <f>'1.1.1 PrimEnLR'!C212*'3.1.1 CO2LR'!$AG$9*Units!$C$47/1000</f>
        <v>662.3133229486865</v>
      </c>
      <c r="AI212" s="1117">
        <f>'1.1.1 PrimEnLR'!D212*Units!$C$14*Units!$C$59/1000</f>
        <v>0</v>
      </c>
      <c r="AJ212" s="1116"/>
      <c r="AK212" s="1116"/>
    </row>
    <row r="213" spans="1:37" x14ac:dyDescent="0.35">
      <c r="A213" s="1116">
        <v>1903</v>
      </c>
      <c r="B213" s="1116"/>
      <c r="C213" s="1119"/>
      <c r="D213" s="1119">
        <f t="shared" si="15"/>
        <v>0.93500000000000005</v>
      </c>
      <c r="E213" s="1119">
        <f t="shared" si="16"/>
        <v>116.419</v>
      </c>
      <c r="F213" s="1139">
        <f t="shared" si="17"/>
        <v>0</v>
      </c>
      <c r="G213" s="1116"/>
      <c r="H213" s="1139">
        <f t="shared" si="18"/>
        <v>117.354</v>
      </c>
      <c r="I213" s="1116"/>
      <c r="J213" s="1116"/>
      <c r="K213" s="1116"/>
      <c r="L213" s="1116"/>
      <c r="M213" s="1116"/>
      <c r="N213" s="1116"/>
      <c r="O213" s="1116"/>
      <c r="P213" s="1116"/>
      <c r="Q213" s="1116"/>
      <c r="R213" s="1116"/>
      <c r="S213" s="1117">
        <v>117354</v>
      </c>
      <c r="T213" s="1117">
        <v>116419</v>
      </c>
      <c r="U213" s="1117">
        <v>935</v>
      </c>
      <c r="V213" s="1117">
        <v>0</v>
      </c>
      <c r="W213" s="1117">
        <v>0</v>
      </c>
      <c r="X213" s="1117" t="s">
        <v>2171</v>
      </c>
      <c r="Y213" s="1117" t="s">
        <v>2171</v>
      </c>
      <c r="Z213" s="1117">
        <v>0</v>
      </c>
      <c r="AA213" s="1116"/>
      <c r="AB213" s="1116"/>
      <c r="AC213" s="1116"/>
      <c r="AD213" s="1116"/>
      <c r="AE213" s="1116"/>
      <c r="AF213" s="1140">
        <f t="shared" si="19"/>
        <v>57402.16452192788</v>
      </c>
      <c r="AG213" s="1117">
        <f>'1.1.1 PrimEnLR'!B213*'3.1.1 CO2LR'!$AG$9*Units!$C$47/1000</f>
        <v>56741.708152221108</v>
      </c>
      <c r="AH213" s="1117">
        <f>'1.1.1 PrimEnLR'!C213*'3.1.1 CO2LR'!$AG$9*Units!$C$47/1000</f>
        <v>660.45636970677413</v>
      </c>
      <c r="AI213" s="1117">
        <f>'1.1.1 PrimEnLR'!D213*Units!$C$14*Units!$C$59/1000</f>
        <v>0</v>
      </c>
      <c r="AJ213" s="1116"/>
      <c r="AK213" s="1116"/>
    </row>
    <row r="214" spans="1:37" x14ac:dyDescent="0.35">
      <c r="A214" s="1116">
        <v>1904</v>
      </c>
      <c r="B214" s="1116"/>
      <c r="C214" s="1119"/>
      <c r="D214" s="1119">
        <f t="shared" si="15"/>
        <v>0.98799999999999999</v>
      </c>
      <c r="E214" s="1119">
        <f t="shared" si="16"/>
        <v>116.914</v>
      </c>
      <c r="F214" s="1139">
        <f t="shared" si="17"/>
        <v>0</v>
      </c>
      <c r="G214" s="1116"/>
      <c r="H214" s="1139">
        <f t="shared" si="18"/>
        <v>117.902</v>
      </c>
      <c r="I214" s="1116"/>
      <c r="J214" s="1116"/>
      <c r="K214" s="1116"/>
      <c r="L214" s="1116"/>
      <c r="M214" s="1116"/>
      <c r="N214" s="1116"/>
      <c r="O214" s="1116"/>
      <c r="P214" s="1116"/>
      <c r="Q214" s="1116"/>
      <c r="R214" s="1116"/>
      <c r="S214" s="1117">
        <v>117902</v>
      </c>
      <c r="T214" s="1117">
        <v>116914</v>
      </c>
      <c r="U214" s="1117">
        <v>988</v>
      </c>
      <c r="V214" s="1117">
        <v>0</v>
      </c>
      <c r="W214" s="1117">
        <v>0</v>
      </c>
      <c r="X214" s="1117" t="s">
        <v>2171</v>
      </c>
      <c r="Y214" s="1117" t="s">
        <v>2171</v>
      </c>
      <c r="Z214" s="1117">
        <v>0</v>
      </c>
      <c r="AA214" s="1116"/>
      <c r="AB214" s="1116"/>
      <c r="AC214" s="1116"/>
      <c r="AD214" s="1116"/>
      <c r="AE214" s="1116"/>
      <c r="AF214" s="1140">
        <f t="shared" si="19"/>
        <v>57985.847381199812</v>
      </c>
      <c r="AG214" s="1117">
        <f>'1.1.1 PrimEnLR'!B214*'3.1.1 CO2LR'!$AG$9*Units!$C$47/1000</f>
        <v>57289.489915482736</v>
      </c>
      <c r="AH214" s="1117">
        <f>'1.1.1 PrimEnLR'!C214*'3.1.1 CO2LR'!$AG$9*Units!$C$47/1000</f>
        <v>696.35746571707693</v>
      </c>
      <c r="AI214" s="1117">
        <f>'1.1.1 PrimEnLR'!D214*Units!$C$14*Units!$C$59/1000</f>
        <v>0</v>
      </c>
      <c r="AJ214" s="1116"/>
      <c r="AK214" s="1116"/>
    </row>
    <row r="215" spans="1:37" x14ac:dyDescent="0.35">
      <c r="A215" s="1116">
        <v>1905</v>
      </c>
      <c r="B215" s="1116"/>
      <c r="C215" s="1119"/>
      <c r="D215" s="1119">
        <f t="shared" si="15"/>
        <v>0.98099999999999998</v>
      </c>
      <c r="E215" s="1119">
        <f t="shared" si="16"/>
        <v>118.471</v>
      </c>
      <c r="F215" s="1139">
        <f t="shared" si="17"/>
        <v>0</v>
      </c>
      <c r="G215" s="1116"/>
      <c r="H215" s="1139">
        <f t="shared" si="18"/>
        <v>119.452</v>
      </c>
      <c r="I215" s="1116"/>
      <c r="J215" s="1116"/>
      <c r="K215" s="1116"/>
      <c r="L215" s="1116"/>
      <c r="M215" s="1116"/>
      <c r="N215" s="1116"/>
      <c r="O215" s="1116"/>
      <c r="P215" s="1116"/>
      <c r="Q215" s="1116"/>
      <c r="R215" s="1116"/>
      <c r="S215" s="1117">
        <v>119452</v>
      </c>
      <c r="T215" s="1117">
        <v>118471</v>
      </c>
      <c r="U215" s="1117">
        <v>981</v>
      </c>
      <c r="V215" s="1117">
        <v>0</v>
      </c>
      <c r="W215" s="1117">
        <v>0</v>
      </c>
      <c r="X215" s="1117" t="s">
        <v>2171</v>
      </c>
      <c r="Y215" s="1117" t="s">
        <v>2171</v>
      </c>
      <c r="Z215" s="1117">
        <v>0</v>
      </c>
      <c r="AA215" s="1116"/>
      <c r="AB215" s="1116"/>
      <c r="AC215" s="1116"/>
      <c r="AD215" s="1116"/>
      <c r="AE215" s="1116"/>
      <c r="AF215" s="1140">
        <f t="shared" si="19"/>
        <v>59144.984031327491</v>
      </c>
      <c r="AG215" s="1117">
        <f>'1.1.1 PrimEnLR'!B215*'3.1.1 CO2LR'!$AG$9*Units!$C$47/1000</f>
        <v>58452.340472094242</v>
      </c>
      <c r="AH215" s="1117">
        <f>'1.1.1 PrimEnLR'!C215*'3.1.1 CO2LR'!$AG$9*Units!$C$47/1000</f>
        <v>692.64355923325229</v>
      </c>
      <c r="AI215" s="1117">
        <f>'1.1.1 PrimEnLR'!D215*Units!$C$14*Units!$C$59/1000</f>
        <v>0</v>
      </c>
      <c r="AJ215" s="1116"/>
      <c r="AK215" s="1116"/>
    </row>
    <row r="216" spans="1:37" x14ac:dyDescent="0.35">
      <c r="A216" s="1116">
        <v>1906</v>
      </c>
      <c r="B216" s="1116"/>
      <c r="C216" s="1119"/>
      <c r="D216" s="1119">
        <f t="shared" si="15"/>
        <v>0.97899999999999998</v>
      </c>
      <c r="E216" s="1119">
        <f t="shared" si="16"/>
        <v>122.752</v>
      </c>
      <c r="F216" s="1139">
        <f t="shared" si="17"/>
        <v>0</v>
      </c>
      <c r="G216" s="1116"/>
      <c r="H216" s="1139">
        <f t="shared" si="18"/>
        <v>123.73099999999999</v>
      </c>
      <c r="I216" s="1116"/>
      <c r="J216" s="1116"/>
      <c r="K216" s="1116"/>
      <c r="L216" s="1116"/>
      <c r="M216" s="1116"/>
      <c r="N216" s="1116"/>
      <c r="O216" s="1116"/>
      <c r="P216" s="1116"/>
      <c r="Q216" s="1116"/>
      <c r="R216" s="1116"/>
      <c r="S216" s="1117">
        <v>123731</v>
      </c>
      <c r="T216" s="1117">
        <v>122752</v>
      </c>
      <c r="U216" s="1117">
        <v>979</v>
      </c>
      <c r="V216" s="1117">
        <v>0</v>
      </c>
      <c r="W216" s="1117">
        <v>0</v>
      </c>
      <c r="X216" s="1117" t="s">
        <v>2171</v>
      </c>
      <c r="Y216" s="1117" t="s">
        <v>2171</v>
      </c>
      <c r="Z216" s="1117">
        <v>0</v>
      </c>
      <c r="AA216" s="1116"/>
      <c r="AB216" s="1116"/>
      <c r="AC216" s="1116"/>
      <c r="AD216" s="1116"/>
      <c r="AE216" s="1116"/>
      <c r="AF216" s="1140">
        <f t="shared" si="19"/>
        <v>61327.502460743373</v>
      </c>
      <c r="AG216" s="1117">
        <f>'1.1.1 PrimEnLR'!B216*'3.1.1 CO2LR'!$AG$9*Units!$C$47/1000</f>
        <v>60634.239917096151</v>
      </c>
      <c r="AH216" s="1117">
        <f>'1.1.1 PrimEnLR'!C216*'3.1.1 CO2LR'!$AG$9*Units!$C$47/1000</f>
        <v>693.26254364722331</v>
      </c>
      <c r="AI216" s="1117">
        <f>'1.1.1 PrimEnLR'!D216*Units!$C$14*Units!$C$59/1000</f>
        <v>0</v>
      </c>
      <c r="AJ216" s="1116"/>
      <c r="AK216" s="1116"/>
    </row>
    <row r="217" spans="1:37" x14ac:dyDescent="0.35">
      <c r="A217" s="1116">
        <v>1907</v>
      </c>
      <c r="B217" s="1116"/>
      <c r="C217" s="1119"/>
      <c r="D217" s="1119">
        <f t="shared" si="15"/>
        <v>0.995</v>
      </c>
      <c r="E217" s="1119">
        <f t="shared" si="16"/>
        <v>128.25399999999999</v>
      </c>
      <c r="F217" s="1139">
        <f t="shared" si="17"/>
        <v>0</v>
      </c>
      <c r="G217" s="1116"/>
      <c r="H217" s="1139">
        <f t="shared" si="18"/>
        <v>129.249</v>
      </c>
      <c r="I217" s="1116"/>
      <c r="J217" s="1116"/>
      <c r="K217" s="1116"/>
      <c r="L217" s="1116"/>
      <c r="M217" s="1116"/>
      <c r="N217" s="1116"/>
      <c r="O217" s="1116"/>
      <c r="P217" s="1116"/>
      <c r="Q217" s="1116"/>
      <c r="R217" s="1116"/>
      <c r="S217" s="1117">
        <v>129249</v>
      </c>
      <c r="T217" s="1117">
        <v>128254</v>
      </c>
      <c r="U217" s="1117">
        <v>995</v>
      </c>
      <c r="V217" s="1117">
        <v>0</v>
      </c>
      <c r="W217" s="1117">
        <v>0</v>
      </c>
      <c r="X217" s="1117" t="s">
        <v>2171</v>
      </c>
      <c r="Y217" s="1117" t="s">
        <v>2171</v>
      </c>
      <c r="Z217" s="1117">
        <v>0</v>
      </c>
      <c r="AA217" s="1116"/>
      <c r="AB217" s="1116"/>
      <c r="AC217" s="1116"/>
      <c r="AD217" s="1116"/>
      <c r="AE217" s="1116"/>
      <c r="AF217" s="1140">
        <f t="shared" si="19"/>
        <v>64625.231500257862</v>
      </c>
      <c r="AG217" s="1117">
        <f>'1.1.1 PrimEnLR'!B217*'3.1.1 CO2LR'!$AG$9*Units!$C$47/1000</f>
        <v>63915.256377433427</v>
      </c>
      <c r="AH217" s="1117">
        <f>'1.1.1 PrimEnLR'!C217*'3.1.1 CO2LR'!$AG$9*Units!$C$47/1000</f>
        <v>709.97512282443302</v>
      </c>
      <c r="AI217" s="1117">
        <f>'1.1.1 PrimEnLR'!D217*Units!$C$14*Units!$C$59/1000</f>
        <v>0</v>
      </c>
      <c r="AJ217" s="1116"/>
      <c r="AK217" s="1116"/>
    </row>
    <row r="218" spans="1:37" x14ac:dyDescent="0.35">
      <c r="A218" s="1116">
        <v>1908</v>
      </c>
      <c r="B218" s="1116"/>
      <c r="C218" s="1119"/>
      <c r="D218" s="1119">
        <f t="shared" si="15"/>
        <v>1.1240000000000001</v>
      </c>
      <c r="E218" s="1119">
        <f t="shared" si="16"/>
        <v>124.958</v>
      </c>
      <c r="F218" s="1139">
        <f t="shared" si="17"/>
        <v>0</v>
      </c>
      <c r="G218" s="1116"/>
      <c r="H218" s="1139">
        <f t="shared" si="18"/>
        <v>126.08199999999999</v>
      </c>
      <c r="I218" s="1116"/>
      <c r="J218" s="1116"/>
      <c r="K218" s="1116"/>
      <c r="L218" s="1116"/>
      <c r="M218" s="1116"/>
      <c r="N218" s="1116"/>
      <c r="O218" s="1116"/>
      <c r="P218" s="1116"/>
      <c r="Q218" s="1116"/>
      <c r="R218" s="1116"/>
      <c r="S218" s="1117">
        <v>126082</v>
      </c>
      <c r="T218" s="1117">
        <v>124958</v>
      </c>
      <c r="U218" s="1117">
        <v>1124</v>
      </c>
      <c r="V218" s="1117">
        <v>0</v>
      </c>
      <c r="W218" s="1117">
        <v>0</v>
      </c>
      <c r="X218" s="1117" t="s">
        <v>2171</v>
      </c>
      <c r="Y218" s="1117" t="s">
        <v>2171</v>
      </c>
      <c r="Z218" s="1117">
        <v>0</v>
      </c>
      <c r="AA218" s="1116"/>
      <c r="AB218" s="1116"/>
      <c r="AC218" s="1116"/>
      <c r="AD218" s="1116"/>
      <c r="AE218" s="1116"/>
      <c r="AF218" s="1140">
        <f t="shared" si="19"/>
        <v>63031.083399451272</v>
      </c>
      <c r="AG218" s="1117">
        <f>'1.1.1 PrimEnLR'!B218*'3.1.1 CO2LR'!$AG$9*Units!$C$47/1000</f>
        <v>62235.688427498877</v>
      </c>
      <c r="AH218" s="1117">
        <f>'1.1.1 PrimEnLR'!C218*'3.1.1 CO2LR'!$AG$9*Units!$C$47/1000</f>
        <v>795.3949719523946</v>
      </c>
      <c r="AI218" s="1117">
        <f>'1.1.1 PrimEnLR'!D218*Units!$C$14*Units!$C$59/1000</f>
        <v>0</v>
      </c>
      <c r="AJ218" s="1116"/>
      <c r="AK218" s="1116"/>
    </row>
    <row r="219" spans="1:37" x14ac:dyDescent="0.35">
      <c r="A219" s="1116">
        <v>1909</v>
      </c>
      <c r="B219" s="1116"/>
      <c r="C219" s="1119"/>
      <c r="D219" s="1119">
        <f t="shared" si="15"/>
        <v>1.171</v>
      </c>
      <c r="E219" s="1119">
        <f t="shared" si="16"/>
        <v>126.036</v>
      </c>
      <c r="F219" s="1139">
        <f t="shared" si="17"/>
        <v>0</v>
      </c>
      <c r="G219" s="1116"/>
      <c r="H219" s="1139">
        <f t="shared" si="18"/>
        <v>127.20700000000001</v>
      </c>
      <c r="I219" s="1116"/>
      <c r="J219" s="1116"/>
      <c r="K219" s="1116"/>
      <c r="L219" s="1116"/>
      <c r="M219" s="1116"/>
      <c r="N219" s="1116"/>
      <c r="O219" s="1116"/>
      <c r="P219" s="1116"/>
      <c r="Q219" s="1116"/>
      <c r="R219" s="1116"/>
      <c r="S219" s="1117">
        <v>127207</v>
      </c>
      <c r="T219" s="1117">
        <v>126036</v>
      </c>
      <c r="U219" s="1117">
        <v>1171</v>
      </c>
      <c r="V219" s="1117">
        <v>0</v>
      </c>
      <c r="W219" s="1117">
        <v>0</v>
      </c>
      <c r="X219" s="1117" t="s">
        <v>2171</v>
      </c>
      <c r="Y219" s="1117" t="s">
        <v>2171</v>
      </c>
      <c r="Z219" s="1117">
        <v>0</v>
      </c>
      <c r="AA219" s="1116"/>
      <c r="AB219" s="1116"/>
      <c r="AC219" s="1116"/>
      <c r="AD219" s="1116"/>
      <c r="AE219" s="1116"/>
      <c r="AF219" s="1140">
        <f t="shared" si="19"/>
        <v>64118.868735528929</v>
      </c>
      <c r="AG219" s="1117">
        <f>'1.1.1 PrimEnLR'!B219*'3.1.1 CO2LR'!$AG$9*Units!$C$47/1000</f>
        <v>63285.715714324317</v>
      </c>
      <c r="AH219" s="1117">
        <f>'1.1.1 PrimEnLR'!C219*'3.1.1 CO2LR'!$AG$9*Units!$C$47/1000</f>
        <v>833.15302120460933</v>
      </c>
      <c r="AI219" s="1117">
        <f>'1.1.1 PrimEnLR'!D219*Units!$C$14*Units!$C$59/1000</f>
        <v>0</v>
      </c>
      <c r="AJ219" s="1116"/>
      <c r="AK219" s="1116"/>
    </row>
    <row r="220" spans="1:37" x14ac:dyDescent="0.35">
      <c r="A220" s="1116">
        <v>1910</v>
      </c>
      <c r="B220" s="1116"/>
      <c r="C220" s="1119"/>
      <c r="D220" s="1119">
        <f t="shared" si="15"/>
        <v>1.1299999999999999</v>
      </c>
      <c r="E220" s="1119">
        <f t="shared" si="16"/>
        <v>127.072</v>
      </c>
      <c r="F220" s="1139">
        <f t="shared" si="17"/>
        <v>0</v>
      </c>
      <c r="G220" s="1116"/>
      <c r="H220" s="1139">
        <f t="shared" si="18"/>
        <v>128.202</v>
      </c>
      <c r="I220" s="1116"/>
      <c r="J220" s="1116"/>
      <c r="K220" s="1116"/>
      <c r="L220" s="1116"/>
      <c r="M220" s="1116"/>
      <c r="N220" s="1116"/>
      <c r="O220" s="1116"/>
      <c r="P220" s="1116"/>
      <c r="Q220" s="1116"/>
      <c r="R220" s="1116"/>
      <c r="S220" s="1117">
        <v>128202</v>
      </c>
      <c r="T220" s="1117">
        <v>127072</v>
      </c>
      <c r="U220" s="1117">
        <v>1130</v>
      </c>
      <c r="V220" s="1117">
        <v>0</v>
      </c>
      <c r="W220" s="1117">
        <v>0</v>
      </c>
      <c r="X220" s="1117" t="s">
        <v>2171</v>
      </c>
      <c r="Y220" s="1117" t="s">
        <v>2171</v>
      </c>
      <c r="Z220" s="1117">
        <v>0</v>
      </c>
      <c r="AA220" s="1116"/>
      <c r="AB220" s="1116"/>
      <c r="AC220" s="1116"/>
      <c r="AD220" s="1116"/>
      <c r="AE220" s="1116"/>
      <c r="AF220" s="1140">
        <f t="shared" si="19"/>
        <v>65172.558897738847</v>
      </c>
      <c r="AG220" s="1117">
        <f>'1.1.1 PrimEnLR'!B220*'3.1.1 CO2LR'!$AG$9*Units!$C$47/1000</f>
        <v>64368.498143990859</v>
      </c>
      <c r="AH220" s="1117">
        <f>'1.1.1 PrimEnLR'!C220*'3.1.1 CO2LR'!$AG$9*Units!$C$47/1000</f>
        <v>804.06075374798468</v>
      </c>
      <c r="AI220" s="1117">
        <f>'1.1.1 PrimEnLR'!D220*Units!$C$14*Units!$C$59/1000</f>
        <v>0</v>
      </c>
      <c r="AJ220" s="1116"/>
      <c r="AK220" s="1116"/>
    </row>
    <row r="221" spans="1:37" x14ac:dyDescent="0.35">
      <c r="A221" s="1116">
        <v>1911</v>
      </c>
      <c r="B221" s="1116"/>
      <c r="C221" s="1119"/>
      <c r="D221" s="1119">
        <f t="shared" si="15"/>
        <v>1.196</v>
      </c>
      <c r="E221" s="1119">
        <f t="shared" si="16"/>
        <v>130.17699999999999</v>
      </c>
      <c r="F221" s="1139">
        <f t="shared" si="17"/>
        <v>0</v>
      </c>
      <c r="G221" s="1116"/>
      <c r="H221" s="1139">
        <f t="shared" si="18"/>
        <v>131.37299999999999</v>
      </c>
      <c r="I221" s="1116"/>
      <c r="J221" s="1116"/>
      <c r="K221" s="1116"/>
      <c r="L221" s="1116"/>
      <c r="M221" s="1116"/>
      <c r="N221" s="1116"/>
      <c r="O221" s="1116"/>
      <c r="P221" s="1116"/>
      <c r="Q221" s="1116"/>
      <c r="R221" s="1116"/>
      <c r="S221" s="1117">
        <v>131373</v>
      </c>
      <c r="T221" s="1117">
        <v>130177</v>
      </c>
      <c r="U221" s="1117">
        <v>1196</v>
      </c>
      <c r="V221" s="1117">
        <v>0</v>
      </c>
      <c r="W221" s="1117">
        <v>0</v>
      </c>
      <c r="X221" s="1117" t="s">
        <v>2171</v>
      </c>
      <c r="Y221" s="1117" t="s">
        <v>2171</v>
      </c>
      <c r="Z221" s="1117">
        <v>0</v>
      </c>
      <c r="AA221" s="1116"/>
      <c r="AB221" s="1116"/>
      <c r="AC221" s="1116"/>
      <c r="AD221" s="1116"/>
      <c r="AE221" s="1116"/>
      <c r="AF221" s="1140">
        <f t="shared" si="19"/>
        <v>67427.447472489992</v>
      </c>
      <c r="AG221" s="1117">
        <f>'1.1.1 PrimEnLR'!B221*'3.1.1 CO2LR'!$AG$9*Units!$C$47/1000</f>
        <v>66583.152731833907</v>
      </c>
      <c r="AH221" s="1117">
        <f>'1.1.1 PrimEnLR'!C221*'3.1.1 CO2LR'!$AG$9*Units!$C$47/1000</f>
        <v>844.29474065608247</v>
      </c>
      <c r="AI221" s="1117">
        <f>'1.1.1 PrimEnLR'!D221*Units!$C$14*Units!$C$59/1000</f>
        <v>0</v>
      </c>
      <c r="AJ221" s="1116"/>
      <c r="AK221" s="1116"/>
    </row>
    <row r="222" spans="1:37" x14ac:dyDescent="0.35">
      <c r="A222" s="1116">
        <v>1912</v>
      </c>
      <c r="B222" s="1116"/>
      <c r="C222" s="1119"/>
      <c r="D222" s="1119">
        <f t="shared" si="15"/>
        <v>1.355</v>
      </c>
      <c r="E222" s="1119">
        <f t="shared" si="16"/>
        <v>123.068</v>
      </c>
      <c r="F222" s="1139">
        <f t="shared" si="17"/>
        <v>0</v>
      </c>
      <c r="G222" s="1116"/>
      <c r="H222" s="1139">
        <f t="shared" si="18"/>
        <v>124.423</v>
      </c>
      <c r="I222" s="1116"/>
      <c r="J222" s="1116"/>
      <c r="K222" s="1116"/>
      <c r="L222" s="1116"/>
      <c r="M222" s="1116"/>
      <c r="N222" s="1116"/>
      <c r="O222" s="1116"/>
      <c r="P222" s="1116"/>
      <c r="Q222" s="1116"/>
      <c r="R222" s="1116"/>
      <c r="S222" s="1117">
        <v>124423</v>
      </c>
      <c r="T222" s="1117">
        <v>123068</v>
      </c>
      <c r="U222" s="1117">
        <v>1355</v>
      </c>
      <c r="V222" s="1117">
        <v>0</v>
      </c>
      <c r="W222" s="1117">
        <v>0</v>
      </c>
      <c r="X222" s="1117" t="s">
        <v>2171</v>
      </c>
      <c r="Y222" s="1117" t="s">
        <v>2171</v>
      </c>
      <c r="Z222" s="1117">
        <v>0</v>
      </c>
      <c r="AA222" s="1116"/>
      <c r="AB222" s="1116"/>
      <c r="AC222" s="1116"/>
      <c r="AD222" s="1116"/>
      <c r="AE222" s="1116"/>
      <c r="AF222" s="1140">
        <f t="shared" si="19"/>
        <v>66171.969104477248</v>
      </c>
      <c r="AG222" s="1117">
        <f>'1.1.1 PrimEnLR'!B222*'3.1.1 CO2LR'!$AG$9*Units!$C$47/1000</f>
        <v>65202.020527785113</v>
      </c>
      <c r="AH222" s="1117">
        <f>'1.1.1 PrimEnLR'!C222*'3.1.1 CO2LR'!$AG$9*Units!$C$47/1000</f>
        <v>969.94857669214184</v>
      </c>
      <c r="AI222" s="1117">
        <f>'1.1.1 PrimEnLR'!D222*Units!$C$14*Units!$C$59/1000</f>
        <v>0</v>
      </c>
      <c r="AJ222" s="1116"/>
      <c r="AK222" s="1116"/>
    </row>
    <row r="223" spans="1:37" x14ac:dyDescent="0.35">
      <c r="A223" s="1116">
        <v>1913</v>
      </c>
      <c r="B223" s="1116"/>
      <c r="C223" s="1119"/>
      <c r="D223" s="1119">
        <f t="shared" si="15"/>
        <v>1.597</v>
      </c>
      <c r="E223" s="1119">
        <f t="shared" si="16"/>
        <v>134.40799999999999</v>
      </c>
      <c r="F223" s="1139">
        <f t="shared" si="17"/>
        <v>0</v>
      </c>
      <c r="G223" s="1116"/>
      <c r="H223" s="1139">
        <f t="shared" si="18"/>
        <v>136.005</v>
      </c>
      <c r="I223" s="1116"/>
      <c r="J223" s="1116"/>
      <c r="K223" s="1116"/>
      <c r="L223" s="1116"/>
      <c r="M223" s="1116"/>
      <c r="N223" s="1116"/>
      <c r="O223" s="1116"/>
      <c r="P223" s="1116"/>
      <c r="Q223" s="1116"/>
      <c r="R223" s="1116"/>
      <c r="S223" s="1117">
        <v>136005</v>
      </c>
      <c r="T223" s="1117">
        <v>134408</v>
      </c>
      <c r="U223" s="1117">
        <v>1597</v>
      </c>
      <c r="V223" s="1117">
        <v>0</v>
      </c>
      <c r="W223" s="1117">
        <v>0</v>
      </c>
      <c r="X223" s="1117" t="s">
        <v>2171</v>
      </c>
      <c r="Y223" s="1117" t="s">
        <v>2171</v>
      </c>
      <c r="Z223" s="1117">
        <v>0</v>
      </c>
      <c r="AA223" s="1116"/>
      <c r="AB223" s="1116"/>
      <c r="AC223" s="1116"/>
      <c r="AD223" s="1116"/>
      <c r="AE223" s="1116"/>
      <c r="AF223" s="1140">
        <f t="shared" si="19"/>
        <v>69695.370842002172</v>
      </c>
      <c r="AG223" s="1117">
        <f>'1.1.1 PrimEnLR'!B223*'3.1.1 CO2LR'!$AG$9*Units!$C$47/1000</f>
        <v>68560.153426779842</v>
      </c>
      <c r="AH223" s="1117">
        <f>'1.1.1 PrimEnLR'!C223*'3.1.1 CO2LR'!$AG$9*Units!$C$47/1000</f>
        <v>1135.2174152223281</v>
      </c>
      <c r="AI223" s="1117">
        <f>'1.1.1 PrimEnLR'!D223*Units!$C$14*Units!$C$59/1000</f>
        <v>0</v>
      </c>
      <c r="AJ223" s="1116"/>
      <c r="AK223" s="1116"/>
    </row>
    <row r="224" spans="1:37" x14ac:dyDescent="0.35">
      <c r="A224" s="1116">
        <v>1914</v>
      </c>
      <c r="B224" s="1116"/>
      <c r="C224" s="1119"/>
      <c r="D224" s="1119">
        <f t="shared" si="15"/>
        <v>2.1150000000000002</v>
      </c>
      <c r="E224" s="1119">
        <f t="shared" si="16"/>
        <v>129.75800000000001</v>
      </c>
      <c r="F224" s="1139">
        <f t="shared" si="17"/>
        <v>0</v>
      </c>
      <c r="G224" s="1116"/>
      <c r="H224" s="1139">
        <f t="shared" si="18"/>
        <v>131.87300000000002</v>
      </c>
      <c r="I224" s="1116"/>
      <c r="J224" s="1116"/>
      <c r="K224" s="1116"/>
      <c r="L224" s="1116"/>
      <c r="M224" s="1116"/>
      <c r="N224" s="1116"/>
      <c r="O224" s="1116"/>
      <c r="P224" s="1116"/>
      <c r="Q224" s="1116"/>
      <c r="R224" s="1116"/>
      <c r="S224" s="1117">
        <v>131873</v>
      </c>
      <c r="T224" s="1117">
        <v>129758</v>
      </c>
      <c r="U224" s="1117">
        <v>2115</v>
      </c>
      <c r="V224" s="1117">
        <v>0</v>
      </c>
      <c r="W224" s="1117">
        <v>0</v>
      </c>
      <c r="X224" s="1117" t="s">
        <v>2171</v>
      </c>
      <c r="Y224" s="1117" t="s">
        <v>2171</v>
      </c>
      <c r="Z224" s="1117">
        <v>0</v>
      </c>
      <c r="AA224" s="1116"/>
      <c r="AB224" s="1116"/>
      <c r="AC224" s="1116"/>
      <c r="AD224" s="1116"/>
      <c r="AE224" s="1116"/>
      <c r="AF224" s="1140">
        <f t="shared" si="19"/>
        <v>69020.551733947636</v>
      </c>
      <c r="AG224" s="1117">
        <f>'1.1.1 PrimEnLR'!B224*'3.1.1 CO2LR'!$AG$9*Units!$C$47/1000</f>
        <v>67537.465078073757</v>
      </c>
      <c r="AH224" s="1117">
        <f>'1.1.1 PrimEnLR'!C224*'3.1.1 CO2LR'!$AG$9*Units!$C$47/1000</f>
        <v>1483.0866558738812</v>
      </c>
      <c r="AI224" s="1117">
        <f>'1.1.1 PrimEnLR'!D224*Units!$C$14*Units!$C$59/1000</f>
        <v>0</v>
      </c>
      <c r="AJ224" s="1116"/>
      <c r="AK224" s="1116"/>
    </row>
    <row r="225" spans="1:37" x14ac:dyDescent="0.35">
      <c r="A225" s="1116">
        <v>1915</v>
      </c>
      <c r="B225" s="1116"/>
      <c r="C225" s="1119"/>
      <c r="D225" s="1119">
        <f t="shared" si="15"/>
        <v>1.925</v>
      </c>
      <c r="E225" s="1119">
        <f t="shared" si="16"/>
        <v>131.667</v>
      </c>
      <c r="F225" s="1139">
        <f t="shared" si="17"/>
        <v>0</v>
      </c>
      <c r="G225" s="1116"/>
      <c r="H225" s="1139">
        <f t="shared" si="18"/>
        <v>133.59200000000001</v>
      </c>
      <c r="I225" s="1116"/>
      <c r="J225" s="1116"/>
      <c r="K225" s="1116"/>
      <c r="L225" s="1116"/>
      <c r="M225" s="1116"/>
      <c r="N225" s="1116"/>
      <c r="O225" s="1116"/>
      <c r="P225" s="1116"/>
      <c r="Q225" s="1116"/>
      <c r="R225" s="1116"/>
      <c r="S225" s="1117">
        <v>133592</v>
      </c>
      <c r="T225" s="1117">
        <v>131667</v>
      </c>
      <c r="U225" s="1117">
        <v>1925</v>
      </c>
      <c r="V225" s="1117">
        <v>0</v>
      </c>
      <c r="W225" s="1117">
        <v>0</v>
      </c>
      <c r="X225" s="1117" t="s">
        <v>2171</v>
      </c>
      <c r="Y225" s="1117" t="s">
        <v>2171</v>
      </c>
      <c r="Z225" s="1117">
        <v>0</v>
      </c>
      <c r="AA225" s="1116"/>
      <c r="AB225" s="1116"/>
      <c r="AC225" s="1116"/>
      <c r="AD225" s="1116"/>
      <c r="AE225" s="1116"/>
      <c r="AF225" s="1140">
        <f t="shared" si="19"/>
        <v>70366.701172778659</v>
      </c>
      <c r="AG225" s="1117">
        <f>'1.1.1 PrimEnLR'!B225*'3.1.1 CO2LR'!$AG$9*Units!$C$47/1000</f>
        <v>68996.888664661426</v>
      </c>
      <c r="AH225" s="1117">
        <f>'1.1.1 PrimEnLR'!C225*'3.1.1 CO2LR'!$AG$9*Units!$C$47/1000</f>
        <v>1369.8125081172363</v>
      </c>
      <c r="AI225" s="1117">
        <f>'1.1.1 PrimEnLR'!D225*Units!$C$14*Units!$C$59/1000</f>
        <v>0</v>
      </c>
      <c r="AJ225" s="1116"/>
      <c r="AK225" s="1116"/>
    </row>
    <row r="226" spans="1:37" x14ac:dyDescent="0.35">
      <c r="A226" s="1116">
        <v>1916</v>
      </c>
      <c r="B226" s="1116"/>
      <c r="C226" s="1119"/>
      <c r="D226" s="1119">
        <f t="shared" si="15"/>
        <v>1.4770000000000001</v>
      </c>
      <c r="E226" s="1119">
        <f t="shared" si="16"/>
        <v>136.916</v>
      </c>
      <c r="F226" s="1139">
        <f t="shared" si="17"/>
        <v>0</v>
      </c>
      <c r="G226" s="1116"/>
      <c r="H226" s="1139">
        <f t="shared" si="18"/>
        <v>138.393</v>
      </c>
      <c r="I226" s="1116"/>
      <c r="J226" s="1116"/>
      <c r="K226" s="1116"/>
      <c r="L226" s="1116"/>
      <c r="M226" s="1116"/>
      <c r="N226" s="1116"/>
      <c r="O226" s="1116"/>
      <c r="P226" s="1116"/>
      <c r="Q226" s="1116"/>
      <c r="R226" s="1116"/>
      <c r="S226" s="1117">
        <v>138393</v>
      </c>
      <c r="T226" s="1117">
        <v>136916</v>
      </c>
      <c r="U226" s="1117">
        <v>1477</v>
      </c>
      <c r="V226" s="1117">
        <v>0</v>
      </c>
      <c r="W226" s="1117">
        <v>0</v>
      </c>
      <c r="X226" s="1117" t="s">
        <v>2171</v>
      </c>
      <c r="Y226" s="1117" t="s">
        <v>2171</v>
      </c>
      <c r="Z226" s="1117">
        <v>0</v>
      </c>
      <c r="AA226" s="1116"/>
      <c r="AB226" s="1116"/>
      <c r="AC226" s="1116"/>
      <c r="AD226" s="1116"/>
      <c r="AE226" s="1116"/>
      <c r="AF226" s="1140">
        <f t="shared" si="19"/>
        <v>73272.807239017624</v>
      </c>
      <c r="AG226" s="1117">
        <f>'1.1.1 PrimEnLR'!B226*'3.1.1 CO2LR'!$AG$9*Units!$C$47/1000</f>
        <v>72236.008345616647</v>
      </c>
      <c r="AH226" s="1117">
        <f>'1.1.1 PrimEnLR'!C226*'3.1.1 CO2LR'!$AG$9*Units!$C$47/1000</f>
        <v>1036.7988934009813</v>
      </c>
      <c r="AI226" s="1117">
        <f>'1.1.1 PrimEnLR'!D226*Units!$C$14*Units!$C$59/1000</f>
        <v>0</v>
      </c>
      <c r="AJ226" s="1116"/>
      <c r="AK226" s="1116"/>
    </row>
    <row r="227" spans="1:37" x14ac:dyDescent="0.35">
      <c r="A227" s="1116">
        <v>1917</v>
      </c>
      <c r="B227" s="1116"/>
      <c r="C227" s="1119"/>
      <c r="D227" s="1119">
        <f t="shared" si="15"/>
        <v>2.7040000000000002</v>
      </c>
      <c r="E227" s="1119">
        <f t="shared" si="16"/>
        <v>134.077</v>
      </c>
      <c r="F227" s="1139">
        <f t="shared" si="17"/>
        <v>0</v>
      </c>
      <c r="G227" s="1116"/>
      <c r="H227" s="1139">
        <f t="shared" si="18"/>
        <v>136.78100000000001</v>
      </c>
      <c r="I227" s="1116"/>
      <c r="J227" s="1116"/>
      <c r="K227" s="1116"/>
      <c r="L227" s="1116"/>
      <c r="M227" s="1116"/>
      <c r="N227" s="1116"/>
      <c r="O227" s="1116"/>
      <c r="P227" s="1116"/>
      <c r="Q227" s="1116"/>
      <c r="R227" s="1116"/>
      <c r="S227" s="1117">
        <v>136782</v>
      </c>
      <c r="T227" s="1117">
        <v>134077</v>
      </c>
      <c r="U227" s="1117">
        <v>2704</v>
      </c>
      <c r="V227" s="1117">
        <v>0</v>
      </c>
      <c r="W227" s="1117">
        <v>0</v>
      </c>
      <c r="X227" s="1117" t="s">
        <v>2171</v>
      </c>
      <c r="Y227" s="1117" t="s">
        <v>2171</v>
      </c>
      <c r="Z227" s="1117">
        <v>0</v>
      </c>
      <c r="AA227" s="1116"/>
      <c r="AB227" s="1116"/>
      <c r="AC227" s="1116"/>
      <c r="AD227" s="1116"/>
      <c r="AE227" s="1116"/>
      <c r="AF227" s="1140">
        <f t="shared" si="19"/>
        <v>74941.011073143309</v>
      </c>
      <c r="AG227" s="1117">
        <f>'1.1.1 PrimEnLR'!B227*'3.1.1 CO2LR'!$AG$9*Units!$C$47/1000</f>
        <v>72960.26094843696</v>
      </c>
      <c r="AH227" s="1117">
        <f>'1.1.1 PrimEnLR'!C227*'3.1.1 CO2LR'!$AG$9*Units!$C$47/1000</f>
        <v>1980.7501247063519</v>
      </c>
      <c r="AI227" s="1117">
        <f>'1.1.1 PrimEnLR'!D227*Units!$C$14*Units!$C$59/1000</f>
        <v>0</v>
      </c>
      <c r="AJ227" s="1116"/>
      <c r="AK227" s="1116"/>
    </row>
    <row r="228" spans="1:37" x14ac:dyDescent="0.35">
      <c r="A228" s="1116">
        <v>1918</v>
      </c>
      <c r="B228" s="1116"/>
      <c r="C228" s="1119"/>
      <c r="D228" s="1119">
        <f t="shared" si="15"/>
        <v>4.3319999999999999</v>
      </c>
      <c r="E228" s="1119">
        <f t="shared" si="16"/>
        <v>123.083</v>
      </c>
      <c r="F228" s="1139">
        <f t="shared" si="17"/>
        <v>0</v>
      </c>
      <c r="G228" s="1116"/>
      <c r="H228" s="1139">
        <f t="shared" si="18"/>
        <v>127.41499999999999</v>
      </c>
      <c r="I228" s="1116"/>
      <c r="J228" s="1116"/>
      <c r="K228" s="1116"/>
      <c r="L228" s="1116"/>
      <c r="M228" s="1116"/>
      <c r="N228" s="1116"/>
      <c r="O228" s="1116"/>
      <c r="P228" s="1116"/>
      <c r="Q228" s="1116"/>
      <c r="R228" s="1116"/>
      <c r="S228" s="1117">
        <v>127415</v>
      </c>
      <c r="T228" s="1117">
        <v>123083</v>
      </c>
      <c r="U228" s="1117">
        <v>4332</v>
      </c>
      <c r="V228" s="1117">
        <v>0</v>
      </c>
      <c r="W228" s="1117">
        <v>0</v>
      </c>
      <c r="X228" s="1117" t="s">
        <v>2171</v>
      </c>
      <c r="Y228" s="1117" t="s">
        <v>2171</v>
      </c>
      <c r="Z228" s="1117">
        <v>0</v>
      </c>
      <c r="AA228" s="1116"/>
      <c r="AB228" s="1116"/>
      <c r="AC228" s="1116"/>
      <c r="AD228" s="1116"/>
      <c r="AE228" s="1116"/>
      <c r="AF228" s="1140">
        <f t="shared" si="19"/>
        <v>72515.304747091781</v>
      </c>
      <c r="AG228" s="1117">
        <f>'1.1.1 PrimEnLR'!B228*'3.1.1 CO2LR'!$AG$9*Units!$C$47/1000</f>
        <v>69324.440093072641</v>
      </c>
      <c r="AH228" s="1117">
        <f>'1.1.1 PrimEnLR'!C228*'3.1.1 CO2LR'!$AG$9*Units!$C$47/1000</f>
        <v>3190.8646540191389</v>
      </c>
      <c r="AI228" s="1117">
        <f>'1.1.1 PrimEnLR'!D228*Units!$C$14*Units!$C$59/1000</f>
        <v>0</v>
      </c>
      <c r="AJ228" s="1116"/>
      <c r="AK228" s="1116"/>
    </row>
    <row r="229" spans="1:37" x14ac:dyDescent="0.35">
      <c r="A229" s="1116">
        <v>1919</v>
      </c>
      <c r="B229" s="1116"/>
      <c r="C229" s="1119"/>
      <c r="D229" s="1119">
        <f t="shared" si="15"/>
        <v>2.3340000000000001</v>
      </c>
      <c r="E229" s="1119">
        <f t="shared" si="16"/>
        <v>122.15600000000001</v>
      </c>
      <c r="F229" s="1139">
        <f t="shared" si="17"/>
        <v>0</v>
      </c>
      <c r="G229" s="1116"/>
      <c r="H229" s="1139">
        <f t="shared" si="18"/>
        <v>124.49000000000001</v>
      </c>
      <c r="I229" s="1116"/>
      <c r="J229" s="1116"/>
      <c r="K229" s="1116"/>
      <c r="L229" s="1116"/>
      <c r="M229" s="1116"/>
      <c r="N229" s="1116"/>
      <c r="O229" s="1116"/>
      <c r="P229" s="1116"/>
      <c r="Q229" s="1116"/>
      <c r="R229" s="1116"/>
      <c r="S229" s="1117">
        <v>124490</v>
      </c>
      <c r="T229" s="1117">
        <v>122156</v>
      </c>
      <c r="U229" s="1117">
        <v>2334</v>
      </c>
      <c r="V229" s="1117">
        <v>0</v>
      </c>
      <c r="W229" s="1117">
        <v>0</v>
      </c>
      <c r="X229" s="1117" t="s">
        <v>2171</v>
      </c>
      <c r="Y229" s="1117" t="s">
        <v>2171</v>
      </c>
      <c r="Z229" s="1117">
        <v>0</v>
      </c>
      <c r="AA229" s="1116"/>
      <c r="AB229" s="1116"/>
      <c r="AC229" s="1116"/>
      <c r="AD229" s="1116"/>
      <c r="AE229" s="1116"/>
      <c r="AF229" s="1140">
        <f t="shared" si="19"/>
        <v>67842.040808142308</v>
      </c>
      <c r="AG229" s="1117">
        <f>'1.1.1 PrimEnLR'!B229*'3.1.1 CO2LR'!$AG$9*Units!$C$47/1000</f>
        <v>66234.538285060305</v>
      </c>
      <c r="AH229" s="1117">
        <f>'1.1.1 PrimEnLR'!C229*'3.1.1 CO2LR'!$AG$9*Units!$C$47/1000</f>
        <v>1607.5025230819986</v>
      </c>
      <c r="AI229" s="1117">
        <f>'1.1.1 PrimEnLR'!D229*Units!$C$14*Units!$C$59/1000</f>
        <v>0</v>
      </c>
      <c r="AJ229" s="1116"/>
      <c r="AK229" s="1116"/>
    </row>
    <row r="230" spans="1:37" x14ac:dyDescent="0.35">
      <c r="A230" s="1116">
        <v>1920</v>
      </c>
      <c r="B230" s="1116"/>
      <c r="C230" s="1119"/>
      <c r="D230" s="1119">
        <f t="shared" si="15"/>
        <v>-0.20100000000000001</v>
      </c>
      <c r="E230" s="1119">
        <f t="shared" si="16"/>
        <v>128.47999999999999</v>
      </c>
      <c r="F230" s="1139">
        <f t="shared" si="17"/>
        <v>0</v>
      </c>
      <c r="G230" s="1116"/>
      <c r="H230" s="1139">
        <f t="shared" si="18"/>
        <v>128.279</v>
      </c>
      <c r="I230" s="1116"/>
      <c r="J230" s="1116"/>
      <c r="K230" s="1116"/>
      <c r="L230" s="1116"/>
      <c r="M230" s="1116"/>
      <c r="N230" s="1116"/>
      <c r="O230" s="1116"/>
      <c r="P230" s="1116"/>
      <c r="Q230" s="1116"/>
      <c r="R230" s="1116"/>
      <c r="S230" s="1117">
        <v>128279</v>
      </c>
      <c r="T230" s="1117">
        <v>128480</v>
      </c>
      <c r="U230" s="1117">
        <v>-201</v>
      </c>
      <c r="V230" s="1117">
        <v>0</v>
      </c>
      <c r="W230" s="1117">
        <v>0</v>
      </c>
      <c r="X230" s="1117" t="s">
        <v>2171</v>
      </c>
      <c r="Y230" s="1117" t="s">
        <v>2171</v>
      </c>
      <c r="Z230" s="1117">
        <v>0</v>
      </c>
      <c r="AA230" s="1116"/>
      <c r="AB230" s="1116"/>
      <c r="AC230" s="1116"/>
      <c r="AD230" s="1116"/>
      <c r="AE230" s="1116"/>
      <c r="AF230" s="1140">
        <f t="shared" si="19"/>
        <v>68920.403526853217</v>
      </c>
      <c r="AG230" s="1117">
        <f>'1.1.1 PrimEnLR'!B230*'3.1.1 CO2LR'!$AG$9*Units!$C$47/1000</f>
        <v>66926.035745039509</v>
      </c>
      <c r="AH230" s="1117">
        <f>'1.1.1 PrimEnLR'!C230*'3.1.1 CO2LR'!$AG$9*Units!$C$47/1000</f>
        <v>1994.3677818137085</v>
      </c>
      <c r="AI230" s="1117">
        <f>'1.1.1 PrimEnLR'!D230*Units!$C$14*Units!$C$59/1000</f>
        <v>0</v>
      </c>
      <c r="AJ230" s="1116"/>
      <c r="AK230" s="1116"/>
    </row>
    <row r="231" spans="1:37" x14ac:dyDescent="0.35">
      <c r="A231" s="1116">
        <v>1921</v>
      </c>
      <c r="B231" s="1116"/>
      <c r="C231" s="1119"/>
      <c r="D231" s="1119">
        <f t="shared" si="15"/>
        <v>0.255</v>
      </c>
      <c r="E231" s="1119">
        <f t="shared" si="16"/>
        <v>87.028000000000006</v>
      </c>
      <c r="F231" s="1139">
        <f t="shared" si="17"/>
        <v>0</v>
      </c>
      <c r="G231" s="1116"/>
      <c r="H231" s="1139">
        <f t="shared" si="18"/>
        <v>87.283000000000001</v>
      </c>
      <c r="I231" s="1116"/>
      <c r="J231" s="1116"/>
      <c r="K231" s="1116"/>
      <c r="L231" s="1116"/>
      <c r="M231" s="1116"/>
      <c r="N231" s="1116"/>
      <c r="O231" s="1116"/>
      <c r="P231" s="1116"/>
      <c r="Q231" s="1116"/>
      <c r="R231" s="1116"/>
      <c r="S231" s="1117">
        <v>87283</v>
      </c>
      <c r="T231" s="1117">
        <v>87028</v>
      </c>
      <c r="U231" s="1117">
        <v>255</v>
      </c>
      <c r="V231" s="1117">
        <v>0</v>
      </c>
      <c r="W231" s="1117">
        <v>0</v>
      </c>
      <c r="X231" s="1117" t="s">
        <v>2171</v>
      </c>
      <c r="Y231" s="1117" t="s">
        <v>2171</v>
      </c>
      <c r="Z231" s="1117">
        <v>0</v>
      </c>
      <c r="AA231" s="1116"/>
      <c r="AB231" s="1116"/>
      <c r="AC231" s="1116"/>
      <c r="AD231" s="1116"/>
      <c r="AE231" s="1116"/>
      <c r="AF231" s="1140">
        <f t="shared" si="19"/>
        <v>51687.913739543401</v>
      </c>
      <c r="AG231" s="1117">
        <f>'1.1.1 PrimEnLR'!B231*'3.1.1 CO2LR'!$AG$9*Units!$C$47/1000</f>
        <v>48979.856928421432</v>
      </c>
      <c r="AH231" s="1117">
        <f>'1.1.1 PrimEnLR'!C231*'3.1.1 CO2LR'!$AG$9*Units!$C$47/1000</f>
        <v>2708.0568111219659</v>
      </c>
      <c r="AI231" s="1117">
        <f>'1.1.1 PrimEnLR'!D231*Units!$C$14*Units!$C$59/1000</f>
        <v>0</v>
      </c>
      <c r="AJ231" s="1116"/>
      <c r="AK231" s="1116"/>
    </row>
    <row r="232" spans="1:37" x14ac:dyDescent="0.35">
      <c r="A232" s="1116">
        <v>1922</v>
      </c>
      <c r="B232" s="1116"/>
      <c r="C232" s="1119"/>
      <c r="D232" s="1119">
        <f t="shared" si="15"/>
        <v>0.44500000000000001</v>
      </c>
      <c r="E232" s="1119">
        <f t="shared" si="16"/>
        <v>116.428</v>
      </c>
      <c r="F232" s="1139">
        <f t="shared" si="17"/>
        <v>0</v>
      </c>
      <c r="G232" s="1116"/>
      <c r="H232" s="1139">
        <f t="shared" si="18"/>
        <v>116.87299999999999</v>
      </c>
      <c r="I232" s="1116"/>
      <c r="J232" s="1116"/>
      <c r="K232" s="1116"/>
      <c r="L232" s="1116"/>
      <c r="M232" s="1116"/>
      <c r="N232" s="1116"/>
      <c r="O232" s="1116"/>
      <c r="P232" s="1116"/>
      <c r="Q232" s="1116"/>
      <c r="R232" s="1116"/>
      <c r="S232" s="1117">
        <v>116873</v>
      </c>
      <c r="T232" s="1117">
        <v>116428</v>
      </c>
      <c r="U232" s="1117">
        <v>445</v>
      </c>
      <c r="V232" s="1117">
        <v>0</v>
      </c>
      <c r="W232" s="1117">
        <v>0</v>
      </c>
      <c r="X232" s="1117" t="s">
        <v>2171</v>
      </c>
      <c r="Y232" s="1117" t="s">
        <v>2171</v>
      </c>
      <c r="Z232" s="1117">
        <v>0</v>
      </c>
      <c r="AA232" s="1116"/>
      <c r="AB232" s="1116"/>
      <c r="AC232" s="1116"/>
      <c r="AD232" s="1116"/>
      <c r="AE232" s="1116"/>
      <c r="AF232" s="1140">
        <f t="shared" si="19"/>
        <v>62057.831866629393</v>
      </c>
      <c r="AG232" s="1117">
        <f>'1.1.1 PrimEnLR'!B232*'3.1.1 CO2LR'!$AG$9*Units!$C$47/1000</f>
        <v>59749.020002518548</v>
      </c>
      <c r="AH232" s="1117">
        <f>'1.1.1 PrimEnLR'!C232*'3.1.1 CO2LR'!$AG$9*Units!$C$47/1000</f>
        <v>2308.8118641108413</v>
      </c>
      <c r="AI232" s="1117">
        <f>'1.1.1 PrimEnLR'!D232*Units!$C$14*Units!$C$59/1000</f>
        <v>0</v>
      </c>
      <c r="AJ232" s="1116"/>
      <c r="AK232" s="1116"/>
    </row>
    <row r="233" spans="1:37" x14ac:dyDescent="0.35">
      <c r="A233" s="1116">
        <v>1923</v>
      </c>
      <c r="B233" s="1116"/>
      <c r="C233" s="1119"/>
      <c r="D233" s="1119">
        <f t="shared" si="15"/>
        <v>0.73299999999999998</v>
      </c>
      <c r="E233" s="1119">
        <f t="shared" si="16"/>
        <v>123.41800000000001</v>
      </c>
      <c r="F233" s="1139">
        <f t="shared" si="17"/>
        <v>0</v>
      </c>
      <c r="G233" s="1116"/>
      <c r="H233" s="1139">
        <f t="shared" si="18"/>
        <v>124.15100000000001</v>
      </c>
      <c r="I233" s="1116"/>
      <c r="J233" s="1116"/>
      <c r="K233" s="1116"/>
      <c r="L233" s="1116"/>
      <c r="M233" s="1116"/>
      <c r="N233" s="1116"/>
      <c r="O233" s="1116"/>
      <c r="P233" s="1116"/>
      <c r="Q233" s="1116"/>
      <c r="R233" s="1116"/>
      <c r="S233" s="1117">
        <v>124152</v>
      </c>
      <c r="T233" s="1117">
        <v>123418</v>
      </c>
      <c r="U233" s="1117">
        <v>733</v>
      </c>
      <c r="V233" s="1117">
        <v>0</v>
      </c>
      <c r="W233" s="1117">
        <v>0</v>
      </c>
      <c r="X233" s="1117" t="s">
        <v>2171</v>
      </c>
      <c r="Y233" s="1117" t="s">
        <v>2171</v>
      </c>
      <c r="Z233" s="1117">
        <v>0</v>
      </c>
      <c r="AA233" s="1116"/>
      <c r="AB233" s="1116"/>
      <c r="AC233" s="1116"/>
      <c r="AD233" s="1116"/>
      <c r="AE233" s="1116"/>
      <c r="AF233" s="1140">
        <f t="shared" si="19"/>
        <v>66608.418645126163</v>
      </c>
      <c r="AG233" s="1117">
        <f>'1.1.1 PrimEnLR'!B233*'3.1.1 CO2LR'!$AG$9*Units!$C$47/1000</f>
        <v>64327.46107964401</v>
      </c>
      <c r="AH233" s="1117">
        <f>'1.1.1 PrimEnLR'!C233*'3.1.1 CO2LR'!$AG$9*Units!$C$47/1000</f>
        <v>2280.9575654821583</v>
      </c>
      <c r="AI233" s="1117">
        <f>'1.1.1 PrimEnLR'!D233*Units!$C$14*Units!$C$59/1000</f>
        <v>0</v>
      </c>
      <c r="AJ233" s="1116"/>
      <c r="AK233" s="1116"/>
    </row>
    <row r="234" spans="1:37" x14ac:dyDescent="0.35">
      <c r="A234" s="1116">
        <v>1924</v>
      </c>
      <c r="B234" s="1116"/>
      <c r="C234" s="1119"/>
      <c r="D234" s="1119">
        <f t="shared" si="15"/>
        <v>1.05</v>
      </c>
      <c r="E234" s="1119">
        <f t="shared" si="16"/>
        <v>128.858</v>
      </c>
      <c r="F234" s="1139">
        <f t="shared" si="17"/>
        <v>0</v>
      </c>
      <c r="G234" s="1116"/>
      <c r="H234" s="1139">
        <f t="shared" si="18"/>
        <v>129.90800000000002</v>
      </c>
      <c r="I234" s="1116"/>
      <c r="J234" s="1116"/>
      <c r="K234" s="1116"/>
      <c r="L234" s="1116"/>
      <c r="M234" s="1116"/>
      <c r="N234" s="1116"/>
      <c r="O234" s="1116"/>
      <c r="P234" s="1116"/>
      <c r="Q234" s="1116"/>
      <c r="R234" s="1116"/>
      <c r="S234" s="1117">
        <v>129908</v>
      </c>
      <c r="T234" s="1117">
        <v>128858</v>
      </c>
      <c r="U234" s="1117">
        <v>1050</v>
      </c>
      <c r="V234" s="1117">
        <v>0</v>
      </c>
      <c r="W234" s="1117">
        <v>0</v>
      </c>
      <c r="X234" s="1117" t="s">
        <v>2171</v>
      </c>
      <c r="Y234" s="1117" t="s">
        <v>2171</v>
      </c>
      <c r="Z234" s="1117">
        <v>0</v>
      </c>
      <c r="AA234" s="1116"/>
      <c r="AB234" s="1116"/>
      <c r="AC234" s="1116"/>
      <c r="AD234" s="1116"/>
      <c r="AE234" s="1116"/>
      <c r="AF234" s="1140">
        <f t="shared" si="19"/>
        <v>68374.094825254753</v>
      </c>
      <c r="AG234" s="1117">
        <f>'1.1.1 PrimEnLR'!B234*'3.1.1 CO2LR'!$AG$9*Units!$C$47/1000</f>
        <v>65703.177078971028</v>
      </c>
      <c r="AH234" s="1117">
        <f>'1.1.1 PrimEnLR'!C234*'3.1.1 CO2LR'!$AG$9*Units!$C$47/1000</f>
        <v>2670.917746283722</v>
      </c>
      <c r="AI234" s="1117">
        <f>'1.1.1 PrimEnLR'!D234*Units!$C$14*Units!$C$59/1000</f>
        <v>0</v>
      </c>
      <c r="AJ234" s="1116"/>
      <c r="AK234" s="1116"/>
    </row>
    <row r="235" spans="1:37" x14ac:dyDescent="0.35">
      <c r="A235" s="1116">
        <v>1925</v>
      </c>
      <c r="B235" s="1116"/>
      <c r="C235" s="1119"/>
      <c r="D235" s="1119">
        <f t="shared" si="15"/>
        <v>1.206</v>
      </c>
      <c r="E235" s="1119">
        <f t="shared" si="16"/>
        <v>121.51600000000001</v>
      </c>
      <c r="F235" s="1139">
        <f t="shared" si="17"/>
        <v>0</v>
      </c>
      <c r="G235" s="1116"/>
      <c r="H235" s="1139">
        <f t="shared" si="18"/>
        <v>122.72200000000001</v>
      </c>
      <c r="I235" s="1116"/>
      <c r="J235" s="1116"/>
      <c r="K235" s="1116"/>
      <c r="L235" s="1116"/>
      <c r="M235" s="1116"/>
      <c r="N235" s="1116"/>
      <c r="O235" s="1116"/>
      <c r="P235" s="1116"/>
      <c r="Q235" s="1116"/>
      <c r="R235" s="1116"/>
      <c r="S235" s="1117">
        <v>122723</v>
      </c>
      <c r="T235" s="1117">
        <v>121516</v>
      </c>
      <c r="U235" s="1117">
        <v>1206</v>
      </c>
      <c r="V235" s="1117">
        <v>0</v>
      </c>
      <c r="W235" s="1117">
        <v>0</v>
      </c>
      <c r="X235" s="1117" t="s">
        <v>2171</v>
      </c>
      <c r="Y235" s="1117" t="s">
        <v>2171</v>
      </c>
      <c r="Z235" s="1117">
        <v>0</v>
      </c>
      <c r="AA235" s="1116"/>
      <c r="AB235" s="1116"/>
      <c r="AC235" s="1116"/>
      <c r="AD235" s="1116"/>
      <c r="AE235" s="1116"/>
      <c r="AF235" s="1140">
        <f t="shared" si="19"/>
        <v>65347.563578155605</v>
      </c>
      <c r="AG235" s="1117">
        <f>'1.1.1 PrimEnLR'!B235*'3.1.1 CO2LR'!$AG$9*Units!$C$47/1000</f>
        <v>62904.432096213117</v>
      </c>
      <c r="AH235" s="1117">
        <f>'1.1.1 PrimEnLR'!C235*'3.1.1 CO2LR'!$AG$9*Units!$C$47/1000</f>
        <v>2443.1314819424915</v>
      </c>
      <c r="AI235" s="1117">
        <f>'1.1.1 PrimEnLR'!D235*Units!$C$14*Units!$C$59/1000</f>
        <v>0</v>
      </c>
      <c r="AJ235" s="1116"/>
      <c r="AK235" s="1116"/>
    </row>
    <row r="236" spans="1:37" x14ac:dyDescent="0.35">
      <c r="A236" s="1116">
        <v>1926</v>
      </c>
      <c r="B236" s="1116"/>
      <c r="C236" s="1119"/>
      <c r="D236" s="1119">
        <f t="shared" si="15"/>
        <v>1.32</v>
      </c>
      <c r="E236" s="1119">
        <f t="shared" si="16"/>
        <v>65.921000000000006</v>
      </c>
      <c r="F236" s="1139">
        <f t="shared" si="17"/>
        <v>0</v>
      </c>
      <c r="G236" s="1116"/>
      <c r="H236" s="1139">
        <f t="shared" si="18"/>
        <v>67.241</v>
      </c>
      <c r="I236" s="1116"/>
      <c r="J236" s="1116"/>
      <c r="K236" s="1116"/>
      <c r="L236" s="1116"/>
      <c r="M236" s="1116"/>
      <c r="N236" s="1116"/>
      <c r="O236" s="1116"/>
      <c r="P236" s="1116"/>
      <c r="Q236" s="1116"/>
      <c r="R236" s="1116"/>
      <c r="S236" s="1117">
        <v>67241</v>
      </c>
      <c r="T236" s="1117">
        <v>65921</v>
      </c>
      <c r="U236" s="1117">
        <v>1320</v>
      </c>
      <c r="V236" s="1117">
        <v>0</v>
      </c>
      <c r="W236" s="1117">
        <v>0</v>
      </c>
      <c r="X236" s="1117" t="s">
        <v>2171</v>
      </c>
      <c r="Y236" s="1117" t="s">
        <v>2171</v>
      </c>
      <c r="Z236" s="1117">
        <v>0</v>
      </c>
      <c r="AA236" s="1116"/>
      <c r="AB236" s="1116"/>
      <c r="AC236" s="1116"/>
      <c r="AD236" s="1116"/>
      <c r="AE236" s="1116"/>
      <c r="AF236" s="1140">
        <f t="shared" si="19"/>
        <v>48491.878004694277</v>
      </c>
      <c r="AG236" s="1117">
        <f>'1.1.1 PrimEnLR'!B236*'3.1.1 CO2LR'!$AG$9*Units!$C$47/1000</f>
        <v>45147.505216010395</v>
      </c>
      <c r="AH236" s="1117">
        <f>'1.1.1 PrimEnLR'!C236*'3.1.1 CO2LR'!$AG$9*Units!$C$47/1000</f>
        <v>3344.3727886838815</v>
      </c>
      <c r="AI236" s="1117">
        <f>'1.1.1 PrimEnLR'!D236*Units!$C$14*Units!$C$59/1000</f>
        <v>0</v>
      </c>
      <c r="AJ236" s="1116"/>
      <c r="AK236" s="1116"/>
    </row>
    <row r="237" spans="1:37" x14ac:dyDescent="0.35">
      <c r="A237" s="1116">
        <v>1927</v>
      </c>
      <c r="B237" s="1116"/>
      <c r="C237" s="1119"/>
      <c r="D237" s="1119">
        <f t="shared" si="15"/>
        <v>1.734</v>
      </c>
      <c r="E237" s="1119">
        <f t="shared" si="16"/>
        <v>125.65</v>
      </c>
      <c r="F237" s="1139">
        <f t="shared" si="17"/>
        <v>0</v>
      </c>
      <c r="G237" s="1116"/>
      <c r="H237" s="1139">
        <f t="shared" si="18"/>
        <v>127.384</v>
      </c>
      <c r="I237" s="1116"/>
      <c r="J237" s="1116"/>
      <c r="K237" s="1116"/>
      <c r="L237" s="1116"/>
      <c r="M237" s="1116"/>
      <c r="N237" s="1116"/>
      <c r="O237" s="1116"/>
      <c r="P237" s="1116"/>
      <c r="Q237" s="1116"/>
      <c r="R237" s="1116"/>
      <c r="S237" s="1117">
        <v>127384</v>
      </c>
      <c r="T237" s="1117">
        <v>125650</v>
      </c>
      <c r="U237" s="1117">
        <v>1734</v>
      </c>
      <c r="V237" s="1117">
        <v>0</v>
      </c>
      <c r="W237" s="1117">
        <v>0</v>
      </c>
      <c r="X237" s="1117" t="s">
        <v>2171</v>
      </c>
      <c r="Y237" s="1117" t="s">
        <v>2171</v>
      </c>
      <c r="Z237" s="1117">
        <v>0</v>
      </c>
      <c r="AA237" s="1116"/>
      <c r="AB237" s="1116"/>
      <c r="AC237" s="1116"/>
      <c r="AD237" s="1116"/>
      <c r="AE237" s="1116"/>
      <c r="AF237" s="1140">
        <f t="shared" si="19"/>
        <v>68472.597985869012</v>
      </c>
      <c r="AG237" s="1117">
        <f>'1.1.1 PrimEnLR'!B237*'3.1.1 CO2LR'!$AG$9*Units!$C$47/1000</f>
        <v>64942.52987299391</v>
      </c>
      <c r="AH237" s="1117">
        <f>'1.1.1 PrimEnLR'!C237*'3.1.1 CO2LR'!$AG$9*Units!$C$47/1000</f>
        <v>3530.0681128751021</v>
      </c>
      <c r="AI237" s="1117">
        <f>'1.1.1 PrimEnLR'!D237*Units!$C$14*Units!$C$59/1000</f>
        <v>0</v>
      </c>
      <c r="AJ237" s="1116"/>
      <c r="AK237" s="1116"/>
    </row>
    <row r="238" spans="1:37" x14ac:dyDescent="0.35">
      <c r="A238" s="1116">
        <v>1928</v>
      </c>
      <c r="B238" s="1116"/>
      <c r="C238" s="1119"/>
      <c r="D238" s="1119">
        <f t="shared" si="15"/>
        <v>1.165</v>
      </c>
      <c r="E238" s="1119">
        <f t="shared" si="16"/>
        <v>117.685</v>
      </c>
      <c r="F238" s="1139">
        <f t="shared" si="17"/>
        <v>0.59799999999999998</v>
      </c>
      <c r="G238" s="1116"/>
      <c r="H238" s="1139">
        <f t="shared" si="18"/>
        <v>119.44800000000001</v>
      </c>
      <c r="I238" s="1116"/>
      <c r="J238" s="1116"/>
      <c r="K238" s="1116"/>
      <c r="L238" s="1116"/>
      <c r="M238" s="1116"/>
      <c r="N238" s="1116"/>
      <c r="O238" s="1116"/>
      <c r="P238" s="1116"/>
      <c r="Q238" s="1116"/>
      <c r="R238" s="1116"/>
      <c r="S238" s="1117">
        <v>119448</v>
      </c>
      <c r="T238" s="1117">
        <v>117685</v>
      </c>
      <c r="U238" s="1117">
        <v>1165</v>
      </c>
      <c r="V238" s="1117">
        <v>0</v>
      </c>
      <c r="W238" s="1117">
        <v>598</v>
      </c>
      <c r="X238" s="1117" t="s">
        <v>2171</v>
      </c>
      <c r="Y238" s="1117" t="s">
        <v>2171</v>
      </c>
      <c r="Z238" s="1117">
        <v>0</v>
      </c>
      <c r="AA238" s="1116"/>
      <c r="AB238" s="1116"/>
      <c r="AC238" s="1116"/>
      <c r="AD238" s="1116"/>
      <c r="AE238" s="1116"/>
      <c r="AF238" s="1140">
        <f t="shared" si="19"/>
        <v>65013.481272197234</v>
      </c>
      <c r="AG238" s="1117">
        <f>'1.1.1 PrimEnLR'!B238*'3.1.1 CO2LR'!$AG$9*Units!$C$47/1000</f>
        <v>61383.137684258872</v>
      </c>
      <c r="AH238" s="1117">
        <f>'1.1.1 PrimEnLR'!C238*'3.1.1 CO2LR'!$AG$9*Units!$C$47/1000</f>
        <v>3630.343587938361</v>
      </c>
      <c r="AI238" s="1117">
        <f>'1.1.1 PrimEnLR'!D238*Units!$C$14*Units!$C$59/1000</f>
        <v>0</v>
      </c>
      <c r="AJ238" s="1116"/>
      <c r="AK238" s="1116"/>
    </row>
    <row r="239" spans="1:37" x14ac:dyDescent="0.35">
      <c r="A239" s="1116">
        <v>1929</v>
      </c>
      <c r="B239" s="1116"/>
      <c r="C239" s="1119"/>
      <c r="D239" s="1119">
        <f t="shared" si="15"/>
        <v>0.98399999999999999</v>
      </c>
      <c r="E239" s="1119">
        <f t="shared" si="16"/>
        <v>124.10299999999999</v>
      </c>
      <c r="F239" s="1139">
        <f t="shared" si="17"/>
        <v>0.64800000000000002</v>
      </c>
      <c r="G239" s="1116"/>
      <c r="H239" s="1139">
        <f t="shared" si="18"/>
        <v>125.73499999999999</v>
      </c>
      <c r="I239" s="1116"/>
      <c r="J239" s="1116"/>
      <c r="K239" s="1116"/>
      <c r="L239" s="1116"/>
      <c r="M239" s="1116"/>
      <c r="N239" s="1116"/>
      <c r="O239" s="1116"/>
      <c r="P239" s="1116"/>
      <c r="Q239" s="1116"/>
      <c r="R239" s="1116"/>
      <c r="S239" s="1117">
        <v>125735</v>
      </c>
      <c r="T239" s="1117">
        <v>124103</v>
      </c>
      <c r="U239" s="1117">
        <v>984</v>
      </c>
      <c r="V239" s="1117">
        <v>0</v>
      </c>
      <c r="W239" s="1117">
        <v>648</v>
      </c>
      <c r="X239" s="1117" t="s">
        <v>2171</v>
      </c>
      <c r="Y239" s="1117" t="s">
        <v>2171</v>
      </c>
      <c r="Z239" s="1117">
        <v>0</v>
      </c>
      <c r="AA239" s="1116"/>
      <c r="AB239" s="1116"/>
      <c r="AC239" s="1116"/>
      <c r="AD239" s="1116"/>
      <c r="AE239" s="1116"/>
      <c r="AF239" s="1140">
        <f t="shared" si="19"/>
        <v>68278.97652104302</v>
      </c>
      <c r="AG239" s="1117">
        <f>'1.1.1 PrimEnLR'!B239*'3.1.1 CO2LR'!$AG$9*Units!$C$47/1000</f>
        <v>63938.03882586625</v>
      </c>
      <c r="AH239" s="1117">
        <f>'1.1.1 PrimEnLR'!C239*'3.1.1 CO2LR'!$AG$9*Units!$C$47/1000</f>
        <v>4340.9376951767645</v>
      </c>
      <c r="AI239" s="1117">
        <f>'1.1.1 PrimEnLR'!D239*Units!$C$14*Units!$C$59/1000</f>
        <v>0</v>
      </c>
      <c r="AJ239" s="1116"/>
      <c r="AK239" s="1116"/>
    </row>
    <row r="240" spans="1:37" x14ac:dyDescent="0.35">
      <c r="A240" s="1116">
        <v>1930</v>
      </c>
      <c r="B240" s="1116"/>
      <c r="C240" s="1119"/>
      <c r="D240" s="1119">
        <f t="shared" si="15"/>
        <v>1.01</v>
      </c>
      <c r="E240" s="1119">
        <f t="shared" si="16"/>
        <v>118.682</v>
      </c>
      <c r="F240" s="1139">
        <f t="shared" si="17"/>
        <v>0.69499999999999995</v>
      </c>
      <c r="G240" s="1116"/>
      <c r="H240" s="1139">
        <f t="shared" si="18"/>
        <v>120.387</v>
      </c>
      <c r="I240" s="1116"/>
      <c r="J240" s="1116"/>
      <c r="K240" s="1116"/>
      <c r="L240" s="1116"/>
      <c r="M240" s="1116"/>
      <c r="N240" s="1116"/>
      <c r="O240" s="1116"/>
      <c r="P240" s="1116"/>
      <c r="Q240" s="1116"/>
      <c r="R240" s="1116"/>
      <c r="S240" s="1117">
        <v>120386</v>
      </c>
      <c r="T240" s="1117">
        <v>118682</v>
      </c>
      <c r="U240" s="1117">
        <v>1010</v>
      </c>
      <c r="V240" s="1117">
        <v>0</v>
      </c>
      <c r="W240" s="1117">
        <v>695</v>
      </c>
      <c r="X240" s="1117" t="s">
        <v>2171</v>
      </c>
      <c r="Y240" s="1117" t="s">
        <v>2171</v>
      </c>
      <c r="Z240" s="1117">
        <v>0</v>
      </c>
      <c r="AA240" s="1116"/>
      <c r="AB240" s="1116"/>
      <c r="AC240" s="1116"/>
      <c r="AD240" s="1116"/>
      <c r="AE240" s="1116"/>
      <c r="AF240" s="1140">
        <f t="shared" si="19"/>
        <v>65709.961804921448</v>
      </c>
      <c r="AG240" s="1117">
        <f>'1.1.1 PrimEnLR'!B240*'3.1.1 CO2LR'!$AG$9*Units!$C$47/1000</f>
        <v>60862.694859116629</v>
      </c>
      <c r="AH240" s="1117">
        <f>'1.1.1 PrimEnLR'!C240*'3.1.1 CO2LR'!$AG$9*Units!$C$47/1000</f>
        <v>4847.2669458048258</v>
      </c>
      <c r="AI240" s="1117">
        <f>'1.1.1 PrimEnLR'!D240*Units!$C$14*Units!$C$59/1000</f>
        <v>0</v>
      </c>
      <c r="AJ240" s="1116"/>
      <c r="AK240" s="1116"/>
    </row>
    <row r="241" spans="1:37" x14ac:dyDescent="0.35">
      <c r="A241" s="1116">
        <v>1931</v>
      </c>
      <c r="B241" s="1116"/>
      <c r="C241" s="1119"/>
      <c r="D241" s="1119">
        <f t="shared" si="15"/>
        <v>0.73699999999999999</v>
      </c>
      <c r="E241" s="1119">
        <f t="shared" si="16"/>
        <v>110.959</v>
      </c>
      <c r="F241" s="1139">
        <f t="shared" si="17"/>
        <v>0.81399999999999995</v>
      </c>
      <c r="G241" s="1116"/>
      <c r="H241" s="1139">
        <f t="shared" si="18"/>
        <v>112.50999999999999</v>
      </c>
      <c r="I241" s="1116"/>
      <c r="J241" s="1116"/>
      <c r="K241" s="1116"/>
      <c r="L241" s="1116"/>
      <c r="M241" s="1116"/>
      <c r="N241" s="1116"/>
      <c r="O241" s="1116"/>
      <c r="P241" s="1116"/>
      <c r="Q241" s="1116"/>
      <c r="R241" s="1116"/>
      <c r="S241" s="1117">
        <v>112510</v>
      </c>
      <c r="T241" s="1117">
        <v>110959</v>
      </c>
      <c r="U241" s="1117">
        <v>737</v>
      </c>
      <c r="V241" s="1117">
        <v>0</v>
      </c>
      <c r="W241" s="1117">
        <v>814</v>
      </c>
      <c r="X241" s="1117" t="s">
        <v>2171</v>
      </c>
      <c r="Y241" s="1117" t="s">
        <v>2171</v>
      </c>
      <c r="Z241" s="1117">
        <v>0</v>
      </c>
      <c r="AA241" s="1116"/>
      <c r="AB241" s="1116"/>
      <c r="AC241" s="1116"/>
      <c r="AD241" s="1116"/>
      <c r="AE241" s="1116"/>
      <c r="AF241" s="1140">
        <f t="shared" si="19"/>
        <v>61859.572495452026</v>
      </c>
      <c r="AG241" s="1117">
        <f>'1.1.1 PrimEnLR'!B241*'3.1.1 CO2LR'!$AG$9*Units!$C$47/1000</f>
        <v>57306.942130697273</v>
      </c>
      <c r="AH241" s="1117">
        <f>'1.1.1 PrimEnLR'!C241*'3.1.1 CO2LR'!$AG$9*Units!$C$47/1000</f>
        <v>4552.6303647547556</v>
      </c>
      <c r="AI241" s="1117">
        <f>'1.1.1 PrimEnLR'!D241*Units!$C$14*Units!$C$59/1000</f>
        <v>0</v>
      </c>
      <c r="AJ241" s="1116"/>
      <c r="AK241" s="1116"/>
    </row>
    <row r="242" spans="1:37" x14ac:dyDescent="0.35">
      <c r="A242" s="1116">
        <v>1932</v>
      </c>
      <c r="B242" s="1116"/>
      <c r="C242" s="1119"/>
      <c r="D242" s="1119">
        <f t="shared" si="15"/>
        <v>0.81799999999999995</v>
      </c>
      <c r="E242" s="1119">
        <f t="shared" si="16"/>
        <v>106.651</v>
      </c>
      <c r="F242" s="1139">
        <f t="shared" si="17"/>
        <v>0.58799999999999997</v>
      </c>
      <c r="G242" s="1116"/>
      <c r="H242" s="1139">
        <f t="shared" si="18"/>
        <v>108.05699999999999</v>
      </c>
      <c r="I242" s="1116"/>
      <c r="J242" s="1116"/>
      <c r="K242" s="1116"/>
      <c r="L242" s="1116"/>
      <c r="M242" s="1116"/>
      <c r="N242" s="1116"/>
      <c r="O242" s="1116"/>
      <c r="P242" s="1116"/>
      <c r="Q242" s="1116"/>
      <c r="R242" s="1116"/>
      <c r="S242" s="1117">
        <v>108056</v>
      </c>
      <c r="T242" s="1117">
        <v>106651</v>
      </c>
      <c r="U242" s="1117">
        <v>818</v>
      </c>
      <c r="V242" s="1117">
        <v>0</v>
      </c>
      <c r="W242" s="1117">
        <v>588</v>
      </c>
      <c r="X242" s="1117" t="s">
        <v>2171</v>
      </c>
      <c r="Y242" s="1117" t="s">
        <v>2171</v>
      </c>
      <c r="Z242" s="1117">
        <v>0</v>
      </c>
      <c r="AA242" s="1116"/>
      <c r="AB242" s="1116"/>
      <c r="AC242" s="1116"/>
      <c r="AD242" s="1116"/>
      <c r="AE242" s="1116"/>
      <c r="AF242" s="1140">
        <f t="shared" si="19"/>
        <v>59846.010756725635</v>
      </c>
      <c r="AG242" s="1117">
        <f>'1.1.1 PrimEnLR'!B242*'3.1.1 CO2LR'!$AG$9*Units!$C$47/1000</f>
        <v>55279.762734863521</v>
      </c>
      <c r="AH242" s="1117">
        <f>'1.1.1 PrimEnLR'!C242*'3.1.1 CO2LR'!$AG$9*Units!$C$47/1000</f>
        <v>4566.2480218621122</v>
      </c>
      <c r="AI242" s="1117">
        <f>'1.1.1 PrimEnLR'!D242*Units!$C$14*Units!$C$59/1000</f>
        <v>0</v>
      </c>
      <c r="AJ242" s="1116"/>
      <c r="AK242" s="1116"/>
    </row>
    <row r="243" spans="1:37" x14ac:dyDescent="0.35">
      <c r="A243" s="1116">
        <v>1933</v>
      </c>
      <c r="B243" s="1116"/>
      <c r="C243" s="1119"/>
      <c r="D243" s="1119">
        <f t="shared" si="15"/>
        <v>0.9</v>
      </c>
      <c r="E243" s="1119">
        <f t="shared" si="16"/>
        <v>105.526</v>
      </c>
      <c r="F243" s="1139">
        <f t="shared" si="17"/>
        <v>0.60799999999999998</v>
      </c>
      <c r="G243" s="1116"/>
      <c r="H243" s="1139">
        <f t="shared" si="18"/>
        <v>107.03400000000001</v>
      </c>
      <c r="I243" s="1116"/>
      <c r="J243" s="1116"/>
      <c r="K243" s="1116"/>
      <c r="L243" s="1116"/>
      <c r="M243" s="1116"/>
      <c r="N243" s="1116"/>
      <c r="O243" s="1116"/>
      <c r="P243" s="1116"/>
      <c r="Q243" s="1116"/>
      <c r="R243" s="1116"/>
      <c r="S243" s="1117">
        <v>107034</v>
      </c>
      <c r="T243" s="1117">
        <v>105526</v>
      </c>
      <c r="U243" s="1117">
        <v>900</v>
      </c>
      <c r="V243" s="1117">
        <v>0</v>
      </c>
      <c r="W243" s="1117">
        <v>608</v>
      </c>
      <c r="X243" s="1117" t="s">
        <v>2171</v>
      </c>
      <c r="Y243" s="1117" t="s">
        <v>2171</v>
      </c>
      <c r="Z243" s="1117">
        <v>0</v>
      </c>
      <c r="AA243" s="1116"/>
      <c r="AB243" s="1116"/>
      <c r="AC243" s="1116"/>
      <c r="AD243" s="1116"/>
      <c r="AE243" s="1116"/>
      <c r="AF243" s="1140">
        <f t="shared" si="19"/>
        <v>61428.084507294465</v>
      </c>
      <c r="AG243" s="1117">
        <f>'1.1.1 PrimEnLR'!B243*'3.1.1 CO2LR'!$AG$9*Units!$C$47/1000</f>
        <v>56371.600829567527</v>
      </c>
      <c r="AH243" s="1117">
        <f>'1.1.1 PrimEnLR'!C243*'3.1.1 CO2LR'!$AG$9*Units!$C$47/1000</f>
        <v>5056.4836777269347</v>
      </c>
      <c r="AI243" s="1117">
        <f>'1.1.1 PrimEnLR'!D243*Units!$C$14*Units!$C$59/1000</f>
        <v>0</v>
      </c>
      <c r="AJ243" s="1116"/>
      <c r="AK243" s="1116"/>
    </row>
    <row r="244" spans="1:37" x14ac:dyDescent="0.35">
      <c r="A244" s="1116">
        <v>1934</v>
      </c>
      <c r="B244" s="1116"/>
      <c r="C244" s="1119"/>
      <c r="D244" s="1119">
        <f t="shared" si="15"/>
        <v>1.087</v>
      </c>
      <c r="E244" s="1119">
        <f t="shared" si="16"/>
        <v>113.70399999999999</v>
      </c>
      <c r="F244" s="1139">
        <f t="shared" si="17"/>
        <v>0.71799999999999997</v>
      </c>
      <c r="G244" s="1116"/>
      <c r="H244" s="1139">
        <f t="shared" si="18"/>
        <v>115.509</v>
      </c>
      <c r="I244" s="1116"/>
      <c r="J244" s="1116"/>
      <c r="K244" s="1116"/>
      <c r="L244" s="1116"/>
      <c r="M244" s="1116"/>
      <c r="N244" s="1116"/>
      <c r="O244" s="1116"/>
      <c r="P244" s="1116"/>
      <c r="Q244" s="1116"/>
      <c r="R244" s="1116"/>
      <c r="S244" s="1117">
        <v>115509</v>
      </c>
      <c r="T244" s="1117">
        <v>113704</v>
      </c>
      <c r="U244" s="1117">
        <v>1087</v>
      </c>
      <c r="V244" s="1117">
        <v>0</v>
      </c>
      <c r="W244" s="1117">
        <v>718</v>
      </c>
      <c r="X244" s="1117" t="s">
        <v>2171</v>
      </c>
      <c r="Y244" s="1117" t="s">
        <v>2171</v>
      </c>
      <c r="Z244" s="1117">
        <v>0</v>
      </c>
      <c r="AA244" s="1116"/>
      <c r="AB244" s="1116"/>
      <c r="AC244" s="1116"/>
      <c r="AD244" s="1116"/>
      <c r="AE244" s="1116"/>
      <c r="AF244" s="1140">
        <f t="shared" si="19"/>
        <v>65628.223425726144</v>
      </c>
      <c r="AG244" s="1117">
        <f>'1.1.1 PrimEnLR'!B244*'3.1.1 CO2LR'!$AG$9*Units!$C$47/1000</f>
        <v>59956.469240512306</v>
      </c>
      <c r="AH244" s="1117">
        <f>'1.1.1 PrimEnLR'!C244*'3.1.1 CO2LR'!$AG$9*Units!$C$47/1000</f>
        <v>5671.7541852138438</v>
      </c>
      <c r="AI244" s="1117">
        <f>'1.1.1 PrimEnLR'!D244*Units!$C$14*Units!$C$59/1000</f>
        <v>0</v>
      </c>
      <c r="AJ244" s="1116"/>
      <c r="AK244" s="1116"/>
    </row>
    <row r="245" spans="1:37" x14ac:dyDescent="0.35">
      <c r="A245" s="1116">
        <v>1935</v>
      </c>
      <c r="B245" s="1116"/>
      <c r="C245" s="1119"/>
      <c r="D245" s="1119">
        <f t="shared" si="15"/>
        <v>1.046</v>
      </c>
      <c r="E245" s="1119">
        <f t="shared" si="16"/>
        <v>115.252</v>
      </c>
      <c r="F245" s="1139">
        <f t="shared" si="17"/>
        <v>0.82299999999999995</v>
      </c>
      <c r="G245" s="1116"/>
      <c r="H245" s="1139">
        <f t="shared" si="18"/>
        <v>117.121</v>
      </c>
      <c r="I245" s="1116"/>
      <c r="J245" s="1116"/>
      <c r="K245" s="1116"/>
      <c r="L245" s="1116"/>
      <c r="M245" s="1116"/>
      <c r="N245" s="1116"/>
      <c r="O245" s="1116"/>
      <c r="P245" s="1116"/>
      <c r="Q245" s="1116"/>
      <c r="R245" s="1116"/>
      <c r="S245" s="1117">
        <v>117121</v>
      </c>
      <c r="T245" s="1117">
        <v>115252</v>
      </c>
      <c r="U245" s="1117">
        <v>1046</v>
      </c>
      <c r="V245" s="1117">
        <v>0</v>
      </c>
      <c r="W245" s="1117">
        <v>823</v>
      </c>
      <c r="X245" s="1117" t="s">
        <v>2171</v>
      </c>
      <c r="Y245" s="1117" t="s">
        <v>2171</v>
      </c>
      <c r="Z245" s="1117">
        <v>0</v>
      </c>
      <c r="AA245" s="1116"/>
      <c r="AB245" s="1116"/>
      <c r="AC245" s="1116"/>
      <c r="AD245" s="1116"/>
      <c r="AE245" s="1116"/>
      <c r="AF245" s="1140">
        <f t="shared" si="19"/>
        <v>67527.551618433441</v>
      </c>
      <c r="AG245" s="1117">
        <f>'1.1.1 PrimEnLR'!B245*'3.1.1 CO2LR'!$AG$9*Units!$C$47/1000</f>
        <v>61848.988604665916</v>
      </c>
      <c r="AH245" s="1117">
        <f>'1.1.1 PrimEnLR'!C245*'3.1.1 CO2LR'!$AG$9*Units!$C$47/1000</f>
        <v>5678.5630137675216</v>
      </c>
      <c r="AI245" s="1117">
        <f>'1.1.1 PrimEnLR'!D245*Units!$C$14*Units!$C$59/1000</f>
        <v>0</v>
      </c>
      <c r="AJ245" s="1116"/>
      <c r="AK245" s="1116"/>
    </row>
    <row r="246" spans="1:37" x14ac:dyDescent="0.35">
      <c r="A246" s="1116">
        <v>1936</v>
      </c>
      <c r="B246" s="1116"/>
      <c r="C246" s="1119"/>
      <c r="D246" s="1119">
        <f t="shared" si="15"/>
        <v>1.1719999999999999</v>
      </c>
      <c r="E246" s="1119">
        <f t="shared" si="16"/>
        <v>121.776</v>
      </c>
      <c r="F246" s="1139">
        <f t="shared" si="17"/>
        <v>0.91100000000000003</v>
      </c>
      <c r="G246" s="1116"/>
      <c r="H246" s="1139">
        <f t="shared" si="18"/>
        <v>123.85899999999999</v>
      </c>
      <c r="I246" s="1116"/>
      <c r="J246" s="1116"/>
      <c r="K246" s="1116"/>
      <c r="L246" s="1116"/>
      <c r="M246" s="1116"/>
      <c r="N246" s="1116"/>
      <c r="O246" s="1116"/>
      <c r="P246" s="1116"/>
      <c r="Q246" s="1116"/>
      <c r="R246" s="1116"/>
      <c r="S246" s="1117">
        <v>123860</v>
      </c>
      <c r="T246" s="1117">
        <v>121776</v>
      </c>
      <c r="U246" s="1117">
        <v>1172</v>
      </c>
      <c r="V246" s="1117">
        <v>0</v>
      </c>
      <c r="W246" s="1117">
        <v>911</v>
      </c>
      <c r="X246" s="1117" t="s">
        <v>2171</v>
      </c>
      <c r="Y246" s="1117" t="s">
        <v>2171</v>
      </c>
      <c r="Z246" s="1117">
        <v>0</v>
      </c>
      <c r="AA246" s="1116"/>
      <c r="AB246" s="1116"/>
      <c r="AC246" s="1116"/>
      <c r="AD246" s="1116"/>
      <c r="AE246" s="1116"/>
      <c r="AF246" s="1140">
        <f t="shared" si="19"/>
        <v>71176.556056781352</v>
      </c>
      <c r="AG246" s="1117">
        <f>'1.1.1 PrimEnLR'!B246*'3.1.1 CO2LR'!$AG$9*Units!$C$47/1000</f>
        <v>65233.686698248326</v>
      </c>
      <c r="AH246" s="1117">
        <f>'1.1.1 PrimEnLR'!C246*'3.1.1 CO2LR'!$AG$9*Units!$C$47/1000</f>
        <v>5942.8693585330266</v>
      </c>
      <c r="AI246" s="1117">
        <f>'1.1.1 PrimEnLR'!D246*Units!$C$14*Units!$C$59/1000</f>
        <v>0</v>
      </c>
      <c r="AJ246" s="1116"/>
      <c r="AK246" s="1116"/>
    </row>
    <row r="247" spans="1:37" x14ac:dyDescent="0.35">
      <c r="A247" s="1116">
        <v>1937</v>
      </c>
      <c r="B247" s="1116"/>
      <c r="C247" s="1119"/>
      <c r="D247" s="1119">
        <f t="shared" si="15"/>
        <v>1.1479999999999999</v>
      </c>
      <c r="E247" s="1119">
        <f t="shared" si="16"/>
        <v>125.633</v>
      </c>
      <c r="F247" s="1139">
        <f t="shared" si="17"/>
        <v>0.99299999999999999</v>
      </c>
      <c r="G247" s="1116"/>
      <c r="H247" s="1139">
        <f t="shared" si="18"/>
        <v>127.77399999999999</v>
      </c>
      <c r="I247" s="1116"/>
      <c r="J247" s="1116"/>
      <c r="K247" s="1116"/>
      <c r="L247" s="1116"/>
      <c r="M247" s="1116"/>
      <c r="N247" s="1116"/>
      <c r="O247" s="1116"/>
      <c r="P247" s="1116"/>
      <c r="Q247" s="1116"/>
      <c r="R247" s="1116"/>
      <c r="S247" s="1117">
        <v>127773</v>
      </c>
      <c r="T247" s="1117">
        <v>125633</v>
      </c>
      <c r="U247" s="1117">
        <v>1148</v>
      </c>
      <c r="V247" s="1117">
        <v>0</v>
      </c>
      <c r="W247" s="1117">
        <v>993</v>
      </c>
      <c r="X247" s="1117" t="s">
        <v>2171</v>
      </c>
      <c r="Y247" s="1117" t="s">
        <v>2171</v>
      </c>
      <c r="Z247" s="1117">
        <v>0</v>
      </c>
      <c r="AA247" s="1116"/>
      <c r="AB247" s="1116"/>
      <c r="AC247" s="1116"/>
      <c r="AD247" s="1116"/>
      <c r="AE247" s="1116"/>
      <c r="AF247" s="1140">
        <f t="shared" si="19"/>
        <v>73828.799246603478</v>
      </c>
      <c r="AG247" s="1117">
        <f>'1.1.1 PrimEnLR'!B247*'3.1.1 CO2LR'!$AG$9*Units!$C$47/1000</f>
        <v>67508.349395548299</v>
      </c>
      <c r="AH247" s="1117">
        <f>'1.1.1 PrimEnLR'!C247*'3.1.1 CO2LR'!$AG$9*Units!$C$47/1000</f>
        <v>6320.4498510551748</v>
      </c>
      <c r="AI247" s="1117">
        <f>'1.1.1 PrimEnLR'!D247*Units!$C$14*Units!$C$59/1000</f>
        <v>0</v>
      </c>
      <c r="AJ247" s="1116"/>
      <c r="AK247" s="1116"/>
    </row>
    <row r="248" spans="1:37" x14ac:dyDescent="0.35">
      <c r="A248" s="1116">
        <v>1938</v>
      </c>
      <c r="B248" s="1116"/>
      <c r="C248" s="1119"/>
      <c r="D248" s="1119">
        <f t="shared" si="15"/>
        <v>1.429</v>
      </c>
      <c r="E248" s="1119">
        <f t="shared" si="16"/>
        <v>120.032</v>
      </c>
      <c r="F248" s="1139">
        <f t="shared" si="17"/>
        <v>1.0740000000000001</v>
      </c>
      <c r="G248" s="1116"/>
      <c r="H248" s="1139">
        <f t="shared" si="18"/>
        <v>122.535</v>
      </c>
      <c r="I248" s="1116"/>
      <c r="J248" s="1116"/>
      <c r="K248" s="1116"/>
      <c r="L248" s="1116"/>
      <c r="M248" s="1116"/>
      <c r="N248" s="1116"/>
      <c r="O248" s="1116"/>
      <c r="P248" s="1116"/>
      <c r="Q248" s="1116"/>
      <c r="R248" s="1116"/>
      <c r="S248" s="1117">
        <v>122536</v>
      </c>
      <c r="T248" s="1117">
        <v>120032</v>
      </c>
      <c r="U248" s="1117">
        <v>1429</v>
      </c>
      <c r="V248" s="1117">
        <v>0</v>
      </c>
      <c r="W248" s="1117">
        <v>1074</v>
      </c>
      <c r="X248" s="1117" t="s">
        <v>2171</v>
      </c>
      <c r="Y248" s="1117" t="s">
        <v>2171</v>
      </c>
      <c r="Z248" s="1117">
        <v>0</v>
      </c>
      <c r="AA248" s="1116"/>
      <c r="AB248" s="1116"/>
      <c r="AC248" s="1116"/>
      <c r="AD248" s="1116"/>
      <c r="AE248" s="1116"/>
      <c r="AF248" s="1140">
        <f t="shared" si="19"/>
        <v>70816.132625381768</v>
      </c>
      <c r="AG248" s="1117">
        <f>'1.1.1 PrimEnLR'!B248*'3.1.1 CO2LR'!$AG$9*Units!$C$47/1000</f>
        <v>65171.815872881765</v>
      </c>
      <c r="AH248" s="1117">
        <f>'1.1.1 PrimEnLR'!C248*'3.1.1 CO2LR'!$AG$9*Units!$C$47/1000</f>
        <v>5644.3167525000008</v>
      </c>
      <c r="AI248" s="1117">
        <f>'1.1.1 PrimEnLR'!D248*Units!$C$14*Units!$C$59/1000</f>
        <v>0</v>
      </c>
      <c r="AJ248" s="1116"/>
      <c r="AK248" s="1116"/>
    </row>
    <row r="249" spans="1:37" x14ac:dyDescent="0.35">
      <c r="A249" s="1116">
        <v>1939</v>
      </c>
      <c r="B249" s="1116"/>
      <c r="C249" s="1119"/>
      <c r="D249" s="1119">
        <f t="shared" si="15"/>
        <v>1.393</v>
      </c>
      <c r="E249" s="1119">
        <f t="shared" si="16"/>
        <v>122.09399999999999</v>
      </c>
      <c r="F249" s="1139">
        <f t="shared" si="17"/>
        <v>0</v>
      </c>
      <c r="G249" s="1116"/>
      <c r="H249" s="1139">
        <f t="shared" si="18"/>
        <v>123.48699999999999</v>
      </c>
      <c r="I249" s="1116"/>
      <c r="J249" s="1116"/>
      <c r="K249" s="1116"/>
      <c r="L249" s="1116"/>
      <c r="M249" s="1116"/>
      <c r="N249" s="1116"/>
      <c r="O249" s="1116"/>
      <c r="P249" s="1116"/>
      <c r="Q249" s="1116"/>
      <c r="R249" s="1116"/>
      <c r="S249" s="1117">
        <v>123487</v>
      </c>
      <c r="T249" s="1117">
        <v>122094</v>
      </c>
      <c r="U249" s="1117">
        <v>1393</v>
      </c>
      <c r="V249" s="1117">
        <v>0</v>
      </c>
      <c r="W249" s="1117">
        <v>0</v>
      </c>
      <c r="X249" s="1117" t="s">
        <v>2171</v>
      </c>
      <c r="Y249" s="1117" t="s">
        <v>2171</v>
      </c>
      <c r="Z249" s="1117">
        <v>0</v>
      </c>
      <c r="AA249" s="1116"/>
      <c r="AB249" s="1116"/>
      <c r="AC249" s="1116"/>
      <c r="AD249" s="1116"/>
      <c r="AE249" s="1116"/>
      <c r="AF249" s="1140">
        <f t="shared" si="19"/>
        <v>70590.409499041183</v>
      </c>
      <c r="AG249" s="1117">
        <f>'1.1.1 PrimEnLR'!B249*'3.1.1 CO2LR'!$AG$9*Units!$C$47/1000</f>
        <v>65576.014335541186</v>
      </c>
      <c r="AH249" s="1117">
        <f>'1.1.1 PrimEnLR'!C249*'3.1.1 CO2LR'!$AG$9*Units!$C$47/1000</f>
        <v>5014.3951634999994</v>
      </c>
      <c r="AI249" s="1117">
        <f>'1.1.1 PrimEnLR'!D249*Units!$C$14*Units!$C$59/1000</f>
        <v>0</v>
      </c>
      <c r="AJ249" s="1116"/>
      <c r="AK249" s="1116"/>
    </row>
    <row r="250" spans="1:37" x14ac:dyDescent="0.35">
      <c r="A250" s="1116">
        <v>1940</v>
      </c>
      <c r="B250" s="1116"/>
      <c r="C250" s="1119"/>
      <c r="D250" s="1119">
        <f t="shared" si="15"/>
        <v>1.1599999999999999</v>
      </c>
      <c r="E250" s="1119">
        <f t="shared" si="16"/>
        <v>128.52000000000001</v>
      </c>
      <c r="F250" s="1139">
        <f t="shared" si="17"/>
        <v>0</v>
      </c>
      <c r="G250" s="1116"/>
      <c r="H250" s="1139">
        <f t="shared" si="18"/>
        <v>129.68</v>
      </c>
      <c r="I250" s="1116"/>
      <c r="J250" s="1116"/>
      <c r="K250" s="1116"/>
      <c r="L250" s="1116"/>
      <c r="M250" s="1116"/>
      <c r="N250" s="1116"/>
      <c r="O250" s="1116"/>
      <c r="P250" s="1116"/>
      <c r="Q250" s="1116"/>
      <c r="R250" s="1116"/>
      <c r="S250" s="1117">
        <v>129679</v>
      </c>
      <c r="T250" s="1117">
        <v>128520</v>
      </c>
      <c r="U250" s="1117">
        <v>1160</v>
      </c>
      <c r="V250" s="1117">
        <v>0</v>
      </c>
      <c r="W250" s="1117">
        <v>0</v>
      </c>
      <c r="X250" s="1117" t="s">
        <v>2171</v>
      </c>
      <c r="Y250" s="1117" t="s">
        <v>2171</v>
      </c>
      <c r="Z250" s="1117">
        <v>0</v>
      </c>
      <c r="AA250" s="1116"/>
      <c r="AB250" s="1116"/>
      <c r="AC250" s="1116"/>
      <c r="AD250" s="1116"/>
      <c r="AE250" s="1116"/>
      <c r="AF250" s="1140">
        <f t="shared" si="19"/>
        <v>71319.036151050052</v>
      </c>
      <c r="AG250" s="1117">
        <f>'1.1.1 PrimEnLR'!B250*'3.1.1 CO2LR'!$AG$9*Units!$C$47/1000</f>
        <v>66450.241819050047</v>
      </c>
      <c r="AH250" s="1117">
        <f>'1.1.1 PrimEnLR'!C250*'3.1.1 CO2LR'!$AG$9*Units!$C$47/1000</f>
        <v>4868.7943319999995</v>
      </c>
      <c r="AI250" s="1117">
        <f>'1.1.1 PrimEnLR'!D250*Units!$C$14*Units!$C$59/1000</f>
        <v>0</v>
      </c>
      <c r="AJ250" s="1116"/>
      <c r="AK250" s="1116"/>
    </row>
    <row r="251" spans="1:37" x14ac:dyDescent="0.35">
      <c r="A251" s="1116">
        <v>1941</v>
      </c>
      <c r="B251" s="1116"/>
      <c r="C251" s="1119"/>
      <c r="D251" s="1119">
        <f t="shared" si="15"/>
        <v>0.81100000000000005</v>
      </c>
      <c r="E251" s="1119">
        <f t="shared" si="16"/>
        <v>126.389</v>
      </c>
      <c r="F251" s="1139">
        <f t="shared" si="17"/>
        <v>0.98699999999999999</v>
      </c>
      <c r="G251" s="1116"/>
      <c r="H251" s="1139">
        <f t="shared" si="18"/>
        <v>128.18700000000001</v>
      </c>
      <c r="I251" s="1116"/>
      <c r="J251" s="1116"/>
      <c r="K251" s="1116"/>
      <c r="L251" s="1116"/>
      <c r="M251" s="1116"/>
      <c r="N251" s="1116"/>
      <c r="O251" s="1116"/>
      <c r="P251" s="1116"/>
      <c r="Q251" s="1116"/>
      <c r="R251" s="1116"/>
      <c r="S251" s="1117">
        <v>128188</v>
      </c>
      <c r="T251" s="1117">
        <v>126389</v>
      </c>
      <c r="U251" s="1117">
        <v>811</v>
      </c>
      <c r="V251" s="1117">
        <v>0</v>
      </c>
      <c r="W251" s="1117">
        <v>987</v>
      </c>
      <c r="X251" s="1117" t="s">
        <v>2171</v>
      </c>
      <c r="Y251" s="1117" t="s">
        <v>2171</v>
      </c>
      <c r="Z251" s="1117">
        <v>0</v>
      </c>
      <c r="AA251" s="1116"/>
      <c r="AB251" s="1116"/>
      <c r="AC251" s="1116"/>
      <c r="AD251" s="1116"/>
      <c r="AE251" s="1116"/>
      <c r="AF251" s="1140">
        <f t="shared" si="19"/>
        <v>71873.62127832722</v>
      </c>
      <c r="AG251" s="1117">
        <f>'1.1.1 PrimEnLR'!B251*'3.1.1 CO2LR'!$AG$9*Units!$C$47/1000</f>
        <v>66464.459006827223</v>
      </c>
      <c r="AH251" s="1117">
        <f>'1.1.1 PrimEnLR'!C251*'3.1.1 CO2LR'!$AG$9*Units!$C$47/1000</f>
        <v>5409.1622714999994</v>
      </c>
      <c r="AI251" s="1117">
        <f>'1.1.1 PrimEnLR'!D251*Units!$C$14*Units!$C$59/1000</f>
        <v>0</v>
      </c>
      <c r="AJ251" s="1116"/>
      <c r="AK251" s="1116"/>
    </row>
    <row r="252" spans="1:37" x14ac:dyDescent="0.35">
      <c r="A252" s="1116">
        <v>1942</v>
      </c>
      <c r="B252" s="1116"/>
      <c r="C252" s="1119"/>
      <c r="D252" s="1119">
        <f t="shared" ref="D252:D298" si="20">U252/1000</f>
        <v>0.51600000000000001</v>
      </c>
      <c r="E252" s="1119">
        <f t="shared" ref="E252:E298" si="21">T252/1000</f>
        <v>126.46299999999999</v>
      </c>
      <c r="F252" s="1139">
        <f t="shared" ref="F252:F298" si="22">W252/1000</f>
        <v>1.0029999999999999</v>
      </c>
      <c r="G252" s="1116"/>
      <c r="H252" s="1139">
        <f t="shared" ref="H252:H298" si="23">SUM(C252:G252)</f>
        <v>127.982</v>
      </c>
      <c r="I252" s="1116"/>
      <c r="J252" s="1116"/>
      <c r="K252" s="1116"/>
      <c r="L252" s="1116"/>
      <c r="M252" s="1116"/>
      <c r="N252" s="1116"/>
      <c r="O252" s="1116"/>
      <c r="P252" s="1116"/>
      <c r="Q252" s="1116"/>
      <c r="R252" s="1116"/>
      <c r="S252" s="1117">
        <v>127983</v>
      </c>
      <c r="T252" s="1117">
        <v>126463</v>
      </c>
      <c r="U252" s="1117">
        <v>516</v>
      </c>
      <c r="V252" s="1117">
        <v>1</v>
      </c>
      <c r="W252" s="1117">
        <v>1003</v>
      </c>
      <c r="X252" s="1117" t="s">
        <v>2171</v>
      </c>
      <c r="Y252" s="1117" t="s">
        <v>2171</v>
      </c>
      <c r="Z252" s="1117">
        <v>0</v>
      </c>
      <c r="AA252" s="1116"/>
      <c r="AB252" s="1116"/>
      <c r="AC252" s="1116"/>
      <c r="AD252" s="1116"/>
      <c r="AE252" s="1116"/>
      <c r="AF252" s="1140">
        <f t="shared" si="19"/>
        <v>72806.840012295739</v>
      </c>
      <c r="AG252" s="1117">
        <f>'1.1.1 PrimEnLR'!B252*'3.1.1 CO2LR'!$AG$9*Units!$C$47/1000</f>
        <v>67545.106197795743</v>
      </c>
      <c r="AH252" s="1117">
        <f>'1.1.1 PrimEnLR'!C252*'3.1.1 CO2LR'!$AG$9*Units!$C$47/1000</f>
        <v>5261.7338145000003</v>
      </c>
      <c r="AI252" s="1117">
        <f>'1.1.1 PrimEnLR'!D252*Units!$C$14*Units!$C$59/1000</f>
        <v>0</v>
      </c>
      <c r="AJ252" s="1116"/>
      <c r="AK252" s="1116"/>
    </row>
    <row r="253" spans="1:37" x14ac:dyDescent="0.35">
      <c r="A253" s="1116">
        <v>1943</v>
      </c>
      <c r="B253" s="1116"/>
      <c r="C253" s="1119"/>
      <c r="D253" s="1119">
        <f t="shared" si="20"/>
        <v>0.51200000000000001</v>
      </c>
      <c r="E253" s="1119">
        <f t="shared" si="21"/>
        <v>122.664</v>
      </c>
      <c r="F253" s="1139">
        <f t="shared" si="22"/>
        <v>0.96299999999999997</v>
      </c>
      <c r="G253" s="1116"/>
      <c r="H253" s="1139">
        <f t="shared" si="23"/>
        <v>124.139</v>
      </c>
      <c r="I253" s="1116"/>
      <c r="J253" s="1116"/>
      <c r="K253" s="1116"/>
      <c r="L253" s="1116"/>
      <c r="M253" s="1116"/>
      <c r="N253" s="1116"/>
      <c r="O253" s="1116"/>
      <c r="P253" s="1116"/>
      <c r="Q253" s="1116"/>
      <c r="R253" s="1116"/>
      <c r="S253" s="1117">
        <v>124140</v>
      </c>
      <c r="T253" s="1117">
        <v>122664</v>
      </c>
      <c r="U253" s="1117">
        <v>512</v>
      </c>
      <c r="V253" s="1117">
        <v>0</v>
      </c>
      <c r="W253" s="1117">
        <v>963</v>
      </c>
      <c r="X253" s="1117" t="s">
        <v>2171</v>
      </c>
      <c r="Y253" s="1117" t="s">
        <v>2171</v>
      </c>
      <c r="Z253" s="1117">
        <v>0</v>
      </c>
      <c r="AA253" s="1116"/>
      <c r="AB253" s="1116"/>
      <c r="AC253" s="1116"/>
      <c r="AD253" s="1116"/>
      <c r="AE253" s="1116"/>
      <c r="AF253" s="1140">
        <f t="shared" si="19"/>
        <v>73899.563371970406</v>
      </c>
      <c r="AG253" s="1117">
        <f>'1.1.1 PrimEnLR'!B253*'3.1.1 CO2LR'!$AG$9*Units!$C$47/1000</f>
        <v>68349.064728470403</v>
      </c>
      <c r="AH253" s="1117">
        <f>'1.1.1 PrimEnLR'!C253*'3.1.1 CO2LR'!$AG$9*Units!$C$47/1000</f>
        <v>5550.4986434999992</v>
      </c>
      <c r="AI253" s="1117">
        <f>'1.1.1 PrimEnLR'!D253*Units!$C$14*Units!$C$59/1000</f>
        <v>0</v>
      </c>
      <c r="AJ253" s="1116"/>
      <c r="AK253" s="1116"/>
    </row>
    <row r="254" spans="1:37" x14ac:dyDescent="0.35">
      <c r="A254" s="1116">
        <v>1944</v>
      </c>
      <c r="B254" s="1116"/>
      <c r="C254" s="1119"/>
      <c r="D254" s="1119">
        <f t="shared" si="20"/>
        <v>0.59499999999999997</v>
      </c>
      <c r="E254" s="1119">
        <f t="shared" si="21"/>
        <v>119.41800000000001</v>
      </c>
      <c r="F254" s="1139">
        <f t="shared" si="22"/>
        <v>0.63</v>
      </c>
      <c r="G254" s="1116"/>
      <c r="H254" s="1139">
        <f t="shared" si="23"/>
        <v>120.643</v>
      </c>
      <c r="I254" s="1116"/>
      <c r="J254" s="1116"/>
      <c r="K254" s="1116"/>
      <c r="L254" s="1116"/>
      <c r="M254" s="1116"/>
      <c r="N254" s="1116"/>
      <c r="O254" s="1116"/>
      <c r="P254" s="1116"/>
      <c r="Q254" s="1116"/>
      <c r="R254" s="1116"/>
      <c r="S254" s="1117">
        <v>120645</v>
      </c>
      <c r="T254" s="1117">
        <v>119418</v>
      </c>
      <c r="U254" s="1117">
        <v>595</v>
      </c>
      <c r="V254" s="1117">
        <v>1</v>
      </c>
      <c r="W254" s="1117">
        <v>630</v>
      </c>
      <c r="X254" s="1117" t="s">
        <v>2171</v>
      </c>
      <c r="Y254" s="1117" t="s">
        <v>2171</v>
      </c>
      <c r="Z254" s="1117">
        <v>0</v>
      </c>
      <c r="AA254" s="1116"/>
      <c r="AB254" s="1116"/>
      <c r="AC254" s="1116"/>
      <c r="AD254" s="1116"/>
      <c r="AE254" s="1116"/>
      <c r="AF254" s="1140">
        <f t="shared" si="19"/>
        <v>75346.297096766401</v>
      </c>
      <c r="AG254" s="1117">
        <f>'1.1.1 PrimEnLR'!B254*'3.1.1 CO2LR'!$AG$9*Units!$C$47/1000</f>
        <v>67257.226633766404</v>
      </c>
      <c r="AH254" s="1117">
        <f>'1.1.1 PrimEnLR'!C254*'3.1.1 CO2LR'!$AG$9*Units!$C$47/1000</f>
        <v>8089.070463</v>
      </c>
      <c r="AI254" s="1117">
        <f>'1.1.1 PrimEnLR'!D254*Units!$C$14*Units!$C$59/1000</f>
        <v>0</v>
      </c>
      <c r="AJ254" s="1116"/>
      <c r="AK254" s="1116"/>
    </row>
    <row r="255" spans="1:37" x14ac:dyDescent="0.35">
      <c r="A255" s="1116">
        <v>1945</v>
      </c>
      <c r="B255" s="1116"/>
      <c r="C255" s="1119"/>
      <c r="D255" s="1119">
        <f t="shared" si="20"/>
        <v>0.72499999999999998</v>
      </c>
      <c r="E255" s="1119">
        <f t="shared" si="21"/>
        <v>112.699</v>
      </c>
      <c r="F255" s="1139">
        <f t="shared" si="22"/>
        <v>0.56000000000000005</v>
      </c>
      <c r="G255" s="1116"/>
      <c r="H255" s="1139">
        <f t="shared" si="23"/>
        <v>113.98399999999999</v>
      </c>
      <c r="I255" s="1116"/>
      <c r="J255" s="1116"/>
      <c r="K255" s="1116"/>
      <c r="L255" s="1116"/>
      <c r="M255" s="1116"/>
      <c r="N255" s="1116"/>
      <c r="O255" s="1116"/>
      <c r="P255" s="1116"/>
      <c r="Q255" s="1116"/>
      <c r="R255" s="1116"/>
      <c r="S255" s="1117">
        <v>113985</v>
      </c>
      <c r="T255" s="1117">
        <v>112699</v>
      </c>
      <c r="U255" s="1117">
        <v>725</v>
      </c>
      <c r="V255" s="1117">
        <v>1</v>
      </c>
      <c r="W255" s="1117">
        <v>560</v>
      </c>
      <c r="X255" s="1117" t="s">
        <v>2171</v>
      </c>
      <c r="Y255" s="1117" t="s">
        <v>2171</v>
      </c>
      <c r="Z255" s="1117">
        <v>0</v>
      </c>
      <c r="AA255" s="1116"/>
      <c r="AB255" s="1116"/>
      <c r="AC255" s="1116"/>
      <c r="AD255" s="1116"/>
      <c r="AE255" s="1116"/>
      <c r="AF255" s="1140">
        <f t="shared" si="19"/>
        <v>70915.204938379189</v>
      </c>
      <c r="AG255" s="1117">
        <f>'1.1.1 PrimEnLR'!B255*'3.1.1 CO2LR'!$AG$9*Units!$C$47/1000</f>
        <v>64382.052984379196</v>
      </c>
      <c r="AH255" s="1117">
        <f>'1.1.1 PrimEnLR'!C255*'3.1.1 CO2LR'!$AG$9*Units!$C$47/1000</f>
        <v>6533.1519539999999</v>
      </c>
      <c r="AI255" s="1117">
        <f>'1.1.1 PrimEnLR'!D255*Units!$C$14*Units!$C$59/1000</f>
        <v>0</v>
      </c>
      <c r="AJ255" s="1116"/>
      <c r="AK255" s="1116"/>
    </row>
    <row r="256" spans="1:37" x14ac:dyDescent="0.35">
      <c r="A256" s="1116">
        <v>1946</v>
      </c>
      <c r="B256" s="1116"/>
      <c r="C256" s="1119"/>
      <c r="D256" s="1119">
        <f t="shared" si="20"/>
        <v>1.5569999999999999</v>
      </c>
      <c r="E256" s="1119">
        <f t="shared" si="21"/>
        <v>116.572</v>
      </c>
      <c r="F256" s="1139">
        <f t="shared" si="22"/>
        <v>0.90900000000000003</v>
      </c>
      <c r="G256" s="1116"/>
      <c r="H256" s="1139">
        <f t="shared" si="23"/>
        <v>119.03800000000001</v>
      </c>
      <c r="I256" s="1116"/>
      <c r="J256" s="1116"/>
      <c r="K256" s="1116"/>
      <c r="L256" s="1116"/>
      <c r="M256" s="1116"/>
      <c r="N256" s="1116"/>
      <c r="O256" s="1116"/>
      <c r="P256" s="1116"/>
      <c r="Q256" s="1116"/>
      <c r="R256" s="1116"/>
      <c r="S256" s="1117">
        <v>119038</v>
      </c>
      <c r="T256" s="1117">
        <v>116572</v>
      </c>
      <c r="U256" s="1117">
        <v>1557</v>
      </c>
      <c r="V256" s="1117">
        <v>0</v>
      </c>
      <c r="W256" s="1117">
        <v>909</v>
      </c>
      <c r="X256" s="1117" t="s">
        <v>2171</v>
      </c>
      <c r="Y256" s="1117" t="s">
        <v>2171</v>
      </c>
      <c r="Z256" s="1117">
        <v>0</v>
      </c>
      <c r="AA256" s="1116"/>
      <c r="AB256" s="1116"/>
      <c r="AC256" s="1116"/>
      <c r="AD256" s="1116"/>
      <c r="AE256" s="1116"/>
      <c r="AF256" s="1140">
        <f t="shared" si="19"/>
        <v>73153.50714819842</v>
      </c>
      <c r="AG256" s="1117">
        <f>'1.1.1 PrimEnLR'!B256*'3.1.1 CO2LR'!$AG$9*Units!$C$47/1000</f>
        <v>66893.280602198414</v>
      </c>
      <c r="AH256" s="1117">
        <f>'1.1.1 PrimEnLR'!C256*'3.1.1 CO2LR'!$AG$9*Units!$C$47/1000</f>
        <v>6260.2265459999999</v>
      </c>
      <c r="AI256" s="1117">
        <f>'1.1.1 PrimEnLR'!D256*Units!$C$14*Units!$C$59/1000</f>
        <v>0</v>
      </c>
      <c r="AJ256" s="1116"/>
      <c r="AK256" s="1116"/>
    </row>
    <row r="257" spans="1:37" x14ac:dyDescent="0.35">
      <c r="A257" s="1116">
        <v>1947</v>
      </c>
      <c r="B257" s="1116"/>
      <c r="C257" s="1119"/>
      <c r="D257" s="1119">
        <f t="shared" si="20"/>
        <v>1.597</v>
      </c>
      <c r="E257" s="1119">
        <f t="shared" si="21"/>
        <v>123.342</v>
      </c>
      <c r="F257" s="1139">
        <f t="shared" si="22"/>
        <v>0.96199999999999997</v>
      </c>
      <c r="G257" s="1116"/>
      <c r="H257" s="1139">
        <f t="shared" si="23"/>
        <v>125.901</v>
      </c>
      <c r="I257" s="1116"/>
      <c r="J257" s="1116"/>
      <c r="K257" s="1116"/>
      <c r="L257" s="1116"/>
      <c r="M257" s="1116"/>
      <c r="N257" s="1116"/>
      <c r="O257" s="1116"/>
      <c r="P257" s="1116"/>
      <c r="Q257" s="1116"/>
      <c r="R257" s="1116"/>
      <c r="S257" s="1117">
        <v>125900</v>
      </c>
      <c r="T257" s="1117">
        <v>123342</v>
      </c>
      <c r="U257" s="1117">
        <v>1597</v>
      </c>
      <c r="V257" s="1117">
        <v>0</v>
      </c>
      <c r="W257" s="1117">
        <v>962</v>
      </c>
      <c r="X257" s="1117" t="s">
        <v>2171</v>
      </c>
      <c r="Y257" s="1117" t="s">
        <v>2171</v>
      </c>
      <c r="Z257" s="1117">
        <v>0</v>
      </c>
      <c r="AA257" s="1116"/>
      <c r="AB257" s="1116"/>
      <c r="AC257" s="1116"/>
      <c r="AD257" s="1116"/>
      <c r="AE257" s="1116"/>
      <c r="AF257" s="1140">
        <f t="shared" si="19"/>
        <v>73745.454090875995</v>
      </c>
      <c r="AG257" s="1117">
        <f>'1.1.1 PrimEnLR'!B257*'3.1.1 CO2LR'!$AG$9*Units!$C$47/1000</f>
        <v>66238.177745376001</v>
      </c>
      <c r="AH257" s="1117">
        <f>'1.1.1 PrimEnLR'!C257*'3.1.1 CO2LR'!$AG$9*Units!$C$47/1000</f>
        <v>7507.2763454999995</v>
      </c>
      <c r="AI257" s="1117">
        <f>'1.1.1 PrimEnLR'!D257*Units!$C$14*Units!$C$59/1000</f>
        <v>0</v>
      </c>
      <c r="AJ257" s="1116"/>
      <c r="AK257" s="1116"/>
    </row>
    <row r="258" spans="1:37" x14ac:dyDescent="0.35">
      <c r="A258" s="1116">
        <v>1948</v>
      </c>
      <c r="B258" s="1116"/>
      <c r="C258" s="1119"/>
      <c r="D258" s="1119">
        <f t="shared" si="20"/>
        <v>3.694</v>
      </c>
      <c r="E258" s="1119">
        <f t="shared" si="21"/>
        <v>124.932</v>
      </c>
      <c r="F258" s="1139">
        <f t="shared" si="22"/>
        <v>1.177</v>
      </c>
      <c r="G258" s="1116"/>
      <c r="H258" s="1139">
        <f t="shared" si="23"/>
        <v>129.803</v>
      </c>
      <c r="I258" s="1116"/>
      <c r="J258" s="1116"/>
      <c r="K258" s="1116"/>
      <c r="L258" s="1116"/>
      <c r="M258" s="1116"/>
      <c r="N258" s="1116"/>
      <c r="O258" s="1116"/>
      <c r="P258" s="1116"/>
      <c r="Q258" s="1116"/>
      <c r="R258" s="1116"/>
      <c r="S258" s="1117">
        <v>129803</v>
      </c>
      <c r="T258" s="1117">
        <v>124932</v>
      </c>
      <c r="U258" s="1117">
        <v>3694</v>
      </c>
      <c r="V258" s="1117">
        <v>0</v>
      </c>
      <c r="W258" s="1117">
        <v>1177</v>
      </c>
      <c r="X258" s="1117" t="s">
        <v>2171</v>
      </c>
      <c r="Y258" s="1117" t="s">
        <v>2171</v>
      </c>
      <c r="Z258" s="1117">
        <v>0</v>
      </c>
      <c r="AA258" s="1116"/>
      <c r="AB258" s="1116"/>
      <c r="AC258" s="1116"/>
      <c r="AD258" s="1116"/>
      <c r="AE258" s="1116"/>
      <c r="AF258" s="1140">
        <f t="shared" si="19"/>
        <v>77596.49008177199</v>
      </c>
      <c r="AG258" s="1117">
        <f>'1.1.1 PrimEnLR'!B258*'3.1.1 CO2LR'!$AG$9*Units!$C$47/1000</f>
        <v>69695.665045271991</v>
      </c>
      <c r="AH258" s="1117">
        <f>'1.1.1 PrimEnLR'!C258*'3.1.1 CO2LR'!$AG$9*Units!$C$47/1000</f>
        <v>7900.8250364999994</v>
      </c>
      <c r="AI258" s="1117">
        <f>'1.1.1 PrimEnLR'!D258*Units!$C$14*Units!$C$59/1000</f>
        <v>0</v>
      </c>
      <c r="AJ258" s="1116"/>
      <c r="AK258" s="1116"/>
    </row>
    <row r="259" spans="1:37" x14ac:dyDescent="0.35">
      <c r="A259" s="1116">
        <v>1949</v>
      </c>
      <c r="B259" s="1116"/>
      <c r="C259" s="1119"/>
      <c r="D259" s="1119">
        <f t="shared" si="20"/>
        <v>4.758</v>
      </c>
      <c r="E259" s="1119">
        <f t="shared" si="21"/>
        <v>126.377</v>
      </c>
      <c r="F259" s="1139">
        <f t="shared" si="22"/>
        <v>1.274</v>
      </c>
      <c r="G259" s="1116"/>
      <c r="H259" s="1139">
        <f t="shared" si="23"/>
        <v>132.40899999999999</v>
      </c>
      <c r="I259" s="1116"/>
      <c r="J259" s="1116"/>
      <c r="K259" s="1116"/>
      <c r="L259" s="1116"/>
      <c r="M259" s="1116"/>
      <c r="N259" s="1116"/>
      <c r="O259" s="1116"/>
      <c r="P259" s="1116"/>
      <c r="Q259" s="1116"/>
      <c r="R259" s="1116"/>
      <c r="S259" s="1117">
        <v>132409</v>
      </c>
      <c r="T259" s="1117">
        <v>126377</v>
      </c>
      <c r="U259" s="1117">
        <v>4758</v>
      </c>
      <c r="V259" s="1117">
        <v>0</v>
      </c>
      <c r="W259" s="1117">
        <v>1274</v>
      </c>
      <c r="X259" s="1117" t="s">
        <v>2171</v>
      </c>
      <c r="Y259" s="1117" t="s">
        <v>2171</v>
      </c>
      <c r="Z259" s="1117">
        <v>0</v>
      </c>
      <c r="AA259" s="1116"/>
      <c r="AB259" s="1116"/>
      <c r="AC259" s="1116"/>
      <c r="AD259" s="1116"/>
      <c r="AE259" s="1116"/>
      <c r="AF259" s="1140">
        <f t="shared" si="19"/>
        <v>78916.848620594406</v>
      </c>
      <c r="AG259" s="1117">
        <f>'1.1.1 PrimEnLR'!B259*'3.1.1 CO2LR'!$AG$9*Units!$C$47/1000</f>
        <v>70350.767902094405</v>
      </c>
      <c r="AH259" s="1117">
        <f>'1.1.1 PrimEnLR'!C259*'3.1.1 CO2LR'!$AG$9*Units!$C$47/1000</f>
        <v>8566.0807184999994</v>
      </c>
      <c r="AI259" s="1117">
        <f>'1.1.1 PrimEnLR'!D259*Units!$C$14*Units!$C$59/1000</f>
        <v>0</v>
      </c>
      <c r="AJ259" s="1116"/>
      <c r="AK259" s="1116"/>
    </row>
    <row r="260" spans="1:37" x14ac:dyDescent="0.35">
      <c r="A260" s="1116">
        <v>1950</v>
      </c>
      <c r="B260" s="1116"/>
      <c r="C260" s="1119"/>
      <c r="D260" s="1119">
        <f t="shared" si="20"/>
        <v>11.361000000000001</v>
      </c>
      <c r="E260" s="1119">
        <f t="shared" si="21"/>
        <v>123.873</v>
      </c>
      <c r="F260" s="1139">
        <f t="shared" si="22"/>
        <v>1.3480000000000001</v>
      </c>
      <c r="G260" s="1116"/>
      <c r="H260" s="1139">
        <f t="shared" si="23"/>
        <v>136.58200000000002</v>
      </c>
      <c r="I260" s="1116"/>
      <c r="J260" s="1116"/>
      <c r="K260" s="1116"/>
      <c r="L260" s="1116"/>
      <c r="M260" s="1116"/>
      <c r="N260" s="1116"/>
      <c r="O260" s="1116"/>
      <c r="P260" s="1116"/>
      <c r="Q260" s="1116"/>
      <c r="R260" s="1116"/>
      <c r="S260" s="1117">
        <v>136583</v>
      </c>
      <c r="T260" s="1117">
        <v>123873</v>
      </c>
      <c r="U260" s="1117">
        <v>11361</v>
      </c>
      <c r="V260" s="1117">
        <v>0</v>
      </c>
      <c r="W260" s="1117">
        <v>1348</v>
      </c>
      <c r="X260" s="1117">
        <v>0</v>
      </c>
      <c r="Y260" s="1117">
        <v>2.69</v>
      </c>
      <c r="Z260" s="1117">
        <v>5155</v>
      </c>
      <c r="AA260" s="1116"/>
      <c r="AB260" s="1116"/>
      <c r="AC260" s="1116"/>
      <c r="AD260" s="1116"/>
      <c r="AE260" s="1116"/>
      <c r="AF260" s="1140">
        <f t="shared" si="19"/>
        <v>82245.340650599988</v>
      </c>
      <c r="AG260" s="1117">
        <f>'1.1.1 PrimEnLR'!B260*'3.1.1 CO2LR'!$AG$9*Units!$C$47/1000</f>
        <v>72789.206313599992</v>
      </c>
      <c r="AH260" s="1117">
        <f>'1.1.1 PrimEnLR'!C260*'3.1.1 CO2LR'!$AG$9*Units!$C$47/1000</f>
        <v>9456.1343370000013</v>
      </c>
      <c r="AI260" s="1117">
        <f>'1.1.1 PrimEnLR'!D260*Units!$C$14*Units!$C$59/1000</f>
        <v>0</v>
      </c>
      <c r="AJ260" s="1116"/>
      <c r="AK260" s="1116"/>
    </row>
    <row r="261" spans="1:37" x14ac:dyDescent="0.35">
      <c r="A261" s="1116">
        <v>1951</v>
      </c>
      <c r="B261" s="1116"/>
      <c r="C261" s="1119">
        <f t="shared" ref="C261:C299" si="24">V261/1000+X261/1000</f>
        <v>4.0000000000000001E-3</v>
      </c>
      <c r="D261" s="1119">
        <f t="shared" si="20"/>
        <v>14.632999999999999</v>
      </c>
      <c r="E261" s="1119">
        <f t="shared" si="21"/>
        <v>132.649</v>
      </c>
      <c r="F261" s="1139">
        <f t="shared" si="22"/>
        <v>1.413</v>
      </c>
      <c r="G261" s="1116"/>
      <c r="H261" s="1139">
        <f t="shared" si="23"/>
        <v>148.69900000000001</v>
      </c>
      <c r="I261" s="1116"/>
      <c r="J261" s="1116"/>
      <c r="K261" s="1116"/>
      <c r="L261" s="1116"/>
      <c r="M261" s="1116"/>
      <c r="N261" s="1116"/>
      <c r="O261" s="1116"/>
      <c r="P261" s="1116"/>
      <c r="Q261" s="1116"/>
      <c r="R261" s="1116"/>
      <c r="S261" s="1117">
        <v>148700</v>
      </c>
      <c r="T261" s="1117">
        <v>132649</v>
      </c>
      <c r="U261" s="1117">
        <v>14633</v>
      </c>
      <c r="V261" s="1117">
        <v>4</v>
      </c>
      <c r="W261" s="1117">
        <v>1413</v>
      </c>
      <c r="X261" s="1117">
        <v>0</v>
      </c>
      <c r="Y261" s="1117">
        <v>2.93</v>
      </c>
      <c r="Z261" s="1117">
        <v>5813</v>
      </c>
      <c r="AA261" s="1116"/>
      <c r="AB261" s="1116"/>
      <c r="AC261" s="1116"/>
      <c r="AD261" s="1116"/>
      <c r="AE261" s="1116"/>
      <c r="AF261" s="1140">
        <f t="shared" si="19"/>
        <v>85062.954331440007</v>
      </c>
      <c r="AG261" s="1117">
        <f>'1.1.1 PrimEnLR'!B261*'3.1.1 CO2LR'!$AG$9*Units!$C$47/1000</f>
        <v>74608.93647144</v>
      </c>
      <c r="AH261" s="1117">
        <f>'1.1.1 PrimEnLR'!C261*'3.1.1 CO2LR'!$AG$9*Units!$C$47/1000</f>
        <v>10454.01786</v>
      </c>
      <c r="AI261" s="1117">
        <f>'1.1.1 PrimEnLR'!D261*Units!$C$14*Units!$C$59/1000</f>
        <v>0</v>
      </c>
      <c r="AJ261" s="1116"/>
      <c r="AK261" s="1116"/>
    </row>
    <row r="262" spans="1:37" x14ac:dyDescent="0.35">
      <c r="A262" s="1116">
        <v>1952</v>
      </c>
      <c r="B262" s="1116"/>
      <c r="C262" s="1119">
        <f t="shared" si="24"/>
        <v>5.0000000000000001E-3</v>
      </c>
      <c r="D262" s="1119">
        <f t="shared" si="20"/>
        <v>14.478</v>
      </c>
      <c r="E262" s="1119">
        <f t="shared" si="21"/>
        <v>128.19999999999999</v>
      </c>
      <c r="F262" s="1139">
        <f t="shared" si="22"/>
        <v>1.5389999999999999</v>
      </c>
      <c r="G262" s="1116"/>
      <c r="H262" s="1139">
        <f t="shared" si="23"/>
        <v>144.22199999999998</v>
      </c>
      <c r="I262" s="1116"/>
      <c r="J262" s="1116"/>
      <c r="K262" s="1116"/>
      <c r="L262" s="1116"/>
      <c r="M262" s="1116"/>
      <c r="N262" s="1116"/>
      <c r="O262" s="1116"/>
      <c r="P262" s="1116"/>
      <c r="Q262" s="1116"/>
      <c r="R262" s="1116"/>
      <c r="S262" s="1117">
        <v>144221</v>
      </c>
      <c r="T262" s="1117">
        <v>128200</v>
      </c>
      <c r="U262" s="1117">
        <v>14478</v>
      </c>
      <c r="V262" s="1117">
        <v>5</v>
      </c>
      <c r="W262" s="1117">
        <v>1539</v>
      </c>
      <c r="X262" s="1117">
        <v>0</v>
      </c>
      <c r="Y262" s="1117">
        <v>2.84</v>
      </c>
      <c r="Z262" s="1117">
        <v>6020</v>
      </c>
      <c r="AA262" s="1116"/>
      <c r="AB262" s="1116"/>
      <c r="AC262" s="1116"/>
      <c r="AD262" s="1116"/>
      <c r="AE262" s="1116"/>
      <c r="AF262" s="1140">
        <f t="shared" si="19"/>
        <v>85155.598861185586</v>
      </c>
      <c r="AG262" s="1117">
        <f>'1.1.1 PrimEnLR'!B262*'3.1.1 CO2LR'!$AG$9*Units!$C$47/1000</f>
        <v>74317.779646185591</v>
      </c>
      <c r="AH262" s="1117">
        <f>'1.1.1 PrimEnLR'!C262*'3.1.1 CO2LR'!$AG$9*Units!$C$47/1000</f>
        <v>10837.819215</v>
      </c>
      <c r="AI262" s="1117">
        <f>'1.1.1 PrimEnLR'!D262*Units!$C$14*Units!$C$59/1000</f>
        <v>0</v>
      </c>
      <c r="AJ262" s="1116"/>
      <c r="AK262" s="1116"/>
    </row>
    <row r="263" spans="1:37" x14ac:dyDescent="0.35">
      <c r="A263" s="1116">
        <v>1953</v>
      </c>
      <c r="B263" s="1116"/>
      <c r="C263" s="1119">
        <f t="shared" si="24"/>
        <v>6.0000000000000001E-3</v>
      </c>
      <c r="D263" s="1119">
        <f t="shared" si="20"/>
        <v>15.28</v>
      </c>
      <c r="E263" s="1119">
        <f t="shared" si="21"/>
        <v>130.56800000000001</v>
      </c>
      <c r="F263" s="1139">
        <f t="shared" si="22"/>
        <v>1.55</v>
      </c>
      <c r="G263" s="1116"/>
      <c r="H263" s="1139">
        <f t="shared" si="23"/>
        <v>147.40400000000002</v>
      </c>
      <c r="I263" s="1116"/>
      <c r="J263" s="1116"/>
      <c r="K263" s="1116"/>
      <c r="L263" s="1116"/>
      <c r="M263" s="1116"/>
      <c r="N263" s="1116"/>
      <c r="O263" s="1116"/>
      <c r="P263" s="1116"/>
      <c r="Q263" s="1116"/>
      <c r="R263" s="1116"/>
      <c r="S263" s="1117">
        <v>147404</v>
      </c>
      <c r="T263" s="1117">
        <v>130568</v>
      </c>
      <c r="U263" s="1117">
        <v>15280</v>
      </c>
      <c r="V263" s="1117">
        <v>6</v>
      </c>
      <c r="W263" s="1117">
        <v>1550</v>
      </c>
      <c r="X263" s="1117">
        <v>0</v>
      </c>
      <c r="Y263" s="1117">
        <v>2.89</v>
      </c>
      <c r="Z263" s="1117">
        <v>5828</v>
      </c>
      <c r="AA263" s="1116"/>
      <c r="AB263" s="1116"/>
      <c r="AC263" s="1116"/>
      <c r="AD263" s="1116"/>
      <c r="AE263" s="1116"/>
      <c r="AF263" s="1140">
        <f t="shared" si="19"/>
        <v>86407.928792596809</v>
      </c>
      <c r="AG263" s="1117">
        <f>'1.1.1 PrimEnLR'!B263*'3.1.1 CO2LR'!$AG$9*Units!$C$47/1000</f>
        <v>74645.331074596805</v>
      </c>
      <c r="AH263" s="1117">
        <f>'1.1.1 PrimEnLR'!C263*'3.1.1 CO2LR'!$AG$9*Units!$C$47/1000</f>
        <v>11762.597718000001</v>
      </c>
      <c r="AI263" s="1117">
        <f>'1.1.1 PrimEnLR'!D263*Units!$C$14*Units!$C$59/1000</f>
        <v>0</v>
      </c>
      <c r="AJ263" s="1116"/>
      <c r="AK263" s="1116"/>
    </row>
    <row r="264" spans="1:37" x14ac:dyDescent="0.35">
      <c r="A264" s="1116">
        <v>1954</v>
      </c>
      <c r="B264" s="1116"/>
      <c r="C264" s="1119">
        <f t="shared" si="24"/>
        <v>8.9999999999999993E-3</v>
      </c>
      <c r="D264" s="1119">
        <f t="shared" si="20"/>
        <v>17.103999999999999</v>
      </c>
      <c r="E264" s="1119">
        <f t="shared" si="21"/>
        <v>132.083</v>
      </c>
      <c r="F264" s="1139">
        <f t="shared" si="22"/>
        <v>1.653</v>
      </c>
      <c r="G264" s="1116"/>
      <c r="H264" s="1139">
        <f t="shared" si="23"/>
        <v>150.84899999999999</v>
      </c>
      <c r="I264" s="1116"/>
      <c r="J264" s="1116"/>
      <c r="K264" s="1116"/>
      <c r="L264" s="1116"/>
      <c r="M264" s="1116"/>
      <c r="N264" s="1116"/>
      <c r="O264" s="1116"/>
      <c r="P264" s="1116"/>
      <c r="Q264" s="1116"/>
      <c r="R264" s="1116"/>
      <c r="S264" s="1117">
        <v>150849</v>
      </c>
      <c r="T264" s="1117">
        <v>132083</v>
      </c>
      <c r="U264" s="1117">
        <v>17104</v>
      </c>
      <c r="V264" s="1117">
        <v>9</v>
      </c>
      <c r="W264" s="1117">
        <v>1653</v>
      </c>
      <c r="X264" s="1117">
        <v>0</v>
      </c>
      <c r="Y264" s="1117">
        <v>2.95</v>
      </c>
      <c r="Z264" s="1117">
        <v>6061</v>
      </c>
      <c r="AA264" s="1116"/>
      <c r="AB264" s="1116"/>
      <c r="AC264" s="1116"/>
      <c r="AD264" s="1116"/>
      <c r="AE264" s="1116"/>
      <c r="AF264" s="1140">
        <f t="shared" si="19"/>
        <v>89855.712619504804</v>
      </c>
      <c r="AG264" s="1117">
        <f>'1.1.1 PrimEnLR'!B264*'3.1.1 CO2LR'!$AG$9*Units!$C$47/1000</f>
        <v>76829.007264004802</v>
      </c>
      <c r="AH264" s="1117">
        <f>'1.1.1 PrimEnLR'!C264*'3.1.1 CO2LR'!$AG$9*Units!$C$47/1000</f>
        <v>13026.7053555</v>
      </c>
      <c r="AI264" s="1117">
        <f>'1.1.1 PrimEnLR'!D264*Units!$C$14*Units!$C$59/1000</f>
        <v>0</v>
      </c>
      <c r="AJ264" s="1116"/>
      <c r="AK264" s="1116"/>
    </row>
    <row r="265" spans="1:37" x14ac:dyDescent="0.35">
      <c r="A265" s="1116">
        <v>1955</v>
      </c>
      <c r="B265" s="1116"/>
      <c r="C265" s="1119">
        <f t="shared" si="24"/>
        <v>7.0000000000000001E-3</v>
      </c>
      <c r="D265" s="1119">
        <f t="shared" si="20"/>
        <v>19.202999999999999</v>
      </c>
      <c r="E265" s="1119">
        <f t="shared" si="21"/>
        <v>136.44</v>
      </c>
      <c r="F265" s="1139">
        <f t="shared" si="22"/>
        <v>1.73</v>
      </c>
      <c r="G265" s="1116"/>
      <c r="H265" s="1139">
        <f t="shared" si="23"/>
        <v>157.38</v>
      </c>
      <c r="I265" s="1116"/>
      <c r="J265" s="1116"/>
      <c r="K265" s="1116"/>
      <c r="L265" s="1116"/>
      <c r="M265" s="1116"/>
      <c r="N265" s="1116"/>
      <c r="O265" s="1116"/>
      <c r="P265" s="1116"/>
      <c r="Q265" s="1116"/>
      <c r="R265" s="1116"/>
      <c r="S265" s="1117">
        <v>157381</v>
      </c>
      <c r="T265" s="1117">
        <v>136440</v>
      </c>
      <c r="U265" s="1117">
        <v>19203</v>
      </c>
      <c r="V265" s="1117">
        <v>7</v>
      </c>
      <c r="W265" s="1117">
        <v>1730</v>
      </c>
      <c r="X265" s="1117">
        <v>0</v>
      </c>
      <c r="Y265" s="1117">
        <v>3.07</v>
      </c>
      <c r="Z265" s="1117">
        <v>6187</v>
      </c>
      <c r="AA265" s="1116"/>
      <c r="AB265" s="1116"/>
      <c r="AC265" s="1116"/>
      <c r="AD265" s="1116"/>
      <c r="AE265" s="1116"/>
      <c r="AF265" s="1140">
        <f t="shared" si="19"/>
        <v>91684.940581543182</v>
      </c>
      <c r="AG265" s="1117">
        <f>'1.1.1 PrimEnLR'!B265*'3.1.1 CO2LR'!$AG$9*Units!$C$47/1000</f>
        <v>77302.137105043177</v>
      </c>
      <c r="AH265" s="1117">
        <f>'1.1.1 PrimEnLR'!C265*'3.1.1 CO2LR'!$AG$9*Units!$C$47/1000</f>
        <v>14382.803476500001</v>
      </c>
      <c r="AI265" s="1117">
        <f>'1.1.1 PrimEnLR'!D265*Units!$C$14*Units!$C$59/1000</f>
        <v>0</v>
      </c>
      <c r="AJ265" s="1116"/>
      <c r="AK265" s="1116"/>
    </row>
    <row r="266" spans="1:37" x14ac:dyDescent="0.35">
      <c r="A266" s="1116">
        <v>1956</v>
      </c>
      <c r="B266" s="1116"/>
      <c r="C266" s="1119">
        <f t="shared" si="24"/>
        <v>0.01</v>
      </c>
      <c r="D266" s="1119">
        <f t="shared" si="20"/>
        <v>19.821999999999999</v>
      </c>
      <c r="E266" s="1119">
        <f t="shared" si="21"/>
        <v>135.066</v>
      </c>
      <c r="F266" s="1139">
        <f t="shared" si="22"/>
        <v>1.764</v>
      </c>
      <c r="G266" s="1116"/>
      <c r="H266" s="1139">
        <f t="shared" si="23"/>
        <v>156.66200000000001</v>
      </c>
      <c r="I266" s="1116"/>
      <c r="J266" s="1116"/>
      <c r="K266" s="1116"/>
      <c r="L266" s="1116"/>
      <c r="M266" s="1116"/>
      <c r="N266" s="1116"/>
      <c r="O266" s="1116"/>
      <c r="P266" s="1116"/>
      <c r="Q266" s="1116"/>
      <c r="R266" s="1116"/>
      <c r="S266" s="1117">
        <v>156662</v>
      </c>
      <c r="T266" s="1117">
        <v>135066</v>
      </c>
      <c r="U266" s="1117">
        <v>19822</v>
      </c>
      <c r="V266" s="1117">
        <v>10</v>
      </c>
      <c r="W266" s="1117">
        <v>1764</v>
      </c>
      <c r="X266" s="1117">
        <v>0</v>
      </c>
      <c r="Y266" s="1117">
        <v>3.04</v>
      </c>
      <c r="Z266" s="1117">
        <v>5628</v>
      </c>
      <c r="AA266" s="1116"/>
      <c r="AB266" s="1116"/>
      <c r="AC266" s="1116"/>
      <c r="AD266" s="1116"/>
      <c r="AE266" s="1116"/>
      <c r="AF266" s="1140">
        <f t="shared" ref="AF266:AF328" si="25">AG266+AH266+AI266</f>
        <v>93788.403018806377</v>
      </c>
      <c r="AG266" s="1117">
        <f>'1.1.1 PrimEnLR'!B266*'3.1.1 CO2LR'!$AG$9*Units!$C$47/1000</f>
        <v>78175.607580806376</v>
      </c>
      <c r="AH266" s="1117">
        <f>'1.1.1 PrimEnLR'!C266*'3.1.1 CO2LR'!$AG$9*Units!$C$47/1000</f>
        <v>15612.795437999999</v>
      </c>
      <c r="AI266" s="1117">
        <f>'1.1.1 PrimEnLR'!D266*Units!$C$14*Units!$C$59/1000</f>
        <v>0</v>
      </c>
      <c r="AJ266" s="1116"/>
      <c r="AK266" s="1116"/>
    </row>
    <row r="267" spans="1:37" x14ac:dyDescent="0.35">
      <c r="A267" s="1116">
        <v>1957</v>
      </c>
      <c r="B267" s="1116"/>
      <c r="C267" s="1119">
        <f t="shared" si="24"/>
        <v>1.7000000000000001E-2</v>
      </c>
      <c r="D267" s="1119">
        <f t="shared" si="20"/>
        <v>22.297999999999998</v>
      </c>
      <c r="E267" s="1119">
        <f t="shared" si="21"/>
        <v>131.708</v>
      </c>
      <c r="F267" s="1139">
        <f t="shared" si="22"/>
        <v>1.653</v>
      </c>
      <c r="G267" s="1116"/>
      <c r="H267" s="1139">
        <f t="shared" si="23"/>
        <v>155.67599999999999</v>
      </c>
      <c r="I267" s="1116"/>
      <c r="J267" s="1116"/>
      <c r="K267" s="1116"/>
      <c r="L267" s="1116"/>
      <c r="M267" s="1116"/>
      <c r="N267" s="1116"/>
      <c r="O267" s="1116"/>
      <c r="P267" s="1116"/>
      <c r="Q267" s="1116"/>
      <c r="R267" s="1116"/>
      <c r="S267" s="1117">
        <v>155676</v>
      </c>
      <c r="T267" s="1117">
        <v>131708</v>
      </c>
      <c r="U267" s="1117">
        <v>22298</v>
      </c>
      <c r="V267" s="1117">
        <v>17</v>
      </c>
      <c r="W267" s="1117">
        <v>1653</v>
      </c>
      <c r="X267" s="1117">
        <v>0</v>
      </c>
      <c r="Y267" s="1117">
        <v>3</v>
      </c>
      <c r="Z267" s="1117">
        <v>4671</v>
      </c>
      <c r="AA267" s="1116"/>
      <c r="AB267" s="1116"/>
      <c r="AC267" s="1116"/>
      <c r="AD267" s="1116"/>
      <c r="AE267" s="1116"/>
      <c r="AF267" s="1140">
        <f t="shared" si="25"/>
        <v>91806.758887936827</v>
      </c>
      <c r="AG267" s="1117">
        <f>'1.1.1 PrimEnLR'!B267*'3.1.1 CO2LR'!$AG$9*Units!$C$47/1000</f>
        <v>76465.061232436827</v>
      </c>
      <c r="AH267" s="1117">
        <f>'1.1.1 PrimEnLR'!C267*'3.1.1 CO2LR'!$AG$9*Units!$C$47/1000</f>
        <v>15341.6976555</v>
      </c>
      <c r="AI267" s="1117">
        <f>'1.1.1 PrimEnLR'!D267*Units!$C$14*Units!$C$59/1000</f>
        <v>0</v>
      </c>
      <c r="AJ267" s="1116"/>
      <c r="AK267" s="1116"/>
    </row>
    <row r="268" spans="1:37" x14ac:dyDescent="0.35">
      <c r="A268" s="1116">
        <v>1958</v>
      </c>
      <c r="B268" s="1116"/>
      <c r="C268" s="1119">
        <f t="shared" si="24"/>
        <v>3.2000000000000001E-2</v>
      </c>
      <c r="D268" s="1119">
        <f t="shared" si="20"/>
        <v>24.85</v>
      </c>
      <c r="E268" s="1119">
        <f t="shared" si="21"/>
        <v>125.235</v>
      </c>
      <c r="F268" s="1139">
        <f t="shared" si="22"/>
        <v>1.6120000000000001</v>
      </c>
      <c r="G268" s="1116"/>
      <c r="H268" s="1139">
        <f t="shared" si="23"/>
        <v>151.72899999999998</v>
      </c>
      <c r="I268" s="1116"/>
      <c r="J268" s="1116"/>
      <c r="K268" s="1116"/>
      <c r="L268" s="1116"/>
      <c r="M268" s="1116"/>
      <c r="N268" s="1116"/>
      <c r="O268" s="1116"/>
      <c r="P268" s="1116"/>
      <c r="Q268" s="1116"/>
      <c r="R268" s="1116"/>
      <c r="S268" s="1117">
        <v>151729</v>
      </c>
      <c r="T268" s="1117">
        <v>125235</v>
      </c>
      <c r="U268" s="1117">
        <v>24850</v>
      </c>
      <c r="V268" s="1117">
        <v>32</v>
      </c>
      <c r="W268" s="1117">
        <v>1612</v>
      </c>
      <c r="X268" s="1117">
        <v>0</v>
      </c>
      <c r="Y268" s="1117">
        <v>2.91</v>
      </c>
      <c r="Z268" s="1117">
        <v>4788</v>
      </c>
      <c r="AA268" s="1116"/>
      <c r="AB268" s="1116"/>
      <c r="AC268" s="1116"/>
      <c r="AD268" s="1116"/>
      <c r="AE268" s="1116"/>
      <c r="AF268" s="1140">
        <f t="shared" si="25"/>
        <v>91909.079598129611</v>
      </c>
      <c r="AG268" s="1117">
        <f>'1.1.1 PrimEnLR'!B268*'3.1.1 CO2LR'!$AG$9*Units!$C$47/1000</f>
        <v>72680.022504129607</v>
      </c>
      <c r="AH268" s="1117">
        <f>'1.1.1 PrimEnLR'!C268*'3.1.1 CO2LR'!$AG$9*Units!$C$47/1000</f>
        <v>19229.057094</v>
      </c>
      <c r="AI268" s="1117">
        <f>'1.1.1 PrimEnLR'!D268*Units!$C$14*Units!$C$59/1000</f>
        <v>0</v>
      </c>
      <c r="AJ268" s="1116"/>
      <c r="AK268" s="1116"/>
    </row>
    <row r="269" spans="1:37" x14ac:dyDescent="0.35">
      <c r="A269" s="1116">
        <v>1959</v>
      </c>
      <c r="B269" s="1116"/>
      <c r="C269" s="1119">
        <f t="shared" si="24"/>
        <v>3.6999999999999998E-2</v>
      </c>
      <c r="D269" s="1119">
        <f t="shared" si="20"/>
        <v>31.233000000000001</v>
      </c>
      <c r="E269" s="1119">
        <f t="shared" si="21"/>
        <v>116.145</v>
      </c>
      <c r="F269" s="1139">
        <f t="shared" si="22"/>
        <v>1.7390000000000001</v>
      </c>
      <c r="G269" s="1116"/>
      <c r="H269" s="1139">
        <f t="shared" si="23"/>
        <v>149.154</v>
      </c>
      <c r="I269" s="1116"/>
      <c r="J269" s="1116"/>
      <c r="K269" s="1116"/>
      <c r="L269" s="1116"/>
      <c r="M269" s="1116"/>
      <c r="N269" s="1116"/>
      <c r="O269" s="1116"/>
      <c r="P269" s="1116"/>
      <c r="Q269" s="1116"/>
      <c r="R269" s="1116"/>
      <c r="S269" s="1117">
        <v>149154</v>
      </c>
      <c r="T269" s="1117">
        <v>116145</v>
      </c>
      <c r="U269" s="1117">
        <v>31233</v>
      </c>
      <c r="V269" s="1117">
        <v>37</v>
      </c>
      <c r="W269" s="1117">
        <v>1739</v>
      </c>
      <c r="X269" s="1117">
        <v>0</v>
      </c>
      <c r="Y269" s="1117">
        <v>2.85</v>
      </c>
      <c r="Z269" s="1117">
        <v>4834</v>
      </c>
      <c r="AA269" s="1116"/>
      <c r="AB269" s="1116"/>
      <c r="AC269" s="1116"/>
      <c r="AD269" s="1116"/>
      <c r="AE269" s="1116"/>
      <c r="AF269" s="1140">
        <f t="shared" si="25"/>
        <v>90562.837008559203</v>
      </c>
      <c r="AG269" s="1117">
        <f>'1.1.1 PrimEnLR'!B269*'3.1.1 CO2LR'!$AG$9*Units!$C$47/1000</f>
        <v>68021.513300059203</v>
      </c>
      <c r="AH269" s="1117">
        <f>'1.1.1 PrimEnLR'!C269*'3.1.1 CO2LR'!$AG$9*Units!$C$47/1000</f>
        <v>22541.323708499996</v>
      </c>
      <c r="AI269" s="1117">
        <f>'1.1.1 PrimEnLR'!D269*Units!$C$14*Units!$C$59/1000</f>
        <v>0</v>
      </c>
      <c r="AJ269" s="1116"/>
      <c r="AK269" s="1116"/>
    </row>
    <row r="270" spans="1:37" x14ac:dyDescent="0.35">
      <c r="A270" s="1116">
        <v>1960</v>
      </c>
      <c r="B270" s="1116"/>
      <c r="C270" s="1119">
        <f t="shared" si="24"/>
        <v>4.1000000000000002E-2</v>
      </c>
      <c r="D270" s="1119">
        <f t="shared" si="20"/>
        <v>35.177999999999997</v>
      </c>
      <c r="E270" s="1119">
        <f t="shared" si="21"/>
        <v>122.285</v>
      </c>
      <c r="F270" s="1139">
        <f t="shared" si="22"/>
        <v>1.8360000000000001</v>
      </c>
      <c r="G270" s="1116"/>
      <c r="H270" s="1139">
        <f t="shared" si="23"/>
        <v>159.34</v>
      </c>
      <c r="I270" s="1116"/>
      <c r="J270" s="1116"/>
      <c r="K270" s="1116"/>
      <c r="L270" s="1116"/>
      <c r="M270" s="1116"/>
      <c r="N270" s="1116"/>
      <c r="O270" s="1116"/>
      <c r="P270" s="1116"/>
      <c r="Q270" s="1116"/>
      <c r="R270" s="1116"/>
      <c r="S270" s="1117">
        <v>159340</v>
      </c>
      <c r="T270" s="1117">
        <v>122285</v>
      </c>
      <c r="U270" s="1117">
        <v>35178</v>
      </c>
      <c r="V270" s="1117">
        <v>41</v>
      </c>
      <c r="W270" s="1117">
        <v>1836</v>
      </c>
      <c r="X270" s="1117">
        <v>0</v>
      </c>
      <c r="Y270" s="1117">
        <v>3.02</v>
      </c>
      <c r="Z270" s="1117">
        <v>5159</v>
      </c>
      <c r="AA270" s="1116"/>
      <c r="AB270" s="1116"/>
      <c r="AC270" s="1116"/>
      <c r="AD270" s="1116"/>
      <c r="AE270" s="1116"/>
      <c r="AF270" s="1140">
        <f t="shared" si="25"/>
        <v>98044.167589883989</v>
      </c>
      <c r="AG270" s="1117">
        <f>'1.1.1 PrimEnLR'!B270*'3.1.1 CO2LR'!$AG$9*Units!$C$47/1000</f>
        <v>71592.053127084</v>
      </c>
      <c r="AH270" s="1117">
        <f>'1.1.1 PrimEnLR'!C270*'3.1.1 CO2LR'!$AG$9*Units!$C$47/1000</f>
        <v>26427.46473</v>
      </c>
      <c r="AI270" s="1117">
        <f>'1.1.1 PrimEnLR'!D270*Units!$C$14*Units!$C$59/1000</f>
        <v>24.649732799999999</v>
      </c>
      <c r="AJ270" s="1116"/>
      <c r="AK270" s="1116"/>
    </row>
    <row r="271" spans="1:37" x14ac:dyDescent="0.35">
      <c r="A271" s="1116">
        <v>1961</v>
      </c>
      <c r="B271" s="1116"/>
      <c r="C271" s="1119">
        <f t="shared" si="24"/>
        <v>4.1000000000000002E-2</v>
      </c>
      <c r="D271" s="1119">
        <f t="shared" si="20"/>
        <v>37.735999999999997</v>
      </c>
      <c r="E271" s="1119">
        <f t="shared" si="21"/>
        <v>120.873</v>
      </c>
      <c r="F271" s="1139">
        <f t="shared" si="22"/>
        <v>1.9550000000000001</v>
      </c>
      <c r="G271" s="1116"/>
      <c r="H271" s="1139">
        <f t="shared" si="23"/>
        <v>160.60500000000002</v>
      </c>
      <c r="I271" s="1116"/>
      <c r="J271" s="1116"/>
      <c r="K271" s="1116"/>
      <c r="L271" s="1116"/>
      <c r="M271" s="1116"/>
      <c r="N271" s="1116"/>
      <c r="O271" s="1116"/>
      <c r="P271" s="1116"/>
      <c r="Q271" s="1116"/>
      <c r="R271" s="1116"/>
      <c r="S271" s="1117">
        <v>160605</v>
      </c>
      <c r="T271" s="1117">
        <v>120873</v>
      </c>
      <c r="U271" s="1117">
        <v>37736</v>
      </c>
      <c r="V271" s="1117">
        <v>41</v>
      </c>
      <c r="W271" s="1117">
        <v>1955</v>
      </c>
      <c r="X271" s="1117">
        <v>0</v>
      </c>
      <c r="Y271" s="1117">
        <v>3.03</v>
      </c>
      <c r="Z271" s="1117">
        <v>4885</v>
      </c>
      <c r="AA271" s="1116"/>
      <c r="AB271" s="1116"/>
      <c r="AC271" s="1116"/>
      <c r="AD271" s="1116"/>
      <c r="AE271" s="1116"/>
      <c r="AF271" s="1140">
        <f t="shared" si="25"/>
        <v>98314.258959942003</v>
      </c>
      <c r="AG271" s="1117">
        <f>'1.1.1 PrimEnLR'!B271*'3.1.1 CO2LR'!$AG$9*Units!$C$47/1000</f>
        <v>69808.502643642001</v>
      </c>
      <c r="AH271" s="1117">
        <f>'1.1.1 PrimEnLR'!C271*'3.1.1 CO2LR'!$AG$9*Units!$C$47/1000</f>
        <v>28481.106583499997</v>
      </c>
      <c r="AI271" s="1117">
        <f>'1.1.1 PrimEnLR'!D271*Units!$C$14*Units!$C$59/1000</f>
        <v>24.649732799999999</v>
      </c>
      <c r="AJ271" s="1116"/>
      <c r="AK271" s="1116"/>
    </row>
    <row r="272" spans="1:37" x14ac:dyDescent="0.35">
      <c r="A272" s="1116">
        <v>1962</v>
      </c>
      <c r="B272" s="1116"/>
      <c r="C272" s="1119">
        <f t="shared" si="24"/>
        <v>5.8999999999999997E-2</v>
      </c>
      <c r="D272" s="1119">
        <f t="shared" si="20"/>
        <v>40.460999999999999</v>
      </c>
      <c r="E272" s="1119">
        <f t="shared" si="21"/>
        <v>119.35299999999999</v>
      </c>
      <c r="F272" s="1139">
        <f t="shared" si="22"/>
        <v>1.9379999999999999</v>
      </c>
      <c r="G272" s="1116"/>
      <c r="H272" s="1139">
        <f t="shared" si="23"/>
        <v>161.81099999999998</v>
      </c>
      <c r="I272" s="1116"/>
      <c r="J272" s="1116"/>
      <c r="K272" s="1116"/>
      <c r="L272" s="1116"/>
      <c r="M272" s="1116"/>
      <c r="N272" s="1116"/>
      <c r="O272" s="1116"/>
      <c r="P272" s="1116"/>
      <c r="Q272" s="1116"/>
      <c r="R272" s="1116"/>
      <c r="S272" s="1117">
        <v>161811</v>
      </c>
      <c r="T272" s="1117">
        <v>119353</v>
      </c>
      <c r="U272" s="1117">
        <v>40461</v>
      </c>
      <c r="V272" s="1117">
        <v>59</v>
      </c>
      <c r="W272" s="1117">
        <v>1938</v>
      </c>
      <c r="X272" s="1117">
        <v>0</v>
      </c>
      <c r="Y272" s="1117">
        <v>3.03</v>
      </c>
      <c r="Z272" s="1117">
        <v>4563</v>
      </c>
      <c r="AA272" s="1116"/>
      <c r="AB272" s="1116"/>
      <c r="AC272" s="1116"/>
      <c r="AD272" s="1116"/>
      <c r="AE272" s="1116"/>
      <c r="AF272" s="1140">
        <f t="shared" si="25"/>
        <v>101136.88273882199</v>
      </c>
      <c r="AG272" s="1117">
        <f>'1.1.1 PrimEnLR'!B272*'3.1.1 CO2LR'!$AG$9*Units!$C$47/1000</f>
        <v>69589.991738861994</v>
      </c>
      <c r="AH272" s="1117">
        <f>'1.1.1 PrimEnLR'!C272*'3.1.1 CO2LR'!$AG$9*Units!$C$47/1000</f>
        <v>31505.826786000001</v>
      </c>
      <c r="AI272" s="1117">
        <f>'1.1.1 PrimEnLR'!D272*Units!$C$14*Units!$C$59/1000</f>
        <v>41.064213959999996</v>
      </c>
      <c r="AJ272" s="1116"/>
      <c r="AK272" s="1116"/>
    </row>
    <row r="273" spans="1:37" x14ac:dyDescent="0.35">
      <c r="A273" s="1116">
        <v>1963</v>
      </c>
      <c r="B273" s="1116"/>
      <c r="C273" s="1119">
        <f t="shared" si="24"/>
        <v>7.9000000000000001E-2</v>
      </c>
      <c r="D273" s="1119">
        <f t="shared" si="20"/>
        <v>42.776000000000003</v>
      </c>
      <c r="E273" s="1119">
        <f t="shared" si="21"/>
        <v>119.89700000000001</v>
      </c>
      <c r="F273" s="1139">
        <f t="shared" si="22"/>
        <v>1.9119999999999999</v>
      </c>
      <c r="G273" s="1116"/>
      <c r="H273" s="1139">
        <f t="shared" si="23"/>
        <v>164.66400000000002</v>
      </c>
      <c r="I273" s="1116"/>
      <c r="J273" s="1116"/>
      <c r="K273" s="1116"/>
      <c r="L273" s="1116"/>
      <c r="M273" s="1116"/>
      <c r="N273" s="1116"/>
      <c r="O273" s="1116"/>
      <c r="P273" s="1116"/>
      <c r="Q273" s="1116"/>
      <c r="R273" s="1116"/>
      <c r="S273" s="1117">
        <v>164664</v>
      </c>
      <c r="T273" s="1117">
        <v>119897</v>
      </c>
      <c r="U273" s="1117">
        <v>42776</v>
      </c>
      <c r="V273" s="1117">
        <v>79</v>
      </c>
      <c r="W273" s="1117">
        <v>1912</v>
      </c>
      <c r="X273" s="1117">
        <v>0</v>
      </c>
      <c r="Y273" s="1117">
        <v>3.06</v>
      </c>
      <c r="Z273" s="1117">
        <v>4509</v>
      </c>
      <c r="AA273" s="1116"/>
      <c r="AB273" s="1116"/>
      <c r="AC273" s="1116"/>
      <c r="AD273" s="1116"/>
      <c r="AE273" s="1116"/>
      <c r="AF273" s="1140">
        <f t="shared" si="25"/>
        <v>105138.65393779197</v>
      </c>
      <c r="AG273" s="1117">
        <f>'1.1.1 PrimEnLR'!B273*'3.1.1 CO2LR'!$AG$9*Units!$C$47/1000</f>
        <v>70609.112270171987</v>
      </c>
      <c r="AH273" s="1117">
        <f>'1.1.1 PrimEnLR'!C273*'3.1.1 CO2LR'!$AG$9*Units!$C$47/1000</f>
        <v>34472.062972499996</v>
      </c>
      <c r="AI273" s="1117">
        <f>'1.1.1 PrimEnLR'!D273*Units!$C$14*Units!$C$59/1000</f>
        <v>57.478695119999998</v>
      </c>
      <c r="AJ273" s="1116"/>
      <c r="AK273" s="1116"/>
    </row>
    <row r="274" spans="1:37" x14ac:dyDescent="0.35">
      <c r="A274" s="1116">
        <v>1964</v>
      </c>
      <c r="B274" s="1116"/>
      <c r="C274" s="1119">
        <f t="shared" si="24"/>
        <v>0.14000000000000001</v>
      </c>
      <c r="D274" s="1119">
        <f t="shared" si="20"/>
        <v>47.12</v>
      </c>
      <c r="E274" s="1119">
        <f t="shared" si="21"/>
        <v>116.33199999999999</v>
      </c>
      <c r="F274" s="1139">
        <f t="shared" si="22"/>
        <v>2.3069999999999999</v>
      </c>
      <c r="G274" s="1116"/>
      <c r="H274" s="1139">
        <f t="shared" si="23"/>
        <v>165.89899999999997</v>
      </c>
      <c r="I274" s="1116"/>
      <c r="J274" s="1116"/>
      <c r="K274" s="1116"/>
      <c r="L274" s="1116"/>
      <c r="M274" s="1116"/>
      <c r="N274" s="1116"/>
      <c r="O274" s="1116"/>
      <c r="P274" s="1116"/>
      <c r="Q274" s="1116"/>
      <c r="R274" s="1116"/>
      <c r="S274" s="1117">
        <v>165900</v>
      </c>
      <c r="T274" s="1117">
        <v>116332</v>
      </c>
      <c r="U274" s="1117">
        <v>47120</v>
      </c>
      <c r="V274" s="1117">
        <v>140</v>
      </c>
      <c r="W274" s="1117">
        <v>2307</v>
      </c>
      <c r="X274" s="1117">
        <v>0</v>
      </c>
      <c r="Y274" s="1117">
        <v>3.06</v>
      </c>
      <c r="Z274" s="1117">
        <v>4537</v>
      </c>
      <c r="AA274" s="1116"/>
      <c r="AB274" s="1116"/>
      <c r="AC274" s="1116"/>
      <c r="AD274" s="1116"/>
      <c r="AE274" s="1116"/>
      <c r="AF274" s="1140">
        <f t="shared" si="25"/>
        <v>106024.14336621002</v>
      </c>
      <c r="AG274" s="1117">
        <f>'1.1.1 PrimEnLR'!B274*'3.1.1 CO2LR'!$AG$9*Units!$C$47/1000</f>
        <v>68134.20761259002</v>
      </c>
      <c r="AH274" s="1117">
        <f>'1.1.1 PrimEnLR'!C274*'3.1.1 CO2LR'!$AG$9*Units!$C$47/1000</f>
        <v>37832.457058499996</v>
      </c>
      <c r="AI274" s="1117">
        <f>'1.1.1 PrimEnLR'!D274*Units!$C$14*Units!$C$59/1000</f>
        <v>57.478695119999998</v>
      </c>
      <c r="AJ274" s="1116"/>
      <c r="AK274" s="1116"/>
    </row>
    <row r="275" spans="1:37" x14ac:dyDescent="0.35">
      <c r="A275" s="1116">
        <v>1965</v>
      </c>
      <c r="B275" s="1116"/>
      <c r="C275" s="1119">
        <f t="shared" si="24"/>
        <v>0.46</v>
      </c>
      <c r="D275" s="1119">
        <f t="shared" si="20"/>
        <v>51.774999999999999</v>
      </c>
      <c r="E275" s="1119">
        <f t="shared" si="21"/>
        <v>115.248</v>
      </c>
      <c r="F275" s="1139">
        <f t="shared" si="22"/>
        <v>2.3069999999999999</v>
      </c>
      <c r="G275" s="1116"/>
      <c r="H275" s="1139">
        <f t="shared" si="23"/>
        <v>169.79</v>
      </c>
      <c r="I275" s="1116"/>
      <c r="J275" s="1116"/>
      <c r="K275" s="1116"/>
      <c r="L275" s="1116"/>
      <c r="M275" s="1116"/>
      <c r="N275" s="1116"/>
      <c r="O275" s="1116"/>
      <c r="P275" s="1116"/>
      <c r="Q275" s="1116"/>
      <c r="R275" s="1116"/>
      <c r="S275" s="1117">
        <v>169790</v>
      </c>
      <c r="T275" s="1117">
        <v>115248</v>
      </c>
      <c r="U275" s="1117">
        <v>51775</v>
      </c>
      <c r="V275" s="1117">
        <v>460</v>
      </c>
      <c r="W275" s="1117">
        <v>2307</v>
      </c>
      <c r="X275" s="1117">
        <v>0</v>
      </c>
      <c r="Y275" s="1117">
        <v>3.11</v>
      </c>
      <c r="Z275" s="1117">
        <v>4787</v>
      </c>
      <c r="AA275" s="1116"/>
      <c r="AB275" s="1116"/>
      <c r="AC275" s="1116"/>
      <c r="AD275" s="1116"/>
      <c r="AE275" s="1116"/>
      <c r="AF275" s="1140">
        <f t="shared" si="25"/>
        <v>108674.10968293199</v>
      </c>
      <c r="AG275" s="1117">
        <f>'1.1.1 PrimEnLR'!B275*'3.1.1 CO2LR'!$AG$9*Units!$C$47/1000</f>
        <v>67188.162859271994</v>
      </c>
      <c r="AH275" s="1117">
        <f>'1.1.1 PrimEnLR'!C275*'3.1.1 CO2LR'!$AG$9*Units!$C$47/1000</f>
        <v>41421.913540499998</v>
      </c>
      <c r="AI275" s="1117">
        <f>'1.1.1 PrimEnLR'!D275*Units!$C$14*Units!$C$59/1000</f>
        <v>64.033283159999996</v>
      </c>
      <c r="AJ275" s="1116"/>
      <c r="AK275" s="1116"/>
    </row>
    <row r="276" spans="1:37" x14ac:dyDescent="0.35">
      <c r="A276" s="1116">
        <v>1966</v>
      </c>
      <c r="B276" s="1116"/>
      <c r="C276" s="1119">
        <f t="shared" si="24"/>
        <v>0.45</v>
      </c>
      <c r="D276" s="1119">
        <f t="shared" si="20"/>
        <v>55.87</v>
      </c>
      <c r="E276" s="1119">
        <f t="shared" si="21"/>
        <v>110.083</v>
      </c>
      <c r="F276" s="1139">
        <f t="shared" si="22"/>
        <v>2.2810000000000001</v>
      </c>
      <c r="G276" s="1116"/>
      <c r="H276" s="1139">
        <f t="shared" si="23"/>
        <v>168.684</v>
      </c>
      <c r="I276" s="1116"/>
      <c r="J276" s="1116"/>
      <c r="K276" s="1116"/>
      <c r="L276" s="1116"/>
      <c r="M276" s="1116"/>
      <c r="N276" s="1116"/>
      <c r="O276" s="1116"/>
      <c r="P276" s="1116"/>
      <c r="Q276" s="1116"/>
      <c r="R276" s="1116"/>
      <c r="S276" s="1117">
        <v>168684</v>
      </c>
      <c r="T276" s="1117">
        <v>110083</v>
      </c>
      <c r="U276" s="1117">
        <v>55870</v>
      </c>
      <c r="V276" s="1117">
        <v>450</v>
      </c>
      <c r="W276" s="1117">
        <v>2281</v>
      </c>
      <c r="X276" s="1117">
        <v>0</v>
      </c>
      <c r="Y276" s="1117">
        <v>3.08</v>
      </c>
      <c r="Z276" s="1117">
        <v>4586</v>
      </c>
      <c r="AA276" s="1116"/>
      <c r="AB276" s="1116"/>
      <c r="AC276" s="1116"/>
      <c r="AD276" s="1116"/>
      <c r="AE276" s="1116"/>
      <c r="AF276" s="1140">
        <f t="shared" si="25"/>
        <v>108539.31229472999</v>
      </c>
      <c r="AG276" s="1117">
        <f>'1.1.1 PrimEnLR'!B276*'3.1.1 CO2LR'!$AG$9*Units!$C$47/1000</f>
        <v>63584.882217989987</v>
      </c>
      <c r="AH276" s="1117">
        <f>'1.1.1 PrimEnLR'!C276*'3.1.1 CO2LR'!$AG$9*Units!$C$47/1000</f>
        <v>44887.091488500002</v>
      </c>
      <c r="AI276" s="1117">
        <f>'1.1.1 PrimEnLR'!D276*Units!$C$14*Units!$C$59/1000</f>
        <v>67.338588239999993</v>
      </c>
      <c r="AJ276" s="1116"/>
      <c r="AK276" s="1116"/>
    </row>
    <row r="277" spans="1:37" x14ac:dyDescent="0.35">
      <c r="A277" s="1116">
        <v>1967</v>
      </c>
      <c r="B277" s="1116"/>
      <c r="C277" s="1119">
        <f t="shared" si="24"/>
        <v>0.75800000000000001</v>
      </c>
      <c r="D277" s="1119">
        <f t="shared" si="20"/>
        <v>57.866</v>
      </c>
      <c r="E277" s="1119">
        <f t="shared" si="21"/>
        <v>100.568</v>
      </c>
      <c r="F277" s="1139">
        <f t="shared" si="22"/>
        <v>2.39</v>
      </c>
      <c r="G277" s="1116"/>
      <c r="H277" s="1139">
        <f t="shared" si="23"/>
        <v>161.58199999999999</v>
      </c>
      <c r="I277" s="1116"/>
      <c r="J277" s="1116"/>
      <c r="K277" s="1116"/>
      <c r="L277" s="1116"/>
      <c r="M277" s="1116"/>
      <c r="N277" s="1116"/>
      <c r="O277" s="1116"/>
      <c r="P277" s="1116"/>
      <c r="Q277" s="1116"/>
      <c r="R277" s="1116"/>
      <c r="S277" s="1117">
        <v>161581</v>
      </c>
      <c r="T277" s="1117">
        <v>100568</v>
      </c>
      <c r="U277" s="1117">
        <v>57866</v>
      </c>
      <c r="V277" s="1117">
        <v>758</v>
      </c>
      <c r="W277" s="1117">
        <v>2390</v>
      </c>
      <c r="X277" s="1117">
        <v>0</v>
      </c>
      <c r="Y277" s="1117">
        <v>2.93</v>
      </c>
      <c r="Z277" s="1117">
        <v>4761</v>
      </c>
      <c r="AA277" s="1116"/>
      <c r="AB277" s="1116"/>
      <c r="AC277" s="1116"/>
      <c r="AD277" s="1116"/>
      <c r="AE277" s="1116"/>
      <c r="AF277" s="1140">
        <f t="shared" si="25"/>
        <v>108060.87599592</v>
      </c>
      <c r="AG277" s="1117">
        <f>'1.1.1 PrimEnLR'!B277*'3.1.1 CO2LR'!$AG$9*Units!$C$47/1000</f>
        <v>59617.655545139998</v>
      </c>
      <c r="AH277" s="1117">
        <f>'1.1.1 PrimEnLR'!C277*'3.1.1 CO2LR'!$AG$9*Units!$C$47/1000</f>
        <v>48369.327274499999</v>
      </c>
      <c r="AI277" s="1117">
        <f>'1.1.1 PrimEnLR'!D277*Units!$C$14*Units!$C$59/1000</f>
        <v>73.893176280000006</v>
      </c>
      <c r="AJ277" s="1116"/>
      <c r="AK277" s="1116"/>
    </row>
    <row r="278" spans="1:37" x14ac:dyDescent="0.35">
      <c r="A278" s="1116">
        <v>1968</v>
      </c>
      <c r="B278" s="1116"/>
      <c r="C278" s="1119">
        <f t="shared" si="24"/>
        <v>1.7769999999999999</v>
      </c>
      <c r="D278" s="1119">
        <f t="shared" si="20"/>
        <v>60.249000000000002</v>
      </c>
      <c r="E278" s="1119">
        <f t="shared" si="21"/>
        <v>101.06399999999999</v>
      </c>
      <c r="F278" s="1139">
        <f t="shared" si="22"/>
        <v>2.431</v>
      </c>
      <c r="G278" s="1116"/>
      <c r="H278" s="1139">
        <f t="shared" si="23"/>
        <v>165.52100000000002</v>
      </c>
      <c r="I278" s="1116"/>
      <c r="J278" s="1116"/>
      <c r="K278" s="1116"/>
      <c r="L278" s="1116"/>
      <c r="M278" s="1116"/>
      <c r="N278" s="1116"/>
      <c r="O278" s="1116"/>
      <c r="P278" s="1116"/>
      <c r="Q278" s="1116"/>
      <c r="R278" s="1116"/>
      <c r="S278" s="1117">
        <v>165522</v>
      </c>
      <c r="T278" s="1117">
        <v>101064</v>
      </c>
      <c r="U278" s="1117">
        <v>60249</v>
      </c>
      <c r="V278" s="1117">
        <v>1710</v>
      </c>
      <c r="W278" s="1117">
        <v>2431</v>
      </c>
      <c r="X278" s="1117">
        <v>67</v>
      </c>
      <c r="Y278" s="1117">
        <v>2.99</v>
      </c>
      <c r="Z278" s="1117">
        <v>5097</v>
      </c>
      <c r="AA278" s="1116"/>
      <c r="AB278" s="1116"/>
      <c r="AC278" s="1116"/>
      <c r="AD278" s="1116"/>
      <c r="AE278" s="1116"/>
      <c r="AF278" s="1140">
        <f t="shared" si="25"/>
        <v>111368.53594832399</v>
      </c>
      <c r="AG278" s="1117">
        <f>'1.1.1 PrimEnLR'!B278*'3.1.1 CO2LR'!$AG$9*Units!$C$47/1000</f>
        <v>59874.853626503995</v>
      </c>
      <c r="AH278" s="1117">
        <f>'1.1.1 PrimEnLR'!C278*'3.1.1 CO2LR'!$AG$9*Units!$C$47/1000</f>
        <v>51270.378151499994</v>
      </c>
      <c r="AI278" s="1117">
        <f>'1.1.1 PrimEnLR'!D278*Units!$C$14*Units!$C$59/1000</f>
        <v>223.30417032</v>
      </c>
      <c r="AJ278" s="1116"/>
      <c r="AK278" s="1116"/>
    </row>
    <row r="279" spans="1:37" x14ac:dyDescent="0.35">
      <c r="A279" s="1116">
        <v>1969</v>
      </c>
      <c r="B279" s="1116"/>
      <c r="C279" s="1119">
        <f t="shared" si="24"/>
        <v>3.7479999999999998</v>
      </c>
      <c r="D279" s="1119">
        <f t="shared" si="20"/>
        <v>64.953000000000003</v>
      </c>
      <c r="E279" s="1119">
        <f t="shared" si="21"/>
        <v>100.422</v>
      </c>
      <c r="F279" s="1139">
        <f t="shared" si="22"/>
        <v>2.3690000000000002</v>
      </c>
      <c r="G279" s="1116"/>
      <c r="H279" s="1139">
        <f t="shared" si="23"/>
        <v>171.49199999999999</v>
      </c>
      <c r="I279" s="1116"/>
      <c r="J279" s="1116"/>
      <c r="K279" s="1116"/>
      <c r="L279" s="1116"/>
      <c r="M279" s="1116"/>
      <c r="N279" s="1116"/>
      <c r="O279" s="1116"/>
      <c r="P279" s="1116"/>
      <c r="Q279" s="1116"/>
      <c r="R279" s="1116"/>
      <c r="S279" s="1117">
        <v>171491</v>
      </c>
      <c r="T279" s="1117">
        <v>100422</v>
      </c>
      <c r="U279" s="1117">
        <v>64953</v>
      </c>
      <c r="V279" s="1117">
        <v>3344</v>
      </c>
      <c r="W279" s="1117">
        <v>2369</v>
      </c>
      <c r="X279" s="1117">
        <v>404</v>
      </c>
      <c r="Y279" s="1117">
        <v>3.08</v>
      </c>
      <c r="Z279" s="1117">
        <v>5377</v>
      </c>
      <c r="AA279" s="1116"/>
      <c r="AB279" s="1116"/>
      <c r="AC279" s="1116"/>
      <c r="AD279" s="1116"/>
      <c r="AE279" s="1116"/>
      <c r="AF279" s="1140">
        <f t="shared" si="25"/>
        <v>114802.65100876801</v>
      </c>
      <c r="AG279" s="1117">
        <f>'1.1.1 PrimEnLR'!B279*'3.1.1 CO2LR'!$AG$9*Units!$C$47/1000</f>
        <v>58656.207564108001</v>
      </c>
      <c r="AH279" s="1117">
        <f>'1.1.1 PrimEnLR'!C279*'3.1.1 CO2LR'!$AG$9*Units!$C$47/1000</f>
        <v>55300.901587500004</v>
      </c>
      <c r="AI279" s="1117">
        <f>'1.1.1 PrimEnLR'!D279*Units!$C$14*Units!$C$59/1000</f>
        <v>845.54185715999995</v>
      </c>
      <c r="AJ279" s="1116"/>
      <c r="AK279" s="1116"/>
    </row>
    <row r="280" spans="1:37" x14ac:dyDescent="0.35">
      <c r="A280" s="1116">
        <v>1970</v>
      </c>
      <c r="B280" s="1116"/>
      <c r="C280" s="1119">
        <f t="shared" si="24"/>
        <v>7.1130000000000004</v>
      </c>
      <c r="D280" s="1119">
        <f t="shared" si="20"/>
        <v>72.343000000000004</v>
      </c>
      <c r="E280" s="1119">
        <f t="shared" si="21"/>
        <v>96.316000000000003</v>
      </c>
      <c r="F280" s="1139">
        <f t="shared" si="22"/>
        <v>2.3199999999999998</v>
      </c>
      <c r="G280" s="1116"/>
      <c r="H280" s="1139">
        <f t="shared" si="23"/>
        <v>178.09199999999998</v>
      </c>
      <c r="I280" s="1116"/>
      <c r="J280" s="1116"/>
      <c r="K280" s="1116"/>
      <c r="L280" s="1116"/>
      <c r="M280" s="1116"/>
      <c r="N280" s="1116"/>
      <c r="O280" s="1116"/>
      <c r="P280" s="1116"/>
      <c r="Q280" s="1116"/>
      <c r="R280" s="1116"/>
      <c r="S280" s="1117">
        <v>178092</v>
      </c>
      <c r="T280" s="1117">
        <v>96316</v>
      </c>
      <c r="U280" s="1117">
        <v>72343</v>
      </c>
      <c r="V280" s="1117">
        <v>6306</v>
      </c>
      <c r="W280" s="1117">
        <v>2320</v>
      </c>
      <c r="X280" s="1117">
        <v>807</v>
      </c>
      <c r="Y280" s="1117">
        <v>3.19</v>
      </c>
      <c r="Z280" s="1117">
        <v>6211</v>
      </c>
      <c r="AA280" s="1116"/>
      <c r="AB280" s="1116"/>
      <c r="AC280" s="1116"/>
      <c r="AD280" s="1116"/>
      <c r="AE280" s="1116"/>
      <c r="AF280" s="1140">
        <f t="shared" si="25"/>
        <v>123939.18456000001</v>
      </c>
      <c r="AG280" s="1117">
        <f>'1.1.1 PrimEnLR'!B280*'3.1.1 CO2LR'!$AG$9*Units!$C$47/1000</f>
        <v>60307.986249000001</v>
      </c>
      <c r="AH280" s="1117">
        <f>'1.1.1 PrimEnLR'!C280*'3.1.1 CO2LR'!$AG$9*Units!$C$47/1000</f>
        <v>56270.152311000005</v>
      </c>
      <c r="AI280" s="1117">
        <f>'1.1.1 PrimEnLR'!D280*Units!$C$14*Units!$C$59/1000</f>
        <v>7361.0460000000012</v>
      </c>
      <c r="AJ280" s="1116"/>
      <c r="AK280" s="1116"/>
    </row>
    <row r="281" spans="1:37" x14ac:dyDescent="0.35">
      <c r="A281" s="1116">
        <v>1971</v>
      </c>
      <c r="B281" s="1116"/>
      <c r="C281" s="1119">
        <f t="shared" si="24"/>
        <v>11.102</v>
      </c>
      <c r="D281" s="1119">
        <f t="shared" si="20"/>
        <v>73.53</v>
      </c>
      <c r="E281" s="1119">
        <f t="shared" si="21"/>
        <v>93.18</v>
      </c>
      <c r="F281" s="1139">
        <f t="shared" si="22"/>
        <v>2.407</v>
      </c>
      <c r="G281" s="1116"/>
      <c r="H281" s="1139">
        <f t="shared" si="23"/>
        <v>180.21900000000002</v>
      </c>
      <c r="I281" s="1116"/>
      <c r="J281" s="1116"/>
      <c r="K281" s="1116"/>
      <c r="L281" s="1116"/>
      <c r="M281" s="1116"/>
      <c r="N281" s="1116"/>
      <c r="O281" s="1116"/>
      <c r="P281" s="1116"/>
      <c r="Q281" s="1116"/>
      <c r="R281" s="1116"/>
      <c r="S281" s="1117">
        <v>180219</v>
      </c>
      <c r="T281" s="1117">
        <v>93180</v>
      </c>
      <c r="U281" s="1117">
        <v>73530</v>
      </c>
      <c r="V281" s="1117">
        <v>10160</v>
      </c>
      <c r="W281" s="1117">
        <v>2407</v>
      </c>
      <c r="X281" s="1117">
        <v>942</v>
      </c>
      <c r="Y281" s="1117">
        <v>3.22</v>
      </c>
      <c r="Z281" s="1117">
        <v>6484</v>
      </c>
      <c r="AA281" s="1116"/>
      <c r="AB281" s="1116"/>
      <c r="AC281" s="1116"/>
      <c r="AD281" s="1116"/>
      <c r="AE281" s="1116"/>
      <c r="AF281" s="1140">
        <f t="shared" si="25"/>
        <v>122303.14323749999</v>
      </c>
      <c r="AG281" s="1117">
        <f>'1.1.1 PrimEnLR'!B281*'3.1.1 CO2LR'!$AG$9*Units!$C$47/1000</f>
        <v>53447.080121999999</v>
      </c>
      <c r="AH281" s="1117">
        <f>'1.1.1 PrimEnLR'!C281*'3.1.1 CO2LR'!$AG$9*Units!$C$47/1000</f>
        <v>56987.190715499994</v>
      </c>
      <c r="AI281" s="1117">
        <f>'1.1.1 PrimEnLR'!D281*Units!$C$14*Units!$C$59/1000</f>
        <v>11868.8724</v>
      </c>
      <c r="AJ281" s="1116"/>
      <c r="AK281" s="1116"/>
    </row>
    <row r="282" spans="1:37" x14ac:dyDescent="0.35">
      <c r="A282" s="1116">
        <v>1972</v>
      </c>
      <c r="B282" s="1116"/>
      <c r="C282" s="1119">
        <f t="shared" si="24"/>
        <v>15.448</v>
      </c>
      <c r="D282" s="1119">
        <f t="shared" si="20"/>
        <v>78.933999999999997</v>
      </c>
      <c r="E282" s="1119">
        <f t="shared" si="21"/>
        <v>80.007000000000005</v>
      </c>
      <c r="F282" s="1139">
        <f t="shared" si="22"/>
        <v>2.4540000000000002</v>
      </c>
      <c r="G282" s="1116"/>
      <c r="H282" s="1139">
        <f t="shared" si="23"/>
        <v>176.84300000000002</v>
      </c>
      <c r="I282" s="1116"/>
      <c r="J282" s="1116"/>
      <c r="K282" s="1116"/>
      <c r="L282" s="1116"/>
      <c r="M282" s="1116"/>
      <c r="N282" s="1116"/>
      <c r="O282" s="1116"/>
      <c r="P282" s="1116"/>
      <c r="Q282" s="1116"/>
      <c r="R282" s="1116"/>
      <c r="S282" s="1117">
        <v>176844</v>
      </c>
      <c r="T282" s="1117">
        <v>80007</v>
      </c>
      <c r="U282" s="1117">
        <v>78934</v>
      </c>
      <c r="V282" s="1117">
        <v>14372</v>
      </c>
      <c r="W282" s="1117">
        <v>2454</v>
      </c>
      <c r="X282" s="1117">
        <v>1076</v>
      </c>
      <c r="Y282" s="1117">
        <v>3.15</v>
      </c>
      <c r="Z282" s="1117">
        <v>6326</v>
      </c>
      <c r="AA282" s="1116"/>
      <c r="AB282" s="1116"/>
      <c r="AC282" s="1116"/>
      <c r="AD282" s="1116"/>
      <c r="AE282" s="1116"/>
      <c r="AF282" s="1140">
        <f t="shared" si="25"/>
        <v>124708.3119015</v>
      </c>
      <c r="AG282" s="1117">
        <f>'1.1.1 PrimEnLR'!B282*'3.1.1 CO2LR'!$AG$9*Units!$C$47/1000</f>
        <v>46815.845599500004</v>
      </c>
      <c r="AH282" s="1117">
        <f>'1.1.1 PrimEnLR'!C282*'3.1.1 CO2LR'!$AG$9*Units!$C$47/1000</f>
        <v>61050.002201999989</v>
      </c>
      <c r="AI282" s="1117">
        <f>'1.1.1 PrimEnLR'!D282*Units!$C$14*Units!$C$59/1000</f>
        <v>16842.464099999997</v>
      </c>
      <c r="AJ282" s="1116"/>
      <c r="AK282" s="1116"/>
    </row>
    <row r="283" spans="1:37" x14ac:dyDescent="0.35">
      <c r="A283" s="1116">
        <v>1973</v>
      </c>
      <c r="B283" s="1116"/>
      <c r="C283" s="1119">
        <f t="shared" si="24"/>
        <v>16.899999999999999</v>
      </c>
      <c r="D283" s="1119">
        <f t="shared" si="20"/>
        <v>79.63</v>
      </c>
      <c r="E283" s="1119">
        <f t="shared" si="21"/>
        <v>80.745000000000005</v>
      </c>
      <c r="F283" s="1139">
        <f t="shared" si="22"/>
        <v>2.718</v>
      </c>
      <c r="G283" s="1116"/>
      <c r="H283" s="1139">
        <f t="shared" si="23"/>
        <v>179.99299999999999</v>
      </c>
      <c r="I283" s="1116"/>
      <c r="J283" s="1116"/>
      <c r="K283" s="1116"/>
      <c r="L283" s="1116"/>
      <c r="M283" s="1116"/>
      <c r="N283" s="1116"/>
      <c r="O283" s="1116"/>
      <c r="P283" s="1116"/>
      <c r="Q283" s="1116"/>
      <c r="R283" s="1116"/>
      <c r="S283" s="1117">
        <v>179993</v>
      </c>
      <c r="T283" s="1117">
        <v>80745</v>
      </c>
      <c r="U283" s="1117">
        <v>79630</v>
      </c>
      <c r="V283" s="1117">
        <v>15555</v>
      </c>
      <c r="W283" s="1117">
        <v>2718</v>
      </c>
      <c r="X283" s="1117">
        <v>1345</v>
      </c>
      <c r="Y283" s="1117">
        <v>3.2</v>
      </c>
      <c r="Z283" s="1117">
        <v>6678</v>
      </c>
      <c r="AA283" s="1116"/>
      <c r="AB283" s="1116"/>
      <c r="AC283" s="1116"/>
      <c r="AD283" s="1116"/>
      <c r="AE283" s="1116"/>
      <c r="AF283" s="1140">
        <f t="shared" si="25"/>
        <v>130765.56453600001</v>
      </c>
      <c r="AG283" s="1117">
        <f>'1.1.1 PrimEnLR'!B283*'3.1.1 CO2LR'!$AG$9*Units!$C$47/1000</f>
        <v>50707.469497499995</v>
      </c>
      <c r="AH283" s="1117">
        <f>'1.1.1 PrimEnLR'!C283*'3.1.1 CO2LR'!$AG$9*Units!$C$47/1000</f>
        <v>61835.271958500009</v>
      </c>
      <c r="AI283" s="1117">
        <f>'1.1.1 PrimEnLR'!D283*Units!$C$14*Units!$C$59/1000</f>
        <v>18222.823080000002</v>
      </c>
      <c r="AJ283" s="1116"/>
      <c r="AK283" s="1116"/>
    </row>
    <row r="284" spans="1:37" x14ac:dyDescent="0.35">
      <c r="A284" s="1116">
        <v>1974</v>
      </c>
      <c r="B284" s="1116"/>
      <c r="C284" s="1119">
        <f t="shared" si="24"/>
        <v>20.083000000000002</v>
      </c>
      <c r="D284" s="1119">
        <f t="shared" si="20"/>
        <v>74.042000000000002</v>
      </c>
      <c r="E284" s="1119">
        <f t="shared" si="21"/>
        <v>71.879000000000005</v>
      </c>
      <c r="F284" s="1139">
        <f t="shared" si="22"/>
        <v>2.419</v>
      </c>
      <c r="G284" s="1116"/>
      <c r="H284" s="1139">
        <f t="shared" si="23"/>
        <v>168.42300000000003</v>
      </c>
      <c r="I284" s="1116"/>
      <c r="J284" s="1116"/>
      <c r="K284" s="1116"/>
      <c r="L284" s="1116"/>
      <c r="M284" s="1116"/>
      <c r="N284" s="1116"/>
      <c r="O284" s="1116"/>
      <c r="P284" s="1116"/>
      <c r="Q284" s="1116"/>
      <c r="R284" s="1116"/>
      <c r="S284" s="1117">
        <v>168423</v>
      </c>
      <c r="T284" s="1117">
        <v>71879</v>
      </c>
      <c r="U284" s="1117">
        <v>74042</v>
      </c>
      <c r="V284" s="1117">
        <v>18603</v>
      </c>
      <c r="W284" s="1117">
        <v>2419</v>
      </c>
      <c r="X284" s="1117">
        <v>1480</v>
      </c>
      <c r="Y284" s="1117">
        <v>2.99</v>
      </c>
      <c r="Z284" s="1117">
        <v>5976</v>
      </c>
      <c r="AA284" s="1116"/>
      <c r="AB284" s="1116"/>
      <c r="AC284" s="1116"/>
      <c r="AD284" s="1116"/>
      <c r="AE284" s="1116"/>
      <c r="AF284" s="1140">
        <f t="shared" si="25"/>
        <v>123902.90384249999</v>
      </c>
      <c r="AG284" s="1117">
        <f>'1.1.1 PrimEnLR'!B284*'3.1.1 CO2LR'!$AG$9*Units!$C$47/1000</f>
        <v>44641.580462999998</v>
      </c>
      <c r="AH284" s="1117">
        <f>'1.1.1 PrimEnLR'!C284*'3.1.1 CO2LR'!$AG$9*Units!$C$47/1000</f>
        <v>57464.810179499997</v>
      </c>
      <c r="AI284" s="1117">
        <f>'1.1.1 PrimEnLR'!D284*Units!$C$14*Units!$C$59/1000</f>
        <v>21796.513199999998</v>
      </c>
      <c r="AJ284" s="1116"/>
      <c r="AK284" s="1116"/>
    </row>
    <row r="285" spans="1:37" x14ac:dyDescent="0.35">
      <c r="A285" s="1116">
        <v>1975</v>
      </c>
      <c r="B285" s="1116"/>
      <c r="C285" s="1119">
        <f t="shared" si="24"/>
        <v>21.096</v>
      </c>
      <c r="D285" s="1119">
        <f t="shared" si="20"/>
        <v>65.843000000000004</v>
      </c>
      <c r="E285" s="1119">
        <f t="shared" si="21"/>
        <v>75.379000000000005</v>
      </c>
      <c r="F285" s="1139">
        <f t="shared" si="22"/>
        <v>2.2970000000000002</v>
      </c>
      <c r="G285" s="1116"/>
      <c r="H285" s="1139">
        <f t="shared" si="23"/>
        <v>164.61500000000001</v>
      </c>
      <c r="I285" s="1116"/>
      <c r="J285" s="1116"/>
      <c r="K285" s="1116"/>
      <c r="L285" s="1116"/>
      <c r="M285" s="1116"/>
      <c r="N285" s="1116"/>
      <c r="O285" s="1116"/>
      <c r="P285" s="1116"/>
      <c r="Q285" s="1116"/>
      <c r="R285" s="1116"/>
      <c r="S285" s="1117">
        <v>164615</v>
      </c>
      <c r="T285" s="1117">
        <v>75379</v>
      </c>
      <c r="U285" s="1117">
        <v>65843</v>
      </c>
      <c r="V285" s="1117">
        <v>19482</v>
      </c>
      <c r="W285" s="1117">
        <v>2297</v>
      </c>
      <c r="X285" s="1117">
        <v>1614</v>
      </c>
      <c r="Y285" s="1117">
        <v>2.92</v>
      </c>
      <c r="Z285" s="1117">
        <v>4968</v>
      </c>
      <c r="AA285" s="1116"/>
      <c r="AB285" s="1116"/>
      <c r="AC285" s="1116"/>
      <c r="AD285" s="1116"/>
      <c r="AE285" s="1116"/>
      <c r="AF285" s="1140">
        <f t="shared" si="25"/>
        <v>119507.38077149999</v>
      </c>
      <c r="AG285" s="1117">
        <f>'1.1.1 PrimEnLR'!B285*'3.1.1 CO2LR'!$AG$9*Units!$C$47/1000</f>
        <v>44908.413785999997</v>
      </c>
      <c r="AH285" s="1117">
        <f>'1.1.1 PrimEnLR'!C285*'3.1.1 CO2LR'!$AG$9*Units!$C$47/1000</f>
        <v>51760.181785499997</v>
      </c>
      <c r="AI285" s="1117">
        <f>'1.1.1 PrimEnLR'!D285*Units!$C$14*Units!$C$59/1000</f>
        <v>22838.785199999998</v>
      </c>
      <c r="AJ285" s="1116"/>
      <c r="AK285" s="1116"/>
    </row>
    <row r="286" spans="1:37" x14ac:dyDescent="0.35">
      <c r="A286" s="1116">
        <v>1976</v>
      </c>
      <c r="B286" s="1116"/>
      <c r="C286" s="1119">
        <f t="shared" si="24"/>
        <v>21.821000000000002</v>
      </c>
      <c r="D286" s="1119">
        <f t="shared" si="20"/>
        <v>64.314999999999998</v>
      </c>
      <c r="E286" s="1119">
        <f t="shared" si="21"/>
        <v>75.043000000000006</v>
      </c>
      <c r="F286" s="1139">
        <f t="shared" si="22"/>
        <v>2.1459999999999999</v>
      </c>
      <c r="G286" s="1116"/>
      <c r="H286" s="1139">
        <f t="shared" si="23"/>
        <v>163.32499999999999</v>
      </c>
      <c r="I286" s="1116"/>
      <c r="J286" s="1116"/>
      <c r="K286" s="1116"/>
      <c r="L286" s="1116"/>
      <c r="M286" s="1116"/>
      <c r="N286" s="1116"/>
      <c r="O286" s="1116"/>
      <c r="P286" s="1116"/>
      <c r="Q286" s="1116"/>
      <c r="R286" s="1116"/>
      <c r="S286" s="1117">
        <v>163325</v>
      </c>
      <c r="T286" s="1117">
        <v>75043</v>
      </c>
      <c r="U286" s="1117">
        <v>64315</v>
      </c>
      <c r="V286" s="1117">
        <v>20207</v>
      </c>
      <c r="W286" s="1117">
        <v>2146</v>
      </c>
      <c r="X286" s="1117">
        <v>1614</v>
      </c>
      <c r="Y286" s="1117">
        <v>2.89</v>
      </c>
      <c r="Z286" s="1117">
        <v>5181</v>
      </c>
      <c r="AA286" s="1116"/>
      <c r="AB286" s="1116"/>
      <c r="AC286" s="1116"/>
      <c r="AD286" s="1116"/>
      <c r="AE286" s="1116"/>
      <c r="AF286" s="1140">
        <f t="shared" si="25"/>
        <v>120782.11737600001</v>
      </c>
      <c r="AG286" s="1117">
        <f>'1.1.1 PrimEnLR'!B286*'3.1.1 CO2LR'!$AG$9*Units!$C$47/1000</f>
        <v>45700.384836000005</v>
      </c>
      <c r="AH286" s="1117">
        <f>'1.1.1 PrimEnLR'!C286*'3.1.1 CO2LR'!$AG$9*Units!$C$47/1000</f>
        <v>50856.725579999998</v>
      </c>
      <c r="AI286" s="1117">
        <f>'1.1.1 PrimEnLR'!D286*Units!$C$14*Units!$C$59/1000</f>
        <v>24225.006960000002</v>
      </c>
      <c r="AJ286" s="1116"/>
      <c r="AK286" s="1116"/>
    </row>
    <row r="287" spans="1:37" x14ac:dyDescent="0.35">
      <c r="A287" s="1116">
        <v>1977</v>
      </c>
      <c r="B287" s="1116"/>
      <c r="C287" s="1119">
        <f t="shared" si="24"/>
        <v>23.303000000000001</v>
      </c>
      <c r="D287" s="1119">
        <f t="shared" si="20"/>
        <v>65.527000000000001</v>
      </c>
      <c r="E287" s="1119">
        <f t="shared" si="21"/>
        <v>73.984999999999999</v>
      </c>
      <c r="F287" s="1139">
        <f t="shared" si="22"/>
        <v>2.1019999999999999</v>
      </c>
      <c r="G287" s="1116"/>
      <c r="H287" s="1139">
        <f t="shared" si="23"/>
        <v>164.917</v>
      </c>
      <c r="I287" s="1116"/>
      <c r="J287" s="1116"/>
      <c r="K287" s="1116"/>
      <c r="L287" s="1116"/>
      <c r="M287" s="1116"/>
      <c r="N287" s="1116"/>
      <c r="O287" s="1116"/>
      <c r="P287" s="1116"/>
      <c r="Q287" s="1116"/>
      <c r="R287" s="1116"/>
      <c r="S287" s="1117">
        <v>164916</v>
      </c>
      <c r="T287" s="1117">
        <v>73985</v>
      </c>
      <c r="U287" s="1117">
        <v>65527</v>
      </c>
      <c r="V287" s="1117">
        <v>21564</v>
      </c>
      <c r="W287" s="1117">
        <v>2102</v>
      </c>
      <c r="X287" s="1117">
        <v>1739</v>
      </c>
      <c r="Y287" s="1117">
        <v>2.92</v>
      </c>
      <c r="Z287" s="1117">
        <v>4592</v>
      </c>
      <c r="AA287" s="1116"/>
      <c r="AB287" s="1116"/>
      <c r="AC287" s="1116"/>
      <c r="AD287" s="1116"/>
      <c r="AE287" s="1116"/>
      <c r="AF287" s="1140">
        <f t="shared" si="25"/>
        <v>123448.6216905</v>
      </c>
      <c r="AG287" s="1117">
        <f>'1.1.1 PrimEnLR'!B287*'3.1.1 CO2LR'!$AG$9*Units!$C$47/1000</f>
        <v>45850.859335499998</v>
      </c>
      <c r="AH287" s="1117">
        <f>'1.1.1 PrimEnLR'!C287*'3.1.1 CO2LR'!$AG$9*Units!$C$47/1000</f>
        <v>51849.735434999995</v>
      </c>
      <c r="AI287" s="1117">
        <f>'1.1.1 PrimEnLR'!D287*Units!$C$14*Units!$C$59/1000</f>
        <v>25748.02692</v>
      </c>
      <c r="AJ287" s="1116"/>
      <c r="AK287" s="1116"/>
    </row>
    <row r="288" spans="1:37" x14ac:dyDescent="0.35">
      <c r="A288" s="1116">
        <v>1978</v>
      </c>
      <c r="B288" s="1116"/>
      <c r="C288" s="1119">
        <f t="shared" si="24"/>
        <v>24.596</v>
      </c>
      <c r="D288" s="1119">
        <f t="shared" si="20"/>
        <v>67.522999999999996</v>
      </c>
      <c r="E288" s="1119">
        <f t="shared" si="21"/>
        <v>70.724999999999994</v>
      </c>
      <c r="F288" s="1139">
        <f t="shared" si="22"/>
        <v>2.165</v>
      </c>
      <c r="G288" s="1116"/>
      <c r="H288" s="1139">
        <f t="shared" si="23"/>
        <v>165.00899999999999</v>
      </c>
      <c r="I288" s="1116"/>
      <c r="J288" s="1116"/>
      <c r="K288" s="1116"/>
      <c r="L288" s="1116"/>
      <c r="M288" s="1116"/>
      <c r="N288" s="1116"/>
      <c r="O288" s="1116"/>
      <c r="P288" s="1116"/>
      <c r="Q288" s="1116"/>
      <c r="R288" s="1116"/>
      <c r="S288" s="1117">
        <v>165008</v>
      </c>
      <c r="T288" s="1117">
        <v>70725</v>
      </c>
      <c r="U288" s="1117">
        <v>67523</v>
      </c>
      <c r="V288" s="1117">
        <v>22250</v>
      </c>
      <c r="W288" s="1117">
        <v>2165</v>
      </c>
      <c r="X288" s="1117">
        <v>2346</v>
      </c>
      <c r="Y288" s="1117">
        <v>2.92</v>
      </c>
      <c r="Z288" s="1117">
        <v>4744</v>
      </c>
      <c r="AA288" s="1116"/>
      <c r="AB288" s="1116"/>
      <c r="AC288" s="1116"/>
      <c r="AD288" s="1116"/>
      <c r="AE288" s="1116"/>
      <c r="AF288" s="1140">
        <f t="shared" si="25"/>
        <v>124484.31441299999</v>
      </c>
      <c r="AG288" s="1117">
        <f>'1.1.1 PrimEnLR'!B288*'3.1.1 CO2LR'!$AG$9*Units!$C$47/1000</f>
        <v>44667.776428500001</v>
      </c>
      <c r="AH288" s="1117">
        <f>'1.1.1 PrimEnLR'!C288*'3.1.1 CO2LR'!$AG$9*Units!$C$47/1000</f>
        <v>53108.9694045</v>
      </c>
      <c r="AI288" s="1117">
        <f>'1.1.1 PrimEnLR'!D288*Units!$C$14*Units!$C$59/1000</f>
        <v>26707.568579999999</v>
      </c>
      <c r="AJ288" s="1116"/>
      <c r="AK288" s="1116"/>
    </row>
    <row r="289" spans="1:37" x14ac:dyDescent="0.35">
      <c r="A289" s="1116">
        <v>1979</v>
      </c>
      <c r="B289" s="1116"/>
      <c r="C289" s="1119">
        <f t="shared" si="24"/>
        <v>27.751999999999999</v>
      </c>
      <c r="D289" s="1119">
        <f t="shared" si="20"/>
        <v>69.070999999999998</v>
      </c>
      <c r="E289" s="1119">
        <f t="shared" si="21"/>
        <v>76.844999999999999</v>
      </c>
      <c r="F289" s="1139">
        <f t="shared" si="22"/>
        <v>2.1949999999999998</v>
      </c>
      <c r="G289" s="1116"/>
      <c r="H289" s="1139">
        <f t="shared" si="23"/>
        <v>175.863</v>
      </c>
      <c r="I289" s="1116"/>
      <c r="J289" s="1116"/>
      <c r="K289" s="1116"/>
      <c r="L289" s="1116"/>
      <c r="M289" s="1116"/>
      <c r="N289" s="1116"/>
      <c r="O289" s="1116"/>
      <c r="P289" s="1116"/>
      <c r="Q289" s="1116"/>
      <c r="R289" s="1116"/>
      <c r="S289" s="1117">
        <v>175864</v>
      </c>
      <c r="T289" s="1117">
        <v>76845</v>
      </c>
      <c r="U289" s="1117">
        <v>69071</v>
      </c>
      <c r="V289" s="1117">
        <v>24343</v>
      </c>
      <c r="W289" s="1117">
        <v>2195</v>
      </c>
      <c r="X289" s="1117">
        <v>3409</v>
      </c>
      <c r="Y289" s="1117">
        <v>3.11</v>
      </c>
      <c r="Z289" s="1117">
        <v>4768</v>
      </c>
      <c r="AA289" s="1116"/>
      <c r="AB289" s="1116"/>
      <c r="AC289" s="1116"/>
      <c r="AD289" s="1116"/>
      <c r="AE289" s="1116"/>
      <c r="AF289" s="1140">
        <f t="shared" si="25"/>
        <v>130691.30418750001</v>
      </c>
      <c r="AG289" s="1117">
        <f>'1.1.1 PrimEnLR'!B289*'3.1.1 CO2LR'!$AG$9*Units!$C$47/1000</f>
        <v>48014.158718999999</v>
      </c>
      <c r="AH289" s="1117">
        <f>'1.1.1 PrimEnLR'!C289*'3.1.1 CO2LR'!$AG$9*Units!$C$47/1000</f>
        <v>53416.010488499996</v>
      </c>
      <c r="AI289" s="1117">
        <f>'1.1.1 PrimEnLR'!D289*Units!$C$14*Units!$C$59/1000</f>
        <v>29261.134979999999</v>
      </c>
      <c r="AJ289" s="1116"/>
      <c r="AK289" s="1116"/>
    </row>
    <row r="290" spans="1:37" x14ac:dyDescent="0.35">
      <c r="A290" s="1116">
        <v>1980</v>
      </c>
      <c r="B290" s="1116"/>
      <c r="C290" s="1119">
        <f t="shared" si="24"/>
        <v>26.323999999999998</v>
      </c>
      <c r="D290" s="1119">
        <f t="shared" si="20"/>
        <v>58.481999999999999</v>
      </c>
      <c r="E290" s="1119">
        <f t="shared" si="21"/>
        <v>71.153999999999996</v>
      </c>
      <c r="F290" s="1139">
        <f t="shared" si="22"/>
        <v>2.0139999999999998</v>
      </c>
      <c r="G290" s="1116"/>
      <c r="H290" s="1139">
        <f t="shared" si="23"/>
        <v>157.97399999999999</v>
      </c>
      <c r="I290" s="1116"/>
      <c r="J290" s="1116"/>
      <c r="K290" s="1116"/>
      <c r="L290" s="1116"/>
      <c r="M290" s="1116"/>
      <c r="N290" s="1116"/>
      <c r="O290" s="1116"/>
      <c r="P290" s="1116"/>
      <c r="Q290" s="1116"/>
      <c r="R290" s="1116"/>
      <c r="S290" s="1117">
        <v>157974</v>
      </c>
      <c r="T290" s="1117">
        <v>71154</v>
      </c>
      <c r="U290" s="1117">
        <v>58482</v>
      </c>
      <c r="V290" s="1117">
        <v>24133</v>
      </c>
      <c r="W290" s="1117">
        <v>2014</v>
      </c>
      <c r="X290" s="1117">
        <v>2191</v>
      </c>
      <c r="Y290" s="1117">
        <v>2.8</v>
      </c>
      <c r="Z290" s="1117">
        <v>4512</v>
      </c>
      <c r="AA290" s="1116"/>
      <c r="AB290" s="1116"/>
      <c r="AC290" s="1116"/>
      <c r="AD290" s="1116"/>
      <c r="AE290" s="1116"/>
      <c r="AF290" s="1140">
        <f t="shared" si="25"/>
        <v>120226.14710999999</v>
      </c>
      <c r="AG290" s="1117">
        <f>'1.1.1 PrimEnLR'!B290*'3.1.1 CO2LR'!$AG$9*Units!$C$47/1000</f>
        <v>44632.442335499996</v>
      </c>
      <c r="AH290" s="1117">
        <f>'1.1.1 PrimEnLR'!C290*'3.1.1 CO2LR'!$AG$9*Units!$C$47/1000</f>
        <v>46419.860074499993</v>
      </c>
      <c r="AI290" s="1117">
        <f>'1.1.1 PrimEnLR'!D290*Units!$C$14*Units!$C$59/1000</f>
        <v>29173.844700000001</v>
      </c>
      <c r="AJ290" s="1116"/>
      <c r="AK290" s="1116"/>
    </row>
    <row r="291" spans="1:37" x14ac:dyDescent="0.35">
      <c r="A291" s="1116">
        <v>1981</v>
      </c>
      <c r="B291" s="1116"/>
      <c r="C291" s="1119">
        <f t="shared" si="24"/>
        <v>26.632999999999999</v>
      </c>
      <c r="D291" s="1119">
        <f t="shared" si="20"/>
        <v>53.228999999999999</v>
      </c>
      <c r="E291" s="1119">
        <f t="shared" si="21"/>
        <v>71.343999999999994</v>
      </c>
      <c r="F291" s="1139">
        <f t="shared" si="22"/>
        <v>1.7310000000000001</v>
      </c>
      <c r="G291" s="1116"/>
      <c r="H291" s="1139">
        <f t="shared" si="23"/>
        <v>152.93699999999998</v>
      </c>
      <c r="I291" s="1116"/>
      <c r="J291" s="1116"/>
      <c r="K291" s="1116"/>
      <c r="L291" s="1116"/>
      <c r="M291" s="1116"/>
      <c r="N291" s="1116"/>
      <c r="O291" s="1116"/>
      <c r="P291" s="1116"/>
      <c r="Q291" s="1116"/>
      <c r="R291" s="1116"/>
      <c r="S291" s="1117">
        <v>152937</v>
      </c>
      <c r="T291" s="1117">
        <v>71344</v>
      </c>
      <c r="U291" s="1117">
        <v>53229</v>
      </c>
      <c r="V291" s="1117">
        <v>24456</v>
      </c>
      <c r="W291" s="1117">
        <v>1731</v>
      </c>
      <c r="X291" s="1117">
        <v>2177</v>
      </c>
      <c r="Y291" s="1117">
        <v>2.71</v>
      </c>
      <c r="Z291" s="1117">
        <v>3980</v>
      </c>
      <c r="AA291" s="1116"/>
      <c r="AB291" s="1116"/>
      <c r="AC291" s="1116"/>
      <c r="AD291" s="1116"/>
      <c r="AE291" s="1116"/>
      <c r="AF291" s="1140">
        <f t="shared" si="25"/>
        <v>116322.983874</v>
      </c>
      <c r="AG291" s="1117">
        <f>'1.1.1 PrimEnLR'!B291*'3.1.1 CO2LR'!$AG$9*Units!$C$47/1000</f>
        <v>44389.977352499998</v>
      </c>
      <c r="AH291" s="1117">
        <f>'1.1.1 PrimEnLR'!C291*'3.1.1 CO2LR'!$AG$9*Units!$C$47/1000</f>
        <v>42363.7498815</v>
      </c>
      <c r="AI291" s="1117">
        <f>'1.1.1 PrimEnLR'!D291*Units!$C$14*Units!$C$59/1000</f>
        <v>29569.25664</v>
      </c>
      <c r="AJ291" s="1116"/>
      <c r="AK291" s="1116"/>
    </row>
    <row r="292" spans="1:37" x14ac:dyDescent="0.35">
      <c r="A292" s="1116">
        <v>1982</v>
      </c>
      <c r="B292" s="1116"/>
      <c r="C292" s="1119">
        <f t="shared" si="24"/>
        <v>27.516999999999999</v>
      </c>
      <c r="D292" s="1119">
        <f t="shared" si="20"/>
        <v>53.506999999999998</v>
      </c>
      <c r="E292" s="1119">
        <f t="shared" si="21"/>
        <v>66.796999999999997</v>
      </c>
      <c r="F292" s="1139">
        <f t="shared" si="22"/>
        <v>1.7629999999999999</v>
      </c>
      <c r="G292" s="1116"/>
      <c r="H292" s="1139">
        <f t="shared" si="23"/>
        <v>149.584</v>
      </c>
      <c r="I292" s="1116"/>
      <c r="J292" s="1116"/>
      <c r="K292" s="1116"/>
      <c r="L292" s="1116"/>
      <c r="M292" s="1116"/>
      <c r="N292" s="1116"/>
      <c r="O292" s="1116"/>
      <c r="P292" s="1116"/>
      <c r="Q292" s="1116"/>
      <c r="R292" s="1116"/>
      <c r="S292" s="1117">
        <v>149583</v>
      </c>
      <c r="T292" s="1117">
        <v>66797</v>
      </c>
      <c r="U292" s="1117">
        <v>53507</v>
      </c>
      <c r="V292" s="1117">
        <v>25468</v>
      </c>
      <c r="W292" s="1117">
        <v>1763</v>
      </c>
      <c r="X292" s="1117">
        <v>2049</v>
      </c>
      <c r="Y292" s="1117">
        <v>2.65</v>
      </c>
      <c r="Z292" s="1117">
        <v>4447</v>
      </c>
      <c r="AA292" s="1116"/>
      <c r="AB292" s="1116"/>
      <c r="AC292" s="1116"/>
      <c r="AD292" s="1116"/>
      <c r="AE292" s="1116"/>
      <c r="AF292" s="1140">
        <f t="shared" si="25"/>
        <v>113876.00086650001</v>
      </c>
      <c r="AG292" s="1117">
        <f>'1.1.1 PrimEnLR'!B292*'3.1.1 CO2LR'!$AG$9*Units!$C$47/1000</f>
        <v>41400.591243000003</v>
      </c>
      <c r="AH292" s="1117">
        <f>'1.1.1 PrimEnLR'!C292*'3.1.1 CO2LR'!$AG$9*Units!$C$47/1000</f>
        <v>43053.373903500004</v>
      </c>
      <c r="AI292" s="1117">
        <f>'1.1.1 PrimEnLR'!D292*Units!$C$14*Units!$C$59/1000</f>
        <v>29422.035720000003</v>
      </c>
      <c r="AJ292" s="1116"/>
      <c r="AK292" s="1116"/>
    </row>
    <row r="293" spans="1:37" x14ac:dyDescent="0.35">
      <c r="A293" s="1116">
        <v>1983</v>
      </c>
      <c r="B293" s="1116"/>
      <c r="C293" s="1119">
        <f t="shared" si="24"/>
        <v>28.474</v>
      </c>
      <c r="D293" s="1119">
        <f t="shared" si="20"/>
        <v>51.055999999999997</v>
      </c>
      <c r="E293" s="1119">
        <f t="shared" si="21"/>
        <v>67.474000000000004</v>
      </c>
      <c r="F293" s="1139">
        <f t="shared" si="22"/>
        <v>1.8220000000000001</v>
      </c>
      <c r="G293" s="1116"/>
      <c r="H293" s="1139">
        <f t="shared" si="23"/>
        <v>148.82600000000002</v>
      </c>
      <c r="I293" s="1116"/>
      <c r="J293" s="1116"/>
      <c r="K293" s="1116"/>
      <c r="L293" s="1116"/>
      <c r="M293" s="1116"/>
      <c r="N293" s="1116"/>
      <c r="O293" s="1116"/>
      <c r="P293" s="1116"/>
      <c r="Q293" s="1116"/>
      <c r="R293" s="1116"/>
      <c r="S293" s="1117">
        <v>148825</v>
      </c>
      <c r="T293" s="1117">
        <v>67474</v>
      </c>
      <c r="U293" s="1117">
        <v>51056</v>
      </c>
      <c r="V293" s="1117">
        <v>26520</v>
      </c>
      <c r="W293" s="1117">
        <v>1822</v>
      </c>
      <c r="X293" s="1117">
        <v>1954</v>
      </c>
      <c r="Y293" s="1117">
        <v>2.63</v>
      </c>
      <c r="Z293" s="1117">
        <v>4060</v>
      </c>
      <c r="AA293" s="1116"/>
      <c r="AB293" s="1116"/>
      <c r="AC293" s="1116"/>
      <c r="AD293" s="1116"/>
      <c r="AE293" s="1116"/>
      <c r="AF293" s="1140">
        <f t="shared" si="25"/>
        <v>113410.33365300001</v>
      </c>
      <c r="AG293" s="1117">
        <f>'1.1.1 PrimEnLR'!B293*'3.1.1 CO2LR'!$AG$9*Units!$C$47/1000</f>
        <v>41785.611015000002</v>
      </c>
      <c r="AH293" s="1117">
        <f>'1.1.1 PrimEnLR'!C293*'3.1.1 CO2LR'!$AG$9*Units!$C$47/1000</f>
        <v>40955.869038000004</v>
      </c>
      <c r="AI293" s="1117">
        <f>'1.1.1 PrimEnLR'!D293*Units!$C$14*Units!$C$59/1000</f>
        <v>30668.853599999999</v>
      </c>
      <c r="AJ293" s="1116"/>
      <c r="AK293" s="1116"/>
    </row>
    <row r="294" spans="1:37" x14ac:dyDescent="0.35">
      <c r="A294" s="1116">
        <v>1984</v>
      </c>
      <c r="B294" s="1116"/>
      <c r="C294" s="1119">
        <f t="shared" si="24"/>
        <v>28.948</v>
      </c>
      <c r="D294" s="1119">
        <f t="shared" si="20"/>
        <v>65.113</v>
      </c>
      <c r="E294" s="1119">
        <f t="shared" si="21"/>
        <v>48.457000000000001</v>
      </c>
      <c r="F294" s="1139">
        <f t="shared" si="22"/>
        <v>1.833</v>
      </c>
      <c r="G294" s="1116"/>
      <c r="H294" s="1139">
        <f t="shared" si="23"/>
        <v>144.351</v>
      </c>
      <c r="I294" s="1116"/>
      <c r="J294" s="1116"/>
      <c r="K294" s="1116"/>
      <c r="L294" s="1116"/>
      <c r="M294" s="1116"/>
      <c r="N294" s="1116"/>
      <c r="O294" s="1116"/>
      <c r="P294" s="1116"/>
      <c r="Q294" s="1116"/>
      <c r="R294" s="1116"/>
      <c r="S294" s="1117">
        <v>144351</v>
      </c>
      <c r="T294" s="1117">
        <v>48457</v>
      </c>
      <c r="U294" s="1117">
        <v>65113</v>
      </c>
      <c r="V294" s="1117">
        <v>27186</v>
      </c>
      <c r="W294" s="1117">
        <v>1833</v>
      </c>
      <c r="X294" s="1117">
        <v>1762</v>
      </c>
      <c r="Y294" s="1117">
        <v>2.5499999999999998</v>
      </c>
      <c r="Z294" s="1117">
        <v>4378</v>
      </c>
      <c r="AA294" s="1116"/>
      <c r="AB294" s="1116"/>
      <c r="AC294" s="1116"/>
      <c r="AD294" s="1116"/>
      <c r="AE294" s="1116"/>
      <c r="AF294" s="1140">
        <f t="shared" si="25"/>
        <v>112639.31116649999</v>
      </c>
      <c r="AG294" s="1117">
        <f>'1.1.1 PrimEnLR'!B294*'3.1.1 CO2LR'!$AG$9*Units!$C$47/1000</f>
        <v>29691.603873</v>
      </c>
      <c r="AH294" s="1117">
        <f>'1.1.1 PrimEnLR'!C294*'3.1.1 CO2LR'!$AG$9*Units!$C$47/1000</f>
        <v>51570.108733499997</v>
      </c>
      <c r="AI294" s="1117">
        <f>'1.1.1 PrimEnLR'!D294*Units!$C$14*Units!$C$59/1000</f>
        <v>31377.598560000002</v>
      </c>
      <c r="AJ294" s="1116"/>
      <c r="AK294" s="1116"/>
    </row>
    <row r="295" spans="1:37" x14ac:dyDescent="0.35">
      <c r="A295" s="1116">
        <v>1985</v>
      </c>
      <c r="B295" s="1116"/>
      <c r="C295" s="1119">
        <f t="shared" si="24"/>
        <v>30.834</v>
      </c>
      <c r="D295" s="1119">
        <f t="shared" si="20"/>
        <v>56.08</v>
      </c>
      <c r="E295" s="1119">
        <f t="shared" si="21"/>
        <v>63.947000000000003</v>
      </c>
      <c r="F295" s="1139">
        <f t="shared" si="22"/>
        <v>1.8140000000000001</v>
      </c>
      <c r="G295" s="1116"/>
      <c r="H295" s="1139">
        <f t="shared" si="23"/>
        <v>152.67499999999998</v>
      </c>
      <c r="I295" s="1116"/>
      <c r="J295" s="1116"/>
      <c r="K295" s="1116"/>
      <c r="L295" s="1116"/>
      <c r="M295" s="1116"/>
      <c r="N295" s="1116"/>
      <c r="O295" s="1116"/>
      <c r="P295" s="1116"/>
      <c r="Q295" s="1116"/>
      <c r="R295" s="1116"/>
      <c r="S295" s="1117">
        <v>152674</v>
      </c>
      <c r="T295" s="1117">
        <v>63947</v>
      </c>
      <c r="U295" s="1117">
        <v>56080</v>
      </c>
      <c r="V295" s="1117">
        <v>29460</v>
      </c>
      <c r="W295" s="1117">
        <v>1814</v>
      </c>
      <c r="X295" s="1117">
        <v>1374</v>
      </c>
      <c r="Y295" s="1117">
        <v>2.69</v>
      </c>
      <c r="Z295" s="1117">
        <v>4488</v>
      </c>
      <c r="AA295" s="1116"/>
      <c r="AB295" s="1116"/>
      <c r="AC295" s="1116"/>
      <c r="AD295" s="1116"/>
      <c r="AE295" s="1116"/>
      <c r="AF295" s="1140">
        <f t="shared" si="25"/>
        <v>117208.9023855</v>
      </c>
      <c r="AG295" s="1117">
        <f>'1.1.1 PrimEnLR'!B295*'3.1.1 CO2LR'!$AG$9*Units!$C$47/1000</f>
        <v>39491.331804000001</v>
      </c>
      <c r="AH295" s="1117">
        <f>'1.1.1 PrimEnLR'!C295*'3.1.1 CO2LR'!$AG$9*Units!$C$47/1000</f>
        <v>43972.060321500001</v>
      </c>
      <c r="AI295" s="1117">
        <f>'1.1.1 PrimEnLR'!D295*Units!$C$14*Units!$C$59/1000</f>
        <v>33745.510259999995</v>
      </c>
      <c r="AJ295" s="1116"/>
      <c r="AK295" s="1116"/>
    </row>
    <row r="296" spans="1:37" x14ac:dyDescent="0.35">
      <c r="A296" s="1116">
        <v>1986</v>
      </c>
      <c r="B296" s="1116"/>
      <c r="C296" s="1119">
        <f t="shared" si="24"/>
        <v>30.596</v>
      </c>
      <c r="D296" s="1119">
        <f t="shared" si="20"/>
        <v>54.872999999999998</v>
      </c>
      <c r="E296" s="1119">
        <f t="shared" si="21"/>
        <v>67.814999999999998</v>
      </c>
      <c r="F296" s="1139">
        <f t="shared" si="22"/>
        <v>1.8240000000000001</v>
      </c>
      <c r="G296" s="1116"/>
      <c r="H296" s="1139">
        <f t="shared" si="23"/>
        <v>155.108</v>
      </c>
      <c r="I296" s="1116"/>
      <c r="J296" s="1116"/>
      <c r="K296" s="1116"/>
      <c r="L296" s="1116"/>
      <c r="M296" s="1116"/>
      <c r="N296" s="1116"/>
      <c r="O296" s="1116"/>
      <c r="P296" s="1116"/>
      <c r="Q296" s="1116"/>
      <c r="R296" s="1116"/>
      <c r="S296" s="1117">
        <v>155107</v>
      </c>
      <c r="T296" s="1117">
        <v>67815</v>
      </c>
      <c r="U296" s="1117">
        <v>54873</v>
      </c>
      <c r="V296" s="1117">
        <v>29549</v>
      </c>
      <c r="W296" s="1117">
        <v>1824</v>
      </c>
      <c r="X296" s="1117">
        <v>1047</v>
      </c>
      <c r="Y296" s="1117">
        <v>2.73</v>
      </c>
      <c r="Z296" s="1117">
        <v>4668</v>
      </c>
      <c r="AA296" s="1116"/>
      <c r="AB296" s="1116"/>
      <c r="AC296" s="1116"/>
      <c r="AD296" s="1116"/>
      <c r="AE296" s="1116"/>
      <c r="AF296" s="1140">
        <f t="shared" si="25"/>
        <v>120300.46932600001</v>
      </c>
      <c r="AG296" s="1117">
        <f>'1.1.1 PrimEnLR'!B296*'3.1.1 CO2LR'!$AG$9*Units!$C$47/1000</f>
        <v>42649.468668000009</v>
      </c>
      <c r="AH296" s="1117">
        <f>'1.1.1 PrimEnLR'!C296*'3.1.1 CO2LR'!$AG$9*Units!$C$47/1000</f>
        <v>43343.966357999998</v>
      </c>
      <c r="AI296" s="1117">
        <f>'1.1.1 PrimEnLR'!D296*Units!$C$14*Units!$C$59/1000</f>
        <v>34307.034299999999</v>
      </c>
      <c r="AJ296" s="1116"/>
      <c r="AK296" s="1116"/>
    </row>
    <row r="297" spans="1:37" x14ac:dyDescent="0.35">
      <c r="A297" s="1116">
        <v>1987</v>
      </c>
      <c r="B297" s="1116"/>
      <c r="C297" s="1119">
        <f t="shared" si="24"/>
        <v>30.443999999999999</v>
      </c>
      <c r="D297" s="1119">
        <f t="shared" si="20"/>
        <v>52.795000000000002</v>
      </c>
      <c r="E297" s="1119">
        <f t="shared" si="21"/>
        <v>70.765000000000001</v>
      </c>
      <c r="F297" s="1139">
        <f t="shared" si="22"/>
        <v>1.946</v>
      </c>
      <c r="G297" s="1116"/>
      <c r="H297" s="1139">
        <f t="shared" si="23"/>
        <v>155.95000000000002</v>
      </c>
      <c r="I297" s="1116"/>
      <c r="J297" s="1116"/>
      <c r="K297" s="1116"/>
      <c r="L297" s="1116"/>
      <c r="M297" s="1116"/>
      <c r="N297" s="1116"/>
      <c r="O297" s="1116"/>
      <c r="P297" s="1116"/>
      <c r="Q297" s="1116"/>
      <c r="R297" s="1116"/>
      <c r="S297" s="1117">
        <v>155950</v>
      </c>
      <c r="T297" s="1117">
        <v>70765</v>
      </c>
      <c r="U297" s="1117">
        <v>52795</v>
      </c>
      <c r="V297" s="1117">
        <v>29342</v>
      </c>
      <c r="W297" s="1117">
        <v>1946</v>
      </c>
      <c r="X297" s="1117">
        <v>1102</v>
      </c>
      <c r="Y297" s="1117">
        <v>2.74</v>
      </c>
      <c r="Z297" s="1117">
        <v>4578</v>
      </c>
      <c r="AA297" s="1116"/>
      <c r="AB297" s="1116"/>
      <c r="AC297" s="1116"/>
      <c r="AD297" s="1116"/>
      <c r="AE297" s="1116"/>
      <c r="AF297" s="1140">
        <f t="shared" si="25"/>
        <v>121226.30599199999</v>
      </c>
      <c r="AG297" s="1117">
        <f>'1.1.1 PrimEnLR'!B297*'3.1.1 CO2LR'!$AG$9*Units!$C$47/1000</f>
        <v>43693.042828500002</v>
      </c>
      <c r="AH297" s="1117">
        <f>'1.1.1 PrimEnLR'!C297*'3.1.1 CO2LR'!$AG$9*Units!$C$47/1000</f>
        <v>42297.955363499997</v>
      </c>
      <c r="AI297" s="1117">
        <f>'1.1.1 PrimEnLR'!D297*Units!$C$14*Units!$C$59/1000</f>
        <v>35235.307799999995</v>
      </c>
      <c r="AJ297" s="1116"/>
      <c r="AK297" s="1116"/>
    </row>
    <row r="298" spans="1:37" x14ac:dyDescent="0.35">
      <c r="A298" s="1116">
        <v>1988</v>
      </c>
      <c r="B298" s="1116"/>
      <c r="C298" s="1119">
        <f t="shared" si="24"/>
        <v>28.893000000000001</v>
      </c>
      <c r="D298" s="1119">
        <f t="shared" si="20"/>
        <v>56.262</v>
      </c>
      <c r="E298" s="1119">
        <f t="shared" si="21"/>
        <v>68.168000000000006</v>
      </c>
      <c r="F298" s="1139">
        <f t="shared" si="22"/>
        <v>2.2450000000000001</v>
      </c>
      <c r="G298" s="1116"/>
      <c r="H298" s="1139">
        <f t="shared" si="23"/>
        <v>155.56800000000001</v>
      </c>
      <c r="I298" s="1116"/>
      <c r="J298" s="1116"/>
      <c r="K298" s="1116"/>
      <c r="L298" s="1116"/>
      <c r="M298" s="1116"/>
      <c r="N298" s="1116"/>
      <c r="O298" s="1116"/>
      <c r="P298" s="1116"/>
      <c r="Q298" s="1116"/>
      <c r="R298" s="1116"/>
      <c r="S298" s="1117">
        <v>155567</v>
      </c>
      <c r="T298" s="1117">
        <v>68168</v>
      </c>
      <c r="U298" s="1117">
        <v>56262</v>
      </c>
      <c r="V298" s="1117">
        <v>28893</v>
      </c>
      <c r="W298" s="1117">
        <v>2245</v>
      </c>
      <c r="X298" s="1117">
        <v>0</v>
      </c>
      <c r="Y298" s="1117">
        <v>2.72</v>
      </c>
      <c r="Z298" s="1117">
        <v>4856</v>
      </c>
      <c r="AA298" s="1116"/>
      <c r="AB298" s="1116"/>
      <c r="AC298" s="1116"/>
      <c r="AD298" s="1116"/>
      <c r="AE298" s="1116"/>
      <c r="AF298" s="1140">
        <f t="shared" si="25"/>
        <v>120972.4405755</v>
      </c>
      <c r="AG298" s="1117">
        <f>'1.1.1 PrimEnLR'!B298*'3.1.1 CO2LR'!$AG$9*Units!$C$47/1000</f>
        <v>42413.704978499998</v>
      </c>
      <c r="AH298" s="1117">
        <f>'1.1.1 PrimEnLR'!C298*'3.1.1 CO2LR'!$AG$9*Units!$C$47/1000</f>
        <v>45107.015757000001</v>
      </c>
      <c r="AI298" s="1117">
        <f>'1.1.1 PrimEnLR'!D298*Units!$C$14*Units!$C$59/1000</f>
        <v>33451.719840000005</v>
      </c>
      <c r="AJ298" s="1116"/>
      <c r="AK298" s="1116"/>
    </row>
    <row r="299" spans="1:37" x14ac:dyDescent="0.35">
      <c r="A299" s="1116">
        <v>1989</v>
      </c>
      <c r="B299" s="1116"/>
      <c r="C299" s="1119">
        <f t="shared" si="24"/>
        <v>28.577999999999999</v>
      </c>
      <c r="D299" s="1119">
        <f>U299/1000</f>
        <v>60.66</v>
      </c>
      <c r="E299" s="1119">
        <f>T299/1000</f>
        <v>67.106999999999999</v>
      </c>
      <c r="F299" s="1139">
        <f>W299/1000</f>
        <v>2.2909999999999999</v>
      </c>
      <c r="G299" s="1116"/>
      <c r="H299" s="1139">
        <f t="shared" ref="H299:H327" si="26">SUM(C299:G299)</f>
        <v>158.636</v>
      </c>
      <c r="I299" s="1116"/>
      <c r="J299" s="1116"/>
      <c r="K299" s="1116"/>
      <c r="L299" s="1116"/>
      <c r="M299" s="1116"/>
      <c r="N299" s="1116"/>
      <c r="O299" s="1116"/>
      <c r="P299" s="1116"/>
      <c r="Q299" s="1139"/>
      <c r="R299" s="1139"/>
      <c r="S299" s="1117">
        <v>158637</v>
      </c>
      <c r="T299" s="1117">
        <v>67107</v>
      </c>
      <c r="U299" s="1117">
        <v>60660</v>
      </c>
      <c r="V299" s="1117">
        <v>28578</v>
      </c>
      <c r="W299" s="1117">
        <v>2291</v>
      </c>
      <c r="X299" s="1117">
        <v>0</v>
      </c>
      <c r="Y299" s="1117">
        <v>2.77</v>
      </c>
      <c r="Z299" s="1117">
        <v>5520</v>
      </c>
      <c r="AA299" s="1116"/>
      <c r="AB299" s="1116"/>
      <c r="AC299" s="1116"/>
      <c r="AD299" s="1116"/>
      <c r="AE299" s="1116"/>
      <c r="AF299" s="1140">
        <f t="shared" si="25"/>
        <v>118752.4005705</v>
      </c>
      <c r="AG299" s="1117">
        <f>'1.1.1 PrimEnLR'!B299*'3.1.1 CO2LR'!$AG$9*Units!$C$47/1000</f>
        <v>40825.498419000003</v>
      </c>
      <c r="AH299" s="1117">
        <f>'1.1.1 PrimEnLR'!C299*'3.1.1 CO2LR'!$AG$9*Units!$C$47/1000</f>
        <v>45933.711691500001</v>
      </c>
      <c r="AI299" s="1117">
        <f>'1.1.1 PrimEnLR'!D299*Units!$C$14*Units!$C$59/1000</f>
        <v>31993.190460000002</v>
      </c>
      <c r="AJ299" s="1116"/>
      <c r="AK299" s="1116"/>
    </row>
    <row r="300" spans="1:37" x14ac:dyDescent="0.35">
      <c r="A300" s="1116">
        <v>1990</v>
      </c>
      <c r="B300" s="1116"/>
      <c r="C300" s="1139">
        <f>K300/$D$9</f>
        <v>39.846243893663846</v>
      </c>
      <c r="D300" s="1139">
        <f>L300/$D$9</f>
        <v>53.966881559328804</v>
      </c>
      <c r="E300" s="1139">
        <f>M300/$D$9</f>
        <v>59.785668010283899</v>
      </c>
      <c r="F300" s="1139">
        <f>N300/$D$9</f>
        <v>4.0507321176293614</v>
      </c>
      <c r="G300" s="1139">
        <f>O300/$D$9</f>
        <v>4.9903382898099542</v>
      </c>
      <c r="H300" s="1139">
        <f t="shared" si="26"/>
        <v>162.63986387071586</v>
      </c>
      <c r="I300" s="1118">
        <f>'3.1.2 CO21'!B10/1000</f>
        <v>154.59087564401</v>
      </c>
      <c r="J300" s="1118"/>
      <c r="K300" s="1118">
        <v>146.10289427676744</v>
      </c>
      <c r="L300" s="1118">
        <v>197.87856571753895</v>
      </c>
      <c r="M300" s="1118">
        <v>219.21411603770761</v>
      </c>
      <c r="N300" s="1118">
        <v>14.852684431307656</v>
      </c>
      <c r="O300" s="1118">
        <v>18.297907062636497</v>
      </c>
      <c r="P300" s="1118">
        <v>596.34616752595821</v>
      </c>
      <c r="Q300" s="1139">
        <f>'3.1.2 CO21'!B10/1000*$D$9</f>
        <v>566.83321069470333</v>
      </c>
      <c r="R300" s="1139"/>
      <c r="S300" s="1117">
        <v>151602</v>
      </c>
      <c r="T300" s="1117">
        <v>64392</v>
      </c>
      <c r="U300" s="1117">
        <v>55729</v>
      </c>
      <c r="V300" s="1117">
        <v>29482</v>
      </c>
      <c r="W300" s="1117">
        <v>1999</v>
      </c>
      <c r="X300" s="1117">
        <v>0</v>
      </c>
      <c r="Y300" s="1117">
        <v>2.64</v>
      </c>
      <c r="Z300" s="1117">
        <v>7466</v>
      </c>
      <c r="AA300" s="1116"/>
      <c r="AB300" s="1116"/>
      <c r="AC300" s="1116"/>
      <c r="AD300" s="1141">
        <f t="shared" ref="AD300:AD326" si="27">Q300/$D$9</f>
        <v>154.59087564401</v>
      </c>
      <c r="AE300" s="1117">
        <v>154590.87564401</v>
      </c>
      <c r="AF300" s="1140">
        <f t="shared" si="25"/>
        <v>121138.92381483872</v>
      </c>
      <c r="AG300" s="1117">
        <f>'1.1.1 PrimEnLR'!B300*'3.1.1 CO2LR'!$AG$9*Units!$C$47/1000</f>
        <v>40788.945909000002</v>
      </c>
      <c r="AH300" s="1117">
        <f>'1.1.1 PrimEnLR'!C300*'3.1.1 CO2LR'!$AG$9*Units!$C$47/1000</f>
        <v>47005.74236583872</v>
      </c>
      <c r="AI300" s="1117">
        <f>'1.1.1 PrimEnLR'!D300*Units!$C$14*Units!$C$59/1000</f>
        <v>33344.235540000001</v>
      </c>
      <c r="AJ300" s="1116"/>
      <c r="AK300" s="1116"/>
    </row>
    <row r="301" spans="1:37" x14ac:dyDescent="0.35">
      <c r="A301" s="1116">
        <v>1991</v>
      </c>
      <c r="B301" s="1116"/>
      <c r="C301" s="1139">
        <f t="shared" ref="C301:C328" si="28">K301/$D$9</f>
        <v>42.068039486986159</v>
      </c>
      <c r="D301" s="1139">
        <f t="shared" ref="D301:D328" si="29">L301/$D$9</f>
        <v>53.865413849649599</v>
      </c>
      <c r="E301" s="1139">
        <f t="shared" ref="E301:E328" si="30">M301/$D$9</f>
        <v>60.434904829631876</v>
      </c>
      <c r="F301" s="1139">
        <f t="shared" ref="F301:F328" si="31">N301/$D$9</f>
        <v>3.8969371169800167</v>
      </c>
      <c r="G301" s="1139">
        <f t="shared" ref="G301:G328" si="32">O301/$D$9</f>
        <v>4.3590605012527606</v>
      </c>
      <c r="H301" s="1139">
        <f t="shared" si="26"/>
        <v>164.62435578450041</v>
      </c>
      <c r="I301" s="1118">
        <f>'3.1.2 CO21'!B11/1000</f>
        <v>157.48280188619</v>
      </c>
      <c r="J301" s="1118"/>
      <c r="K301" s="1118">
        <v>154.24947811894924</v>
      </c>
      <c r="L301" s="1118">
        <v>197.50651744871519</v>
      </c>
      <c r="M301" s="1118">
        <v>221.59465104198352</v>
      </c>
      <c r="N301" s="1118">
        <v>14.288769428926727</v>
      </c>
      <c r="O301" s="1118">
        <v>15.983221837926788</v>
      </c>
      <c r="P301" s="1118">
        <v>603.62263787650136</v>
      </c>
      <c r="Q301" s="1139">
        <f>'3.1.2 CO21'!B11/1000*$D$9</f>
        <v>577.43694024936337</v>
      </c>
      <c r="R301" s="1139"/>
      <c r="S301" s="1117">
        <v>154576</v>
      </c>
      <c r="T301" s="1117">
        <v>64544</v>
      </c>
      <c r="U301" s="1117">
        <v>56582</v>
      </c>
      <c r="V301" s="1117">
        <v>31778</v>
      </c>
      <c r="W301" s="1117">
        <v>1672</v>
      </c>
      <c r="X301" s="1117">
        <v>0</v>
      </c>
      <c r="Y301" s="1117">
        <v>2.68</v>
      </c>
      <c r="Z301" s="1117">
        <v>7092</v>
      </c>
      <c r="AA301" s="1116"/>
      <c r="AB301" s="1116"/>
      <c r="AC301" s="1116"/>
      <c r="AD301" s="1141">
        <f t="shared" si="27"/>
        <v>157.48280188619</v>
      </c>
      <c r="AE301" s="1117">
        <v>157482.80188618999</v>
      </c>
      <c r="AF301" s="1140">
        <f t="shared" si="25"/>
        <v>123914.61543389253</v>
      </c>
      <c r="AG301" s="1117">
        <f>'1.1.1 PrimEnLR'!B301*'3.1.1 CO2LR'!$AG$9*Units!$C$47/1000</f>
        <v>40857.786469500003</v>
      </c>
      <c r="AH301" s="1117">
        <f>'1.1.1 PrimEnLR'!C301*'3.1.1 CO2LR'!$AG$9*Units!$C$47/1000</f>
        <v>46992.750249001292</v>
      </c>
      <c r="AI301" s="1117">
        <f>'1.1.1 PrimEnLR'!D301*Units!$C$14*Units!$C$59/1000</f>
        <v>36064.078715391224</v>
      </c>
      <c r="AJ301" s="1116"/>
      <c r="AK301" s="1116"/>
    </row>
    <row r="302" spans="1:37" x14ac:dyDescent="0.35">
      <c r="A302" s="1116">
        <v>1992</v>
      </c>
      <c r="B302" s="1116"/>
      <c r="C302" s="1139">
        <f t="shared" si="28"/>
        <v>41.814774128448235</v>
      </c>
      <c r="D302" s="1139">
        <f t="shared" si="29"/>
        <v>53.632308966060478</v>
      </c>
      <c r="E302" s="1139">
        <f t="shared" si="30"/>
        <v>56.511845509917826</v>
      </c>
      <c r="F302" s="1139">
        <f t="shared" si="31"/>
        <v>4.1275021489825985</v>
      </c>
      <c r="G302" s="1139">
        <f t="shared" si="32"/>
        <v>4.0746516602367953</v>
      </c>
      <c r="H302" s="1139">
        <f t="shared" si="26"/>
        <v>160.16108241364591</v>
      </c>
      <c r="I302" s="1118">
        <f>'3.1.2 CO21'!B12/1000</f>
        <v>153.20677486028001</v>
      </c>
      <c r="J302" s="1118"/>
      <c r="K302" s="1118">
        <v>153.32083847097687</v>
      </c>
      <c r="L302" s="1118">
        <v>196.65179954222174</v>
      </c>
      <c r="M302" s="1118">
        <v>207.21010020303203</v>
      </c>
      <c r="N302" s="1118">
        <v>15.134174546269527</v>
      </c>
      <c r="O302" s="1118">
        <v>14.940389420868248</v>
      </c>
      <c r="P302" s="1118">
        <v>587.25730218336832</v>
      </c>
      <c r="Q302" s="1139">
        <f>'3.1.2 CO21'!B12/1000*$D$9</f>
        <v>561.75817448769328</v>
      </c>
      <c r="R302" s="1139"/>
      <c r="S302" s="1117">
        <v>151699</v>
      </c>
      <c r="T302" s="1117">
        <v>61331</v>
      </c>
      <c r="U302" s="1117">
        <v>57197</v>
      </c>
      <c r="V302" s="1117">
        <v>31675</v>
      </c>
      <c r="W302" s="1117">
        <v>1497</v>
      </c>
      <c r="X302" s="1117">
        <v>0</v>
      </c>
      <c r="Y302" s="1117">
        <v>2.63</v>
      </c>
      <c r="Z302" s="1117">
        <v>7538</v>
      </c>
      <c r="AA302" s="1116"/>
      <c r="AB302" s="1116"/>
      <c r="AC302" s="1116"/>
      <c r="AD302" s="1141">
        <f t="shared" si="27"/>
        <v>153.20677486027998</v>
      </c>
      <c r="AE302" s="1117">
        <v>153206.77486028001</v>
      </c>
      <c r="AF302" s="1140">
        <f t="shared" si="25"/>
        <v>121505.93963747012</v>
      </c>
      <c r="AG302" s="1117">
        <f>'1.1.1 PrimEnLR'!B302*'3.1.1 CO2LR'!$AG$9*Units!$C$47/1000</f>
        <v>38416.688009999998</v>
      </c>
      <c r="AH302" s="1117">
        <f>'1.1.1 PrimEnLR'!C302*'3.1.1 CO2LR'!$AG$9*Units!$C$47/1000</f>
        <v>47209.038027470117</v>
      </c>
      <c r="AI302" s="1117">
        <f>'1.1.1 PrimEnLR'!D302*Units!$C$14*Units!$C$59/1000</f>
        <v>35880.213600000003</v>
      </c>
      <c r="AJ302" s="1116"/>
      <c r="AK302" s="1116"/>
    </row>
    <row r="303" spans="1:37" x14ac:dyDescent="0.35">
      <c r="A303" s="1116">
        <v>1993</v>
      </c>
      <c r="B303" s="1116"/>
      <c r="C303" s="1139">
        <f t="shared" si="28"/>
        <v>46.00607433007518</v>
      </c>
      <c r="D303" s="1139">
        <f t="shared" si="29"/>
        <v>53.550537353705565</v>
      </c>
      <c r="E303" s="1139">
        <f t="shared" si="30"/>
        <v>48.518638785843727</v>
      </c>
      <c r="F303" s="1139">
        <f t="shared" si="31"/>
        <v>4.1722638534425771</v>
      </c>
      <c r="G303" s="1139">
        <f t="shared" si="32"/>
        <v>3.9694665753053093</v>
      </c>
      <c r="H303" s="1139">
        <f t="shared" si="26"/>
        <v>156.21698089837238</v>
      </c>
      <c r="I303" s="1118">
        <f>'3.1.2 CO21'!B13/1000</f>
        <v>149.47191295622002</v>
      </c>
      <c r="J303" s="1118"/>
      <c r="K303" s="1118">
        <v>168.68893921027566</v>
      </c>
      <c r="L303" s="1118">
        <v>196.3519702969204</v>
      </c>
      <c r="M303" s="1118">
        <v>177.90167554809366</v>
      </c>
      <c r="N303" s="1118">
        <v>15.298300795956115</v>
      </c>
      <c r="O303" s="1118">
        <v>14.554710776119467</v>
      </c>
      <c r="P303" s="1118">
        <v>572.79559662736528</v>
      </c>
      <c r="Q303" s="1139">
        <f>'3.1.2 CO21'!B13/1000*$D$9</f>
        <v>548.06368083947336</v>
      </c>
      <c r="R303" s="1139"/>
      <c r="S303" s="1117">
        <v>148817</v>
      </c>
      <c r="T303" s="1117">
        <v>53802</v>
      </c>
      <c r="U303" s="1117">
        <v>56146</v>
      </c>
      <c r="V303" s="1117">
        <v>36087</v>
      </c>
      <c r="W303" s="1117">
        <v>1501</v>
      </c>
      <c r="X303" s="1117">
        <v>1281</v>
      </c>
      <c r="Y303" s="1117">
        <v>2.57</v>
      </c>
      <c r="Z303" s="1117">
        <v>7834</v>
      </c>
      <c r="AA303" s="1116"/>
      <c r="AB303" s="1116"/>
      <c r="AC303" s="1116"/>
      <c r="AD303" s="1141">
        <f t="shared" si="27"/>
        <v>149.47191295622002</v>
      </c>
      <c r="AE303" s="1117">
        <v>149471.91295622001</v>
      </c>
      <c r="AF303" s="1140">
        <f t="shared" si="25"/>
        <v>122054.42486599894</v>
      </c>
      <c r="AG303" s="1117">
        <f>'1.1.1 PrimEnLR'!B303*'3.1.1 CO2LR'!$AG$9*Units!$C$47/1000</f>
        <v>33453.466360500002</v>
      </c>
      <c r="AH303" s="1117">
        <f>'1.1.1 PrimEnLR'!C303*'3.1.1 CO2LR'!$AG$9*Units!$C$47/1000</f>
        <v>47595.105728198861</v>
      </c>
      <c r="AI303" s="1117">
        <f>'1.1.1 PrimEnLR'!D303*Units!$C$14*Units!$C$59/1000</f>
        <v>41005.852777300082</v>
      </c>
      <c r="AJ303" s="1116"/>
      <c r="AK303" s="1116"/>
    </row>
    <row r="304" spans="1:37" x14ac:dyDescent="0.35">
      <c r="A304" s="1116">
        <v>1994</v>
      </c>
      <c r="B304" s="1116"/>
      <c r="C304" s="1139">
        <f t="shared" si="28"/>
        <v>48.959464278232907</v>
      </c>
      <c r="D304" s="1139">
        <f t="shared" si="29"/>
        <v>52.575125370787639</v>
      </c>
      <c r="E304" s="1139">
        <f t="shared" si="30"/>
        <v>45.257791721050829</v>
      </c>
      <c r="F304" s="1139">
        <f t="shared" si="31"/>
        <v>3.8616776349372803</v>
      </c>
      <c r="G304" s="1139">
        <f t="shared" si="32"/>
        <v>4.4623250809665729</v>
      </c>
      <c r="H304" s="1139">
        <f t="shared" si="26"/>
        <v>155.11638408597523</v>
      </c>
      <c r="I304" s="1118">
        <f>'3.1.2 CO21'!B14/1000</f>
        <v>147.73117439439</v>
      </c>
      <c r="J304" s="1118"/>
      <c r="K304" s="1118">
        <v>179.51803568685398</v>
      </c>
      <c r="L304" s="1118">
        <v>192.77545969288801</v>
      </c>
      <c r="M304" s="1118">
        <v>165.9452363105197</v>
      </c>
      <c r="N304" s="1118">
        <v>14.159484661436695</v>
      </c>
      <c r="O304" s="1118">
        <v>16.361858630210765</v>
      </c>
      <c r="P304" s="1118">
        <v>568.76007498190927</v>
      </c>
      <c r="Q304" s="1139">
        <f>'3.1.2 CO21'!B14/1000*$D$9</f>
        <v>541.68097277942991</v>
      </c>
      <c r="R304" s="1139"/>
      <c r="S304" s="1117">
        <v>149097</v>
      </c>
      <c r="T304" s="1117">
        <v>50668</v>
      </c>
      <c r="U304" s="1117">
        <v>57442</v>
      </c>
      <c r="V304" s="1117">
        <v>37611</v>
      </c>
      <c r="W304" s="1117">
        <v>1674</v>
      </c>
      <c r="X304" s="1117">
        <v>1703</v>
      </c>
      <c r="Y304" s="1117">
        <v>2.57</v>
      </c>
      <c r="Z304" s="1117">
        <v>7829</v>
      </c>
      <c r="AA304" s="1116"/>
      <c r="AB304" s="1116"/>
      <c r="AC304" s="1116"/>
      <c r="AD304" s="1141">
        <f t="shared" si="27"/>
        <v>147.73117439438997</v>
      </c>
      <c r="AE304" s="1117">
        <v>147731.17439438999</v>
      </c>
      <c r="AF304" s="1140">
        <f t="shared" si="25"/>
        <v>120190.84122916166</v>
      </c>
      <c r="AG304" s="1117">
        <f>'1.1.1 PrimEnLR'!B304*'3.1.1 CO2LR'!$AG$9*Units!$C$47/1000</f>
        <v>31235.338211999999</v>
      </c>
      <c r="AH304" s="1117">
        <f>'1.1.1 PrimEnLR'!C304*'3.1.1 CO2LR'!$AG$9*Units!$C$47/1000</f>
        <v>46706.519072191746</v>
      </c>
      <c r="AI304" s="1117">
        <f>'1.1.1 PrimEnLR'!D304*Units!$C$14*Units!$C$59/1000</f>
        <v>42248.983944969899</v>
      </c>
      <c r="AJ304" s="1116"/>
      <c r="AK304" s="1116"/>
    </row>
    <row r="305" spans="1:37" x14ac:dyDescent="0.35">
      <c r="A305" s="1116">
        <v>1995</v>
      </c>
      <c r="B305" s="1116"/>
      <c r="C305" s="1139">
        <f t="shared" si="28"/>
        <v>51.416872354862427</v>
      </c>
      <c r="D305" s="1139">
        <f t="shared" si="29"/>
        <v>51.046548409823401</v>
      </c>
      <c r="E305" s="1139">
        <f t="shared" si="30"/>
        <v>41.498686554792663</v>
      </c>
      <c r="F305" s="1139">
        <f t="shared" si="31"/>
        <v>3.9385460510621524</v>
      </c>
      <c r="G305" s="1139">
        <f t="shared" si="32"/>
        <v>4.8673804794591469</v>
      </c>
      <c r="H305" s="1139">
        <f t="shared" si="26"/>
        <v>152.7680338499998</v>
      </c>
      <c r="I305" s="1118">
        <f>'3.1.2 CO21'!B15/1000</f>
        <v>144.88847705389</v>
      </c>
      <c r="J305" s="1118"/>
      <c r="K305" s="1118">
        <v>188.52853196782888</v>
      </c>
      <c r="L305" s="1118">
        <v>187.17067750268581</v>
      </c>
      <c r="M305" s="1118">
        <v>152.16185070090643</v>
      </c>
      <c r="N305" s="1118">
        <v>14.441335520561225</v>
      </c>
      <c r="O305" s="1118">
        <v>17.847061758016871</v>
      </c>
      <c r="P305" s="1118">
        <v>560.14945744999909</v>
      </c>
      <c r="Q305" s="1139">
        <f>'3.1.2 CO21'!B15/1000*$D$9</f>
        <v>531.2577491975967</v>
      </c>
      <c r="R305" s="1139"/>
      <c r="S305" s="1117">
        <v>146746</v>
      </c>
      <c r="T305" s="1117">
        <v>47940</v>
      </c>
      <c r="U305" s="1117">
        <v>55268</v>
      </c>
      <c r="V305" s="1117">
        <v>40672</v>
      </c>
      <c r="W305" s="1117">
        <v>1605</v>
      </c>
      <c r="X305" s="1117">
        <v>1261</v>
      </c>
      <c r="Y305" s="1117">
        <v>2.52</v>
      </c>
      <c r="Z305" s="1117">
        <v>8264</v>
      </c>
      <c r="AA305" s="1116"/>
      <c r="AB305" s="1116"/>
      <c r="AC305" s="1116"/>
      <c r="AD305" s="1141">
        <f t="shared" si="27"/>
        <v>144.88847705389</v>
      </c>
      <c r="AE305" s="1117">
        <v>144888.47705389</v>
      </c>
      <c r="AF305" s="1140">
        <f t="shared" si="25"/>
        <v>120853.98399765082</v>
      </c>
      <c r="AG305" s="1117">
        <f>'1.1.1 PrimEnLR'!B305*'3.1.1 CO2LR'!$AG$9*Units!$C$47/1000</f>
        <v>29804.916654000001</v>
      </c>
      <c r="AH305" s="1117">
        <f>'1.1.1 PrimEnLR'!C305*'3.1.1 CO2LR'!$AG$9*Units!$C$47/1000</f>
        <v>45947.352223650822</v>
      </c>
      <c r="AI305" s="1117">
        <f>'1.1.1 PrimEnLR'!D305*Units!$C$14*Units!$C$59/1000</f>
        <v>45101.715120000008</v>
      </c>
      <c r="AJ305" s="1116"/>
      <c r="AK305" s="1116"/>
    </row>
    <row r="306" spans="1:37" x14ac:dyDescent="0.35">
      <c r="A306" s="1116">
        <v>1996</v>
      </c>
      <c r="B306" s="1116"/>
      <c r="C306" s="1139">
        <f t="shared" si="28"/>
        <v>58.602562333597028</v>
      </c>
      <c r="D306" s="1139">
        <f t="shared" si="29"/>
        <v>52.0624217669464</v>
      </c>
      <c r="E306" s="1139">
        <f t="shared" si="30"/>
        <v>38.702167877078203</v>
      </c>
      <c r="F306" s="1139">
        <f t="shared" si="31"/>
        <v>4.1767946838936423</v>
      </c>
      <c r="G306" s="1139">
        <f t="shared" si="32"/>
        <v>4.8863275512480566</v>
      </c>
      <c r="H306" s="1139">
        <f t="shared" si="26"/>
        <v>158.43027421276332</v>
      </c>
      <c r="I306" s="1118">
        <f>'3.1.2 CO21'!B16/1000</f>
        <v>150.44461157730998</v>
      </c>
      <c r="J306" s="1118"/>
      <c r="K306" s="1118">
        <v>214.87606188985575</v>
      </c>
      <c r="L306" s="1118">
        <v>190.89554647880345</v>
      </c>
      <c r="M306" s="1118">
        <v>141.90794888262008</v>
      </c>
      <c r="N306" s="1118">
        <v>15.314913840943355</v>
      </c>
      <c r="O306" s="1118">
        <v>17.916534354576207</v>
      </c>
      <c r="P306" s="1118">
        <v>580.91100544679887</v>
      </c>
      <c r="Q306" s="1139">
        <f>'3.1.2 CO21'!B16/1000*$D$9</f>
        <v>551.63024245013662</v>
      </c>
      <c r="R306" s="1139"/>
      <c r="S306" s="1117">
        <v>150378</v>
      </c>
      <c r="T306" s="1117">
        <v>45003</v>
      </c>
      <c r="U306" s="1117">
        <v>54929</v>
      </c>
      <c r="V306" s="1117">
        <v>47444</v>
      </c>
      <c r="W306" s="1117">
        <v>1661</v>
      </c>
      <c r="X306" s="1117">
        <v>1340</v>
      </c>
      <c r="Y306" s="1117">
        <v>2.58</v>
      </c>
      <c r="Z306" s="1117">
        <v>8748</v>
      </c>
      <c r="AA306" s="1116"/>
      <c r="AB306" s="1116"/>
      <c r="AC306" s="1116"/>
      <c r="AD306" s="1141">
        <f t="shared" si="27"/>
        <v>150.44461157730998</v>
      </c>
      <c r="AE306" s="1117">
        <v>150444.61157730999</v>
      </c>
      <c r="AF306" s="1140">
        <f t="shared" si="25"/>
        <v>128026.24204523204</v>
      </c>
      <c r="AG306" s="1117">
        <f>'1.1.1 PrimEnLR'!B306*'3.1.1 CO2LR'!$AG$9*Units!$C$47/1000</f>
        <v>27863.798612059963</v>
      </c>
      <c r="AH306" s="1117">
        <f>'1.1.1 PrimEnLR'!C306*'3.1.1 CO2LR'!$AG$9*Units!$C$47/1000</f>
        <v>47407.982772055126</v>
      </c>
      <c r="AI306" s="1117">
        <f>'1.1.1 PrimEnLR'!D306*Units!$C$14*Units!$C$59/1000</f>
        <v>52754.460661116937</v>
      </c>
      <c r="AJ306" s="1116"/>
      <c r="AK306" s="1116"/>
    </row>
    <row r="307" spans="1:37" x14ac:dyDescent="0.35">
      <c r="A307" s="1116">
        <v>1997</v>
      </c>
      <c r="B307" s="1116"/>
      <c r="C307" s="1139">
        <f t="shared" si="28"/>
        <v>59.428999236764305</v>
      </c>
      <c r="D307" s="1139">
        <f t="shared" si="29"/>
        <v>49.960607640891304</v>
      </c>
      <c r="E307" s="1139">
        <f t="shared" si="30"/>
        <v>33.93101008177338</v>
      </c>
      <c r="F307" s="1139">
        <f t="shared" si="31"/>
        <v>3.7232054018208922</v>
      </c>
      <c r="G307" s="1139">
        <f t="shared" si="32"/>
        <v>4.0779370634969254</v>
      </c>
      <c r="H307" s="1139">
        <f t="shared" si="26"/>
        <v>151.12175942474684</v>
      </c>
      <c r="I307" s="1118">
        <f>'3.1.2 CO21'!B17/1000</f>
        <v>144.59253485308</v>
      </c>
      <c r="J307" s="1118"/>
      <c r="K307" s="1118">
        <v>217.90633053480244</v>
      </c>
      <c r="L307" s="1118">
        <v>183.1888946832681</v>
      </c>
      <c r="M307" s="1118">
        <v>124.41370363316906</v>
      </c>
      <c r="N307" s="1118">
        <v>13.651753140009937</v>
      </c>
      <c r="O307" s="1118">
        <v>14.952435899488727</v>
      </c>
      <c r="P307" s="1118">
        <v>554.11311789073829</v>
      </c>
      <c r="Q307" s="1139">
        <f>'3.1.2 CO21'!B17/1000*$D$9</f>
        <v>530.17262779462658</v>
      </c>
      <c r="R307" s="1139"/>
      <c r="S307" s="1117">
        <v>143808</v>
      </c>
      <c r="T307" s="1117">
        <v>40673</v>
      </c>
      <c r="U307" s="1117">
        <v>52677</v>
      </c>
      <c r="V307" s="1117">
        <v>47605</v>
      </c>
      <c r="W307" s="1117">
        <v>1719</v>
      </c>
      <c r="X307" s="1117">
        <v>1134</v>
      </c>
      <c r="Y307" s="1117">
        <v>2.46</v>
      </c>
      <c r="Z307" s="1117">
        <v>9291</v>
      </c>
      <c r="AA307" s="1116"/>
      <c r="AB307" s="1116"/>
      <c r="AC307" s="1116"/>
      <c r="AD307" s="1141">
        <f t="shared" si="27"/>
        <v>144.59253485307997</v>
      </c>
      <c r="AE307" s="1117">
        <v>144592.53485308</v>
      </c>
      <c r="AF307" s="1140">
        <f t="shared" si="25"/>
        <v>125251.6335556312</v>
      </c>
      <c r="AG307" s="1117">
        <f>'1.1.1 PrimEnLR'!B307*'3.1.1 CO2LR'!$AG$9*Units!$C$47/1000</f>
        <v>24850.742059103744</v>
      </c>
      <c r="AH307" s="1117">
        <f>'1.1.1 PrimEnLR'!C307*'3.1.1 CO2LR'!$AG$9*Units!$C$47/1000</f>
        <v>45985.052380413945</v>
      </c>
      <c r="AI307" s="1117">
        <f>'1.1.1 PrimEnLR'!D307*Units!$C$14*Units!$C$59/1000</f>
        <v>54415.839116113508</v>
      </c>
      <c r="AJ307" s="1116"/>
      <c r="AK307" s="1116"/>
    </row>
    <row r="308" spans="1:37" x14ac:dyDescent="0.35">
      <c r="A308" s="1116">
        <v>1998</v>
      </c>
      <c r="B308" s="1116"/>
      <c r="C308" s="1139">
        <f t="shared" si="28"/>
        <v>61.06934842533736</v>
      </c>
      <c r="D308" s="1139">
        <f t="shared" si="29"/>
        <v>49.312749343454158</v>
      </c>
      <c r="E308" s="1139">
        <f t="shared" si="30"/>
        <v>34.21024988088805</v>
      </c>
      <c r="F308" s="1139">
        <f t="shared" si="31"/>
        <v>3.6623509735277424</v>
      </c>
      <c r="G308" s="1139">
        <f t="shared" si="32"/>
        <v>4.0310404641113946</v>
      </c>
      <c r="H308" s="1139">
        <f t="shared" si="26"/>
        <v>152.28573908731869</v>
      </c>
      <c r="I308" s="1118">
        <f>'3.1.2 CO21'!B18/1000</f>
        <v>146.16358357339001</v>
      </c>
      <c r="J308" s="1118"/>
      <c r="K308" s="1118">
        <v>223.92094422623697</v>
      </c>
      <c r="L308" s="1118">
        <v>180.81341425933189</v>
      </c>
      <c r="M308" s="1118">
        <v>125.43758289658952</v>
      </c>
      <c r="N308" s="1118">
        <v>13.428620236268388</v>
      </c>
      <c r="O308" s="1118">
        <v>14.780481701741779</v>
      </c>
      <c r="P308" s="1118">
        <v>558.3810433201686</v>
      </c>
      <c r="Q308" s="1139">
        <f>'3.1.2 CO21'!B18/1000*$D$9</f>
        <v>535.93313976909667</v>
      </c>
      <c r="R308" s="1139"/>
      <c r="S308" s="1117">
        <v>145052</v>
      </c>
      <c r="T308" s="1117">
        <v>39770</v>
      </c>
      <c r="U308" s="1117">
        <v>52760</v>
      </c>
      <c r="V308" s="1117">
        <v>49578</v>
      </c>
      <c r="W308" s="1117">
        <v>1688</v>
      </c>
      <c r="X308" s="1117">
        <v>1256</v>
      </c>
      <c r="Y308" s="1117">
        <v>2.4700000000000002</v>
      </c>
      <c r="Z308" s="1117">
        <v>10060</v>
      </c>
      <c r="AA308" s="1116"/>
      <c r="AB308" s="1116"/>
      <c r="AC308" s="1116"/>
      <c r="AD308" s="1141">
        <f t="shared" si="27"/>
        <v>146.16358357339001</v>
      </c>
      <c r="AE308" s="1117">
        <v>146163.58357339</v>
      </c>
      <c r="AF308" s="1140">
        <f t="shared" si="25"/>
        <v>127746.78569970888</v>
      </c>
      <c r="AG308" s="1117">
        <f>'1.1.1 PrimEnLR'!B308*'3.1.1 CO2LR'!$AG$9*Units!$C$47/1000</f>
        <v>24959.309695107582</v>
      </c>
      <c r="AH308" s="1117">
        <f>'1.1.1 PrimEnLR'!C308*'3.1.1 CO2LR'!$AG$9*Units!$C$47/1000</f>
        <v>45908.035753526492</v>
      </c>
      <c r="AI308" s="1117">
        <f>'1.1.1 PrimEnLR'!D308*Units!$C$14*Units!$C$59/1000</f>
        <v>56879.440251074811</v>
      </c>
      <c r="AJ308" s="1116"/>
      <c r="AK308" s="1116"/>
    </row>
    <row r="309" spans="1:37" x14ac:dyDescent="0.35">
      <c r="A309" s="1116">
        <v>1999</v>
      </c>
      <c r="B309" s="1116"/>
      <c r="C309" s="1139">
        <f t="shared" si="28"/>
        <v>65.167098738711516</v>
      </c>
      <c r="D309" s="1139">
        <f t="shared" si="29"/>
        <v>48.577382764787892</v>
      </c>
      <c r="E309" s="1139">
        <f t="shared" si="30"/>
        <v>29.54307754308519</v>
      </c>
      <c r="F309" s="1139">
        <f t="shared" si="31"/>
        <v>3.5082052518893039</v>
      </c>
      <c r="G309" s="1139">
        <f t="shared" si="32"/>
        <v>3.7457404162995376</v>
      </c>
      <c r="H309" s="1139">
        <f t="shared" si="26"/>
        <v>150.54150471477342</v>
      </c>
      <c r="I309" s="1118">
        <f>'3.1.2 CO21'!B19/1000</f>
        <v>144.54129303729999</v>
      </c>
      <c r="J309" s="1118"/>
      <c r="K309" s="1118">
        <v>238.94602870860888</v>
      </c>
      <c r="L309" s="1118">
        <v>178.1170701375556</v>
      </c>
      <c r="M309" s="1118">
        <v>108.32461765797902</v>
      </c>
      <c r="N309" s="1118">
        <v>12.863419256927447</v>
      </c>
      <c r="O309" s="1118">
        <v>13.734381526431637</v>
      </c>
      <c r="P309" s="1118">
        <v>551.98551728750272</v>
      </c>
      <c r="Q309" s="1139">
        <f>'3.1.2 CO21'!B19/1000*$D$9</f>
        <v>529.98474113676662</v>
      </c>
      <c r="R309" s="1139"/>
      <c r="S309" s="1117">
        <v>144788</v>
      </c>
      <c r="T309" s="1117">
        <v>35514</v>
      </c>
      <c r="U309" s="1117">
        <v>53631</v>
      </c>
      <c r="V309" s="1117">
        <v>52588</v>
      </c>
      <c r="W309" s="1117">
        <v>1727</v>
      </c>
      <c r="X309" s="1117">
        <v>1328</v>
      </c>
      <c r="Y309" s="1117">
        <v>2.46</v>
      </c>
      <c r="Z309" s="1117">
        <v>9981</v>
      </c>
      <c r="AA309" s="1116"/>
      <c r="AB309" s="1116"/>
      <c r="AC309" s="1116"/>
      <c r="AD309" s="1141">
        <f t="shared" si="27"/>
        <v>144.54129303729999</v>
      </c>
      <c r="AE309" s="1117">
        <v>144541.2930373</v>
      </c>
      <c r="AF309" s="1140">
        <f t="shared" si="25"/>
        <v>128754.14049075462</v>
      </c>
      <c r="AG309" s="1117">
        <f>'1.1.1 PrimEnLR'!B309*'3.1.1 CO2LR'!$AG$9*Units!$C$47/1000</f>
        <v>21927.059122822033</v>
      </c>
      <c r="AH309" s="1117">
        <f>'1.1.1 PrimEnLR'!C309*'3.1.1 CO2LR'!$AG$9*Units!$C$47/1000</f>
        <v>46563.337778938629</v>
      </c>
      <c r="AI309" s="1117">
        <f>'1.1.1 PrimEnLR'!D309*Units!$C$14*Units!$C$59/1000</f>
        <v>60263.743588993973</v>
      </c>
      <c r="AJ309" s="1116"/>
      <c r="AK309" s="1116"/>
    </row>
    <row r="310" spans="1:37" x14ac:dyDescent="0.35">
      <c r="A310" s="1116">
        <v>2000</v>
      </c>
      <c r="B310" s="1116"/>
      <c r="C310" s="1139">
        <f t="shared" si="28"/>
        <v>65.863612973585049</v>
      </c>
      <c r="D310" s="1139">
        <f t="shared" si="29"/>
        <v>47.618144420908493</v>
      </c>
      <c r="E310" s="1139">
        <f t="shared" si="30"/>
        <v>31.897368604691238</v>
      </c>
      <c r="F310" s="1139">
        <f t="shared" si="31"/>
        <v>3.4864186427643897</v>
      </c>
      <c r="G310" s="1139">
        <f t="shared" si="32"/>
        <v>3.405293279772132</v>
      </c>
      <c r="H310" s="1139">
        <f t="shared" si="26"/>
        <v>152.27083792172132</v>
      </c>
      <c r="I310" s="1118">
        <f>'3.1.2 CO21'!B20/1000</f>
        <v>146.87014790646001</v>
      </c>
      <c r="J310" s="1118"/>
      <c r="K310" s="1118">
        <v>241.4999142364785</v>
      </c>
      <c r="L310" s="1118">
        <v>174.59986287666447</v>
      </c>
      <c r="M310" s="1118">
        <v>116.9570182172012</v>
      </c>
      <c r="N310" s="1118">
        <v>12.783535023469428</v>
      </c>
      <c r="O310" s="1118">
        <v>12.486075359164484</v>
      </c>
      <c r="P310" s="1118">
        <v>558.32640571297804</v>
      </c>
      <c r="Q310" s="1139">
        <f>'3.1.2 CO21'!B20/1000*$D$9</f>
        <v>538.52387565701997</v>
      </c>
      <c r="R310" s="1139"/>
      <c r="S310" s="1117">
        <v>147746</v>
      </c>
      <c r="T310" s="1117">
        <v>37464</v>
      </c>
      <c r="U310" s="1117">
        <v>52884</v>
      </c>
      <c r="V310" s="1117">
        <v>54588</v>
      </c>
      <c r="W310" s="1117">
        <v>1727</v>
      </c>
      <c r="X310" s="1117">
        <v>1083</v>
      </c>
      <c r="Y310" s="1117">
        <v>2.5</v>
      </c>
      <c r="Z310" s="1117">
        <v>10466</v>
      </c>
      <c r="AA310" s="1116"/>
      <c r="AB310" s="1116"/>
      <c r="AC310" s="1116"/>
      <c r="AD310" s="1141">
        <f t="shared" si="27"/>
        <v>146.87014790646001</v>
      </c>
      <c r="AE310" s="1117">
        <v>146870.14790646001</v>
      </c>
      <c r="AF310" s="1140">
        <f t="shared" si="25"/>
        <v>132668.1399677569</v>
      </c>
      <c r="AG310" s="1117">
        <f>'1.1.1 PrimEnLR'!B310*'3.1.1 CO2LR'!$AG$9*Units!$C$47/1000</f>
        <v>23479.419327373646</v>
      </c>
      <c r="AH310" s="1117">
        <f>'1.1.1 PrimEnLR'!C310*'3.1.1 CO2LR'!$AG$9*Units!$C$47/1000</f>
        <v>46738.547154570711</v>
      </c>
      <c r="AI310" s="1117">
        <f>'1.1.1 PrimEnLR'!D310*Units!$C$14*Units!$C$59/1000</f>
        <v>62450.173485812549</v>
      </c>
      <c r="AJ310" s="1116"/>
      <c r="AK310" s="1116"/>
    </row>
    <row r="311" spans="1:37" x14ac:dyDescent="0.35">
      <c r="A311" s="1116">
        <v>2001</v>
      </c>
      <c r="B311" s="1116"/>
      <c r="C311" s="1139">
        <f t="shared" si="28"/>
        <v>64.934619959485232</v>
      </c>
      <c r="D311" s="1139">
        <f t="shared" si="29"/>
        <v>48.307350149139474</v>
      </c>
      <c r="E311" s="1139">
        <f t="shared" si="30"/>
        <v>35.257420332077764</v>
      </c>
      <c r="F311" s="1139">
        <f t="shared" si="31"/>
        <v>2.9577567030321004</v>
      </c>
      <c r="G311" s="1139">
        <f t="shared" si="32"/>
        <v>3.0908298889844827</v>
      </c>
      <c r="H311" s="1139">
        <f t="shared" si="26"/>
        <v>154.54797703271905</v>
      </c>
      <c r="I311" s="1118">
        <f>'3.1.2 CO21'!B21/1000</f>
        <v>149.70712714234</v>
      </c>
      <c r="J311" s="1118"/>
      <c r="K311" s="1118">
        <v>238.09360651811249</v>
      </c>
      <c r="L311" s="1118">
        <v>177.12695054684474</v>
      </c>
      <c r="M311" s="1118">
        <v>129.27720788428513</v>
      </c>
      <c r="N311" s="1118">
        <v>10.845107911117701</v>
      </c>
      <c r="O311" s="1118">
        <v>11.333042926276436</v>
      </c>
      <c r="P311" s="1118">
        <v>566.67591578663644</v>
      </c>
      <c r="Q311" s="1139">
        <f>'3.1.2 CO21'!B21/1000*$D$9</f>
        <v>548.92613285524669</v>
      </c>
      <c r="R311" s="1139"/>
      <c r="S311" s="1117">
        <v>148858</v>
      </c>
      <c r="T311" s="1117">
        <v>39925</v>
      </c>
      <c r="U311" s="1117">
        <v>51920</v>
      </c>
      <c r="V311" s="1117">
        <v>54119</v>
      </c>
      <c r="W311" s="1117">
        <v>1612</v>
      </c>
      <c r="X311" s="1117">
        <v>1280</v>
      </c>
      <c r="Y311" s="1117">
        <v>2.5099999999999998</v>
      </c>
      <c r="Z311" s="1117">
        <v>10428</v>
      </c>
      <c r="AA311" s="1116"/>
      <c r="AB311" s="1116"/>
      <c r="AC311" s="1116"/>
      <c r="AD311" s="1141">
        <f t="shared" si="27"/>
        <v>149.70712714234</v>
      </c>
      <c r="AE311" s="1117">
        <v>149707.12714234</v>
      </c>
      <c r="AF311" s="1140">
        <f t="shared" si="25"/>
        <v>133308.3145554089</v>
      </c>
      <c r="AG311" s="1117">
        <f>'1.1.1 PrimEnLR'!B311*'3.1.1 CO2LR'!$AG$9*Units!$C$47/1000</f>
        <v>24842.221011266793</v>
      </c>
      <c r="AH311" s="1117">
        <f>'1.1.1 PrimEnLR'!C311*'3.1.1 CO2LR'!$AG$9*Units!$C$47/1000</f>
        <v>46216.387141734536</v>
      </c>
      <c r="AI311" s="1117">
        <f>'1.1.1 PrimEnLR'!D311*Units!$C$14*Units!$C$59/1000</f>
        <v>62249.706402407566</v>
      </c>
      <c r="AJ311" s="1116"/>
      <c r="AK311" s="1116"/>
    </row>
    <row r="312" spans="1:37" x14ac:dyDescent="0.35">
      <c r="A312" s="1116">
        <v>2002</v>
      </c>
      <c r="B312" s="1116"/>
      <c r="C312" s="1139">
        <f t="shared" si="28"/>
        <v>63.702897851522721</v>
      </c>
      <c r="D312" s="1139">
        <f t="shared" si="29"/>
        <v>47.323800741916926</v>
      </c>
      <c r="E312" s="1139">
        <f t="shared" si="30"/>
        <v>32.917144407667088</v>
      </c>
      <c r="F312" s="1139">
        <f t="shared" si="31"/>
        <v>3.2134125338338539</v>
      </c>
      <c r="G312" s="1139">
        <f t="shared" si="32"/>
        <v>2.7936773493615572</v>
      </c>
      <c r="H312" s="1139">
        <f t="shared" si="26"/>
        <v>149.95093288430215</v>
      </c>
      <c r="I312" s="1118">
        <f>'3.1.2 CO21'!B22/1000</f>
        <v>145.57643350000001</v>
      </c>
      <c r="J312" s="1118"/>
      <c r="K312" s="1118">
        <v>233.57729212224996</v>
      </c>
      <c r="L312" s="1118">
        <v>173.52060272036206</v>
      </c>
      <c r="M312" s="1118">
        <v>120.696196161446</v>
      </c>
      <c r="N312" s="1118">
        <v>11.782512624057464</v>
      </c>
      <c r="O312" s="1118">
        <v>10.24348361432571</v>
      </c>
      <c r="P312" s="1118">
        <v>549.82008724244122</v>
      </c>
      <c r="Q312" s="1139">
        <f>'3.1.2 CO21'!B22/1000*$D$9</f>
        <v>533.78025616666662</v>
      </c>
      <c r="R312" s="1139"/>
      <c r="S312" s="1117">
        <v>144162</v>
      </c>
      <c r="T312" s="1117">
        <v>36741</v>
      </c>
      <c r="U312" s="1117">
        <v>51135</v>
      </c>
      <c r="V312" s="1117">
        <v>53623</v>
      </c>
      <c r="W312" s="1117">
        <v>1508</v>
      </c>
      <c r="X312" s="1117">
        <v>1155</v>
      </c>
      <c r="Y312" s="1117">
        <v>2.42</v>
      </c>
      <c r="Z312" s="1117">
        <v>10091</v>
      </c>
      <c r="AA312" s="1116"/>
      <c r="AB312" s="1116"/>
      <c r="AC312" s="1116"/>
      <c r="AD312" s="1141">
        <f t="shared" si="27"/>
        <v>145.57643349999998</v>
      </c>
      <c r="AE312" s="1117">
        <v>145576.43350000001</v>
      </c>
      <c r="AF312" s="1140">
        <f t="shared" si="25"/>
        <v>129178.59869058547</v>
      </c>
      <c r="AG312" s="1117">
        <f>'1.1.1 PrimEnLR'!B312*'3.1.1 CO2LR'!$AG$9*Units!$C$47/1000</f>
        <v>22966.808889676515</v>
      </c>
      <c r="AH312" s="1117">
        <f>'1.1.1 PrimEnLR'!C312*'3.1.1 CO2LR'!$AG$9*Units!$C$47/1000</f>
        <v>44764.847924726673</v>
      </c>
      <c r="AI312" s="1117">
        <f>'1.1.1 PrimEnLR'!D312*Units!$C$14*Units!$C$59/1000</f>
        <v>61446.941876182274</v>
      </c>
      <c r="AJ312" s="1116"/>
      <c r="AK312" s="1116"/>
    </row>
    <row r="313" spans="1:37" x14ac:dyDescent="0.35">
      <c r="A313" s="1116">
        <v>2003</v>
      </c>
      <c r="B313" s="1116"/>
      <c r="C313" s="1139">
        <f t="shared" si="28"/>
        <v>64.820127349485986</v>
      </c>
      <c r="D313" s="1139">
        <f t="shared" si="29"/>
        <v>46.902991695037564</v>
      </c>
      <c r="E313" s="1139">
        <f t="shared" si="30"/>
        <v>35.39016025633935</v>
      </c>
      <c r="F313" s="1139">
        <f t="shared" si="31"/>
        <v>3.0276626604441428</v>
      </c>
      <c r="G313" s="1139">
        <f t="shared" si="32"/>
        <v>2.8683075655254089</v>
      </c>
      <c r="H313" s="1139">
        <f t="shared" si="26"/>
        <v>153.00924952683246</v>
      </c>
      <c r="I313" s="1118">
        <f>'3.1.2 CO21'!B23/1000</f>
        <v>148.23919614978001</v>
      </c>
      <c r="J313" s="1118"/>
      <c r="K313" s="1118">
        <v>237.67380028144859</v>
      </c>
      <c r="L313" s="1118">
        <v>171.97763621513772</v>
      </c>
      <c r="M313" s="1118">
        <v>129.76392093991095</v>
      </c>
      <c r="N313" s="1118">
        <v>11.101429754961856</v>
      </c>
      <c r="O313" s="1118">
        <v>10.517127740259832</v>
      </c>
      <c r="P313" s="1118">
        <v>561.03391493171898</v>
      </c>
      <c r="Q313" s="1139">
        <f>'3.1.2 CO21'!B23/1000*$D$9</f>
        <v>543.54371921586005</v>
      </c>
      <c r="R313" s="1139"/>
      <c r="S313" s="1117">
        <v>147261</v>
      </c>
      <c r="T313" s="1117">
        <v>39512</v>
      </c>
      <c r="U313" s="1117">
        <v>51556</v>
      </c>
      <c r="V313" s="1117">
        <v>53640</v>
      </c>
      <c r="W313" s="1117">
        <v>1525</v>
      </c>
      <c r="X313" s="1117">
        <v>1027</v>
      </c>
      <c r="Y313" s="1117">
        <v>2.46</v>
      </c>
      <c r="Z313" s="1117">
        <v>10162</v>
      </c>
      <c r="AA313" s="1116"/>
      <c r="AB313" s="1116"/>
      <c r="AC313" s="1116"/>
      <c r="AD313" s="1141">
        <f t="shared" si="27"/>
        <v>148.23919614978001</v>
      </c>
      <c r="AE313" s="1117">
        <v>148239.19614978001</v>
      </c>
      <c r="AF313" s="1140">
        <f t="shared" si="25"/>
        <v>130792.08810671954</v>
      </c>
      <c r="AG313" s="1117">
        <f>'1.1.1 PrimEnLR'!B313*'3.1.1 CO2LR'!$AG$9*Units!$C$47/1000</f>
        <v>24661.691259554693</v>
      </c>
      <c r="AH313" s="1117">
        <f>'1.1.1 PrimEnLR'!C313*'3.1.1 CO2LR'!$AG$9*Units!$C$47/1000</f>
        <v>44482.651815350575</v>
      </c>
      <c r="AI313" s="1117">
        <f>'1.1.1 PrimEnLR'!D313*Units!$C$14*Units!$C$59/1000</f>
        <v>61647.74503181428</v>
      </c>
      <c r="AJ313" s="1116"/>
      <c r="AK313" s="1116"/>
    </row>
    <row r="314" spans="1:37" x14ac:dyDescent="0.35">
      <c r="A314" s="1116">
        <v>2004</v>
      </c>
      <c r="B314" s="1116"/>
      <c r="C314" s="1139">
        <f t="shared" si="28"/>
        <v>65.937744455208772</v>
      </c>
      <c r="D314" s="1139">
        <f t="shared" si="29"/>
        <v>47.40882518057073</v>
      </c>
      <c r="E314" s="1139">
        <f t="shared" si="30"/>
        <v>33.925211953986739</v>
      </c>
      <c r="F314" s="1139">
        <f t="shared" si="31"/>
        <v>3.1524681301067932</v>
      </c>
      <c r="G314" s="1139">
        <f t="shared" si="32"/>
        <v>2.7852703342681724</v>
      </c>
      <c r="H314" s="1139">
        <f t="shared" si="26"/>
        <v>153.20952005414122</v>
      </c>
      <c r="I314" s="1118">
        <f>'3.1.2 CO21'!B24/1000</f>
        <v>148.28215359608001</v>
      </c>
      <c r="J314" s="1118"/>
      <c r="K314" s="1118">
        <v>241.77172966909885</v>
      </c>
      <c r="L314" s="1118">
        <v>173.83235899542601</v>
      </c>
      <c r="M314" s="1118">
        <v>124.39244383128469</v>
      </c>
      <c r="N314" s="1118">
        <v>11.559049810391574</v>
      </c>
      <c r="O314" s="1118">
        <v>10.212657892316631</v>
      </c>
      <c r="P314" s="1118">
        <v>561.76824019851779</v>
      </c>
      <c r="Q314" s="1139">
        <f>'3.1.2 CO21'!B24/1000*$D$9</f>
        <v>543.7012298522933</v>
      </c>
      <c r="R314" s="1139"/>
      <c r="S314" s="1117">
        <v>147052</v>
      </c>
      <c r="T314" s="1117">
        <v>38360</v>
      </c>
      <c r="U314" s="1117">
        <v>51185</v>
      </c>
      <c r="V314" s="1117">
        <v>54808</v>
      </c>
      <c r="W314" s="1117">
        <v>1551</v>
      </c>
      <c r="X314" s="1117">
        <v>1148</v>
      </c>
      <c r="Y314" s="1117">
        <v>2.4500000000000002</v>
      </c>
      <c r="Z314" s="1117">
        <v>11107</v>
      </c>
      <c r="AA314" s="1116"/>
      <c r="AB314" s="1116"/>
      <c r="AC314" s="1116"/>
      <c r="AD314" s="1141">
        <f t="shared" si="27"/>
        <v>148.28215359608001</v>
      </c>
      <c r="AE314" s="1117">
        <v>148282.15359608</v>
      </c>
      <c r="AF314" s="1140">
        <f t="shared" si="25"/>
        <v>132476.90134301715</v>
      </c>
      <c r="AG314" s="1117">
        <f>'1.1.1 PrimEnLR'!B314*'3.1.1 CO2LR'!$AG$9*Units!$C$47/1000</f>
        <v>23798.783786293643</v>
      </c>
      <c r="AH314" s="1117">
        <f>'1.1.1 PrimEnLR'!C314*'3.1.1 CO2LR'!$AG$9*Units!$C$47/1000</f>
        <v>45724.948225642729</v>
      </c>
      <c r="AI314" s="1117">
        <f>'1.1.1 PrimEnLR'!D314*Units!$C$14*Units!$C$59/1000</f>
        <v>62953.169331080782</v>
      </c>
      <c r="AJ314" s="1116"/>
      <c r="AK314" s="1116"/>
    </row>
    <row r="315" spans="1:37" x14ac:dyDescent="0.35">
      <c r="A315" s="1116">
        <v>2005</v>
      </c>
      <c r="B315" s="1116"/>
      <c r="C315" s="1139">
        <f t="shared" si="28"/>
        <v>64.184369776232586</v>
      </c>
      <c r="D315" s="1139">
        <f t="shared" si="29"/>
        <v>47.916080926494942</v>
      </c>
      <c r="E315" s="1139">
        <f t="shared" si="30"/>
        <v>34.061214442763507</v>
      </c>
      <c r="F315" s="1139">
        <f t="shared" si="31"/>
        <v>3.193563630699372</v>
      </c>
      <c r="G315" s="1139">
        <f t="shared" si="32"/>
        <v>2.7922934480398109</v>
      </c>
      <c r="H315" s="1139">
        <f t="shared" si="26"/>
        <v>152.14752222423022</v>
      </c>
      <c r="I315" s="1118">
        <f>'3.1.2 CO21'!B25/1000</f>
        <v>147.59410173711001</v>
      </c>
      <c r="J315" s="1118"/>
      <c r="K315" s="1118">
        <v>235.34268917951948</v>
      </c>
      <c r="L315" s="1118">
        <v>175.69229673048144</v>
      </c>
      <c r="M315" s="1118">
        <v>124.89111962346618</v>
      </c>
      <c r="N315" s="1118">
        <v>11.709733312564364</v>
      </c>
      <c r="O315" s="1118">
        <v>10.238409309479307</v>
      </c>
      <c r="P315" s="1118">
        <v>557.87424815551071</v>
      </c>
      <c r="Q315" s="1139">
        <f>'3.1.2 CO21'!B25/1000*$D$9</f>
        <v>541.17837303606996</v>
      </c>
      <c r="R315" s="1139"/>
      <c r="S315" s="1117">
        <v>147963</v>
      </c>
      <c r="T315" s="1117">
        <v>39098</v>
      </c>
      <c r="U315" s="1117">
        <v>52850</v>
      </c>
      <c r="V315" s="1117">
        <v>53384</v>
      </c>
      <c r="W315" s="1117">
        <v>1525</v>
      </c>
      <c r="X315" s="1117">
        <v>1106</v>
      </c>
      <c r="Y315" s="1117">
        <v>2.4500000000000002</v>
      </c>
      <c r="Z315" s="1117">
        <v>11771</v>
      </c>
      <c r="AA315" s="1116"/>
      <c r="AB315" s="1116"/>
      <c r="AC315" s="1116"/>
      <c r="AD315" s="1141">
        <f t="shared" si="27"/>
        <v>147.59410173710998</v>
      </c>
      <c r="AE315" s="1117">
        <v>147594.10173711</v>
      </c>
      <c r="AF315" s="1140">
        <f t="shared" si="25"/>
        <v>133352.74183301994</v>
      </c>
      <c r="AG315" s="1117">
        <f>'1.1.1 PrimEnLR'!B315*'3.1.1 CO2LR'!$AG$9*Units!$C$47/1000</f>
        <v>24282.470628602812</v>
      </c>
      <c r="AH315" s="1117">
        <f>'1.1.1 PrimEnLR'!C315*'3.1.1 CO2LR'!$AG$9*Units!$C$47/1000</f>
        <v>47650.597559056427</v>
      </c>
      <c r="AI315" s="1117">
        <f>'1.1.1 PrimEnLR'!D315*Units!$C$14*Units!$C$59/1000</f>
        <v>61419.673645360701</v>
      </c>
      <c r="AJ315" s="1116"/>
      <c r="AK315" s="1116"/>
    </row>
    <row r="316" spans="1:37" x14ac:dyDescent="0.35">
      <c r="A316" s="1116">
        <v>2006</v>
      </c>
      <c r="B316" s="1116"/>
      <c r="C316" s="1139">
        <f t="shared" si="28"/>
        <v>61.598010691384609</v>
      </c>
      <c r="D316" s="1139">
        <f t="shared" si="29"/>
        <v>46.791341390922675</v>
      </c>
      <c r="E316" s="1139">
        <f t="shared" si="30"/>
        <v>37.273761904987687</v>
      </c>
      <c r="F316" s="1139">
        <f t="shared" si="31"/>
        <v>3.292396086258039</v>
      </c>
      <c r="G316" s="1139">
        <f t="shared" si="32"/>
        <v>2.3656680767759011</v>
      </c>
      <c r="H316" s="1139">
        <f t="shared" si="26"/>
        <v>151.3211781503289</v>
      </c>
      <c r="I316" s="1118">
        <f>'3.1.2 CO21'!B26/1000</f>
        <v>147.48126730812999</v>
      </c>
      <c r="J316" s="1118"/>
      <c r="K316" s="1118">
        <v>225.85937253507689</v>
      </c>
      <c r="L316" s="1118">
        <v>171.56825176671646</v>
      </c>
      <c r="M316" s="1118">
        <v>136.67046031828818</v>
      </c>
      <c r="N316" s="1118">
        <v>12.072118982946142</v>
      </c>
      <c r="O316" s="1118">
        <v>8.6741162815116368</v>
      </c>
      <c r="P316" s="1118">
        <v>554.84431988453923</v>
      </c>
      <c r="Q316" s="1139">
        <f>'3.1.2 CO21'!B26/1000*$D$9</f>
        <v>540.76464679647654</v>
      </c>
      <c r="R316" s="1139"/>
      <c r="S316" s="1117">
        <v>147657</v>
      </c>
      <c r="T316" s="1117">
        <v>42493</v>
      </c>
      <c r="U316" s="1117">
        <v>51917</v>
      </c>
      <c r="V316" s="1117">
        <v>50630</v>
      </c>
      <c r="W316" s="1117">
        <v>1560</v>
      </c>
      <c r="X316" s="1117">
        <v>1056</v>
      </c>
      <c r="Y316" s="1117">
        <v>2.4300000000000002</v>
      </c>
      <c r="Z316" s="1117">
        <v>12137</v>
      </c>
      <c r="AA316" s="1116"/>
      <c r="AB316" s="1116"/>
      <c r="AC316" s="1116"/>
      <c r="AD316" s="1141">
        <f t="shared" si="27"/>
        <v>147.48126730812996</v>
      </c>
      <c r="AE316" s="1117">
        <v>147481.26730812999</v>
      </c>
      <c r="AF316" s="1140">
        <f t="shared" si="25"/>
        <v>131777.15295839313</v>
      </c>
      <c r="AG316" s="1117">
        <f>'1.1.1 PrimEnLR'!B316*'3.1.1 CO2LR'!$AG$9*Units!$C$47/1000</f>
        <v>26413.844753106245</v>
      </c>
      <c r="AH316" s="1117">
        <f>'1.1.1 PrimEnLR'!C316*'3.1.1 CO2LR'!$AG$9*Units!$C$47/1000</f>
        <v>47131.584900153051</v>
      </c>
      <c r="AI316" s="1117">
        <f>'1.1.1 PrimEnLR'!D316*Units!$C$14*Units!$C$59/1000</f>
        <v>58231.723305133819</v>
      </c>
      <c r="AJ316" s="1116"/>
      <c r="AK316" s="1116"/>
    </row>
    <row r="317" spans="1:37" x14ac:dyDescent="0.35">
      <c r="A317" s="1116">
        <v>2007</v>
      </c>
      <c r="B317" s="1116"/>
      <c r="C317" s="1139">
        <f t="shared" si="28"/>
        <v>62.205698251753198</v>
      </c>
      <c r="D317" s="1139">
        <f t="shared" si="29"/>
        <v>46.651290543137321</v>
      </c>
      <c r="E317" s="1139">
        <f t="shared" si="30"/>
        <v>34.416637209585666</v>
      </c>
      <c r="F317" s="1139">
        <f t="shared" si="31"/>
        <v>3.2347296168260415</v>
      </c>
      <c r="G317" s="1139">
        <f t="shared" si="32"/>
        <v>2.3603544506276815</v>
      </c>
      <c r="H317" s="1139">
        <f t="shared" si="26"/>
        <v>148.86871007192991</v>
      </c>
      <c r="I317" s="1118">
        <f>'3.1.2 CO21'!B27/1000</f>
        <v>144.73789154708001</v>
      </c>
      <c r="J317" s="1118"/>
      <c r="K317" s="1118">
        <v>228.08756025642839</v>
      </c>
      <c r="L317" s="1118">
        <v>171.0547319915035</v>
      </c>
      <c r="M317" s="1118">
        <v>126.19433643514743</v>
      </c>
      <c r="N317" s="1118">
        <v>11.860675261695485</v>
      </c>
      <c r="O317" s="1118">
        <v>8.6546329856348319</v>
      </c>
      <c r="P317" s="1118">
        <v>545.85193693040969</v>
      </c>
      <c r="Q317" s="1139">
        <f>'3.1.2 CO21'!B27/1000*$D$9</f>
        <v>530.70560233929336</v>
      </c>
      <c r="R317" s="1139"/>
      <c r="S317" s="1117">
        <v>144103</v>
      </c>
      <c r="T317" s="1117">
        <v>40073</v>
      </c>
      <c r="U317" s="1117">
        <v>50319</v>
      </c>
      <c r="V317" s="1117">
        <v>51193</v>
      </c>
      <c r="W317" s="1117">
        <v>1617</v>
      </c>
      <c r="X317" s="1117">
        <v>902</v>
      </c>
      <c r="Y317" s="1117">
        <v>2.35</v>
      </c>
      <c r="Z317" s="1117">
        <v>12134</v>
      </c>
      <c r="AA317" s="1116"/>
      <c r="AB317" s="1116"/>
      <c r="AC317" s="1116"/>
      <c r="AD317" s="1141">
        <f t="shared" si="27"/>
        <v>144.73789154708001</v>
      </c>
      <c r="AE317" s="1117">
        <v>144737.89154708001</v>
      </c>
      <c r="AF317" s="1140">
        <f t="shared" si="25"/>
        <v>130195.12428209539</v>
      </c>
      <c r="AG317" s="1117">
        <f>'1.1.1 PrimEnLR'!B317*'3.1.1 CO2LR'!$AG$9*Units!$C$47/1000</f>
        <v>24953.6623283109</v>
      </c>
      <c r="AH317" s="1117">
        <f>'1.1.1 PrimEnLR'!C317*'3.1.1 CO2LR'!$AG$9*Units!$C$47/1000</f>
        <v>46488.766127155242</v>
      </c>
      <c r="AI317" s="1117">
        <f>'1.1.1 PrimEnLR'!D317*Units!$C$14*Units!$C$59/1000</f>
        <v>58752.695826629249</v>
      </c>
      <c r="AJ317" s="1116"/>
      <c r="AK317" s="1116"/>
    </row>
    <row r="318" spans="1:37" x14ac:dyDescent="0.35">
      <c r="A318" s="1116">
        <v>2008</v>
      </c>
      <c r="B318" s="1116"/>
      <c r="C318" s="1139">
        <f t="shared" si="28"/>
        <v>63.92088888574996</v>
      </c>
      <c r="D318" s="1139">
        <f t="shared" si="29"/>
        <v>44.565474168624618</v>
      </c>
      <c r="E318" s="1139">
        <f t="shared" si="30"/>
        <v>31.518094421506163</v>
      </c>
      <c r="F318" s="1139">
        <f t="shared" si="31"/>
        <v>3.2312569950482324</v>
      </c>
      <c r="G318" s="1139">
        <f t="shared" si="32"/>
        <v>1.6141294184121406</v>
      </c>
      <c r="H318" s="1139">
        <f t="shared" si="26"/>
        <v>144.84984388934112</v>
      </c>
      <c r="I318" s="1118">
        <f>'3.1.2 CO21'!B28/1000</f>
        <v>141.50354466248999</v>
      </c>
      <c r="J318" s="1118"/>
      <c r="K318" s="1118">
        <v>234.37659258108317</v>
      </c>
      <c r="L318" s="1118">
        <v>163.40673861829026</v>
      </c>
      <c r="M318" s="1118">
        <v>115.56634621218926</v>
      </c>
      <c r="N318" s="1118">
        <v>11.847942315176851</v>
      </c>
      <c r="O318" s="1118">
        <v>5.9184745341778484</v>
      </c>
      <c r="P318" s="1118">
        <v>531.11609426091741</v>
      </c>
      <c r="Q318" s="1139">
        <f>'3.1.2 CO21'!B28/1000*$D$9</f>
        <v>518.84633042912992</v>
      </c>
      <c r="R318" s="1139"/>
      <c r="S318" s="1117">
        <v>141993</v>
      </c>
      <c r="T318" s="1117">
        <v>37061</v>
      </c>
      <c r="U318" s="1117">
        <v>49926</v>
      </c>
      <c r="V318" s="1117">
        <v>52763</v>
      </c>
      <c r="W318" s="1117">
        <v>1370</v>
      </c>
      <c r="X318" s="1117">
        <v>873</v>
      </c>
      <c r="Y318" s="1117">
        <v>2.31</v>
      </c>
      <c r="Z318" s="1117">
        <v>12787</v>
      </c>
      <c r="AA318" s="1116"/>
      <c r="AB318" s="1116"/>
      <c r="AC318" s="1116"/>
      <c r="AD318" s="1141">
        <f t="shared" si="27"/>
        <v>141.50354466248999</v>
      </c>
      <c r="AE318" s="1117">
        <v>141503.54466248999</v>
      </c>
      <c r="AF318" s="1140">
        <f t="shared" si="25"/>
        <v>129210.98729065439</v>
      </c>
      <c r="AG318" s="1117">
        <f>'1.1.1 PrimEnLR'!B318*'3.1.1 CO2LR'!$AG$9*Units!$C$47/1000</f>
        <v>23247.637183173145</v>
      </c>
      <c r="AH318" s="1117">
        <f>'1.1.1 PrimEnLR'!C318*'3.1.1 CO2LR'!$AG$9*Units!$C$47/1000</f>
        <v>45310.32789016272</v>
      </c>
      <c r="AI318" s="1117">
        <f>'1.1.1 PrimEnLR'!D318*Units!$C$14*Units!$C$59/1000</f>
        <v>60653.022217318532</v>
      </c>
      <c r="AJ318" s="1116"/>
      <c r="AK318" s="1116"/>
    </row>
    <row r="319" spans="1:37" x14ac:dyDescent="0.35">
      <c r="A319" s="1116">
        <v>2009</v>
      </c>
      <c r="B319" s="1116"/>
      <c r="C319" s="1139">
        <f t="shared" si="28"/>
        <v>58.560918736041174</v>
      </c>
      <c r="D319" s="1139">
        <f t="shared" si="29"/>
        <v>42.451251005741291</v>
      </c>
      <c r="E319" s="1139">
        <f t="shared" si="30"/>
        <v>26.150951340239519</v>
      </c>
      <c r="F319" s="1139">
        <f t="shared" si="31"/>
        <v>3.0642153047848786</v>
      </c>
      <c r="G319" s="1139">
        <f t="shared" si="32"/>
        <v>0.90653628905387607</v>
      </c>
      <c r="H319" s="1139">
        <f t="shared" si="26"/>
        <v>131.13387267586074</v>
      </c>
      <c r="I319" s="1118">
        <f>'3.1.2 CO21'!B29/1000</f>
        <v>129.26292465397</v>
      </c>
      <c r="J319" s="1118"/>
      <c r="K319" s="1118">
        <v>214.72336869881764</v>
      </c>
      <c r="L319" s="1118">
        <v>155.65458702105138</v>
      </c>
      <c r="M319" s="1118">
        <v>95.886821580878234</v>
      </c>
      <c r="N319" s="1118">
        <v>11.235456117544555</v>
      </c>
      <c r="O319" s="1118">
        <v>3.3239663931975456</v>
      </c>
      <c r="P319" s="1118">
        <v>480.82419981148939</v>
      </c>
      <c r="Q319" s="1139">
        <f>'3.1.2 CO21'!B29/1000*$D$9</f>
        <v>473.96405706455664</v>
      </c>
      <c r="R319" s="1139"/>
      <c r="S319" s="1117">
        <v>128639</v>
      </c>
      <c r="T319" s="1117">
        <v>30511</v>
      </c>
      <c r="U319" s="1117">
        <v>47417</v>
      </c>
      <c r="V319" s="1117">
        <v>48872</v>
      </c>
      <c r="W319" s="1117">
        <v>1037</v>
      </c>
      <c r="X319" s="1117">
        <v>802</v>
      </c>
      <c r="Y319" s="1117">
        <v>2.06</v>
      </c>
      <c r="Z319" s="1117">
        <v>12096</v>
      </c>
      <c r="AA319" s="1116"/>
      <c r="AB319" s="1116"/>
      <c r="AC319" s="1116"/>
      <c r="AD319" s="1141">
        <f t="shared" si="27"/>
        <v>129.26292465397</v>
      </c>
      <c r="AE319" s="1117">
        <v>129262.92465397</v>
      </c>
      <c r="AF319" s="1140">
        <f t="shared" si="25"/>
        <v>118314.58965061605</v>
      </c>
      <c r="AG319" s="1117">
        <f>'1.1.1 PrimEnLR'!B319*'3.1.1 CO2LR'!$AG$9*Units!$C$47/1000</f>
        <v>19004.623226085674</v>
      </c>
      <c r="AH319" s="1117">
        <f>'1.1.1 PrimEnLR'!C319*'3.1.1 CO2LR'!$AG$9*Units!$C$47/1000</f>
        <v>43165.662130054581</v>
      </c>
      <c r="AI319" s="1117">
        <f>'1.1.1 PrimEnLR'!D319*Units!$C$14*Units!$C$59/1000</f>
        <v>56144.304294475791</v>
      </c>
      <c r="AJ319" s="1116"/>
      <c r="AK319" s="1116"/>
    </row>
    <row r="320" spans="1:37" x14ac:dyDescent="0.35">
      <c r="A320" s="1116">
        <v>2010</v>
      </c>
      <c r="B320" s="1116"/>
      <c r="C320" s="1139">
        <f t="shared" si="28"/>
        <v>62.236820929235968</v>
      </c>
      <c r="D320" s="1139">
        <f t="shared" si="29"/>
        <v>42.306539746612572</v>
      </c>
      <c r="E320" s="1139">
        <f t="shared" si="30"/>
        <v>27.526238498087952</v>
      </c>
      <c r="F320" s="1139">
        <f t="shared" si="31"/>
        <v>3.0534473913630809</v>
      </c>
      <c r="G320" s="1139">
        <f t="shared" si="32"/>
        <v>0.78912709371952749</v>
      </c>
      <c r="H320" s="1139">
        <f t="shared" si="26"/>
        <v>135.91217365901909</v>
      </c>
      <c r="I320" s="1118">
        <f>'3.1.2 CO21'!B30/1000</f>
        <v>133.73636102266002</v>
      </c>
      <c r="J320" s="1118"/>
      <c r="K320" s="1118">
        <v>228.20167674053187</v>
      </c>
      <c r="L320" s="1118">
        <v>155.12397907091275</v>
      </c>
      <c r="M320" s="1118">
        <v>100.92954115965583</v>
      </c>
      <c r="N320" s="1118">
        <v>11.195973768331296</v>
      </c>
      <c r="O320" s="1118">
        <v>2.8934660103049339</v>
      </c>
      <c r="P320" s="1118">
        <v>498.34463674973665</v>
      </c>
      <c r="Q320" s="1139">
        <f>'3.1.2 CO21'!B30/1000*$D$9</f>
        <v>490.36665708308669</v>
      </c>
      <c r="R320" s="1139"/>
      <c r="S320" s="1117">
        <v>134499</v>
      </c>
      <c r="T320" s="1117">
        <v>31709</v>
      </c>
      <c r="U320" s="1117">
        <v>47810</v>
      </c>
      <c r="V320" s="1117">
        <v>53120</v>
      </c>
      <c r="W320" s="1117">
        <v>1072</v>
      </c>
      <c r="X320" s="1117">
        <v>787</v>
      </c>
      <c r="Y320" s="1117">
        <v>2.14</v>
      </c>
      <c r="Z320" s="1117">
        <v>11334</v>
      </c>
      <c r="AA320" s="1116"/>
      <c r="AB320" s="1116"/>
      <c r="AC320" s="1116"/>
      <c r="AD320" s="1141">
        <f t="shared" si="27"/>
        <v>133.73636102266002</v>
      </c>
      <c r="AE320" s="1117">
        <v>133736.36102266001</v>
      </c>
      <c r="AF320" s="1140">
        <f t="shared" si="25"/>
        <v>123595.36425738136</v>
      </c>
      <c r="AG320" s="1117">
        <f>'1.1.1 PrimEnLR'!B320*'3.1.1 CO2LR'!$AG$9*Units!$C$47/1000</f>
        <v>19869.980765264139</v>
      </c>
      <c r="AH320" s="1117">
        <f>'1.1.1 PrimEnLR'!C320*'3.1.1 CO2LR'!$AG$9*Units!$C$47/1000</f>
        <v>42787.601718102895</v>
      </c>
      <c r="AI320" s="1117">
        <f>'1.1.1 PrimEnLR'!D320*Units!$C$14*Units!$C$59/1000</f>
        <v>60937.781774014315</v>
      </c>
      <c r="AJ320" s="1116"/>
      <c r="AK320" s="1116"/>
    </row>
    <row r="321" spans="1:37" x14ac:dyDescent="0.35">
      <c r="A321" s="1116">
        <v>2011</v>
      </c>
      <c r="B321" s="1116"/>
      <c r="C321" s="1139">
        <f t="shared" si="28"/>
        <v>52.601581409273507</v>
      </c>
      <c r="D321" s="1139">
        <f t="shared" si="29"/>
        <v>40.353957885643922</v>
      </c>
      <c r="E321" s="1139">
        <f t="shared" si="30"/>
        <v>27.707102728230812</v>
      </c>
      <c r="F321" s="1139">
        <f t="shared" si="31"/>
        <v>2.9173443806658659</v>
      </c>
      <c r="G321" s="1139">
        <f t="shared" si="32"/>
        <v>0.68646068590487086</v>
      </c>
      <c r="H321" s="1139">
        <f t="shared" si="26"/>
        <v>124.26644708971898</v>
      </c>
      <c r="I321" s="1118">
        <f>'3.1.2 CO21'!B31/1000</f>
        <v>122.55407781856</v>
      </c>
      <c r="J321" s="1118"/>
      <c r="K321" s="1118">
        <v>192.87246516733617</v>
      </c>
      <c r="L321" s="1118">
        <v>147.96451224736103</v>
      </c>
      <c r="M321" s="1118">
        <v>101.59271000351298</v>
      </c>
      <c r="N321" s="1118">
        <v>10.696929395774841</v>
      </c>
      <c r="O321" s="1118">
        <v>2.5170225149845264</v>
      </c>
      <c r="P321" s="1118">
        <v>455.64363932896958</v>
      </c>
      <c r="Q321" s="1139">
        <f>'3.1.2 CO21'!B31/1000*$D$9</f>
        <v>449.36495200138665</v>
      </c>
      <c r="R321" s="1139"/>
      <c r="S321" s="1117">
        <v>122124</v>
      </c>
      <c r="T321" s="1117">
        <v>31296</v>
      </c>
      <c r="U321" s="1117">
        <v>45006</v>
      </c>
      <c r="V321" s="1117">
        <v>44043</v>
      </c>
      <c r="W321" s="1117">
        <v>1160</v>
      </c>
      <c r="X321" s="1117">
        <v>618</v>
      </c>
      <c r="Y321" s="1117">
        <v>1.93</v>
      </c>
      <c r="Z321" s="1117">
        <v>11977</v>
      </c>
      <c r="AA321" s="1116"/>
      <c r="AB321" s="1116"/>
      <c r="AC321" s="1116"/>
      <c r="AD321" s="1141">
        <f t="shared" si="27"/>
        <v>122.55407781856</v>
      </c>
      <c r="AE321" s="1117">
        <v>122554.07781856001</v>
      </c>
      <c r="AF321" s="1140">
        <f t="shared" si="25"/>
        <v>111542.22984586236</v>
      </c>
      <c r="AG321" s="1117">
        <f>'1.1.1 PrimEnLR'!B321*'3.1.1 CO2LR'!$AG$9*Units!$C$47/1000</f>
        <v>19644.851888889778</v>
      </c>
      <c r="AH321" s="1117">
        <f>'1.1.1 PrimEnLR'!C321*'3.1.1 CO2LR'!$AG$9*Units!$C$47/1000</f>
        <v>41316.13335140577</v>
      </c>
      <c r="AI321" s="1117">
        <f>'1.1.1 PrimEnLR'!D321*Units!$C$14*Units!$C$59/1000</f>
        <v>50581.244605566812</v>
      </c>
      <c r="AJ321" s="1116"/>
      <c r="AK321" s="1116"/>
    </row>
    <row r="322" spans="1:37" x14ac:dyDescent="0.35">
      <c r="A322" s="1116">
        <v>2012</v>
      </c>
      <c r="B322" s="1116"/>
      <c r="C322" s="1139">
        <f t="shared" si="28"/>
        <v>49.550955387029227</v>
      </c>
      <c r="D322" s="1139">
        <f t="shared" si="29"/>
        <v>40.192147546631944</v>
      </c>
      <c r="E322" s="1139">
        <f t="shared" si="30"/>
        <v>35.743828581874006</v>
      </c>
      <c r="F322" s="1139">
        <f t="shared" si="31"/>
        <v>3.28908489632515</v>
      </c>
      <c r="G322" s="1139">
        <f t="shared" si="32"/>
        <v>0.54198635729836286</v>
      </c>
      <c r="H322" s="1139">
        <f t="shared" si="26"/>
        <v>129.31800276915868</v>
      </c>
      <c r="I322" s="1118">
        <f>'3.1.2 CO21'!B32/1000</f>
        <v>127.62583797799</v>
      </c>
      <c r="J322" s="1118"/>
      <c r="K322" s="1118">
        <v>181.68683641910715</v>
      </c>
      <c r="L322" s="1118">
        <v>147.37120767098378</v>
      </c>
      <c r="M322" s="1118">
        <v>131.06070480020469</v>
      </c>
      <c r="N322" s="1118">
        <v>12.059977953192217</v>
      </c>
      <c r="O322" s="1118">
        <v>1.9872833100939973</v>
      </c>
      <c r="P322" s="1118">
        <v>474.16601015358179</v>
      </c>
      <c r="Q322" s="1139">
        <f>'3.1.2 CO21'!B32/1000*$D$9</f>
        <v>467.96140591929668</v>
      </c>
      <c r="R322" s="1139"/>
      <c r="S322" s="1117">
        <v>127781</v>
      </c>
      <c r="T322" s="1117">
        <v>39717</v>
      </c>
      <c r="U322" s="1117">
        <v>44872</v>
      </c>
      <c r="V322" s="1117">
        <v>41549</v>
      </c>
      <c r="W322" s="1117">
        <v>1081</v>
      </c>
      <c r="X322" s="1117">
        <v>563</v>
      </c>
      <c r="Y322" s="1117">
        <v>2.0099999999999998</v>
      </c>
      <c r="Z322" s="1117">
        <v>11295</v>
      </c>
      <c r="AA322" s="1116"/>
      <c r="AB322" s="1116"/>
      <c r="AC322" s="1116"/>
      <c r="AD322" s="1141">
        <f t="shared" si="27"/>
        <v>127.62583797799</v>
      </c>
      <c r="AE322" s="1117">
        <v>127625.83797799</v>
      </c>
      <c r="AF322" s="1140">
        <f t="shared" si="25"/>
        <v>113471.84592792473</v>
      </c>
      <c r="AG322" s="1117">
        <f>'1.1.1 PrimEnLR'!B322*'3.1.1 CO2LR'!$AG$9*Units!$C$47/1000</f>
        <v>24928.482874467038</v>
      </c>
      <c r="AH322" s="1117">
        <f>'1.1.1 PrimEnLR'!C322*'3.1.1 CO2LR'!$AG$9*Units!$C$47/1000</f>
        <v>40816.792968362948</v>
      </c>
      <c r="AI322" s="1117">
        <f>'1.1.1 PrimEnLR'!D322*Units!$C$14*Units!$C$59/1000</f>
        <v>47726.570085094747</v>
      </c>
      <c r="AJ322" s="1116"/>
      <c r="AK322" s="1116"/>
    </row>
    <row r="323" spans="1:37" x14ac:dyDescent="0.35">
      <c r="A323" s="1116">
        <v>2013</v>
      </c>
      <c r="B323" s="1116"/>
      <c r="C323" s="1139">
        <f t="shared" si="28"/>
        <v>50.286945298643985</v>
      </c>
      <c r="D323" s="1139">
        <f t="shared" si="29"/>
        <v>39.406863833219838</v>
      </c>
      <c r="E323" s="1139">
        <f t="shared" si="30"/>
        <v>33.033268040951825</v>
      </c>
      <c r="F323" s="1139">
        <f t="shared" si="31"/>
        <v>3.123237870770506</v>
      </c>
      <c r="G323" s="1139">
        <f t="shared" si="32"/>
        <v>0.68421846384354956</v>
      </c>
      <c r="H323" s="1139">
        <f t="shared" si="26"/>
        <v>126.5345335074297</v>
      </c>
      <c r="I323" s="1118">
        <f>'3.1.2 CO21'!B33/1000</f>
        <v>124.37888520966</v>
      </c>
      <c r="J323" s="1118"/>
      <c r="K323" s="1118">
        <v>184.38546609502794</v>
      </c>
      <c r="L323" s="1118">
        <v>144.49183405513941</v>
      </c>
      <c r="M323" s="1118">
        <v>121.12198281682336</v>
      </c>
      <c r="N323" s="1118">
        <v>11.451872192825189</v>
      </c>
      <c r="O323" s="1118">
        <v>2.5088010340930151</v>
      </c>
      <c r="P323" s="1118">
        <v>463.95995619390891</v>
      </c>
      <c r="Q323" s="1139">
        <f>'3.1.2 CO21'!B33/1000*$D$9</f>
        <v>456.05591243542</v>
      </c>
      <c r="R323" s="1139"/>
      <c r="S323" s="1117">
        <v>124966</v>
      </c>
      <c r="T323" s="1117">
        <v>38543</v>
      </c>
      <c r="U323" s="1117">
        <v>43698</v>
      </c>
      <c r="V323" s="1117">
        <v>41024</v>
      </c>
      <c r="W323" s="1117">
        <v>1116</v>
      </c>
      <c r="X323" s="1117">
        <v>586</v>
      </c>
      <c r="Y323" s="1117">
        <v>1.95</v>
      </c>
      <c r="Z323" s="1117">
        <v>11111</v>
      </c>
      <c r="AA323" s="1116"/>
      <c r="AB323" s="1116"/>
      <c r="AC323" s="1116"/>
      <c r="AD323" s="1141">
        <f t="shared" si="27"/>
        <v>124.37888520966</v>
      </c>
      <c r="AE323" s="1117">
        <v>124378.88520966</v>
      </c>
      <c r="AF323" s="1140">
        <f t="shared" si="25"/>
        <v>111164.60879356766</v>
      </c>
      <c r="AG323" s="1117">
        <f>'1.1.1 PrimEnLR'!B323*'3.1.1 CO2LR'!$AG$9*Units!$C$47/1000</f>
        <v>23783.7132244616</v>
      </c>
      <c r="AH323" s="1117">
        <f>'1.1.1 PrimEnLR'!C323*'3.1.1 CO2LR'!$AG$9*Units!$C$47/1000</f>
        <v>40080.100882816972</v>
      </c>
      <c r="AI323" s="1117">
        <f>'1.1.1 PrimEnLR'!D323*Units!$C$14*Units!$C$59/1000</f>
        <v>47300.794686289089</v>
      </c>
      <c r="AJ323" s="1116"/>
      <c r="AK323" s="1116"/>
    </row>
    <row r="324" spans="1:37" x14ac:dyDescent="0.35">
      <c r="A324" s="1116">
        <v>2014</v>
      </c>
      <c r="B324" s="1116"/>
      <c r="C324" s="1139">
        <f t="shared" si="28"/>
        <v>46.59668031864107</v>
      </c>
      <c r="D324" s="1139">
        <f t="shared" si="29"/>
        <v>39.602676941364564</v>
      </c>
      <c r="E324" s="1139">
        <f t="shared" si="30"/>
        <v>25.766834062953112</v>
      </c>
      <c r="F324" s="1139">
        <f t="shared" si="31"/>
        <v>3.1997616916673741</v>
      </c>
      <c r="G324" s="1139">
        <f t="shared" si="32"/>
        <v>0.70600621912910511</v>
      </c>
      <c r="H324" s="1139">
        <f t="shared" si="26"/>
        <v>115.87195923375522</v>
      </c>
      <c r="I324" s="1118">
        <f>'3.1.2 CO21'!B34/1000</f>
        <v>113.73652376181001</v>
      </c>
      <c r="J324" s="1118"/>
      <c r="K324" s="1118">
        <v>170.85449450168392</v>
      </c>
      <c r="L324" s="1118">
        <v>145.20981545167007</v>
      </c>
      <c r="M324" s="1118">
        <v>94.478391564161413</v>
      </c>
      <c r="N324" s="1118">
        <v>11.732459536113705</v>
      </c>
      <c r="O324" s="1118">
        <v>2.5886894701400518</v>
      </c>
      <c r="P324" s="1118">
        <v>424.86385052376914</v>
      </c>
      <c r="Q324" s="1139">
        <f>'3.1.2 CO21'!B34/1000*$D$9</f>
        <v>417.03392045996998</v>
      </c>
      <c r="R324" s="1139"/>
      <c r="S324" s="1117">
        <v>114486</v>
      </c>
      <c r="T324" s="1117">
        <v>31081</v>
      </c>
      <c r="U324" s="1117">
        <v>44274</v>
      </c>
      <c r="V324" s="1117">
        <v>37340</v>
      </c>
      <c r="W324" s="1117">
        <v>1218</v>
      </c>
      <c r="X324" s="1117">
        <v>573</v>
      </c>
      <c r="Y324" s="1117">
        <v>1.78</v>
      </c>
      <c r="Z324" s="1117">
        <v>10921</v>
      </c>
      <c r="AA324" s="1116"/>
      <c r="AB324" s="1116"/>
      <c r="AC324" s="1116"/>
      <c r="AD324" s="1141">
        <f t="shared" si="27"/>
        <v>113.73652376181001</v>
      </c>
      <c r="AE324" s="1117">
        <v>113736.52376181001</v>
      </c>
      <c r="AF324" s="1140">
        <f t="shared" si="25"/>
        <v>102493.58519962453</v>
      </c>
      <c r="AG324" s="1117">
        <f>'1.1.1 PrimEnLR'!B324*'3.1.1 CO2LR'!$AG$9*Units!$C$47/1000</f>
        <v>19196.750933905776</v>
      </c>
      <c r="AH324" s="1117">
        <f>'1.1.1 PrimEnLR'!C324*'3.1.1 CO2LR'!$AG$9*Units!$C$47/1000</f>
        <v>40216.710517086482</v>
      </c>
      <c r="AI324" s="1117">
        <f>'1.1.1 PrimEnLR'!D324*Units!$C$14*Units!$C$59/1000</f>
        <v>43080.123748632279</v>
      </c>
      <c r="AJ324" s="1116"/>
      <c r="AK324" s="1116"/>
    </row>
    <row r="325" spans="1:37" x14ac:dyDescent="0.35">
      <c r="A325" s="1116">
        <v>2015</v>
      </c>
      <c r="B325" s="1116"/>
      <c r="C325" s="1139">
        <f t="shared" si="28"/>
        <v>47.202441918442588</v>
      </c>
      <c r="D325" s="1139">
        <f t="shared" si="29"/>
        <v>40.490175019021137</v>
      </c>
      <c r="E325" s="1139">
        <f t="shared" si="30"/>
        <v>19.807656408109811</v>
      </c>
      <c r="F325" s="1139">
        <f t="shared" si="31"/>
        <v>3.1476536313481258</v>
      </c>
      <c r="G325" s="1139">
        <f t="shared" si="32"/>
        <v>0.71627468562935992</v>
      </c>
      <c r="H325" s="1139">
        <f t="shared" si="26"/>
        <v>111.36420166255101</v>
      </c>
      <c r="I325" s="1118">
        <f>'3.1.2 CO21'!B35/1000</f>
        <v>109.35973484601</v>
      </c>
      <c r="J325" s="1118"/>
      <c r="K325" s="1118">
        <v>173.0756203676228</v>
      </c>
      <c r="L325" s="1118">
        <v>148.46397506974415</v>
      </c>
      <c r="M325" s="1118">
        <v>72.628073496402635</v>
      </c>
      <c r="N325" s="1118">
        <v>11.541396648276461</v>
      </c>
      <c r="O325" s="1118">
        <v>2.6263405139743194</v>
      </c>
      <c r="P325" s="1118">
        <v>408.33540609602039</v>
      </c>
      <c r="Q325" s="1139">
        <f>'3.1.2 CO21'!B35/1000*$D$9</f>
        <v>400.98569443536996</v>
      </c>
      <c r="R325" s="1139"/>
      <c r="S325" s="1116"/>
      <c r="T325" s="1116"/>
      <c r="U325" s="1116"/>
      <c r="V325" s="1116"/>
      <c r="W325" s="1116"/>
      <c r="X325" s="1116"/>
      <c r="Y325" s="1116"/>
      <c r="Z325" s="1116"/>
      <c r="AA325" s="1116"/>
      <c r="AB325" s="1116"/>
      <c r="AC325" s="1116"/>
      <c r="AD325" s="1141">
        <f t="shared" si="27"/>
        <v>109.35973484601</v>
      </c>
      <c r="AE325" s="1117">
        <v>109359.73484601</v>
      </c>
      <c r="AF325" s="1140">
        <f t="shared" si="25"/>
        <v>100745.02806177695</v>
      </c>
      <c r="AG325" s="1117">
        <f>'1.1.1 PrimEnLR'!B325*'3.1.1 CO2LR'!$AG$9*Units!$C$47/1000</f>
        <v>15304.213149814686</v>
      </c>
      <c r="AH325" s="1117">
        <f>'1.1.1 PrimEnLR'!C325*'3.1.1 CO2LR'!$AG$9*Units!$C$47/1000</f>
        <v>41074.490535597703</v>
      </c>
      <c r="AI325" s="1117">
        <f>'1.1.1 PrimEnLR'!D325*Units!$C$14*Units!$C$59/1000</f>
        <v>44366.324376364551</v>
      </c>
      <c r="AJ325" s="1116"/>
      <c r="AK325" s="1116"/>
    </row>
    <row r="326" spans="1:37" x14ac:dyDescent="0.35">
      <c r="A326" s="1116">
        <v>2016</v>
      </c>
      <c r="B326" s="1116"/>
      <c r="C326" s="1139">
        <f t="shared" si="28"/>
        <v>51.258437562019076</v>
      </c>
      <c r="D326" s="1139">
        <f t="shared" si="29"/>
        <v>41.160757325984818</v>
      </c>
      <c r="E326" s="1139">
        <f t="shared" si="30"/>
        <v>9.0919754129472885</v>
      </c>
      <c r="F326" s="1139">
        <f t="shared" si="31"/>
        <v>3.2037840946610019</v>
      </c>
      <c r="G326" s="1139">
        <f t="shared" si="32"/>
        <v>0.50344241809607715</v>
      </c>
      <c r="H326" s="1139">
        <f t="shared" si="26"/>
        <v>105.21839681370825</v>
      </c>
      <c r="I326" s="1118">
        <f>'3.1.2 CO21'!B36/1000</f>
        <v>103.80094615692001</v>
      </c>
      <c r="J326" s="1118"/>
      <c r="K326" s="1118">
        <v>187.94760439406994</v>
      </c>
      <c r="L326" s="1118">
        <v>150.92277686194433</v>
      </c>
      <c r="M326" s="1118">
        <v>33.337243180806723</v>
      </c>
      <c r="N326" s="1118">
        <v>11.747208347090339</v>
      </c>
      <c r="O326" s="1118">
        <v>1.8459555330189494</v>
      </c>
      <c r="P326" s="1118">
        <v>385.80078831693027</v>
      </c>
      <c r="Q326" s="1139">
        <f>'3.1.2 CO21'!B36/1000*$D$9</f>
        <v>380.60346924203998</v>
      </c>
      <c r="R326" s="1139"/>
      <c r="S326" s="1116"/>
      <c r="T326" s="1116"/>
      <c r="U326" s="1116"/>
      <c r="V326" s="1116"/>
      <c r="W326" s="1116"/>
      <c r="X326" s="1116"/>
      <c r="Y326" s="1116"/>
      <c r="Z326" s="1116"/>
      <c r="AA326" s="1116"/>
      <c r="AB326" s="1116"/>
      <c r="AC326" s="1116"/>
      <c r="AD326" s="1141">
        <f t="shared" si="27"/>
        <v>103.80094615691999</v>
      </c>
      <c r="AE326" s="1117">
        <v>103800.94615692001</v>
      </c>
      <c r="AF326" s="1140">
        <f t="shared" si="25"/>
        <v>98962.440078316242</v>
      </c>
      <c r="AG326" s="1117">
        <f>'1.1.1 PrimEnLR'!B326*'3.1.1 CO2LR'!$AG$9*Units!$C$47/1000</f>
        <v>7642.280635904267</v>
      </c>
      <c r="AH326" s="1117">
        <f>'1.1.1 PrimEnLR'!C326*'3.1.1 CO2LR'!$AG$9*Units!$C$47/1000</f>
        <v>41564.547018186677</v>
      </c>
      <c r="AI326" s="1117">
        <f>'1.1.1 PrimEnLR'!D326*Units!$C$14*Units!$C$59/1000</f>
        <v>49755.612424225299</v>
      </c>
      <c r="AJ326" s="1116"/>
      <c r="AK326" s="1116"/>
    </row>
    <row r="327" spans="1:37" x14ac:dyDescent="0.35">
      <c r="A327" s="1116">
        <v>2017</v>
      </c>
      <c r="B327" s="1116"/>
      <c r="C327" s="1139">
        <f t="shared" si="28"/>
        <v>50.024373199305018</v>
      </c>
      <c r="D327" s="1139">
        <f t="shared" si="29"/>
        <v>41.118784776273003</v>
      </c>
      <c r="E327" s="1139">
        <f t="shared" si="30"/>
        <v>6.8831702787815887</v>
      </c>
      <c r="F327" s="1139">
        <f t="shared" si="31"/>
        <v>3.2909039360177967</v>
      </c>
      <c r="G327" s="1139">
        <f t="shared" si="32"/>
        <v>0.47412627217035924</v>
      </c>
      <c r="H327" s="1139">
        <f t="shared" si="26"/>
        <v>101.79135846254778</v>
      </c>
      <c r="I327" s="1118">
        <f>'3.1.2 CO21'!B37/1000</f>
        <v>100.28067483804</v>
      </c>
      <c r="J327" s="1118"/>
      <c r="K327" s="1118">
        <v>183.42270173078506</v>
      </c>
      <c r="L327" s="1118">
        <v>150.768877513001</v>
      </c>
      <c r="M327" s="1118">
        <v>25.238291022199157</v>
      </c>
      <c r="N327" s="1118">
        <v>12.066647765398587</v>
      </c>
      <c r="O327" s="1118">
        <v>1.7384629979579838</v>
      </c>
      <c r="P327" s="1118">
        <v>373.23498102934184</v>
      </c>
      <c r="Q327" s="1139">
        <f>'3.1.2 CO21'!B37/1000*$D$9</f>
        <v>367.69580773947996</v>
      </c>
      <c r="R327" s="1139"/>
      <c r="S327" s="1116"/>
      <c r="T327" s="1116"/>
      <c r="U327" s="1116"/>
      <c r="V327" s="1116"/>
      <c r="W327" s="1116"/>
      <c r="X327" s="1116"/>
      <c r="Y327" s="1116"/>
      <c r="Z327" s="1116"/>
      <c r="AA327" s="1116"/>
      <c r="AB327" s="1116"/>
      <c r="AC327" s="1116"/>
      <c r="AD327" s="1141">
        <f>Q327/$D$9</f>
        <v>100.28067483804</v>
      </c>
      <c r="AE327" s="1117">
        <v>100280.67483803999</v>
      </c>
      <c r="AF327" s="1140">
        <f t="shared" si="25"/>
        <v>96927.902395094134</v>
      </c>
      <c r="AG327" s="1117">
        <f>'1.1.1 PrimEnLR'!B327*'3.1.1 CO2LR'!$AG$9*Units!$C$47/1000</f>
        <v>6237.1280915262932</v>
      </c>
      <c r="AH327" s="1117">
        <f>'1.1.1 PrimEnLR'!C327*'3.1.1 CO2LR'!$AG$9*Units!$C$47/1000</f>
        <v>42253.013002668929</v>
      </c>
      <c r="AI327" s="1117">
        <f>'1.1.1 PrimEnLR'!D327*Units!$C$14*Units!$C$59/1000</f>
        <v>48437.761300898906</v>
      </c>
      <c r="AJ327" s="1116"/>
      <c r="AK327" s="1116"/>
    </row>
    <row r="328" spans="1:37" x14ac:dyDescent="0.35">
      <c r="A328" s="1116">
        <v>2018</v>
      </c>
      <c r="B328" s="1116"/>
      <c r="C328" s="1139">
        <f t="shared" si="28"/>
        <v>49.936487398847888</v>
      </c>
      <c r="D328" s="1139">
        <f t="shared" si="29"/>
        <v>40.175073289066034</v>
      </c>
      <c r="E328" s="1139">
        <f t="shared" si="30"/>
        <v>5.4823557192492807</v>
      </c>
      <c r="F328" s="1139">
        <f t="shared" si="31"/>
        <v>3.2448953805407066</v>
      </c>
      <c r="G328" s="1139">
        <f t="shared" si="32"/>
        <v>0.47121955142211924</v>
      </c>
      <c r="H328" s="1139">
        <f>SUM(C328:G328)</f>
        <v>99.310031339126041</v>
      </c>
      <c r="I328" s="1116"/>
      <c r="J328" s="1116"/>
      <c r="K328" s="1118">
        <v>183.10045379577559</v>
      </c>
      <c r="L328" s="1118">
        <v>147.30860205990879</v>
      </c>
      <c r="M328" s="1118">
        <v>20.101970970580695</v>
      </c>
      <c r="N328" s="1118">
        <v>11.897949728649257</v>
      </c>
      <c r="O328" s="1118">
        <v>1.7278050218811039</v>
      </c>
      <c r="P328" s="1118">
        <v>364.1367815767955</v>
      </c>
      <c r="Q328" s="1116"/>
      <c r="R328" s="1116"/>
      <c r="S328" s="1116"/>
      <c r="T328" s="1116"/>
      <c r="U328" s="1116"/>
      <c r="V328" s="1116"/>
      <c r="W328" s="1116"/>
      <c r="X328" s="1116"/>
      <c r="Y328" s="1116"/>
      <c r="Z328" s="1116"/>
      <c r="AA328" s="1116"/>
      <c r="AB328" s="1116"/>
      <c r="AC328" s="1116"/>
      <c r="AD328" s="1116"/>
      <c r="AE328" s="1116"/>
      <c r="AF328" s="1140">
        <f t="shared" si="25"/>
        <v>95707.676414347516</v>
      </c>
      <c r="AG328" s="1117">
        <f>'1.1.1 PrimEnLR'!B328*'3.1.1 CO2LR'!$AG$9*Units!$C$47/1000</f>
        <v>5158.2746839694437</v>
      </c>
      <c r="AH328" s="1117">
        <f>'1.1.1 PrimEnLR'!C328*'3.1.1 CO2LR'!$AG$9*Units!$C$47/1000</f>
        <v>41709.35918009626</v>
      </c>
      <c r="AI328" s="1117">
        <f>'1.1.1 PrimEnLR'!D328*Units!$C$14*Units!$C$59/1000</f>
        <v>48840.042550281811</v>
      </c>
      <c r="AJ328" s="1116"/>
      <c r="AK328" s="1116"/>
    </row>
    <row r="329" spans="1:37" x14ac:dyDescent="0.35">
      <c r="A329" s="1116">
        <v>2019</v>
      </c>
      <c r="B329" s="1116"/>
      <c r="C329" s="1116"/>
      <c r="D329" s="1116"/>
      <c r="E329" s="1116"/>
      <c r="F329" s="1116"/>
      <c r="G329" s="1116"/>
      <c r="H329" s="1116"/>
      <c r="I329" s="1116"/>
      <c r="J329" s="1116"/>
      <c r="K329" s="1116"/>
      <c r="L329" s="1116"/>
      <c r="M329" s="1116"/>
      <c r="N329" s="1116"/>
      <c r="O329" s="1116"/>
      <c r="P329" s="1116"/>
      <c r="Q329" s="1116"/>
      <c r="R329" s="1116"/>
      <c r="S329" s="1116"/>
      <c r="T329" s="1116"/>
      <c r="U329" s="1116"/>
      <c r="V329" s="1116"/>
      <c r="W329" s="1116"/>
      <c r="X329" s="1116"/>
      <c r="Y329" s="1116"/>
      <c r="Z329" s="1116"/>
      <c r="AA329" s="1116"/>
      <c r="AB329" s="1116"/>
      <c r="AC329" s="1116"/>
      <c r="AD329" s="1116"/>
      <c r="AE329" s="1116"/>
      <c r="AF329" s="1116"/>
      <c r="AG329" s="1116"/>
      <c r="AH329" s="1116"/>
      <c r="AI329" s="1116"/>
      <c r="AJ329" s="1116"/>
      <c r="AK329" s="1116"/>
    </row>
    <row r="330" spans="1:37" x14ac:dyDescent="0.35">
      <c r="A330" s="1116">
        <v>2020</v>
      </c>
      <c r="B330" s="1116"/>
      <c r="C330" s="1116"/>
      <c r="D330" s="1116"/>
      <c r="E330" s="1116"/>
      <c r="F330" s="1116"/>
      <c r="G330" s="1116"/>
      <c r="H330" s="1116"/>
      <c r="I330" s="1116"/>
      <c r="J330" s="1116"/>
      <c r="K330" s="1116"/>
      <c r="L330" s="1116"/>
      <c r="M330" s="1116"/>
      <c r="N330" s="1116"/>
      <c r="O330" s="1116"/>
      <c r="P330" s="1116"/>
      <c r="Q330" s="1116"/>
      <c r="R330" s="1116"/>
      <c r="S330" s="1116"/>
      <c r="T330" s="1116"/>
      <c r="U330" s="1116"/>
      <c r="V330" s="1116"/>
      <c r="W330" s="1116"/>
      <c r="X330" s="1116"/>
      <c r="Y330" s="1116"/>
      <c r="Z330" s="1116"/>
      <c r="AA330" s="1116"/>
      <c r="AB330" s="1116"/>
      <c r="AC330" s="1116"/>
      <c r="AD330" s="1116"/>
      <c r="AE330" s="1116"/>
      <c r="AF330" s="1116"/>
      <c r="AG330" s="1116"/>
      <c r="AH330" s="1116"/>
      <c r="AI330" s="1116"/>
      <c r="AJ330" s="1116"/>
      <c r="AK330" s="1116"/>
    </row>
    <row r="331" spans="1:37" x14ac:dyDescent="0.35">
      <c r="A331" s="1116"/>
      <c r="B331" s="1116"/>
      <c r="C331" s="1116"/>
      <c r="D331" s="1116"/>
      <c r="E331" s="1116"/>
      <c r="F331" s="1116"/>
      <c r="G331" s="1116"/>
      <c r="H331" s="1116"/>
      <c r="I331" s="1116"/>
      <c r="J331" s="1116"/>
      <c r="K331" s="1116"/>
      <c r="L331" s="1116"/>
      <c r="M331" s="1116"/>
      <c r="N331" s="1116"/>
      <c r="O331" s="1116"/>
      <c r="P331" s="1116"/>
      <c r="Q331" s="1116"/>
      <c r="R331" s="1116"/>
      <c r="S331" s="1116"/>
      <c r="T331" s="1116"/>
      <c r="U331" s="1116"/>
      <c r="V331" s="1116"/>
      <c r="W331" s="1116"/>
      <c r="X331" s="1116"/>
      <c r="Y331" s="1116"/>
      <c r="Z331" s="1116"/>
      <c r="AA331" s="1116"/>
      <c r="AB331" s="1116"/>
      <c r="AC331" s="1116"/>
      <c r="AD331" s="1116"/>
      <c r="AE331" s="1116"/>
      <c r="AF331" s="1116"/>
      <c r="AG331" s="1116"/>
      <c r="AH331" s="1116"/>
      <c r="AI331" s="1116"/>
      <c r="AJ331" s="1116"/>
      <c r="AK331" s="1116"/>
    </row>
    <row r="332" spans="1:37" x14ac:dyDescent="0.35">
      <c r="A332" s="1116"/>
      <c r="B332" s="1116"/>
      <c r="C332" s="1116"/>
      <c r="D332" s="1116"/>
      <c r="E332" s="1116"/>
      <c r="F332" s="1116"/>
      <c r="G332" s="1116"/>
      <c r="H332" s="1116"/>
      <c r="I332" s="1116"/>
      <c r="J332" s="1116"/>
      <c r="K332" s="1116"/>
      <c r="L332" s="1116"/>
      <c r="M332" s="1116"/>
      <c r="N332" s="1116"/>
      <c r="O332" s="1116"/>
      <c r="P332" s="1116"/>
      <c r="Q332" s="1116"/>
      <c r="R332" s="1116"/>
      <c r="S332" s="1116"/>
      <c r="T332" s="1116"/>
      <c r="U332" s="1116"/>
      <c r="V332" s="1116"/>
      <c r="W332" s="1116"/>
      <c r="X332" s="1116"/>
      <c r="Y332" s="1116"/>
      <c r="Z332" s="1116"/>
      <c r="AA332" s="1116"/>
      <c r="AB332" s="1116"/>
      <c r="AC332" s="1116"/>
      <c r="AD332" s="1116"/>
      <c r="AE332" s="1116"/>
      <c r="AF332" s="1116"/>
      <c r="AG332" s="1116"/>
      <c r="AH332" s="1116"/>
      <c r="AI332" s="1116"/>
      <c r="AJ332" s="1116"/>
      <c r="AK332" s="1116"/>
    </row>
    <row r="333" spans="1:37" x14ac:dyDescent="0.35">
      <c r="A333" s="1116"/>
      <c r="B333" s="1116"/>
      <c r="C333" s="1116"/>
      <c r="D333" s="1116"/>
      <c r="E333" s="1116"/>
      <c r="F333" s="1116"/>
      <c r="G333" s="1116"/>
      <c r="H333" s="1116"/>
      <c r="I333" s="1116"/>
      <c r="J333" s="1116"/>
      <c r="K333" s="1116"/>
      <c r="L333" s="1116"/>
      <c r="M333" s="1116"/>
      <c r="N333" s="1116"/>
      <c r="O333" s="1116"/>
      <c r="P333" s="1116"/>
      <c r="Q333" s="1116"/>
      <c r="R333" s="1116"/>
      <c r="S333" s="1116"/>
      <c r="T333" s="1116"/>
      <c r="U333" s="1116"/>
      <c r="V333" s="1116"/>
      <c r="W333" s="1116"/>
      <c r="X333" s="1116"/>
      <c r="Y333" s="1116"/>
      <c r="Z333" s="1116"/>
      <c r="AA333" s="1116"/>
      <c r="AB333" s="1116"/>
      <c r="AC333" s="1116"/>
      <c r="AD333" s="1116"/>
      <c r="AE333" s="1116"/>
      <c r="AF333" s="1116"/>
      <c r="AG333" s="1116"/>
      <c r="AH333" s="1116"/>
      <c r="AI333" s="1116"/>
      <c r="AJ333" s="1116"/>
      <c r="AK333" s="1116"/>
    </row>
    <row r="334" spans="1:37" x14ac:dyDescent="0.35">
      <c r="A334" s="1116"/>
      <c r="B334" s="1116"/>
      <c r="C334" s="1116"/>
      <c r="D334" s="1116"/>
      <c r="E334" s="1116"/>
      <c r="F334" s="1116"/>
      <c r="G334" s="1116"/>
      <c r="H334" s="1116"/>
      <c r="I334" s="1116"/>
      <c r="J334" s="1116"/>
      <c r="K334" s="1116"/>
      <c r="L334" s="1116"/>
      <c r="M334" s="1116"/>
      <c r="N334" s="1116"/>
      <c r="O334" s="1116"/>
      <c r="P334" s="1116"/>
      <c r="Q334" s="1116"/>
      <c r="R334" s="1116"/>
      <c r="S334" s="1116"/>
      <c r="T334" s="1116"/>
      <c r="U334" s="1116"/>
      <c r="V334" s="1116"/>
      <c r="W334" s="1116"/>
      <c r="X334" s="1116"/>
      <c r="Y334" s="1116"/>
      <c r="Z334" s="1116"/>
      <c r="AA334" s="1116"/>
      <c r="AB334" s="1116"/>
      <c r="AC334" s="1116"/>
      <c r="AD334" s="1116"/>
      <c r="AE334" s="1116"/>
      <c r="AF334" s="1116"/>
      <c r="AG334" s="1116"/>
      <c r="AH334" s="1116"/>
      <c r="AI334" s="1116"/>
      <c r="AJ334" s="1116"/>
      <c r="AK334" s="1116"/>
    </row>
    <row r="335" spans="1:37" x14ac:dyDescent="0.35">
      <c r="A335" s="1116"/>
      <c r="B335" s="1116"/>
      <c r="C335" s="1116"/>
      <c r="D335" s="1116"/>
      <c r="E335" s="1116"/>
      <c r="F335" s="1116"/>
      <c r="G335" s="1116"/>
      <c r="H335" s="1116"/>
      <c r="I335" s="1116"/>
      <c r="J335" s="1116"/>
      <c r="K335" s="1116"/>
      <c r="L335" s="1116"/>
      <c r="M335" s="1116"/>
      <c r="N335" s="1116"/>
      <c r="O335" s="1116"/>
      <c r="P335" s="1116"/>
      <c r="Q335" s="1116"/>
      <c r="R335" s="1116"/>
      <c r="S335" s="1116"/>
      <c r="T335" s="1116"/>
      <c r="U335" s="1116"/>
      <c r="V335" s="1116"/>
      <c r="W335" s="1116"/>
      <c r="X335" s="1116"/>
      <c r="Y335" s="1116"/>
      <c r="Z335" s="1116"/>
      <c r="AA335" s="1116"/>
      <c r="AB335" s="1116"/>
      <c r="AC335" s="1116"/>
      <c r="AD335" s="1116"/>
      <c r="AE335" s="1116"/>
      <c r="AF335" s="1116"/>
      <c r="AG335" s="1116"/>
      <c r="AH335" s="1116"/>
      <c r="AI335" s="1116"/>
      <c r="AJ335" s="1116"/>
      <c r="AK335" s="1116"/>
    </row>
    <row r="336" spans="1:37" x14ac:dyDescent="0.35">
      <c r="A336" s="1116"/>
      <c r="B336" s="1116"/>
      <c r="C336" s="1116"/>
      <c r="D336" s="1116"/>
      <c r="E336" s="1116"/>
      <c r="F336" s="1116"/>
      <c r="G336" s="1116"/>
      <c r="H336" s="1116"/>
      <c r="I336" s="1116"/>
      <c r="J336" s="1116"/>
      <c r="K336" s="1116"/>
      <c r="L336" s="1116"/>
      <c r="M336" s="1116"/>
      <c r="N336" s="1116"/>
      <c r="O336" s="1116"/>
      <c r="P336" s="1116"/>
      <c r="Q336" s="1116"/>
      <c r="R336" s="1116"/>
      <c r="S336" s="1116"/>
      <c r="T336" s="1116"/>
      <c r="U336" s="1116"/>
      <c r="V336" s="1116"/>
      <c r="W336" s="1116"/>
      <c r="X336" s="1116"/>
      <c r="Y336" s="1116"/>
      <c r="Z336" s="1116"/>
      <c r="AA336" s="1116"/>
      <c r="AB336" s="1116"/>
      <c r="AC336" s="1116"/>
      <c r="AD336" s="1116"/>
      <c r="AE336" s="1116"/>
      <c r="AF336" s="1116"/>
      <c r="AG336" s="1116"/>
      <c r="AH336" s="1116"/>
      <c r="AI336" s="1116"/>
      <c r="AJ336" s="1116"/>
      <c r="AK336" s="1116"/>
    </row>
    <row r="337" spans="1:37" x14ac:dyDescent="0.35">
      <c r="A337" s="1116"/>
      <c r="B337" s="1116"/>
      <c r="C337" s="1116"/>
      <c r="D337" s="1116"/>
      <c r="E337" s="1116"/>
      <c r="F337" s="1116"/>
      <c r="G337" s="1116"/>
      <c r="H337" s="1116"/>
      <c r="I337" s="1116"/>
      <c r="J337" s="1116"/>
      <c r="K337" s="1116"/>
      <c r="L337" s="1116"/>
      <c r="M337" s="1116"/>
      <c r="N337" s="1116"/>
      <c r="O337" s="1116"/>
      <c r="P337" s="1116"/>
      <c r="Q337" s="1116"/>
      <c r="R337" s="1116"/>
      <c r="S337" s="1116"/>
      <c r="T337" s="1116"/>
      <c r="U337" s="1116"/>
      <c r="V337" s="1116"/>
      <c r="W337" s="1116"/>
      <c r="X337" s="1116"/>
      <c r="Y337" s="1116"/>
      <c r="Z337" s="1116"/>
      <c r="AA337" s="1116"/>
      <c r="AB337" s="1116"/>
      <c r="AC337" s="1116"/>
      <c r="AD337" s="1116"/>
      <c r="AE337" s="1116"/>
      <c r="AF337" s="1116"/>
      <c r="AG337" s="1116"/>
      <c r="AH337" s="1116"/>
      <c r="AI337" s="1116"/>
      <c r="AJ337" s="1116"/>
      <c r="AK337" s="1116"/>
    </row>
    <row r="338" spans="1:37" x14ac:dyDescent="0.35">
      <c r="A338" s="1116"/>
      <c r="B338" s="1116"/>
      <c r="C338" s="1116"/>
      <c r="D338" s="1116"/>
      <c r="E338" s="1116"/>
      <c r="F338" s="1116"/>
      <c r="G338" s="1116"/>
      <c r="H338" s="1116"/>
      <c r="I338" s="1116"/>
      <c r="J338" s="1116"/>
      <c r="K338" s="1116"/>
      <c r="L338" s="1116"/>
      <c r="M338" s="1116"/>
      <c r="N338" s="1116"/>
      <c r="O338" s="1116"/>
      <c r="P338" s="1116"/>
      <c r="Q338" s="1116"/>
      <c r="R338" s="1116"/>
      <c r="S338" s="1116"/>
      <c r="T338" s="1116"/>
      <c r="U338" s="1116"/>
      <c r="V338" s="1116"/>
      <c r="W338" s="1116"/>
      <c r="X338" s="1116"/>
      <c r="Y338" s="1116"/>
      <c r="Z338" s="1116"/>
      <c r="AA338" s="1116"/>
      <c r="AB338" s="1116"/>
      <c r="AC338" s="1116"/>
      <c r="AD338" s="1116"/>
      <c r="AE338" s="1116"/>
      <c r="AF338" s="1116"/>
      <c r="AG338" s="1116"/>
      <c r="AH338" s="1116"/>
      <c r="AI338" s="1116"/>
      <c r="AJ338" s="1116"/>
      <c r="AK338" s="1116"/>
    </row>
    <row r="339" spans="1:37" x14ac:dyDescent="0.35">
      <c r="A339" s="1116"/>
      <c r="B339" s="1116"/>
      <c r="C339" s="1116"/>
      <c r="D339" s="1116"/>
      <c r="E339" s="1116"/>
      <c r="F339" s="1116"/>
      <c r="G339" s="1116"/>
      <c r="H339" s="1116"/>
      <c r="I339" s="1116"/>
      <c r="J339" s="1116"/>
      <c r="K339" s="1116"/>
      <c r="L339" s="1116"/>
      <c r="M339" s="1116"/>
      <c r="N339" s="1116"/>
      <c r="O339" s="1116"/>
      <c r="P339" s="1116"/>
      <c r="Q339" s="1116"/>
      <c r="R339" s="1116"/>
      <c r="S339" s="1116"/>
      <c r="T339" s="1116"/>
      <c r="U339" s="1116"/>
      <c r="V339" s="1116"/>
      <c r="W339" s="1116"/>
      <c r="X339" s="1116"/>
      <c r="Y339" s="1116"/>
      <c r="Z339" s="1116"/>
      <c r="AA339" s="1116"/>
      <c r="AB339" s="1116"/>
      <c r="AC339" s="1116"/>
      <c r="AD339" s="1116"/>
      <c r="AE339" s="1116"/>
      <c r="AF339" s="1116"/>
      <c r="AG339" s="1116"/>
      <c r="AH339" s="1116"/>
      <c r="AI339" s="1116"/>
      <c r="AJ339" s="1116"/>
      <c r="AK339" s="1116"/>
    </row>
    <row r="340" spans="1:37" x14ac:dyDescent="0.35">
      <c r="A340" s="1116"/>
      <c r="B340" s="1116"/>
      <c r="C340" s="1116"/>
      <c r="D340" s="1116"/>
      <c r="E340" s="1116"/>
      <c r="F340" s="1116"/>
      <c r="G340" s="1116"/>
      <c r="H340" s="1116"/>
      <c r="I340" s="1116"/>
      <c r="J340" s="1116"/>
      <c r="K340" s="1116"/>
      <c r="L340" s="1116"/>
      <c r="M340" s="1116"/>
      <c r="N340" s="1116"/>
      <c r="O340" s="1116"/>
      <c r="P340" s="1116"/>
      <c r="Q340" s="1116"/>
      <c r="R340" s="1116"/>
      <c r="S340" s="1116"/>
      <c r="T340" s="1116"/>
      <c r="U340" s="1116"/>
      <c r="V340" s="1116"/>
      <c r="W340" s="1116"/>
      <c r="X340" s="1116"/>
      <c r="Y340" s="1116"/>
      <c r="Z340" s="1116"/>
      <c r="AA340" s="1116"/>
      <c r="AB340" s="1116"/>
      <c r="AC340" s="1116"/>
      <c r="AD340" s="1116"/>
      <c r="AE340" s="1116"/>
      <c r="AF340" s="1116"/>
      <c r="AG340" s="1116"/>
      <c r="AH340" s="1116"/>
      <c r="AI340" s="1116"/>
      <c r="AJ340" s="1116"/>
      <c r="AK340" s="1116"/>
    </row>
    <row r="341" spans="1:37" x14ac:dyDescent="0.35">
      <c r="A341" s="1116"/>
      <c r="B341" s="1116"/>
      <c r="C341" s="1116"/>
      <c r="D341" s="1116"/>
      <c r="E341" s="1116"/>
      <c r="F341" s="1116"/>
      <c r="G341" s="1116"/>
      <c r="H341" s="1116"/>
      <c r="I341" s="1116"/>
      <c r="J341" s="1116"/>
      <c r="K341" s="1116"/>
      <c r="L341" s="1116"/>
      <c r="M341" s="1116"/>
      <c r="N341" s="1116"/>
      <c r="O341" s="1116"/>
      <c r="P341" s="1116"/>
      <c r="Q341" s="1116"/>
      <c r="R341" s="1116"/>
      <c r="S341" s="1116"/>
      <c r="T341" s="1116"/>
      <c r="U341" s="1116"/>
      <c r="V341" s="1116"/>
      <c r="W341" s="1116"/>
      <c r="X341" s="1116"/>
      <c r="Y341" s="1116"/>
      <c r="Z341" s="1116"/>
      <c r="AA341" s="1116"/>
      <c r="AB341" s="1116"/>
      <c r="AC341" s="1116"/>
      <c r="AD341" s="1116"/>
      <c r="AE341" s="1116"/>
      <c r="AF341" s="1116"/>
      <c r="AG341" s="1116"/>
      <c r="AH341" s="1116"/>
      <c r="AI341" s="1116"/>
      <c r="AJ341" s="1116"/>
      <c r="AK341" s="1116"/>
    </row>
    <row r="342" spans="1:37" x14ac:dyDescent="0.35">
      <c r="A342" s="1116"/>
      <c r="B342" s="1116"/>
      <c r="C342" s="1116"/>
      <c r="D342" s="1116"/>
      <c r="E342" s="1116"/>
      <c r="F342" s="1116"/>
      <c r="G342" s="1116"/>
      <c r="H342" s="1116"/>
      <c r="I342" s="1116"/>
      <c r="J342" s="1116"/>
      <c r="K342" s="1116"/>
      <c r="L342" s="1116"/>
      <c r="M342" s="1116"/>
      <c r="N342" s="1116"/>
      <c r="O342" s="1116"/>
      <c r="P342" s="1116"/>
      <c r="Q342" s="1116"/>
      <c r="R342" s="1116"/>
      <c r="S342" s="1116"/>
      <c r="T342" s="1116"/>
      <c r="U342" s="1116"/>
      <c r="V342" s="1116"/>
      <c r="W342" s="1116"/>
      <c r="X342" s="1116"/>
      <c r="Y342" s="1116"/>
      <c r="Z342" s="1116"/>
      <c r="AA342" s="1116"/>
      <c r="AB342" s="1116"/>
      <c r="AC342" s="1116"/>
      <c r="AD342" s="1116"/>
      <c r="AE342" s="1116"/>
      <c r="AF342" s="1116"/>
      <c r="AG342" s="1116"/>
      <c r="AH342" s="1116"/>
      <c r="AI342" s="1116"/>
      <c r="AJ342" s="1116"/>
      <c r="AK342" s="1116"/>
    </row>
    <row r="343" spans="1:37" x14ac:dyDescent="0.35">
      <c r="A343" s="1116"/>
      <c r="B343" s="1116"/>
      <c r="C343" s="1116"/>
      <c r="D343" s="1116"/>
      <c r="E343" s="1116"/>
      <c r="F343" s="1116"/>
      <c r="G343" s="1116"/>
      <c r="H343" s="1116"/>
      <c r="I343" s="1116"/>
      <c r="J343" s="1116"/>
      <c r="K343" s="1116"/>
      <c r="L343" s="1116"/>
      <c r="M343" s="1116"/>
      <c r="N343" s="1116"/>
      <c r="O343" s="1116"/>
      <c r="P343" s="1116"/>
      <c r="Q343" s="1116"/>
      <c r="R343" s="1116"/>
      <c r="S343" s="1116"/>
      <c r="T343" s="1116"/>
      <c r="U343" s="1116"/>
      <c r="V343" s="1116"/>
      <c r="W343" s="1116"/>
      <c r="X343" s="1116"/>
      <c r="Y343" s="1116"/>
      <c r="Z343" s="1116"/>
      <c r="AA343" s="1116"/>
      <c r="AB343" s="1116"/>
      <c r="AC343" s="1116"/>
      <c r="AD343" s="1116"/>
      <c r="AE343" s="1116"/>
      <c r="AF343" s="1116"/>
      <c r="AG343" s="1116"/>
      <c r="AH343" s="1116"/>
      <c r="AI343" s="1116"/>
      <c r="AJ343" s="1116"/>
      <c r="AK343" s="1116"/>
    </row>
    <row r="344" spans="1:37" x14ac:dyDescent="0.35">
      <c r="A344" s="1116"/>
      <c r="B344" s="1116"/>
      <c r="C344" s="1116"/>
      <c r="D344" s="1116"/>
      <c r="E344" s="1116"/>
      <c r="F344" s="1116"/>
      <c r="G344" s="1116"/>
      <c r="H344" s="1116"/>
      <c r="I344" s="1116"/>
      <c r="J344" s="1116"/>
      <c r="K344" s="1116"/>
      <c r="L344" s="1116"/>
      <c r="M344" s="1116"/>
      <c r="N344" s="1116"/>
      <c r="O344" s="1116"/>
      <c r="P344" s="1116"/>
      <c r="Q344" s="1116"/>
      <c r="R344" s="1116"/>
      <c r="S344" s="1116"/>
      <c r="T344" s="1116"/>
      <c r="U344" s="1116"/>
      <c r="V344" s="1116"/>
      <c r="W344" s="1116"/>
      <c r="X344" s="1116"/>
      <c r="Y344" s="1116"/>
      <c r="Z344" s="1116"/>
      <c r="AA344" s="1116"/>
      <c r="AB344" s="1116"/>
      <c r="AC344" s="1116"/>
      <c r="AD344" s="1116"/>
      <c r="AE344" s="1116"/>
      <c r="AF344" s="1116"/>
      <c r="AG344" s="1116"/>
      <c r="AH344" s="1116"/>
      <c r="AI344" s="1116"/>
      <c r="AJ344" s="1116"/>
      <c r="AK344" s="1116"/>
    </row>
    <row r="345" spans="1:37" x14ac:dyDescent="0.35">
      <c r="A345" s="1116"/>
      <c r="B345" s="1116"/>
      <c r="C345" s="1116"/>
      <c r="D345" s="1116"/>
      <c r="E345" s="1116"/>
      <c r="F345" s="1116"/>
      <c r="G345" s="1116"/>
      <c r="H345" s="1116"/>
      <c r="I345" s="1116"/>
      <c r="J345" s="1116"/>
      <c r="K345" s="1116"/>
      <c r="L345" s="1116"/>
      <c r="M345" s="1116"/>
      <c r="N345" s="1116"/>
      <c r="O345" s="1116"/>
      <c r="P345" s="1116"/>
      <c r="Q345" s="1116"/>
      <c r="R345" s="1116"/>
      <c r="S345" s="1116"/>
      <c r="T345" s="1116"/>
      <c r="U345" s="1116"/>
      <c r="V345" s="1116"/>
      <c r="W345" s="1116"/>
      <c r="X345" s="1116"/>
      <c r="Y345" s="1116"/>
      <c r="Z345" s="1116"/>
      <c r="AA345" s="1116"/>
      <c r="AB345" s="1116"/>
      <c r="AC345" s="1116"/>
      <c r="AD345" s="1116"/>
      <c r="AE345" s="1116"/>
      <c r="AF345" s="1116"/>
      <c r="AG345" s="1116"/>
      <c r="AH345" s="1116"/>
      <c r="AI345" s="1116"/>
      <c r="AJ345" s="1116"/>
      <c r="AK345" s="1116"/>
    </row>
    <row r="346" spans="1:37" x14ac:dyDescent="0.35">
      <c r="A346" s="1116"/>
      <c r="B346" s="1116"/>
      <c r="C346" s="1116"/>
      <c r="D346" s="1116"/>
      <c r="E346" s="1116"/>
      <c r="F346" s="1116"/>
      <c r="G346" s="1116"/>
      <c r="H346" s="1116"/>
      <c r="I346" s="1116"/>
      <c r="J346" s="1116"/>
      <c r="K346" s="1116"/>
      <c r="L346" s="1116"/>
      <c r="M346" s="1116"/>
      <c r="N346" s="1116"/>
      <c r="O346" s="1116"/>
      <c r="P346" s="1116"/>
      <c r="Q346" s="1116"/>
      <c r="R346" s="1116"/>
      <c r="S346" s="1116"/>
      <c r="T346" s="1116"/>
      <c r="U346" s="1116"/>
      <c r="V346" s="1116"/>
      <c r="W346" s="1116"/>
      <c r="X346" s="1116"/>
      <c r="Y346" s="1116"/>
      <c r="Z346" s="1116"/>
      <c r="AA346" s="1116"/>
      <c r="AB346" s="1116"/>
      <c r="AC346" s="1116"/>
      <c r="AD346" s="1116"/>
      <c r="AE346" s="1116"/>
      <c r="AF346" s="1116"/>
      <c r="AG346" s="1116"/>
      <c r="AH346" s="1116"/>
      <c r="AI346" s="1116"/>
      <c r="AJ346" s="1116"/>
      <c r="AK346" s="1116"/>
    </row>
    <row r="347" spans="1:37" x14ac:dyDescent="0.35">
      <c r="A347" s="1116"/>
      <c r="B347" s="1116"/>
      <c r="C347" s="1116"/>
      <c r="D347" s="1116"/>
      <c r="E347" s="1116"/>
      <c r="F347" s="1116"/>
      <c r="G347" s="1116"/>
      <c r="H347" s="1116"/>
      <c r="I347" s="1116"/>
      <c r="J347" s="1116"/>
      <c r="K347" s="1116"/>
      <c r="L347" s="1116"/>
      <c r="M347" s="1116"/>
      <c r="N347" s="1116"/>
      <c r="O347" s="1116"/>
      <c r="P347" s="1116"/>
      <c r="Q347" s="1116"/>
      <c r="R347" s="1116"/>
      <c r="S347" s="1116"/>
      <c r="T347" s="1116"/>
      <c r="U347" s="1116"/>
      <c r="V347" s="1116"/>
      <c r="W347" s="1116"/>
      <c r="X347" s="1116"/>
      <c r="Y347" s="1116"/>
      <c r="Z347" s="1116"/>
      <c r="AA347" s="1116"/>
      <c r="AB347" s="1116"/>
      <c r="AC347" s="1116"/>
      <c r="AD347" s="1116"/>
      <c r="AE347" s="1116"/>
      <c r="AF347" s="1116"/>
      <c r="AG347" s="1116"/>
      <c r="AH347" s="1116"/>
      <c r="AI347" s="1116"/>
      <c r="AJ347" s="1116"/>
      <c r="AK347" s="1116"/>
    </row>
    <row r="348" spans="1:37" x14ac:dyDescent="0.35">
      <c r="A348" s="1116"/>
      <c r="B348" s="1116"/>
      <c r="C348" s="1116"/>
      <c r="D348" s="1116"/>
      <c r="E348" s="1116"/>
      <c r="F348" s="1116"/>
      <c r="G348" s="1116"/>
      <c r="H348" s="1116"/>
      <c r="I348" s="1116"/>
      <c r="J348" s="1116"/>
      <c r="K348" s="1116"/>
      <c r="L348" s="1116"/>
      <c r="M348" s="1116"/>
      <c r="N348" s="1116"/>
      <c r="O348" s="1116"/>
      <c r="P348" s="1116"/>
      <c r="Q348" s="1116"/>
      <c r="R348" s="1116"/>
      <c r="S348" s="1116"/>
      <c r="T348" s="1116"/>
      <c r="U348" s="1116"/>
      <c r="V348" s="1116"/>
      <c r="W348" s="1116"/>
      <c r="X348" s="1116"/>
      <c r="Y348" s="1116"/>
      <c r="Z348" s="1116"/>
      <c r="AA348" s="1116"/>
      <c r="AB348" s="1116"/>
      <c r="AC348" s="1116"/>
      <c r="AD348" s="1116"/>
      <c r="AE348" s="1116"/>
      <c r="AF348" s="1116"/>
      <c r="AG348" s="1116"/>
      <c r="AH348" s="1116"/>
      <c r="AI348" s="1116"/>
      <c r="AJ348" s="1116"/>
      <c r="AK348" s="1116"/>
    </row>
    <row r="349" spans="1:37" x14ac:dyDescent="0.35">
      <c r="A349" s="1116"/>
      <c r="B349" s="1116"/>
      <c r="C349" s="1116"/>
      <c r="D349" s="1116"/>
      <c r="E349" s="1116"/>
      <c r="F349" s="1116"/>
      <c r="G349" s="1116"/>
      <c r="H349" s="1116"/>
      <c r="I349" s="1116"/>
      <c r="J349" s="1116"/>
      <c r="K349" s="1116"/>
      <c r="L349" s="1116"/>
      <c r="M349" s="1116"/>
      <c r="N349" s="1116"/>
      <c r="O349" s="1116"/>
      <c r="P349" s="1116"/>
      <c r="Q349" s="1116"/>
      <c r="R349" s="1116"/>
      <c r="S349" s="1116"/>
      <c r="T349" s="1116"/>
      <c r="U349" s="1116"/>
      <c r="V349" s="1116"/>
      <c r="W349" s="1116"/>
      <c r="X349" s="1116"/>
      <c r="Y349" s="1116"/>
      <c r="Z349" s="1116"/>
      <c r="AA349" s="1116"/>
      <c r="AB349" s="1116"/>
      <c r="AC349" s="1116"/>
      <c r="AD349" s="1116"/>
      <c r="AE349" s="1116"/>
      <c r="AF349" s="1116"/>
      <c r="AG349" s="1116"/>
      <c r="AH349" s="1116"/>
      <c r="AI349" s="1116"/>
      <c r="AJ349" s="1116"/>
      <c r="AK349" s="1116"/>
    </row>
    <row r="350" spans="1:37" x14ac:dyDescent="0.35">
      <c r="A350" s="1116"/>
      <c r="B350" s="1116"/>
      <c r="C350" s="1116"/>
      <c r="D350" s="1116"/>
      <c r="E350" s="1116"/>
      <c r="F350" s="1116"/>
      <c r="G350" s="1116"/>
      <c r="H350" s="1116"/>
      <c r="I350" s="1116"/>
      <c r="J350" s="1116"/>
      <c r="K350" s="1116"/>
      <c r="L350" s="1116"/>
      <c r="M350" s="1116"/>
      <c r="N350" s="1116"/>
      <c r="O350" s="1116"/>
      <c r="P350" s="1116"/>
      <c r="Q350" s="1116"/>
      <c r="R350" s="1116"/>
      <c r="S350" s="1116"/>
      <c r="T350" s="1116"/>
      <c r="U350" s="1116"/>
      <c r="V350" s="1116"/>
      <c r="W350" s="1116"/>
      <c r="X350" s="1116"/>
      <c r="Y350" s="1116"/>
      <c r="Z350" s="1116"/>
      <c r="AA350" s="1116"/>
      <c r="AB350" s="1116"/>
      <c r="AC350" s="1116"/>
      <c r="AD350" s="1116"/>
      <c r="AE350" s="1116"/>
      <c r="AF350" s="1116"/>
      <c r="AG350" s="1116"/>
      <c r="AH350" s="1116"/>
      <c r="AI350" s="1116"/>
      <c r="AJ350" s="1116"/>
      <c r="AK350" s="1116"/>
    </row>
    <row r="351" spans="1:37" x14ac:dyDescent="0.35">
      <c r="A351" s="1116"/>
      <c r="B351" s="1116"/>
      <c r="C351" s="1116"/>
      <c r="D351" s="1116"/>
      <c r="E351" s="1116"/>
      <c r="F351" s="1116"/>
      <c r="G351" s="1116"/>
      <c r="H351" s="1116"/>
      <c r="I351" s="1116"/>
      <c r="J351" s="1116"/>
      <c r="K351" s="1116"/>
      <c r="L351" s="1116"/>
      <c r="M351" s="1116"/>
      <c r="N351" s="1116"/>
      <c r="O351" s="1116"/>
      <c r="P351" s="1116"/>
      <c r="Q351" s="1116"/>
      <c r="R351" s="1116"/>
      <c r="S351" s="1116"/>
      <c r="T351" s="1116"/>
      <c r="U351" s="1116"/>
      <c r="V351" s="1116"/>
      <c r="W351" s="1116"/>
      <c r="X351" s="1116"/>
      <c r="Y351" s="1116"/>
      <c r="Z351" s="1116"/>
      <c r="AA351" s="1116"/>
      <c r="AB351" s="1116"/>
      <c r="AC351" s="1116"/>
      <c r="AD351" s="1116"/>
      <c r="AE351" s="1116"/>
      <c r="AF351" s="1116"/>
      <c r="AG351" s="1116"/>
      <c r="AH351" s="1116"/>
      <c r="AI351" s="1116"/>
      <c r="AJ351" s="1116"/>
      <c r="AK351" s="1116"/>
    </row>
    <row r="352" spans="1:37" x14ac:dyDescent="0.35">
      <c r="A352" s="1116"/>
      <c r="B352" s="1116"/>
      <c r="C352" s="1116"/>
      <c r="D352" s="1116"/>
      <c r="E352" s="1116"/>
      <c r="F352" s="1116"/>
      <c r="G352" s="1116"/>
      <c r="H352" s="1116"/>
      <c r="I352" s="1116"/>
      <c r="J352" s="1116"/>
      <c r="K352" s="1116"/>
      <c r="L352" s="1116"/>
      <c r="M352" s="1116"/>
      <c r="N352" s="1116"/>
      <c r="O352" s="1116"/>
      <c r="P352" s="1116"/>
      <c r="Q352" s="1116"/>
      <c r="R352" s="1116"/>
      <c r="S352" s="1116"/>
      <c r="T352" s="1116"/>
      <c r="U352" s="1116"/>
      <c r="V352" s="1116"/>
      <c r="W352" s="1116"/>
      <c r="X352" s="1116"/>
      <c r="Y352" s="1116"/>
      <c r="Z352" s="1116"/>
      <c r="AA352" s="1116"/>
      <c r="AB352" s="1116"/>
      <c r="AC352" s="1116"/>
      <c r="AD352" s="1116"/>
      <c r="AE352" s="1116"/>
      <c r="AF352" s="1116"/>
      <c r="AG352" s="1116"/>
      <c r="AH352" s="1116"/>
      <c r="AI352" s="1116"/>
      <c r="AJ352" s="1116"/>
      <c r="AK352" s="1116"/>
    </row>
    <row r="353" spans="1:37" x14ac:dyDescent="0.35">
      <c r="A353" s="1116"/>
      <c r="B353" s="1116"/>
      <c r="C353" s="1116"/>
      <c r="D353" s="1116"/>
      <c r="E353" s="1116"/>
      <c r="F353" s="1116"/>
      <c r="G353" s="1116"/>
      <c r="H353" s="1116"/>
      <c r="I353" s="1116"/>
      <c r="J353" s="1116"/>
      <c r="K353" s="1116"/>
      <c r="L353" s="1116"/>
      <c r="M353" s="1116"/>
      <c r="N353" s="1116"/>
      <c r="O353" s="1116"/>
      <c r="P353" s="1116"/>
      <c r="Q353" s="1116"/>
      <c r="R353" s="1116"/>
      <c r="S353" s="1116"/>
      <c r="T353" s="1116"/>
      <c r="U353" s="1116"/>
      <c r="V353" s="1116"/>
      <c r="W353" s="1116"/>
      <c r="X353" s="1116"/>
      <c r="Y353" s="1116"/>
      <c r="Z353" s="1116"/>
      <c r="AA353" s="1116"/>
      <c r="AB353" s="1116"/>
      <c r="AC353" s="1116"/>
      <c r="AD353" s="1116"/>
      <c r="AE353" s="1116"/>
      <c r="AF353" s="1116"/>
      <c r="AG353" s="1116"/>
      <c r="AH353" s="1116"/>
      <c r="AI353" s="1116"/>
      <c r="AJ353" s="1116"/>
      <c r="AK353" s="1116"/>
    </row>
    <row r="354" spans="1:37" x14ac:dyDescent="0.35">
      <c r="A354" s="1116"/>
      <c r="B354" s="1116"/>
      <c r="C354" s="1116"/>
      <c r="D354" s="1116"/>
      <c r="E354" s="1116"/>
      <c r="F354" s="1116"/>
      <c r="G354" s="1116"/>
      <c r="H354" s="1116"/>
      <c r="I354" s="1116"/>
      <c r="J354" s="1116"/>
      <c r="K354" s="1116"/>
      <c r="L354" s="1116"/>
      <c r="M354" s="1116"/>
      <c r="N354" s="1116"/>
      <c r="O354" s="1116"/>
      <c r="P354" s="1116"/>
      <c r="Q354" s="1116"/>
      <c r="R354" s="1116"/>
      <c r="S354" s="1116"/>
      <c r="T354" s="1116"/>
      <c r="U354" s="1116"/>
      <c r="V354" s="1116"/>
      <c r="W354" s="1116"/>
      <c r="X354" s="1116"/>
      <c r="Y354" s="1116"/>
      <c r="Z354" s="1116"/>
      <c r="AA354" s="1116"/>
      <c r="AB354" s="1116"/>
      <c r="AC354" s="1116"/>
      <c r="AD354" s="1116"/>
      <c r="AE354" s="1116"/>
      <c r="AF354" s="1116"/>
      <c r="AG354" s="1116"/>
      <c r="AH354" s="1116"/>
      <c r="AI354" s="1116"/>
      <c r="AJ354" s="1116"/>
      <c r="AK354" s="1116"/>
    </row>
    <row r="355" spans="1:37" x14ac:dyDescent="0.35">
      <c r="A355" s="1116"/>
      <c r="B355" s="1116"/>
      <c r="C355" s="1116"/>
      <c r="D355" s="1116"/>
      <c r="E355" s="1116"/>
      <c r="F355" s="1116"/>
      <c r="G355" s="1116"/>
      <c r="H355" s="1116"/>
      <c r="I355" s="1116"/>
      <c r="J355" s="1116"/>
      <c r="K355" s="1116"/>
      <c r="L355" s="1116"/>
      <c r="M355" s="1116"/>
      <c r="N355" s="1116"/>
      <c r="O355" s="1116"/>
      <c r="P355" s="1116"/>
      <c r="Q355" s="1116"/>
      <c r="R355" s="1116"/>
      <c r="S355" s="1116"/>
      <c r="T355" s="1116"/>
      <c r="U355" s="1116"/>
      <c r="V355" s="1116"/>
      <c r="W355" s="1116"/>
      <c r="X355" s="1116"/>
      <c r="Y355" s="1116"/>
      <c r="Z355" s="1116"/>
      <c r="AA355" s="1116"/>
      <c r="AB355" s="1116"/>
      <c r="AC355" s="1116"/>
      <c r="AD355" s="1116"/>
      <c r="AE355" s="1116"/>
      <c r="AF355" s="1116"/>
      <c r="AG355" s="1116"/>
      <c r="AH355" s="1116"/>
      <c r="AI355" s="1116"/>
      <c r="AJ355" s="1116"/>
      <c r="AK355" s="1116"/>
    </row>
    <row r="356" spans="1:37" x14ac:dyDescent="0.35">
      <c r="A356" s="1116"/>
      <c r="B356" s="1116"/>
      <c r="C356" s="1116"/>
      <c r="D356" s="1116"/>
      <c r="E356" s="1116"/>
      <c r="F356" s="1116"/>
      <c r="G356" s="1116"/>
      <c r="H356" s="1116"/>
      <c r="I356" s="1116"/>
      <c r="J356" s="1116"/>
      <c r="K356" s="1116"/>
      <c r="L356" s="1116"/>
      <c r="M356" s="1116"/>
      <c r="N356" s="1116"/>
      <c r="O356" s="1116"/>
      <c r="P356" s="1116"/>
      <c r="Q356" s="1116"/>
      <c r="R356" s="1116"/>
      <c r="S356" s="1116"/>
      <c r="T356" s="1116"/>
      <c r="U356" s="1116"/>
      <c r="V356" s="1116"/>
      <c r="W356" s="1116"/>
      <c r="X356" s="1116"/>
      <c r="Y356" s="1116"/>
      <c r="Z356" s="1116"/>
      <c r="AA356" s="1116"/>
      <c r="AB356" s="1116"/>
      <c r="AC356" s="1116"/>
      <c r="AD356" s="1116"/>
      <c r="AE356" s="1116"/>
      <c r="AF356" s="1116"/>
      <c r="AG356" s="1116"/>
      <c r="AH356" s="1116"/>
      <c r="AI356" s="1116"/>
      <c r="AJ356" s="1116"/>
      <c r="AK356" s="1116"/>
    </row>
    <row r="357" spans="1:37" x14ac:dyDescent="0.35">
      <c r="A357" s="1116"/>
      <c r="B357" s="1116"/>
      <c r="C357" s="1116"/>
      <c r="D357" s="1116"/>
      <c r="E357" s="1116"/>
      <c r="F357" s="1116"/>
      <c r="G357" s="1116"/>
      <c r="H357" s="1116"/>
      <c r="I357" s="1116"/>
      <c r="J357" s="1116"/>
      <c r="K357" s="1116"/>
      <c r="L357" s="1116"/>
      <c r="M357" s="1116"/>
      <c r="N357" s="1116"/>
      <c r="O357" s="1116"/>
      <c r="P357" s="1116"/>
      <c r="Q357" s="1116"/>
      <c r="R357" s="1116"/>
      <c r="S357" s="1116"/>
      <c r="T357" s="1116"/>
      <c r="U357" s="1116"/>
      <c r="V357" s="1116"/>
      <c r="W357" s="1116"/>
      <c r="X357" s="1116"/>
      <c r="Y357" s="1116"/>
      <c r="Z357" s="1116"/>
      <c r="AA357" s="1116"/>
      <c r="AB357" s="1116"/>
      <c r="AC357" s="1116"/>
      <c r="AD357" s="1116"/>
      <c r="AE357" s="1116"/>
      <c r="AF357" s="1116"/>
      <c r="AG357" s="1116"/>
      <c r="AH357" s="1116"/>
      <c r="AI357" s="1116"/>
      <c r="AJ357" s="1116"/>
      <c r="AK357" s="1116"/>
    </row>
    <row r="358" spans="1:37" x14ac:dyDescent="0.35">
      <c r="A358" s="1116"/>
      <c r="B358" s="1116"/>
      <c r="C358" s="1116"/>
      <c r="D358" s="1116"/>
      <c r="E358" s="1116"/>
      <c r="F358" s="1116"/>
      <c r="G358" s="1116"/>
      <c r="H358" s="1116"/>
      <c r="I358" s="1116"/>
      <c r="J358" s="1116"/>
      <c r="K358" s="1116"/>
      <c r="L358" s="1116"/>
      <c r="M358" s="1116"/>
      <c r="N358" s="1116"/>
      <c r="O358" s="1116"/>
      <c r="P358" s="1116"/>
      <c r="Q358" s="1116"/>
      <c r="R358" s="1116"/>
      <c r="S358" s="1116"/>
      <c r="T358" s="1116"/>
      <c r="U358" s="1116"/>
      <c r="V358" s="1116"/>
      <c r="W358" s="1116"/>
      <c r="X358" s="1116"/>
      <c r="Y358" s="1116"/>
      <c r="Z358" s="1116"/>
      <c r="AA358" s="1116"/>
      <c r="AB358" s="1116"/>
      <c r="AC358" s="1116"/>
      <c r="AD358" s="1116"/>
      <c r="AE358" s="1116"/>
      <c r="AF358" s="1116"/>
      <c r="AG358" s="1116"/>
      <c r="AH358" s="1116"/>
      <c r="AI358" s="1116"/>
      <c r="AJ358" s="1116"/>
      <c r="AK358" s="1116"/>
    </row>
    <row r="359" spans="1:37" x14ac:dyDescent="0.35">
      <c r="A359" s="1116"/>
      <c r="B359" s="1116"/>
      <c r="C359" s="1116"/>
      <c r="D359" s="1116"/>
      <c r="E359" s="1116"/>
      <c r="F359" s="1116"/>
      <c r="G359" s="1116"/>
      <c r="H359" s="1116"/>
      <c r="I359" s="1116"/>
      <c r="J359" s="1116"/>
      <c r="K359" s="1116"/>
      <c r="L359" s="1116"/>
      <c r="M359" s="1116"/>
      <c r="N359" s="1116"/>
      <c r="O359" s="1116"/>
      <c r="P359" s="1116"/>
      <c r="Q359" s="1116"/>
      <c r="R359" s="1116"/>
      <c r="S359" s="1116"/>
      <c r="T359" s="1116"/>
      <c r="U359" s="1116"/>
      <c r="V359" s="1116"/>
      <c r="W359" s="1116"/>
      <c r="X359" s="1116"/>
      <c r="Y359" s="1116"/>
      <c r="Z359" s="1116"/>
      <c r="AA359" s="1116"/>
      <c r="AB359" s="1116"/>
      <c r="AC359" s="1116"/>
      <c r="AD359" s="1116"/>
      <c r="AE359" s="1116"/>
      <c r="AF359" s="1116"/>
      <c r="AG359" s="1116"/>
      <c r="AH359" s="1116"/>
      <c r="AI359" s="1116"/>
      <c r="AJ359" s="1116"/>
      <c r="AK359" s="1116"/>
    </row>
    <row r="360" spans="1:37" x14ac:dyDescent="0.35">
      <c r="A360" s="1116"/>
      <c r="B360" s="1116"/>
      <c r="C360" s="1116"/>
      <c r="D360" s="1116"/>
      <c r="E360" s="1116"/>
      <c r="F360" s="1116"/>
      <c r="G360" s="1116"/>
      <c r="H360" s="1116"/>
      <c r="I360" s="1116"/>
      <c r="J360" s="1116"/>
      <c r="K360" s="1116"/>
      <c r="L360" s="1116"/>
      <c r="M360" s="1116"/>
      <c r="N360" s="1116"/>
      <c r="O360" s="1116"/>
      <c r="P360" s="1116"/>
      <c r="Q360" s="1116"/>
      <c r="R360" s="1116"/>
      <c r="S360" s="1116"/>
      <c r="T360" s="1116"/>
      <c r="U360" s="1116"/>
      <c r="V360" s="1116"/>
      <c r="W360" s="1116"/>
      <c r="X360" s="1116"/>
      <c r="Y360" s="1116"/>
      <c r="Z360" s="1116"/>
      <c r="AA360" s="1116"/>
      <c r="AB360" s="1116"/>
      <c r="AC360" s="1116"/>
      <c r="AD360" s="1116"/>
      <c r="AE360" s="1116"/>
      <c r="AF360" s="1116"/>
      <c r="AG360" s="1116"/>
      <c r="AH360" s="1116"/>
      <c r="AI360" s="1116"/>
      <c r="AJ360" s="1116"/>
      <c r="AK360" s="1116"/>
    </row>
    <row r="361" spans="1:37" x14ac:dyDescent="0.35">
      <c r="A361" s="1116"/>
      <c r="B361" s="1116"/>
      <c r="C361" s="1116"/>
      <c r="D361" s="1116"/>
      <c r="E361" s="1116"/>
      <c r="F361" s="1116"/>
      <c r="G361" s="1116"/>
      <c r="H361" s="1116"/>
      <c r="I361" s="1116"/>
      <c r="J361" s="1116"/>
      <c r="K361" s="1116"/>
      <c r="L361" s="1116"/>
      <c r="M361" s="1116"/>
      <c r="N361" s="1116"/>
      <c r="O361" s="1116"/>
      <c r="P361" s="1116"/>
      <c r="Q361" s="1116"/>
      <c r="R361" s="1116"/>
      <c r="S361" s="1116"/>
      <c r="T361" s="1116"/>
      <c r="U361" s="1116"/>
      <c r="V361" s="1116"/>
      <c r="W361" s="1116"/>
      <c r="X361" s="1116"/>
      <c r="Y361" s="1116"/>
      <c r="Z361" s="1116"/>
      <c r="AA361" s="1116"/>
      <c r="AB361" s="1116"/>
      <c r="AC361" s="1116"/>
      <c r="AD361" s="1116"/>
      <c r="AE361" s="1116"/>
      <c r="AF361" s="1116"/>
      <c r="AG361" s="1116"/>
      <c r="AH361" s="1116"/>
      <c r="AI361" s="1116"/>
      <c r="AJ361" s="1116"/>
      <c r="AK361" s="1116"/>
    </row>
    <row r="362" spans="1:37" x14ac:dyDescent="0.35">
      <c r="A362" s="1116"/>
      <c r="B362" s="1116"/>
      <c r="C362" s="1116"/>
      <c r="D362" s="1116"/>
      <c r="E362" s="1116"/>
      <c r="F362" s="1116"/>
      <c r="G362" s="1116"/>
      <c r="H362" s="1116"/>
      <c r="I362" s="1116"/>
      <c r="J362" s="1116"/>
      <c r="K362" s="1116"/>
      <c r="L362" s="1116"/>
      <c r="M362" s="1116"/>
      <c r="N362" s="1116"/>
      <c r="O362" s="1116"/>
      <c r="P362" s="1116"/>
      <c r="Q362" s="1116"/>
      <c r="R362" s="1116"/>
      <c r="S362" s="1116"/>
      <c r="T362" s="1116"/>
      <c r="U362" s="1116"/>
      <c r="V362" s="1116"/>
      <c r="W362" s="1116"/>
      <c r="X362" s="1116"/>
      <c r="Y362" s="1116"/>
      <c r="Z362" s="1116"/>
      <c r="AA362" s="1116"/>
      <c r="AB362" s="1116"/>
      <c r="AC362" s="1116"/>
      <c r="AD362" s="1116"/>
      <c r="AE362" s="1116"/>
      <c r="AF362" s="1116"/>
      <c r="AG362" s="1116"/>
      <c r="AH362" s="1116"/>
      <c r="AI362" s="1116"/>
      <c r="AJ362" s="1116"/>
      <c r="AK362" s="1116"/>
    </row>
    <row r="363" spans="1:37" x14ac:dyDescent="0.35">
      <c r="A363" s="1116"/>
      <c r="B363" s="1116"/>
      <c r="C363" s="1116"/>
      <c r="D363" s="1116"/>
      <c r="E363" s="1116"/>
      <c r="F363" s="1116"/>
      <c r="G363" s="1116"/>
      <c r="H363" s="1116"/>
      <c r="I363" s="1116"/>
      <c r="J363" s="1116"/>
      <c r="K363" s="1116"/>
      <c r="L363" s="1116"/>
      <c r="M363" s="1116"/>
      <c r="N363" s="1116"/>
      <c r="O363" s="1116"/>
      <c r="P363" s="1116"/>
      <c r="Q363" s="1116"/>
      <c r="R363" s="1116"/>
      <c r="S363" s="1116"/>
      <c r="T363" s="1116"/>
      <c r="U363" s="1116"/>
      <c r="V363" s="1116"/>
      <c r="W363" s="1116"/>
      <c r="X363" s="1116"/>
      <c r="Y363" s="1116"/>
      <c r="Z363" s="1116"/>
      <c r="AA363" s="1116"/>
      <c r="AB363" s="1116"/>
      <c r="AC363" s="1116"/>
      <c r="AD363" s="1116"/>
      <c r="AE363" s="1116"/>
      <c r="AF363" s="1116"/>
      <c r="AG363" s="1116"/>
      <c r="AH363" s="1116"/>
      <c r="AI363" s="1116"/>
      <c r="AJ363" s="1116"/>
      <c r="AK363" s="1116"/>
    </row>
    <row r="364" spans="1:37" x14ac:dyDescent="0.35">
      <c r="A364" s="1116"/>
      <c r="B364" s="1116"/>
      <c r="C364" s="1116"/>
      <c r="D364" s="1116"/>
      <c r="E364" s="1116"/>
      <c r="F364" s="1116"/>
      <c r="G364" s="1116"/>
      <c r="H364" s="1116"/>
      <c r="I364" s="1116"/>
      <c r="J364" s="1116"/>
      <c r="K364" s="1116"/>
      <c r="L364" s="1116"/>
      <c r="M364" s="1116"/>
      <c r="N364" s="1116"/>
      <c r="O364" s="1116"/>
      <c r="P364" s="1116"/>
      <c r="Q364" s="1116"/>
      <c r="R364" s="1116"/>
      <c r="S364" s="1116"/>
      <c r="T364" s="1116"/>
      <c r="U364" s="1116"/>
      <c r="V364" s="1116"/>
      <c r="W364" s="1116"/>
      <c r="X364" s="1116"/>
      <c r="Y364" s="1116"/>
      <c r="Z364" s="1116"/>
      <c r="AA364" s="1116"/>
      <c r="AB364" s="1116"/>
      <c r="AC364" s="1116"/>
      <c r="AD364" s="1116"/>
      <c r="AE364" s="1116"/>
      <c r="AF364" s="1116"/>
      <c r="AG364" s="1116"/>
      <c r="AH364" s="1116"/>
      <c r="AI364" s="1116"/>
      <c r="AJ364" s="1116"/>
      <c r="AK364" s="1116"/>
    </row>
    <row r="365" spans="1:37" x14ac:dyDescent="0.35">
      <c r="A365" s="1116"/>
      <c r="B365" s="1116"/>
      <c r="C365" s="1116"/>
      <c r="D365" s="1116"/>
      <c r="E365" s="1116"/>
      <c r="F365" s="1116"/>
      <c r="G365" s="1116"/>
      <c r="H365" s="1116"/>
      <c r="I365" s="1116"/>
      <c r="J365" s="1116"/>
      <c r="K365" s="1116"/>
      <c r="L365" s="1116"/>
      <c r="M365" s="1116"/>
      <c r="N365" s="1116"/>
      <c r="O365" s="1116"/>
      <c r="P365" s="1116"/>
      <c r="Q365" s="1116"/>
      <c r="R365" s="1116"/>
      <c r="S365" s="1116"/>
      <c r="T365" s="1116"/>
      <c r="U365" s="1116"/>
      <c r="V365" s="1116"/>
      <c r="W365" s="1116"/>
      <c r="X365" s="1116"/>
      <c r="Y365" s="1116"/>
      <c r="Z365" s="1116"/>
      <c r="AA365" s="1116"/>
      <c r="AB365" s="1116"/>
      <c r="AC365" s="1116"/>
      <c r="AD365" s="1116"/>
      <c r="AE365" s="1116"/>
      <c r="AF365" s="1116"/>
      <c r="AG365" s="1116"/>
      <c r="AH365" s="1116"/>
      <c r="AI365" s="1116"/>
      <c r="AJ365" s="1116"/>
      <c r="AK365" s="1116"/>
    </row>
    <row r="366" spans="1:37" x14ac:dyDescent="0.35">
      <c r="A366" s="1116"/>
      <c r="B366" s="1116"/>
      <c r="C366" s="1116"/>
      <c r="D366" s="1116"/>
      <c r="E366" s="1116"/>
      <c r="F366" s="1116"/>
      <c r="G366" s="1116"/>
      <c r="H366" s="1116"/>
      <c r="I366" s="1116"/>
      <c r="J366" s="1116"/>
      <c r="K366" s="1116"/>
      <c r="L366" s="1116"/>
      <c r="M366" s="1116"/>
      <c r="N366" s="1116"/>
      <c r="O366" s="1116"/>
      <c r="P366" s="1116"/>
      <c r="Q366" s="1116"/>
      <c r="R366" s="1116"/>
      <c r="S366" s="1116"/>
      <c r="T366" s="1116"/>
      <c r="U366" s="1116"/>
      <c r="V366" s="1116"/>
      <c r="W366" s="1116"/>
      <c r="X366" s="1116"/>
      <c r="Y366" s="1116"/>
      <c r="Z366" s="1116"/>
      <c r="AA366" s="1116"/>
      <c r="AB366" s="1116"/>
      <c r="AC366" s="1116"/>
      <c r="AD366" s="1116"/>
      <c r="AE366" s="1116"/>
      <c r="AF366" s="1116"/>
      <c r="AG366" s="1116"/>
      <c r="AH366" s="1116"/>
      <c r="AI366" s="1116"/>
      <c r="AJ366" s="1116"/>
      <c r="AK366" s="1116"/>
    </row>
    <row r="367" spans="1:37" x14ac:dyDescent="0.35">
      <c r="A367" s="1116"/>
      <c r="B367" s="1116"/>
      <c r="C367" s="1116"/>
      <c r="D367" s="1116"/>
      <c r="E367" s="1116"/>
      <c r="F367" s="1116"/>
      <c r="G367" s="1116"/>
      <c r="H367" s="1116"/>
      <c r="I367" s="1116"/>
      <c r="J367" s="1116"/>
      <c r="K367" s="1116"/>
      <c r="L367" s="1116"/>
      <c r="M367" s="1116"/>
      <c r="N367" s="1116"/>
      <c r="O367" s="1116"/>
      <c r="P367" s="1116"/>
      <c r="Q367" s="1116"/>
      <c r="R367" s="1116"/>
      <c r="S367" s="1116"/>
      <c r="T367" s="1116"/>
      <c r="U367" s="1116"/>
      <c r="V367" s="1116"/>
      <c r="W367" s="1116"/>
      <c r="X367" s="1116"/>
      <c r="Y367" s="1116"/>
      <c r="Z367" s="1116"/>
      <c r="AA367" s="1116"/>
      <c r="AB367" s="1116"/>
      <c r="AC367" s="1116"/>
      <c r="AD367" s="1116"/>
      <c r="AE367" s="1116"/>
      <c r="AF367" s="1116"/>
      <c r="AG367" s="1116"/>
      <c r="AH367" s="1116"/>
      <c r="AI367" s="1116"/>
      <c r="AJ367" s="1116"/>
      <c r="AK367" s="1116"/>
    </row>
    <row r="368" spans="1:37" x14ac:dyDescent="0.35">
      <c r="A368" s="1116"/>
      <c r="B368" s="1116"/>
      <c r="C368" s="1116"/>
      <c r="D368" s="1116"/>
      <c r="E368" s="1116"/>
      <c r="F368" s="1116"/>
      <c r="G368" s="1116"/>
      <c r="H368" s="1116"/>
      <c r="I368" s="1116"/>
      <c r="J368" s="1116"/>
      <c r="K368" s="1116"/>
      <c r="L368" s="1116"/>
      <c r="M368" s="1116"/>
      <c r="N368" s="1116"/>
      <c r="O368" s="1116"/>
      <c r="P368" s="1116"/>
      <c r="Q368" s="1116"/>
      <c r="R368" s="1116"/>
      <c r="S368" s="1116"/>
      <c r="T368" s="1116"/>
      <c r="U368" s="1116"/>
      <c r="V368" s="1116"/>
      <c r="W368" s="1116"/>
      <c r="X368" s="1116"/>
      <c r="Y368" s="1116"/>
      <c r="Z368" s="1116"/>
      <c r="AA368" s="1116"/>
      <c r="AB368" s="1116"/>
      <c r="AC368" s="1116"/>
      <c r="AD368" s="1116"/>
      <c r="AE368" s="1116"/>
      <c r="AF368" s="1116"/>
      <c r="AG368" s="1116"/>
      <c r="AH368" s="1116"/>
      <c r="AI368" s="1116"/>
      <c r="AJ368" s="1116"/>
      <c r="AK368" s="1116"/>
    </row>
    <row r="369" spans="1:37" x14ac:dyDescent="0.35">
      <c r="A369" s="1116"/>
      <c r="B369" s="1116"/>
      <c r="C369" s="1116"/>
      <c r="D369" s="1116"/>
      <c r="E369" s="1116"/>
      <c r="F369" s="1116"/>
      <c r="G369" s="1116"/>
      <c r="H369" s="1116"/>
      <c r="I369" s="1116"/>
      <c r="J369" s="1116"/>
      <c r="K369" s="1116"/>
      <c r="L369" s="1116"/>
      <c r="M369" s="1116"/>
      <c r="N369" s="1116"/>
      <c r="O369" s="1116"/>
      <c r="P369" s="1116"/>
      <c r="Q369" s="1116"/>
      <c r="R369" s="1116"/>
      <c r="S369" s="1116"/>
      <c r="T369" s="1116"/>
      <c r="U369" s="1116"/>
      <c r="V369" s="1116"/>
      <c r="W369" s="1116"/>
      <c r="X369" s="1116"/>
      <c r="Y369" s="1116"/>
      <c r="Z369" s="1116"/>
      <c r="AA369" s="1116"/>
      <c r="AB369" s="1116"/>
      <c r="AC369" s="1116"/>
      <c r="AD369" s="1116"/>
      <c r="AE369" s="1116"/>
      <c r="AF369" s="1116"/>
      <c r="AG369" s="1116"/>
      <c r="AH369" s="1116"/>
      <c r="AI369" s="1116"/>
      <c r="AJ369" s="1116"/>
      <c r="AK369" s="1116"/>
    </row>
    <row r="370" spans="1:37" x14ac:dyDescent="0.35">
      <c r="A370" s="1116"/>
      <c r="B370" s="1116"/>
      <c r="C370" s="1116"/>
      <c r="D370" s="1116"/>
      <c r="E370" s="1116"/>
      <c r="F370" s="1116"/>
      <c r="G370" s="1116"/>
      <c r="H370" s="1116"/>
      <c r="I370" s="1116"/>
      <c r="J370" s="1116"/>
      <c r="K370" s="1116"/>
      <c r="L370" s="1116"/>
      <c r="M370" s="1116"/>
      <c r="N370" s="1116"/>
      <c r="O370" s="1116"/>
      <c r="P370" s="1116"/>
      <c r="Q370" s="1116"/>
      <c r="R370" s="1116"/>
      <c r="S370" s="1116"/>
      <c r="T370" s="1116"/>
      <c r="U370" s="1116"/>
      <c r="V370" s="1116"/>
      <c r="W370" s="1116"/>
      <c r="X370" s="1116"/>
      <c r="Y370" s="1116"/>
      <c r="Z370" s="1116"/>
      <c r="AA370" s="1116"/>
      <c r="AB370" s="1116"/>
      <c r="AC370" s="1116"/>
      <c r="AD370" s="1116"/>
      <c r="AE370" s="1116"/>
      <c r="AF370" s="1116"/>
      <c r="AG370" s="1116"/>
      <c r="AH370" s="1116"/>
      <c r="AI370" s="1116"/>
      <c r="AJ370" s="1116"/>
      <c r="AK370" s="1116"/>
    </row>
    <row r="371" spans="1:37" x14ac:dyDescent="0.35">
      <c r="A371" s="1116"/>
      <c r="B371" s="1116"/>
      <c r="C371" s="1116"/>
      <c r="D371" s="1116"/>
      <c r="E371" s="1116"/>
      <c r="F371" s="1116"/>
      <c r="G371" s="1116"/>
      <c r="H371" s="1116"/>
      <c r="I371" s="1116"/>
      <c r="J371" s="1116"/>
      <c r="K371" s="1116"/>
      <c r="L371" s="1116"/>
      <c r="M371" s="1116"/>
      <c r="N371" s="1116"/>
      <c r="O371" s="1116"/>
      <c r="P371" s="1116"/>
      <c r="Q371" s="1116"/>
      <c r="R371" s="1116"/>
      <c r="S371" s="1116"/>
      <c r="T371" s="1116"/>
      <c r="U371" s="1116"/>
      <c r="V371" s="1116"/>
      <c r="W371" s="1116"/>
      <c r="X371" s="1116"/>
      <c r="Y371" s="1116"/>
      <c r="Z371" s="1116"/>
      <c r="AA371" s="1116"/>
      <c r="AB371" s="1116"/>
      <c r="AC371" s="1116"/>
      <c r="AD371" s="1116"/>
      <c r="AE371" s="1116"/>
      <c r="AF371" s="1116"/>
      <c r="AG371" s="1116"/>
      <c r="AH371" s="1116"/>
      <c r="AI371" s="1116"/>
      <c r="AJ371" s="1116"/>
      <c r="AK371" s="1116"/>
    </row>
    <row r="372" spans="1:37" x14ac:dyDescent="0.35">
      <c r="A372" s="1116"/>
      <c r="B372" s="1116"/>
      <c r="C372" s="1116"/>
      <c r="D372" s="1116"/>
      <c r="E372" s="1116"/>
      <c r="F372" s="1116"/>
      <c r="G372" s="1116"/>
      <c r="H372" s="1116"/>
      <c r="I372" s="1116"/>
      <c r="J372" s="1116"/>
      <c r="K372" s="1116"/>
      <c r="L372" s="1116"/>
      <c r="M372" s="1116"/>
      <c r="N372" s="1116"/>
      <c r="O372" s="1116"/>
      <c r="P372" s="1116"/>
      <c r="Q372" s="1116"/>
      <c r="R372" s="1116"/>
      <c r="S372" s="1116"/>
      <c r="T372" s="1116"/>
      <c r="U372" s="1116"/>
      <c r="V372" s="1116"/>
      <c r="W372" s="1116"/>
      <c r="X372" s="1116"/>
      <c r="Y372" s="1116"/>
      <c r="Z372" s="1116"/>
      <c r="AA372" s="1116"/>
      <c r="AB372" s="1116"/>
      <c r="AC372" s="1116"/>
      <c r="AD372" s="1116"/>
      <c r="AE372" s="1116"/>
      <c r="AF372" s="1116"/>
      <c r="AG372" s="1116"/>
      <c r="AH372" s="1116"/>
      <c r="AI372" s="1116"/>
      <c r="AJ372" s="1116"/>
      <c r="AK372" s="1116"/>
    </row>
    <row r="373" spans="1:37" x14ac:dyDescent="0.35">
      <c r="A373" s="1116"/>
      <c r="B373" s="1116"/>
      <c r="C373" s="1116"/>
      <c r="D373" s="1116"/>
      <c r="E373" s="1116"/>
      <c r="F373" s="1116"/>
      <c r="G373" s="1116"/>
      <c r="H373" s="1116"/>
      <c r="I373" s="1116"/>
      <c r="J373" s="1116"/>
      <c r="K373" s="1116"/>
      <c r="L373" s="1116"/>
      <c r="M373" s="1116"/>
      <c r="N373" s="1116"/>
      <c r="O373" s="1116"/>
      <c r="P373" s="1116"/>
      <c r="Q373" s="1116"/>
      <c r="R373" s="1116"/>
      <c r="S373" s="1116"/>
      <c r="T373" s="1116"/>
      <c r="U373" s="1116"/>
      <c r="V373" s="1116"/>
      <c r="W373" s="1116"/>
      <c r="X373" s="1116"/>
      <c r="Y373" s="1116"/>
      <c r="Z373" s="1116"/>
      <c r="AA373" s="1116"/>
      <c r="AB373" s="1116"/>
      <c r="AC373" s="1116"/>
      <c r="AD373" s="1116"/>
      <c r="AE373" s="1116"/>
      <c r="AF373" s="1116"/>
      <c r="AG373" s="1116"/>
      <c r="AH373" s="1116"/>
      <c r="AI373" s="1116"/>
      <c r="AJ373" s="1116"/>
      <c r="AK373" s="1116"/>
    </row>
    <row r="374" spans="1:37" x14ac:dyDescent="0.35">
      <c r="A374" s="1116"/>
      <c r="B374" s="1116"/>
      <c r="C374" s="1116"/>
      <c r="D374" s="1116"/>
      <c r="E374" s="1116"/>
      <c r="F374" s="1116"/>
      <c r="G374" s="1116"/>
      <c r="H374" s="1116"/>
      <c r="I374" s="1116"/>
      <c r="J374" s="1116"/>
      <c r="K374" s="1116"/>
      <c r="L374" s="1116"/>
      <c r="M374" s="1116"/>
      <c r="N374" s="1116"/>
      <c r="O374" s="1116"/>
      <c r="P374" s="1116"/>
      <c r="Q374" s="1116"/>
      <c r="R374" s="1116"/>
      <c r="S374" s="1116"/>
      <c r="T374" s="1116"/>
      <c r="U374" s="1116"/>
      <c r="V374" s="1116"/>
      <c r="W374" s="1116"/>
      <c r="X374" s="1116"/>
      <c r="Y374" s="1116"/>
      <c r="Z374" s="1116"/>
      <c r="AA374" s="1116"/>
      <c r="AB374" s="1116"/>
      <c r="AC374" s="1116"/>
      <c r="AD374" s="1116"/>
      <c r="AE374" s="1116"/>
      <c r="AF374" s="1116"/>
      <c r="AG374" s="1116"/>
      <c r="AH374" s="1116"/>
      <c r="AI374" s="1116"/>
      <c r="AJ374" s="1116"/>
      <c r="AK374" s="1116"/>
    </row>
    <row r="375" spans="1:37" x14ac:dyDescent="0.35">
      <c r="A375" s="1116"/>
      <c r="B375" s="1116"/>
      <c r="C375" s="1116"/>
      <c r="D375" s="1116"/>
      <c r="E375" s="1116"/>
      <c r="F375" s="1116"/>
      <c r="G375" s="1116"/>
      <c r="H375" s="1116"/>
      <c r="I375" s="1116"/>
      <c r="J375" s="1116"/>
      <c r="K375" s="1116"/>
      <c r="L375" s="1116"/>
      <c r="M375" s="1116"/>
      <c r="N375" s="1116"/>
      <c r="O375" s="1116"/>
      <c r="P375" s="1116"/>
      <c r="Q375" s="1116"/>
      <c r="R375" s="1116"/>
      <c r="S375" s="1116"/>
      <c r="T375" s="1116"/>
      <c r="U375" s="1116"/>
      <c r="V375" s="1116"/>
      <c r="W375" s="1116"/>
      <c r="X375" s="1116"/>
      <c r="Y375" s="1116"/>
      <c r="Z375" s="1116"/>
      <c r="AA375" s="1116"/>
      <c r="AB375" s="1116"/>
      <c r="AC375" s="1116"/>
      <c r="AD375" s="1116"/>
      <c r="AE375" s="1116"/>
      <c r="AF375" s="1116"/>
      <c r="AG375" s="1116"/>
      <c r="AH375" s="1116"/>
      <c r="AI375" s="1116"/>
      <c r="AJ375" s="1116"/>
      <c r="AK375" s="1116"/>
    </row>
    <row r="376" spans="1:37" x14ac:dyDescent="0.35">
      <c r="A376" s="1116"/>
      <c r="B376" s="1116"/>
      <c r="C376" s="1116"/>
      <c r="D376" s="1116"/>
      <c r="E376" s="1116"/>
      <c r="F376" s="1116"/>
      <c r="G376" s="1116"/>
      <c r="H376" s="1116"/>
      <c r="I376" s="1116"/>
      <c r="J376" s="1116"/>
      <c r="K376" s="1116"/>
      <c r="L376" s="1116"/>
      <c r="M376" s="1116"/>
      <c r="N376" s="1116"/>
      <c r="O376" s="1116"/>
      <c r="P376" s="1116"/>
      <c r="Q376" s="1116"/>
      <c r="R376" s="1116"/>
      <c r="S376" s="1116"/>
      <c r="T376" s="1116"/>
      <c r="U376" s="1116"/>
      <c r="V376" s="1116"/>
      <c r="W376" s="1116"/>
      <c r="X376" s="1116"/>
      <c r="Y376" s="1116"/>
      <c r="Z376" s="1116"/>
      <c r="AA376" s="1116"/>
      <c r="AB376" s="1116"/>
      <c r="AC376" s="1116"/>
      <c r="AD376" s="1116"/>
      <c r="AE376" s="1116"/>
      <c r="AF376" s="1116"/>
      <c r="AG376" s="1116"/>
      <c r="AH376" s="1116"/>
      <c r="AI376" s="1116"/>
      <c r="AJ376" s="1116"/>
      <c r="AK376" s="1116"/>
    </row>
    <row r="377" spans="1:37" x14ac:dyDescent="0.35">
      <c r="A377" s="1116"/>
      <c r="B377" s="1116"/>
      <c r="C377" s="1116"/>
      <c r="D377" s="1116"/>
      <c r="E377" s="1116"/>
      <c r="F377" s="1116"/>
      <c r="G377" s="1116"/>
      <c r="H377" s="1116"/>
      <c r="I377" s="1116"/>
      <c r="J377" s="1116"/>
      <c r="K377" s="1116"/>
      <c r="L377" s="1116"/>
      <c r="M377" s="1116"/>
      <c r="N377" s="1116"/>
      <c r="O377" s="1116"/>
      <c r="P377" s="1116"/>
      <c r="Q377" s="1116"/>
      <c r="R377" s="1116"/>
      <c r="S377" s="1116"/>
      <c r="T377" s="1116"/>
      <c r="U377" s="1116"/>
      <c r="V377" s="1116"/>
      <c r="W377" s="1116"/>
      <c r="X377" s="1116"/>
      <c r="Y377" s="1116"/>
      <c r="Z377" s="1116"/>
      <c r="AA377" s="1116"/>
      <c r="AB377" s="1116"/>
      <c r="AC377" s="1116"/>
      <c r="AD377" s="1116"/>
      <c r="AE377" s="1116"/>
      <c r="AF377" s="1116"/>
      <c r="AG377" s="1116"/>
      <c r="AH377" s="1116"/>
      <c r="AI377" s="1116"/>
      <c r="AJ377" s="1116"/>
      <c r="AK377" s="1116"/>
    </row>
    <row r="378" spans="1:37" x14ac:dyDescent="0.35">
      <c r="A378" s="1116"/>
      <c r="B378" s="1116"/>
      <c r="C378" s="1116"/>
      <c r="D378" s="1116"/>
      <c r="E378" s="1116"/>
      <c r="F378" s="1116"/>
      <c r="G378" s="1116"/>
      <c r="H378" s="1116"/>
      <c r="I378" s="1116"/>
      <c r="J378" s="1116"/>
      <c r="K378" s="1116"/>
      <c r="L378" s="1116"/>
      <c r="M378" s="1116"/>
      <c r="N378" s="1116"/>
      <c r="O378" s="1116"/>
      <c r="P378" s="1116"/>
      <c r="Q378" s="1116"/>
      <c r="R378" s="1116"/>
      <c r="S378" s="1116"/>
      <c r="T378" s="1116"/>
      <c r="U378" s="1116"/>
      <c r="V378" s="1116"/>
      <c r="W378" s="1116"/>
      <c r="X378" s="1116"/>
      <c r="Y378" s="1116"/>
      <c r="Z378" s="1116"/>
      <c r="AA378" s="1116"/>
      <c r="AB378" s="1116"/>
      <c r="AC378" s="1116"/>
      <c r="AD378" s="1116"/>
      <c r="AE378" s="1116"/>
      <c r="AF378" s="1116"/>
      <c r="AG378" s="1116"/>
      <c r="AH378" s="1116"/>
      <c r="AI378" s="1116"/>
      <c r="AJ378" s="1116"/>
      <c r="AK378" s="1116"/>
    </row>
    <row r="379" spans="1:37" x14ac:dyDescent="0.35">
      <c r="A379" s="1116"/>
      <c r="B379" s="1116"/>
      <c r="C379" s="1116"/>
      <c r="D379" s="1116"/>
      <c r="E379" s="1116"/>
      <c r="F379" s="1116"/>
      <c r="G379" s="1116"/>
      <c r="H379" s="1116"/>
      <c r="I379" s="1116"/>
      <c r="J379" s="1116"/>
      <c r="K379" s="1116"/>
      <c r="L379" s="1116"/>
      <c r="M379" s="1116"/>
      <c r="N379" s="1116"/>
      <c r="O379" s="1116"/>
      <c r="P379" s="1116"/>
      <c r="Q379" s="1116"/>
      <c r="R379" s="1116"/>
      <c r="S379" s="1116"/>
      <c r="T379" s="1116"/>
      <c r="U379" s="1116"/>
      <c r="V379" s="1116"/>
      <c r="W379" s="1116"/>
      <c r="X379" s="1116"/>
      <c r="Y379" s="1116"/>
      <c r="Z379" s="1116"/>
      <c r="AA379" s="1116"/>
      <c r="AB379" s="1116"/>
      <c r="AC379" s="1116"/>
      <c r="AD379" s="1116"/>
      <c r="AE379" s="1116"/>
      <c r="AF379" s="1116"/>
      <c r="AG379" s="1116"/>
      <c r="AH379" s="1116"/>
      <c r="AI379" s="1116"/>
      <c r="AJ379" s="1116"/>
      <c r="AK379" s="1116"/>
    </row>
    <row r="380" spans="1:37" x14ac:dyDescent="0.35">
      <c r="A380" s="1116"/>
      <c r="B380" s="1116"/>
      <c r="C380" s="1116"/>
      <c r="D380" s="1116"/>
      <c r="E380" s="1116"/>
      <c r="F380" s="1116"/>
      <c r="G380" s="1116"/>
      <c r="H380" s="1116"/>
      <c r="I380" s="1116"/>
      <c r="J380" s="1116"/>
      <c r="K380" s="1116"/>
      <c r="L380" s="1116"/>
      <c r="M380" s="1116"/>
      <c r="N380" s="1116"/>
      <c r="O380" s="1116"/>
      <c r="P380" s="1116"/>
      <c r="Q380" s="1116"/>
      <c r="R380" s="1116"/>
      <c r="S380" s="1116"/>
      <c r="T380" s="1116"/>
      <c r="U380" s="1116"/>
      <c r="V380" s="1116"/>
      <c r="W380" s="1116"/>
      <c r="X380" s="1116"/>
      <c r="Y380" s="1116"/>
      <c r="Z380" s="1116"/>
      <c r="AA380" s="1116"/>
      <c r="AB380" s="1116"/>
      <c r="AC380" s="1116"/>
      <c r="AD380" s="1116"/>
      <c r="AE380" s="1116"/>
      <c r="AF380" s="1116"/>
      <c r="AG380" s="1116"/>
      <c r="AH380" s="1116"/>
      <c r="AI380" s="1116"/>
      <c r="AJ380" s="1116"/>
      <c r="AK380" s="1116"/>
    </row>
    <row r="381" spans="1:37" x14ac:dyDescent="0.35">
      <c r="A381" s="1116"/>
      <c r="B381" s="1116"/>
      <c r="C381" s="1116"/>
      <c r="D381" s="1116"/>
      <c r="E381" s="1116"/>
      <c r="F381" s="1116"/>
      <c r="G381" s="1116"/>
      <c r="H381" s="1116"/>
      <c r="I381" s="1116"/>
      <c r="J381" s="1116"/>
      <c r="K381" s="1116"/>
      <c r="L381" s="1116"/>
      <c r="M381" s="1116"/>
      <c r="N381" s="1116"/>
      <c r="O381" s="1116"/>
      <c r="P381" s="1116"/>
      <c r="Q381" s="1116"/>
      <c r="R381" s="1116"/>
      <c r="S381" s="1116"/>
      <c r="T381" s="1116"/>
      <c r="U381" s="1116"/>
      <c r="V381" s="1116"/>
      <c r="W381" s="1116"/>
      <c r="X381" s="1116"/>
      <c r="Y381" s="1116"/>
      <c r="Z381" s="1116"/>
      <c r="AA381" s="1116"/>
      <c r="AB381" s="1116"/>
      <c r="AC381" s="1116"/>
      <c r="AD381" s="1116"/>
      <c r="AE381" s="1116"/>
      <c r="AF381" s="1116"/>
      <c r="AG381" s="1116"/>
      <c r="AH381" s="1116"/>
      <c r="AI381" s="1116"/>
      <c r="AJ381" s="1116"/>
      <c r="AK381" s="1116"/>
    </row>
    <row r="382" spans="1:37" x14ac:dyDescent="0.35">
      <c r="A382" s="1116"/>
      <c r="B382" s="1116"/>
      <c r="C382" s="1116"/>
      <c r="D382" s="1116"/>
      <c r="E382" s="1116"/>
      <c r="F382" s="1116"/>
      <c r="G382" s="1116"/>
      <c r="H382" s="1116"/>
      <c r="I382" s="1116"/>
      <c r="J382" s="1116"/>
      <c r="K382" s="1116"/>
      <c r="L382" s="1116"/>
      <c r="M382" s="1116"/>
      <c r="N382" s="1116"/>
      <c r="O382" s="1116"/>
      <c r="P382" s="1116"/>
      <c r="Q382" s="1116"/>
      <c r="R382" s="1116"/>
      <c r="S382" s="1116"/>
      <c r="T382" s="1116"/>
      <c r="U382" s="1116"/>
      <c r="V382" s="1116"/>
      <c r="W382" s="1116"/>
      <c r="X382" s="1116"/>
      <c r="Y382" s="1116"/>
      <c r="Z382" s="1116"/>
      <c r="AA382" s="1116"/>
      <c r="AB382" s="1116"/>
      <c r="AC382" s="1116"/>
      <c r="AD382" s="1116"/>
      <c r="AE382" s="1116"/>
      <c r="AF382" s="1116"/>
      <c r="AG382" s="1116"/>
      <c r="AH382" s="1116"/>
      <c r="AI382" s="1116"/>
      <c r="AJ382" s="1116"/>
      <c r="AK382" s="1116"/>
    </row>
    <row r="383" spans="1:37" x14ac:dyDescent="0.35">
      <c r="A383" s="1116"/>
      <c r="B383" s="1116"/>
      <c r="C383" s="1116"/>
      <c r="D383" s="1116"/>
      <c r="E383" s="1116"/>
      <c r="F383" s="1116"/>
      <c r="G383" s="1116"/>
      <c r="H383" s="1116"/>
      <c r="I383" s="1116"/>
      <c r="J383" s="1116"/>
      <c r="K383" s="1116"/>
      <c r="L383" s="1116"/>
      <c r="M383" s="1116"/>
      <c r="N383" s="1116"/>
      <c r="O383" s="1116"/>
      <c r="P383" s="1116"/>
      <c r="Q383" s="1116"/>
      <c r="R383" s="1116"/>
      <c r="S383" s="1116"/>
      <c r="T383" s="1116"/>
      <c r="U383" s="1116"/>
      <c r="V383" s="1116"/>
      <c r="W383" s="1116"/>
      <c r="X383" s="1116"/>
      <c r="Y383" s="1116"/>
      <c r="Z383" s="1116"/>
      <c r="AA383" s="1116"/>
      <c r="AB383" s="1116"/>
      <c r="AC383" s="1116"/>
      <c r="AD383" s="1116"/>
      <c r="AE383" s="1116"/>
      <c r="AF383" s="1116"/>
      <c r="AG383" s="1116"/>
      <c r="AH383" s="1116"/>
      <c r="AI383" s="1116"/>
      <c r="AJ383" s="1116"/>
      <c r="AK383" s="1116"/>
    </row>
    <row r="384" spans="1:37" x14ac:dyDescent="0.35">
      <c r="A384" s="1116"/>
      <c r="B384" s="1116"/>
      <c r="C384" s="1116"/>
      <c r="D384" s="1116"/>
      <c r="E384" s="1116"/>
      <c r="F384" s="1116"/>
      <c r="G384" s="1116"/>
      <c r="H384" s="1116"/>
      <c r="I384" s="1116"/>
      <c r="J384" s="1116"/>
      <c r="K384" s="1116"/>
      <c r="L384" s="1116"/>
      <c r="M384" s="1116"/>
      <c r="N384" s="1116"/>
      <c r="O384" s="1116"/>
      <c r="P384" s="1116"/>
      <c r="Q384" s="1116"/>
      <c r="R384" s="1116"/>
      <c r="S384" s="1116"/>
      <c r="T384" s="1116"/>
      <c r="U384" s="1116"/>
      <c r="V384" s="1116"/>
      <c r="W384" s="1116"/>
      <c r="X384" s="1116"/>
      <c r="Y384" s="1116"/>
      <c r="Z384" s="1116"/>
      <c r="AA384" s="1116"/>
      <c r="AB384" s="1116"/>
      <c r="AC384" s="1116"/>
      <c r="AD384" s="1116"/>
      <c r="AE384" s="1116"/>
      <c r="AF384" s="1116"/>
      <c r="AG384" s="1116"/>
      <c r="AH384" s="1116"/>
      <c r="AI384" s="1116"/>
      <c r="AJ384" s="1116"/>
      <c r="AK384" s="1116"/>
    </row>
    <row r="385" spans="1:37" x14ac:dyDescent="0.35">
      <c r="A385" s="1116"/>
      <c r="B385" s="1116"/>
      <c r="C385" s="1116"/>
      <c r="D385" s="1116"/>
      <c r="E385" s="1116"/>
      <c r="F385" s="1116"/>
      <c r="G385" s="1116"/>
      <c r="H385" s="1116"/>
      <c r="I385" s="1116"/>
      <c r="J385" s="1116"/>
      <c r="K385" s="1116"/>
      <c r="L385" s="1116"/>
      <c r="M385" s="1116"/>
      <c r="N385" s="1116"/>
      <c r="O385" s="1116"/>
      <c r="P385" s="1116"/>
      <c r="Q385" s="1116"/>
      <c r="R385" s="1116"/>
      <c r="S385" s="1116"/>
      <c r="T385" s="1116"/>
      <c r="U385" s="1116"/>
      <c r="V385" s="1116"/>
      <c r="W385" s="1116"/>
      <c r="X385" s="1116"/>
      <c r="Y385" s="1116"/>
      <c r="Z385" s="1116"/>
      <c r="AA385" s="1116"/>
      <c r="AB385" s="1116"/>
      <c r="AC385" s="1116"/>
      <c r="AD385" s="1116"/>
      <c r="AE385" s="1116"/>
      <c r="AF385" s="1116"/>
      <c r="AG385" s="1116"/>
      <c r="AH385" s="1116"/>
      <c r="AI385" s="1116"/>
      <c r="AJ385" s="1116"/>
      <c r="AK385" s="1116"/>
    </row>
    <row r="386" spans="1:37" x14ac:dyDescent="0.35">
      <c r="A386" s="1116"/>
      <c r="B386" s="1116"/>
      <c r="C386" s="1116"/>
      <c r="D386" s="1116"/>
      <c r="E386" s="1116"/>
      <c r="F386" s="1116"/>
      <c r="G386" s="1116"/>
      <c r="H386" s="1116"/>
      <c r="I386" s="1116"/>
      <c r="J386" s="1116"/>
      <c r="K386" s="1116"/>
      <c r="L386" s="1116"/>
      <c r="M386" s="1116"/>
      <c r="N386" s="1116"/>
      <c r="O386" s="1116"/>
      <c r="P386" s="1116"/>
      <c r="Q386" s="1116"/>
      <c r="R386" s="1116"/>
      <c r="S386" s="1116"/>
      <c r="T386" s="1116"/>
      <c r="U386" s="1116"/>
      <c r="V386" s="1116"/>
      <c r="W386" s="1116"/>
      <c r="X386" s="1116"/>
      <c r="Y386" s="1116"/>
      <c r="Z386" s="1116"/>
      <c r="AA386" s="1116"/>
      <c r="AB386" s="1116"/>
      <c r="AC386" s="1116"/>
      <c r="AD386" s="1116"/>
      <c r="AE386" s="1116"/>
      <c r="AF386" s="1116"/>
      <c r="AG386" s="1116"/>
      <c r="AH386" s="1116"/>
      <c r="AI386" s="1116"/>
      <c r="AJ386" s="1116"/>
      <c r="AK386" s="1116"/>
    </row>
    <row r="387" spans="1:37" x14ac:dyDescent="0.35">
      <c r="A387" s="1116"/>
      <c r="B387" s="1116"/>
      <c r="C387" s="1116"/>
      <c r="D387" s="1116"/>
      <c r="E387" s="1116"/>
      <c r="F387" s="1116"/>
      <c r="G387" s="1116"/>
      <c r="H387" s="1116"/>
      <c r="I387" s="1116"/>
      <c r="J387" s="1116"/>
      <c r="K387" s="1116"/>
      <c r="L387" s="1116"/>
      <c r="M387" s="1116"/>
      <c r="N387" s="1116"/>
      <c r="O387" s="1116"/>
      <c r="P387" s="1116"/>
      <c r="Q387" s="1116"/>
      <c r="R387" s="1116"/>
      <c r="S387" s="1116"/>
      <c r="T387" s="1116"/>
      <c r="U387" s="1116"/>
      <c r="V387" s="1116"/>
      <c r="W387" s="1116"/>
      <c r="X387" s="1116"/>
      <c r="Y387" s="1116"/>
      <c r="Z387" s="1116"/>
      <c r="AA387" s="1116"/>
      <c r="AB387" s="1116"/>
      <c r="AC387" s="1116"/>
      <c r="AD387" s="1116"/>
      <c r="AE387" s="1116"/>
      <c r="AF387" s="1116"/>
      <c r="AG387" s="1116"/>
      <c r="AH387" s="1116"/>
      <c r="AI387" s="1116"/>
      <c r="AJ387" s="1116"/>
      <c r="AK387" s="1116"/>
    </row>
    <row r="388" spans="1:37" x14ac:dyDescent="0.35">
      <c r="A388" s="1116"/>
      <c r="B388" s="1116"/>
      <c r="C388" s="1116"/>
      <c r="D388" s="1116"/>
      <c r="E388" s="1116"/>
      <c r="F388" s="1116"/>
      <c r="G388" s="1116"/>
      <c r="H388" s="1116"/>
      <c r="I388" s="1116"/>
      <c r="J388" s="1116"/>
      <c r="K388" s="1116"/>
      <c r="L388" s="1116"/>
      <c r="M388" s="1116"/>
      <c r="N388" s="1116"/>
      <c r="O388" s="1116"/>
      <c r="P388" s="1116"/>
      <c r="Q388" s="1116"/>
      <c r="R388" s="1116"/>
      <c r="S388" s="1116"/>
      <c r="T388" s="1116"/>
      <c r="U388" s="1116"/>
      <c r="V388" s="1116"/>
      <c r="W388" s="1116"/>
      <c r="X388" s="1116"/>
      <c r="Y388" s="1116"/>
      <c r="Z388" s="1116"/>
      <c r="AA388" s="1116"/>
      <c r="AB388" s="1116"/>
      <c r="AC388" s="1116"/>
      <c r="AD388" s="1116"/>
      <c r="AE388" s="1116"/>
      <c r="AF388" s="1116"/>
      <c r="AG388" s="1116"/>
      <c r="AH388" s="1116"/>
      <c r="AI388" s="1116"/>
      <c r="AJ388" s="1116"/>
      <c r="AK388" s="1116"/>
    </row>
    <row r="389" spans="1:37" x14ac:dyDescent="0.35">
      <c r="A389" s="1116"/>
      <c r="B389" s="1116"/>
      <c r="C389" s="1116"/>
      <c r="D389" s="1116"/>
      <c r="E389" s="1116"/>
      <c r="F389" s="1116"/>
      <c r="G389" s="1116"/>
      <c r="H389" s="1116"/>
      <c r="I389" s="1116"/>
      <c r="J389" s="1116"/>
      <c r="K389" s="1116"/>
      <c r="L389" s="1116"/>
      <c r="M389" s="1116"/>
      <c r="N389" s="1116"/>
      <c r="O389" s="1116"/>
      <c r="P389" s="1116"/>
      <c r="Q389" s="1116"/>
      <c r="R389" s="1116"/>
      <c r="S389" s="1116"/>
      <c r="T389" s="1116"/>
      <c r="U389" s="1116"/>
      <c r="V389" s="1116"/>
      <c r="W389" s="1116"/>
      <c r="X389" s="1116"/>
      <c r="Y389" s="1116"/>
      <c r="Z389" s="1116"/>
      <c r="AA389" s="1116"/>
      <c r="AB389" s="1116"/>
      <c r="AC389" s="1116"/>
      <c r="AD389" s="1116"/>
      <c r="AE389" s="1116"/>
      <c r="AF389" s="1116"/>
      <c r="AG389" s="1116"/>
      <c r="AH389" s="1116"/>
      <c r="AI389" s="1116"/>
      <c r="AJ389" s="1116"/>
      <c r="AK389" s="1116"/>
    </row>
    <row r="390" spans="1:37" x14ac:dyDescent="0.35">
      <c r="A390" s="1116"/>
      <c r="B390" s="1116"/>
      <c r="C390" s="1116"/>
      <c r="D390" s="1116"/>
      <c r="E390" s="1116"/>
      <c r="F390" s="1116"/>
      <c r="G390" s="1116"/>
      <c r="H390" s="1116"/>
      <c r="I390" s="1116"/>
      <c r="J390" s="1116"/>
      <c r="K390" s="1116"/>
      <c r="L390" s="1116"/>
      <c r="M390" s="1116"/>
      <c r="N390" s="1116"/>
      <c r="O390" s="1116"/>
      <c r="P390" s="1116"/>
      <c r="Q390" s="1116"/>
      <c r="R390" s="1116"/>
      <c r="S390" s="1116"/>
      <c r="T390" s="1116"/>
      <c r="U390" s="1116"/>
      <c r="V390" s="1116"/>
      <c r="W390" s="1116"/>
      <c r="X390" s="1116"/>
      <c r="Y390" s="1116"/>
      <c r="Z390" s="1116"/>
      <c r="AA390" s="1116"/>
      <c r="AB390" s="1116"/>
      <c r="AC390" s="1116"/>
      <c r="AD390" s="1116"/>
      <c r="AE390" s="1116"/>
      <c r="AF390" s="1116"/>
      <c r="AG390" s="1116"/>
      <c r="AH390" s="1116"/>
      <c r="AI390" s="1116"/>
      <c r="AJ390" s="1116"/>
      <c r="AK390" s="1116"/>
    </row>
    <row r="391" spans="1:37" x14ac:dyDescent="0.35">
      <c r="A391" s="1116"/>
      <c r="B391" s="1116"/>
      <c r="C391" s="1116"/>
      <c r="D391" s="1116"/>
      <c r="E391" s="1116"/>
      <c r="F391" s="1116"/>
      <c r="G391" s="1116"/>
      <c r="H391" s="1116"/>
      <c r="I391" s="1116"/>
      <c r="J391" s="1116"/>
      <c r="K391" s="1116"/>
      <c r="L391" s="1116"/>
      <c r="M391" s="1116"/>
      <c r="N391" s="1116"/>
      <c r="O391" s="1116"/>
      <c r="P391" s="1116"/>
      <c r="Q391" s="1116"/>
      <c r="R391" s="1116"/>
      <c r="S391" s="1116"/>
      <c r="T391" s="1116"/>
      <c r="U391" s="1116"/>
      <c r="V391" s="1116"/>
      <c r="W391" s="1116"/>
      <c r="X391" s="1116"/>
      <c r="Y391" s="1116"/>
      <c r="Z391" s="1116"/>
      <c r="AA391" s="1116"/>
      <c r="AB391" s="1116"/>
      <c r="AC391" s="1116"/>
      <c r="AD391" s="1116"/>
      <c r="AE391" s="1116"/>
      <c r="AF391" s="1116"/>
      <c r="AG391" s="1116"/>
      <c r="AH391" s="1116"/>
      <c r="AI391" s="1116"/>
      <c r="AJ391" s="1116"/>
      <c r="AK391" s="1116"/>
    </row>
    <row r="392" spans="1:37" x14ac:dyDescent="0.35">
      <c r="A392" s="1116"/>
      <c r="B392" s="1116"/>
      <c r="C392" s="1116"/>
      <c r="D392" s="1116"/>
      <c r="E392" s="1116"/>
      <c r="F392" s="1116"/>
      <c r="G392" s="1116"/>
      <c r="H392" s="1116"/>
      <c r="I392" s="1116"/>
      <c r="J392" s="1116"/>
      <c r="K392" s="1116"/>
      <c r="L392" s="1116"/>
      <c r="M392" s="1116"/>
      <c r="N392" s="1116"/>
      <c r="O392" s="1116"/>
      <c r="P392" s="1116"/>
      <c r="Q392" s="1116"/>
      <c r="R392" s="1116"/>
      <c r="S392" s="1116"/>
      <c r="T392" s="1116"/>
      <c r="U392" s="1116"/>
      <c r="V392" s="1116"/>
      <c r="W392" s="1116"/>
      <c r="X392" s="1116"/>
      <c r="Y392" s="1116"/>
      <c r="Z392" s="1116"/>
      <c r="AA392" s="1116"/>
      <c r="AB392" s="1116"/>
      <c r="AC392" s="1116"/>
      <c r="AD392" s="1116"/>
      <c r="AE392" s="1116"/>
      <c r="AF392" s="1116"/>
      <c r="AG392" s="1116"/>
      <c r="AH392" s="1116"/>
      <c r="AI392" s="1116"/>
      <c r="AJ392" s="1116"/>
      <c r="AK392" s="1116"/>
    </row>
    <row r="393" spans="1:37" x14ac:dyDescent="0.35">
      <c r="A393" s="1116"/>
      <c r="B393" s="1116"/>
      <c r="C393" s="1116"/>
      <c r="D393" s="1116"/>
      <c r="E393" s="1116"/>
      <c r="F393" s="1116"/>
      <c r="G393" s="1116"/>
      <c r="H393" s="1116"/>
      <c r="I393" s="1116"/>
      <c r="J393" s="1116"/>
      <c r="K393" s="1116"/>
      <c r="L393" s="1116"/>
      <c r="M393" s="1116"/>
      <c r="N393" s="1116"/>
      <c r="O393" s="1116"/>
      <c r="P393" s="1116"/>
      <c r="Q393" s="1116"/>
      <c r="R393" s="1116"/>
      <c r="S393" s="1116"/>
      <c r="T393" s="1116"/>
      <c r="U393" s="1116"/>
      <c r="V393" s="1116"/>
      <c r="W393" s="1116"/>
      <c r="X393" s="1116"/>
      <c r="Y393" s="1116"/>
      <c r="Z393" s="1116"/>
      <c r="AA393" s="1116"/>
      <c r="AB393" s="1116"/>
      <c r="AC393" s="1116"/>
      <c r="AD393" s="1116"/>
      <c r="AE393" s="1116"/>
      <c r="AF393" s="1116"/>
      <c r="AG393" s="1116"/>
      <c r="AH393" s="1116"/>
      <c r="AI393" s="1116"/>
      <c r="AJ393" s="1116"/>
      <c r="AK393" s="1116"/>
    </row>
    <row r="394" spans="1:37" x14ac:dyDescent="0.35">
      <c r="A394" s="1116"/>
      <c r="B394" s="1116"/>
      <c r="C394" s="1116"/>
      <c r="D394" s="1116"/>
      <c r="E394" s="1116"/>
      <c r="F394" s="1116"/>
      <c r="G394" s="1116"/>
      <c r="H394" s="1116"/>
      <c r="I394" s="1116"/>
      <c r="J394" s="1116"/>
      <c r="K394" s="1116"/>
      <c r="L394" s="1116"/>
      <c r="M394" s="1116"/>
      <c r="N394" s="1116"/>
      <c r="O394" s="1116"/>
      <c r="P394" s="1116"/>
      <c r="Q394" s="1116"/>
      <c r="R394" s="1116"/>
      <c r="S394" s="1116"/>
      <c r="T394" s="1116"/>
      <c r="U394" s="1116"/>
      <c r="V394" s="1116"/>
      <c r="W394" s="1116"/>
      <c r="X394" s="1116"/>
      <c r="Y394" s="1116"/>
      <c r="Z394" s="1116"/>
      <c r="AA394" s="1116"/>
      <c r="AB394" s="1116"/>
      <c r="AC394" s="1116"/>
      <c r="AD394" s="1116"/>
      <c r="AE394" s="1116"/>
      <c r="AF394" s="1116"/>
      <c r="AG394" s="1116"/>
      <c r="AH394" s="1116"/>
      <c r="AI394" s="1116"/>
      <c r="AJ394" s="1116"/>
      <c r="AK394" s="1116"/>
    </row>
    <row r="395" spans="1:37" x14ac:dyDescent="0.35">
      <c r="A395" s="1116"/>
      <c r="B395" s="1116"/>
      <c r="C395" s="1116"/>
      <c r="D395" s="1116"/>
      <c r="E395" s="1116"/>
      <c r="F395" s="1116"/>
      <c r="G395" s="1116"/>
      <c r="H395" s="1116"/>
      <c r="I395" s="1116"/>
      <c r="J395" s="1116"/>
      <c r="K395" s="1116"/>
      <c r="L395" s="1116"/>
      <c r="M395" s="1116"/>
      <c r="N395" s="1116"/>
      <c r="O395" s="1116"/>
      <c r="P395" s="1116"/>
      <c r="Q395" s="1116"/>
      <c r="R395" s="1116"/>
      <c r="S395" s="1116"/>
      <c r="T395" s="1116"/>
      <c r="U395" s="1116"/>
      <c r="V395" s="1116"/>
      <c r="W395" s="1116"/>
      <c r="X395" s="1116"/>
      <c r="Y395" s="1116"/>
      <c r="Z395" s="1116"/>
      <c r="AA395" s="1116"/>
      <c r="AB395" s="1116"/>
      <c r="AC395" s="1116"/>
      <c r="AD395" s="1116"/>
      <c r="AE395" s="1116"/>
      <c r="AF395" s="1116"/>
      <c r="AG395" s="1116"/>
      <c r="AH395" s="1116"/>
      <c r="AI395" s="1116"/>
      <c r="AJ395" s="1116"/>
      <c r="AK395" s="1116"/>
    </row>
    <row r="396" spans="1:37" x14ac:dyDescent="0.35">
      <c r="A396" s="1116"/>
      <c r="B396" s="1116"/>
      <c r="C396" s="1116"/>
      <c r="D396" s="1116"/>
      <c r="E396" s="1116"/>
      <c r="F396" s="1116"/>
      <c r="G396" s="1116"/>
      <c r="H396" s="1116"/>
      <c r="I396" s="1116"/>
      <c r="J396" s="1116"/>
      <c r="K396" s="1116"/>
      <c r="L396" s="1116"/>
      <c r="M396" s="1116"/>
      <c r="N396" s="1116"/>
      <c r="O396" s="1116"/>
      <c r="P396" s="1116"/>
      <c r="Q396" s="1116"/>
      <c r="R396" s="1116"/>
      <c r="S396" s="1116"/>
      <c r="T396" s="1116"/>
      <c r="U396" s="1116"/>
      <c r="V396" s="1116"/>
      <c r="W396" s="1116"/>
      <c r="X396" s="1116"/>
      <c r="Y396" s="1116"/>
      <c r="Z396" s="1116"/>
      <c r="AA396" s="1116"/>
      <c r="AB396" s="1116"/>
      <c r="AC396" s="1116"/>
      <c r="AD396" s="1116"/>
      <c r="AE396" s="1116"/>
      <c r="AF396" s="1116"/>
      <c r="AG396" s="1116"/>
      <c r="AH396" s="1116"/>
      <c r="AI396" s="1116"/>
      <c r="AJ396" s="1116"/>
      <c r="AK396" s="1116"/>
    </row>
    <row r="397" spans="1:37" x14ac:dyDescent="0.35">
      <c r="A397" s="1116"/>
      <c r="B397" s="1116"/>
      <c r="C397" s="1116"/>
      <c r="D397" s="1116"/>
      <c r="E397" s="1116"/>
      <c r="F397" s="1116"/>
      <c r="G397" s="1116"/>
      <c r="H397" s="1116"/>
      <c r="I397" s="1116"/>
      <c r="J397" s="1116"/>
      <c r="K397" s="1116"/>
      <c r="L397" s="1116"/>
      <c r="M397" s="1116"/>
      <c r="N397" s="1116"/>
      <c r="O397" s="1116"/>
      <c r="P397" s="1116"/>
      <c r="Q397" s="1116"/>
      <c r="R397" s="1116"/>
      <c r="S397" s="1116"/>
      <c r="T397" s="1116"/>
      <c r="U397" s="1116"/>
      <c r="V397" s="1116"/>
      <c r="W397" s="1116"/>
      <c r="X397" s="1116"/>
      <c r="Y397" s="1116"/>
      <c r="Z397" s="1116"/>
      <c r="AA397" s="1116"/>
      <c r="AB397" s="1116"/>
      <c r="AC397" s="1116"/>
      <c r="AD397" s="1116"/>
      <c r="AE397" s="1116"/>
      <c r="AF397" s="1116"/>
      <c r="AG397" s="1116"/>
      <c r="AH397" s="1116"/>
      <c r="AI397" s="1116"/>
      <c r="AJ397" s="1116"/>
      <c r="AK397" s="1116"/>
    </row>
    <row r="398" spans="1:37" x14ac:dyDescent="0.35">
      <c r="A398" s="1116"/>
      <c r="B398" s="1116"/>
      <c r="C398" s="1116"/>
      <c r="D398" s="1116"/>
      <c r="E398" s="1116"/>
      <c r="F398" s="1116"/>
      <c r="G398" s="1116"/>
      <c r="H398" s="1116"/>
      <c r="I398" s="1116"/>
      <c r="J398" s="1116"/>
      <c r="K398" s="1116"/>
      <c r="L398" s="1116"/>
      <c r="M398" s="1116"/>
      <c r="N398" s="1116"/>
      <c r="O398" s="1116"/>
      <c r="P398" s="1116"/>
      <c r="Q398" s="1116"/>
      <c r="R398" s="1116"/>
      <c r="S398" s="1116"/>
      <c r="T398" s="1116"/>
      <c r="U398" s="1116"/>
      <c r="V398" s="1116"/>
      <c r="W398" s="1116"/>
      <c r="X398" s="1116"/>
      <c r="Y398" s="1116"/>
      <c r="Z398" s="1116"/>
      <c r="AA398" s="1116"/>
      <c r="AB398" s="1116"/>
      <c r="AC398" s="1116"/>
      <c r="AD398" s="1116"/>
      <c r="AE398" s="1116"/>
      <c r="AF398" s="1116"/>
      <c r="AG398" s="1116"/>
      <c r="AH398" s="1116"/>
      <c r="AI398" s="1116"/>
      <c r="AJ398" s="1116"/>
      <c r="AK398" s="1116"/>
    </row>
    <row r="399" spans="1:37" x14ac:dyDescent="0.35">
      <c r="A399" s="1116"/>
      <c r="B399" s="1116"/>
      <c r="C399" s="1116"/>
      <c r="D399" s="1116"/>
      <c r="E399" s="1116"/>
      <c r="F399" s="1116"/>
      <c r="G399" s="1116"/>
      <c r="H399" s="1116"/>
      <c r="I399" s="1116"/>
      <c r="J399" s="1116"/>
      <c r="K399" s="1116"/>
      <c r="L399" s="1116"/>
      <c r="M399" s="1116"/>
      <c r="N399" s="1116"/>
      <c r="O399" s="1116"/>
      <c r="P399" s="1116"/>
      <c r="Q399" s="1116"/>
      <c r="R399" s="1116"/>
      <c r="S399" s="1116"/>
      <c r="T399" s="1116"/>
      <c r="U399" s="1116"/>
      <c r="V399" s="1116"/>
      <c r="W399" s="1116"/>
      <c r="X399" s="1116"/>
      <c r="Y399" s="1116"/>
      <c r="Z399" s="1116"/>
      <c r="AA399" s="1116"/>
      <c r="AB399" s="1116"/>
      <c r="AC399" s="1116"/>
      <c r="AD399" s="1116"/>
      <c r="AE399" s="1116"/>
      <c r="AF399" s="1116"/>
      <c r="AG399" s="1116"/>
      <c r="AH399" s="1116"/>
      <c r="AI399" s="1116"/>
      <c r="AJ399" s="1116"/>
      <c r="AK399" s="1116"/>
    </row>
    <row r="400" spans="1:37" x14ac:dyDescent="0.35">
      <c r="A400" s="1116"/>
      <c r="B400" s="1116"/>
      <c r="C400" s="1116"/>
      <c r="D400" s="1116"/>
      <c r="E400" s="1116"/>
      <c r="F400" s="1116"/>
      <c r="G400" s="1116"/>
      <c r="H400" s="1116"/>
      <c r="I400" s="1116"/>
      <c r="J400" s="1116"/>
      <c r="K400" s="1116"/>
      <c r="L400" s="1116"/>
      <c r="M400" s="1116"/>
      <c r="N400" s="1116"/>
      <c r="O400" s="1116"/>
      <c r="P400" s="1116"/>
      <c r="Q400" s="1116"/>
      <c r="R400" s="1116"/>
      <c r="S400" s="1116"/>
      <c r="T400" s="1116"/>
      <c r="U400" s="1116"/>
      <c r="V400" s="1116"/>
      <c r="W400" s="1116"/>
      <c r="X400" s="1116"/>
      <c r="Y400" s="1116"/>
      <c r="Z400" s="1116"/>
      <c r="AA400" s="1116"/>
      <c r="AB400" s="1116"/>
      <c r="AC400" s="1116"/>
      <c r="AD400" s="1116"/>
      <c r="AE400" s="1116"/>
      <c r="AF400" s="1116"/>
      <c r="AG400" s="1116"/>
      <c r="AH400" s="1116"/>
      <c r="AI400" s="1116"/>
      <c r="AJ400" s="1116"/>
      <c r="AK400" s="1116"/>
    </row>
    <row r="401" spans="1:37" x14ac:dyDescent="0.35">
      <c r="A401" s="1116"/>
      <c r="B401" s="1116"/>
      <c r="C401" s="1116"/>
      <c r="D401" s="1116"/>
      <c r="E401" s="1116"/>
      <c r="F401" s="1116"/>
      <c r="G401" s="1116"/>
      <c r="H401" s="1116"/>
      <c r="I401" s="1116"/>
      <c r="J401" s="1116"/>
      <c r="K401" s="1116"/>
      <c r="L401" s="1116"/>
      <c r="M401" s="1116"/>
      <c r="N401" s="1116"/>
      <c r="O401" s="1116"/>
      <c r="P401" s="1116"/>
      <c r="Q401" s="1116"/>
      <c r="R401" s="1116"/>
      <c r="S401" s="1116"/>
      <c r="T401" s="1116"/>
      <c r="U401" s="1116"/>
      <c r="V401" s="1116"/>
      <c r="W401" s="1116"/>
      <c r="X401" s="1116"/>
      <c r="Y401" s="1116"/>
      <c r="Z401" s="1116"/>
      <c r="AA401" s="1116"/>
      <c r="AB401" s="1116"/>
      <c r="AC401" s="1116"/>
      <c r="AD401" s="1116"/>
      <c r="AE401" s="1116"/>
      <c r="AF401" s="1116"/>
      <c r="AG401" s="1116"/>
      <c r="AH401" s="1116"/>
      <c r="AI401" s="1116"/>
      <c r="AJ401" s="1116"/>
      <c r="AK401" s="1116"/>
    </row>
    <row r="402" spans="1:37" x14ac:dyDescent="0.35">
      <c r="A402" s="1116"/>
      <c r="B402" s="1116"/>
      <c r="C402" s="1116"/>
      <c r="D402" s="1116"/>
      <c r="E402" s="1116"/>
      <c r="F402" s="1116"/>
      <c r="G402" s="1116"/>
      <c r="H402" s="1116"/>
      <c r="I402" s="1116"/>
      <c r="J402" s="1116"/>
      <c r="K402" s="1116"/>
      <c r="L402" s="1116"/>
      <c r="M402" s="1116"/>
      <c r="N402" s="1116"/>
      <c r="O402" s="1116"/>
      <c r="P402" s="1116"/>
      <c r="Q402" s="1116"/>
      <c r="R402" s="1116"/>
      <c r="S402" s="1116"/>
      <c r="T402" s="1116"/>
      <c r="U402" s="1116"/>
      <c r="V402" s="1116"/>
      <c r="W402" s="1116"/>
      <c r="X402" s="1116"/>
      <c r="Y402" s="1116"/>
      <c r="Z402" s="1116"/>
      <c r="AA402" s="1116"/>
      <c r="AB402" s="1116"/>
      <c r="AC402" s="1116"/>
      <c r="AD402" s="1116"/>
      <c r="AE402" s="1116"/>
      <c r="AF402" s="1116"/>
      <c r="AG402" s="1116"/>
      <c r="AH402" s="1116"/>
      <c r="AI402" s="1116"/>
      <c r="AJ402" s="1116"/>
      <c r="AK402" s="1116"/>
    </row>
    <row r="403" spans="1:37" x14ac:dyDescent="0.35">
      <c r="A403" s="1116"/>
      <c r="B403" s="1116"/>
      <c r="C403" s="1116"/>
      <c r="D403" s="1116"/>
      <c r="E403" s="1116"/>
      <c r="F403" s="1116"/>
      <c r="G403" s="1116"/>
      <c r="H403" s="1116"/>
      <c r="I403" s="1116"/>
      <c r="J403" s="1116"/>
      <c r="K403" s="1116"/>
      <c r="L403" s="1116"/>
      <c r="M403" s="1116"/>
      <c r="N403" s="1116"/>
      <c r="O403" s="1116"/>
      <c r="P403" s="1116"/>
      <c r="Q403" s="1116"/>
      <c r="R403" s="1116"/>
      <c r="S403" s="1116"/>
      <c r="T403" s="1116"/>
      <c r="U403" s="1116"/>
      <c r="V403" s="1116"/>
      <c r="W403" s="1116"/>
      <c r="X403" s="1116"/>
      <c r="Y403" s="1116"/>
      <c r="Z403" s="1116"/>
      <c r="AA403" s="1116"/>
      <c r="AB403" s="1116"/>
      <c r="AC403" s="1116"/>
      <c r="AD403" s="1116"/>
      <c r="AE403" s="1116"/>
      <c r="AF403" s="1116"/>
      <c r="AG403" s="1116"/>
      <c r="AH403" s="1116"/>
      <c r="AI403" s="1116"/>
      <c r="AJ403" s="1116"/>
      <c r="AK403" s="1116"/>
    </row>
    <row r="404" spans="1:37" x14ac:dyDescent="0.35">
      <c r="A404" s="1116"/>
      <c r="B404" s="1116"/>
      <c r="C404" s="1116"/>
      <c r="D404" s="1116"/>
      <c r="E404" s="1116"/>
      <c r="F404" s="1116"/>
      <c r="G404" s="1116"/>
      <c r="H404" s="1116"/>
      <c r="I404" s="1116"/>
      <c r="J404" s="1116"/>
      <c r="K404" s="1116"/>
      <c r="L404" s="1116"/>
      <c r="M404" s="1116"/>
      <c r="N404" s="1116"/>
      <c r="O404" s="1116"/>
      <c r="P404" s="1116"/>
      <c r="Q404" s="1116"/>
      <c r="R404" s="1116"/>
      <c r="S404" s="1116"/>
      <c r="T404" s="1116"/>
      <c r="U404" s="1116"/>
      <c r="V404" s="1116"/>
      <c r="W404" s="1116"/>
      <c r="X404" s="1116"/>
      <c r="Y404" s="1116"/>
      <c r="Z404" s="1116"/>
      <c r="AA404" s="1116"/>
      <c r="AB404" s="1116"/>
      <c r="AC404" s="1116"/>
      <c r="AD404" s="1116"/>
      <c r="AE404" s="1116"/>
      <c r="AF404" s="1116"/>
      <c r="AG404" s="1116"/>
      <c r="AH404" s="1116"/>
      <c r="AI404" s="1116"/>
      <c r="AJ404" s="1116"/>
      <c r="AK404" s="1116"/>
    </row>
    <row r="405" spans="1:37" x14ac:dyDescent="0.35">
      <c r="A405" s="1116"/>
      <c r="B405" s="1116"/>
      <c r="C405" s="1116"/>
      <c r="D405" s="1116"/>
      <c r="E405" s="1116"/>
      <c r="F405" s="1116"/>
      <c r="G405" s="1116"/>
      <c r="H405" s="1116"/>
      <c r="I405" s="1116"/>
      <c r="J405" s="1116"/>
      <c r="K405" s="1116"/>
      <c r="L405" s="1116"/>
      <c r="M405" s="1116"/>
      <c r="N405" s="1116"/>
      <c r="O405" s="1116"/>
      <c r="P405" s="1116"/>
      <c r="Q405" s="1116"/>
      <c r="R405" s="1116"/>
      <c r="S405" s="1116"/>
      <c r="T405" s="1116"/>
      <c r="U405" s="1116"/>
      <c r="V405" s="1116"/>
      <c r="W405" s="1116"/>
      <c r="X405" s="1116"/>
      <c r="Y405" s="1116"/>
      <c r="Z405" s="1116"/>
      <c r="AA405" s="1116"/>
      <c r="AB405" s="1116"/>
      <c r="AC405" s="1116"/>
      <c r="AD405" s="1116"/>
      <c r="AE405" s="1116"/>
      <c r="AF405" s="1116"/>
      <c r="AG405" s="1116"/>
      <c r="AH405" s="1116"/>
      <c r="AI405" s="1116"/>
      <c r="AJ405" s="1116"/>
      <c r="AK405" s="1116"/>
    </row>
    <row r="406" spans="1:37" x14ac:dyDescent="0.35">
      <c r="A406" s="1116"/>
      <c r="B406" s="1116"/>
      <c r="C406" s="1116"/>
      <c r="D406" s="1116"/>
      <c r="E406" s="1116"/>
      <c r="F406" s="1116"/>
      <c r="G406" s="1116"/>
      <c r="H406" s="1116"/>
      <c r="I406" s="1116"/>
      <c r="J406" s="1116"/>
      <c r="K406" s="1116"/>
      <c r="L406" s="1116"/>
      <c r="M406" s="1116"/>
      <c r="N406" s="1116"/>
      <c r="O406" s="1116"/>
      <c r="P406" s="1116"/>
      <c r="Q406" s="1116"/>
      <c r="R406" s="1116"/>
      <c r="S406" s="1116"/>
      <c r="T406" s="1116"/>
      <c r="U406" s="1116"/>
      <c r="V406" s="1116"/>
      <c r="W406" s="1116"/>
      <c r="X406" s="1116"/>
      <c r="Y406" s="1116"/>
      <c r="Z406" s="1116"/>
      <c r="AA406" s="1116"/>
      <c r="AB406" s="1116"/>
      <c r="AC406" s="1116"/>
      <c r="AD406" s="1116"/>
      <c r="AE406" s="1116"/>
      <c r="AF406" s="1116"/>
      <c r="AG406" s="1116"/>
      <c r="AH406" s="1116"/>
      <c r="AI406" s="1116"/>
      <c r="AJ406" s="1116"/>
      <c r="AK406" s="1116"/>
    </row>
    <row r="407" spans="1:37" x14ac:dyDescent="0.35">
      <c r="A407" s="1116"/>
      <c r="B407" s="1116"/>
      <c r="C407" s="1116"/>
      <c r="D407" s="1116"/>
      <c r="E407" s="1116"/>
      <c r="F407" s="1116"/>
      <c r="G407" s="1116"/>
      <c r="H407" s="1116"/>
      <c r="I407" s="1116"/>
      <c r="J407" s="1116"/>
      <c r="K407" s="1116"/>
      <c r="L407" s="1116"/>
      <c r="M407" s="1116"/>
      <c r="N407" s="1116"/>
      <c r="O407" s="1116"/>
      <c r="P407" s="1116"/>
      <c r="Q407" s="1116"/>
      <c r="R407" s="1116"/>
      <c r="S407" s="1116"/>
      <c r="T407" s="1116"/>
      <c r="U407" s="1116"/>
      <c r="V407" s="1116"/>
      <c r="W407" s="1116"/>
      <c r="X407" s="1116"/>
      <c r="Y407" s="1116"/>
      <c r="Z407" s="1116"/>
      <c r="AA407" s="1116"/>
      <c r="AB407" s="1116"/>
      <c r="AC407" s="1116"/>
      <c r="AD407" s="1116"/>
      <c r="AE407" s="1116"/>
      <c r="AF407" s="1116"/>
      <c r="AG407" s="1116"/>
      <c r="AH407" s="1116"/>
      <c r="AI407" s="1116"/>
      <c r="AJ407" s="1116"/>
      <c r="AK407" s="1116"/>
    </row>
    <row r="408" spans="1:37" x14ac:dyDescent="0.35">
      <c r="A408" s="1116"/>
      <c r="B408" s="1116"/>
      <c r="C408" s="1116"/>
      <c r="D408" s="1116"/>
      <c r="E408" s="1116"/>
      <c r="F408" s="1116"/>
      <c r="G408" s="1116"/>
      <c r="H408" s="1116"/>
      <c r="I408" s="1116"/>
      <c r="J408" s="1116"/>
      <c r="K408" s="1116"/>
      <c r="L408" s="1116"/>
      <c r="M408" s="1116"/>
      <c r="N408" s="1116"/>
      <c r="O408" s="1116"/>
      <c r="P408" s="1116"/>
      <c r="Q408" s="1116"/>
      <c r="R408" s="1116"/>
      <c r="S408" s="1116"/>
      <c r="T408" s="1116"/>
      <c r="U408" s="1116"/>
      <c r="V408" s="1116"/>
      <c r="W408" s="1116"/>
      <c r="X408" s="1116"/>
      <c r="Y408" s="1116"/>
      <c r="Z408" s="1116"/>
      <c r="AA408" s="1116"/>
      <c r="AB408" s="1116"/>
      <c r="AC408" s="1116"/>
      <c r="AD408" s="1116"/>
      <c r="AE408" s="1116"/>
      <c r="AF408" s="1116"/>
      <c r="AG408" s="1116"/>
      <c r="AH408" s="1116"/>
      <c r="AI408" s="1116"/>
      <c r="AJ408" s="1116"/>
      <c r="AK408" s="1116"/>
    </row>
    <row r="409" spans="1:37" x14ac:dyDescent="0.35">
      <c r="A409" s="1116"/>
      <c r="B409" s="1116"/>
      <c r="C409" s="1116"/>
      <c r="D409" s="1116"/>
      <c r="E409" s="1116"/>
      <c r="F409" s="1116"/>
      <c r="G409" s="1116"/>
      <c r="H409" s="1116"/>
      <c r="I409" s="1116"/>
      <c r="J409" s="1116"/>
      <c r="K409" s="1116"/>
      <c r="L409" s="1116"/>
      <c r="M409" s="1116"/>
      <c r="N409" s="1116"/>
      <c r="O409" s="1116"/>
      <c r="P409" s="1116"/>
      <c r="Q409" s="1116"/>
      <c r="R409" s="1116"/>
      <c r="S409" s="1116"/>
      <c r="T409" s="1116"/>
      <c r="U409" s="1116"/>
      <c r="V409" s="1116"/>
      <c r="W409" s="1116"/>
      <c r="X409" s="1116"/>
      <c r="Y409" s="1116"/>
      <c r="Z409" s="1116"/>
      <c r="AA409" s="1116"/>
      <c r="AB409" s="1116"/>
      <c r="AC409" s="1116"/>
      <c r="AD409" s="1116"/>
      <c r="AE409" s="1116"/>
      <c r="AF409" s="1116"/>
      <c r="AG409" s="1116"/>
      <c r="AH409" s="1116"/>
      <c r="AI409" s="1116"/>
      <c r="AJ409" s="1116"/>
      <c r="AK409" s="1116"/>
    </row>
    <row r="410" spans="1:37" x14ac:dyDescent="0.35">
      <c r="A410" s="1116"/>
      <c r="B410" s="1116"/>
      <c r="C410" s="1116"/>
      <c r="D410" s="1116"/>
      <c r="E410" s="1116"/>
      <c r="F410" s="1116"/>
      <c r="G410" s="1116"/>
      <c r="H410" s="1116"/>
      <c r="I410" s="1116"/>
      <c r="J410" s="1116"/>
      <c r="K410" s="1116"/>
      <c r="L410" s="1116"/>
      <c r="M410" s="1116"/>
      <c r="N410" s="1116"/>
      <c r="O410" s="1116"/>
      <c r="P410" s="1116"/>
      <c r="Q410" s="1116"/>
      <c r="R410" s="1116"/>
      <c r="S410" s="1116"/>
      <c r="T410" s="1116"/>
      <c r="U410" s="1116"/>
      <c r="V410" s="1116"/>
      <c r="W410" s="1116"/>
      <c r="X410" s="1116"/>
      <c r="Y410" s="1116"/>
      <c r="Z410" s="1116"/>
      <c r="AA410" s="1116"/>
      <c r="AB410" s="1116"/>
      <c r="AC410" s="1116"/>
      <c r="AD410" s="1116"/>
      <c r="AE410" s="1116"/>
      <c r="AF410" s="1116"/>
      <c r="AG410" s="1116"/>
      <c r="AH410" s="1116"/>
      <c r="AI410" s="1116"/>
      <c r="AJ410" s="1116"/>
      <c r="AK410" s="1116"/>
    </row>
    <row r="411" spans="1:37" x14ac:dyDescent="0.35">
      <c r="A411" s="1116"/>
      <c r="B411" s="1116"/>
      <c r="C411" s="1116"/>
      <c r="D411" s="1116"/>
      <c r="E411" s="1116"/>
      <c r="F411" s="1116"/>
      <c r="G411" s="1116"/>
      <c r="H411" s="1116"/>
      <c r="I411" s="1116"/>
      <c r="J411" s="1116"/>
      <c r="K411" s="1116"/>
      <c r="L411" s="1116"/>
      <c r="M411" s="1116"/>
      <c r="N411" s="1116"/>
      <c r="O411" s="1116"/>
      <c r="P411" s="1116"/>
      <c r="Q411" s="1116"/>
      <c r="R411" s="1116"/>
      <c r="S411" s="1116"/>
      <c r="T411" s="1116"/>
      <c r="U411" s="1116"/>
      <c r="V411" s="1116"/>
      <c r="W411" s="1116"/>
      <c r="X411" s="1116"/>
      <c r="Y411" s="1116"/>
      <c r="Z411" s="1116"/>
      <c r="AA411" s="1116"/>
      <c r="AB411" s="1116"/>
      <c r="AC411" s="1116"/>
      <c r="AD411" s="1116"/>
      <c r="AE411" s="1116"/>
      <c r="AF411" s="1116"/>
      <c r="AG411" s="1116"/>
      <c r="AH411" s="1116"/>
      <c r="AI411" s="1116"/>
      <c r="AJ411" s="1116"/>
      <c r="AK411" s="1116"/>
    </row>
    <row r="412" spans="1:37" x14ac:dyDescent="0.35">
      <c r="A412" s="1116"/>
      <c r="B412" s="1116"/>
      <c r="C412" s="1116"/>
      <c r="D412" s="1116"/>
      <c r="E412" s="1116"/>
      <c r="F412" s="1116"/>
      <c r="G412" s="1116"/>
      <c r="H412" s="1116"/>
      <c r="I412" s="1116"/>
      <c r="J412" s="1116"/>
      <c r="K412" s="1116"/>
      <c r="L412" s="1116"/>
      <c r="M412" s="1116"/>
      <c r="N412" s="1116"/>
      <c r="O412" s="1116"/>
      <c r="P412" s="1116"/>
      <c r="Q412" s="1116"/>
      <c r="R412" s="1116"/>
      <c r="S412" s="1116"/>
      <c r="T412" s="1116"/>
      <c r="U412" s="1116"/>
      <c r="V412" s="1116"/>
      <c r="W412" s="1116"/>
      <c r="X412" s="1116"/>
      <c r="Y412" s="1116"/>
      <c r="Z412" s="1116"/>
      <c r="AA412" s="1116"/>
      <c r="AB412" s="1116"/>
      <c r="AC412" s="1116"/>
      <c r="AD412" s="1116"/>
      <c r="AE412" s="1116"/>
      <c r="AF412" s="1116"/>
      <c r="AG412" s="1116"/>
      <c r="AH412" s="1116"/>
      <c r="AI412" s="1116"/>
      <c r="AJ412" s="1116"/>
      <c r="AK412" s="1116"/>
    </row>
    <row r="413" spans="1:37" x14ac:dyDescent="0.35">
      <c r="A413" s="1116"/>
      <c r="B413" s="1116"/>
      <c r="C413" s="1116"/>
      <c r="D413" s="1116"/>
      <c r="E413" s="1116"/>
      <c r="F413" s="1116"/>
      <c r="G413" s="1116"/>
      <c r="H413" s="1116"/>
      <c r="I413" s="1116"/>
      <c r="J413" s="1116"/>
      <c r="K413" s="1116"/>
      <c r="L413" s="1116"/>
      <c r="M413" s="1116"/>
      <c r="N413" s="1116"/>
      <c r="O413" s="1116"/>
      <c r="P413" s="1116"/>
      <c r="Q413" s="1116"/>
      <c r="R413" s="1116"/>
      <c r="S413" s="1116"/>
      <c r="T413" s="1116"/>
      <c r="U413" s="1116"/>
      <c r="V413" s="1116"/>
      <c r="W413" s="1116"/>
      <c r="X413" s="1116"/>
      <c r="Y413" s="1116"/>
      <c r="Z413" s="1116"/>
      <c r="AA413" s="1116"/>
      <c r="AB413" s="1116"/>
      <c r="AC413" s="1116"/>
      <c r="AD413" s="1116"/>
      <c r="AE413" s="1116"/>
      <c r="AF413" s="1116"/>
      <c r="AG413" s="1116"/>
      <c r="AH413" s="1116"/>
      <c r="AI413" s="1116"/>
      <c r="AJ413" s="1116"/>
      <c r="AK413" s="1116"/>
    </row>
    <row r="414" spans="1:37" x14ac:dyDescent="0.35">
      <c r="A414" s="1116"/>
      <c r="B414" s="1116"/>
      <c r="C414" s="1116"/>
      <c r="D414" s="1116"/>
      <c r="E414" s="1116"/>
      <c r="F414" s="1116"/>
      <c r="G414" s="1116"/>
      <c r="H414" s="1116"/>
      <c r="I414" s="1116"/>
      <c r="J414" s="1116"/>
      <c r="K414" s="1116"/>
      <c r="L414" s="1116"/>
      <c r="M414" s="1116"/>
      <c r="N414" s="1116"/>
      <c r="O414" s="1116"/>
      <c r="P414" s="1116"/>
      <c r="Q414" s="1116"/>
      <c r="R414" s="1116"/>
      <c r="S414" s="1116"/>
      <c r="T414" s="1116"/>
      <c r="U414" s="1116"/>
      <c r="V414" s="1116"/>
      <c r="W414" s="1116"/>
      <c r="X414" s="1116"/>
      <c r="Y414" s="1116"/>
      <c r="Z414" s="1116"/>
      <c r="AA414" s="1116"/>
      <c r="AB414" s="1116"/>
      <c r="AC414" s="1116"/>
      <c r="AD414" s="1116"/>
      <c r="AE414" s="1116"/>
      <c r="AF414" s="1116"/>
      <c r="AG414" s="1116"/>
      <c r="AH414" s="1116"/>
      <c r="AI414" s="1116"/>
      <c r="AJ414" s="1116"/>
      <c r="AK414" s="1116"/>
    </row>
    <row r="415" spans="1:37" x14ac:dyDescent="0.35">
      <c r="A415" s="1116"/>
      <c r="B415" s="1116"/>
      <c r="C415" s="1116"/>
      <c r="D415" s="1116"/>
      <c r="E415" s="1116"/>
      <c r="F415" s="1116"/>
      <c r="G415" s="1116"/>
      <c r="H415" s="1116"/>
      <c r="I415" s="1116"/>
      <c r="J415" s="1116"/>
      <c r="K415" s="1116"/>
      <c r="L415" s="1116"/>
      <c r="M415" s="1116"/>
      <c r="N415" s="1116"/>
      <c r="O415" s="1116"/>
      <c r="P415" s="1116"/>
      <c r="Q415" s="1116"/>
      <c r="R415" s="1116"/>
      <c r="S415" s="1116"/>
      <c r="T415" s="1116"/>
      <c r="U415" s="1116"/>
      <c r="V415" s="1116"/>
      <c r="W415" s="1116"/>
      <c r="X415" s="1116"/>
      <c r="Y415" s="1116"/>
      <c r="Z415" s="1116"/>
      <c r="AA415" s="1116"/>
      <c r="AB415" s="1116"/>
      <c r="AC415" s="1116"/>
      <c r="AD415" s="1116"/>
      <c r="AE415" s="1116"/>
      <c r="AF415" s="1116"/>
      <c r="AG415" s="1116"/>
      <c r="AH415" s="1116"/>
      <c r="AI415" s="1116"/>
      <c r="AJ415" s="1116"/>
      <c r="AK415" s="1116"/>
    </row>
    <row r="416" spans="1:37" x14ac:dyDescent="0.35">
      <c r="A416" s="1116"/>
      <c r="B416" s="1116"/>
      <c r="C416" s="1116"/>
      <c r="D416" s="1116"/>
      <c r="E416" s="1116"/>
      <c r="F416" s="1116"/>
      <c r="G416" s="1116"/>
      <c r="H416" s="1116"/>
      <c r="I416" s="1116"/>
      <c r="J416" s="1116"/>
      <c r="K416" s="1116"/>
      <c r="L416" s="1116"/>
      <c r="M416" s="1116"/>
      <c r="N416" s="1116"/>
      <c r="O416" s="1116"/>
      <c r="P416" s="1116"/>
      <c r="Q416" s="1116"/>
      <c r="R416" s="1116"/>
      <c r="S416" s="1116"/>
      <c r="T416" s="1116"/>
      <c r="U416" s="1116"/>
      <c r="V416" s="1116"/>
      <c r="W416" s="1116"/>
      <c r="X416" s="1116"/>
      <c r="Y416" s="1116"/>
      <c r="Z416" s="1116"/>
      <c r="AA416" s="1116"/>
      <c r="AB416" s="1116"/>
      <c r="AC416" s="1116"/>
      <c r="AD416" s="1116"/>
      <c r="AE416" s="1116"/>
      <c r="AF416" s="1116"/>
      <c r="AG416" s="1116"/>
      <c r="AH416" s="1116"/>
      <c r="AI416" s="1116"/>
      <c r="AJ416" s="1116"/>
      <c r="AK416" s="1116"/>
    </row>
    <row r="417" spans="1:37" x14ac:dyDescent="0.35">
      <c r="A417" s="1116"/>
      <c r="B417" s="1116"/>
      <c r="C417" s="1116"/>
      <c r="D417" s="1116"/>
      <c r="E417" s="1116"/>
      <c r="F417" s="1116"/>
      <c r="G417" s="1116"/>
      <c r="H417" s="1116"/>
      <c r="I417" s="1116"/>
      <c r="J417" s="1116"/>
      <c r="K417" s="1116"/>
      <c r="L417" s="1116"/>
      <c r="M417" s="1116"/>
      <c r="N417" s="1116"/>
      <c r="O417" s="1116"/>
      <c r="P417" s="1116"/>
      <c r="Q417" s="1116"/>
      <c r="R417" s="1116"/>
      <c r="S417" s="1116"/>
      <c r="T417" s="1116"/>
      <c r="U417" s="1116"/>
      <c r="V417" s="1116"/>
      <c r="W417" s="1116"/>
      <c r="X417" s="1116"/>
      <c r="Y417" s="1116"/>
      <c r="Z417" s="1116"/>
      <c r="AA417" s="1116"/>
      <c r="AB417" s="1116"/>
      <c r="AC417" s="1116"/>
      <c r="AD417" s="1116"/>
      <c r="AE417" s="1116"/>
      <c r="AF417" s="1116"/>
      <c r="AG417" s="1116"/>
      <c r="AH417" s="1116"/>
      <c r="AI417" s="1116"/>
      <c r="AJ417" s="1116"/>
      <c r="AK417" s="1116"/>
    </row>
    <row r="418" spans="1:37" x14ac:dyDescent="0.35">
      <c r="A418" s="1116"/>
      <c r="B418" s="1116"/>
      <c r="C418" s="1116"/>
      <c r="D418" s="1116"/>
      <c r="E418" s="1116"/>
      <c r="F418" s="1116"/>
      <c r="G418" s="1116"/>
      <c r="H418" s="1116"/>
      <c r="I418" s="1116"/>
      <c r="J418" s="1116"/>
      <c r="K418" s="1116"/>
      <c r="L418" s="1116"/>
      <c r="M418" s="1116"/>
      <c r="N418" s="1116"/>
      <c r="O418" s="1116"/>
      <c r="P418" s="1116"/>
      <c r="Q418" s="1116"/>
      <c r="R418" s="1116"/>
      <c r="S418" s="1116"/>
      <c r="T418" s="1116"/>
      <c r="U418" s="1116"/>
      <c r="V418" s="1116"/>
      <c r="W418" s="1116"/>
      <c r="X418" s="1116"/>
      <c r="Y418" s="1116"/>
      <c r="Z418" s="1116"/>
      <c r="AA418" s="1116"/>
      <c r="AB418" s="1116"/>
      <c r="AC418" s="1116"/>
      <c r="AD418" s="1116"/>
      <c r="AE418" s="1116"/>
      <c r="AF418" s="1116"/>
      <c r="AG418" s="1116"/>
      <c r="AH418" s="1116"/>
      <c r="AI418" s="1116"/>
      <c r="AJ418" s="1116"/>
      <c r="AK418" s="1116"/>
    </row>
    <row r="419" spans="1:37" x14ac:dyDescent="0.35">
      <c r="A419" s="1116"/>
      <c r="B419" s="1116"/>
      <c r="C419" s="1116"/>
      <c r="D419" s="1116"/>
      <c r="E419" s="1116"/>
      <c r="F419" s="1116"/>
      <c r="G419" s="1116"/>
      <c r="H419" s="1116"/>
      <c r="I419" s="1116"/>
      <c r="J419" s="1116"/>
      <c r="K419" s="1116"/>
      <c r="L419" s="1116"/>
      <c r="M419" s="1116"/>
      <c r="N419" s="1116"/>
      <c r="O419" s="1116"/>
      <c r="P419" s="1116"/>
      <c r="Q419" s="1116"/>
      <c r="R419" s="1116"/>
      <c r="S419" s="1116"/>
      <c r="T419" s="1116"/>
      <c r="U419" s="1116"/>
      <c r="V419" s="1116"/>
      <c r="W419" s="1116"/>
      <c r="X419" s="1116"/>
      <c r="Y419" s="1116"/>
      <c r="Z419" s="1116"/>
      <c r="AA419" s="1116"/>
      <c r="AB419" s="1116"/>
      <c r="AC419" s="1116"/>
      <c r="AD419" s="1116"/>
      <c r="AE419" s="1116"/>
      <c r="AF419" s="1116"/>
      <c r="AG419" s="1116"/>
      <c r="AH419" s="1116"/>
      <c r="AI419" s="1116"/>
      <c r="AJ419" s="1116"/>
      <c r="AK419" s="1116"/>
    </row>
    <row r="420" spans="1:37" x14ac:dyDescent="0.35">
      <c r="A420" s="1116"/>
      <c r="B420" s="1116"/>
      <c r="C420" s="1116"/>
      <c r="D420" s="1116"/>
      <c r="E420" s="1116"/>
      <c r="F420" s="1116"/>
      <c r="G420" s="1116"/>
      <c r="H420" s="1116"/>
      <c r="I420" s="1116"/>
      <c r="J420" s="1116"/>
      <c r="K420" s="1116"/>
      <c r="L420" s="1116"/>
      <c r="M420" s="1116"/>
      <c r="N420" s="1116"/>
      <c r="O420" s="1116"/>
      <c r="P420" s="1116"/>
      <c r="Q420" s="1116"/>
      <c r="R420" s="1116"/>
      <c r="S420" s="1116"/>
      <c r="T420" s="1116"/>
      <c r="U420" s="1116"/>
      <c r="V420" s="1116"/>
      <c r="W420" s="1116"/>
      <c r="X420" s="1116"/>
      <c r="Y420" s="1116"/>
      <c r="Z420" s="1116"/>
      <c r="AA420" s="1116"/>
      <c r="AB420" s="1116"/>
      <c r="AC420" s="1116"/>
      <c r="AD420" s="1116"/>
      <c r="AE420" s="1116"/>
      <c r="AF420" s="1116"/>
      <c r="AG420" s="1116"/>
      <c r="AH420" s="1116"/>
      <c r="AI420" s="1116"/>
      <c r="AJ420" s="1116"/>
      <c r="AK420" s="1116"/>
    </row>
    <row r="421" spans="1:37" x14ac:dyDescent="0.35">
      <c r="A421" s="1116"/>
      <c r="B421" s="1116"/>
      <c r="C421" s="1116"/>
      <c r="D421" s="1116"/>
      <c r="E421" s="1116"/>
      <c r="F421" s="1116"/>
      <c r="G421" s="1116"/>
      <c r="H421" s="1116"/>
      <c r="I421" s="1116"/>
      <c r="J421" s="1116"/>
      <c r="K421" s="1116"/>
      <c r="L421" s="1116"/>
      <c r="M421" s="1116"/>
      <c r="N421" s="1116"/>
      <c r="O421" s="1116"/>
      <c r="P421" s="1116"/>
      <c r="Q421" s="1116"/>
      <c r="R421" s="1116"/>
      <c r="S421" s="1116"/>
      <c r="T421" s="1116"/>
      <c r="U421" s="1116"/>
      <c r="V421" s="1116"/>
      <c r="W421" s="1116"/>
      <c r="X421" s="1116"/>
      <c r="Y421" s="1116"/>
      <c r="Z421" s="1116"/>
      <c r="AA421" s="1116"/>
      <c r="AB421" s="1116"/>
      <c r="AC421" s="1116"/>
      <c r="AD421" s="1116"/>
      <c r="AE421" s="1116"/>
      <c r="AF421" s="1116"/>
      <c r="AG421" s="1116"/>
      <c r="AH421" s="1116"/>
      <c r="AI421" s="1116"/>
      <c r="AJ421" s="1116"/>
      <c r="AK421" s="1116"/>
    </row>
    <row r="422" spans="1:37" x14ac:dyDescent="0.35">
      <c r="A422" s="1116"/>
      <c r="B422" s="1116"/>
      <c r="C422" s="1116"/>
      <c r="D422" s="1116"/>
      <c r="E422" s="1116"/>
      <c r="F422" s="1116"/>
      <c r="G422" s="1116"/>
      <c r="H422" s="1116"/>
      <c r="I422" s="1116"/>
      <c r="J422" s="1116"/>
      <c r="K422" s="1116"/>
      <c r="L422" s="1116"/>
      <c r="M422" s="1116"/>
      <c r="N422" s="1116"/>
      <c r="O422" s="1116"/>
      <c r="P422" s="1116"/>
      <c r="Q422" s="1116"/>
      <c r="R422" s="1116"/>
      <c r="S422" s="1116"/>
      <c r="T422" s="1116"/>
      <c r="U422" s="1116"/>
      <c r="V422" s="1116"/>
      <c r="W422" s="1116"/>
      <c r="X422" s="1116"/>
      <c r="Y422" s="1116"/>
      <c r="Z422" s="1116"/>
      <c r="AA422" s="1116"/>
      <c r="AB422" s="1116"/>
      <c r="AC422" s="1116"/>
      <c r="AD422" s="1116"/>
      <c r="AE422" s="1116"/>
      <c r="AF422" s="1116"/>
      <c r="AG422" s="1116"/>
      <c r="AH422" s="1116"/>
      <c r="AI422" s="1116"/>
      <c r="AJ422" s="1116"/>
      <c r="AK422" s="1116"/>
    </row>
    <row r="423" spans="1:37" x14ac:dyDescent="0.35">
      <c r="A423" s="1116"/>
      <c r="B423" s="1116"/>
      <c r="C423" s="1116"/>
      <c r="D423" s="1116"/>
      <c r="E423" s="1116"/>
      <c r="F423" s="1116"/>
      <c r="G423" s="1116"/>
      <c r="H423" s="1116"/>
      <c r="I423" s="1116"/>
      <c r="J423" s="1116"/>
      <c r="K423" s="1116"/>
      <c r="L423" s="1116"/>
      <c r="M423" s="1116"/>
      <c r="N423" s="1116"/>
      <c r="O423" s="1116"/>
      <c r="P423" s="1116"/>
      <c r="Q423" s="1116"/>
      <c r="R423" s="1116"/>
      <c r="S423" s="1116"/>
      <c r="T423" s="1116"/>
      <c r="U423" s="1116"/>
      <c r="V423" s="1116"/>
      <c r="W423" s="1116"/>
      <c r="X423" s="1116"/>
      <c r="Y423" s="1116"/>
      <c r="Z423" s="1116"/>
      <c r="AA423" s="1116"/>
      <c r="AB423" s="1116"/>
      <c r="AC423" s="1116"/>
      <c r="AD423" s="1116"/>
      <c r="AE423" s="1116"/>
      <c r="AF423" s="1116"/>
      <c r="AG423" s="1116"/>
      <c r="AH423" s="1116"/>
      <c r="AI423" s="1116"/>
      <c r="AJ423" s="1116"/>
      <c r="AK423" s="1116"/>
    </row>
    <row r="424" spans="1:37" x14ac:dyDescent="0.35">
      <c r="A424" s="1116"/>
      <c r="B424" s="1116"/>
      <c r="C424" s="1116"/>
      <c r="D424" s="1116"/>
      <c r="E424" s="1116"/>
      <c r="F424" s="1116"/>
      <c r="G424" s="1116"/>
      <c r="H424" s="1116"/>
      <c r="I424" s="1116"/>
      <c r="J424" s="1116"/>
      <c r="K424" s="1116"/>
      <c r="L424" s="1116"/>
      <c r="M424" s="1116"/>
      <c r="N424" s="1116"/>
      <c r="O424" s="1116"/>
      <c r="P424" s="1116"/>
      <c r="Q424" s="1116"/>
      <c r="R424" s="1116"/>
      <c r="S424" s="1116"/>
      <c r="T424" s="1116"/>
      <c r="U424" s="1116"/>
      <c r="V424" s="1116"/>
      <c r="W424" s="1116"/>
      <c r="X424" s="1116"/>
      <c r="Y424" s="1116"/>
      <c r="Z424" s="1116"/>
      <c r="AA424" s="1116"/>
      <c r="AB424" s="1116"/>
      <c r="AC424" s="1116"/>
      <c r="AD424" s="1116"/>
      <c r="AE424" s="1116"/>
      <c r="AF424" s="1116"/>
      <c r="AG424" s="1116"/>
      <c r="AH424" s="1116"/>
      <c r="AI424" s="1116"/>
      <c r="AJ424" s="1116"/>
      <c r="AK424" s="1116"/>
    </row>
    <row r="425" spans="1:37" x14ac:dyDescent="0.35">
      <c r="A425" s="1116"/>
      <c r="B425" s="1116"/>
      <c r="C425" s="1116"/>
      <c r="D425" s="1116"/>
      <c r="E425" s="1116"/>
      <c r="F425" s="1116"/>
      <c r="G425" s="1116"/>
      <c r="H425" s="1116"/>
      <c r="I425" s="1116"/>
      <c r="J425" s="1116"/>
      <c r="K425" s="1116"/>
      <c r="L425" s="1116"/>
      <c r="M425" s="1116"/>
      <c r="N425" s="1116"/>
      <c r="O425" s="1116"/>
      <c r="P425" s="1116"/>
      <c r="Q425" s="1116"/>
      <c r="R425" s="1116"/>
      <c r="S425" s="1116"/>
      <c r="T425" s="1116"/>
      <c r="U425" s="1116"/>
      <c r="V425" s="1116"/>
      <c r="W425" s="1116"/>
      <c r="X425" s="1116"/>
      <c r="Y425" s="1116"/>
      <c r="Z425" s="1116"/>
      <c r="AA425" s="1116"/>
      <c r="AB425" s="1116"/>
      <c r="AC425" s="1116"/>
      <c r="AD425" s="1116"/>
      <c r="AE425" s="1116"/>
      <c r="AF425" s="1116"/>
      <c r="AG425" s="1116"/>
      <c r="AH425" s="1116"/>
      <c r="AI425" s="1116"/>
      <c r="AJ425" s="1116"/>
      <c r="AK425" s="1116"/>
    </row>
    <row r="426" spans="1:37" x14ac:dyDescent="0.35">
      <c r="A426" s="1116"/>
      <c r="B426" s="1116"/>
      <c r="C426" s="1116"/>
      <c r="D426" s="1116"/>
      <c r="E426" s="1116"/>
      <c r="F426" s="1116"/>
      <c r="G426" s="1116"/>
      <c r="H426" s="1116"/>
      <c r="I426" s="1116"/>
      <c r="J426" s="1116"/>
      <c r="K426" s="1116"/>
      <c r="L426" s="1116"/>
      <c r="M426" s="1116"/>
      <c r="N426" s="1116"/>
      <c r="O426" s="1116"/>
      <c r="P426" s="1116"/>
      <c r="Q426" s="1116"/>
      <c r="R426" s="1116"/>
      <c r="S426" s="1116"/>
      <c r="T426" s="1116"/>
      <c r="U426" s="1116"/>
      <c r="V426" s="1116"/>
      <c r="W426" s="1116"/>
      <c r="X426" s="1116"/>
      <c r="Y426" s="1116"/>
      <c r="Z426" s="1116"/>
      <c r="AA426" s="1116"/>
      <c r="AB426" s="1116"/>
      <c r="AC426" s="1116"/>
      <c r="AD426" s="1116"/>
      <c r="AE426" s="1116"/>
      <c r="AF426" s="1116"/>
      <c r="AG426" s="1116"/>
      <c r="AH426" s="1116"/>
      <c r="AI426" s="1116"/>
      <c r="AJ426" s="1116"/>
      <c r="AK426" s="1116"/>
    </row>
    <row r="427" spans="1:37" x14ac:dyDescent="0.35">
      <c r="A427" s="1116"/>
      <c r="B427" s="1116"/>
      <c r="C427" s="1116"/>
      <c r="D427" s="1116"/>
      <c r="E427" s="1116"/>
      <c r="F427" s="1116"/>
      <c r="G427" s="1116"/>
      <c r="H427" s="1116"/>
      <c r="I427" s="1116"/>
      <c r="J427" s="1116"/>
      <c r="K427" s="1116"/>
      <c r="L427" s="1116"/>
      <c r="M427" s="1116"/>
      <c r="N427" s="1116"/>
      <c r="O427" s="1116"/>
      <c r="P427" s="1116"/>
      <c r="Q427" s="1116"/>
      <c r="R427" s="1116"/>
      <c r="S427" s="1116"/>
      <c r="T427" s="1116"/>
      <c r="U427" s="1116"/>
      <c r="V427" s="1116"/>
      <c r="W427" s="1116"/>
      <c r="X427" s="1116"/>
      <c r="Y427" s="1116"/>
      <c r="Z427" s="1116"/>
      <c r="AA427" s="1116"/>
      <c r="AB427" s="1116"/>
      <c r="AC427" s="1116"/>
      <c r="AD427" s="1116"/>
      <c r="AE427" s="1116"/>
      <c r="AF427" s="1116"/>
      <c r="AG427" s="1116"/>
      <c r="AH427" s="1116"/>
      <c r="AI427" s="1116"/>
      <c r="AJ427" s="1116"/>
      <c r="AK427" s="1116"/>
    </row>
    <row r="428" spans="1:37" x14ac:dyDescent="0.35">
      <c r="A428" s="1116"/>
      <c r="B428" s="1116"/>
      <c r="C428" s="1116"/>
      <c r="D428" s="1116"/>
      <c r="E428" s="1116"/>
      <c r="F428" s="1116"/>
      <c r="G428" s="1116"/>
      <c r="H428" s="1116"/>
      <c r="I428" s="1116"/>
      <c r="J428" s="1116"/>
      <c r="K428" s="1116"/>
      <c r="L428" s="1116"/>
      <c r="M428" s="1116"/>
      <c r="N428" s="1116"/>
      <c r="O428" s="1116"/>
      <c r="P428" s="1116"/>
      <c r="Q428" s="1116"/>
      <c r="R428" s="1116"/>
      <c r="S428" s="1116"/>
      <c r="T428" s="1116"/>
      <c r="U428" s="1116"/>
      <c r="V428" s="1116"/>
      <c r="W428" s="1116"/>
      <c r="X428" s="1116"/>
      <c r="Y428" s="1116"/>
      <c r="Z428" s="1116"/>
      <c r="AA428" s="1116"/>
      <c r="AB428" s="1116"/>
      <c r="AC428" s="1116"/>
      <c r="AD428" s="1116"/>
      <c r="AE428" s="1116"/>
      <c r="AF428" s="1116"/>
      <c r="AG428" s="1116"/>
      <c r="AH428" s="1116"/>
      <c r="AI428" s="1116"/>
      <c r="AJ428" s="1116"/>
      <c r="AK428" s="1116"/>
    </row>
    <row r="429" spans="1:37" x14ac:dyDescent="0.35">
      <c r="A429" s="1116"/>
      <c r="B429" s="1116"/>
      <c r="C429" s="1116"/>
      <c r="D429" s="1116"/>
      <c r="E429" s="1116"/>
      <c r="F429" s="1116"/>
      <c r="G429" s="1116"/>
      <c r="H429" s="1116"/>
      <c r="I429" s="1116"/>
      <c r="J429" s="1116"/>
      <c r="K429" s="1116"/>
      <c r="L429" s="1116"/>
      <c r="M429" s="1116"/>
      <c r="N429" s="1116"/>
      <c r="O429" s="1116"/>
      <c r="P429" s="1116"/>
      <c r="Q429" s="1116"/>
      <c r="R429" s="1116"/>
      <c r="S429" s="1116"/>
      <c r="T429" s="1116"/>
      <c r="U429" s="1116"/>
      <c r="V429" s="1116"/>
      <c r="W429" s="1116"/>
      <c r="X429" s="1116"/>
      <c r="Y429" s="1116"/>
      <c r="Z429" s="1116"/>
      <c r="AA429" s="1116"/>
      <c r="AB429" s="1116"/>
      <c r="AC429" s="1116"/>
      <c r="AD429" s="1116"/>
      <c r="AE429" s="1116"/>
      <c r="AF429" s="1116"/>
      <c r="AG429" s="1116"/>
      <c r="AH429" s="1116"/>
      <c r="AI429" s="1116"/>
      <c r="AJ429" s="1116"/>
      <c r="AK429" s="1116"/>
    </row>
    <row r="430" spans="1:37" x14ac:dyDescent="0.35">
      <c r="A430" s="1116"/>
      <c r="B430" s="1116"/>
      <c r="C430" s="1116"/>
      <c r="D430" s="1116"/>
      <c r="E430" s="1116"/>
      <c r="F430" s="1116"/>
      <c r="G430" s="1116"/>
      <c r="H430" s="1116"/>
      <c r="I430" s="1116"/>
      <c r="J430" s="1116"/>
      <c r="K430" s="1116"/>
      <c r="L430" s="1116"/>
      <c r="M430" s="1116"/>
      <c r="N430" s="1116"/>
      <c r="O430" s="1116"/>
      <c r="P430" s="1116"/>
      <c r="Q430" s="1116"/>
      <c r="R430" s="1116"/>
      <c r="S430" s="1116"/>
      <c r="T430" s="1116"/>
      <c r="U430" s="1116"/>
      <c r="V430" s="1116"/>
      <c r="W430" s="1116"/>
      <c r="X430" s="1116"/>
      <c r="Y430" s="1116"/>
      <c r="Z430" s="1116"/>
      <c r="AA430" s="1116"/>
      <c r="AB430" s="1116"/>
      <c r="AC430" s="1116"/>
      <c r="AD430" s="1116"/>
      <c r="AE430" s="1116"/>
      <c r="AF430" s="1116"/>
      <c r="AG430" s="1116"/>
      <c r="AH430" s="1116"/>
      <c r="AI430" s="1116"/>
      <c r="AJ430" s="1116"/>
      <c r="AK430" s="1116"/>
    </row>
    <row r="431" spans="1:37" x14ac:dyDescent="0.35">
      <c r="A431" s="1116"/>
      <c r="B431" s="1116"/>
      <c r="C431" s="1116"/>
      <c r="D431" s="1116"/>
      <c r="E431" s="1116"/>
      <c r="F431" s="1116"/>
      <c r="G431" s="1116"/>
      <c r="H431" s="1116"/>
      <c r="I431" s="1116"/>
      <c r="J431" s="1116"/>
      <c r="K431" s="1116"/>
      <c r="L431" s="1116"/>
      <c r="M431" s="1116"/>
      <c r="N431" s="1116"/>
      <c r="O431" s="1116"/>
      <c r="P431" s="1116"/>
      <c r="Q431" s="1116"/>
      <c r="R431" s="1116"/>
      <c r="S431" s="1116"/>
      <c r="T431" s="1116"/>
      <c r="U431" s="1116"/>
      <c r="V431" s="1116"/>
      <c r="W431" s="1116"/>
      <c r="X431" s="1116"/>
      <c r="Y431" s="1116"/>
      <c r="Z431" s="1116"/>
      <c r="AA431" s="1116"/>
      <c r="AB431" s="1116"/>
      <c r="AC431" s="1116"/>
      <c r="AD431" s="1116"/>
      <c r="AE431" s="1116"/>
      <c r="AF431" s="1116"/>
      <c r="AG431" s="1116"/>
      <c r="AH431" s="1116"/>
      <c r="AI431" s="1116"/>
      <c r="AJ431" s="1116"/>
      <c r="AK431" s="1116"/>
    </row>
    <row r="432" spans="1:37" x14ac:dyDescent="0.35">
      <c r="A432" s="1116"/>
      <c r="B432" s="1116"/>
      <c r="C432" s="1116"/>
      <c r="D432" s="1116"/>
      <c r="E432" s="1116"/>
      <c r="F432" s="1116"/>
      <c r="G432" s="1116"/>
      <c r="H432" s="1116"/>
      <c r="I432" s="1116"/>
      <c r="J432" s="1116"/>
      <c r="K432" s="1116"/>
      <c r="L432" s="1116"/>
      <c r="M432" s="1116"/>
      <c r="N432" s="1116"/>
      <c r="O432" s="1116"/>
      <c r="P432" s="1116"/>
      <c r="Q432" s="1116"/>
      <c r="R432" s="1116"/>
      <c r="S432" s="1116"/>
      <c r="T432" s="1116"/>
      <c r="U432" s="1116"/>
      <c r="V432" s="1116"/>
      <c r="W432" s="1116"/>
      <c r="X432" s="1116"/>
      <c r="Y432" s="1116"/>
      <c r="Z432" s="1116"/>
      <c r="AA432" s="1116"/>
      <c r="AB432" s="1116"/>
      <c r="AC432" s="1116"/>
      <c r="AD432" s="1116"/>
      <c r="AE432" s="1116"/>
      <c r="AF432" s="1116"/>
      <c r="AG432" s="1116"/>
      <c r="AH432" s="1116"/>
      <c r="AI432" s="1116"/>
      <c r="AJ432" s="1116"/>
      <c r="AK432" s="1116"/>
    </row>
    <row r="433" spans="1:37" x14ac:dyDescent="0.35">
      <c r="A433" s="1116"/>
      <c r="B433" s="1116"/>
      <c r="C433" s="1116"/>
      <c r="D433" s="1116"/>
      <c r="E433" s="1116"/>
      <c r="F433" s="1116"/>
      <c r="G433" s="1116"/>
      <c r="H433" s="1116"/>
      <c r="I433" s="1116"/>
      <c r="J433" s="1116"/>
      <c r="K433" s="1116"/>
      <c r="L433" s="1116"/>
      <c r="M433" s="1116"/>
      <c r="N433" s="1116"/>
      <c r="O433" s="1116"/>
      <c r="P433" s="1116"/>
      <c r="Q433" s="1116"/>
      <c r="R433" s="1116"/>
      <c r="S433" s="1116"/>
      <c r="T433" s="1116"/>
      <c r="U433" s="1116"/>
      <c r="V433" s="1116"/>
      <c r="W433" s="1116"/>
      <c r="X433" s="1116"/>
      <c r="Y433" s="1116"/>
      <c r="Z433" s="1116"/>
      <c r="AA433" s="1116"/>
      <c r="AB433" s="1116"/>
      <c r="AC433" s="1116"/>
      <c r="AD433" s="1116"/>
      <c r="AE433" s="1116"/>
      <c r="AF433" s="1116"/>
      <c r="AG433" s="1116"/>
      <c r="AH433" s="1116"/>
      <c r="AI433" s="1116"/>
      <c r="AJ433" s="1116"/>
      <c r="AK433" s="1116"/>
    </row>
    <row r="434" spans="1:37" x14ac:dyDescent="0.35">
      <c r="A434" s="1116"/>
      <c r="B434" s="1116"/>
      <c r="C434" s="1116"/>
      <c r="D434" s="1116"/>
      <c r="E434" s="1116"/>
      <c r="F434" s="1116"/>
      <c r="G434" s="1116"/>
      <c r="H434" s="1116"/>
      <c r="I434" s="1116"/>
      <c r="J434" s="1116"/>
      <c r="K434" s="1116"/>
      <c r="L434" s="1116"/>
      <c r="M434" s="1116"/>
      <c r="N434" s="1116"/>
      <c r="O434" s="1116"/>
      <c r="P434" s="1116"/>
      <c r="Q434" s="1116"/>
      <c r="R434" s="1116"/>
      <c r="S434" s="1116"/>
      <c r="T434" s="1116"/>
      <c r="U434" s="1116"/>
      <c r="V434" s="1116"/>
      <c r="W434" s="1116"/>
      <c r="X434" s="1116"/>
      <c r="Y434" s="1116"/>
      <c r="Z434" s="1116"/>
      <c r="AA434" s="1116"/>
      <c r="AB434" s="1116"/>
      <c r="AC434" s="1116"/>
      <c r="AD434" s="1116"/>
      <c r="AE434" s="1116"/>
      <c r="AF434" s="1116"/>
      <c r="AG434" s="1116"/>
      <c r="AH434" s="1116"/>
      <c r="AI434" s="1116"/>
      <c r="AJ434" s="1116"/>
      <c r="AK434" s="1116"/>
    </row>
    <row r="435" spans="1:37" x14ac:dyDescent="0.35">
      <c r="A435" s="1116"/>
      <c r="B435" s="1116"/>
      <c r="C435" s="1116"/>
      <c r="D435" s="1116"/>
      <c r="E435" s="1116"/>
      <c r="F435" s="1116"/>
      <c r="G435" s="1116"/>
      <c r="H435" s="1116"/>
      <c r="I435" s="1116"/>
      <c r="J435" s="1116"/>
      <c r="K435" s="1116"/>
      <c r="L435" s="1116"/>
      <c r="M435" s="1116"/>
      <c r="N435" s="1116"/>
      <c r="O435" s="1116"/>
      <c r="P435" s="1116"/>
      <c r="Q435" s="1116"/>
      <c r="R435" s="1116"/>
      <c r="S435" s="1116"/>
      <c r="T435" s="1116"/>
      <c r="U435" s="1116"/>
      <c r="V435" s="1116"/>
      <c r="W435" s="1116"/>
      <c r="X435" s="1116"/>
      <c r="Y435" s="1116"/>
      <c r="Z435" s="1116"/>
      <c r="AA435" s="1116"/>
      <c r="AB435" s="1116"/>
      <c r="AC435" s="1116"/>
      <c r="AD435" s="1116"/>
      <c r="AE435" s="1116"/>
      <c r="AF435" s="1116"/>
      <c r="AG435" s="1116"/>
      <c r="AH435" s="1116"/>
      <c r="AI435" s="1116"/>
      <c r="AJ435" s="1116"/>
      <c r="AK435" s="1116"/>
    </row>
    <row r="436" spans="1:37" x14ac:dyDescent="0.35">
      <c r="A436" s="1116"/>
      <c r="B436" s="1116"/>
      <c r="C436" s="1116"/>
      <c r="D436" s="1116"/>
      <c r="E436" s="1116"/>
      <c r="F436" s="1116"/>
      <c r="G436" s="1116"/>
      <c r="H436" s="1116"/>
      <c r="I436" s="1116"/>
      <c r="J436" s="1116"/>
      <c r="K436" s="1116"/>
      <c r="L436" s="1116"/>
      <c r="M436" s="1116"/>
      <c r="N436" s="1116"/>
      <c r="O436" s="1116"/>
      <c r="P436" s="1116"/>
      <c r="Q436" s="1116"/>
      <c r="R436" s="1116"/>
      <c r="S436" s="1116"/>
      <c r="T436" s="1116"/>
      <c r="U436" s="1116"/>
      <c r="V436" s="1116"/>
      <c r="W436" s="1116"/>
      <c r="X436" s="1116"/>
      <c r="Y436" s="1116"/>
      <c r="Z436" s="1116"/>
      <c r="AA436" s="1116"/>
      <c r="AB436" s="1116"/>
      <c r="AC436" s="1116"/>
      <c r="AD436" s="1116"/>
      <c r="AE436" s="1116"/>
      <c r="AF436" s="1116"/>
      <c r="AG436" s="1116"/>
      <c r="AH436" s="1116"/>
      <c r="AI436" s="1116"/>
      <c r="AJ436" s="1116"/>
      <c r="AK436" s="1116"/>
    </row>
    <row r="437" spans="1:37" x14ac:dyDescent="0.35">
      <c r="A437" s="1116"/>
      <c r="B437" s="1116"/>
      <c r="C437" s="1116"/>
      <c r="D437" s="1116"/>
      <c r="E437" s="1116"/>
      <c r="F437" s="1116"/>
      <c r="G437" s="1116"/>
      <c r="H437" s="1116"/>
      <c r="I437" s="1116"/>
      <c r="J437" s="1116"/>
      <c r="K437" s="1116"/>
      <c r="L437" s="1116"/>
      <c r="M437" s="1116"/>
      <c r="N437" s="1116"/>
      <c r="O437" s="1116"/>
      <c r="P437" s="1116"/>
      <c r="Q437" s="1116"/>
      <c r="R437" s="1116"/>
      <c r="S437" s="1116"/>
      <c r="T437" s="1116"/>
      <c r="U437" s="1116"/>
      <c r="V437" s="1116"/>
      <c r="W437" s="1116"/>
      <c r="X437" s="1116"/>
      <c r="Y437" s="1116"/>
      <c r="Z437" s="1116"/>
      <c r="AA437" s="1116"/>
      <c r="AB437" s="1116"/>
      <c r="AC437" s="1116"/>
      <c r="AD437" s="1116"/>
      <c r="AE437" s="1116"/>
      <c r="AF437" s="1116"/>
      <c r="AG437" s="1116"/>
      <c r="AH437" s="1116"/>
      <c r="AI437" s="1116"/>
      <c r="AJ437" s="1116"/>
      <c r="AK437" s="1116"/>
    </row>
    <row r="438" spans="1:37" x14ac:dyDescent="0.35">
      <c r="A438" s="1116"/>
      <c r="B438" s="1116"/>
      <c r="C438" s="1116"/>
      <c r="D438" s="1116"/>
      <c r="E438" s="1116"/>
      <c r="F438" s="1116"/>
      <c r="G438" s="1116"/>
      <c r="H438" s="1116"/>
      <c r="I438" s="1116"/>
      <c r="J438" s="1116"/>
      <c r="K438" s="1116"/>
      <c r="L438" s="1116"/>
      <c r="M438" s="1116"/>
      <c r="N438" s="1116"/>
      <c r="O438" s="1116"/>
      <c r="P438" s="1116"/>
      <c r="Q438" s="1116"/>
      <c r="R438" s="1116"/>
      <c r="S438" s="1116"/>
      <c r="T438" s="1116"/>
      <c r="U438" s="1116"/>
      <c r="V438" s="1116"/>
      <c r="W438" s="1116"/>
      <c r="X438" s="1116"/>
      <c r="Y438" s="1116"/>
      <c r="Z438" s="1116"/>
      <c r="AA438" s="1116"/>
      <c r="AB438" s="1116"/>
      <c r="AC438" s="1116"/>
      <c r="AD438" s="1116"/>
      <c r="AE438" s="1116"/>
      <c r="AF438" s="1116"/>
      <c r="AG438" s="1116"/>
      <c r="AH438" s="1116"/>
      <c r="AI438" s="1116"/>
      <c r="AJ438" s="1116"/>
      <c r="AK438" s="1116"/>
    </row>
    <row r="439" spans="1:37" x14ac:dyDescent="0.35">
      <c r="A439" s="1116"/>
      <c r="B439" s="1116"/>
      <c r="C439" s="1116"/>
      <c r="D439" s="1116"/>
      <c r="E439" s="1116"/>
      <c r="F439" s="1116"/>
      <c r="G439" s="1116"/>
      <c r="H439" s="1116"/>
      <c r="I439" s="1116"/>
      <c r="J439" s="1116"/>
      <c r="K439" s="1116"/>
      <c r="L439" s="1116"/>
      <c r="M439" s="1116"/>
      <c r="N439" s="1116"/>
      <c r="O439" s="1116"/>
      <c r="P439" s="1116"/>
      <c r="Q439" s="1116"/>
      <c r="R439" s="1116"/>
      <c r="S439" s="1116"/>
      <c r="T439" s="1116"/>
      <c r="U439" s="1116"/>
      <c r="V439" s="1116"/>
      <c r="W439" s="1116"/>
      <c r="X439" s="1116"/>
      <c r="Y439" s="1116"/>
      <c r="Z439" s="1116"/>
      <c r="AA439" s="1116"/>
      <c r="AB439" s="1116"/>
      <c r="AC439" s="1116"/>
      <c r="AD439" s="1116"/>
      <c r="AE439" s="1116"/>
      <c r="AF439" s="1116"/>
      <c r="AG439" s="1116"/>
      <c r="AH439" s="1116"/>
      <c r="AI439" s="1116"/>
      <c r="AJ439" s="1116"/>
      <c r="AK439" s="1116"/>
    </row>
    <row r="440" spans="1:37" x14ac:dyDescent="0.35">
      <c r="A440" s="1116"/>
      <c r="B440" s="1116"/>
      <c r="C440" s="1116"/>
      <c r="D440" s="1116"/>
      <c r="E440" s="1116"/>
      <c r="F440" s="1116"/>
      <c r="G440" s="1116"/>
      <c r="H440" s="1116"/>
      <c r="I440" s="1116"/>
      <c r="J440" s="1116"/>
      <c r="K440" s="1116"/>
      <c r="L440" s="1116"/>
      <c r="M440" s="1116"/>
      <c r="N440" s="1116"/>
      <c r="O440" s="1116"/>
      <c r="P440" s="1116"/>
      <c r="Q440" s="1116"/>
      <c r="R440" s="1116"/>
      <c r="S440" s="1116"/>
      <c r="T440" s="1116"/>
      <c r="U440" s="1116"/>
      <c r="V440" s="1116"/>
      <c r="W440" s="1116"/>
      <c r="X440" s="1116"/>
      <c r="Y440" s="1116"/>
      <c r="Z440" s="1116"/>
      <c r="AA440" s="1116"/>
      <c r="AB440" s="1116"/>
      <c r="AC440" s="1116"/>
      <c r="AD440" s="1116"/>
      <c r="AE440" s="1116"/>
      <c r="AF440" s="1116"/>
      <c r="AG440" s="1116"/>
      <c r="AH440" s="1116"/>
      <c r="AI440" s="1116"/>
      <c r="AJ440" s="1116"/>
      <c r="AK440" s="1116"/>
    </row>
    <row r="441" spans="1:37" x14ac:dyDescent="0.35">
      <c r="A441" s="1116"/>
      <c r="B441" s="1116"/>
      <c r="C441" s="1116"/>
      <c r="D441" s="1116"/>
      <c r="E441" s="1116"/>
      <c r="F441" s="1116"/>
      <c r="G441" s="1116"/>
      <c r="H441" s="1116"/>
      <c r="I441" s="1116"/>
      <c r="J441" s="1116"/>
      <c r="K441" s="1116"/>
      <c r="L441" s="1116"/>
      <c r="M441" s="1116"/>
      <c r="N441" s="1116"/>
      <c r="O441" s="1116"/>
      <c r="P441" s="1116"/>
      <c r="Q441" s="1116"/>
      <c r="R441" s="1116"/>
      <c r="S441" s="1116"/>
      <c r="T441" s="1116"/>
      <c r="U441" s="1116"/>
      <c r="V441" s="1116"/>
      <c r="W441" s="1116"/>
      <c r="X441" s="1116"/>
      <c r="Y441" s="1116"/>
      <c r="Z441" s="1116"/>
      <c r="AA441" s="1116"/>
      <c r="AB441" s="1116"/>
      <c r="AC441" s="1116"/>
      <c r="AD441" s="1116"/>
      <c r="AE441" s="1116"/>
      <c r="AF441" s="1116"/>
      <c r="AG441" s="1116"/>
      <c r="AH441" s="1116"/>
      <c r="AI441" s="1116"/>
      <c r="AJ441" s="1116"/>
      <c r="AK441" s="1116"/>
    </row>
    <row r="442" spans="1:37" x14ac:dyDescent="0.35">
      <c r="A442" s="1116"/>
      <c r="B442" s="1116"/>
      <c r="C442" s="1116"/>
      <c r="D442" s="1116"/>
      <c r="E442" s="1116"/>
      <c r="F442" s="1116"/>
      <c r="G442" s="1116"/>
      <c r="H442" s="1116"/>
      <c r="I442" s="1116"/>
      <c r="J442" s="1116"/>
      <c r="K442" s="1116"/>
      <c r="L442" s="1116"/>
      <c r="M442" s="1116"/>
      <c r="N442" s="1116"/>
      <c r="O442" s="1116"/>
      <c r="P442" s="1116"/>
      <c r="Q442" s="1116"/>
      <c r="R442" s="1116"/>
      <c r="S442" s="1116"/>
      <c r="T442" s="1116"/>
      <c r="U442" s="1116"/>
      <c r="V442" s="1116"/>
      <c r="W442" s="1116"/>
      <c r="X442" s="1116"/>
      <c r="Y442" s="1116"/>
      <c r="Z442" s="1116"/>
      <c r="AA442" s="1116"/>
      <c r="AB442" s="1116"/>
      <c r="AC442" s="1116"/>
      <c r="AD442" s="1116"/>
      <c r="AE442" s="1116"/>
      <c r="AF442" s="1116"/>
      <c r="AG442" s="1116"/>
      <c r="AH442" s="1116"/>
      <c r="AI442" s="1116"/>
      <c r="AJ442" s="1116"/>
      <c r="AK442" s="1116"/>
    </row>
    <row r="443" spans="1:37" x14ac:dyDescent="0.35">
      <c r="A443" s="1116"/>
      <c r="B443" s="1116"/>
      <c r="C443" s="1116"/>
      <c r="D443" s="1116"/>
      <c r="E443" s="1116"/>
      <c r="F443" s="1116"/>
      <c r="G443" s="1116"/>
      <c r="H443" s="1116"/>
      <c r="I443" s="1116"/>
      <c r="J443" s="1116"/>
      <c r="K443" s="1116"/>
      <c r="L443" s="1116"/>
      <c r="M443" s="1116"/>
      <c r="N443" s="1116"/>
      <c r="O443" s="1116"/>
      <c r="P443" s="1116"/>
      <c r="Q443" s="1116"/>
      <c r="R443" s="1116"/>
      <c r="S443" s="1116"/>
      <c r="T443" s="1116"/>
      <c r="U443" s="1116"/>
      <c r="V443" s="1116"/>
      <c r="W443" s="1116"/>
      <c r="X443" s="1116"/>
      <c r="Y443" s="1116"/>
      <c r="Z443" s="1116"/>
      <c r="AA443" s="1116"/>
      <c r="AB443" s="1116"/>
      <c r="AC443" s="1116"/>
      <c r="AD443" s="1116"/>
      <c r="AE443" s="1116"/>
      <c r="AF443" s="1116"/>
      <c r="AG443" s="1116"/>
      <c r="AH443" s="1116"/>
      <c r="AI443" s="1116"/>
      <c r="AJ443" s="1116"/>
      <c r="AK443" s="1116"/>
    </row>
    <row r="444" spans="1:37" x14ac:dyDescent="0.35">
      <c r="A444" s="1116"/>
      <c r="B444" s="1116"/>
      <c r="C444" s="1116"/>
      <c r="D444" s="1116"/>
      <c r="E444" s="1116"/>
      <c r="F444" s="1116"/>
      <c r="G444" s="1116"/>
      <c r="H444" s="1116"/>
      <c r="I444" s="1116"/>
      <c r="J444" s="1116"/>
      <c r="K444" s="1116"/>
      <c r="L444" s="1116"/>
      <c r="M444" s="1116"/>
      <c r="N444" s="1116"/>
      <c r="O444" s="1116"/>
      <c r="P444" s="1116"/>
      <c r="Q444" s="1116"/>
      <c r="R444" s="1116"/>
      <c r="S444" s="1116"/>
      <c r="T444" s="1116"/>
      <c r="U444" s="1116"/>
      <c r="V444" s="1116"/>
      <c r="W444" s="1116"/>
      <c r="X444" s="1116"/>
      <c r="Y444" s="1116"/>
      <c r="Z444" s="1116"/>
      <c r="AA444" s="1116"/>
      <c r="AB444" s="1116"/>
      <c r="AC444" s="1116"/>
      <c r="AD444" s="1116"/>
      <c r="AE444" s="1116"/>
      <c r="AF444" s="1116"/>
      <c r="AG444" s="1116"/>
      <c r="AH444" s="1116"/>
      <c r="AI444" s="1116"/>
      <c r="AJ444" s="1116"/>
      <c r="AK444" s="1116"/>
    </row>
    <row r="445" spans="1:37" x14ac:dyDescent="0.35">
      <c r="A445" s="1116"/>
      <c r="B445" s="1116"/>
      <c r="C445" s="1116"/>
      <c r="D445" s="1116"/>
      <c r="E445" s="1116"/>
      <c r="F445" s="1116"/>
      <c r="G445" s="1116"/>
      <c r="H445" s="1116"/>
      <c r="I445" s="1116"/>
      <c r="J445" s="1116"/>
      <c r="K445" s="1116"/>
      <c r="L445" s="1116"/>
      <c r="M445" s="1116"/>
      <c r="N445" s="1116"/>
      <c r="O445" s="1116"/>
      <c r="P445" s="1116"/>
      <c r="Q445" s="1116"/>
      <c r="R445" s="1116"/>
      <c r="S445" s="1116"/>
      <c r="T445" s="1116"/>
      <c r="U445" s="1116"/>
      <c r="V445" s="1116"/>
      <c r="W445" s="1116"/>
      <c r="X445" s="1116"/>
      <c r="Y445" s="1116"/>
      <c r="Z445" s="1116"/>
      <c r="AA445" s="1116"/>
      <c r="AB445" s="1116"/>
      <c r="AC445" s="1116"/>
      <c r="AD445" s="1116"/>
      <c r="AE445" s="1116"/>
      <c r="AF445" s="1116"/>
      <c r="AG445" s="1116"/>
      <c r="AH445" s="1116"/>
      <c r="AI445" s="1116"/>
      <c r="AJ445" s="1116"/>
      <c r="AK445" s="1116"/>
    </row>
    <row r="446" spans="1:37" x14ac:dyDescent="0.35">
      <c r="A446" s="1116"/>
      <c r="B446" s="1116"/>
      <c r="C446" s="1116"/>
      <c r="D446" s="1116"/>
      <c r="E446" s="1116"/>
      <c r="F446" s="1116"/>
      <c r="G446" s="1116"/>
      <c r="H446" s="1116"/>
      <c r="I446" s="1116"/>
      <c r="J446" s="1116"/>
      <c r="K446" s="1116"/>
      <c r="L446" s="1116"/>
      <c r="M446" s="1116"/>
      <c r="N446" s="1116"/>
      <c r="O446" s="1116"/>
      <c r="P446" s="1116"/>
      <c r="Q446" s="1116"/>
      <c r="R446" s="1116"/>
      <c r="S446" s="1116"/>
      <c r="T446" s="1116"/>
      <c r="U446" s="1116"/>
      <c r="V446" s="1116"/>
      <c r="W446" s="1116"/>
      <c r="X446" s="1116"/>
      <c r="Y446" s="1116"/>
      <c r="Z446" s="1116"/>
      <c r="AA446" s="1116"/>
      <c r="AB446" s="1116"/>
      <c r="AC446" s="1116"/>
      <c r="AD446" s="1116"/>
      <c r="AE446" s="1116"/>
      <c r="AF446" s="1116"/>
      <c r="AG446" s="1116"/>
      <c r="AH446" s="1116"/>
      <c r="AI446" s="1116"/>
      <c r="AJ446" s="1116"/>
      <c r="AK446" s="1116"/>
    </row>
    <row r="447" spans="1:37" x14ac:dyDescent="0.35">
      <c r="A447" s="1116"/>
      <c r="B447" s="1116"/>
      <c r="C447" s="1116"/>
      <c r="D447" s="1116"/>
      <c r="E447" s="1116"/>
      <c r="F447" s="1116"/>
      <c r="G447" s="1116"/>
      <c r="H447" s="1116"/>
      <c r="I447" s="1116"/>
      <c r="J447" s="1116"/>
      <c r="K447" s="1116"/>
      <c r="L447" s="1116"/>
      <c r="M447" s="1116"/>
      <c r="N447" s="1116"/>
      <c r="O447" s="1116"/>
      <c r="P447" s="1116"/>
      <c r="Q447" s="1116"/>
      <c r="R447" s="1116"/>
      <c r="S447" s="1116"/>
      <c r="T447" s="1116"/>
      <c r="U447" s="1116"/>
      <c r="V447" s="1116"/>
      <c r="W447" s="1116"/>
      <c r="X447" s="1116"/>
      <c r="Y447" s="1116"/>
      <c r="Z447" s="1116"/>
      <c r="AA447" s="1116"/>
      <c r="AB447" s="1116"/>
      <c r="AC447" s="1116"/>
      <c r="AD447" s="1116"/>
      <c r="AE447" s="1116"/>
      <c r="AF447" s="1116"/>
      <c r="AG447" s="1116"/>
      <c r="AH447" s="1116"/>
      <c r="AI447" s="1116"/>
      <c r="AJ447" s="1116"/>
      <c r="AK447" s="1116"/>
    </row>
    <row r="448" spans="1:37" x14ac:dyDescent="0.35">
      <c r="A448" s="1116"/>
      <c r="B448" s="1116"/>
      <c r="C448" s="1116"/>
      <c r="D448" s="1116"/>
      <c r="E448" s="1116"/>
      <c r="F448" s="1116"/>
      <c r="G448" s="1116"/>
      <c r="H448" s="1116"/>
      <c r="I448" s="1116"/>
      <c r="J448" s="1116"/>
      <c r="K448" s="1116"/>
      <c r="L448" s="1116"/>
      <c r="M448" s="1116"/>
      <c r="N448" s="1116"/>
      <c r="O448" s="1116"/>
      <c r="P448" s="1116"/>
      <c r="Q448" s="1116"/>
      <c r="R448" s="1116"/>
      <c r="S448" s="1116"/>
      <c r="T448" s="1116"/>
      <c r="U448" s="1116"/>
      <c r="V448" s="1116"/>
      <c r="W448" s="1116"/>
      <c r="X448" s="1116"/>
      <c r="Y448" s="1116"/>
      <c r="Z448" s="1116"/>
      <c r="AA448" s="1116"/>
      <c r="AB448" s="1116"/>
      <c r="AC448" s="1116"/>
      <c r="AD448" s="1116"/>
      <c r="AE448" s="1116"/>
      <c r="AF448" s="1116"/>
      <c r="AG448" s="1116"/>
      <c r="AH448" s="1116"/>
      <c r="AI448" s="1116"/>
      <c r="AJ448" s="1116"/>
      <c r="AK448" s="1116"/>
    </row>
    <row r="449" spans="1:37" x14ac:dyDescent="0.35">
      <c r="A449" s="1116"/>
      <c r="B449" s="1116"/>
      <c r="C449" s="1116"/>
      <c r="D449" s="1116"/>
      <c r="E449" s="1116"/>
      <c r="F449" s="1116"/>
      <c r="G449" s="1116"/>
      <c r="H449" s="1116"/>
      <c r="I449" s="1116"/>
      <c r="J449" s="1116"/>
      <c r="K449" s="1116"/>
      <c r="L449" s="1116"/>
      <c r="M449" s="1116"/>
      <c r="N449" s="1116"/>
      <c r="O449" s="1116"/>
      <c r="P449" s="1116"/>
      <c r="Q449" s="1116"/>
      <c r="R449" s="1116"/>
      <c r="S449" s="1116"/>
      <c r="T449" s="1116"/>
      <c r="U449" s="1116"/>
      <c r="V449" s="1116"/>
      <c r="W449" s="1116"/>
      <c r="X449" s="1116"/>
      <c r="Y449" s="1116"/>
      <c r="Z449" s="1116"/>
      <c r="AA449" s="1116"/>
      <c r="AB449" s="1116"/>
      <c r="AC449" s="1116"/>
      <c r="AD449" s="1116"/>
      <c r="AE449" s="1116"/>
      <c r="AF449" s="1116"/>
      <c r="AG449" s="1116"/>
      <c r="AH449" s="1116"/>
      <c r="AI449" s="1116"/>
      <c r="AJ449" s="1116"/>
      <c r="AK449" s="1116"/>
    </row>
    <row r="450" spans="1:37" x14ac:dyDescent="0.35">
      <c r="A450" s="1116"/>
      <c r="B450" s="1116"/>
      <c r="C450" s="1116"/>
      <c r="D450" s="1116"/>
      <c r="E450" s="1116"/>
      <c r="F450" s="1116"/>
      <c r="G450" s="1116"/>
      <c r="H450" s="1116"/>
      <c r="I450" s="1116"/>
      <c r="J450" s="1116"/>
      <c r="K450" s="1116"/>
      <c r="L450" s="1116"/>
      <c r="M450" s="1116"/>
      <c r="N450" s="1116"/>
      <c r="O450" s="1116"/>
      <c r="P450" s="1116"/>
      <c r="Q450" s="1116"/>
      <c r="R450" s="1116"/>
      <c r="S450" s="1116"/>
      <c r="T450" s="1116"/>
      <c r="U450" s="1116"/>
      <c r="V450" s="1116"/>
      <c r="W450" s="1116"/>
      <c r="X450" s="1116"/>
      <c r="Y450" s="1116"/>
      <c r="Z450" s="1116"/>
      <c r="AA450" s="1116"/>
      <c r="AB450" s="1116"/>
      <c r="AC450" s="1116"/>
      <c r="AD450" s="1116"/>
      <c r="AE450" s="1116"/>
      <c r="AF450" s="1116"/>
      <c r="AG450" s="1116"/>
      <c r="AH450" s="1116"/>
      <c r="AI450" s="1116"/>
      <c r="AJ450" s="1116"/>
      <c r="AK450" s="1116"/>
    </row>
    <row r="451" spans="1:37" x14ac:dyDescent="0.35">
      <c r="A451" s="1116"/>
      <c r="B451" s="1116"/>
      <c r="C451" s="1116"/>
      <c r="D451" s="1116"/>
      <c r="E451" s="1116"/>
      <c r="F451" s="1116"/>
      <c r="G451" s="1116"/>
      <c r="H451" s="1116"/>
      <c r="I451" s="1116"/>
      <c r="J451" s="1116"/>
      <c r="K451" s="1116"/>
      <c r="L451" s="1116"/>
      <c r="M451" s="1116"/>
      <c r="N451" s="1116"/>
      <c r="O451" s="1116"/>
      <c r="P451" s="1116"/>
      <c r="Q451" s="1116"/>
      <c r="R451" s="1116"/>
      <c r="S451" s="1116"/>
      <c r="T451" s="1116"/>
      <c r="U451" s="1116"/>
      <c r="V451" s="1116"/>
      <c r="W451" s="1116"/>
      <c r="X451" s="1116"/>
      <c r="Y451" s="1116"/>
      <c r="Z451" s="1116"/>
      <c r="AA451" s="1116"/>
      <c r="AB451" s="1116"/>
      <c r="AC451" s="1116"/>
      <c r="AD451" s="1116"/>
      <c r="AE451" s="1116"/>
      <c r="AF451" s="1116"/>
      <c r="AG451" s="1116"/>
      <c r="AH451" s="1116"/>
      <c r="AI451" s="1116"/>
      <c r="AJ451" s="1116"/>
      <c r="AK451" s="1116"/>
    </row>
    <row r="452" spans="1:37" x14ac:dyDescent="0.35">
      <c r="A452" s="1116"/>
      <c r="B452" s="1116"/>
      <c r="C452" s="1116"/>
      <c r="D452" s="1116"/>
      <c r="E452" s="1116"/>
      <c r="F452" s="1116"/>
      <c r="G452" s="1116"/>
      <c r="H452" s="1116"/>
      <c r="I452" s="1116"/>
      <c r="J452" s="1116"/>
      <c r="K452" s="1116"/>
      <c r="L452" s="1116"/>
      <c r="M452" s="1116"/>
      <c r="N452" s="1116"/>
      <c r="O452" s="1116"/>
      <c r="P452" s="1116"/>
      <c r="Q452" s="1116"/>
      <c r="R452" s="1116"/>
      <c r="S452" s="1116"/>
      <c r="T452" s="1116"/>
      <c r="U452" s="1116"/>
      <c r="V452" s="1116"/>
      <c r="W452" s="1116"/>
      <c r="X452" s="1116"/>
      <c r="Y452" s="1116"/>
      <c r="Z452" s="1116"/>
      <c r="AA452" s="1116"/>
      <c r="AB452" s="1116"/>
      <c r="AC452" s="1116"/>
      <c r="AD452" s="1116"/>
      <c r="AE452" s="1116"/>
      <c r="AF452" s="1116"/>
      <c r="AG452" s="1116"/>
      <c r="AH452" s="1116"/>
      <c r="AI452" s="1116"/>
      <c r="AJ452" s="1116"/>
      <c r="AK452" s="1116"/>
    </row>
    <row r="453" spans="1:37" x14ac:dyDescent="0.35">
      <c r="A453" s="1116"/>
      <c r="B453" s="1116"/>
      <c r="C453" s="1116"/>
      <c r="D453" s="1116"/>
      <c r="E453" s="1116"/>
      <c r="F453" s="1116"/>
      <c r="G453" s="1116"/>
      <c r="H453" s="1116"/>
      <c r="I453" s="1116"/>
      <c r="J453" s="1116"/>
      <c r="K453" s="1116"/>
      <c r="L453" s="1116"/>
      <c r="M453" s="1116"/>
      <c r="N453" s="1116"/>
      <c r="O453" s="1116"/>
      <c r="P453" s="1116"/>
      <c r="Q453" s="1116"/>
      <c r="R453" s="1116"/>
      <c r="S453" s="1116"/>
      <c r="T453" s="1116"/>
      <c r="U453" s="1116"/>
      <c r="V453" s="1116"/>
      <c r="W453" s="1116"/>
      <c r="X453" s="1116"/>
      <c r="Y453" s="1116"/>
      <c r="Z453" s="1116"/>
      <c r="AA453" s="1116"/>
      <c r="AB453" s="1116"/>
      <c r="AC453" s="1116"/>
      <c r="AD453" s="1116"/>
      <c r="AE453" s="1116"/>
      <c r="AF453" s="1116"/>
      <c r="AG453" s="1116"/>
      <c r="AH453" s="1116"/>
      <c r="AI453" s="1116"/>
      <c r="AJ453" s="1116"/>
      <c r="AK453" s="1116"/>
    </row>
    <row r="454" spans="1:37" x14ac:dyDescent="0.35">
      <c r="A454" s="1116"/>
      <c r="B454" s="1116"/>
      <c r="C454" s="1116"/>
      <c r="D454" s="1116"/>
      <c r="E454" s="1116"/>
      <c r="F454" s="1116"/>
      <c r="G454" s="1116"/>
      <c r="H454" s="1116"/>
      <c r="I454" s="1116"/>
      <c r="J454" s="1116"/>
      <c r="K454" s="1116"/>
      <c r="L454" s="1116"/>
      <c r="M454" s="1116"/>
      <c r="N454" s="1116"/>
      <c r="O454" s="1116"/>
      <c r="P454" s="1116"/>
      <c r="Q454" s="1116"/>
      <c r="R454" s="1116"/>
      <c r="S454" s="1116"/>
      <c r="T454" s="1116"/>
      <c r="U454" s="1116"/>
      <c r="V454" s="1116"/>
      <c r="W454" s="1116"/>
      <c r="X454" s="1116"/>
      <c r="Y454" s="1116"/>
      <c r="Z454" s="1116"/>
      <c r="AA454" s="1116"/>
      <c r="AB454" s="1116"/>
      <c r="AC454" s="1116"/>
      <c r="AD454" s="1116"/>
      <c r="AE454" s="1116"/>
      <c r="AF454" s="1116"/>
      <c r="AG454" s="1116"/>
      <c r="AH454" s="1116"/>
      <c r="AI454" s="1116"/>
      <c r="AJ454" s="1116"/>
      <c r="AK454" s="1116"/>
    </row>
    <row r="455" spans="1:37" x14ac:dyDescent="0.35">
      <c r="A455" s="1116"/>
      <c r="B455" s="1116"/>
      <c r="C455" s="1116"/>
      <c r="D455" s="1116"/>
      <c r="E455" s="1116"/>
      <c r="F455" s="1116"/>
      <c r="G455" s="1116"/>
      <c r="H455" s="1116"/>
      <c r="I455" s="1116"/>
      <c r="J455" s="1116"/>
      <c r="K455" s="1116"/>
      <c r="L455" s="1116"/>
      <c r="M455" s="1116"/>
      <c r="N455" s="1116"/>
      <c r="O455" s="1116"/>
      <c r="P455" s="1116"/>
      <c r="Q455" s="1116"/>
      <c r="R455" s="1116"/>
      <c r="S455" s="1116"/>
      <c r="T455" s="1116"/>
      <c r="U455" s="1116"/>
      <c r="V455" s="1116"/>
      <c r="W455" s="1116"/>
      <c r="X455" s="1116"/>
      <c r="Y455" s="1116"/>
      <c r="Z455" s="1116"/>
      <c r="AA455" s="1116"/>
      <c r="AB455" s="1116"/>
      <c r="AC455" s="1116"/>
      <c r="AD455" s="1116"/>
      <c r="AE455" s="1116"/>
      <c r="AF455" s="1116"/>
      <c r="AG455" s="1116"/>
      <c r="AH455" s="1116"/>
      <c r="AI455" s="1116"/>
      <c r="AJ455" s="1116"/>
      <c r="AK455" s="1116"/>
    </row>
    <row r="456" spans="1:37" x14ac:dyDescent="0.35">
      <c r="A456" s="1116"/>
      <c r="B456" s="1116"/>
      <c r="C456" s="1116"/>
      <c r="D456" s="1116"/>
      <c r="E456" s="1116"/>
      <c r="F456" s="1116"/>
      <c r="G456" s="1116"/>
      <c r="H456" s="1116"/>
      <c r="I456" s="1116"/>
      <c r="J456" s="1116"/>
      <c r="K456" s="1116"/>
      <c r="L456" s="1116"/>
      <c r="M456" s="1116"/>
      <c r="N456" s="1116"/>
      <c r="O456" s="1116"/>
      <c r="P456" s="1116"/>
      <c r="Q456" s="1116"/>
      <c r="R456" s="1116"/>
      <c r="S456" s="1116"/>
      <c r="T456" s="1116"/>
      <c r="U456" s="1116"/>
      <c r="V456" s="1116"/>
      <c r="W456" s="1116"/>
      <c r="X456" s="1116"/>
      <c r="Y456" s="1116"/>
      <c r="Z456" s="1116"/>
      <c r="AA456" s="1116"/>
      <c r="AB456" s="1116"/>
      <c r="AC456" s="1116"/>
      <c r="AD456" s="1116"/>
      <c r="AE456" s="1116"/>
      <c r="AF456" s="1116"/>
      <c r="AG456" s="1116"/>
      <c r="AH456" s="1116"/>
      <c r="AI456" s="1116"/>
      <c r="AJ456" s="1116"/>
      <c r="AK456" s="1116"/>
    </row>
    <row r="457" spans="1:37" x14ac:dyDescent="0.35">
      <c r="A457" s="1116"/>
      <c r="B457" s="1116"/>
      <c r="C457" s="1116"/>
      <c r="D457" s="1116"/>
      <c r="E457" s="1116"/>
      <c r="F457" s="1116"/>
      <c r="G457" s="1116"/>
      <c r="H457" s="1116"/>
      <c r="I457" s="1116"/>
      <c r="J457" s="1116"/>
      <c r="K457" s="1116"/>
      <c r="L457" s="1116"/>
      <c r="M457" s="1116"/>
      <c r="N457" s="1116"/>
      <c r="O457" s="1116"/>
      <c r="P457" s="1116"/>
      <c r="Q457" s="1116"/>
      <c r="R457" s="1116"/>
      <c r="S457" s="1116"/>
      <c r="T457" s="1116"/>
      <c r="U457" s="1116"/>
      <c r="V457" s="1116"/>
      <c r="W457" s="1116"/>
      <c r="X457" s="1116"/>
      <c r="Y457" s="1116"/>
      <c r="Z457" s="1116"/>
      <c r="AA457" s="1116"/>
      <c r="AB457" s="1116"/>
      <c r="AC457" s="1116"/>
      <c r="AD457" s="1116"/>
      <c r="AE457" s="1116"/>
      <c r="AF457" s="1116"/>
      <c r="AG457" s="1116"/>
      <c r="AH457" s="1116"/>
      <c r="AI457" s="1116"/>
      <c r="AJ457" s="1116"/>
      <c r="AK457" s="1116"/>
    </row>
    <row r="458" spans="1:37" x14ac:dyDescent="0.35">
      <c r="A458" s="1116"/>
      <c r="B458" s="1116"/>
      <c r="C458" s="1116"/>
      <c r="D458" s="1116"/>
      <c r="E458" s="1116"/>
      <c r="F458" s="1116"/>
      <c r="G458" s="1116"/>
      <c r="H458" s="1116"/>
      <c r="I458" s="1116"/>
      <c r="J458" s="1116"/>
      <c r="K458" s="1116"/>
      <c r="L458" s="1116"/>
      <c r="M458" s="1116"/>
      <c r="N458" s="1116"/>
      <c r="O458" s="1116"/>
      <c r="P458" s="1116"/>
      <c r="Q458" s="1116"/>
      <c r="R458" s="1116"/>
      <c r="S458" s="1116"/>
      <c r="T458" s="1116"/>
      <c r="U458" s="1116"/>
      <c r="V458" s="1116"/>
      <c r="W458" s="1116"/>
      <c r="X458" s="1116"/>
      <c r="Y458" s="1116"/>
      <c r="Z458" s="1116"/>
      <c r="AA458" s="1116"/>
      <c r="AB458" s="1116"/>
      <c r="AC458" s="1116"/>
      <c r="AD458" s="1116"/>
      <c r="AE458" s="1116"/>
      <c r="AF458" s="1116"/>
      <c r="AG458" s="1116"/>
      <c r="AH458" s="1116"/>
      <c r="AI458" s="1116"/>
      <c r="AJ458" s="1116"/>
      <c r="AK458" s="1116"/>
    </row>
    <row r="459" spans="1:37" x14ac:dyDescent="0.35">
      <c r="A459" s="1116"/>
      <c r="B459" s="1116"/>
      <c r="C459" s="1116"/>
      <c r="D459" s="1116"/>
      <c r="E459" s="1116"/>
      <c r="F459" s="1116"/>
      <c r="G459" s="1116"/>
      <c r="H459" s="1116"/>
      <c r="I459" s="1116"/>
      <c r="J459" s="1116"/>
      <c r="K459" s="1116"/>
      <c r="L459" s="1116"/>
      <c r="M459" s="1116"/>
      <c r="N459" s="1116"/>
      <c r="O459" s="1116"/>
      <c r="P459" s="1116"/>
      <c r="Q459" s="1116"/>
      <c r="R459" s="1116"/>
      <c r="S459" s="1116"/>
      <c r="T459" s="1116"/>
      <c r="U459" s="1116"/>
      <c r="V459" s="1116"/>
      <c r="W459" s="1116"/>
      <c r="X459" s="1116"/>
      <c r="Y459" s="1116"/>
      <c r="Z459" s="1116"/>
      <c r="AA459" s="1116"/>
      <c r="AB459" s="1116"/>
      <c r="AC459" s="1116"/>
      <c r="AD459" s="1116"/>
      <c r="AE459" s="1116"/>
      <c r="AF459" s="1116"/>
      <c r="AG459" s="1116"/>
      <c r="AH459" s="1116"/>
      <c r="AI459" s="1116"/>
      <c r="AJ459" s="1116"/>
      <c r="AK459" s="1116"/>
    </row>
    <row r="460" spans="1:37" x14ac:dyDescent="0.35">
      <c r="A460" s="1116"/>
      <c r="B460" s="1116"/>
      <c r="C460" s="1116"/>
      <c r="D460" s="1116"/>
      <c r="E460" s="1116"/>
      <c r="F460" s="1116"/>
      <c r="G460" s="1116"/>
      <c r="H460" s="1116"/>
      <c r="I460" s="1116"/>
      <c r="J460" s="1116"/>
      <c r="K460" s="1116"/>
      <c r="L460" s="1116"/>
      <c r="M460" s="1116"/>
      <c r="N460" s="1116"/>
      <c r="O460" s="1116"/>
      <c r="P460" s="1116"/>
      <c r="Q460" s="1116"/>
      <c r="R460" s="1116"/>
      <c r="S460" s="1116"/>
      <c r="T460" s="1116"/>
      <c r="U460" s="1116"/>
      <c r="V460" s="1116"/>
      <c r="W460" s="1116"/>
      <c r="X460" s="1116"/>
      <c r="Y460" s="1116"/>
      <c r="Z460" s="1116"/>
      <c r="AA460" s="1116"/>
      <c r="AB460" s="1116"/>
      <c r="AC460" s="1116"/>
      <c r="AD460" s="1116"/>
      <c r="AE460" s="1116"/>
      <c r="AF460" s="1116"/>
      <c r="AG460" s="1116"/>
      <c r="AH460" s="1116"/>
      <c r="AI460" s="1116"/>
      <c r="AJ460" s="1116"/>
      <c r="AK460" s="1116"/>
    </row>
    <row r="461" spans="1:37" x14ac:dyDescent="0.35">
      <c r="A461" s="1116"/>
      <c r="B461" s="1116"/>
      <c r="C461" s="1116"/>
      <c r="D461" s="1116"/>
      <c r="E461" s="1116"/>
      <c r="F461" s="1116"/>
      <c r="G461" s="1116"/>
      <c r="H461" s="1116"/>
      <c r="I461" s="1116"/>
      <c r="J461" s="1116"/>
      <c r="K461" s="1116"/>
      <c r="L461" s="1116"/>
      <c r="M461" s="1116"/>
      <c r="N461" s="1116"/>
      <c r="O461" s="1116"/>
      <c r="P461" s="1116"/>
      <c r="Q461" s="1116"/>
      <c r="R461" s="1116"/>
      <c r="S461" s="1116"/>
      <c r="T461" s="1116"/>
      <c r="U461" s="1116"/>
      <c r="V461" s="1116"/>
      <c r="W461" s="1116"/>
      <c r="X461" s="1116"/>
      <c r="Y461" s="1116"/>
      <c r="Z461" s="1116"/>
      <c r="AA461" s="1116"/>
      <c r="AB461" s="1116"/>
      <c r="AC461" s="1116"/>
      <c r="AD461" s="1116"/>
      <c r="AE461" s="1116"/>
      <c r="AF461" s="1116"/>
      <c r="AG461" s="1116"/>
      <c r="AH461" s="1116"/>
      <c r="AI461" s="1116"/>
      <c r="AJ461" s="1116"/>
      <c r="AK461" s="1116"/>
    </row>
    <row r="462" spans="1:37" x14ac:dyDescent="0.35">
      <c r="A462" s="1116"/>
      <c r="B462" s="1116"/>
      <c r="C462" s="1116"/>
      <c r="D462" s="1116"/>
      <c r="E462" s="1116"/>
      <c r="F462" s="1116"/>
      <c r="G462" s="1116"/>
      <c r="H462" s="1116"/>
      <c r="I462" s="1116"/>
      <c r="J462" s="1116"/>
      <c r="K462" s="1116"/>
      <c r="L462" s="1116"/>
      <c r="M462" s="1116"/>
      <c r="N462" s="1116"/>
      <c r="O462" s="1116"/>
      <c r="P462" s="1116"/>
      <c r="Q462" s="1116"/>
      <c r="R462" s="1116"/>
      <c r="S462" s="1116"/>
      <c r="T462" s="1116"/>
      <c r="U462" s="1116"/>
      <c r="V462" s="1116"/>
      <c r="W462" s="1116"/>
      <c r="X462" s="1116"/>
      <c r="Y462" s="1116"/>
      <c r="Z462" s="1116"/>
      <c r="AA462" s="1116"/>
      <c r="AB462" s="1116"/>
      <c r="AC462" s="1116"/>
      <c r="AD462" s="1116"/>
      <c r="AE462" s="1116"/>
      <c r="AF462" s="1116"/>
      <c r="AG462" s="1116"/>
      <c r="AH462" s="1116"/>
      <c r="AI462" s="1116"/>
      <c r="AJ462" s="1116"/>
      <c r="AK462" s="1116"/>
    </row>
    <row r="463" spans="1:37" x14ac:dyDescent="0.35">
      <c r="A463" s="1116"/>
      <c r="B463" s="1116"/>
      <c r="C463" s="1116"/>
      <c r="D463" s="1116"/>
      <c r="E463" s="1116"/>
      <c r="F463" s="1116"/>
      <c r="G463" s="1116"/>
      <c r="H463" s="1116"/>
      <c r="I463" s="1116"/>
      <c r="J463" s="1116"/>
      <c r="K463" s="1116"/>
      <c r="L463" s="1116"/>
      <c r="M463" s="1116"/>
      <c r="N463" s="1116"/>
      <c r="O463" s="1116"/>
      <c r="P463" s="1116"/>
      <c r="Q463" s="1116"/>
      <c r="R463" s="1116"/>
      <c r="S463" s="1116"/>
      <c r="T463" s="1116"/>
      <c r="U463" s="1116"/>
      <c r="V463" s="1116"/>
      <c r="W463" s="1116"/>
      <c r="X463" s="1116"/>
      <c r="Y463" s="1116"/>
      <c r="Z463" s="1116"/>
      <c r="AA463" s="1116"/>
      <c r="AB463" s="1116"/>
      <c r="AC463" s="1116"/>
      <c r="AD463" s="1116"/>
      <c r="AE463" s="1116"/>
      <c r="AF463" s="1116"/>
      <c r="AG463" s="1116"/>
      <c r="AH463" s="1116"/>
      <c r="AI463" s="1116"/>
      <c r="AJ463" s="1116"/>
      <c r="AK463" s="1116"/>
    </row>
    <row r="464" spans="1:37" x14ac:dyDescent="0.35">
      <c r="A464" s="1116"/>
      <c r="B464" s="1116"/>
      <c r="C464" s="1116"/>
      <c r="D464" s="1116"/>
      <c r="E464" s="1116"/>
      <c r="F464" s="1116"/>
      <c r="G464" s="1116"/>
      <c r="H464" s="1116"/>
      <c r="I464" s="1116"/>
      <c r="J464" s="1116"/>
      <c r="K464" s="1116"/>
      <c r="L464" s="1116"/>
      <c r="M464" s="1116"/>
      <c r="N464" s="1116"/>
      <c r="O464" s="1116"/>
      <c r="P464" s="1116"/>
      <c r="Q464" s="1116"/>
      <c r="R464" s="1116"/>
      <c r="S464" s="1116"/>
      <c r="T464" s="1116"/>
      <c r="U464" s="1116"/>
      <c r="V464" s="1116"/>
      <c r="W464" s="1116"/>
      <c r="X464" s="1116"/>
      <c r="Y464" s="1116"/>
      <c r="Z464" s="1116"/>
      <c r="AA464" s="1116"/>
      <c r="AB464" s="1116"/>
      <c r="AC464" s="1116"/>
      <c r="AD464" s="1116"/>
      <c r="AE464" s="1116"/>
      <c r="AF464" s="1116"/>
      <c r="AG464" s="1116"/>
      <c r="AH464" s="1116"/>
      <c r="AI464" s="1116"/>
      <c r="AJ464" s="1116"/>
      <c r="AK464" s="1116"/>
    </row>
    <row r="465" spans="1:37" x14ac:dyDescent="0.35">
      <c r="A465" s="1116"/>
      <c r="B465" s="1116"/>
      <c r="C465" s="1116"/>
      <c r="D465" s="1116"/>
      <c r="E465" s="1116"/>
      <c r="F465" s="1116"/>
      <c r="G465" s="1116"/>
      <c r="H465" s="1116"/>
      <c r="I465" s="1116"/>
      <c r="J465" s="1116"/>
      <c r="K465" s="1116"/>
      <c r="L465" s="1116"/>
      <c r="M465" s="1116"/>
      <c r="N465" s="1116"/>
      <c r="O465" s="1116"/>
      <c r="P465" s="1116"/>
      <c r="Q465" s="1116"/>
      <c r="R465" s="1116"/>
      <c r="S465" s="1116"/>
      <c r="T465" s="1116"/>
      <c r="U465" s="1116"/>
      <c r="V465" s="1116"/>
      <c r="W465" s="1116"/>
      <c r="X465" s="1116"/>
      <c r="Y465" s="1116"/>
      <c r="Z465" s="1116"/>
      <c r="AA465" s="1116"/>
      <c r="AB465" s="1116"/>
      <c r="AC465" s="1116"/>
      <c r="AD465" s="1116"/>
      <c r="AE465" s="1116"/>
      <c r="AF465" s="1116"/>
      <c r="AG465" s="1116"/>
      <c r="AH465" s="1116"/>
      <c r="AI465" s="1116"/>
      <c r="AJ465" s="1116"/>
      <c r="AK465" s="1116"/>
    </row>
    <row r="466" spans="1:37" x14ac:dyDescent="0.35">
      <c r="A466" s="1116"/>
      <c r="B466" s="1116"/>
      <c r="C466" s="1116"/>
      <c r="D466" s="1116"/>
      <c r="E466" s="1116"/>
      <c r="F466" s="1116"/>
      <c r="G466" s="1116"/>
      <c r="H466" s="1116"/>
      <c r="I466" s="1116"/>
      <c r="J466" s="1116"/>
      <c r="K466" s="1116"/>
      <c r="L466" s="1116"/>
      <c r="M466" s="1116"/>
      <c r="N466" s="1116"/>
      <c r="O466" s="1116"/>
      <c r="P466" s="1116"/>
      <c r="Q466" s="1116"/>
      <c r="R466" s="1116"/>
      <c r="S466" s="1116"/>
      <c r="T466" s="1116"/>
      <c r="U466" s="1116"/>
      <c r="V466" s="1116"/>
      <c r="W466" s="1116"/>
      <c r="X466" s="1116"/>
      <c r="Y466" s="1116"/>
      <c r="Z466" s="1116"/>
      <c r="AA466" s="1116"/>
      <c r="AB466" s="1116"/>
      <c r="AC466" s="1116"/>
      <c r="AD466" s="1116"/>
      <c r="AE466" s="1116"/>
      <c r="AF466" s="1116"/>
      <c r="AG466" s="1116"/>
      <c r="AH466" s="1116"/>
      <c r="AI466" s="1116"/>
      <c r="AJ466" s="1116"/>
      <c r="AK466" s="1116"/>
    </row>
    <row r="467" spans="1:37" x14ac:dyDescent="0.35">
      <c r="A467" s="1116"/>
      <c r="B467" s="1116"/>
      <c r="C467" s="1116"/>
      <c r="D467" s="1116"/>
      <c r="E467" s="1116"/>
      <c r="F467" s="1116"/>
      <c r="G467" s="1116"/>
      <c r="H467" s="1116"/>
      <c r="I467" s="1116"/>
      <c r="J467" s="1116"/>
      <c r="K467" s="1116"/>
      <c r="L467" s="1116"/>
      <c r="M467" s="1116"/>
      <c r="N467" s="1116"/>
      <c r="O467" s="1116"/>
      <c r="P467" s="1116"/>
      <c r="Q467" s="1116"/>
      <c r="R467" s="1116"/>
      <c r="S467" s="1116"/>
      <c r="T467" s="1116"/>
      <c r="U467" s="1116"/>
      <c r="V467" s="1116"/>
      <c r="W467" s="1116"/>
      <c r="X467" s="1116"/>
      <c r="Y467" s="1116"/>
      <c r="Z467" s="1116"/>
      <c r="AA467" s="1116"/>
      <c r="AB467" s="1116"/>
      <c r="AC467" s="1116"/>
      <c r="AD467" s="1116"/>
      <c r="AE467" s="1116"/>
      <c r="AF467" s="1116"/>
      <c r="AG467" s="1116"/>
      <c r="AH467" s="1116"/>
      <c r="AI467" s="1116"/>
      <c r="AJ467" s="1116"/>
      <c r="AK467" s="1116"/>
    </row>
    <row r="468" spans="1:37" x14ac:dyDescent="0.35">
      <c r="A468" s="1116"/>
      <c r="B468" s="1116"/>
      <c r="C468" s="1116"/>
      <c r="D468" s="1116"/>
      <c r="E468" s="1116"/>
      <c r="F468" s="1116"/>
      <c r="G468" s="1116"/>
      <c r="H468" s="1116"/>
      <c r="I468" s="1116"/>
      <c r="J468" s="1116"/>
      <c r="K468" s="1116"/>
      <c r="L468" s="1116"/>
      <c r="M468" s="1116"/>
      <c r="N468" s="1116"/>
      <c r="O468" s="1116"/>
      <c r="P468" s="1116"/>
      <c r="Q468" s="1116"/>
      <c r="R468" s="1116"/>
      <c r="S468" s="1116"/>
      <c r="T468" s="1116"/>
      <c r="U468" s="1116"/>
      <c r="V468" s="1116"/>
      <c r="W468" s="1116"/>
      <c r="X468" s="1116"/>
      <c r="Y468" s="1116"/>
      <c r="Z468" s="1116"/>
      <c r="AA468" s="1116"/>
      <c r="AB468" s="1116"/>
      <c r="AC468" s="1116"/>
      <c r="AD468" s="1116"/>
      <c r="AE468" s="1116"/>
      <c r="AF468" s="1116"/>
      <c r="AG468" s="1116"/>
      <c r="AH468" s="1116"/>
      <c r="AI468" s="1116"/>
      <c r="AJ468" s="1116"/>
      <c r="AK468" s="1116"/>
    </row>
    <row r="469" spans="1:37" x14ac:dyDescent="0.35">
      <c r="A469" s="1116"/>
      <c r="B469" s="1116"/>
      <c r="C469" s="1116"/>
      <c r="D469" s="1116"/>
      <c r="E469" s="1116"/>
      <c r="F469" s="1116"/>
      <c r="G469" s="1116"/>
      <c r="H469" s="1116"/>
      <c r="I469" s="1116"/>
      <c r="J469" s="1116"/>
      <c r="K469" s="1116"/>
      <c r="L469" s="1116"/>
      <c r="M469" s="1116"/>
      <c r="N469" s="1116"/>
      <c r="O469" s="1116"/>
      <c r="P469" s="1116"/>
      <c r="Q469" s="1116"/>
      <c r="R469" s="1116"/>
      <c r="S469" s="1116"/>
      <c r="T469" s="1116"/>
      <c r="U469" s="1116"/>
      <c r="V469" s="1116"/>
      <c r="W469" s="1116"/>
      <c r="X469" s="1116"/>
      <c r="Y469" s="1116"/>
      <c r="Z469" s="1116"/>
      <c r="AA469" s="1116"/>
      <c r="AB469" s="1116"/>
      <c r="AC469" s="1116"/>
      <c r="AD469" s="1116"/>
      <c r="AE469" s="1116"/>
      <c r="AF469" s="1116"/>
      <c r="AG469" s="1116"/>
      <c r="AH469" s="1116"/>
      <c r="AI469" s="1116"/>
      <c r="AJ469" s="1116"/>
      <c r="AK469" s="1116"/>
    </row>
    <row r="470" spans="1:37" x14ac:dyDescent="0.35">
      <c r="A470" s="1116"/>
      <c r="B470" s="1116"/>
      <c r="C470" s="1116"/>
      <c r="D470" s="1116"/>
      <c r="E470" s="1116"/>
      <c r="F470" s="1116"/>
      <c r="G470" s="1116"/>
      <c r="H470" s="1116"/>
      <c r="I470" s="1116"/>
      <c r="J470" s="1116"/>
      <c r="K470" s="1116"/>
      <c r="L470" s="1116"/>
      <c r="M470" s="1116"/>
      <c r="N470" s="1116"/>
      <c r="O470" s="1116"/>
      <c r="P470" s="1116"/>
      <c r="Q470" s="1116"/>
      <c r="R470" s="1116"/>
      <c r="S470" s="1116"/>
      <c r="T470" s="1116"/>
      <c r="U470" s="1116"/>
      <c r="V470" s="1116"/>
      <c r="W470" s="1116"/>
      <c r="X470" s="1116"/>
      <c r="Y470" s="1116"/>
      <c r="Z470" s="1116"/>
      <c r="AA470" s="1116"/>
      <c r="AB470" s="1116"/>
      <c r="AC470" s="1116"/>
      <c r="AD470" s="1116"/>
      <c r="AE470" s="1116"/>
      <c r="AF470" s="1116"/>
      <c r="AG470" s="1116"/>
      <c r="AH470" s="1116"/>
      <c r="AI470" s="1116"/>
      <c r="AJ470" s="1116"/>
      <c r="AK470" s="1116"/>
    </row>
    <row r="471" spans="1:37" x14ac:dyDescent="0.35">
      <c r="A471" s="1116"/>
      <c r="B471" s="1116"/>
      <c r="C471" s="1116"/>
      <c r="D471" s="1116"/>
      <c r="E471" s="1116"/>
      <c r="F471" s="1116"/>
      <c r="G471" s="1116"/>
      <c r="H471" s="1116"/>
      <c r="I471" s="1116"/>
      <c r="J471" s="1116"/>
      <c r="K471" s="1116"/>
      <c r="L471" s="1116"/>
      <c r="M471" s="1116"/>
      <c r="N471" s="1116"/>
      <c r="O471" s="1116"/>
      <c r="P471" s="1116"/>
      <c r="Q471" s="1116"/>
      <c r="R471" s="1116"/>
      <c r="S471" s="1116"/>
      <c r="T471" s="1116"/>
      <c r="U471" s="1116"/>
      <c r="V471" s="1116"/>
      <c r="W471" s="1116"/>
      <c r="X471" s="1116"/>
      <c r="Y471" s="1116"/>
      <c r="Z471" s="1116"/>
      <c r="AA471" s="1116"/>
      <c r="AB471" s="1116"/>
      <c r="AC471" s="1116"/>
      <c r="AD471" s="1116"/>
      <c r="AE471" s="1116"/>
      <c r="AF471" s="1116"/>
      <c r="AG471" s="1116"/>
      <c r="AH471" s="1116"/>
      <c r="AI471" s="1116"/>
      <c r="AJ471" s="1116"/>
      <c r="AK471" s="1116"/>
    </row>
    <row r="472" spans="1:37" x14ac:dyDescent="0.35">
      <c r="A472" s="1116"/>
      <c r="B472" s="1116"/>
      <c r="C472" s="1116"/>
      <c r="D472" s="1116"/>
      <c r="E472" s="1116"/>
      <c r="F472" s="1116"/>
      <c r="G472" s="1116"/>
      <c r="H472" s="1116"/>
      <c r="I472" s="1116"/>
      <c r="J472" s="1116"/>
      <c r="K472" s="1116"/>
      <c r="L472" s="1116"/>
      <c r="M472" s="1116"/>
      <c r="N472" s="1116"/>
      <c r="O472" s="1116"/>
      <c r="P472" s="1116"/>
      <c r="Q472" s="1116"/>
      <c r="R472" s="1116"/>
      <c r="S472" s="1116"/>
      <c r="T472" s="1116"/>
      <c r="U472" s="1116"/>
      <c r="V472" s="1116"/>
      <c r="W472" s="1116"/>
      <c r="X472" s="1116"/>
      <c r="Y472" s="1116"/>
      <c r="Z472" s="1116"/>
      <c r="AA472" s="1116"/>
      <c r="AB472" s="1116"/>
      <c r="AC472" s="1116"/>
      <c r="AD472" s="1116"/>
      <c r="AE472" s="1116"/>
      <c r="AF472" s="1116"/>
      <c r="AG472" s="1116"/>
      <c r="AH472" s="1116"/>
      <c r="AI472" s="1116"/>
      <c r="AJ472" s="1116"/>
      <c r="AK472" s="1116"/>
    </row>
    <row r="473" spans="1:37" x14ac:dyDescent="0.35">
      <c r="A473" s="1116"/>
      <c r="B473" s="1116"/>
      <c r="C473" s="1116"/>
      <c r="D473" s="1116"/>
      <c r="E473" s="1116"/>
      <c r="F473" s="1116"/>
      <c r="G473" s="1116"/>
      <c r="H473" s="1116"/>
      <c r="I473" s="1116"/>
      <c r="J473" s="1116"/>
      <c r="K473" s="1116"/>
      <c r="L473" s="1116"/>
      <c r="M473" s="1116"/>
      <c r="N473" s="1116"/>
      <c r="O473" s="1116"/>
      <c r="P473" s="1116"/>
      <c r="Q473" s="1116"/>
      <c r="R473" s="1116"/>
      <c r="S473" s="1116"/>
      <c r="T473" s="1116"/>
      <c r="U473" s="1116"/>
      <c r="V473" s="1116"/>
      <c r="W473" s="1116"/>
      <c r="X473" s="1116"/>
      <c r="Y473" s="1116"/>
      <c r="Z473" s="1116"/>
      <c r="AA473" s="1116"/>
      <c r="AB473" s="1116"/>
      <c r="AC473" s="1116"/>
      <c r="AD473" s="1116"/>
      <c r="AE473" s="1116"/>
      <c r="AF473" s="1116"/>
      <c r="AG473" s="1116"/>
      <c r="AH473" s="1116"/>
      <c r="AI473" s="1116"/>
      <c r="AJ473" s="1116"/>
      <c r="AK473" s="1116"/>
    </row>
    <row r="474" spans="1:37" x14ac:dyDescent="0.35">
      <c r="A474" s="1116"/>
      <c r="B474" s="1116"/>
      <c r="C474" s="1116"/>
      <c r="D474" s="1116"/>
      <c r="E474" s="1116"/>
      <c r="F474" s="1116"/>
      <c r="G474" s="1116"/>
      <c r="H474" s="1116"/>
      <c r="I474" s="1116"/>
      <c r="J474" s="1116"/>
      <c r="K474" s="1116"/>
      <c r="L474" s="1116"/>
      <c r="M474" s="1116"/>
      <c r="N474" s="1116"/>
      <c r="O474" s="1116"/>
      <c r="P474" s="1116"/>
      <c r="Q474" s="1116"/>
      <c r="R474" s="1116"/>
      <c r="S474" s="1116"/>
      <c r="T474" s="1116"/>
      <c r="U474" s="1116"/>
      <c r="V474" s="1116"/>
      <c r="W474" s="1116"/>
      <c r="X474" s="1116"/>
      <c r="Y474" s="1116"/>
      <c r="Z474" s="1116"/>
      <c r="AA474" s="1116"/>
      <c r="AB474" s="1116"/>
      <c r="AC474" s="1116"/>
      <c r="AD474" s="1116"/>
      <c r="AE474" s="1116"/>
      <c r="AF474" s="1116"/>
      <c r="AG474" s="1116"/>
      <c r="AH474" s="1116"/>
      <c r="AI474" s="1116"/>
      <c r="AJ474" s="1116"/>
      <c r="AK474" s="1116"/>
    </row>
    <row r="475" spans="1:37" x14ac:dyDescent="0.35">
      <c r="A475" s="1116"/>
      <c r="B475" s="1116"/>
      <c r="C475" s="1116"/>
      <c r="D475" s="1116"/>
      <c r="E475" s="1116"/>
      <c r="F475" s="1116"/>
      <c r="G475" s="1116"/>
      <c r="H475" s="1116"/>
      <c r="I475" s="1116"/>
      <c r="J475" s="1116"/>
      <c r="K475" s="1116"/>
      <c r="L475" s="1116"/>
      <c r="M475" s="1116"/>
      <c r="N475" s="1116"/>
      <c r="O475" s="1116"/>
      <c r="P475" s="1116"/>
      <c r="Q475" s="1116"/>
      <c r="R475" s="1116"/>
      <c r="S475" s="1116"/>
      <c r="T475" s="1116"/>
      <c r="U475" s="1116"/>
      <c r="V475" s="1116"/>
      <c r="W475" s="1116"/>
      <c r="X475" s="1116"/>
      <c r="Y475" s="1116"/>
      <c r="Z475" s="1116"/>
      <c r="AA475" s="1116"/>
      <c r="AB475" s="1116"/>
      <c r="AC475" s="1116"/>
      <c r="AD475" s="1116"/>
      <c r="AE475" s="1116"/>
      <c r="AF475" s="1116"/>
      <c r="AG475" s="1116"/>
      <c r="AH475" s="1116"/>
      <c r="AI475" s="1116"/>
      <c r="AJ475" s="1116"/>
      <c r="AK475" s="1116"/>
    </row>
    <row r="476" spans="1:37" x14ac:dyDescent="0.35">
      <c r="A476" s="1116"/>
      <c r="B476" s="1116"/>
      <c r="C476" s="1116"/>
      <c r="D476" s="1116"/>
      <c r="E476" s="1116"/>
      <c r="F476" s="1116"/>
      <c r="G476" s="1116"/>
      <c r="H476" s="1116"/>
      <c r="I476" s="1116"/>
      <c r="J476" s="1116"/>
      <c r="K476" s="1116"/>
      <c r="L476" s="1116"/>
      <c r="M476" s="1116"/>
      <c r="N476" s="1116"/>
      <c r="O476" s="1116"/>
      <c r="P476" s="1116"/>
      <c r="Q476" s="1116"/>
      <c r="R476" s="1116"/>
      <c r="S476" s="1116"/>
      <c r="T476" s="1116"/>
      <c r="U476" s="1116"/>
      <c r="V476" s="1116"/>
      <c r="W476" s="1116"/>
      <c r="X476" s="1116"/>
      <c r="Y476" s="1116"/>
      <c r="Z476" s="1116"/>
      <c r="AA476" s="1116"/>
      <c r="AB476" s="1116"/>
      <c r="AC476" s="1116"/>
      <c r="AD476" s="1116"/>
      <c r="AE476" s="1116"/>
      <c r="AF476" s="1116"/>
      <c r="AG476" s="1116"/>
      <c r="AH476" s="1116"/>
      <c r="AI476" s="1116"/>
      <c r="AJ476" s="1116"/>
      <c r="AK476" s="1116"/>
    </row>
    <row r="477" spans="1:37" x14ac:dyDescent="0.35">
      <c r="A477" s="1116"/>
      <c r="B477" s="1116"/>
      <c r="C477" s="1116"/>
      <c r="D477" s="1116"/>
      <c r="E477" s="1116"/>
      <c r="F477" s="1116"/>
      <c r="G477" s="1116"/>
      <c r="H477" s="1116"/>
      <c r="I477" s="1116"/>
      <c r="J477" s="1116"/>
      <c r="K477" s="1116"/>
      <c r="L477" s="1116"/>
      <c r="M477" s="1116"/>
      <c r="N477" s="1116"/>
      <c r="O477" s="1116"/>
      <c r="P477" s="1116"/>
      <c r="Q477" s="1116"/>
      <c r="R477" s="1116"/>
      <c r="S477" s="1116"/>
      <c r="T477" s="1116"/>
      <c r="U477" s="1116"/>
      <c r="V477" s="1116"/>
      <c r="W477" s="1116"/>
      <c r="X477" s="1116"/>
      <c r="Y477" s="1116"/>
      <c r="Z477" s="1116"/>
      <c r="AA477" s="1116"/>
      <c r="AB477" s="1116"/>
      <c r="AC477" s="1116"/>
      <c r="AD477" s="1116"/>
      <c r="AE477" s="1116"/>
      <c r="AF477" s="1116"/>
      <c r="AG477" s="1116"/>
      <c r="AH477" s="1116"/>
      <c r="AI477" s="1116"/>
      <c r="AJ477" s="1116"/>
      <c r="AK477" s="1116"/>
    </row>
    <row r="478" spans="1:37" x14ac:dyDescent="0.35">
      <c r="A478" s="1116"/>
      <c r="B478" s="1116"/>
      <c r="C478" s="1116"/>
      <c r="D478" s="1116"/>
      <c r="E478" s="1116"/>
      <c r="F478" s="1116"/>
      <c r="G478" s="1116"/>
      <c r="H478" s="1116"/>
      <c r="I478" s="1116"/>
      <c r="J478" s="1116"/>
      <c r="K478" s="1116"/>
      <c r="L478" s="1116"/>
      <c r="M478" s="1116"/>
      <c r="N478" s="1116"/>
      <c r="O478" s="1116"/>
      <c r="P478" s="1116"/>
      <c r="Q478" s="1116"/>
      <c r="R478" s="1116"/>
      <c r="S478" s="1116"/>
      <c r="T478" s="1116"/>
      <c r="U478" s="1116"/>
      <c r="V478" s="1116"/>
      <c r="W478" s="1116"/>
      <c r="X478" s="1116"/>
      <c r="Y478" s="1116"/>
      <c r="Z478" s="1116"/>
      <c r="AA478" s="1116"/>
      <c r="AB478" s="1116"/>
      <c r="AC478" s="1116"/>
      <c r="AD478" s="1116"/>
      <c r="AE478" s="1116"/>
      <c r="AF478" s="1116"/>
      <c r="AG478" s="1116"/>
      <c r="AH478" s="1116"/>
      <c r="AI478" s="1116"/>
      <c r="AJ478" s="1116"/>
      <c r="AK478" s="1116"/>
    </row>
    <row r="479" spans="1:37" x14ac:dyDescent="0.35">
      <c r="A479" s="1116"/>
      <c r="B479" s="1116"/>
      <c r="C479" s="1116"/>
      <c r="D479" s="1116"/>
      <c r="E479" s="1116"/>
      <c r="F479" s="1116"/>
      <c r="G479" s="1116"/>
      <c r="H479" s="1116"/>
      <c r="I479" s="1116"/>
      <c r="J479" s="1116"/>
      <c r="K479" s="1116"/>
      <c r="L479" s="1116"/>
      <c r="M479" s="1116"/>
      <c r="N479" s="1116"/>
      <c r="O479" s="1116"/>
      <c r="P479" s="1116"/>
      <c r="Q479" s="1116"/>
      <c r="R479" s="1116"/>
      <c r="S479" s="1116"/>
      <c r="T479" s="1116"/>
      <c r="U479" s="1116"/>
      <c r="V479" s="1116"/>
      <c r="W479" s="1116"/>
      <c r="X479" s="1116"/>
      <c r="Y479" s="1116"/>
      <c r="Z479" s="1116"/>
      <c r="AA479" s="1116"/>
      <c r="AB479" s="1116"/>
      <c r="AC479" s="1116"/>
      <c r="AD479" s="1116"/>
      <c r="AE479" s="1116"/>
      <c r="AF479" s="1116"/>
      <c r="AG479" s="1116"/>
      <c r="AH479" s="1116"/>
      <c r="AI479" s="1116"/>
      <c r="AJ479" s="1116"/>
      <c r="AK479" s="1116"/>
    </row>
    <row r="480" spans="1:37" x14ac:dyDescent="0.35">
      <c r="A480" s="1116"/>
      <c r="B480" s="1116"/>
      <c r="C480" s="1116"/>
      <c r="D480" s="1116"/>
      <c r="E480" s="1116"/>
      <c r="F480" s="1116"/>
      <c r="G480" s="1116"/>
      <c r="H480" s="1116"/>
      <c r="I480" s="1116"/>
      <c r="J480" s="1116"/>
      <c r="K480" s="1116"/>
      <c r="L480" s="1116"/>
      <c r="M480" s="1116"/>
      <c r="N480" s="1116"/>
      <c r="O480" s="1116"/>
      <c r="P480" s="1116"/>
      <c r="Q480" s="1116"/>
      <c r="R480" s="1116"/>
      <c r="S480" s="1116"/>
      <c r="T480" s="1116"/>
      <c r="U480" s="1116"/>
      <c r="V480" s="1116"/>
      <c r="W480" s="1116"/>
      <c r="X480" s="1116"/>
      <c r="Y480" s="1116"/>
      <c r="Z480" s="1116"/>
      <c r="AA480" s="1116"/>
      <c r="AB480" s="1116"/>
      <c r="AC480" s="1116"/>
      <c r="AD480" s="1116"/>
      <c r="AE480" s="1116"/>
      <c r="AF480" s="1116"/>
      <c r="AG480" s="1116"/>
      <c r="AH480" s="1116"/>
      <c r="AI480" s="1116"/>
      <c r="AJ480" s="1116"/>
      <c r="AK480" s="1116"/>
    </row>
    <row r="481" spans="1:37" x14ac:dyDescent="0.35">
      <c r="A481" s="1116"/>
      <c r="B481" s="1116"/>
      <c r="C481" s="1116"/>
      <c r="D481" s="1116"/>
      <c r="E481" s="1116"/>
      <c r="F481" s="1116"/>
      <c r="G481" s="1116"/>
      <c r="H481" s="1116"/>
      <c r="I481" s="1116"/>
      <c r="J481" s="1116"/>
      <c r="K481" s="1116"/>
      <c r="L481" s="1116"/>
      <c r="M481" s="1116"/>
      <c r="N481" s="1116"/>
      <c r="O481" s="1116"/>
      <c r="P481" s="1116"/>
      <c r="Q481" s="1116"/>
      <c r="R481" s="1116"/>
      <c r="S481" s="1116"/>
      <c r="T481" s="1116"/>
      <c r="U481" s="1116"/>
      <c r="V481" s="1116"/>
      <c r="W481" s="1116"/>
      <c r="X481" s="1116"/>
      <c r="Y481" s="1116"/>
      <c r="Z481" s="1116"/>
      <c r="AA481" s="1116"/>
      <c r="AB481" s="1116"/>
      <c r="AC481" s="1116"/>
      <c r="AD481" s="1116"/>
      <c r="AE481" s="1116"/>
      <c r="AF481" s="1116"/>
      <c r="AG481" s="1116"/>
      <c r="AH481" s="1116"/>
      <c r="AI481" s="1116"/>
      <c r="AJ481" s="1116"/>
      <c r="AK481" s="1116"/>
    </row>
    <row r="482" spans="1:37" x14ac:dyDescent="0.35">
      <c r="A482" s="1116"/>
      <c r="B482" s="1116"/>
      <c r="C482" s="1116"/>
      <c r="D482" s="1116"/>
      <c r="E482" s="1116"/>
      <c r="F482" s="1116"/>
      <c r="G482" s="1116"/>
      <c r="H482" s="1116"/>
      <c r="I482" s="1116"/>
      <c r="J482" s="1116"/>
      <c r="K482" s="1116"/>
      <c r="L482" s="1116"/>
      <c r="M482" s="1116"/>
      <c r="N482" s="1116"/>
      <c r="O482" s="1116"/>
      <c r="P482" s="1116"/>
      <c r="Q482" s="1116"/>
      <c r="R482" s="1116"/>
      <c r="S482" s="1116"/>
      <c r="T482" s="1116"/>
      <c r="U482" s="1116"/>
      <c r="V482" s="1116"/>
      <c r="W482" s="1116"/>
      <c r="X482" s="1116"/>
      <c r="Y482" s="1116"/>
      <c r="Z482" s="1116"/>
      <c r="AA482" s="1116"/>
      <c r="AB482" s="1116"/>
      <c r="AC482" s="1116"/>
      <c r="AD482" s="1116"/>
      <c r="AE482" s="1116"/>
      <c r="AF482" s="1116"/>
      <c r="AG482" s="1116"/>
      <c r="AH482" s="1116"/>
      <c r="AI482" s="1116"/>
      <c r="AJ482" s="1116"/>
      <c r="AK482" s="1116"/>
    </row>
    <row r="483" spans="1:37" x14ac:dyDescent="0.35">
      <c r="A483" s="1116"/>
      <c r="B483" s="1116"/>
      <c r="C483" s="1116"/>
      <c r="D483" s="1116"/>
      <c r="E483" s="1116"/>
      <c r="F483" s="1116"/>
      <c r="G483" s="1116"/>
      <c r="H483" s="1116"/>
      <c r="I483" s="1116"/>
      <c r="J483" s="1116"/>
      <c r="K483" s="1116"/>
      <c r="L483" s="1116"/>
      <c r="M483" s="1116"/>
      <c r="N483" s="1116"/>
      <c r="O483" s="1116"/>
      <c r="P483" s="1116"/>
      <c r="Q483" s="1116"/>
      <c r="R483" s="1116"/>
      <c r="S483" s="1116"/>
      <c r="T483" s="1116"/>
      <c r="U483" s="1116"/>
      <c r="V483" s="1116"/>
      <c r="W483" s="1116"/>
      <c r="X483" s="1116"/>
      <c r="Y483" s="1116"/>
      <c r="Z483" s="1116"/>
      <c r="AA483" s="1116"/>
      <c r="AB483" s="1116"/>
      <c r="AC483" s="1116"/>
      <c r="AD483" s="1116"/>
      <c r="AE483" s="1116"/>
      <c r="AF483" s="1116"/>
      <c r="AG483" s="1116"/>
      <c r="AH483" s="1116"/>
      <c r="AI483" s="1116"/>
      <c r="AJ483" s="1116"/>
      <c r="AK483" s="1116"/>
    </row>
    <row r="484" spans="1:37" x14ac:dyDescent="0.35">
      <c r="A484" s="1116"/>
      <c r="B484" s="1116"/>
      <c r="C484" s="1116"/>
      <c r="D484" s="1116"/>
      <c r="E484" s="1116"/>
      <c r="F484" s="1116"/>
      <c r="G484" s="1116"/>
      <c r="H484" s="1116"/>
      <c r="I484" s="1116"/>
      <c r="J484" s="1116"/>
      <c r="K484" s="1116"/>
      <c r="L484" s="1116"/>
      <c r="M484" s="1116"/>
      <c r="N484" s="1116"/>
      <c r="O484" s="1116"/>
      <c r="P484" s="1116"/>
      <c r="Q484" s="1116"/>
      <c r="R484" s="1116"/>
      <c r="S484" s="1116"/>
      <c r="T484" s="1116"/>
      <c r="U484" s="1116"/>
      <c r="V484" s="1116"/>
      <c r="W484" s="1116"/>
      <c r="X484" s="1116"/>
      <c r="Y484" s="1116"/>
      <c r="Z484" s="1116"/>
      <c r="AA484" s="1116"/>
      <c r="AB484" s="1116"/>
      <c r="AC484" s="1116"/>
      <c r="AD484" s="1116"/>
      <c r="AE484" s="1116"/>
      <c r="AF484" s="1116"/>
      <c r="AG484" s="1116"/>
      <c r="AH484" s="1116"/>
      <c r="AI484" s="1116"/>
      <c r="AJ484" s="1116"/>
      <c r="AK484" s="1116"/>
    </row>
    <row r="485" spans="1:37" x14ac:dyDescent="0.35">
      <c r="A485" s="1116"/>
      <c r="B485" s="1116"/>
      <c r="C485" s="1116"/>
      <c r="D485" s="1116"/>
      <c r="E485" s="1116"/>
      <c r="F485" s="1116"/>
      <c r="G485" s="1116"/>
      <c r="H485" s="1116"/>
      <c r="I485" s="1116"/>
      <c r="J485" s="1116"/>
      <c r="K485" s="1116"/>
      <c r="L485" s="1116"/>
      <c r="M485" s="1116"/>
      <c r="N485" s="1116"/>
      <c r="O485" s="1116"/>
      <c r="P485" s="1116"/>
      <c r="Q485" s="1116"/>
      <c r="R485" s="1116"/>
      <c r="S485" s="1116"/>
      <c r="T485" s="1116"/>
      <c r="U485" s="1116"/>
      <c r="V485" s="1116"/>
      <c r="W485" s="1116"/>
      <c r="X485" s="1116"/>
      <c r="Y485" s="1116"/>
      <c r="Z485" s="1116"/>
      <c r="AA485" s="1116"/>
      <c r="AB485" s="1116"/>
      <c r="AC485" s="1116"/>
      <c r="AD485" s="1116"/>
      <c r="AE485" s="1116"/>
      <c r="AF485" s="1116"/>
      <c r="AG485" s="1116"/>
      <c r="AH485" s="1116"/>
      <c r="AI485" s="1116"/>
      <c r="AJ485" s="1116"/>
      <c r="AK485" s="1116"/>
    </row>
    <row r="486" spans="1:37" x14ac:dyDescent="0.35">
      <c r="A486" s="1116"/>
      <c r="B486" s="1116"/>
      <c r="C486" s="1116"/>
      <c r="D486" s="1116"/>
      <c r="E486" s="1116"/>
      <c r="F486" s="1116"/>
      <c r="G486" s="1116"/>
      <c r="H486" s="1116"/>
      <c r="I486" s="1116"/>
      <c r="J486" s="1116"/>
      <c r="K486" s="1116"/>
      <c r="L486" s="1116"/>
      <c r="M486" s="1116"/>
      <c r="N486" s="1116"/>
      <c r="O486" s="1116"/>
      <c r="P486" s="1116"/>
      <c r="Q486" s="1116"/>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116"/>
    </row>
    <row r="487" spans="1:37" x14ac:dyDescent="0.35">
      <c r="A487" s="1116"/>
      <c r="B487" s="1116"/>
      <c r="C487" s="1116"/>
      <c r="D487" s="1116"/>
      <c r="E487" s="1116"/>
      <c r="F487" s="1116"/>
      <c r="G487" s="1116"/>
      <c r="H487" s="1116"/>
      <c r="I487" s="1116"/>
      <c r="J487" s="1116"/>
      <c r="K487" s="1116"/>
      <c r="L487" s="1116"/>
      <c r="M487" s="1116"/>
      <c r="N487" s="1116"/>
      <c r="O487" s="1116"/>
      <c r="P487" s="1116"/>
      <c r="Q487" s="1116"/>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116"/>
    </row>
    <row r="488" spans="1:37" x14ac:dyDescent="0.35">
      <c r="A488" s="1116"/>
      <c r="B488" s="1116"/>
      <c r="C488" s="1116"/>
      <c r="D488" s="1116"/>
      <c r="E488" s="1116"/>
      <c r="F488" s="1116"/>
      <c r="G488" s="1116"/>
      <c r="H488" s="1116"/>
      <c r="I488" s="1116"/>
      <c r="J488" s="1116"/>
      <c r="K488" s="1116"/>
      <c r="L488" s="1116"/>
      <c r="M488" s="1116"/>
      <c r="N488" s="1116"/>
      <c r="O488" s="1116"/>
      <c r="P488" s="1116"/>
      <c r="Q488" s="1116"/>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116"/>
    </row>
    <row r="489" spans="1:37" x14ac:dyDescent="0.35">
      <c r="A489" s="1116"/>
      <c r="B489" s="1116"/>
      <c r="C489" s="1116"/>
      <c r="D489" s="1116"/>
      <c r="E489" s="1116"/>
      <c r="F489" s="1116"/>
      <c r="G489" s="1116"/>
      <c r="H489" s="1116"/>
      <c r="I489" s="1116"/>
      <c r="J489" s="1116"/>
      <c r="K489" s="1116"/>
      <c r="L489" s="1116"/>
      <c r="M489" s="1116"/>
      <c r="N489" s="1116"/>
      <c r="O489" s="1116"/>
      <c r="P489" s="1116"/>
      <c r="Q489" s="1116"/>
      <c r="R489" s="1116"/>
      <c r="S489" s="1116"/>
      <c r="T489" s="1116"/>
      <c r="U489" s="1116"/>
      <c r="V489" s="1116"/>
      <c r="W489" s="1116"/>
      <c r="X489" s="1116"/>
      <c r="Y489" s="1116"/>
      <c r="Z489" s="1116"/>
      <c r="AA489" s="1116"/>
      <c r="AB489" s="1116"/>
      <c r="AC489" s="1116"/>
      <c r="AD489" s="1116"/>
      <c r="AE489" s="1116"/>
      <c r="AF489" s="1116"/>
      <c r="AG489" s="1116"/>
      <c r="AH489" s="1116"/>
      <c r="AI489" s="1116"/>
      <c r="AJ489" s="1116"/>
      <c r="AK489" s="1116"/>
    </row>
    <row r="490" spans="1:37" x14ac:dyDescent="0.35">
      <c r="A490" s="1116"/>
      <c r="B490" s="1116"/>
      <c r="C490" s="1116"/>
      <c r="D490" s="1116"/>
      <c r="E490" s="1116"/>
      <c r="F490" s="1116"/>
      <c r="G490" s="1116"/>
      <c r="H490" s="1116"/>
      <c r="I490" s="1116"/>
      <c r="J490" s="1116"/>
      <c r="K490" s="1116"/>
      <c r="L490" s="1116"/>
      <c r="M490" s="1116"/>
      <c r="N490" s="1116"/>
      <c r="O490" s="1116"/>
      <c r="P490" s="1116"/>
      <c r="Q490" s="1116"/>
      <c r="R490" s="1116"/>
      <c r="S490" s="1116"/>
      <c r="T490" s="1116"/>
      <c r="U490" s="1116"/>
      <c r="V490" s="1116"/>
      <c r="W490" s="1116"/>
      <c r="X490" s="1116"/>
      <c r="Y490" s="1116"/>
      <c r="Z490" s="1116"/>
      <c r="AA490" s="1116"/>
      <c r="AB490" s="1116"/>
      <c r="AC490" s="1116"/>
      <c r="AD490" s="1116"/>
      <c r="AE490" s="1116"/>
      <c r="AF490" s="1116"/>
      <c r="AG490" s="1116"/>
      <c r="AH490" s="1116"/>
      <c r="AI490" s="1116"/>
      <c r="AJ490" s="1116"/>
      <c r="AK490" s="1116"/>
    </row>
    <row r="491" spans="1:37" x14ac:dyDescent="0.35">
      <c r="A491" s="1116"/>
      <c r="B491" s="1116"/>
      <c r="C491" s="1116"/>
      <c r="D491" s="1116"/>
      <c r="E491" s="1116"/>
      <c r="F491" s="1116"/>
      <c r="G491" s="1116"/>
      <c r="H491" s="1116"/>
      <c r="I491" s="1116"/>
      <c r="J491" s="1116"/>
      <c r="K491" s="1116"/>
      <c r="L491" s="1116"/>
      <c r="M491" s="1116"/>
      <c r="N491" s="1116"/>
      <c r="O491" s="1116"/>
      <c r="P491" s="1116"/>
      <c r="Q491" s="1116"/>
      <c r="R491" s="1116"/>
      <c r="S491" s="1116"/>
      <c r="T491" s="1116"/>
      <c r="U491" s="1116"/>
      <c r="V491" s="1116"/>
      <c r="W491" s="1116"/>
      <c r="X491" s="1116"/>
      <c r="Y491" s="1116"/>
      <c r="Z491" s="1116"/>
      <c r="AA491" s="1116"/>
      <c r="AB491" s="1116"/>
      <c r="AC491" s="1116"/>
      <c r="AD491" s="1116"/>
      <c r="AE491" s="1116"/>
      <c r="AF491" s="1116"/>
      <c r="AG491" s="1116"/>
      <c r="AH491" s="1116"/>
      <c r="AI491" s="1116"/>
      <c r="AJ491" s="1116"/>
      <c r="AK491" s="1116"/>
    </row>
    <row r="492" spans="1:37" x14ac:dyDescent="0.35">
      <c r="A492" s="1116"/>
      <c r="B492" s="1116"/>
      <c r="C492" s="1116"/>
      <c r="D492" s="1116"/>
      <c r="E492" s="1116"/>
      <c r="F492" s="1116"/>
      <c r="G492" s="1116"/>
      <c r="H492" s="1116"/>
      <c r="I492" s="1116"/>
      <c r="J492" s="1116"/>
      <c r="K492" s="1116"/>
      <c r="L492" s="1116"/>
      <c r="M492" s="1116"/>
      <c r="N492" s="1116"/>
      <c r="O492" s="1116"/>
      <c r="P492" s="1116"/>
      <c r="Q492" s="1116"/>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116"/>
    </row>
    <row r="493" spans="1:37" x14ac:dyDescent="0.35">
      <c r="A493" s="1116"/>
      <c r="B493" s="1116"/>
      <c r="C493" s="1116"/>
      <c r="D493" s="1116"/>
      <c r="E493" s="1116"/>
      <c r="F493" s="1116"/>
      <c r="G493" s="1116"/>
      <c r="H493" s="1116"/>
      <c r="I493" s="1116"/>
      <c r="J493" s="1116"/>
      <c r="K493" s="1116"/>
      <c r="L493" s="1116"/>
      <c r="M493" s="1116"/>
      <c r="N493" s="1116"/>
      <c r="O493" s="1116"/>
      <c r="P493" s="1116"/>
      <c r="Q493" s="1116"/>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116"/>
    </row>
    <row r="494" spans="1:37" x14ac:dyDescent="0.35">
      <c r="A494" s="1116"/>
      <c r="B494" s="1116"/>
      <c r="C494" s="1116"/>
      <c r="D494" s="1116"/>
      <c r="E494" s="1116"/>
      <c r="F494" s="1116"/>
      <c r="G494" s="1116"/>
      <c r="H494" s="1116"/>
      <c r="I494" s="1116"/>
      <c r="J494" s="1116"/>
      <c r="K494" s="1116"/>
      <c r="L494" s="1116"/>
      <c r="M494" s="1116"/>
      <c r="N494" s="1116"/>
      <c r="O494" s="1116"/>
      <c r="P494" s="1116"/>
      <c r="Q494" s="1116"/>
      <c r="R494" s="1116"/>
      <c r="S494" s="1116"/>
      <c r="T494" s="1116"/>
      <c r="U494" s="1116"/>
      <c r="V494" s="1116"/>
      <c r="W494" s="1116"/>
      <c r="X494" s="1116"/>
      <c r="Y494" s="1116"/>
      <c r="Z494" s="1116"/>
      <c r="AA494" s="1116"/>
      <c r="AB494" s="1116"/>
      <c r="AC494" s="1116"/>
      <c r="AD494" s="1116"/>
      <c r="AE494" s="1116"/>
      <c r="AF494" s="1116"/>
      <c r="AG494" s="1116"/>
      <c r="AH494" s="1116"/>
      <c r="AI494" s="1116"/>
      <c r="AJ494" s="1116"/>
      <c r="AK494" s="1116"/>
    </row>
    <row r="495" spans="1:37" x14ac:dyDescent="0.35">
      <c r="A495" s="1116"/>
      <c r="B495" s="1116"/>
      <c r="C495" s="1116"/>
      <c r="D495" s="1116"/>
      <c r="E495" s="1116"/>
      <c r="F495" s="1116"/>
      <c r="G495" s="1116"/>
      <c r="H495" s="1116"/>
      <c r="I495" s="1116"/>
      <c r="J495" s="1116"/>
      <c r="K495" s="1116"/>
      <c r="L495" s="1116"/>
      <c r="M495" s="1116"/>
      <c r="N495" s="1116"/>
      <c r="O495" s="1116"/>
      <c r="P495" s="1116"/>
      <c r="Q495" s="1116"/>
      <c r="R495" s="1116"/>
      <c r="S495" s="1116"/>
      <c r="T495" s="1116"/>
      <c r="U495" s="1116"/>
      <c r="V495" s="1116"/>
      <c r="W495" s="1116"/>
      <c r="X495" s="1116"/>
      <c r="Y495" s="1116"/>
      <c r="Z495" s="1116"/>
      <c r="AA495" s="1116"/>
      <c r="AB495" s="1116"/>
      <c r="AC495" s="1116"/>
      <c r="AD495" s="1116"/>
      <c r="AE495" s="1116"/>
      <c r="AF495" s="1116"/>
      <c r="AG495" s="1116"/>
      <c r="AH495" s="1116"/>
      <c r="AI495" s="1116"/>
      <c r="AJ495" s="1116"/>
      <c r="AK495" s="1116"/>
    </row>
    <row r="496" spans="1:37" x14ac:dyDescent="0.35">
      <c r="A496" s="1116"/>
      <c r="B496" s="1116"/>
      <c r="C496" s="1116"/>
      <c r="D496" s="1116"/>
      <c r="E496" s="1116"/>
      <c r="F496" s="1116"/>
      <c r="G496" s="1116"/>
      <c r="H496" s="1116"/>
      <c r="I496" s="1116"/>
      <c r="J496" s="1116"/>
      <c r="K496" s="1116"/>
      <c r="L496" s="1116"/>
      <c r="M496" s="1116"/>
      <c r="N496" s="1116"/>
      <c r="O496" s="1116"/>
      <c r="P496" s="1116"/>
      <c r="Q496" s="1116"/>
      <c r="R496" s="1116"/>
      <c r="S496" s="1116"/>
      <c r="T496" s="1116"/>
      <c r="U496" s="1116"/>
      <c r="V496" s="1116"/>
      <c r="W496" s="1116"/>
      <c r="X496" s="1116"/>
      <c r="Y496" s="1116"/>
      <c r="Z496" s="1116"/>
      <c r="AA496" s="1116"/>
      <c r="AB496" s="1116"/>
      <c r="AC496" s="1116"/>
      <c r="AD496" s="1116"/>
      <c r="AE496" s="1116"/>
      <c r="AF496" s="1116"/>
      <c r="AG496" s="1116"/>
      <c r="AH496" s="1116"/>
      <c r="AI496" s="1116"/>
      <c r="AJ496" s="1116"/>
      <c r="AK496" s="1116"/>
    </row>
    <row r="497" spans="1:37" x14ac:dyDescent="0.35">
      <c r="A497" s="1116"/>
      <c r="B497" s="1116"/>
      <c r="C497" s="1116"/>
      <c r="D497" s="1116"/>
      <c r="E497" s="1116"/>
      <c r="F497" s="1116"/>
      <c r="G497" s="1116"/>
      <c r="H497" s="1116"/>
      <c r="I497" s="1116"/>
      <c r="J497" s="1116"/>
      <c r="K497" s="1116"/>
      <c r="L497" s="1116"/>
      <c r="M497" s="1116"/>
      <c r="N497" s="1116"/>
      <c r="O497" s="1116"/>
      <c r="P497" s="1116"/>
      <c r="Q497" s="1116"/>
      <c r="R497" s="1116"/>
      <c r="S497" s="1116"/>
      <c r="T497" s="1116"/>
      <c r="U497" s="1116"/>
      <c r="V497" s="1116"/>
      <c r="W497" s="1116"/>
      <c r="X497" s="1116"/>
      <c r="Y497" s="1116"/>
      <c r="Z497" s="1116"/>
      <c r="AA497" s="1116"/>
      <c r="AB497" s="1116"/>
      <c r="AC497" s="1116"/>
      <c r="AD497" s="1116"/>
      <c r="AE497" s="1116"/>
      <c r="AF497" s="1116"/>
      <c r="AG497" s="1116"/>
      <c r="AH497" s="1116"/>
      <c r="AI497" s="1116"/>
      <c r="AJ497" s="1116"/>
      <c r="AK497" s="1116"/>
    </row>
    <row r="498" spans="1:37" x14ac:dyDescent="0.35">
      <c r="A498" s="1116"/>
      <c r="B498" s="1116"/>
      <c r="C498" s="1116"/>
      <c r="D498" s="1116"/>
      <c r="E498" s="1116"/>
      <c r="F498" s="1116"/>
      <c r="G498" s="1116"/>
      <c r="H498" s="1116"/>
      <c r="I498" s="1116"/>
      <c r="J498" s="1116"/>
      <c r="K498" s="1116"/>
      <c r="L498" s="1116"/>
      <c r="M498" s="1116"/>
      <c r="N498" s="1116"/>
      <c r="O498" s="1116"/>
      <c r="P498" s="1116"/>
      <c r="Q498" s="1116"/>
      <c r="R498" s="1116"/>
      <c r="S498" s="1116"/>
      <c r="T498" s="1116"/>
      <c r="U498" s="1116"/>
      <c r="V498" s="1116"/>
      <c r="W498" s="1116"/>
      <c r="X498" s="1116"/>
      <c r="Y498" s="1116"/>
      <c r="Z498" s="1116"/>
      <c r="AA498" s="1116"/>
      <c r="AB498" s="1116"/>
      <c r="AC498" s="1116"/>
      <c r="AD498" s="1116"/>
      <c r="AE498" s="1116"/>
      <c r="AF498" s="1116"/>
      <c r="AG498" s="1116"/>
      <c r="AH498" s="1116"/>
      <c r="AI498" s="1116"/>
      <c r="AJ498" s="1116"/>
      <c r="AK498" s="1116"/>
    </row>
    <row r="499" spans="1:37" x14ac:dyDescent="0.35">
      <c r="A499" s="1116"/>
      <c r="B499" s="1116"/>
      <c r="C499" s="1116"/>
      <c r="D499" s="1116"/>
      <c r="E499" s="1116"/>
      <c r="F499" s="1116"/>
      <c r="G499" s="1116"/>
      <c r="H499" s="1116"/>
      <c r="I499" s="1116"/>
      <c r="J499" s="1116"/>
      <c r="K499" s="1116"/>
      <c r="L499" s="1116"/>
      <c r="M499" s="1116"/>
      <c r="N499" s="1116"/>
      <c r="O499" s="1116"/>
      <c r="P499" s="1116"/>
      <c r="Q499" s="1116"/>
      <c r="R499" s="1116"/>
      <c r="S499" s="1116"/>
      <c r="T499" s="1116"/>
      <c r="U499" s="1116"/>
      <c r="V499" s="1116"/>
      <c r="W499" s="1116"/>
      <c r="X499" s="1116"/>
      <c r="Y499" s="1116"/>
      <c r="Z499" s="1116"/>
      <c r="AA499" s="1116"/>
      <c r="AB499" s="1116"/>
      <c r="AC499" s="1116"/>
      <c r="AD499" s="1116"/>
      <c r="AE499" s="1116"/>
      <c r="AF499" s="1116"/>
      <c r="AG499" s="1116"/>
      <c r="AH499" s="1116"/>
      <c r="AI499" s="1116"/>
      <c r="AJ499" s="1116"/>
      <c r="AK499" s="1116"/>
    </row>
    <row r="500" spans="1:37" x14ac:dyDescent="0.35">
      <c r="A500" s="1116"/>
      <c r="B500" s="1116"/>
      <c r="C500" s="1116"/>
      <c r="D500" s="1116"/>
      <c r="E500" s="1116"/>
      <c r="F500" s="1116"/>
      <c r="G500" s="1116"/>
      <c r="H500" s="1116"/>
      <c r="I500" s="1116"/>
      <c r="J500" s="1116"/>
      <c r="K500" s="1116"/>
      <c r="L500" s="1116"/>
      <c r="M500" s="1116"/>
      <c r="N500" s="1116"/>
      <c r="O500" s="1116"/>
      <c r="P500" s="1116"/>
      <c r="Q500" s="1116"/>
      <c r="R500" s="1116"/>
      <c r="S500" s="1116"/>
      <c r="T500" s="1116"/>
      <c r="U500" s="1116"/>
      <c r="V500" s="1116"/>
      <c r="W500" s="1116"/>
      <c r="X500" s="1116"/>
      <c r="Y500" s="1116"/>
      <c r="Z500" s="1116"/>
      <c r="AA500" s="1116"/>
      <c r="AB500" s="1116"/>
      <c r="AC500" s="1116"/>
      <c r="AD500" s="1116"/>
      <c r="AE500" s="1116"/>
      <c r="AF500" s="1116"/>
      <c r="AG500" s="1116"/>
      <c r="AH500" s="1116"/>
      <c r="AI500" s="1116"/>
      <c r="AJ500" s="1116"/>
      <c r="AK500" s="1116"/>
    </row>
    <row r="501" spans="1:37" x14ac:dyDescent="0.35">
      <c r="A501" s="1116"/>
      <c r="B501" s="1116"/>
      <c r="C501" s="1116"/>
      <c r="D501" s="1116"/>
      <c r="E501" s="1116"/>
      <c r="F501" s="1116"/>
      <c r="G501" s="1116"/>
      <c r="H501" s="1116"/>
      <c r="I501" s="1116"/>
      <c r="J501" s="1116"/>
      <c r="K501" s="1116"/>
      <c r="L501" s="1116"/>
      <c r="M501" s="1116"/>
      <c r="N501" s="1116"/>
      <c r="O501" s="1116"/>
      <c r="P501" s="1116"/>
      <c r="Q501" s="1116"/>
      <c r="R501" s="1116"/>
      <c r="S501" s="1116"/>
      <c r="T501" s="1116"/>
      <c r="U501" s="1116"/>
      <c r="V501" s="1116"/>
      <c r="W501" s="1116"/>
      <c r="X501" s="1116"/>
      <c r="Y501" s="1116"/>
      <c r="Z501" s="1116"/>
      <c r="AA501" s="1116"/>
      <c r="AB501" s="1116"/>
      <c r="AC501" s="1116"/>
      <c r="AD501" s="1116"/>
      <c r="AE501" s="1116"/>
      <c r="AF501" s="1116"/>
      <c r="AG501" s="1116"/>
      <c r="AH501" s="1116"/>
      <c r="AI501" s="1116"/>
      <c r="AJ501" s="1116"/>
      <c r="AK501" s="1116"/>
    </row>
    <row r="502" spans="1:37" x14ac:dyDescent="0.35">
      <c r="A502" s="1116"/>
      <c r="B502" s="1116"/>
      <c r="C502" s="1116"/>
      <c r="D502" s="1116"/>
      <c r="E502" s="1116"/>
      <c r="F502" s="1116"/>
      <c r="G502" s="1116"/>
      <c r="H502" s="1116"/>
      <c r="I502" s="1116"/>
      <c r="J502" s="1116"/>
      <c r="K502" s="1116"/>
      <c r="L502" s="1116"/>
      <c r="M502" s="1116"/>
      <c r="N502" s="1116"/>
      <c r="O502" s="1116"/>
      <c r="P502" s="1116"/>
      <c r="Q502" s="1116"/>
      <c r="R502" s="1116"/>
      <c r="S502" s="1116"/>
      <c r="T502" s="1116"/>
      <c r="U502" s="1116"/>
      <c r="V502" s="1116"/>
      <c r="W502" s="1116"/>
      <c r="X502" s="1116"/>
      <c r="Y502" s="1116"/>
      <c r="Z502" s="1116"/>
      <c r="AA502" s="1116"/>
      <c r="AB502" s="1116"/>
      <c r="AC502" s="1116"/>
      <c r="AD502" s="1116"/>
      <c r="AE502" s="1116"/>
      <c r="AF502" s="1116"/>
      <c r="AG502" s="1116"/>
      <c r="AH502" s="1116"/>
      <c r="AI502" s="1116"/>
      <c r="AJ502" s="1116"/>
      <c r="AK502" s="1116"/>
    </row>
    <row r="503" spans="1:37" x14ac:dyDescent="0.35">
      <c r="A503" s="1116"/>
      <c r="B503" s="1116"/>
      <c r="C503" s="1116"/>
      <c r="D503" s="1116"/>
      <c r="E503" s="1116"/>
      <c r="F503" s="1116"/>
      <c r="G503" s="1116"/>
      <c r="H503" s="1116"/>
      <c r="I503" s="1116"/>
      <c r="J503" s="1116"/>
      <c r="K503" s="1116"/>
      <c r="L503" s="1116"/>
      <c r="M503" s="1116"/>
      <c r="N503" s="1116"/>
      <c r="O503" s="1116"/>
      <c r="P503" s="1116"/>
      <c r="Q503" s="1116"/>
      <c r="R503" s="1116"/>
      <c r="S503" s="1116"/>
      <c r="T503" s="1116"/>
      <c r="U503" s="1116"/>
      <c r="V503" s="1116"/>
      <c r="W503" s="1116"/>
      <c r="X503" s="1116"/>
      <c r="Y503" s="1116"/>
      <c r="Z503" s="1116"/>
      <c r="AA503" s="1116"/>
      <c r="AB503" s="1116"/>
      <c r="AC503" s="1116"/>
      <c r="AD503" s="1116"/>
      <c r="AE503" s="1116"/>
      <c r="AF503" s="1116"/>
      <c r="AG503" s="1116"/>
      <c r="AH503" s="1116"/>
      <c r="AI503" s="1116"/>
      <c r="AJ503" s="1116"/>
      <c r="AK503" s="1116"/>
    </row>
    <row r="504" spans="1:37" x14ac:dyDescent="0.35">
      <c r="A504" s="1116"/>
      <c r="B504" s="1116"/>
      <c r="C504" s="1116"/>
      <c r="D504" s="1116"/>
      <c r="E504" s="1116"/>
      <c r="F504" s="1116"/>
      <c r="G504" s="1116"/>
      <c r="H504" s="1116"/>
      <c r="I504" s="1116"/>
      <c r="J504" s="1116"/>
      <c r="K504" s="1116"/>
      <c r="L504" s="1116"/>
      <c r="M504" s="1116"/>
      <c r="N504" s="1116"/>
      <c r="O504" s="1116"/>
      <c r="P504" s="1116"/>
      <c r="Q504" s="1116"/>
      <c r="R504" s="1116"/>
      <c r="S504" s="1116"/>
      <c r="T504" s="1116"/>
      <c r="U504" s="1116"/>
      <c r="V504" s="1116"/>
      <c r="W504" s="1116"/>
      <c r="X504" s="1116"/>
      <c r="Y504" s="1116"/>
      <c r="Z504" s="1116"/>
      <c r="AA504" s="1116"/>
      <c r="AB504" s="1116"/>
      <c r="AC504" s="1116"/>
      <c r="AD504" s="1116"/>
      <c r="AE504" s="1116"/>
      <c r="AF504" s="1116"/>
      <c r="AG504" s="1116"/>
      <c r="AH504" s="1116"/>
      <c r="AI504" s="1116"/>
      <c r="AJ504" s="1116"/>
      <c r="AK504" s="1116"/>
    </row>
    <row r="505" spans="1:37" x14ac:dyDescent="0.35">
      <c r="A505" s="1116"/>
      <c r="B505" s="1116"/>
      <c r="C505" s="1116"/>
      <c r="D505" s="1116"/>
      <c r="E505" s="1116"/>
      <c r="F505" s="1116"/>
      <c r="G505" s="1116"/>
      <c r="H505" s="1116"/>
      <c r="I505" s="1116"/>
      <c r="J505" s="1116"/>
      <c r="K505" s="1116"/>
      <c r="L505" s="1116"/>
      <c r="M505" s="1116"/>
      <c r="N505" s="1116"/>
      <c r="O505" s="1116"/>
      <c r="P505" s="1116"/>
      <c r="Q505" s="1116"/>
      <c r="R505" s="1116"/>
      <c r="S505" s="1116"/>
      <c r="T505" s="1116"/>
      <c r="U505" s="1116"/>
      <c r="V505" s="1116"/>
      <c r="W505" s="1116"/>
      <c r="X505" s="1116"/>
      <c r="Y505" s="1116"/>
      <c r="Z505" s="1116"/>
      <c r="AA505" s="1116"/>
      <c r="AB505" s="1116"/>
      <c r="AC505" s="1116"/>
      <c r="AD505" s="1116"/>
      <c r="AE505" s="1116"/>
      <c r="AF505" s="1116"/>
      <c r="AG505" s="1116"/>
      <c r="AH505" s="1116"/>
      <c r="AI505" s="1116"/>
      <c r="AJ505" s="1116"/>
      <c r="AK505" s="1116"/>
    </row>
    <row r="506" spans="1:37" x14ac:dyDescent="0.35">
      <c r="A506" s="1116"/>
      <c r="B506" s="1116"/>
      <c r="C506" s="1116"/>
      <c r="D506" s="1116"/>
      <c r="E506" s="1116"/>
      <c r="F506" s="1116"/>
      <c r="G506" s="1116"/>
      <c r="H506" s="1116"/>
      <c r="I506" s="1116"/>
      <c r="J506" s="1116"/>
      <c r="K506" s="1116"/>
      <c r="L506" s="1116"/>
      <c r="M506" s="1116"/>
      <c r="N506" s="1116"/>
      <c r="O506" s="1116"/>
      <c r="P506" s="1116"/>
      <c r="Q506" s="1116"/>
      <c r="R506" s="1116"/>
      <c r="S506" s="1116"/>
      <c r="T506" s="1116"/>
      <c r="U506" s="1116"/>
      <c r="V506" s="1116"/>
      <c r="W506" s="1116"/>
      <c r="X506" s="1116"/>
      <c r="Y506" s="1116"/>
      <c r="Z506" s="1116"/>
      <c r="AA506" s="1116"/>
      <c r="AB506" s="1116"/>
      <c r="AC506" s="1116"/>
      <c r="AD506" s="1116"/>
      <c r="AE506" s="1116"/>
      <c r="AF506" s="1116"/>
      <c r="AG506" s="1116"/>
      <c r="AH506" s="1116"/>
      <c r="AI506" s="1116"/>
      <c r="AJ506" s="1116"/>
      <c r="AK506" s="1116"/>
    </row>
    <row r="507" spans="1:37" x14ac:dyDescent="0.35">
      <c r="A507" s="1116"/>
      <c r="B507" s="1116"/>
      <c r="C507" s="1116"/>
      <c r="D507" s="1116"/>
      <c r="E507" s="1116"/>
      <c r="F507" s="1116"/>
      <c r="G507" s="1116"/>
      <c r="H507" s="1116"/>
      <c r="I507" s="1116"/>
      <c r="J507" s="1116"/>
      <c r="K507" s="1116"/>
      <c r="L507" s="1116"/>
      <c r="M507" s="1116"/>
      <c r="N507" s="1116"/>
      <c r="O507" s="1116"/>
      <c r="P507" s="1116"/>
      <c r="Q507" s="1116"/>
      <c r="R507" s="1116"/>
      <c r="S507" s="1116"/>
      <c r="T507" s="1116"/>
      <c r="U507" s="1116"/>
      <c r="V507" s="1116"/>
      <c r="W507" s="1116"/>
      <c r="X507" s="1116"/>
      <c r="Y507" s="1116"/>
      <c r="Z507" s="1116"/>
      <c r="AA507" s="1116"/>
      <c r="AB507" s="1116"/>
      <c r="AC507" s="1116"/>
      <c r="AD507" s="1116"/>
      <c r="AE507" s="1116"/>
      <c r="AF507" s="1116"/>
      <c r="AG507" s="1116"/>
      <c r="AH507" s="1116"/>
      <c r="AI507" s="1116"/>
      <c r="AJ507" s="1116"/>
      <c r="AK507" s="1116"/>
    </row>
    <row r="508" spans="1:37" x14ac:dyDescent="0.35">
      <c r="A508" s="1116"/>
      <c r="B508" s="1116"/>
      <c r="C508" s="1116"/>
      <c r="D508" s="1116"/>
      <c r="E508" s="1116"/>
      <c r="F508" s="1116"/>
      <c r="G508" s="1116"/>
      <c r="H508" s="1116"/>
      <c r="I508" s="1116"/>
      <c r="J508" s="1116"/>
      <c r="K508" s="1116"/>
      <c r="L508" s="1116"/>
      <c r="M508" s="1116"/>
      <c r="N508" s="1116"/>
      <c r="O508" s="1116"/>
      <c r="P508" s="1116"/>
      <c r="Q508" s="1116"/>
      <c r="R508" s="1116"/>
      <c r="S508" s="1116"/>
      <c r="T508" s="1116"/>
      <c r="U508" s="1116"/>
      <c r="V508" s="1116"/>
      <c r="W508" s="1116"/>
      <c r="X508" s="1116"/>
      <c r="Y508" s="1116"/>
      <c r="Z508" s="1116"/>
      <c r="AA508" s="1116"/>
      <c r="AB508" s="1116"/>
      <c r="AC508" s="1116"/>
      <c r="AD508" s="1116"/>
      <c r="AE508" s="1116"/>
      <c r="AF508" s="1116"/>
      <c r="AG508" s="1116"/>
      <c r="AH508" s="1116"/>
      <c r="AI508" s="1116"/>
      <c r="AJ508" s="1116"/>
      <c r="AK508" s="1116"/>
    </row>
    <row r="509" spans="1:37" x14ac:dyDescent="0.35">
      <c r="A509" s="1116"/>
      <c r="B509" s="1116"/>
      <c r="C509" s="1116"/>
      <c r="D509" s="1116"/>
      <c r="E509" s="1116"/>
      <c r="F509" s="1116"/>
      <c r="G509" s="1116"/>
      <c r="H509" s="1116"/>
      <c r="I509" s="1116"/>
      <c r="J509" s="1116"/>
      <c r="K509" s="1116"/>
      <c r="L509" s="1116"/>
      <c r="M509" s="1116"/>
      <c r="N509" s="1116"/>
      <c r="O509" s="1116"/>
      <c r="P509" s="1116"/>
      <c r="Q509" s="1116"/>
      <c r="R509" s="1116"/>
      <c r="S509" s="1116"/>
      <c r="T509" s="1116"/>
      <c r="U509" s="1116"/>
      <c r="V509" s="1116"/>
      <c r="W509" s="1116"/>
      <c r="X509" s="1116"/>
      <c r="Y509" s="1116"/>
      <c r="Z509" s="1116"/>
      <c r="AA509" s="1116"/>
      <c r="AB509" s="1116"/>
      <c r="AC509" s="1116"/>
      <c r="AD509" s="1116"/>
      <c r="AE509" s="1116"/>
      <c r="AF509" s="1116"/>
      <c r="AG509" s="1116"/>
      <c r="AH509" s="1116"/>
      <c r="AI509" s="1116"/>
      <c r="AJ509" s="1116"/>
      <c r="AK509" s="1116"/>
    </row>
    <row r="510" spans="1:37" x14ac:dyDescent="0.35">
      <c r="A510" s="1116"/>
      <c r="B510" s="1116"/>
      <c r="C510" s="1116"/>
      <c r="D510" s="1116"/>
      <c r="E510" s="1116"/>
      <c r="F510" s="1116"/>
      <c r="G510" s="1116"/>
      <c r="H510" s="1116"/>
      <c r="I510" s="1116"/>
      <c r="J510" s="1116"/>
      <c r="K510" s="1116"/>
      <c r="L510" s="1116"/>
      <c r="M510" s="1116"/>
      <c r="N510" s="1116"/>
      <c r="O510" s="1116"/>
      <c r="P510" s="1116"/>
      <c r="Q510" s="1116"/>
      <c r="R510" s="1116"/>
      <c r="S510" s="1116"/>
      <c r="T510" s="1116"/>
      <c r="U510" s="1116"/>
      <c r="V510" s="1116"/>
      <c r="W510" s="1116"/>
      <c r="X510" s="1116"/>
      <c r="Y510" s="1116"/>
      <c r="Z510" s="1116"/>
      <c r="AA510" s="1116"/>
      <c r="AB510" s="1116"/>
      <c r="AC510" s="1116"/>
      <c r="AD510" s="1116"/>
      <c r="AE510" s="1116"/>
      <c r="AF510" s="1116"/>
      <c r="AG510" s="1116"/>
      <c r="AH510" s="1116"/>
      <c r="AI510" s="1116"/>
      <c r="AJ510" s="1116"/>
      <c r="AK510" s="1116"/>
    </row>
    <row r="511" spans="1:37" x14ac:dyDescent="0.35">
      <c r="A511" s="1116"/>
      <c r="B511" s="1116"/>
      <c r="C511" s="1116"/>
      <c r="D511" s="1116"/>
      <c r="E511" s="1116"/>
      <c r="F511" s="1116"/>
      <c r="G511" s="1116"/>
      <c r="H511" s="1116"/>
      <c r="I511" s="1116"/>
      <c r="J511" s="1116"/>
      <c r="K511" s="1116"/>
      <c r="L511" s="1116"/>
      <c r="M511" s="1116"/>
      <c r="N511" s="1116"/>
      <c r="O511" s="1116"/>
      <c r="P511" s="1116"/>
      <c r="Q511" s="1116"/>
      <c r="R511" s="1116"/>
      <c r="S511" s="1116"/>
      <c r="T511" s="1116"/>
      <c r="U511" s="1116"/>
      <c r="V511" s="1116"/>
      <c r="W511" s="1116"/>
      <c r="X511" s="1116"/>
      <c r="Y511" s="1116"/>
      <c r="Z511" s="1116"/>
      <c r="AA511" s="1116"/>
      <c r="AB511" s="1116"/>
      <c r="AC511" s="1116"/>
      <c r="AD511" s="1116"/>
      <c r="AE511" s="1116"/>
      <c r="AF511" s="1116"/>
      <c r="AG511" s="1116"/>
      <c r="AH511" s="1116"/>
      <c r="AI511" s="1116"/>
      <c r="AJ511" s="1116"/>
      <c r="AK511" s="1116"/>
    </row>
    <row r="512" spans="1:37" x14ac:dyDescent="0.35">
      <c r="A512" s="1116"/>
      <c r="B512" s="1116"/>
      <c r="C512" s="1116"/>
      <c r="D512" s="1116"/>
      <c r="E512" s="1116"/>
      <c r="F512" s="1116"/>
      <c r="G512" s="1116"/>
      <c r="H512" s="1116"/>
      <c r="I512" s="1116"/>
      <c r="J512" s="1116"/>
      <c r="K512" s="1116"/>
      <c r="L512" s="1116"/>
      <c r="M512" s="1116"/>
      <c r="N512" s="1116"/>
      <c r="O512" s="1116"/>
      <c r="P512" s="1116"/>
      <c r="Q512" s="1116"/>
      <c r="R512" s="1116"/>
      <c r="S512" s="1116"/>
      <c r="T512" s="1116"/>
      <c r="U512" s="1116"/>
      <c r="V512" s="1116"/>
      <c r="W512" s="1116"/>
      <c r="X512" s="1116"/>
      <c r="Y512" s="1116"/>
      <c r="Z512" s="1116"/>
      <c r="AA512" s="1116"/>
      <c r="AB512" s="1116"/>
      <c r="AC512" s="1116"/>
      <c r="AD512" s="1116"/>
      <c r="AE512" s="1116"/>
      <c r="AF512" s="1116"/>
      <c r="AG512" s="1116"/>
      <c r="AH512" s="1116"/>
      <c r="AI512" s="1116"/>
      <c r="AJ512" s="1116"/>
      <c r="AK512" s="1116"/>
    </row>
    <row r="513" spans="1:37" x14ac:dyDescent="0.35">
      <c r="A513" s="1116"/>
      <c r="B513" s="1116"/>
      <c r="C513" s="1116"/>
      <c r="D513" s="1116"/>
      <c r="E513" s="1116"/>
      <c r="F513" s="1116"/>
      <c r="G513" s="1116"/>
      <c r="H513" s="1116"/>
      <c r="I513" s="1116"/>
      <c r="J513" s="1116"/>
      <c r="K513" s="1116"/>
      <c r="L513" s="1116"/>
      <c r="M513" s="1116"/>
      <c r="N513" s="1116"/>
      <c r="O513" s="1116"/>
      <c r="P513" s="1116"/>
      <c r="Q513" s="1116"/>
      <c r="R513" s="1116"/>
      <c r="S513" s="1116"/>
      <c r="T513" s="1116"/>
      <c r="U513" s="1116"/>
      <c r="V513" s="1116"/>
      <c r="W513" s="1116"/>
      <c r="X513" s="1116"/>
      <c r="Y513" s="1116"/>
      <c r="Z513" s="1116"/>
      <c r="AA513" s="1116"/>
      <c r="AB513" s="1116"/>
      <c r="AC513" s="1116"/>
      <c r="AD513" s="1116"/>
      <c r="AE513" s="1116"/>
      <c r="AF513" s="1116"/>
      <c r="AG513" s="1116"/>
      <c r="AH513" s="1116"/>
      <c r="AI513" s="1116"/>
      <c r="AJ513" s="1116"/>
      <c r="AK513" s="1116"/>
    </row>
    <row r="514" spans="1:37" x14ac:dyDescent="0.35">
      <c r="A514" s="1116"/>
      <c r="B514" s="1116"/>
      <c r="C514" s="1116"/>
      <c r="D514" s="1116"/>
      <c r="E514" s="1116"/>
      <c r="F514" s="1116"/>
      <c r="G514" s="1116"/>
      <c r="H514" s="1116"/>
      <c r="I514" s="1116"/>
      <c r="J514" s="1116"/>
      <c r="K514" s="1116"/>
      <c r="L514" s="1116"/>
      <c r="M514" s="1116"/>
      <c r="N514" s="1116"/>
      <c r="O514" s="1116"/>
      <c r="P514" s="1116"/>
      <c r="Q514" s="1116"/>
      <c r="R514" s="1116"/>
      <c r="S514" s="1116"/>
      <c r="T514" s="1116"/>
      <c r="U514" s="1116"/>
      <c r="V514" s="1116"/>
      <c r="W514" s="1116"/>
      <c r="X514" s="1116"/>
      <c r="Y514" s="1116"/>
      <c r="Z514" s="1116"/>
      <c r="AA514" s="1116"/>
      <c r="AB514" s="1116"/>
      <c r="AC514" s="1116"/>
      <c r="AD514" s="1116"/>
      <c r="AE514" s="1116"/>
      <c r="AF514" s="1116"/>
      <c r="AG514" s="1116"/>
      <c r="AH514" s="1116"/>
      <c r="AI514" s="1116"/>
      <c r="AJ514" s="1116"/>
      <c r="AK514" s="1116"/>
    </row>
    <row r="515" spans="1:37" x14ac:dyDescent="0.35">
      <c r="A515" s="1116"/>
      <c r="B515" s="1116"/>
      <c r="C515" s="1116"/>
      <c r="D515" s="1116"/>
      <c r="E515" s="1116"/>
      <c r="F515" s="1116"/>
      <c r="G515" s="1116"/>
      <c r="H515" s="1116"/>
      <c r="I515" s="1116"/>
      <c r="J515" s="1116"/>
      <c r="K515" s="1116"/>
      <c r="L515" s="1116"/>
      <c r="M515" s="1116"/>
      <c r="N515" s="1116"/>
      <c r="O515" s="1116"/>
      <c r="P515" s="1116"/>
      <c r="Q515" s="1116"/>
      <c r="R515" s="1116"/>
      <c r="S515" s="1116"/>
      <c r="T515" s="1116"/>
      <c r="U515" s="1116"/>
      <c r="V515" s="1116"/>
      <c r="W515" s="1116"/>
      <c r="X515" s="1116"/>
      <c r="Y515" s="1116"/>
      <c r="Z515" s="1116"/>
      <c r="AA515" s="1116"/>
      <c r="AB515" s="1116"/>
      <c r="AC515" s="1116"/>
      <c r="AD515" s="1116"/>
      <c r="AE515" s="1116"/>
      <c r="AF515" s="1116"/>
      <c r="AG515" s="1116"/>
      <c r="AH515" s="1116"/>
      <c r="AI515" s="1116"/>
      <c r="AJ515" s="1116"/>
      <c r="AK515" s="1116"/>
    </row>
    <row r="516" spans="1:37" x14ac:dyDescent="0.35">
      <c r="A516" s="1116"/>
      <c r="B516" s="1116"/>
      <c r="C516" s="1116"/>
      <c r="D516" s="1116"/>
      <c r="E516" s="1116"/>
      <c r="F516" s="1116"/>
      <c r="G516" s="1116"/>
      <c r="H516" s="1116"/>
      <c r="I516" s="1116"/>
      <c r="J516" s="1116"/>
      <c r="K516" s="1116"/>
      <c r="L516" s="1116"/>
      <c r="M516" s="1116"/>
      <c r="N516" s="1116"/>
      <c r="O516" s="1116"/>
      <c r="P516" s="1116"/>
      <c r="Q516" s="1116"/>
      <c r="R516" s="1116"/>
      <c r="S516" s="1116"/>
      <c r="T516" s="1116"/>
      <c r="U516" s="1116"/>
      <c r="V516" s="1116"/>
      <c r="W516" s="1116"/>
      <c r="X516" s="1116"/>
      <c r="Y516" s="1116"/>
      <c r="Z516" s="1116"/>
      <c r="AA516" s="1116"/>
      <c r="AB516" s="1116"/>
      <c r="AC516" s="1116"/>
      <c r="AD516" s="1116"/>
      <c r="AE516" s="1116"/>
      <c r="AF516" s="1116"/>
      <c r="AG516" s="1116"/>
      <c r="AH516" s="1116"/>
      <c r="AI516" s="1116"/>
      <c r="AJ516" s="1116"/>
      <c r="AK516" s="1116"/>
    </row>
    <row r="517" spans="1:37" x14ac:dyDescent="0.35">
      <c r="A517" s="1116"/>
      <c r="B517" s="1116"/>
      <c r="C517" s="1116"/>
      <c r="D517" s="1116"/>
      <c r="E517" s="1116"/>
      <c r="F517" s="1116"/>
      <c r="G517" s="1116"/>
      <c r="H517" s="1116"/>
      <c r="I517" s="1116"/>
      <c r="J517" s="1116"/>
      <c r="K517" s="1116"/>
      <c r="L517" s="1116"/>
      <c r="M517" s="1116"/>
      <c r="N517" s="1116"/>
      <c r="O517" s="1116"/>
      <c r="P517" s="1116"/>
      <c r="Q517" s="1116"/>
      <c r="R517" s="1116"/>
      <c r="S517" s="1116"/>
      <c r="T517" s="1116"/>
      <c r="U517" s="1116"/>
      <c r="V517" s="1116"/>
      <c r="W517" s="1116"/>
      <c r="X517" s="1116"/>
      <c r="Y517" s="1116"/>
      <c r="Z517" s="1116"/>
      <c r="AA517" s="1116"/>
      <c r="AB517" s="1116"/>
      <c r="AC517" s="1116"/>
      <c r="AD517" s="1116"/>
      <c r="AE517" s="1116"/>
      <c r="AF517" s="1116"/>
      <c r="AG517" s="1116"/>
      <c r="AH517" s="1116"/>
      <c r="AI517" s="1116"/>
      <c r="AJ517" s="1116"/>
      <c r="AK517" s="1116"/>
    </row>
    <row r="518" spans="1:37" x14ac:dyDescent="0.35">
      <c r="A518" s="1116"/>
      <c r="B518" s="1116"/>
      <c r="C518" s="1116"/>
      <c r="D518" s="1116"/>
      <c r="E518" s="1116"/>
      <c r="F518" s="1116"/>
      <c r="G518" s="1116"/>
      <c r="H518" s="1116"/>
      <c r="I518" s="1116"/>
      <c r="J518" s="1116"/>
      <c r="K518" s="1116"/>
      <c r="L518" s="1116"/>
      <c r="M518" s="1116"/>
      <c r="N518" s="1116"/>
      <c r="O518" s="1116"/>
      <c r="P518" s="1116"/>
      <c r="Q518" s="1116"/>
      <c r="R518" s="1116"/>
      <c r="S518" s="1116"/>
      <c r="T518" s="1116"/>
      <c r="U518" s="1116"/>
      <c r="V518" s="1116"/>
      <c r="W518" s="1116"/>
      <c r="X518" s="1116"/>
      <c r="Y518" s="1116"/>
      <c r="Z518" s="1116"/>
      <c r="AA518" s="1116"/>
      <c r="AB518" s="1116"/>
      <c r="AC518" s="1116"/>
      <c r="AD518" s="1116"/>
      <c r="AE518" s="1116"/>
      <c r="AF518" s="1116"/>
      <c r="AG518" s="1116"/>
      <c r="AH518" s="1116"/>
      <c r="AI518" s="1116"/>
      <c r="AJ518" s="1116"/>
      <c r="AK518" s="1116"/>
    </row>
    <row r="519" spans="1:37" x14ac:dyDescent="0.35">
      <c r="A519" s="1116"/>
      <c r="B519" s="1116"/>
      <c r="C519" s="1116"/>
      <c r="D519" s="1116"/>
      <c r="E519" s="1116"/>
      <c r="F519" s="1116"/>
      <c r="G519" s="1116"/>
      <c r="H519" s="1116"/>
      <c r="I519" s="1116"/>
      <c r="J519" s="1116"/>
      <c r="K519" s="1116"/>
      <c r="L519" s="1116"/>
      <c r="M519" s="1116"/>
      <c r="N519" s="1116"/>
      <c r="O519" s="1116"/>
      <c r="P519" s="1116"/>
      <c r="Q519" s="1116"/>
      <c r="R519" s="1116"/>
      <c r="S519" s="1116"/>
      <c r="T519" s="1116"/>
      <c r="U519" s="1116"/>
      <c r="V519" s="1116"/>
      <c r="W519" s="1116"/>
      <c r="X519" s="1116"/>
      <c r="Y519" s="1116"/>
      <c r="Z519" s="1116"/>
      <c r="AA519" s="1116"/>
      <c r="AB519" s="1116"/>
      <c r="AC519" s="1116"/>
      <c r="AD519" s="1116"/>
      <c r="AE519" s="1116"/>
      <c r="AF519" s="1116"/>
      <c r="AG519" s="1116"/>
      <c r="AH519" s="1116"/>
      <c r="AI519" s="1116"/>
      <c r="AJ519" s="1116"/>
      <c r="AK519" s="1116"/>
    </row>
    <row r="520" spans="1:37" x14ac:dyDescent="0.35">
      <c r="A520" s="1116"/>
      <c r="B520" s="1116"/>
      <c r="C520" s="1116"/>
      <c r="D520" s="1116"/>
      <c r="E520" s="1116"/>
      <c r="F520" s="1116"/>
      <c r="G520" s="1116"/>
      <c r="H520" s="1116"/>
      <c r="I520" s="1116"/>
      <c r="J520" s="1116"/>
      <c r="K520" s="1116"/>
      <c r="L520" s="1116"/>
      <c r="M520" s="1116"/>
      <c r="N520" s="1116"/>
      <c r="O520" s="1116"/>
      <c r="P520" s="1116"/>
      <c r="Q520" s="1116"/>
      <c r="R520" s="1116"/>
      <c r="S520" s="1116"/>
      <c r="T520" s="1116"/>
      <c r="U520" s="1116"/>
      <c r="V520" s="1116"/>
      <c r="W520" s="1116"/>
      <c r="X520" s="1116"/>
      <c r="Y520" s="1116"/>
      <c r="Z520" s="1116"/>
      <c r="AA520" s="1116"/>
      <c r="AB520" s="1116"/>
      <c r="AC520" s="1116"/>
      <c r="AD520" s="1116"/>
      <c r="AE520" s="1116"/>
      <c r="AF520" s="1116"/>
      <c r="AG520" s="1116"/>
      <c r="AH520" s="1116"/>
      <c r="AI520" s="1116"/>
      <c r="AJ520" s="1116"/>
      <c r="AK520" s="1116"/>
    </row>
    <row r="521" spans="1:37" x14ac:dyDescent="0.35">
      <c r="A521" s="1116"/>
      <c r="B521" s="1116"/>
      <c r="C521" s="1116"/>
      <c r="D521" s="1116"/>
      <c r="E521" s="1116"/>
      <c r="F521" s="1116"/>
      <c r="G521" s="1116"/>
      <c r="H521" s="1116"/>
      <c r="I521" s="1116"/>
      <c r="J521" s="1116"/>
      <c r="K521" s="1116"/>
      <c r="L521" s="1116"/>
      <c r="M521" s="1116"/>
      <c r="N521" s="1116"/>
      <c r="O521" s="1116"/>
      <c r="P521" s="1116"/>
      <c r="Q521" s="1116"/>
      <c r="R521" s="1116"/>
      <c r="S521" s="1116"/>
      <c r="T521" s="1116"/>
      <c r="U521" s="1116"/>
      <c r="V521" s="1116"/>
      <c r="W521" s="1116"/>
      <c r="X521" s="1116"/>
      <c r="Y521" s="1116"/>
      <c r="Z521" s="1116"/>
      <c r="AA521" s="1116"/>
      <c r="AB521" s="1116"/>
      <c r="AC521" s="1116"/>
      <c r="AD521" s="1116"/>
      <c r="AE521" s="1116"/>
      <c r="AF521" s="1116"/>
      <c r="AG521" s="1116"/>
      <c r="AH521" s="1116"/>
      <c r="AI521" s="1116"/>
      <c r="AJ521" s="1116"/>
      <c r="AK521" s="1116"/>
    </row>
    <row r="522" spans="1:37" x14ac:dyDescent="0.35">
      <c r="A522" s="1116"/>
      <c r="B522" s="1116"/>
      <c r="C522" s="1116"/>
      <c r="D522" s="1116"/>
      <c r="E522" s="1116"/>
      <c r="F522" s="1116"/>
      <c r="G522" s="1116"/>
      <c r="H522" s="1116"/>
      <c r="I522" s="1116"/>
      <c r="J522" s="1116"/>
      <c r="K522" s="1116"/>
      <c r="L522" s="1116"/>
      <c r="M522" s="1116"/>
      <c r="N522" s="1116"/>
      <c r="O522" s="1116"/>
      <c r="P522" s="1116"/>
      <c r="Q522" s="1116"/>
      <c r="R522" s="1116"/>
      <c r="S522" s="1116"/>
      <c r="T522" s="1116"/>
      <c r="U522" s="1116"/>
      <c r="V522" s="1116"/>
      <c r="W522" s="1116"/>
      <c r="X522" s="1116"/>
      <c r="Y522" s="1116"/>
      <c r="Z522" s="1116"/>
      <c r="AA522" s="1116"/>
      <c r="AB522" s="1116"/>
      <c r="AC522" s="1116"/>
      <c r="AD522" s="1116"/>
      <c r="AE522" s="1116"/>
      <c r="AF522" s="1116"/>
      <c r="AG522" s="1116"/>
      <c r="AH522" s="1116"/>
      <c r="AI522" s="1116"/>
      <c r="AJ522" s="1116"/>
      <c r="AK522" s="1116"/>
    </row>
    <row r="523" spans="1:37" x14ac:dyDescent="0.35">
      <c r="A523" s="1116"/>
      <c r="B523" s="1116"/>
      <c r="C523" s="1116"/>
      <c r="D523" s="1116"/>
      <c r="E523" s="1116"/>
      <c r="F523" s="1116"/>
      <c r="G523" s="1116"/>
      <c r="H523" s="1116"/>
      <c r="I523" s="1116"/>
      <c r="J523" s="1116"/>
      <c r="K523" s="1116"/>
      <c r="L523" s="1116"/>
      <c r="M523" s="1116"/>
      <c r="N523" s="1116"/>
      <c r="O523" s="1116"/>
      <c r="P523" s="1116"/>
      <c r="Q523" s="1116"/>
      <c r="R523" s="1116"/>
      <c r="S523" s="1116"/>
      <c r="T523" s="1116"/>
      <c r="U523" s="1116"/>
      <c r="V523" s="1116"/>
      <c r="W523" s="1116"/>
      <c r="X523" s="1116"/>
      <c r="Y523" s="1116"/>
      <c r="Z523" s="1116"/>
      <c r="AA523" s="1116"/>
      <c r="AB523" s="1116"/>
      <c r="AC523" s="1116"/>
      <c r="AD523" s="1116"/>
      <c r="AE523" s="1116"/>
      <c r="AF523" s="1116"/>
      <c r="AG523" s="1116"/>
      <c r="AH523" s="1116"/>
      <c r="AI523" s="1116"/>
      <c r="AJ523" s="1116"/>
      <c r="AK523" s="1116"/>
    </row>
    <row r="524" spans="1:37" x14ac:dyDescent="0.35">
      <c r="A524" s="1116"/>
      <c r="B524" s="1116"/>
      <c r="C524" s="1116"/>
      <c r="D524" s="1116"/>
      <c r="E524" s="1116"/>
      <c r="F524" s="1116"/>
      <c r="G524" s="1116"/>
      <c r="H524" s="1116"/>
      <c r="I524" s="1116"/>
      <c r="J524" s="1116"/>
      <c r="K524" s="1116"/>
      <c r="L524" s="1116"/>
      <c r="M524" s="1116"/>
      <c r="N524" s="1116"/>
      <c r="O524" s="1116"/>
      <c r="P524" s="1116"/>
      <c r="Q524" s="1116"/>
      <c r="R524" s="1116"/>
      <c r="S524" s="1116"/>
      <c r="T524" s="1116"/>
      <c r="U524" s="1116"/>
      <c r="V524" s="1116"/>
      <c r="W524" s="1116"/>
      <c r="X524" s="1116"/>
      <c r="Y524" s="1116"/>
      <c r="Z524" s="1116"/>
      <c r="AA524" s="1116"/>
      <c r="AB524" s="1116"/>
      <c r="AC524" s="1116"/>
      <c r="AD524" s="1116"/>
      <c r="AE524" s="1116"/>
      <c r="AF524" s="1116"/>
      <c r="AG524" s="1116"/>
      <c r="AH524" s="1116"/>
      <c r="AI524" s="1116"/>
      <c r="AJ524" s="1116"/>
      <c r="AK524" s="1116"/>
    </row>
    <row r="525" spans="1:37" x14ac:dyDescent="0.35">
      <c r="A525" s="1116"/>
      <c r="B525" s="1116"/>
      <c r="C525" s="1116"/>
      <c r="D525" s="1116"/>
      <c r="E525" s="1116"/>
      <c r="F525" s="1116"/>
      <c r="G525" s="1116"/>
      <c r="H525" s="1116"/>
      <c r="I525" s="1116"/>
      <c r="J525" s="1116"/>
      <c r="K525" s="1116"/>
      <c r="L525" s="1116"/>
      <c r="M525" s="1116"/>
      <c r="N525" s="1116"/>
      <c r="O525" s="1116"/>
      <c r="P525" s="1116"/>
      <c r="Q525" s="1116"/>
      <c r="R525" s="1116"/>
      <c r="S525" s="1116"/>
      <c r="T525" s="1116"/>
      <c r="U525" s="1116"/>
      <c r="V525" s="1116"/>
      <c r="W525" s="1116"/>
      <c r="X525" s="1116"/>
      <c r="Y525" s="1116"/>
      <c r="Z525" s="1116"/>
      <c r="AA525" s="1116"/>
      <c r="AB525" s="1116"/>
      <c r="AC525" s="1116"/>
      <c r="AD525" s="1116"/>
      <c r="AE525" s="1116"/>
      <c r="AF525" s="1116"/>
      <c r="AG525" s="1116"/>
      <c r="AH525" s="1116"/>
      <c r="AI525" s="1116"/>
      <c r="AJ525" s="1116"/>
      <c r="AK525" s="1116"/>
    </row>
    <row r="526" spans="1:37" x14ac:dyDescent="0.35">
      <c r="A526" s="1116"/>
      <c r="B526" s="1116"/>
      <c r="C526" s="1116"/>
      <c r="D526" s="1116"/>
      <c r="E526" s="1116"/>
      <c r="F526" s="1116"/>
      <c r="G526" s="1116"/>
      <c r="H526" s="1116"/>
      <c r="I526" s="1116"/>
      <c r="J526" s="1116"/>
      <c r="K526" s="1116"/>
      <c r="L526" s="1116"/>
      <c r="M526" s="1116"/>
      <c r="N526" s="1116"/>
      <c r="O526" s="1116"/>
      <c r="P526" s="1116"/>
      <c r="Q526" s="1116"/>
      <c r="R526" s="1116"/>
      <c r="S526" s="1116"/>
      <c r="T526" s="1116"/>
      <c r="U526" s="1116"/>
      <c r="V526" s="1116"/>
      <c r="W526" s="1116"/>
      <c r="X526" s="1116"/>
      <c r="Y526" s="1116"/>
      <c r="Z526" s="1116"/>
      <c r="AA526" s="1116"/>
      <c r="AB526" s="1116"/>
      <c r="AC526" s="1116"/>
      <c r="AD526" s="1116"/>
      <c r="AE526" s="1116"/>
      <c r="AF526" s="1116"/>
      <c r="AG526" s="1116"/>
      <c r="AH526" s="1116"/>
      <c r="AI526" s="1116"/>
      <c r="AJ526" s="1116"/>
      <c r="AK526" s="1116"/>
    </row>
    <row r="527" spans="1:37" x14ac:dyDescent="0.35">
      <c r="A527" s="1116"/>
      <c r="B527" s="1116"/>
      <c r="C527" s="1116"/>
      <c r="D527" s="1116"/>
      <c r="E527" s="1116"/>
      <c r="F527" s="1116"/>
      <c r="G527" s="1116"/>
      <c r="H527" s="1116"/>
      <c r="I527" s="1116"/>
      <c r="J527" s="1116"/>
      <c r="K527" s="1116"/>
      <c r="L527" s="1116"/>
      <c r="M527" s="1116"/>
      <c r="N527" s="1116"/>
      <c r="O527" s="1116"/>
      <c r="P527" s="1116"/>
      <c r="Q527" s="1116"/>
      <c r="R527" s="1116"/>
      <c r="S527" s="1116"/>
      <c r="T527" s="1116"/>
      <c r="U527" s="1116"/>
      <c r="V527" s="1116"/>
      <c r="W527" s="1116"/>
      <c r="X527" s="1116"/>
      <c r="Y527" s="1116"/>
      <c r="Z527" s="1116"/>
      <c r="AA527" s="1116"/>
      <c r="AB527" s="1116"/>
      <c r="AC527" s="1116"/>
      <c r="AD527" s="1116"/>
      <c r="AE527" s="1116"/>
      <c r="AF527" s="1116"/>
      <c r="AG527" s="1116"/>
      <c r="AH527" s="1116"/>
      <c r="AI527" s="1116"/>
      <c r="AJ527" s="1116"/>
      <c r="AK527" s="1116"/>
    </row>
    <row r="528" spans="1:37" x14ac:dyDescent="0.35">
      <c r="A528" s="1116"/>
      <c r="B528" s="1116"/>
      <c r="C528" s="1116"/>
      <c r="D528" s="1116"/>
      <c r="E528" s="1116"/>
      <c r="F528" s="1116"/>
      <c r="G528" s="1116"/>
      <c r="H528" s="1116"/>
      <c r="I528" s="1116"/>
      <c r="J528" s="1116"/>
      <c r="K528" s="1116"/>
      <c r="L528" s="1116"/>
      <c r="M528" s="1116"/>
      <c r="N528" s="1116"/>
      <c r="O528" s="1116"/>
      <c r="P528" s="1116"/>
      <c r="Q528" s="1116"/>
      <c r="R528" s="1116"/>
      <c r="S528" s="1116"/>
      <c r="T528" s="1116"/>
      <c r="U528" s="1116"/>
      <c r="V528" s="1116"/>
      <c r="W528" s="1116"/>
      <c r="X528" s="1116"/>
      <c r="Y528" s="1116"/>
      <c r="Z528" s="1116"/>
      <c r="AA528" s="1116"/>
      <c r="AB528" s="1116"/>
      <c r="AC528" s="1116"/>
      <c r="AD528" s="1116"/>
      <c r="AE528" s="1116"/>
      <c r="AF528" s="1116"/>
      <c r="AG528" s="1116"/>
      <c r="AH528" s="1116"/>
      <c r="AI528" s="1116"/>
      <c r="AJ528" s="1116"/>
      <c r="AK528" s="1116"/>
    </row>
    <row r="529" spans="1:37" x14ac:dyDescent="0.35">
      <c r="A529" s="1116"/>
      <c r="B529" s="1116"/>
      <c r="C529" s="1116"/>
      <c r="D529" s="1116"/>
      <c r="E529" s="1116"/>
      <c r="F529" s="1116"/>
      <c r="G529" s="1116"/>
      <c r="H529" s="1116"/>
      <c r="I529" s="1116"/>
      <c r="J529" s="1116"/>
      <c r="K529" s="1116"/>
      <c r="L529" s="1116"/>
      <c r="M529" s="1116"/>
      <c r="N529" s="1116"/>
      <c r="O529" s="1116"/>
      <c r="P529" s="1116"/>
      <c r="Q529" s="1116"/>
      <c r="R529" s="1116"/>
      <c r="S529" s="1116"/>
      <c r="T529" s="1116"/>
      <c r="U529" s="1116"/>
      <c r="V529" s="1116"/>
      <c r="W529" s="1116"/>
      <c r="X529" s="1116"/>
      <c r="Y529" s="1116"/>
      <c r="Z529" s="1116"/>
      <c r="AA529" s="1116"/>
      <c r="AB529" s="1116"/>
      <c r="AC529" s="1116"/>
      <c r="AD529" s="1116"/>
      <c r="AE529" s="1116"/>
      <c r="AF529" s="1116"/>
      <c r="AG529" s="1116"/>
      <c r="AH529" s="1116"/>
      <c r="AI529" s="1116"/>
      <c r="AJ529" s="1116"/>
      <c r="AK529" s="1116"/>
    </row>
    <row r="530" spans="1:37" x14ac:dyDescent="0.35">
      <c r="A530" s="1116"/>
      <c r="B530" s="1116"/>
      <c r="C530" s="1116"/>
      <c r="D530" s="1116"/>
      <c r="E530" s="1116"/>
      <c r="F530" s="1116"/>
      <c r="G530" s="1116"/>
      <c r="H530" s="1116"/>
      <c r="I530" s="1116"/>
      <c r="J530" s="1116"/>
      <c r="K530" s="1116"/>
      <c r="L530" s="1116"/>
      <c r="M530" s="1116"/>
      <c r="N530" s="1116"/>
      <c r="O530" s="1116"/>
      <c r="P530" s="1116"/>
      <c r="Q530" s="1116"/>
      <c r="R530" s="1116"/>
      <c r="S530" s="1116"/>
      <c r="T530" s="1116"/>
      <c r="U530" s="1116"/>
      <c r="V530" s="1116"/>
      <c r="W530" s="1116"/>
      <c r="X530" s="1116"/>
      <c r="Y530" s="1116"/>
      <c r="Z530" s="1116"/>
      <c r="AA530" s="1116"/>
      <c r="AB530" s="1116"/>
      <c r="AC530" s="1116"/>
      <c r="AD530" s="1116"/>
      <c r="AE530" s="1116"/>
      <c r="AF530" s="1116"/>
      <c r="AG530" s="1116"/>
      <c r="AH530" s="1116"/>
      <c r="AI530" s="1116"/>
      <c r="AJ530" s="1116"/>
      <c r="AK530" s="1116"/>
    </row>
    <row r="531" spans="1:37" x14ac:dyDescent="0.35">
      <c r="A531" s="1116"/>
      <c r="B531" s="1116"/>
      <c r="C531" s="1116"/>
      <c r="D531" s="1116"/>
      <c r="E531" s="1116"/>
      <c r="F531" s="1116"/>
      <c r="G531" s="1116"/>
      <c r="H531" s="1116"/>
      <c r="I531" s="1116"/>
      <c r="J531" s="1116"/>
      <c r="K531" s="1116"/>
      <c r="L531" s="1116"/>
      <c r="M531" s="1116"/>
      <c r="N531" s="1116"/>
      <c r="O531" s="1116"/>
      <c r="P531" s="1116"/>
      <c r="Q531" s="1116"/>
      <c r="R531" s="1116"/>
      <c r="S531" s="1116"/>
      <c r="T531" s="1116"/>
      <c r="U531" s="1116"/>
      <c r="V531" s="1116"/>
      <c r="W531" s="1116"/>
      <c r="X531" s="1116"/>
      <c r="Y531" s="1116"/>
      <c r="Z531" s="1116"/>
      <c r="AA531" s="1116"/>
      <c r="AB531" s="1116"/>
      <c r="AC531" s="1116"/>
      <c r="AD531" s="1116"/>
      <c r="AE531" s="1116"/>
      <c r="AF531" s="1116"/>
      <c r="AG531" s="1116"/>
      <c r="AH531" s="1116"/>
      <c r="AI531" s="1116"/>
      <c r="AJ531" s="1116"/>
      <c r="AK531" s="1116"/>
    </row>
    <row r="532" spans="1:37" x14ac:dyDescent="0.35">
      <c r="A532" s="1116"/>
      <c r="B532" s="1116"/>
      <c r="C532" s="1116"/>
      <c r="D532" s="1116"/>
      <c r="E532" s="1116"/>
      <c r="F532" s="1116"/>
      <c r="G532" s="1116"/>
      <c r="H532" s="1116"/>
      <c r="I532" s="1116"/>
      <c r="J532" s="1116"/>
      <c r="K532" s="1116"/>
      <c r="L532" s="1116"/>
      <c r="M532" s="1116"/>
      <c r="N532" s="1116"/>
      <c r="O532" s="1116"/>
      <c r="P532" s="1116"/>
      <c r="Q532" s="1116"/>
      <c r="R532" s="1116"/>
      <c r="S532" s="1116"/>
      <c r="T532" s="1116"/>
      <c r="U532" s="1116"/>
      <c r="V532" s="1116"/>
      <c r="W532" s="1116"/>
      <c r="X532" s="1116"/>
      <c r="Y532" s="1116"/>
      <c r="Z532" s="1116"/>
      <c r="AA532" s="1116"/>
      <c r="AB532" s="1116"/>
      <c r="AC532" s="1116"/>
      <c r="AD532" s="1116"/>
      <c r="AE532" s="1116"/>
      <c r="AF532" s="1116"/>
      <c r="AG532" s="1116"/>
      <c r="AH532" s="1116"/>
      <c r="AI532" s="1116"/>
      <c r="AJ532" s="1116"/>
      <c r="AK532" s="1116"/>
    </row>
    <row r="533" spans="1:37" x14ac:dyDescent="0.35">
      <c r="A533" s="1116"/>
      <c r="B533" s="1116"/>
      <c r="C533" s="1116"/>
      <c r="D533" s="1116"/>
      <c r="E533" s="1116"/>
      <c r="F533" s="1116"/>
      <c r="G533" s="1116"/>
      <c r="H533" s="1116"/>
      <c r="I533" s="1116"/>
      <c r="J533" s="1116"/>
      <c r="K533" s="1116"/>
      <c r="L533" s="1116"/>
      <c r="M533" s="1116"/>
      <c r="N533" s="1116"/>
      <c r="O533" s="1116"/>
      <c r="P533" s="1116"/>
      <c r="Q533" s="1116"/>
      <c r="R533" s="1116"/>
      <c r="S533" s="1116"/>
      <c r="T533" s="1116"/>
      <c r="U533" s="1116"/>
      <c r="V533" s="1116"/>
      <c r="W533" s="1116"/>
      <c r="X533" s="1116"/>
      <c r="Y533" s="1116"/>
      <c r="Z533" s="1116"/>
      <c r="AA533" s="1116"/>
      <c r="AB533" s="1116"/>
      <c r="AC533" s="1116"/>
      <c r="AD533" s="1116"/>
      <c r="AE533" s="1116"/>
      <c r="AF533" s="1116"/>
      <c r="AG533" s="1116"/>
      <c r="AH533" s="1116"/>
      <c r="AI533" s="1116"/>
      <c r="AJ533" s="1116"/>
      <c r="AK533" s="1116"/>
    </row>
    <row r="534" spans="1:37" x14ac:dyDescent="0.35">
      <c r="A534" s="1116"/>
      <c r="B534" s="1116"/>
      <c r="C534" s="1116"/>
      <c r="D534" s="1116"/>
      <c r="E534" s="1116"/>
      <c r="F534" s="1116"/>
      <c r="G534" s="1116"/>
      <c r="H534" s="1116"/>
      <c r="I534" s="1116"/>
      <c r="J534" s="1116"/>
      <c r="K534" s="1116"/>
      <c r="L534" s="1116"/>
      <c r="M534" s="1116"/>
      <c r="N534" s="1116"/>
      <c r="O534" s="1116"/>
      <c r="P534" s="1116"/>
      <c r="Q534" s="1116"/>
      <c r="R534" s="1116"/>
      <c r="S534" s="1116"/>
      <c r="T534" s="1116"/>
      <c r="U534" s="1116"/>
      <c r="V534" s="1116"/>
      <c r="W534" s="1116"/>
      <c r="X534" s="1116"/>
      <c r="Y534" s="1116"/>
      <c r="Z534" s="1116"/>
      <c r="AA534" s="1116"/>
      <c r="AB534" s="1116"/>
      <c r="AC534" s="1116"/>
      <c r="AD534" s="1116"/>
      <c r="AE534" s="1116"/>
      <c r="AF534" s="1116"/>
      <c r="AG534" s="1116"/>
      <c r="AH534" s="1116"/>
      <c r="AI534" s="1116"/>
      <c r="AJ534" s="1116"/>
      <c r="AK534" s="1116"/>
    </row>
    <row r="535" spans="1:37" x14ac:dyDescent="0.35">
      <c r="A535" s="1116"/>
      <c r="B535" s="1116"/>
      <c r="C535" s="1116"/>
      <c r="D535" s="1116"/>
      <c r="E535" s="1116"/>
      <c r="F535" s="1116"/>
      <c r="G535" s="1116"/>
      <c r="H535" s="1116"/>
      <c r="I535" s="1116"/>
      <c r="J535" s="1116"/>
      <c r="K535" s="1116"/>
      <c r="L535" s="1116"/>
      <c r="M535" s="1116"/>
      <c r="N535" s="1116"/>
      <c r="O535" s="1116"/>
      <c r="P535" s="1116"/>
      <c r="Q535" s="1116"/>
      <c r="R535" s="1116"/>
      <c r="S535" s="1116"/>
      <c r="T535" s="1116"/>
      <c r="U535" s="1116"/>
      <c r="V535" s="1116"/>
      <c r="W535" s="1116"/>
      <c r="X535" s="1116"/>
      <c r="Y535" s="1116"/>
      <c r="Z535" s="1116"/>
      <c r="AA535" s="1116"/>
      <c r="AB535" s="1116"/>
      <c r="AC535" s="1116"/>
      <c r="AD535" s="1116"/>
      <c r="AE535" s="1116"/>
      <c r="AF535" s="1116"/>
      <c r="AG535" s="1116"/>
      <c r="AH535" s="1116"/>
      <c r="AI535" s="1116"/>
      <c r="AJ535" s="1116"/>
      <c r="AK535" s="1116"/>
    </row>
    <row r="536" spans="1:37" x14ac:dyDescent="0.35">
      <c r="A536" s="1116"/>
      <c r="B536" s="1116"/>
      <c r="C536" s="1116"/>
      <c r="D536" s="1116"/>
      <c r="E536" s="1116"/>
      <c r="F536" s="1116"/>
      <c r="G536" s="1116"/>
      <c r="H536" s="1116"/>
      <c r="I536" s="1116"/>
      <c r="J536" s="1116"/>
      <c r="K536" s="1116"/>
      <c r="L536" s="1116"/>
      <c r="M536" s="1116"/>
      <c r="N536" s="1116"/>
      <c r="O536" s="1116"/>
      <c r="P536" s="1116"/>
      <c r="Q536" s="1116"/>
      <c r="R536" s="1116"/>
      <c r="S536" s="1116"/>
      <c r="T536" s="1116"/>
      <c r="U536" s="1116"/>
      <c r="V536" s="1116"/>
      <c r="W536" s="1116"/>
      <c r="X536" s="1116"/>
      <c r="Y536" s="1116"/>
      <c r="Z536" s="1116"/>
      <c r="AA536" s="1116"/>
      <c r="AB536" s="1116"/>
      <c r="AC536" s="1116"/>
      <c r="AD536" s="1116"/>
      <c r="AE536" s="1116"/>
      <c r="AF536" s="1116"/>
      <c r="AG536" s="1116"/>
      <c r="AH536" s="1116"/>
      <c r="AI536" s="1116"/>
      <c r="AJ536" s="1116"/>
      <c r="AK536" s="1116"/>
    </row>
    <row r="537" spans="1:37" x14ac:dyDescent="0.35">
      <c r="A537" s="1116"/>
      <c r="B537" s="1116"/>
      <c r="C537" s="1116"/>
      <c r="D537" s="1116"/>
      <c r="E537" s="1116"/>
      <c r="F537" s="1116"/>
      <c r="G537" s="1116"/>
      <c r="H537" s="1116"/>
      <c r="I537" s="1116"/>
      <c r="J537" s="1116"/>
      <c r="K537" s="1116"/>
      <c r="L537" s="1116"/>
      <c r="M537" s="1116"/>
      <c r="N537" s="1116"/>
      <c r="O537" s="1116"/>
      <c r="P537" s="1116"/>
      <c r="Q537" s="1116"/>
      <c r="R537" s="1116"/>
      <c r="S537" s="1116"/>
      <c r="T537" s="1116"/>
      <c r="U537" s="1116"/>
      <c r="V537" s="1116"/>
      <c r="W537" s="1116"/>
      <c r="X537" s="1116"/>
      <c r="Y537" s="1116"/>
      <c r="Z537" s="1116"/>
      <c r="AA537" s="1116"/>
      <c r="AB537" s="1116"/>
      <c r="AC537" s="1116"/>
      <c r="AD537" s="1116"/>
      <c r="AE537" s="1116"/>
      <c r="AF537" s="1116"/>
      <c r="AG537" s="1116"/>
      <c r="AH537" s="1116"/>
      <c r="AI537" s="1116"/>
      <c r="AJ537" s="1116"/>
      <c r="AK537" s="1116"/>
    </row>
    <row r="538" spans="1:37" x14ac:dyDescent="0.35">
      <c r="A538" s="1116"/>
      <c r="B538" s="1116"/>
      <c r="C538" s="1116"/>
      <c r="D538" s="1116"/>
      <c r="E538" s="1116"/>
      <c r="F538" s="1116"/>
      <c r="G538" s="1116"/>
      <c r="H538" s="1116"/>
      <c r="I538" s="1116"/>
      <c r="J538" s="1116"/>
      <c r="K538" s="1116"/>
      <c r="L538" s="1116"/>
      <c r="M538" s="1116"/>
      <c r="N538" s="1116"/>
      <c r="O538" s="1116"/>
      <c r="P538" s="1116"/>
      <c r="Q538" s="1116"/>
      <c r="R538" s="1116"/>
      <c r="S538" s="1116"/>
      <c r="T538" s="1116"/>
      <c r="U538" s="1116"/>
      <c r="V538" s="1116"/>
      <c r="W538" s="1116"/>
      <c r="X538" s="1116"/>
      <c r="Y538" s="1116"/>
      <c r="Z538" s="1116"/>
      <c r="AA538" s="1116"/>
      <c r="AB538" s="1116"/>
      <c r="AC538" s="1116"/>
      <c r="AD538" s="1116"/>
      <c r="AE538" s="1116"/>
      <c r="AF538" s="1116"/>
      <c r="AG538" s="1116"/>
      <c r="AH538" s="1116"/>
      <c r="AI538" s="1116"/>
      <c r="AJ538" s="1116"/>
      <c r="AK538" s="1116"/>
    </row>
    <row r="539" spans="1:37" x14ac:dyDescent="0.35">
      <c r="A539" s="1116"/>
      <c r="B539" s="1116"/>
      <c r="C539" s="1116"/>
      <c r="D539" s="1116"/>
      <c r="E539" s="1116"/>
      <c r="F539" s="1116"/>
      <c r="G539" s="1116"/>
      <c r="H539" s="1116"/>
      <c r="I539" s="1116"/>
      <c r="J539" s="1116"/>
      <c r="K539" s="1116"/>
      <c r="L539" s="1116"/>
      <c r="M539" s="1116"/>
      <c r="N539" s="1116"/>
      <c r="O539" s="1116"/>
      <c r="P539" s="1116"/>
      <c r="Q539" s="1116"/>
      <c r="R539" s="1116"/>
      <c r="S539" s="1116"/>
      <c r="T539" s="1116"/>
      <c r="U539" s="1116"/>
      <c r="V539" s="1116"/>
      <c r="W539" s="1116"/>
      <c r="X539" s="1116"/>
      <c r="Y539" s="1116"/>
      <c r="Z539" s="1116"/>
      <c r="AA539" s="1116"/>
      <c r="AB539" s="1116"/>
      <c r="AC539" s="1116"/>
      <c r="AD539" s="1116"/>
      <c r="AE539" s="1116"/>
      <c r="AF539" s="1116"/>
      <c r="AG539" s="1116"/>
      <c r="AH539" s="1116"/>
      <c r="AI539" s="1116"/>
      <c r="AJ539" s="1116"/>
      <c r="AK539" s="1116"/>
    </row>
    <row r="540" spans="1:37" x14ac:dyDescent="0.35">
      <c r="A540" s="1116"/>
      <c r="B540" s="1116"/>
      <c r="C540" s="1116"/>
      <c r="D540" s="1116"/>
      <c r="E540" s="1116"/>
      <c r="F540" s="1116"/>
      <c r="G540" s="1116"/>
      <c r="H540" s="1116"/>
      <c r="I540" s="1116"/>
      <c r="J540" s="1116"/>
      <c r="K540" s="1116"/>
      <c r="L540" s="1116"/>
      <c r="M540" s="1116"/>
      <c r="N540" s="1116"/>
      <c r="O540" s="1116"/>
      <c r="P540" s="1116"/>
      <c r="Q540" s="1116"/>
      <c r="R540" s="1116"/>
      <c r="S540" s="1116"/>
      <c r="T540" s="1116"/>
      <c r="U540" s="1116"/>
      <c r="V540" s="1116"/>
      <c r="W540" s="1116"/>
      <c r="X540" s="1116"/>
      <c r="Y540" s="1116"/>
      <c r="Z540" s="1116"/>
      <c r="AA540" s="1116"/>
      <c r="AB540" s="1116"/>
      <c r="AC540" s="1116"/>
      <c r="AD540" s="1116"/>
      <c r="AE540" s="1116"/>
      <c r="AF540" s="1116"/>
      <c r="AG540" s="1116"/>
      <c r="AH540" s="1116"/>
      <c r="AI540" s="1116"/>
      <c r="AJ540" s="1116"/>
      <c r="AK540" s="1116"/>
    </row>
    <row r="541" spans="1:37" x14ac:dyDescent="0.35">
      <c r="A541" s="1116"/>
      <c r="B541" s="1116"/>
      <c r="C541" s="1116"/>
      <c r="D541" s="1116"/>
      <c r="E541" s="1116"/>
      <c r="F541" s="1116"/>
      <c r="G541" s="1116"/>
      <c r="H541" s="1116"/>
      <c r="I541" s="1116"/>
      <c r="J541" s="1116"/>
      <c r="K541" s="1116"/>
      <c r="L541" s="1116"/>
      <c r="M541" s="1116"/>
      <c r="N541" s="1116"/>
      <c r="O541" s="1116"/>
      <c r="P541" s="1116"/>
      <c r="Q541" s="1116"/>
      <c r="R541" s="1116"/>
      <c r="S541" s="1116"/>
      <c r="T541" s="1116"/>
      <c r="U541" s="1116"/>
      <c r="V541" s="1116"/>
      <c r="W541" s="1116"/>
      <c r="X541" s="1116"/>
      <c r="Y541" s="1116"/>
      <c r="Z541" s="1116"/>
      <c r="AA541" s="1116"/>
      <c r="AB541" s="1116"/>
      <c r="AC541" s="1116"/>
      <c r="AD541" s="1116"/>
      <c r="AE541" s="1116"/>
      <c r="AF541" s="1116"/>
      <c r="AG541" s="1116"/>
      <c r="AH541" s="1116"/>
      <c r="AI541" s="1116"/>
      <c r="AJ541" s="1116"/>
      <c r="AK541" s="1116"/>
    </row>
    <row r="542" spans="1:37" x14ac:dyDescent="0.35">
      <c r="A542" s="1116"/>
      <c r="B542" s="1116"/>
      <c r="C542" s="1116"/>
      <c r="D542" s="1116"/>
      <c r="E542" s="1116"/>
      <c r="F542" s="1116"/>
      <c r="G542" s="1116"/>
      <c r="H542" s="1116"/>
      <c r="I542" s="1116"/>
      <c r="J542" s="1116"/>
      <c r="K542" s="1116"/>
      <c r="L542" s="1116"/>
      <c r="M542" s="1116"/>
      <c r="N542" s="1116"/>
      <c r="O542" s="1116"/>
      <c r="P542" s="1116"/>
      <c r="Q542" s="1116"/>
      <c r="R542" s="1116"/>
      <c r="S542" s="1116"/>
      <c r="T542" s="1116"/>
      <c r="U542" s="1116"/>
      <c r="V542" s="1116"/>
      <c r="W542" s="1116"/>
      <c r="X542" s="1116"/>
      <c r="Y542" s="1116"/>
      <c r="Z542" s="1116"/>
      <c r="AA542" s="1116"/>
      <c r="AB542" s="1116"/>
      <c r="AC542" s="1116"/>
      <c r="AD542" s="1116"/>
      <c r="AE542" s="1116"/>
      <c r="AF542" s="1116"/>
      <c r="AG542" s="1116"/>
      <c r="AH542" s="1116"/>
      <c r="AI542" s="1116"/>
      <c r="AJ542" s="1116"/>
      <c r="AK542" s="1116"/>
    </row>
    <row r="543" spans="1:37" x14ac:dyDescent="0.35">
      <c r="A543" s="1116"/>
      <c r="B543" s="1116"/>
      <c r="C543" s="1116"/>
      <c r="D543" s="1116"/>
      <c r="E543" s="1116"/>
      <c r="F543" s="1116"/>
      <c r="G543" s="1116"/>
      <c r="H543" s="1116"/>
      <c r="I543" s="1116"/>
      <c r="J543" s="1116"/>
      <c r="K543" s="1116"/>
      <c r="L543" s="1116"/>
      <c r="M543" s="1116"/>
      <c r="N543" s="1116"/>
      <c r="O543" s="1116"/>
      <c r="P543" s="1116"/>
      <c r="Q543" s="1116"/>
      <c r="R543" s="1116"/>
      <c r="S543" s="1116"/>
      <c r="T543" s="1116"/>
      <c r="U543" s="1116"/>
      <c r="V543" s="1116"/>
      <c r="W543" s="1116"/>
      <c r="X543" s="1116"/>
      <c r="Y543" s="1116"/>
      <c r="Z543" s="1116"/>
      <c r="AA543" s="1116"/>
      <c r="AB543" s="1116"/>
      <c r="AC543" s="1116"/>
      <c r="AD543" s="1116"/>
      <c r="AE543" s="1116"/>
      <c r="AF543" s="1116"/>
      <c r="AG543" s="1116"/>
      <c r="AH543" s="1116"/>
      <c r="AI543" s="1116"/>
      <c r="AJ543" s="1116"/>
      <c r="AK543" s="1116"/>
    </row>
    <row r="544" spans="1:37" x14ac:dyDescent="0.35">
      <c r="A544" s="1116"/>
      <c r="B544" s="1116"/>
      <c r="C544" s="1116"/>
      <c r="D544" s="1116"/>
      <c r="E544" s="1116"/>
      <c r="F544" s="1116"/>
      <c r="G544" s="1116"/>
      <c r="H544" s="1116"/>
      <c r="I544" s="1116"/>
      <c r="J544" s="1116"/>
      <c r="K544" s="1116"/>
      <c r="L544" s="1116"/>
      <c r="M544" s="1116"/>
      <c r="N544" s="1116"/>
      <c r="O544" s="1116"/>
      <c r="P544" s="1116"/>
      <c r="Q544" s="1116"/>
      <c r="R544" s="1116"/>
      <c r="S544" s="1116"/>
      <c r="T544" s="1116"/>
      <c r="U544" s="1116"/>
      <c r="V544" s="1116"/>
      <c r="W544" s="1116"/>
      <c r="X544" s="1116"/>
      <c r="Y544" s="1116"/>
      <c r="Z544" s="1116"/>
      <c r="AA544" s="1116"/>
      <c r="AB544" s="1116"/>
      <c r="AC544" s="1116"/>
      <c r="AD544" s="1116"/>
      <c r="AE544" s="1116"/>
      <c r="AF544" s="1116"/>
      <c r="AG544" s="1116"/>
      <c r="AH544" s="1116"/>
      <c r="AI544" s="1116"/>
      <c r="AJ544" s="1116"/>
      <c r="AK544" s="1116"/>
    </row>
    <row r="545" spans="1:37" x14ac:dyDescent="0.35">
      <c r="A545" s="1116"/>
      <c r="B545" s="1116"/>
      <c r="C545" s="1116"/>
      <c r="D545" s="1116"/>
      <c r="E545" s="1116"/>
      <c r="F545" s="1116"/>
      <c r="G545" s="1116"/>
      <c r="H545" s="1116"/>
      <c r="I545" s="1116"/>
      <c r="J545" s="1116"/>
      <c r="K545" s="1116"/>
      <c r="L545" s="1116"/>
      <c r="M545" s="1116"/>
      <c r="N545" s="1116"/>
      <c r="O545" s="1116"/>
      <c r="P545" s="1116"/>
      <c r="Q545" s="1116"/>
      <c r="R545" s="1116"/>
      <c r="S545" s="1116"/>
      <c r="T545" s="1116"/>
      <c r="U545" s="1116"/>
      <c r="V545" s="1116"/>
      <c r="W545" s="1116"/>
      <c r="X545" s="1116"/>
      <c r="Y545" s="1116"/>
      <c r="Z545" s="1116"/>
      <c r="AA545" s="1116"/>
      <c r="AB545" s="1116"/>
      <c r="AC545" s="1116"/>
      <c r="AD545" s="1116"/>
      <c r="AE545" s="1116"/>
      <c r="AF545" s="1116"/>
      <c r="AG545" s="1116"/>
      <c r="AH545" s="1116"/>
      <c r="AI545" s="1116"/>
      <c r="AJ545" s="1116"/>
      <c r="AK545" s="1116"/>
    </row>
    <row r="546" spans="1:37" x14ac:dyDescent="0.35">
      <c r="A546" s="1116"/>
      <c r="B546" s="1116"/>
      <c r="C546" s="1116"/>
      <c r="D546" s="1116"/>
      <c r="E546" s="1116"/>
      <c r="F546" s="1116"/>
      <c r="G546" s="1116"/>
      <c r="H546" s="1116"/>
      <c r="I546" s="1116"/>
      <c r="J546" s="1116"/>
      <c r="K546" s="1116"/>
      <c r="L546" s="1116"/>
      <c r="M546" s="1116"/>
      <c r="N546" s="1116"/>
      <c r="O546" s="1116"/>
      <c r="P546" s="1116"/>
      <c r="Q546" s="1116"/>
      <c r="R546" s="1116"/>
      <c r="S546" s="1116"/>
      <c r="T546" s="1116"/>
      <c r="U546" s="1116"/>
      <c r="V546" s="1116"/>
      <c r="W546" s="1116"/>
      <c r="X546" s="1116"/>
      <c r="Y546" s="1116"/>
      <c r="Z546" s="1116"/>
      <c r="AA546" s="1116"/>
      <c r="AB546" s="1116"/>
      <c r="AC546" s="1116"/>
      <c r="AD546" s="1116"/>
      <c r="AE546" s="1116"/>
      <c r="AF546" s="1116"/>
      <c r="AG546" s="1116"/>
      <c r="AH546" s="1116"/>
      <c r="AI546" s="1116"/>
      <c r="AJ546" s="1116"/>
      <c r="AK546" s="1116"/>
    </row>
    <row r="547" spans="1:37" x14ac:dyDescent="0.35">
      <c r="A547" s="1116"/>
      <c r="B547" s="1116"/>
      <c r="C547" s="1116"/>
      <c r="D547" s="1116"/>
      <c r="E547" s="1116"/>
      <c r="F547" s="1116"/>
      <c r="G547" s="1116"/>
      <c r="H547" s="1116"/>
      <c r="I547" s="1116"/>
      <c r="J547" s="1116"/>
      <c r="K547" s="1116"/>
      <c r="L547" s="1116"/>
      <c r="M547" s="1116"/>
      <c r="N547" s="1116"/>
      <c r="O547" s="1116"/>
      <c r="P547" s="1116"/>
      <c r="Q547" s="1116"/>
      <c r="R547" s="1116"/>
      <c r="S547" s="1116"/>
      <c r="T547" s="1116"/>
      <c r="U547" s="1116"/>
      <c r="V547" s="1116"/>
      <c r="W547" s="1116"/>
      <c r="X547" s="1116"/>
      <c r="Y547" s="1116"/>
      <c r="Z547" s="1116"/>
      <c r="AA547" s="1116"/>
      <c r="AB547" s="1116"/>
      <c r="AC547" s="1116"/>
      <c r="AD547" s="1116"/>
      <c r="AE547" s="1116"/>
      <c r="AF547" s="1116"/>
      <c r="AG547" s="1116"/>
      <c r="AH547" s="1116"/>
      <c r="AI547" s="1116"/>
      <c r="AJ547" s="1116"/>
      <c r="AK547" s="1116"/>
    </row>
    <row r="548" spans="1:37" x14ac:dyDescent="0.35">
      <c r="A548" s="1116"/>
      <c r="B548" s="1116"/>
      <c r="C548" s="1116"/>
      <c r="D548" s="1116"/>
      <c r="E548" s="1116"/>
      <c r="F548" s="1116"/>
      <c r="G548" s="1116"/>
      <c r="H548" s="1116"/>
      <c r="I548" s="1116"/>
      <c r="J548" s="1116"/>
      <c r="K548" s="1116"/>
      <c r="L548" s="1116"/>
      <c r="M548" s="1116"/>
      <c r="N548" s="1116"/>
      <c r="O548" s="1116"/>
      <c r="P548" s="1116"/>
      <c r="Q548" s="1116"/>
      <c r="R548" s="1116"/>
      <c r="S548" s="1116"/>
      <c r="T548" s="1116"/>
      <c r="U548" s="1116"/>
      <c r="V548" s="1116"/>
      <c r="W548" s="1116"/>
      <c r="X548" s="1116"/>
      <c r="Y548" s="1116"/>
      <c r="Z548" s="1116"/>
      <c r="AA548" s="1116"/>
      <c r="AB548" s="1116"/>
      <c r="AC548" s="1116"/>
      <c r="AD548" s="1116"/>
      <c r="AE548" s="1116"/>
      <c r="AF548" s="1116"/>
      <c r="AG548" s="1116"/>
      <c r="AH548" s="1116"/>
      <c r="AI548" s="1116"/>
      <c r="AJ548" s="1116"/>
      <c r="AK548" s="1116"/>
    </row>
    <row r="549" spans="1:37" x14ac:dyDescent="0.35">
      <c r="A549" s="1116"/>
      <c r="B549" s="1116"/>
      <c r="C549" s="1116"/>
      <c r="D549" s="1116"/>
      <c r="E549" s="1116"/>
      <c r="F549" s="1116"/>
      <c r="G549" s="1116"/>
      <c r="H549" s="1116"/>
      <c r="I549" s="1116"/>
      <c r="J549" s="1116"/>
      <c r="K549" s="1116"/>
      <c r="L549" s="1116"/>
      <c r="M549" s="1116"/>
      <c r="N549" s="1116"/>
      <c r="O549" s="1116"/>
      <c r="P549" s="1116"/>
      <c r="Q549" s="1116"/>
      <c r="R549" s="1116"/>
      <c r="S549" s="1116"/>
      <c r="T549" s="1116"/>
      <c r="U549" s="1116"/>
      <c r="V549" s="1116"/>
      <c r="W549" s="1116"/>
      <c r="X549" s="1116"/>
      <c r="Y549" s="1116"/>
      <c r="Z549" s="1116"/>
      <c r="AA549" s="1116"/>
      <c r="AB549" s="1116"/>
      <c r="AC549" s="1116"/>
      <c r="AD549" s="1116"/>
      <c r="AE549" s="1116"/>
      <c r="AF549" s="1116"/>
      <c r="AG549" s="1116"/>
      <c r="AH549" s="1116"/>
      <c r="AI549" s="1116"/>
      <c r="AJ549" s="1116"/>
      <c r="AK549" s="1116"/>
    </row>
    <row r="550" spans="1:37" x14ac:dyDescent="0.35">
      <c r="A550" s="1116"/>
      <c r="B550" s="1116"/>
      <c r="C550" s="1116"/>
      <c r="D550" s="1116"/>
      <c r="E550" s="1116"/>
      <c r="F550" s="1116"/>
      <c r="G550" s="1116"/>
      <c r="H550" s="1116"/>
      <c r="I550" s="1116"/>
      <c r="J550" s="1116"/>
      <c r="K550" s="1116"/>
      <c r="L550" s="1116"/>
      <c r="M550" s="1116"/>
      <c r="N550" s="1116"/>
      <c r="O550" s="1116"/>
      <c r="P550" s="1116"/>
      <c r="Q550" s="1116"/>
      <c r="R550" s="1116"/>
      <c r="S550" s="1116"/>
      <c r="T550" s="1116"/>
      <c r="U550" s="1116"/>
      <c r="V550" s="1116"/>
      <c r="W550" s="1116"/>
      <c r="X550" s="1116"/>
      <c r="Y550" s="1116"/>
      <c r="Z550" s="1116"/>
      <c r="AA550" s="1116"/>
      <c r="AB550" s="1116"/>
      <c r="AC550" s="1116"/>
      <c r="AD550" s="1116"/>
      <c r="AE550" s="1116"/>
      <c r="AF550" s="1116"/>
      <c r="AG550" s="1116"/>
      <c r="AH550" s="1116"/>
      <c r="AI550" s="1116"/>
      <c r="AJ550" s="1116"/>
      <c r="AK550" s="1116"/>
    </row>
    <row r="551" spans="1:37" x14ac:dyDescent="0.35">
      <c r="A551" s="1116"/>
      <c r="B551" s="1116"/>
      <c r="C551" s="1116"/>
      <c r="D551" s="1116"/>
      <c r="E551" s="1116"/>
      <c r="F551" s="1116"/>
      <c r="G551" s="1116"/>
      <c r="H551" s="1116"/>
      <c r="I551" s="1116"/>
      <c r="J551" s="1116"/>
      <c r="K551" s="1116"/>
      <c r="L551" s="1116"/>
      <c r="M551" s="1116"/>
      <c r="N551" s="1116"/>
      <c r="O551" s="1116"/>
      <c r="P551" s="1116"/>
      <c r="Q551" s="1116"/>
      <c r="R551" s="1116"/>
      <c r="S551" s="1116"/>
      <c r="T551" s="1116"/>
      <c r="U551" s="1116"/>
      <c r="V551" s="1116"/>
      <c r="W551" s="1116"/>
      <c r="X551" s="1116"/>
      <c r="Y551" s="1116"/>
      <c r="Z551" s="1116"/>
      <c r="AA551" s="1116"/>
      <c r="AB551" s="1116"/>
      <c r="AC551" s="1116"/>
      <c r="AD551" s="1116"/>
      <c r="AE551" s="1116"/>
      <c r="AF551" s="1116"/>
      <c r="AG551" s="1116"/>
      <c r="AH551" s="1116"/>
      <c r="AI551" s="1116"/>
      <c r="AJ551" s="1116"/>
      <c r="AK551" s="1116"/>
    </row>
    <row r="552" spans="1:37" x14ac:dyDescent="0.35">
      <c r="A552" s="1116"/>
      <c r="B552" s="1116"/>
      <c r="C552" s="1116"/>
      <c r="D552" s="1116"/>
      <c r="E552" s="1116"/>
      <c r="F552" s="1116"/>
      <c r="G552" s="1116"/>
      <c r="H552" s="1116"/>
      <c r="I552" s="1116"/>
      <c r="J552" s="1116"/>
      <c r="K552" s="1116"/>
      <c r="L552" s="1116"/>
      <c r="M552" s="1116"/>
      <c r="N552" s="1116"/>
      <c r="O552" s="1116"/>
      <c r="P552" s="1116"/>
      <c r="Q552" s="1116"/>
      <c r="R552" s="1116"/>
      <c r="S552" s="1116"/>
      <c r="T552" s="1116"/>
      <c r="U552" s="1116"/>
      <c r="V552" s="1116"/>
      <c r="W552" s="1116"/>
      <c r="X552" s="1116"/>
      <c r="Y552" s="1116"/>
      <c r="Z552" s="1116"/>
      <c r="AA552" s="1116"/>
      <c r="AB552" s="1116"/>
      <c r="AC552" s="1116"/>
      <c r="AD552" s="1116"/>
      <c r="AE552" s="1116"/>
      <c r="AF552" s="1116"/>
      <c r="AG552" s="1116"/>
      <c r="AH552" s="1116"/>
      <c r="AI552" s="1116"/>
      <c r="AJ552" s="1116"/>
      <c r="AK552" s="1116"/>
    </row>
    <row r="553" spans="1:37" x14ac:dyDescent="0.35">
      <c r="A553" s="1116"/>
      <c r="B553" s="1116"/>
      <c r="C553" s="1116"/>
      <c r="D553" s="1116"/>
      <c r="E553" s="1116"/>
      <c r="F553" s="1116"/>
      <c r="G553" s="1116"/>
      <c r="H553" s="1116"/>
      <c r="I553" s="1116"/>
      <c r="J553" s="1116"/>
      <c r="K553" s="1116"/>
      <c r="L553" s="1116"/>
      <c r="M553" s="1116"/>
      <c r="N553" s="1116"/>
      <c r="O553" s="1116"/>
      <c r="P553" s="1116"/>
      <c r="Q553" s="1116"/>
      <c r="R553" s="1116"/>
      <c r="S553" s="1116"/>
      <c r="T553" s="1116"/>
      <c r="U553" s="1116"/>
      <c r="V553" s="1116"/>
      <c r="W553" s="1116"/>
      <c r="X553" s="1116"/>
      <c r="Y553" s="1116"/>
      <c r="Z553" s="1116"/>
      <c r="AA553" s="1116"/>
      <c r="AB553" s="1116"/>
      <c r="AC553" s="1116"/>
      <c r="AD553" s="1116"/>
      <c r="AE553" s="1116"/>
      <c r="AF553" s="1116"/>
      <c r="AG553" s="1116"/>
      <c r="AH553" s="1116"/>
      <c r="AI553" s="1116"/>
      <c r="AJ553" s="1116"/>
      <c r="AK553" s="1116"/>
    </row>
    <row r="554" spans="1:37" x14ac:dyDescent="0.35">
      <c r="A554" s="1116"/>
      <c r="B554" s="1116"/>
      <c r="C554" s="1116"/>
      <c r="D554" s="1116"/>
      <c r="E554" s="1116"/>
      <c r="F554" s="1116"/>
      <c r="G554" s="1116"/>
      <c r="H554" s="1116"/>
      <c r="I554" s="1116"/>
      <c r="J554" s="1116"/>
      <c r="K554" s="1116"/>
      <c r="L554" s="1116"/>
      <c r="M554" s="1116"/>
      <c r="N554" s="1116"/>
      <c r="O554" s="1116"/>
      <c r="P554" s="1116"/>
      <c r="Q554" s="1116"/>
      <c r="R554" s="1116"/>
      <c r="S554" s="1116"/>
      <c r="T554" s="1116"/>
      <c r="U554" s="1116"/>
      <c r="V554" s="1116"/>
      <c r="W554" s="1116"/>
      <c r="X554" s="1116"/>
      <c r="Y554" s="1116"/>
      <c r="Z554" s="1116"/>
      <c r="AA554" s="1116"/>
      <c r="AB554" s="1116"/>
      <c r="AC554" s="1116"/>
      <c r="AD554" s="1116"/>
      <c r="AE554" s="1116"/>
      <c r="AF554" s="1116"/>
      <c r="AG554" s="1116"/>
      <c r="AH554" s="1116"/>
      <c r="AI554" s="1116"/>
      <c r="AJ554" s="1116"/>
      <c r="AK554" s="1116"/>
    </row>
    <row r="555" spans="1:37" x14ac:dyDescent="0.35">
      <c r="A555" s="1116"/>
      <c r="B555" s="1116"/>
      <c r="C555" s="1116"/>
      <c r="D555" s="1116"/>
      <c r="E555" s="1116"/>
      <c r="F555" s="1116"/>
      <c r="G555" s="1116"/>
      <c r="H555" s="1116"/>
      <c r="I555" s="1116"/>
      <c r="J555" s="1116"/>
      <c r="K555" s="1116"/>
      <c r="L555" s="1116"/>
      <c r="M555" s="1116"/>
      <c r="N555" s="1116"/>
      <c r="O555" s="1116"/>
      <c r="P555" s="1116"/>
      <c r="Q555" s="1116"/>
      <c r="R555" s="1116"/>
      <c r="S555" s="1116"/>
      <c r="T555" s="1116"/>
      <c r="U555" s="1116"/>
      <c r="V555" s="1116"/>
      <c r="W555" s="1116"/>
      <c r="X555" s="1116"/>
      <c r="Y555" s="1116"/>
      <c r="Z555" s="1116"/>
      <c r="AA555" s="1116"/>
      <c r="AB555" s="1116"/>
      <c r="AC555" s="1116"/>
      <c r="AD555" s="1116"/>
      <c r="AE555" s="1116"/>
      <c r="AF555" s="1116"/>
      <c r="AG555" s="1116"/>
      <c r="AH555" s="1116"/>
      <c r="AI555" s="1116"/>
      <c r="AJ555" s="1116"/>
      <c r="AK555" s="1116"/>
    </row>
    <row r="556" spans="1:37" x14ac:dyDescent="0.35">
      <c r="A556" s="1116"/>
      <c r="B556" s="1116"/>
      <c r="C556" s="1116"/>
      <c r="D556" s="1116"/>
      <c r="E556" s="1116"/>
      <c r="F556" s="1116"/>
      <c r="G556" s="1116"/>
      <c r="H556" s="1116"/>
      <c r="I556" s="1116"/>
      <c r="J556" s="1116"/>
      <c r="K556" s="1116"/>
      <c r="L556" s="1116"/>
      <c r="M556" s="1116"/>
      <c r="N556" s="1116"/>
      <c r="O556" s="1116"/>
      <c r="P556" s="1116"/>
      <c r="Q556" s="1116"/>
      <c r="R556" s="1116"/>
      <c r="S556" s="1116"/>
      <c r="T556" s="1116"/>
      <c r="U556" s="1116"/>
      <c r="V556" s="1116"/>
      <c r="W556" s="1116"/>
      <c r="X556" s="1116"/>
      <c r="Y556" s="1116"/>
      <c r="Z556" s="1116"/>
      <c r="AA556" s="1116"/>
      <c r="AB556" s="1116"/>
      <c r="AC556" s="1116"/>
      <c r="AD556" s="1116"/>
      <c r="AE556" s="1116"/>
      <c r="AF556" s="1116"/>
      <c r="AG556" s="1116"/>
      <c r="AH556" s="1116"/>
      <c r="AI556" s="1116"/>
      <c r="AJ556" s="1116"/>
      <c r="AK556" s="1116"/>
    </row>
    <row r="557" spans="1:37" x14ac:dyDescent="0.35">
      <c r="A557" s="1116"/>
      <c r="B557" s="1116"/>
      <c r="C557" s="1116"/>
      <c r="D557" s="1116"/>
      <c r="E557" s="1116"/>
      <c r="F557" s="1116"/>
      <c r="G557" s="1116"/>
      <c r="H557" s="1116"/>
      <c r="I557" s="1116"/>
      <c r="J557" s="1116"/>
      <c r="K557" s="1116"/>
      <c r="L557" s="1116"/>
      <c r="M557" s="1116"/>
      <c r="N557" s="1116"/>
      <c r="O557" s="1116"/>
      <c r="P557" s="1116"/>
      <c r="Q557" s="1116"/>
      <c r="R557" s="1116"/>
      <c r="S557" s="1116"/>
      <c r="T557" s="1116"/>
      <c r="U557" s="1116"/>
      <c r="V557" s="1116"/>
      <c r="W557" s="1116"/>
      <c r="X557" s="1116"/>
      <c r="Y557" s="1116"/>
      <c r="Z557" s="1116"/>
      <c r="AA557" s="1116"/>
      <c r="AB557" s="1116"/>
      <c r="AC557" s="1116"/>
      <c r="AD557" s="1116"/>
      <c r="AE557" s="1116"/>
      <c r="AF557" s="1116"/>
      <c r="AG557" s="1116"/>
      <c r="AH557" s="1116"/>
      <c r="AI557" s="1116"/>
      <c r="AJ557" s="1116"/>
      <c r="AK557" s="1116"/>
    </row>
    <row r="558" spans="1:37" x14ac:dyDescent="0.35">
      <c r="A558" s="1116"/>
      <c r="B558" s="1116"/>
      <c r="C558" s="1116"/>
      <c r="D558" s="1116"/>
      <c r="E558" s="1116"/>
      <c r="F558" s="1116"/>
      <c r="G558" s="1116"/>
      <c r="H558" s="1116"/>
      <c r="I558" s="1116"/>
      <c r="J558" s="1116"/>
      <c r="K558" s="1116"/>
      <c r="L558" s="1116"/>
      <c r="M558" s="1116"/>
      <c r="N558" s="1116"/>
      <c r="O558" s="1116"/>
      <c r="P558" s="1116"/>
      <c r="Q558" s="1116"/>
      <c r="R558" s="1116"/>
      <c r="S558" s="1116"/>
      <c r="T558" s="1116"/>
      <c r="U558" s="1116"/>
      <c r="V558" s="1116"/>
      <c r="W558" s="1116"/>
      <c r="X558" s="1116"/>
      <c r="Y558" s="1116"/>
      <c r="Z558" s="1116"/>
      <c r="AA558" s="1116"/>
      <c r="AB558" s="1116"/>
      <c r="AC558" s="1116"/>
      <c r="AD558" s="1116"/>
      <c r="AE558" s="1116"/>
      <c r="AF558" s="1116"/>
      <c r="AG558" s="1116"/>
      <c r="AH558" s="1116"/>
      <c r="AI558" s="1116"/>
      <c r="AJ558" s="1116"/>
      <c r="AK558" s="1116"/>
    </row>
    <row r="559" spans="1:37" x14ac:dyDescent="0.35">
      <c r="A559" s="1116"/>
      <c r="B559" s="1116"/>
      <c r="C559" s="1116"/>
      <c r="D559" s="1116"/>
      <c r="E559" s="1116"/>
      <c r="F559" s="1116"/>
      <c r="G559" s="1116"/>
      <c r="H559" s="1116"/>
      <c r="I559" s="1116"/>
      <c r="J559" s="1116"/>
      <c r="K559" s="1116"/>
      <c r="L559" s="1116"/>
      <c r="M559" s="1116"/>
      <c r="N559" s="1116"/>
      <c r="O559" s="1116"/>
      <c r="P559" s="1116"/>
      <c r="Q559" s="1116"/>
      <c r="R559" s="1116"/>
      <c r="S559" s="1116"/>
      <c r="T559" s="1116"/>
      <c r="U559" s="1116"/>
      <c r="V559" s="1116"/>
      <c r="W559" s="1116"/>
      <c r="X559" s="1116"/>
      <c r="Y559" s="1116"/>
      <c r="Z559" s="1116"/>
      <c r="AA559" s="1116"/>
      <c r="AB559" s="1116"/>
      <c r="AC559" s="1116"/>
      <c r="AD559" s="1116"/>
      <c r="AE559" s="1116"/>
      <c r="AF559" s="1116"/>
      <c r="AG559" s="1116"/>
      <c r="AH559" s="1116"/>
      <c r="AI559" s="1116"/>
      <c r="AJ559" s="1116"/>
      <c r="AK559" s="1116"/>
    </row>
    <row r="560" spans="1:37" x14ac:dyDescent="0.35">
      <c r="A560" s="1116"/>
      <c r="B560" s="1116"/>
      <c r="C560" s="1116"/>
      <c r="D560" s="1116"/>
      <c r="E560" s="1116"/>
      <c r="F560" s="1116"/>
      <c r="G560" s="1116"/>
      <c r="H560" s="1116"/>
      <c r="I560" s="1116"/>
      <c r="J560" s="1116"/>
      <c r="K560" s="1116"/>
      <c r="L560" s="1116"/>
      <c r="M560" s="1116"/>
      <c r="N560" s="1116"/>
      <c r="O560" s="1116"/>
      <c r="P560" s="1116"/>
      <c r="Q560" s="1116"/>
      <c r="R560" s="1116"/>
      <c r="S560" s="1116"/>
      <c r="T560" s="1116"/>
      <c r="U560" s="1116"/>
      <c r="V560" s="1116"/>
      <c r="W560" s="1116"/>
      <c r="X560" s="1116"/>
      <c r="Y560" s="1116"/>
      <c r="Z560" s="1116"/>
      <c r="AA560" s="1116"/>
      <c r="AB560" s="1116"/>
      <c r="AC560" s="1116"/>
      <c r="AD560" s="1116"/>
      <c r="AE560" s="1116"/>
      <c r="AF560" s="1116"/>
      <c r="AG560" s="1116"/>
      <c r="AH560" s="1116"/>
      <c r="AI560" s="1116"/>
      <c r="AJ560" s="1116"/>
      <c r="AK560" s="1116"/>
    </row>
    <row r="561" spans="1:37" x14ac:dyDescent="0.35">
      <c r="A561" s="1116"/>
      <c r="B561" s="1116"/>
      <c r="C561" s="1116"/>
      <c r="D561" s="1116"/>
      <c r="E561" s="1116"/>
      <c r="F561" s="1116"/>
      <c r="G561" s="1116"/>
      <c r="H561" s="1116"/>
      <c r="I561" s="1116"/>
      <c r="J561" s="1116"/>
      <c r="K561" s="1116"/>
      <c r="L561" s="1116"/>
      <c r="M561" s="1116"/>
      <c r="N561" s="1116"/>
      <c r="O561" s="1116"/>
      <c r="P561" s="1116"/>
      <c r="Q561" s="1116"/>
      <c r="R561" s="1116"/>
      <c r="S561" s="1116"/>
      <c r="T561" s="1116"/>
      <c r="U561" s="1116"/>
      <c r="V561" s="1116"/>
      <c r="W561" s="1116"/>
      <c r="X561" s="1116"/>
      <c r="Y561" s="1116"/>
      <c r="Z561" s="1116"/>
      <c r="AA561" s="1116"/>
      <c r="AB561" s="1116"/>
      <c r="AC561" s="1116"/>
      <c r="AD561" s="1116"/>
      <c r="AE561" s="1116"/>
      <c r="AF561" s="1116"/>
      <c r="AG561" s="1116"/>
      <c r="AH561" s="1116"/>
      <c r="AI561" s="1116"/>
      <c r="AJ561" s="1116"/>
      <c r="AK561" s="1116"/>
    </row>
    <row r="562" spans="1:37" x14ac:dyDescent="0.35">
      <c r="A562" s="1116"/>
      <c r="B562" s="1116"/>
      <c r="C562" s="1116"/>
      <c r="D562" s="1116"/>
      <c r="E562" s="1116"/>
      <c r="F562" s="1116"/>
      <c r="G562" s="1116"/>
      <c r="H562" s="1116"/>
      <c r="I562" s="1116"/>
      <c r="J562" s="1116"/>
      <c r="K562" s="1116"/>
      <c r="L562" s="1116"/>
      <c r="M562" s="1116"/>
      <c r="N562" s="1116"/>
      <c r="O562" s="1116"/>
      <c r="P562" s="1116"/>
      <c r="Q562" s="1116"/>
      <c r="R562" s="1116"/>
      <c r="S562" s="1116"/>
      <c r="T562" s="1116"/>
      <c r="U562" s="1116"/>
      <c r="V562" s="1116"/>
      <c r="W562" s="1116"/>
      <c r="X562" s="1116"/>
      <c r="Y562" s="1116"/>
      <c r="Z562" s="1116"/>
      <c r="AA562" s="1116"/>
      <c r="AB562" s="1116"/>
      <c r="AC562" s="1116"/>
      <c r="AD562" s="1116"/>
      <c r="AE562" s="1116"/>
      <c r="AF562" s="1116"/>
      <c r="AG562" s="1116"/>
      <c r="AH562" s="1116"/>
      <c r="AI562" s="1116"/>
      <c r="AJ562" s="1116"/>
      <c r="AK562" s="1116"/>
    </row>
    <row r="563" spans="1:37" x14ac:dyDescent="0.35">
      <c r="A563" s="1116"/>
      <c r="B563" s="1116"/>
      <c r="C563" s="1116"/>
      <c r="D563" s="1116"/>
      <c r="E563" s="1116"/>
      <c r="F563" s="1116"/>
      <c r="G563" s="1116"/>
      <c r="H563" s="1116"/>
      <c r="I563" s="1116"/>
      <c r="J563" s="1116"/>
      <c r="K563" s="1116"/>
      <c r="L563" s="1116"/>
      <c r="M563" s="1116"/>
      <c r="N563" s="1116"/>
      <c r="O563" s="1116"/>
      <c r="P563" s="1116"/>
      <c r="Q563" s="1116"/>
      <c r="R563" s="1116"/>
      <c r="S563" s="1116"/>
      <c r="T563" s="1116"/>
      <c r="U563" s="1116"/>
      <c r="V563" s="1116"/>
      <c r="W563" s="1116"/>
      <c r="X563" s="1116"/>
      <c r="Y563" s="1116"/>
      <c r="Z563" s="1116"/>
      <c r="AA563" s="1116"/>
      <c r="AB563" s="1116"/>
      <c r="AC563" s="1116"/>
      <c r="AD563" s="1116"/>
      <c r="AE563" s="1116"/>
      <c r="AF563" s="1116"/>
      <c r="AG563" s="1116"/>
      <c r="AH563" s="1116"/>
      <c r="AI563" s="1116"/>
      <c r="AJ563" s="1116"/>
      <c r="AK563" s="1116"/>
    </row>
    <row r="564" spans="1:37" x14ac:dyDescent="0.35">
      <c r="A564" s="1116"/>
      <c r="B564" s="1116"/>
      <c r="C564" s="1116"/>
      <c r="D564" s="1116"/>
      <c r="E564" s="1116"/>
      <c r="F564" s="1116"/>
      <c r="G564" s="1116"/>
      <c r="H564" s="1116"/>
      <c r="I564" s="1116"/>
      <c r="J564" s="1116"/>
      <c r="K564" s="1116"/>
      <c r="L564" s="1116"/>
      <c r="M564" s="1116"/>
      <c r="N564" s="1116"/>
      <c r="O564" s="1116"/>
      <c r="P564" s="1116"/>
      <c r="Q564" s="1116"/>
      <c r="R564" s="1116"/>
      <c r="S564" s="1116"/>
      <c r="T564" s="1116"/>
      <c r="U564" s="1116"/>
      <c r="V564" s="1116"/>
      <c r="W564" s="1116"/>
      <c r="X564" s="1116"/>
      <c r="Y564" s="1116"/>
      <c r="Z564" s="1116"/>
      <c r="AA564" s="1116"/>
      <c r="AB564" s="1116"/>
      <c r="AC564" s="1116"/>
      <c r="AD564" s="1116"/>
      <c r="AE564" s="1116"/>
      <c r="AF564" s="1116"/>
      <c r="AG564" s="1116"/>
      <c r="AH564" s="1116"/>
      <c r="AI564" s="1116"/>
      <c r="AJ564" s="1116"/>
      <c r="AK564" s="1116"/>
    </row>
    <row r="565" spans="1:37" x14ac:dyDescent="0.35">
      <c r="A565" s="1116"/>
      <c r="B565" s="1116"/>
      <c r="C565" s="1116"/>
      <c r="D565" s="1116"/>
      <c r="E565" s="1116"/>
      <c r="F565" s="1116"/>
      <c r="G565" s="1116"/>
      <c r="H565" s="1116"/>
      <c r="I565" s="1116"/>
      <c r="J565" s="1116"/>
      <c r="K565" s="1116"/>
      <c r="L565" s="1116"/>
      <c r="M565" s="1116"/>
      <c r="N565" s="1116"/>
      <c r="O565" s="1116"/>
      <c r="P565" s="1116"/>
      <c r="Q565" s="1116"/>
      <c r="R565" s="1116"/>
      <c r="S565" s="1116"/>
      <c r="T565" s="1116"/>
      <c r="U565" s="1116"/>
      <c r="V565" s="1116"/>
      <c r="W565" s="1116"/>
      <c r="X565" s="1116"/>
      <c r="Y565" s="1116"/>
      <c r="Z565" s="1116"/>
      <c r="AA565" s="1116"/>
      <c r="AB565" s="1116"/>
      <c r="AC565" s="1116"/>
      <c r="AD565" s="1116"/>
      <c r="AE565" s="1116"/>
      <c r="AF565" s="1116"/>
      <c r="AG565" s="1116"/>
      <c r="AH565" s="1116"/>
      <c r="AI565" s="1116"/>
      <c r="AJ565" s="1116"/>
      <c r="AK565" s="1116"/>
    </row>
    <row r="566" spans="1:37" x14ac:dyDescent="0.35">
      <c r="A566" s="1116"/>
      <c r="B566" s="1116"/>
      <c r="C566" s="1116"/>
      <c r="D566" s="1116"/>
      <c r="E566" s="1116"/>
      <c r="F566" s="1116"/>
      <c r="G566" s="1116"/>
      <c r="H566" s="1116"/>
      <c r="I566" s="1116"/>
      <c r="J566" s="1116"/>
      <c r="K566" s="1116"/>
      <c r="L566" s="1116"/>
      <c r="M566" s="1116"/>
      <c r="N566" s="1116"/>
      <c r="O566" s="1116"/>
      <c r="P566" s="1116"/>
      <c r="Q566" s="1116"/>
      <c r="R566" s="1116"/>
      <c r="S566" s="1116"/>
      <c r="T566" s="1116"/>
      <c r="U566" s="1116"/>
      <c r="V566" s="1116"/>
      <c r="W566" s="1116"/>
      <c r="X566" s="1116"/>
      <c r="Y566" s="1116"/>
      <c r="Z566" s="1116"/>
      <c r="AA566" s="1116"/>
      <c r="AB566" s="1116"/>
      <c r="AC566" s="1116"/>
      <c r="AD566" s="1116"/>
      <c r="AE566" s="1116"/>
      <c r="AF566" s="1116"/>
      <c r="AG566" s="1116"/>
      <c r="AH566" s="1116"/>
      <c r="AI566" s="1116"/>
      <c r="AJ566" s="1116"/>
      <c r="AK566" s="1116"/>
    </row>
    <row r="567" spans="1:37" x14ac:dyDescent="0.35">
      <c r="A567" s="1116"/>
      <c r="B567" s="1116"/>
      <c r="C567" s="1116"/>
      <c r="D567" s="1116"/>
      <c r="E567" s="1116"/>
      <c r="F567" s="1116"/>
      <c r="G567" s="1116"/>
      <c r="H567" s="1116"/>
      <c r="I567" s="1116"/>
      <c r="J567" s="1116"/>
      <c r="K567" s="1116"/>
      <c r="L567" s="1116"/>
      <c r="M567" s="1116"/>
      <c r="N567" s="1116"/>
      <c r="O567" s="1116"/>
      <c r="P567" s="1116"/>
      <c r="Q567" s="1116"/>
      <c r="R567" s="1116"/>
      <c r="S567" s="1116"/>
      <c r="T567" s="1116"/>
      <c r="U567" s="1116"/>
      <c r="V567" s="1116"/>
      <c r="W567" s="1116"/>
      <c r="X567" s="1116"/>
      <c r="Y567" s="1116"/>
      <c r="Z567" s="1116"/>
      <c r="AA567" s="1116"/>
      <c r="AB567" s="1116"/>
      <c r="AC567" s="1116"/>
      <c r="AD567" s="1116"/>
      <c r="AE567" s="1116"/>
      <c r="AF567" s="1116"/>
      <c r="AG567" s="1116"/>
      <c r="AH567" s="1116"/>
      <c r="AI567" s="1116"/>
      <c r="AJ567" s="1116"/>
      <c r="AK567" s="1116"/>
    </row>
    <row r="568" spans="1:37" x14ac:dyDescent="0.35">
      <c r="A568" s="1116"/>
      <c r="B568" s="1116"/>
      <c r="C568" s="1116"/>
      <c r="D568" s="1116"/>
      <c r="E568" s="1116"/>
      <c r="F568" s="1116"/>
      <c r="G568" s="1116"/>
      <c r="H568" s="1116"/>
      <c r="I568" s="1116"/>
      <c r="J568" s="1116"/>
      <c r="K568" s="1116"/>
      <c r="L568" s="1116"/>
      <c r="M568" s="1116"/>
      <c r="N568" s="1116"/>
      <c r="O568" s="1116"/>
      <c r="P568" s="1116"/>
      <c r="Q568" s="1116"/>
      <c r="R568" s="1116"/>
      <c r="S568" s="1116"/>
      <c r="T568" s="1116"/>
      <c r="U568" s="1116"/>
      <c r="V568" s="1116"/>
      <c r="W568" s="1116"/>
      <c r="X568" s="1116"/>
      <c r="Y568" s="1116"/>
      <c r="Z568" s="1116"/>
      <c r="AA568" s="1116"/>
      <c r="AB568" s="1116"/>
      <c r="AC568" s="1116"/>
      <c r="AD568" s="1116"/>
      <c r="AE568" s="1116"/>
      <c r="AF568" s="1116"/>
      <c r="AG568" s="1116"/>
      <c r="AH568" s="1116"/>
      <c r="AI568" s="1116"/>
      <c r="AJ568" s="1116"/>
      <c r="AK568" s="1116"/>
    </row>
    <row r="569" spans="1:37" x14ac:dyDescent="0.35">
      <c r="A569" s="1116"/>
      <c r="B569" s="1116"/>
      <c r="C569" s="1116"/>
      <c r="D569" s="1116"/>
      <c r="E569" s="1116"/>
      <c r="F569" s="1116"/>
      <c r="G569" s="1116"/>
      <c r="H569" s="1116"/>
      <c r="I569" s="1116"/>
      <c r="J569" s="1116"/>
      <c r="K569" s="1116"/>
      <c r="L569" s="1116"/>
      <c r="M569" s="1116"/>
      <c r="N569" s="1116"/>
      <c r="O569" s="1116"/>
      <c r="P569" s="1116"/>
      <c r="Q569" s="1116"/>
      <c r="R569" s="1116"/>
      <c r="S569" s="1116"/>
      <c r="T569" s="1116"/>
      <c r="U569" s="1116"/>
      <c r="V569" s="1116"/>
      <c r="W569" s="1116"/>
      <c r="X569" s="1116"/>
      <c r="Y569" s="1116"/>
      <c r="Z569" s="1116"/>
      <c r="AA569" s="1116"/>
      <c r="AB569" s="1116"/>
      <c r="AC569" s="1116"/>
      <c r="AD569" s="1116"/>
      <c r="AE569" s="1116"/>
      <c r="AF569" s="1116"/>
      <c r="AG569" s="1116"/>
      <c r="AH569" s="1116"/>
      <c r="AI569" s="1116"/>
      <c r="AJ569" s="1116"/>
      <c r="AK569" s="1116"/>
    </row>
    <row r="570" spans="1:37" x14ac:dyDescent="0.35">
      <c r="A570" s="1116"/>
      <c r="B570" s="1116"/>
      <c r="C570" s="1116"/>
      <c r="D570" s="1116"/>
      <c r="E570" s="1116"/>
      <c r="F570" s="1116"/>
      <c r="G570" s="1116"/>
      <c r="H570" s="1116"/>
      <c r="I570" s="1116"/>
      <c r="J570" s="1116"/>
      <c r="K570" s="1116"/>
      <c r="L570" s="1116"/>
      <c r="M570" s="1116"/>
      <c r="N570" s="1116"/>
      <c r="O570" s="1116"/>
      <c r="P570" s="1116"/>
      <c r="Q570" s="1116"/>
      <c r="R570" s="1116"/>
      <c r="S570" s="1116"/>
      <c r="T570" s="1116"/>
      <c r="U570" s="1116"/>
      <c r="V570" s="1116"/>
      <c r="W570" s="1116"/>
      <c r="X570" s="1116"/>
      <c r="Y570" s="1116"/>
      <c r="Z570" s="1116"/>
      <c r="AA570" s="1116"/>
      <c r="AB570" s="1116"/>
      <c r="AC570" s="1116"/>
      <c r="AD570" s="1116"/>
      <c r="AE570" s="1116"/>
      <c r="AF570" s="1116"/>
      <c r="AG570" s="1116"/>
      <c r="AH570" s="1116"/>
      <c r="AI570" s="1116"/>
      <c r="AJ570" s="1116"/>
      <c r="AK570" s="1116"/>
    </row>
    <row r="571" spans="1:37" x14ac:dyDescent="0.35">
      <c r="A571" s="1116"/>
      <c r="B571" s="1116"/>
      <c r="C571" s="1116"/>
      <c r="D571" s="1116"/>
      <c r="E571" s="1116"/>
      <c r="F571" s="1116"/>
      <c r="G571" s="1116"/>
      <c r="H571" s="1116"/>
      <c r="I571" s="1116"/>
      <c r="J571" s="1116"/>
      <c r="K571" s="1116"/>
      <c r="L571" s="1116"/>
      <c r="M571" s="1116"/>
      <c r="N571" s="1116"/>
      <c r="O571" s="1116"/>
      <c r="P571" s="1116"/>
      <c r="Q571" s="1116"/>
      <c r="R571" s="1116"/>
      <c r="S571" s="1116"/>
      <c r="T571" s="1116"/>
      <c r="U571" s="1116"/>
      <c r="V571" s="1116"/>
      <c r="W571" s="1116"/>
      <c r="X571" s="1116"/>
      <c r="Y571" s="1116"/>
      <c r="Z571" s="1116"/>
      <c r="AA571" s="1116"/>
      <c r="AB571" s="1116"/>
      <c r="AC571" s="1116"/>
      <c r="AD571" s="1116"/>
      <c r="AE571" s="1116"/>
      <c r="AF571" s="1116"/>
      <c r="AG571" s="1116"/>
      <c r="AH571" s="1116"/>
      <c r="AI571" s="1116"/>
      <c r="AJ571" s="1116"/>
      <c r="AK571" s="1116"/>
    </row>
    <row r="572" spans="1:37" x14ac:dyDescent="0.35">
      <c r="A572" s="1116"/>
      <c r="B572" s="1116"/>
      <c r="C572" s="1116"/>
      <c r="D572" s="1116"/>
      <c r="E572" s="1116"/>
      <c r="F572" s="1116"/>
      <c r="G572" s="1116"/>
      <c r="H572" s="1116"/>
      <c r="I572" s="1116"/>
      <c r="J572" s="1116"/>
      <c r="K572" s="1116"/>
      <c r="L572" s="1116"/>
      <c r="M572" s="1116"/>
      <c r="N572" s="1116"/>
      <c r="O572" s="1116"/>
      <c r="P572" s="1116"/>
      <c r="Q572" s="1116"/>
      <c r="R572" s="1116"/>
      <c r="S572" s="1116"/>
      <c r="T572" s="1116"/>
      <c r="U572" s="1116"/>
      <c r="V572" s="1116"/>
      <c r="W572" s="1116"/>
      <c r="X572" s="1116"/>
      <c r="Y572" s="1116"/>
      <c r="Z572" s="1116"/>
      <c r="AA572" s="1116"/>
      <c r="AB572" s="1116"/>
      <c r="AC572" s="1116"/>
      <c r="AD572" s="1116"/>
      <c r="AE572" s="1116"/>
      <c r="AF572" s="1116"/>
      <c r="AG572" s="1116"/>
      <c r="AH572" s="1116"/>
      <c r="AI572" s="1116"/>
      <c r="AJ572" s="1116"/>
      <c r="AK572" s="1116"/>
    </row>
    <row r="573" spans="1:37" x14ac:dyDescent="0.35">
      <c r="A573" s="1116"/>
      <c r="B573" s="1116"/>
      <c r="C573" s="1116"/>
      <c r="D573" s="1116"/>
      <c r="E573" s="1116"/>
      <c r="F573" s="1116"/>
      <c r="G573" s="1116"/>
      <c r="H573" s="1116"/>
      <c r="I573" s="1116"/>
      <c r="J573" s="1116"/>
      <c r="K573" s="1116"/>
      <c r="L573" s="1116"/>
      <c r="M573" s="1116"/>
      <c r="N573" s="1116"/>
      <c r="O573" s="1116"/>
      <c r="P573" s="1116"/>
      <c r="Q573" s="1116"/>
      <c r="R573" s="1116"/>
      <c r="S573" s="1116"/>
      <c r="T573" s="1116"/>
      <c r="U573" s="1116"/>
      <c r="V573" s="1116"/>
      <c r="W573" s="1116"/>
      <c r="X573" s="1116"/>
      <c r="Y573" s="1116"/>
      <c r="Z573" s="1116"/>
      <c r="AA573" s="1116"/>
      <c r="AB573" s="1116"/>
      <c r="AC573" s="1116"/>
      <c r="AD573" s="1116"/>
      <c r="AE573" s="1116"/>
      <c r="AF573" s="1116"/>
      <c r="AG573" s="1116"/>
      <c r="AH573" s="1116"/>
      <c r="AI573" s="1116"/>
      <c r="AJ573" s="1116"/>
      <c r="AK573" s="1116"/>
    </row>
    <row r="574" spans="1:37" x14ac:dyDescent="0.35">
      <c r="A574" s="1116"/>
      <c r="B574" s="1116"/>
      <c r="C574" s="1116"/>
      <c r="D574" s="1116"/>
      <c r="E574" s="1116"/>
      <c r="F574" s="1116"/>
      <c r="G574" s="1116"/>
      <c r="H574" s="1116"/>
      <c r="I574" s="1116"/>
      <c r="J574" s="1116"/>
      <c r="K574" s="1116"/>
      <c r="L574" s="1116"/>
      <c r="M574" s="1116"/>
      <c r="N574" s="1116"/>
      <c r="O574" s="1116"/>
      <c r="P574" s="1116"/>
      <c r="Q574" s="1116"/>
      <c r="R574" s="1116"/>
      <c r="S574" s="1116"/>
      <c r="T574" s="1116"/>
      <c r="U574" s="1116"/>
      <c r="V574" s="1116"/>
      <c r="W574" s="1116"/>
      <c r="X574" s="1116"/>
      <c r="Y574" s="1116"/>
      <c r="Z574" s="1116"/>
      <c r="AA574" s="1116"/>
      <c r="AB574" s="1116"/>
      <c r="AC574" s="1116"/>
      <c r="AD574" s="1116"/>
      <c r="AE574" s="1116"/>
      <c r="AF574" s="1116"/>
      <c r="AG574" s="1116"/>
      <c r="AH574" s="1116"/>
      <c r="AI574" s="1116"/>
      <c r="AJ574" s="1116"/>
      <c r="AK574" s="1116"/>
    </row>
    <row r="575" spans="1:37" x14ac:dyDescent="0.35">
      <c r="A575" s="1116"/>
      <c r="B575" s="1116"/>
      <c r="C575" s="1116"/>
      <c r="D575" s="1116"/>
      <c r="E575" s="1116"/>
      <c r="F575" s="1116"/>
      <c r="G575" s="1116"/>
      <c r="H575" s="1116"/>
      <c r="I575" s="1116"/>
      <c r="J575" s="1116"/>
      <c r="K575" s="1116"/>
      <c r="L575" s="1116"/>
      <c r="M575" s="1116"/>
      <c r="N575" s="1116"/>
      <c r="O575" s="1116"/>
      <c r="P575" s="1116"/>
      <c r="Q575" s="1116"/>
      <c r="R575" s="1116"/>
      <c r="S575" s="1116"/>
      <c r="T575" s="1116"/>
      <c r="U575" s="1116"/>
      <c r="V575" s="1116"/>
      <c r="W575" s="1116"/>
      <c r="X575" s="1116"/>
      <c r="Y575" s="1116"/>
      <c r="Z575" s="1116"/>
      <c r="AA575" s="1116"/>
      <c r="AB575" s="1116"/>
      <c r="AC575" s="1116"/>
      <c r="AD575" s="1116"/>
      <c r="AE575" s="1116"/>
      <c r="AF575" s="1116"/>
      <c r="AG575" s="1116"/>
      <c r="AH575" s="1116"/>
      <c r="AI575" s="1116"/>
      <c r="AJ575" s="1116"/>
      <c r="AK575" s="1116"/>
    </row>
    <row r="576" spans="1:37" x14ac:dyDescent="0.35">
      <c r="A576" s="1116"/>
      <c r="B576" s="1116"/>
      <c r="C576" s="1116"/>
      <c r="D576" s="1116"/>
      <c r="E576" s="1116"/>
      <c r="F576" s="1116"/>
      <c r="G576" s="1116"/>
      <c r="H576" s="1116"/>
      <c r="I576" s="1116"/>
      <c r="J576" s="1116"/>
      <c r="K576" s="1116"/>
      <c r="L576" s="1116"/>
      <c r="M576" s="1116"/>
      <c r="N576" s="1116"/>
      <c r="O576" s="1116"/>
      <c r="P576" s="1116"/>
      <c r="Q576" s="1116"/>
      <c r="R576" s="1116"/>
      <c r="S576" s="1116"/>
      <c r="T576" s="1116"/>
      <c r="U576" s="1116"/>
      <c r="V576" s="1116"/>
      <c r="W576" s="1116"/>
      <c r="X576" s="1116"/>
      <c r="Y576" s="1116"/>
      <c r="Z576" s="1116"/>
      <c r="AA576" s="1116"/>
      <c r="AB576" s="1116"/>
      <c r="AC576" s="1116"/>
      <c r="AD576" s="1116"/>
      <c r="AE576" s="1116"/>
      <c r="AF576" s="1116"/>
      <c r="AG576" s="1116"/>
      <c r="AH576" s="1116"/>
      <c r="AI576" s="1116"/>
      <c r="AJ576" s="1116"/>
      <c r="AK576" s="1116"/>
    </row>
    <row r="577" spans="1:37" x14ac:dyDescent="0.35">
      <c r="A577" s="1116"/>
      <c r="B577" s="1116"/>
      <c r="C577" s="1116"/>
      <c r="D577" s="1116"/>
      <c r="E577" s="1116"/>
      <c r="F577" s="1116"/>
      <c r="G577" s="1116"/>
      <c r="H577" s="1116"/>
      <c r="I577" s="1116"/>
      <c r="J577" s="1116"/>
      <c r="K577" s="1116"/>
      <c r="L577" s="1116"/>
      <c r="M577" s="1116"/>
      <c r="N577" s="1116"/>
      <c r="O577" s="1116"/>
      <c r="P577" s="1116"/>
      <c r="Q577" s="1116"/>
      <c r="R577" s="1116"/>
      <c r="S577" s="1116"/>
      <c r="T577" s="1116"/>
      <c r="U577" s="1116"/>
      <c r="V577" s="1116"/>
      <c r="W577" s="1116"/>
      <c r="X577" s="1116"/>
      <c r="Y577" s="1116"/>
      <c r="Z577" s="1116"/>
      <c r="AA577" s="1116"/>
      <c r="AB577" s="1116"/>
      <c r="AC577" s="1116"/>
      <c r="AD577" s="1116"/>
      <c r="AE577" s="1116"/>
      <c r="AF577" s="1116"/>
      <c r="AG577" s="1116"/>
      <c r="AH577" s="1116"/>
      <c r="AI577" s="1116"/>
      <c r="AJ577" s="1116"/>
      <c r="AK577" s="1116"/>
    </row>
    <row r="578" spans="1:37" x14ac:dyDescent="0.35">
      <c r="A578" s="1116"/>
      <c r="B578" s="1116"/>
      <c r="C578" s="1116"/>
      <c r="D578" s="1116"/>
      <c r="E578" s="1116"/>
      <c r="F578" s="1116"/>
      <c r="G578" s="1116"/>
      <c r="H578" s="1116"/>
      <c r="I578" s="1116"/>
      <c r="J578" s="1116"/>
      <c r="K578" s="1116"/>
      <c r="L578" s="1116"/>
      <c r="M578" s="1116"/>
      <c r="N578" s="1116"/>
      <c r="O578" s="1116"/>
      <c r="P578" s="1116"/>
      <c r="Q578" s="1116"/>
      <c r="R578" s="1116"/>
      <c r="S578" s="1116"/>
      <c r="T578" s="1116"/>
      <c r="U578" s="1116"/>
      <c r="V578" s="1116"/>
      <c r="W578" s="1116"/>
      <c r="X578" s="1116"/>
      <c r="Y578" s="1116"/>
      <c r="Z578" s="1116"/>
      <c r="AA578" s="1116"/>
      <c r="AB578" s="1116"/>
      <c r="AC578" s="1116"/>
      <c r="AD578" s="1116"/>
      <c r="AE578" s="1116"/>
      <c r="AF578" s="1116"/>
      <c r="AG578" s="1116"/>
      <c r="AH578" s="1116"/>
      <c r="AI578" s="1116"/>
      <c r="AJ578" s="1116"/>
      <c r="AK578" s="1116"/>
    </row>
    <row r="579" spans="1:37" x14ac:dyDescent="0.35">
      <c r="A579" s="1116"/>
      <c r="B579" s="1116"/>
      <c r="C579" s="1116"/>
      <c r="D579" s="1116"/>
      <c r="E579" s="1116"/>
      <c r="F579" s="1116"/>
      <c r="G579" s="1116"/>
      <c r="H579" s="1116"/>
      <c r="I579" s="1116"/>
      <c r="J579" s="1116"/>
      <c r="K579" s="1116"/>
      <c r="L579" s="1116"/>
      <c r="M579" s="1116"/>
      <c r="N579" s="1116"/>
      <c r="O579" s="1116"/>
      <c r="P579" s="1116"/>
      <c r="Q579" s="1116"/>
      <c r="R579" s="1116"/>
      <c r="S579" s="1116"/>
      <c r="T579" s="1116"/>
      <c r="U579" s="1116"/>
      <c r="V579" s="1116"/>
      <c r="W579" s="1116"/>
      <c r="X579" s="1116"/>
      <c r="Y579" s="1116"/>
      <c r="Z579" s="1116"/>
      <c r="AA579" s="1116"/>
      <c r="AB579" s="1116"/>
      <c r="AC579" s="1116"/>
      <c r="AD579" s="1116"/>
      <c r="AE579" s="1116"/>
      <c r="AF579" s="1116"/>
      <c r="AG579" s="1116"/>
      <c r="AH579" s="1116"/>
      <c r="AI579" s="1116"/>
      <c r="AJ579" s="1116"/>
      <c r="AK579" s="1116"/>
    </row>
    <row r="580" spans="1:37" x14ac:dyDescent="0.35">
      <c r="A580" s="1116"/>
      <c r="B580" s="1116"/>
      <c r="C580" s="1116"/>
      <c r="D580" s="1116"/>
      <c r="E580" s="1116"/>
      <c r="F580" s="1116"/>
      <c r="G580" s="1116"/>
      <c r="H580" s="1116"/>
      <c r="I580" s="1116"/>
      <c r="J580" s="1116"/>
      <c r="K580" s="1116"/>
      <c r="L580" s="1116"/>
      <c r="M580" s="1116"/>
      <c r="N580" s="1116"/>
      <c r="O580" s="1116"/>
      <c r="P580" s="1116"/>
      <c r="Q580" s="1116"/>
      <c r="R580" s="1116"/>
      <c r="S580" s="1116"/>
      <c r="T580" s="1116"/>
      <c r="U580" s="1116"/>
      <c r="V580" s="1116"/>
      <c r="W580" s="1116"/>
      <c r="X580" s="1116"/>
      <c r="Y580" s="1116"/>
      <c r="Z580" s="1116"/>
      <c r="AA580" s="1116"/>
      <c r="AB580" s="1116"/>
      <c r="AC580" s="1116"/>
      <c r="AD580" s="1116"/>
      <c r="AE580" s="1116"/>
      <c r="AF580" s="1116"/>
      <c r="AG580" s="1116"/>
      <c r="AH580" s="1116"/>
      <c r="AI580" s="1116"/>
      <c r="AJ580" s="1116"/>
      <c r="AK580" s="1116"/>
    </row>
    <row r="581" spans="1:37" x14ac:dyDescent="0.35">
      <c r="A581" s="1116"/>
      <c r="B581" s="1116"/>
      <c r="C581" s="1116"/>
      <c r="D581" s="1116"/>
      <c r="E581" s="1116"/>
      <c r="F581" s="1116"/>
      <c r="G581" s="1116"/>
      <c r="H581" s="1116"/>
      <c r="I581" s="1116"/>
      <c r="J581" s="1116"/>
      <c r="K581" s="1116"/>
      <c r="L581" s="1116"/>
      <c r="M581" s="1116"/>
      <c r="N581" s="1116"/>
      <c r="O581" s="1116"/>
      <c r="P581" s="1116"/>
      <c r="Q581" s="1116"/>
      <c r="R581" s="1116"/>
      <c r="S581" s="1116"/>
      <c r="T581" s="1116"/>
      <c r="U581" s="1116"/>
      <c r="V581" s="1116"/>
      <c r="W581" s="1116"/>
      <c r="X581" s="1116"/>
      <c r="Y581" s="1116"/>
      <c r="Z581" s="1116"/>
      <c r="AA581" s="1116"/>
      <c r="AB581" s="1116"/>
      <c r="AC581" s="1116"/>
      <c r="AD581" s="1116"/>
      <c r="AE581" s="1116"/>
      <c r="AF581" s="1116"/>
      <c r="AG581" s="1116"/>
      <c r="AH581" s="1116"/>
      <c r="AI581" s="1116"/>
      <c r="AJ581" s="1116"/>
      <c r="AK581" s="1116"/>
    </row>
    <row r="582" spans="1:37" x14ac:dyDescent="0.35">
      <c r="A582" s="1116"/>
      <c r="B582" s="1116"/>
      <c r="C582" s="1116"/>
      <c r="D582" s="1116"/>
      <c r="E582" s="1116"/>
      <c r="F582" s="1116"/>
      <c r="G582" s="1116"/>
      <c r="H582" s="1116"/>
      <c r="I582" s="1116"/>
      <c r="J582" s="1116"/>
      <c r="K582" s="1116"/>
      <c r="L582" s="1116"/>
      <c r="M582" s="1116"/>
      <c r="N582" s="1116"/>
      <c r="O582" s="1116"/>
      <c r="P582" s="1116"/>
      <c r="Q582" s="1116"/>
      <c r="R582" s="1116"/>
      <c r="S582" s="1116"/>
      <c r="T582" s="1116"/>
      <c r="U582" s="1116"/>
      <c r="V582" s="1116"/>
      <c r="W582" s="1116"/>
      <c r="X582" s="1116"/>
      <c r="Y582" s="1116"/>
      <c r="Z582" s="1116"/>
      <c r="AA582" s="1116"/>
      <c r="AB582" s="1116"/>
      <c r="AC582" s="1116"/>
      <c r="AD582" s="1116"/>
      <c r="AE582" s="1116"/>
      <c r="AF582" s="1116"/>
      <c r="AG582" s="1116"/>
      <c r="AH582" s="1116"/>
      <c r="AI582" s="1116"/>
      <c r="AJ582" s="1116"/>
      <c r="AK582" s="1116"/>
    </row>
    <row r="583" spans="1:37" x14ac:dyDescent="0.35">
      <c r="A583" s="1116"/>
      <c r="B583" s="1116"/>
      <c r="C583" s="1116"/>
      <c r="D583" s="1116"/>
      <c r="E583" s="1116"/>
      <c r="F583" s="1116"/>
      <c r="G583" s="1116"/>
      <c r="H583" s="1116"/>
      <c r="I583" s="1116"/>
      <c r="J583" s="1116"/>
      <c r="K583" s="1116"/>
      <c r="L583" s="1116"/>
      <c r="M583" s="1116"/>
      <c r="N583" s="1116"/>
      <c r="O583" s="1116"/>
      <c r="P583" s="1116"/>
      <c r="Q583" s="1116"/>
      <c r="R583" s="1116"/>
      <c r="S583" s="1116"/>
      <c r="T583" s="1116"/>
      <c r="U583" s="1116"/>
      <c r="V583" s="1116"/>
      <c r="W583" s="1116"/>
      <c r="X583" s="1116"/>
      <c r="Y583" s="1116"/>
      <c r="Z583" s="1116"/>
      <c r="AA583" s="1116"/>
      <c r="AB583" s="1116"/>
      <c r="AC583" s="1116"/>
      <c r="AD583" s="1116"/>
      <c r="AE583" s="1116"/>
      <c r="AF583" s="1116"/>
      <c r="AG583" s="1116"/>
      <c r="AH583" s="1116"/>
      <c r="AI583" s="1116"/>
      <c r="AJ583" s="1116"/>
      <c r="AK583" s="1116"/>
    </row>
    <row r="584" spans="1:37" x14ac:dyDescent="0.35">
      <c r="A584" s="1116"/>
      <c r="B584" s="1116"/>
      <c r="C584" s="1116"/>
      <c r="D584" s="1116"/>
      <c r="E584" s="1116"/>
      <c r="F584" s="1116"/>
      <c r="G584" s="1116"/>
      <c r="H584" s="1116"/>
      <c r="I584" s="1116"/>
      <c r="J584" s="1116"/>
      <c r="K584" s="1116"/>
      <c r="L584" s="1116"/>
      <c r="M584" s="1116"/>
      <c r="N584" s="1116"/>
      <c r="O584" s="1116"/>
      <c r="P584" s="1116"/>
      <c r="Q584" s="1116"/>
      <c r="R584" s="1116"/>
      <c r="S584" s="1116"/>
      <c r="T584" s="1116"/>
      <c r="U584" s="1116"/>
      <c r="V584" s="1116"/>
      <c r="W584" s="1116"/>
      <c r="X584" s="1116"/>
      <c r="Y584" s="1116"/>
      <c r="Z584" s="1116"/>
      <c r="AA584" s="1116"/>
      <c r="AB584" s="1116"/>
      <c r="AC584" s="1116"/>
      <c r="AD584" s="1116"/>
      <c r="AE584" s="1116"/>
      <c r="AF584" s="1116"/>
      <c r="AG584" s="1116"/>
      <c r="AH584" s="1116"/>
      <c r="AI584" s="1116"/>
      <c r="AJ584" s="1116"/>
      <c r="AK584" s="1116"/>
    </row>
    <row r="585" spans="1:37" x14ac:dyDescent="0.35">
      <c r="A585" s="1116"/>
      <c r="B585" s="1116"/>
      <c r="C585" s="1116"/>
      <c r="D585" s="1116"/>
      <c r="E585" s="1116"/>
      <c r="F585" s="1116"/>
      <c r="G585" s="1116"/>
      <c r="H585" s="1116"/>
      <c r="I585" s="1116"/>
      <c r="J585" s="1116"/>
      <c r="K585" s="1116"/>
      <c r="L585" s="1116"/>
      <c r="M585" s="1116"/>
      <c r="N585" s="1116"/>
      <c r="O585" s="1116"/>
      <c r="P585" s="1116"/>
      <c r="Q585" s="1116"/>
      <c r="R585" s="1116"/>
      <c r="S585" s="1116"/>
      <c r="T585" s="1116"/>
      <c r="U585" s="1116"/>
      <c r="V585" s="1116"/>
      <c r="W585" s="1116"/>
      <c r="X585" s="1116"/>
      <c r="Y585" s="1116"/>
      <c r="Z585" s="1116"/>
      <c r="AA585" s="1116"/>
      <c r="AB585" s="1116"/>
      <c r="AC585" s="1116"/>
      <c r="AD585" s="1116"/>
      <c r="AE585" s="1116"/>
      <c r="AF585" s="1116"/>
      <c r="AG585" s="1116"/>
      <c r="AH585" s="1116"/>
      <c r="AI585" s="1116"/>
      <c r="AJ585" s="1116"/>
      <c r="AK585" s="1116"/>
    </row>
    <row r="586" spans="1:37" x14ac:dyDescent="0.35">
      <c r="A586" s="1116"/>
      <c r="B586" s="1116"/>
      <c r="C586" s="1116"/>
      <c r="D586" s="1116"/>
      <c r="E586" s="1116"/>
      <c r="F586" s="1116"/>
      <c r="G586" s="1116"/>
      <c r="H586" s="1116"/>
      <c r="I586" s="1116"/>
      <c r="J586" s="1116"/>
      <c r="K586" s="1116"/>
      <c r="L586" s="1116"/>
      <c r="M586" s="1116"/>
      <c r="N586" s="1116"/>
      <c r="O586" s="1116"/>
      <c r="P586" s="1116"/>
      <c r="Q586" s="1116"/>
      <c r="R586" s="1116"/>
      <c r="S586" s="1116"/>
      <c r="T586" s="1116"/>
      <c r="U586" s="1116"/>
      <c r="V586" s="1116"/>
      <c r="W586" s="1116"/>
      <c r="X586" s="1116"/>
      <c r="Y586" s="1116"/>
      <c r="Z586" s="1116"/>
      <c r="AA586" s="1116"/>
      <c r="AB586" s="1116"/>
      <c r="AC586" s="1116"/>
      <c r="AD586" s="1116"/>
      <c r="AE586" s="1116"/>
      <c r="AF586" s="1116"/>
      <c r="AG586" s="1116"/>
      <c r="AH586" s="1116"/>
      <c r="AI586" s="1116"/>
      <c r="AJ586" s="1116"/>
      <c r="AK586" s="1116"/>
    </row>
    <row r="587" spans="1:37" x14ac:dyDescent="0.35">
      <c r="A587" s="1116"/>
      <c r="B587" s="1116"/>
      <c r="C587" s="1116"/>
      <c r="D587" s="1116"/>
      <c r="E587" s="1116"/>
      <c r="F587" s="1116"/>
      <c r="G587" s="1116"/>
      <c r="H587" s="1116"/>
      <c r="I587" s="1116"/>
      <c r="J587" s="1116"/>
      <c r="K587" s="1116"/>
      <c r="L587" s="1116"/>
      <c r="M587" s="1116"/>
      <c r="N587" s="1116"/>
      <c r="O587" s="1116"/>
      <c r="P587" s="1116"/>
      <c r="Q587" s="1116"/>
      <c r="R587" s="1116"/>
      <c r="S587" s="1116"/>
      <c r="T587" s="1116"/>
      <c r="U587" s="1116"/>
      <c r="V587" s="1116"/>
      <c r="W587" s="1116"/>
      <c r="X587" s="1116"/>
      <c r="Y587" s="1116"/>
      <c r="Z587" s="1116"/>
      <c r="AA587" s="1116"/>
      <c r="AB587" s="1116"/>
      <c r="AC587" s="1116"/>
      <c r="AD587" s="1116"/>
      <c r="AE587" s="1116"/>
      <c r="AF587" s="1116"/>
      <c r="AG587" s="1116"/>
      <c r="AH587" s="1116"/>
      <c r="AI587" s="1116"/>
      <c r="AJ587" s="1116"/>
      <c r="AK587" s="1116"/>
    </row>
    <row r="588" spans="1:37" x14ac:dyDescent="0.35">
      <c r="A588" s="1116"/>
      <c r="B588" s="1116"/>
      <c r="C588" s="1116"/>
      <c r="D588" s="1116"/>
      <c r="E588" s="1116"/>
      <c r="F588" s="1116"/>
      <c r="G588" s="1116"/>
      <c r="H588" s="1116"/>
      <c r="I588" s="1116"/>
      <c r="J588" s="1116"/>
      <c r="K588" s="1116"/>
      <c r="L588" s="1116"/>
      <c r="M588" s="1116"/>
      <c r="N588" s="1116"/>
      <c r="O588" s="1116"/>
      <c r="P588" s="1116"/>
      <c r="Q588" s="1116"/>
      <c r="R588" s="1116"/>
      <c r="S588" s="1116"/>
      <c r="T588" s="1116"/>
      <c r="U588" s="1116"/>
      <c r="V588" s="1116"/>
      <c r="W588" s="1116"/>
      <c r="X588" s="1116"/>
      <c r="Y588" s="1116"/>
      <c r="Z588" s="1116"/>
      <c r="AA588" s="1116"/>
      <c r="AB588" s="1116"/>
      <c r="AC588" s="1116"/>
      <c r="AD588" s="1116"/>
      <c r="AE588" s="1116"/>
      <c r="AF588" s="1116"/>
      <c r="AG588" s="1116"/>
      <c r="AH588" s="1116"/>
      <c r="AI588" s="1116"/>
      <c r="AJ588" s="1116"/>
      <c r="AK588" s="1116"/>
    </row>
    <row r="589" spans="1:37" x14ac:dyDescent="0.35">
      <c r="A589" s="1116"/>
      <c r="B589" s="1116"/>
      <c r="C589" s="1116"/>
      <c r="D589" s="1116"/>
      <c r="E589" s="1116"/>
      <c r="F589" s="1116"/>
      <c r="G589" s="1116"/>
      <c r="H589" s="1116"/>
      <c r="I589" s="1116"/>
      <c r="J589" s="1116"/>
      <c r="K589" s="1116"/>
      <c r="L589" s="1116"/>
      <c r="M589" s="1116"/>
      <c r="N589" s="1116"/>
      <c r="O589" s="1116"/>
      <c r="P589" s="1116"/>
      <c r="Q589" s="1116"/>
      <c r="R589" s="1116"/>
      <c r="S589" s="1116"/>
      <c r="T589" s="1116"/>
      <c r="U589" s="1116"/>
      <c r="V589" s="1116"/>
      <c r="W589" s="1116"/>
      <c r="X589" s="1116"/>
      <c r="Y589" s="1116"/>
      <c r="Z589" s="1116"/>
      <c r="AA589" s="1116"/>
      <c r="AB589" s="1116"/>
      <c r="AC589" s="1116"/>
      <c r="AD589" s="1116"/>
      <c r="AE589" s="1116"/>
      <c r="AF589" s="1116"/>
      <c r="AG589" s="1116"/>
      <c r="AH589" s="1116"/>
      <c r="AI589" s="1116"/>
      <c r="AJ589" s="1116"/>
      <c r="AK589" s="1116"/>
    </row>
    <row r="590" spans="1:37" x14ac:dyDescent="0.35">
      <c r="A590" s="1116"/>
      <c r="B590" s="1116"/>
      <c r="C590" s="1116"/>
      <c r="D590" s="1116"/>
      <c r="E590" s="1116"/>
      <c r="F590" s="1116"/>
      <c r="G590" s="1116"/>
      <c r="H590" s="1116"/>
      <c r="I590" s="1116"/>
      <c r="J590" s="1116"/>
      <c r="K590" s="1116"/>
      <c r="L590" s="1116"/>
      <c r="M590" s="1116"/>
      <c r="N590" s="1116"/>
      <c r="O590" s="1116"/>
      <c r="P590" s="1116"/>
      <c r="Q590" s="1116"/>
      <c r="R590" s="1116"/>
      <c r="S590" s="1116"/>
      <c r="T590" s="1116"/>
      <c r="U590" s="1116"/>
      <c r="V590" s="1116"/>
      <c r="W590" s="1116"/>
      <c r="X590" s="1116"/>
      <c r="Y590" s="1116"/>
      <c r="Z590" s="1116"/>
      <c r="AA590" s="1116"/>
      <c r="AB590" s="1116"/>
      <c r="AC590" s="1116"/>
      <c r="AD590" s="1116"/>
      <c r="AE590" s="1116"/>
      <c r="AF590" s="1116"/>
      <c r="AG590" s="1116"/>
      <c r="AH590" s="1116"/>
      <c r="AI590" s="1116"/>
      <c r="AJ590" s="1116"/>
      <c r="AK590" s="1116"/>
    </row>
    <row r="591" spans="1:37" x14ac:dyDescent="0.35">
      <c r="A591" s="1116"/>
      <c r="B591" s="1116"/>
      <c r="C591" s="1116"/>
      <c r="D591" s="1116"/>
      <c r="E591" s="1116"/>
      <c r="F591" s="1116"/>
      <c r="G591" s="1116"/>
      <c r="H591" s="1116"/>
      <c r="I591" s="1116"/>
      <c r="J591" s="1116"/>
      <c r="K591" s="1116"/>
      <c r="L591" s="1116"/>
      <c r="M591" s="1116"/>
      <c r="N591" s="1116"/>
      <c r="O591" s="1116"/>
      <c r="P591" s="1116"/>
      <c r="Q591" s="1116"/>
      <c r="R591" s="1116"/>
      <c r="S591" s="1116"/>
      <c r="T591" s="1116"/>
      <c r="U591" s="1116"/>
      <c r="V591" s="1116"/>
      <c r="W591" s="1116"/>
      <c r="X591" s="1116"/>
      <c r="Y591" s="1116"/>
      <c r="Z591" s="1116"/>
      <c r="AA591" s="1116"/>
      <c r="AB591" s="1116"/>
      <c r="AC591" s="1116"/>
      <c r="AD591" s="1116"/>
      <c r="AE591" s="1116"/>
      <c r="AF591" s="1116"/>
      <c r="AG591" s="1116"/>
      <c r="AH591" s="1116"/>
      <c r="AI591" s="1116"/>
      <c r="AJ591" s="1116"/>
      <c r="AK591" s="1116"/>
    </row>
    <row r="592" spans="1:37" x14ac:dyDescent="0.35">
      <c r="A592" s="1116"/>
      <c r="B592" s="1116"/>
      <c r="C592" s="1116"/>
      <c r="D592" s="1116"/>
      <c r="E592" s="1116"/>
      <c r="F592" s="1116"/>
      <c r="G592" s="1116"/>
      <c r="H592" s="1116"/>
      <c r="I592" s="1116"/>
      <c r="J592" s="1116"/>
      <c r="K592" s="1116"/>
      <c r="L592" s="1116"/>
      <c r="M592" s="1116"/>
      <c r="N592" s="1116"/>
      <c r="O592" s="1116"/>
      <c r="P592" s="1116"/>
      <c r="Q592" s="1116"/>
      <c r="R592" s="1116"/>
      <c r="S592" s="1116"/>
      <c r="T592" s="1116"/>
      <c r="U592" s="1116"/>
      <c r="V592" s="1116"/>
      <c r="W592" s="1116"/>
      <c r="X592" s="1116"/>
      <c r="Y592" s="1116"/>
      <c r="Z592" s="1116"/>
      <c r="AA592" s="1116"/>
      <c r="AB592" s="1116"/>
      <c r="AC592" s="1116"/>
      <c r="AD592" s="1116"/>
      <c r="AE592" s="1116"/>
      <c r="AF592" s="1116"/>
      <c r="AG592" s="1116"/>
      <c r="AH592" s="1116"/>
      <c r="AI592" s="1116"/>
      <c r="AJ592" s="1116"/>
      <c r="AK592" s="1116"/>
    </row>
    <row r="593" spans="1:37" x14ac:dyDescent="0.35">
      <c r="A593" s="1116"/>
      <c r="B593" s="1116"/>
      <c r="C593" s="1116"/>
      <c r="D593" s="1116"/>
      <c r="E593" s="1116"/>
      <c r="F593" s="1116"/>
      <c r="G593" s="1116"/>
      <c r="H593" s="1116"/>
      <c r="I593" s="1116"/>
      <c r="J593" s="1116"/>
      <c r="K593" s="1116"/>
      <c r="L593" s="1116"/>
      <c r="M593" s="1116"/>
      <c r="N593" s="1116"/>
      <c r="O593" s="1116"/>
      <c r="P593" s="1116"/>
      <c r="Q593" s="1116"/>
      <c r="R593" s="1116"/>
      <c r="S593" s="1116"/>
      <c r="T593" s="1116"/>
      <c r="U593" s="1116"/>
      <c r="V593" s="1116"/>
      <c r="W593" s="1116"/>
      <c r="X593" s="1116"/>
      <c r="Y593" s="1116"/>
      <c r="Z593" s="1116"/>
      <c r="AA593" s="1116"/>
      <c r="AB593" s="1116"/>
      <c r="AC593" s="1116"/>
      <c r="AD593" s="1116"/>
      <c r="AE593" s="1116"/>
      <c r="AF593" s="1116"/>
      <c r="AG593" s="1116"/>
      <c r="AH593" s="1116"/>
      <c r="AI593" s="1116"/>
      <c r="AJ593" s="1116"/>
      <c r="AK593" s="1116"/>
    </row>
    <row r="594" spans="1:37" x14ac:dyDescent="0.35">
      <c r="A594" s="1116"/>
      <c r="B594" s="1116"/>
      <c r="C594" s="1116"/>
      <c r="D594" s="1116"/>
      <c r="E594" s="1116"/>
      <c r="F594" s="1116"/>
      <c r="G594" s="1116"/>
      <c r="H594" s="1116"/>
      <c r="I594" s="1116"/>
      <c r="J594" s="1116"/>
      <c r="K594" s="1116"/>
      <c r="L594" s="1116"/>
      <c r="M594" s="1116"/>
      <c r="N594" s="1116"/>
      <c r="O594" s="1116"/>
      <c r="P594" s="1116"/>
      <c r="Q594" s="1116"/>
      <c r="R594" s="1116"/>
      <c r="S594" s="1116"/>
      <c r="T594" s="1116"/>
      <c r="U594" s="1116"/>
      <c r="V594" s="1116"/>
      <c r="W594" s="1116"/>
      <c r="X594" s="1116"/>
      <c r="Y594" s="1116"/>
      <c r="Z594" s="1116"/>
      <c r="AA594" s="1116"/>
      <c r="AB594" s="1116"/>
      <c r="AC594" s="1116"/>
      <c r="AD594" s="1116"/>
      <c r="AE594" s="1116"/>
      <c r="AF594" s="1116"/>
      <c r="AG594" s="1116"/>
      <c r="AH594" s="1116"/>
      <c r="AI594" s="1116"/>
      <c r="AJ594" s="1116"/>
      <c r="AK594" s="1116"/>
    </row>
    <row r="595" spans="1:37" x14ac:dyDescent="0.35">
      <c r="A595" s="1116"/>
      <c r="B595" s="1116"/>
      <c r="C595" s="1116"/>
      <c r="D595" s="1116"/>
      <c r="E595" s="1116"/>
      <c r="F595" s="1116"/>
      <c r="G595" s="1116"/>
      <c r="H595" s="1116"/>
      <c r="I595" s="1116"/>
      <c r="J595" s="1116"/>
      <c r="K595" s="1116"/>
      <c r="L595" s="1116"/>
      <c r="M595" s="1116"/>
      <c r="N595" s="1116"/>
      <c r="O595" s="1116"/>
      <c r="P595" s="1116"/>
      <c r="Q595" s="1116"/>
      <c r="R595" s="1116"/>
      <c r="S595" s="1116"/>
      <c r="T595" s="1116"/>
      <c r="U595" s="1116"/>
      <c r="V595" s="1116"/>
      <c r="W595" s="1116"/>
      <c r="X595" s="1116"/>
      <c r="Y595" s="1116"/>
      <c r="Z595" s="1116"/>
      <c r="AA595" s="1116"/>
      <c r="AB595" s="1116"/>
      <c r="AC595" s="1116"/>
      <c r="AD595" s="1116"/>
      <c r="AE595" s="1116"/>
      <c r="AF595" s="1116"/>
      <c r="AG595" s="1116"/>
      <c r="AH595" s="1116"/>
      <c r="AI595" s="1116"/>
      <c r="AJ595" s="1116"/>
      <c r="AK595" s="1116"/>
    </row>
    <row r="596" spans="1:37" x14ac:dyDescent="0.35">
      <c r="A596" s="1116"/>
      <c r="B596" s="1116"/>
      <c r="C596" s="1116"/>
      <c r="D596" s="1116"/>
      <c r="E596" s="1116"/>
      <c r="F596" s="1116"/>
      <c r="G596" s="1116"/>
      <c r="H596" s="1116"/>
      <c r="I596" s="1116"/>
      <c r="J596" s="1116"/>
      <c r="K596" s="1116"/>
      <c r="L596" s="1116"/>
      <c r="M596" s="1116"/>
      <c r="N596" s="1116"/>
      <c r="O596" s="1116"/>
      <c r="P596" s="1116"/>
      <c r="Q596" s="1116"/>
      <c r="R596" s="1116"/>
      <c r="S596" s="1116"/>
      <c r="T596" s="1116"/>
      <c r="U596" s="1116"/>
      <c r="V596" s="1116"/>
      <c r="W596" s="1116"/>
      <c r="X596" s="1116"/>
      <c r="Y596" s="1116"/>
      <c r="Z596" s="1116"/>
      <c r="AA596" s="1116"/>
      <c r="AB596" s="1116"/>
      <c r="AC596" s="1116"/>
      <c r="AD596" s="1116"/>
      <c r="AE596" s="1116"/>
      <c r="AF596" s="1116"/>
      <c r="AG596" s="1116"/>
      <c r="AH596" s="1116"/>
      <c r="AI596" s="1116"/>
      <c r="AJ596" s="1116"/>
      <c r="AK596" s="1116"/>
    </row>
    <row r="597" spans="1:37" x14ac:dyDescent="0.35">
      <c r="A597" s="1116"/>
      <c r="B597" s="1116"/>
      <c r="C597" s="1116"/>
      <c r="D597" s="1116"/>
      <c r="E597" s="1116"/>
      <c r="F597" s="1116"/>
      <c r="G597" s="1116"/>
      <c r="H597" s="1116"/>
      <c r="I597" s="1116"/>
      <c r="J597" s="1116"/>
      <c r="K597" s="1116"/>
      <c r="L597" s="1116"/>
      <c r="M597" s="1116"/>
      <c r="N597" s="1116"/>
      <c r="O597" s="1116"/>
      <c r="P597" s="1116"/>
      <c r="Q597" s="1116"/>
      <c r="R597" s="1116"/>
      <c r="S597" s="1116"/>
      <c r="T597" s="1116"/>
      <c r="U597" s="1116"/>
      <c r="V597" s="1116"/>
      <c r="W597" s="1116"/>
      <c r="X597" s="1116"/>
      <c r="Y597" s="1116"/>
      <c r="Z597" s="1116"/>
      <c r="AA597" s="1116"/>
      <c r="AB597" s="1116"/>
      <c r="AC597" s="1116"/>
      <c r="AD597" s="1116"/>
      <c r="AE597" s="1116"/>
      <c r="AF597" s="1116"/>
      <c r="AG597" s="1116"/>
      <c r="AH597" s="1116"/>
      <c r="AI597" s="1116"/>
      <c r="AJ597" s="1116"/>
      <c r="AK597" s="1116"/>
    </row>
    <row r="598" spans="1:37" x14ac:dyDescent="0.35">
      <c r="A598" s="1116"/>
      <c r="B598" s="1116"/>
      <c r="C598" s="1116"/>
      <c r="D598" s="1116"/>
      <c r="E598" s="1116"/>
      <c r="F598" s="1116"/>
      <c r="G598" s="1116"/>
      <c r="H598" s="1116"/>
      <c r="I598" s="1116"/>
      <c r="J598" s="1116"/>
      <c r="K598" s="1116"/>
      <c r="L598" s="1116"/>
      <c r="M598" s="1116"/>
      <c r="N598" s="1116"/>
      <c r="O598" s="1116"/>
      <c r="P598" s="1116"/>
      <c r="Q598" s="1116"/>
      <c r="R598" s="1116"/>
      <c r="S598" s="1116"/>
      <c r="T598" s="1116"/>
      <c r="U598" s="1116"/>
      <c r="V598" s="1116"/>
      <c r="W598" s="1116"/>
      <c r="X598" s="1116"/>
      <c r="Y598" s="1116"/>
      <c r="Z598" s="1116"/>
      <c r="AA598" s="1116"/>
      <c r="AB598" s="1116"/>
      <c r="AC598" s="1116"/>
      <c r="AD598" s="1116"/>
      <c r="AE598" s="1116"/>
      <c r="AF598" s="1116"/>
      <c r="AG598" s="1116"/>
      <c r="AH598" s="1116"/>
      <c r="AI598" s="1116"/>
      <c r="AJ598" s="1116"/>
      <c r="AK598" s="1116"/>
    </row>
    <row r="599" spans="1:37" x14ac:dyDescent="0.35">
      <c r="A599" s="1116"/>
      <c r="B599" s="1116"/>
      <c r="C599" s="1116"/>
      <c r="D599" s="1116"/>
      <c r="E599" s="1116"/>
      <c r="F599" s="1116"/>
      <c r="G599" s="1116"/>
      <c r="H599" s="1116"/>
      <c r="I599" s="1116"/>
      <c r="J599" s="1116"/>
      <c r="K599" s="1116"/>
      <c r="L599" s="1116"/>
      <c r="M599" s="1116"/>
      <c r="N599" s="1116"/>
      <c r="O599" s="1116"/>
      <c r="P599" s="1116"/>
      <c r="Q599" s="1116"/>
      <c r="R599" s="1116"/>
      <c r="S599" s="1116"/>
      <c r="T599" s="1116"/>
      <c r="U599" s="1116"/>
      <c r="V599" s="1116"/>
      <c r="W599" s="1116"/>
      <c r="X599" s="1116"/>
      <c r="Y599" s="1116"/>
      <c r="Z599" s="1116"/>
      <c r="AA599" s="1116"/>
      <c r="AB599" s="1116"/>
      <c r="AC599" s="1116"/>
      <c r="AD599" s="1116"/>
      <c r="AE599" s="1116"/>
      <c r="AF599" s="1116"/>
      <c r="AG599" s="1116"/>
      <c r="AH599" s="1116"/>
      <c r="AI599" s="1116"/>
      <c r="AJ599" s="1116"/>
      <c r="AK599" s="1116"/>
    </row>
    <row r="600" spans="1:37" x14ac:dyDescent="0.35">
      <c r="A600" s="1116"/>
      <c r="B600" s="1116"/>
      <c r="C600" s="1116"/>
      <c r="D600" s="1116"/>
      <c r="E600" s="1116"/>
      <c r="F600" s="1116"/>
      <c r="G600" s="1116"/>
      <c r="H600" s="1116"/>
      <c r="I600" s="1116"/>
      <c r="J600" s="1116"/>
      <c r="K600" s="1116"/>
      <c r="L600" s="1116"/>
      <c r="M600" s="1116"/>
      <c r="N600" s="1116"/>
      <c r="O600" s="1116"/>
      <c r="P600" s="1116"/>
      <c r="Q600" s="1116"/>
      <c r="R600" s="1116"/>
      <c r="S600" s="1116"/>
      <c r="T600" s="1116"/>
      <c r="U600" s="1116"/>
      <c r="V600" s="1116"/>
      <c r="W600" s="1116"/>
      <c r="X600" s="1116"/>
      <c r="Y600" s="1116"/>
      <c r="Z600" s="1116"/>
      <c r="AA600" s="1116"/>
      <c r="AB600" s="1116"/>
      <c r="AC600" s="1116"/>
      <c r="AD600" s="1116"/>
      <c r="AE600" s="1116"/>
      <c r="AF600" s="1116"/>
      <c r="AG600" s="1116"/>
      <c r="AH600" s="1116"/>
      <c r="AI600" s="1116"/>
      <c r="AJ600" s="1116"/>
      <c r="AK600" s="1116"/>
    </row>
    <row r="601" spans="1:37" x14ac:dyDescent="0.35">
      <c r="A601" s="1116"/>
      <c r="B601" s="1116"/>
      <c r="C601" s="1116"/>
      <c r="D601" s="1116"/>
      <c r="E601" s="1116"/>
      <c r="F601" s="1116"/>
      <c r="G601" s="1116"/>
      <c r="H601" s="1116"/>
      <c r="I601" s="1116"/>
      <c r="J601" s="1116"/>
      <c r="K601" s="1116"/>
      <c r="L601" s="1116"/>
      <c r="M601" s="1116"/>
      <c r="N601" s="1116"/>
      <c r="O601" s="1116"/>
      <c r="P601" s="1116"/>
      <c r="Q601" s="1116"/>
      <c r="R601" s="1116"/>
      <c r="S601" s="1116"/>
      <c r="T601" s="1116"/>
      <c r="U601" s="1116"/>
      <c r="V601" s="1116"/>
      <c r="W601" s="1116"/>
      <c r="X601" s="1116"/>
      <c r="Y601" s="1116"/>
      <c r="Z601" s="1116"/>
      <c r="AA601" s="1116"/>
      <c r="AB601" s="1116"/>
      <c r="AC601" s="1116"/>
      <c r="AD601" s="1116"/>
      <c r="AE601" s="1116"/>
      <c r="AF601" s="1116"/>
      <c r="AG601" s="1116"/>
      <c r="AH601" s="1116"/>
      <c r="AI601" s="1116"/>
      <c r="AJ601" s="1116"/>
      <c r="AK601" s="1116"/>
    </row>
    <row r="602" spans="1:37" x14ac:dyDescent="0.35">
      <c r="A602" s="1116"/>
      <c r="B602" s="1116"/>
      <c r="C602" s="1116"/>
      <c r="D602" s="1116"/>
      <c r="E602" s="1116"/>
      <c r="F602" s="1116"/>
      <c r="G602" s="1116"/>
      <c r="H602" s="1116"/>
      <c r="I602" s="1116"/>
      <c r="J602" s="1116"/>
      <c r="K602" s="1116"/>
      <c r="L602" s="1116"/>
      <c r="M602" s="1116"/>
      <c r="N602" s="1116"/>
      <c r="O602" s="1116"/>
      <c r="P602" s="1116"/>
      <c r="Q602" s="1116"/>
      <c r="R602" s="1116"/>
      <c r="S602" s="1116"/>
      <c r="T602" s="1116"/>
      <c r="U602" s="1116"/>
      <c r="V602" s="1116"/>
      <c r="W602" s="1116"/>
      <c r="X602" s="1116"/>
      <c r="Y602" s="1116"/>
      <c r="Z602" s="1116"/>
      <c r="AA602" s="1116"/>
      <c r="AB602" s="1116"/>
      <c r="AC602" s="1116"/>
      <c r="AD602" s="1116"/>
      <c r="AE602" s="1116"/>
      <c r="AF602" s="1116"/>
      <c r="AG602" s="1116"/>
      <c r="AH602" s="1116"/>
      <c r="AI602" s="1116"/>
      <c r="AJ602" s="1116"/>
      <c r="AK602" s="1116"/>
    </row>
    <row r="603" spans="1:37" x14ac:dyDescent="0.35">
      <c r="A603" s="1116"/>
      <c r="B603" s="1116"/>
      <c r="C603" s="1116"/>
      <c r="D603" s="1116"/>
      <c r="E603" s="1116"/>
      <c r="F603" s="1116"/>
      <c r="G603" s="1116"/>
      <c r="H603" s="1116"/>
      <c r="I603" s="1116"/>
      <c r="J603" s="1116"/>
      <c r="K603" s="1116"/>
      <c r="L603" s="1116"/>
      <c r="M603" s="1116"/>
      <c r="N603" s="1116"/>
      <c r="O603" s="1116"/>
      <c r="P603" s="1116"/>
      <c r="Q603" s="1116"/>
      <c r="R603" s="1116"/>
      <c r="S603" s="1116"/>
      <c r="T603" s="1116"/>
      <c r="U603" s="1116"/>
      <c r="V603" s="1116"/>
      <c r="W603" s="1116"/>
      <c r="X603" s="1116"/>
      <c r="Y603" s="1116"/>
      <c r="Z603" s="1116"/>
      <c r="AA603" s="1116"/>
      <c r="AB603" s="1116"/>
      <c r="AC603" s="1116"/>
      <c r="AD603" s="1116"/>
      <c r="AE603" s="1116"/>
      <c r="AF603" s="1116"/>
      <c r="AG603" s="1116"/>
      <c r="AH603" s="1116"/>
      <c r="AI603" s="1116"/>
      <c r="AJ603" s="1116"/>
      <c r="AK603" s="1116"/>
    </row>
    <row r="604" spans="1:37" x14ac:dyDescent="0.35">
      <c r="A604" s="1116"/>
      <c r="B604" s="1116"/>
      <c r="C604" s="1116"/>
      <c r="D604" s="1116"/>
      <c r="E604" s="1116"/>
      <c r="F604" s="1116"/>
      <c r="G604" s="1116"/>
      <c r="H604" s="1116"/>
      <c r="I604" s="1116"/>
      <c r="J604" s="1116"/>
      <c r="K604" s="1116"/>
      <c r="L604" s="1116"/>
      <c r="M604" s="1116"/>
      <c r="N604" s="1116"/>
      <c r="O604" s="1116"/>
      <c r="P604" s="1116"/>
      <c r="Q604" s="1116"/>
      <c r="R604" s="1116"/>
      <c r="S604" s="1116"/>
      <c r="T604" s="1116"/>
      <c r="U604" s="1116"/>
      <c r="V604" s="1116"/>
      <c r="W604" s="1116"/>
      <c r="X604" s="1116"/>
      <c r="Y604" s="1116"/>
      <c r="Z604" s="1116"/>
      <c r="AA604" s="1116"/>
      <c r="AB604" s="1116"/>
      <c r="AC604" s="1116"/>
      <c r="AD604" s="1116"/>
      <c r="AE604" s="1116"/>
      <c r="AF604" s="1116"/>
      <c r="AG604" s="1116"/>
      <c r="AH604" s="1116"/>
      <c r="AI604" s="1116"/>
      <c r="AJ604" s="1116"/>
      <c r="AK604" s="1116"/>
    </row>
    <row r="605" spans="1:37" x14ac:dyDescent="0.35">
      <c r="A605" s="1116"/>
      <c r="B605" s="1116"/>
      <c r="C605" s="1116"/>
      <c r="D605" s="1116"/>
      <c r="E605" s="1116"/>
      <c r="F605" s="1116"/>
      <c r="G605" s="1116"/>
      <c r="H605" s="1116"/>
      <c r="I605" s="1116"/>
      <c r="J605" s="1116"/>
      <c r="K605" s="1116"/>
      <c r="L605" s="1116"/>
      <c r="M605" s="1116"/>
      <c r="N605" s="1116"/>
      <c r="O605" s="1116"/>
      <c r="P605" s="1116"/>
      <c r="Q605" s="1116"/>
      <c r="R605" s="1116"/>
      <c r="S605" s="1116"/>
      <c r="T605" s="1116"/>
      <c r="U605" s="1116"/>
      <c r="V605" s="1116"/>
      <c r="W605" s="1116"/>
      <c r="X605" s="1116"/>
      <c r="Y605" s="1116"/>
      <c r="Z605" s="1116"/>
      <c r="AA605" s="1116"/>
      <c r="AB605" s="1116"/>
      <c r="AC605" s="1116"/>
      <c r="AD605" s="1116"/>
      <c r="AE605" s="1116"/>
      <c r="AF605" s="1116"/>
      <c r="AG605" s="1116"/>
      <c r="AH605" s="1116"/>
      <c r="AI605" s="1116"/>
      <c r="AJ605" s="1116"/>
      <c r="AK605" s="1116"/>
    </row>
    <row r="606" spans="1:37" x14ac:dyDescent="0.35">
      <c r="A606" s="1116"/>
      <c r="B606" s="1116"/>
      <c r="C606" s="1116"/>
      <c r="D606" s="1116"/>
      <c r="E606" s="1116"/>
      <c r="F606" s="1116"/>
      <c r="G606" s="1116"/>
      <c r="H606" s="1116"/>
      <c r="I606" s="1116"/>
      <c r="J606" s="1116"/>
      <c r="K606" s="1116"/>
      <c r="L606" s="1116"/>
      <c r="M606" s="1116"/>
      <c r="N606" s="1116"/>
      <c r="O606" s="1116"/>
      <c r="P606" s="1116"/>
      <c r="Q606" s="1116"/>
      <c r="R606" s="1116"/>
      <c r="S606" s="1116"/>
      <c r="T606" s="1116"/>
      <c r="U606" s="1116"/>
      <c r="V606" s="1116"/>
      <c r="W606" s="1116"/>
      <c r="X606" s="1116"/>
      <c r="Y606" s="1116"/>
      <c r="Z606" s="1116"/>
      <c r="AA606" s="1116"/>
      <c r="AB606" s="1116"/>
      <c r="AC606" s="1116"/>
      <c r="AD606" s="1116"/>
      <c r="AE606" s="1116"/>
      <c r="AF606" s="1116"/>
      <c r="AG606" s="1116"/>
      <c r="AH606" s="1116"/>
      <c r="AI606" s="1116"/>
      <c r="AJ606" s="1116"/>
      <c r="AK606" s="1116"/>
    </row>
    <row r="607" spans="1:37" x14ac:dyDescent="0.35">
      <c r="A607" s="1116"/>
      <c r="B607" s="1116"/>
      <c r="C607" s="1116"/>
      <c r="D607" s="1116"/>
      <c r="E607" s="1116"/>
      <c r="F607" s="1116"/>
      <c r="G607" s="1116"/>
      <c r="H607" s="1116"/>
      <c r="I607" s="1116"/>
      <c r="J607" s="1116"/>
      <c r="K607" s="1116"/>
      <c r="L607" s="1116"/>
      <c r="M607" s="1116"/>
      <c r="N607" s="1116"/>
      <c r="O607" s="1116"/>
      <c r="P607" s="1116"/>
      <c r="Q607" s="1116"/>
      <c r="R607" s="1116"/>
      <c r="S607" s="1116"/>
      <c r="T607" s="1116"/>
      <c r="U607" s="1116"/>
      <c r="V607" s="1116"/>
      <c r="W607" s="1116"/>
      <c r="X607" s="1116"/>
      <c r="Y607" s="1116"/>
      <c r="Z607" s="1116"/>
      <c r="AA607" s="1116"/>
      <c r="AB607" s="1116"/>
      <c r="AC607" s="1116"/>
      <c r="AD607" s="1116"/>
      <c r="AE607" s="1116"/>
      <c r="AF607" s="1116"/>
      <c r="AG607" s="1116"/>
      <c r="AH607" s="1116"/>
      <c r="AI607" s="1116"/>
      <c r="AJ607" s="1116"/>
      <c r="AK607" s="1116"/>
    </row>
    <row r="608" spans="1:37" x14ac:dyDescent="0.35">
      <c r="A608" s="1116"/>
      <c r="B608" s="1116"/>
      <c r="C608" s="1116"/>
      <c r="D608" s="1116"/>
      <c r="E608" s="1116"/>
      <c r="F608" s="1116"/>
      <c r="G608" s="1116"/>
      <c r="H608" s="1116"/>
      <c r="I608" s="1116"/>
      <c r="J608" s="1116"/>
      <c r="K608" s="1116"/>
      <c r="L608" s="1116"/>
      <c r="M608" s="1116"/>
      <c r="N608" s="1116"/>
      <c r="O608" s="1116"/>
      <c r="P608" s="1116"/>
      <c r="Q608" s="1116"/>
      <c r="R608" s="1116"/>
      <c r="S608" s="1116"/>
      <c r="T608" s="1116"/>
      <c r="U608" s="1116"/>
      <c r="V608" s="1116"/>
      <c r="W608" s="1116"/>
      <c r="X608" s="1116"/>
      <c r="Y608" s="1116"/>
      <c r="Z608" s="1116"/>
      <c r="AA608" s="1116"/>
      <c r="AB608" s="1116"/>
      <c r="AC608" s="1116"/>
      <c r="AD608" s="1116"/>
      <c r="AE608" s="1116"/>
      <c r="AF608" s="1116"/>
      <c r="AG608" s="1116"/>
      <c r="AH608" s="1116"/>
      <c r="AI608" s="1116"/>
      <c r="AJ608" s="1116"/>
      <c r="AK608" s="1116"/>
    </row>
    <row r="609" spans="1:37" x14ac:dyDescent="0.35">
      <c r="A609" s="1116"/>
      <c r="B609" s="1116"/>
      <c r="C609" s="1116"/>
      <c r="D609" s="1116"/>
      <c r="E609" s="1116"/>
      <c r="F609" s="1116"/>
      <c r="G609" s="1116"/>
      <c r="H609" s="1116"/>
      <c r="I609" s="1116"/>
      <c r="J609" s="1116"/>
      <c r="K609" s="1116"/>
      <c r="L609" s="1116"/>
      <c r="M609" s="1116"/>
      <c r="N609" s="1116"/>
      <c r="O609" s="1116"/>
      <c r="P609" s="1116"/>
      <c r="Q609" s="1116"/>
      <c r="R609" s="1116"/>
      <c r="S609" s="1116"/>
      <c r="T609" s="1116"/>
      <c r="U609" s="1116"/>
      <c r="V609" s="1116"/>
      <c r="W609" s="1116"/>
      <c r="X609" s="1116"/>
      <c r="Y609" s="1116"/>
      <c r="Z609" s="1116"/>
      <c r="AA609" s="1116"/>
      <c r="AB609" s="1116"/>
      <c r="AC609" s="1116"/>
      <c r="AD609" s="1116"/>
      <c r="AE609" s="1116"/>
      <c r="AF609" s="1116"/>
      <c r="AG609" s="1116"/>
      <c r="AH609" s="1116"/>
      <c r="AI609" s="1116"/>
      <c r="AJ609" s="1116"/>
      <c r="AK609" s="1116"/>
    </row>
    <row r="610" spans="1:37" x14ac:dyDescent="0.35">
      <c r="A610" s="1116"/>
      <c r="B610" s="1116"/>
      <c r="C610" s="1116"/>
      <c r="D610" s="1116"/>
      <c r="E610" s="1116"/>
      <c r="F610" s="1116"/>
      <c r="G610" s="1116"/>
      <c r="H610" s="1116"/>
      <c r="I610" s="1116"/>
      <c r="J610" s="1116"/>
      <c r="K610" s="1116"/>
      <c r="L610" s="1116"/>
      <c r="M610" s="1116"/>
      <c r="N610" s="1116"/>
      <c r="O610" s="1116"/>
      <c r="P610" s="1116"/>
      <c r="Q610" s="1116"/>
      <c r="R610" s="1116"/>
      <c r="S610" s="1116"/>
      <c r="T610" s="1116"/>
      <c r="U610" s="1116"/>
      <c r="V610" s="1116"/>
      <c r="W610" s="1116"/>
      <c r="X610" s="1116"/>
      <c r="Y610" s="1116"/>
      <c r="Z610" s="1116"/>
      <c r="AA610" s="1116"/>
      <c r="AB610" s="1116"/>
      <c r="AC610" s="1116"/>
      <c r="AD610" s="1116"/>
      <c r="AE610" s="1116"/>
      <c r="AF610" s="1116"/>
      <c r="AG610" s="1116"/>
      <c r="AH610" s="1116"/>
      <c r="AI610" s="1116"/>
      <c r="AJ610" s="1116"/>
      <c r="AK610" s="1116"/>
    </row>
    <row r="611" spans="1:37" x14ac:dyDescent="0.35">
      <c r="A611" s="1116"/>
      <c r="B611" s="1116"/>
      <c r="C611" s="1116"/>
      <c r="D611" s="1116"/>
      <c r="E611" s="1116"/>
      <c r="F611" s="1116"/>
      <c r="G611" s="1116"/>
      <c r="H611" s="1116"/>
      <c r="I611" s="1116"/>
      <c r="J611" s="1116"/>
      <c r="K611" s="1116"/>
      <c r="L611" s="1116"/>
      <c r="M611" s="1116"/>
      <c r="N611" s="1116"/>
      <c r="O611" s="1116"/>
      <c r="P611" s="1116"/>
      <c r="Q611" s="1116"/>
      <c r="R611" s="1116"/>
      <c r="S611" s="1116"/>
      <c r="T611" s="1116"/>
      <c r="U611" s="1116"/>
      <c r="V611" s="1116"/>
      <c r="W611" s="1116"/>
      <c r="X611" s="1116"/>
      <c r="Y611" s="1116"/>
      <c r="Z611" s="1116"/>
      <c r="AA611" s="1116"/>
      <c r="AB611" s="1116"/>
      <c r="AC611" s="1116"/>
      <c r="AD611" s="1116"/>
      <c r="AE611" s="1116"/>
      <c r="AF611" s="1116"/>
      <c r="AG611" s="1116"/>
      <c r="AH611" s="1116"/>
      <c r="AI611" s="1116"/>
      <c r="AJ611" s="1116"/>
      <c r="AK611" s="1116"/>
    </row>
    <row r="612" spans="1:37" x14ac:dyDescent="0.35">
      <c r="A612" s="1116"/>
      <c r="B612" s="1116"/>
      <c r="C612" s="1116"/>
      <c r="D612" s="1116"/>
      <c r="E612" s="1116"/>
      <c r="F612" s="1116"/>
      <c r="G612" s="1116"/>
      <c r="H612" s="1116"/>
      <c r="I612" s="1116"/>
      <c r="J612" s="1116"/>
      <c r="K612" s="1116"/>
      <c r="L612" s="1116"/>
      <c r="M612" s="1116"/>
      <c r="N612" s="1116"/>
      <c r="O612" s="1116"/>
      <c r="P612" s="1116"/>
      <c r="Q612" s="1116"/>
      <c r="R612" s="1116"/>
      <c r="S612" s="1116"/>
      <c r="T612" s="1116"/>
      <c r="U612" s="1116"/>
      <c r="V612" s="1116"/>
      <c r="W612" s="1116"/>
      <c r="X612" s="1116"/>
      <c r="Y612" s="1116"/>
      <c r="Z612" s="1116"/>
      <c r="AA612" s="1116"/>
      <c r="AB612" s="1116"/>
      <c r="AC612" s="1116"/>
      <c r="AD612" s="1116"/>
      <c r="AE612" s="1116"/>
      <c r="AF612" s="1116"/>
      <c r="AG612" s="1116"/>
      <c r="AH612" s="1116"/>
      <c r="AI612" s="1116"/>
      <c r="AJ612" s="1116"/>
      <c r="AK612" s="1116"/>
    </row>
    <row r="613" spans="1:37" x14ac:dyDescent="0.35">
      <c r="A613" s="1116"/>
      <c r="B613" s="1116"/>
      <c r="C613" s="1116"/>
      <c r="D613" s="1116"/>
      <c r="E613" s="1116"/>
      <c r="F613" s="1116"/>
      <c r="G613" s="1116"/>
      <c r="H613" s="1116"/>
      <c r="I613" s="1116"/>
      <c r="J613" s="1116"/>
      <c r="K613" s="1116"/>
      <c r="L613" s="1116"/>
      <c r="M613" s="1116"/>
      <c r="N613" s="1116"/>
      <c r="O613" s="1116"/>
      <c r="P613" s="1116"/>
      <c r="Q613" s="1116"/>
      <c r="R613" s="1116"/>
      <c r="S613" s="1116"/>
      <c r="T613" s="1116"/>
      <c r="U613" s="1116"/>
      <c r="V613" s="1116"/>
      <c r="W613" s="1116"/>
      <c r="X613" s="1116"/>
      <c r="Y613" s="1116"/>
      <c r="Z613" s="1116"/>
      <c r="AA613" s="1116"/>
      <c r="AB613" s="1116"/>
      <c r="AC613" s="1116"/>
      <c r="AD613" s="1116"/>
      <c r="AE613" s="1116"/>
      <c r="AF613" s="1116"/>
      <c r="AG613" s="1116"/>
      <c r="AH613" s="1116"/>
      <c r="AI613" s="1116"/>
      <c r="AJ613" s="1116"/>
      <c r="AK613" s="1116"/>
    </row>
    <row r="614" spans="1:37" x14ac:dyDescent="0.35">
      <c r="A614" s="1116"/>
      <c r="B614" s="1116"/>
      <c r="C614" s="1116"/>
      <c r="D614" s="1116"/>
      <c r="E614" s="1116"/>
      <c r="F614" s="1116"/>
      <c r="G614" s="1116"/>
      <c r="H614" s="1116"/>
      <c r="I614" s="1116"/>
      <c r="J614" s="1116"/>
      <c r="K614" s="1116"/>
      <c r="L614" s="1116"/>
      <c r="M614" s="1116"/>
      <c r="N614" s="1116"/>
      <c r="O614" s="1116"/>
      <c r="P614" s="1116"/>
      <c r="Q614" s="1116"/>
      <c r="R614" s="1116"/>
      <c r="S614" s="1116"/>
      <c r="T614" s="1116"/>
      <c r="U614" s="1116"/>
      <c r="V614" s="1116"/>
      <c r="W614" s="1116"/>
      <c r="X614" s="1116"/>
      <c r="Y614" s="1116"/>
      <c r="Z614" s="1116"/>
      <c r="AA614" s="1116"/>
      <c r="AB614" s="1116"/>
      <c r="AC614" s="1116"/>
      <c r="AD614" s="1116"/>
      <c r="AE614" s="1116"/>
      <c r="AF614" s="1116"/>
      <c r="AG614" s="1116"/>
      <c r="AH614" s="1116"/>
      <c r="AI614" s="1116"/>
      <c r="AJ614" s="1116"/>
      <c r="AK614" s="1116"/>
    </row>
    <row r="615" spans="1:37" x14ac:dyDescent="0.35">
      <c r="A615" s="1116"/>
      <c r="B615" s="1116"/>
      <c r="C615" s="1116"/>
      <c r="D615" s="1116"/>
      <c r="E615" s="1116"/>
      <c r="F615" s="1116"/>
      <c r="G615" s="1116"/>
      <c r="H615" s="1116"/>
      <c r="I615" s="1116"/>
      <c r="J615" s="1116"/>
      <c r="K615" s="1116"/>
      <c r="L615" s="1116"/>
      <c r="M615" s="1116"/>
      <c r="N615" s="1116"/>
      <c r="O615" s="1116"/>
      <c r="P615" s="1116"/>
      <c r="Q615" s="1116"/>
      <c r="R615" s="1116"/>
      <c r="S615" s="1116"/>
      <c r="T615" s="1116"/>
      <c r="U615" s="1116"/>
      <c r="V615" s="1116"/>
      <c r="W615" s="1116"/>
      <c r="X615" s="1116"/>
      <c r="Y615" s="1116"/>
      <c r="Z615" s="1116"/>
      <c r="AA615" s="1116"/>
      <c r="AB615" s="1116"/>
      <c r="AC615" s="1116"/>
      <c r="AD615" s="1116"/>
      <c r="AE615" s="1116"/>
      <c r="AF615" s="1116"/>
      <c r="AG615" s="1116"/>
      <c r="AH615" s="1116"/>
      <c r="AI615" s="1116"/>
      <c r="AJ615" s="1116"/>
      <c r="AK615" s="1116"/>
    </row>
    <row r="616" spans="1:37" x14ac:dyDescent="0.35">
      <c r="A616" s="1116"/>
      <c r="B616" s="1116"/>
      <c r="C616" s="1116"/>
      <c r="D616" s="1116"/>
      <c r="E616" s="1116"/>
      <c r="F616" s="1116"/>
      <c r="G616" s="1116"/>
      <c r="H616" s="1116"/>
      <c r="I616" s="1116"/>
      <c r="J616" s="1116"/>
      <c r="K616" s="1116"/>
      <c r="L616" s="1116"/>
      <c r="M616" s="1116"/>
      <c r="N616" s="1116"/>
      <c r="O616" s="1116"/>
      <c r="P616" s="1116"/>
      <c r="Q616" s="1116"/>
      <c r="R616" s="1116"/>
      <c r="S616" s="1116"/>
      <c r="T616" s="1116"/>
      <c r="U616" s="1116"/>
      <c r="V616" s="1116"/>
      <c r="W616" s="1116"/>
      <c r="X616" s="1116"/>
      <c r="Y616" s="1116"/>
      <c r="Z616" s="1116"/>
      <c r="AA616" s="1116"/>
      <c r="AB616" s="1116"/>
      <c r="AC616" s="1116"/>
      <c r="AD616" s="1116"/>
      <c r="AE616" s="1116"/>
      <c r="AF616" s="1116"/>
      <c r="AG616" s="1116"/>
      <c r="AH616" s="1116"/>
      <c r="AI616" s="1116"/>
      <c r="AJ616" s="1116"/>
      <c r="AK616" s="1116"/>
    </row>
    <row r="617" spans="1:37" x14ac:dyDescent="0.35">
      <c r="A617" s="1116"/>
      <c r="B617" s="1116"/>
      <c r="C617" s="1116"/>
      <c r="D617" s="1116"/>
      <c r="E617" s="1116"/>
      <c r="F617" s="1116"/>
      <c r="G617" s="1116"/>
      <c r="H617" s="1116"/>
      <c r="I617" s="1116"/>
      <c r="J617" s="1116"/>
      <c r="K617" s="1116"/>
      <c r="L617" s="1116"/>
      <c r="M617" s="1116"/>
      <c r="N617" s="1116"/>
      <c r="O617" s="1116"/>
      <c r="P617" s="1116"/>
      <c r="Q617" s="1116"/>
      <c r="R617" s="1116"/>
      <c r="S617" s="1116"/>
      <c r="T617" s="1116"/>
      <c r="U617" s="1116"/>
      <c r="V617" s="1116"/>
      <c r="W617" s="1116"/>
      <c r="X617" s="1116"/>
      <c r="Y617" s="1116"/>
      <c r="Z617" s="1116"/>
      <c r="AA617" s="1116"/>
      <c r="AB617" s="1116"/>
      <c r="AC617" s="1116"/>
      <c r="AD617" s="1116"/>
      <c r="AE617" s="1116"/>
      <c r="AF617" s="1116"/>
      <c r="AG617" s="1116"/>
      <c r="AH617" s="1116"/>
      <c r="AI617" s="1116"/>
      <c r="AJ617" s="1116"/>
      <c r="AK617" s="1116"/>
    </row>
    <row r="618" spans="1:37" x14ac:dyDescent="0.35">
      <c r="A618" s="1116"/>
      <c r="B618" s="1116"/>
      <c r="C618" s="1116"/>
      <c r="D618" s="1116"/>
      <c r="E618" s="1116"/>
      <c r="F618" s="1116"/>
      <c r="G618" s="1116"/>
      <c r="H618" s="1116"/>
      <c r="I618" s="1116"/>
      <c r="J618" s="1116"/>
      <c r="K618" s="1116"/>
      <c r="L618" s="1116"/>
      <c r="M618" s="1116"/>
      <c r="N618" s="1116"/>
      <c r="O618" s="1116"/>
      <c r="P618" s="1116"/>
      <c r="Q618" s="1116"/>
      <c r="R618" s="1116"/>
      <c r="S618" s="1116"/>
      <c r="T618" s="1116"/>
      <c r="U618" s="1116"/>
      <c r="V618" s="1116"/>
      <c r="W618" s="1116"/>
      <c r="X618" s="1116"/>
      <c r="Y618" s="1116"/>
      <c r="Z618" s="1116"/>
      <c r="AA618" s="1116"/>
      <c r="AB618" s="1116"/>
      <c r="AC618" s="1116"/>
      <c r="AD618" s="1116"/>
      <c r="AE618" s="1116"/>
      <c r="AF618" s="1116"/>
      <c r="AG618" s="1116"/>
      <c r="AH618" s="1116"/>
      <c r="AI618" s="1116"/>
      <c r="AJ618" s="1116"/>
      <c r="AK618" s="1116"/>
    </row>
    <row r="619" spans="1:37" x14ac:dyDescent="0.35">
      <c r="A619" s="1116"/>
      <c r="B619" s="1116"/>
      <c r="C619" s="1116"/>
      <c r="D619" s="1116"/>
      <c r="E619" s="1116"/>
      <c r="F619" s="1116"/>
      <c r="G619" s="1116"/>
      <c r="H619" s="1116"/>
      <c r="I619" s="1116"/>
      <c r="J619" s="1116"/>
      <c r="K619" s="1116"/>
      <c r="L619" s="1116"/>
      <c r="M619" s="1116"/>
      <c r="N619" s="1116"/>
      <c r="O619" s="1116"/>
      <c r="P619" s="1116"/>
      <c r="Q619" s="1116"/>
      <c r="R619" s="1116"/>
      <c r="S619" s="1116"/>
      <c r="T619" s="1116"/>
      <c r="U619" s="1116"/>
      <c r="V619" s="1116"/>
      <c r="W619" s="1116"/>
      <c r="X619" s="1116"/>
      <c r="Y619" s="1116"/>
      <c r="Z619" s="1116"/>
      <c r="AA619" s="1116"/>
      <c r="AB619" s="1116"/>
      <c r="AC619" s="1116"/>
      <c r="AD619" s="1116"/>
      <c r="AE619" s="1116"/>
      <c r="AF619" s="1116"/>
      <c r="AG619" s="1116"/>
      <c r="AH619" s="1116"/>
      <c r="AI619" s="1116"/>
      <c r="AJ619" s="1116"/>
      <c r="AK619" s="1116"/>
    </row>
    <row r="620" spans="1:37" x14ac:dyDescent="0.35">
      <c r="A620" s="1116"/>
      <c r="B620" s="1116"/>
      <c r="C620" s="1116"/>
      <c r="D620" s="1116"/>
      <c r="E620" s="1116"/>
      <c r="F620" s="1116"/>
      <c r="G620" s="1116"/>
      <c r="H620" s="1116"/>
      <c r="I620" s="1116"/>
      <c r="J620" s="1116"/>
      <c r="K620" s="1116"/>
      <c r="L620" s="1116"/>
      <c r="M620" s="1116"/>
      <c r="N620" s="1116"/>
      <c r="O620" s="1116"/>
      <c r="P620" s="1116"/>
      <c r="Q620" s="1116"/>
      <c r="R620" s="1116"/>
      <c r="S620" s="1116"/>
      <c r="T620" s="1116"/>
      <c r="U620" s="1116"/>
      <c r="V620" s="1116"/>
      <c r="W620" s="1116"/>
      <c r="X620" s="1116"/>
      <c r="Y620" s="1116"/>
      <c r="Z620" s="1116"/>
      <c r="AA620" s="1116"/>
      <c r="AB620" s="1116"/>
      <c r="AC620" s="1116"/>
      <c r="AD620" s="1116"/>
      <c r="AE620" s="1116"/>
      <c r="AF620" s="1116"/>
      <c r="AG620" s="1116"/>
      <c r="AH620" s="1116"/>
      <c r="AI620" s="1116"/>
      <c r="AJ620" s="1116"/>
      <c r="AK620" s="1116"/>
    </row>
    <row r="621" spans="1:37" x14ac:dyDescent="0.35">
      <c r="A621" s="1116"/>
      <c r="B621" s="1116"/>
      <c r="C621" s="1116"/>
      <c r="D621" s="1116"/>
      <c r="E621" s="1116"/>
      <c r="F621" s="1116"/>
      <c r="G621" s="1116"/>
      <c r="H621" s="1116"/>
      <c r="I621" s="1116"/>
      <c r="J621" s="1116"/>
      <c r="K621" s="1116"/>
      <c r="L621" s="1116"/>
      <c r="M621" s="1116"/>
      <c r="N621" s="1116"/>
      <c r="O621" s="1116"/>
      <c r="P621" s="1116"/>
      <c r="Q621" s="1116"/>
      <c r="R621" s="1116"/>
      <c r="S621" s="1116"/>
      <c r="T621" s="1116"/>
      <c r="U621" s="1116"/>
      <c r="V621" s="1116"/>
      <c r="W621" s="1116"/>
      <c r="X621" s="1116"/>
      <c r="Y621" s="1116"/>
      <c r="Z621" s="1116"/>
      <c r="AA621" s="1116"/>
      <c r="AB621" s="1116"/>
      <c r="AC621" s="1116"/>
      <c r="AD621" s="1116"/>
      <c r="AE621" s="1116"/>
      <c r="AF621" s="1116"/>
      <c r="AG621" s="1116"/>
      <c r="AH621" s="1116"/>
      <c r="AI621" s="1116"/>
      <c r="AJ621" s="1116"/>
      <c r="AK621" s="1116"/>
    </row>
    <row r="622" spans="1:37" x14ac:dyDescent="0.35">
      <c r="A622" s="1116"/>
      <c r="B622" s="1116"/>
      <c r="C622" s="1116"/>
      <c r="D622" s="1116"/>
      <c r="E622" s="1116"/>
      <c r="F622" s="1116"/>
      <c r="G622" s="1116"/>
      <c r="H622" s="1116"/>
      <c r="I622" s="1116"/>
      <c r="J622" s="1116"/>
      <c r="K622" s="1116"/>
      <c r="L622" s="1116"/>
      <c r="M622" s="1116"/>
      <c r="N622" s="1116"/>
      <c r="O622" s="1116"/>
      <c r="P622" s="1116"/>
      <c r="Q622" s="1116"/>
      <c r="R622" s="1116"/>
      <c r="S622" s="1116"/>
      <c r="T622" s="1116"/>
      <c r="U622" s="1116"/>
      <c r="V622" s="1116"/>
      <c r="W622" s="1116"/>
      <c r="X622" s="1116"/>
      <c r="Y622" s="1116"/>
      <c r="Z622" s="1116"/>
      <c r="AA622" s="1116"/>
      <c r="AB622" s="1116"/>
      <c r="AC622" s="1116"/>
      <c r="AD622" s="1116"/>
      <c r="AE622" s="1116"/>
      <c r="AF622" s="1116"/>
      <c r="AG622" s="1116"/>
      <c r="AH622" s="1116"/>
      <c r="AI622" s="1116"/>
      <c r="AJ622" s="1116"/>
      <c r="AK622" s="1116"/>
    </row>
    <row r="623" spans="1:37" x14ac:dyDescent="0.35">
      <c r="A623" s="1116"/>
      <c r="B623" s="1116"/>
      <c r="C623" s="1116"/>
      <c r="D623" s="1116"/>
      <c r="E623" s="1116"/>
      <c r="F623" s="1116"/>
      <c r="G623" s="1116"/>
      <c r="H623" s="1116"/>
      <c r="I623" s="1116"/>
      <c r="J623" s="1116"/>
      <c r="K623" s="1116"/>
      <c r="L623" s="1116"/>
      <c r="M623" s="1116"/>
      <c r="N623" s="1116"/>
      <c r="O623" s="1116"/>
      <c r="P623" s="1116"/>
      <c r="Q623" s="1116"/>
      <c r="R623" s="1116"/>
      <c r="S623" s="1116"/>
      <c r="T623" s="1116"/>
      <c r="U623" s="1116"/>
      <c r="V623" s="1116"/>
      <c r="W623" s="1116"/>
      <c r="X623" s="1116"/>
      <c r="Y623" s="1116"/>
      <c r="Z623" s="1116"/>
      <c r="AA623" s="1116"/>
      <c r="AB623" s="1116"/>
      <c r="AC623" s="1116"/>
      <c r="AD623" s="1116"/>
      <c r="AE623" s="1116"/>
      <c r="AF623" s="1116"/>
      <c r="AG623" s="1116"/>
      <c r="AH623" s="1116"/>
      <c r="AI623" s="1116"/>
      <c r="AJ623" s="1116"/>
      <c r="AK623" s="1116"/>
    </row>
    <row r="624" spans="1:37" x14ac:dyDescent="0.35">
      <c r="A624" s="1116"/>
      <c r="B624" s="1116"/>
      <c r="C624" s="1116"/>
      <c r="D624" s="1116"/>
      <c r="E624" s="1116"/>
      <c r="F624" s="1116"/>
      <c r="G624" s="1116"/>
      <c r="H624" s="1116"/>
      <c r="I624" s="1116"/>
      <c r="J624" s="1116"/>
      <c r="K624" s="1116"/>
      <c r="L624" s="1116"/>
      <c r="M624" s="1116"/>
      <c r="N624" s="1116"/>
      <c r="O624" s="1116"/>
      <c r="P624" s="1116"/>
      <c r="Q624" s="1116"/>
      <c r="R624" s="1116"/>
      <c r="S624" s="1116"/>
      <c r="T624" s="1116"/>
      <c r="U624" s="1116"/>
      <c r="V624" s="1116"/>
      <c r="W624" s="1116"/>
      <c r="X624" s="1116"/>
      <c r="Y624" s="1116"/>
      <c r="Z624" s="1116"/>
      <c r="AA624" s="1116"/>
      <c r="AB624" s="1116"/>
      <c r="AC624" s="1116"/>
      <c r="AD624" s="1116"/>
      <c r="AE624" s="1116"/>
      <c r="AF624" s="1116"/>
      <c r="AG624" s="1116"/>
      <c r="AH624" s="1116"/>
      <c r="AI624" s="1116"/>
      <c r="AJ624" s="1116"/>
      <c r="AK624" s="1116"/>
    </row>
    <row r="625" spans="1:37" x14ac:dyDescent="0.35">
      <c r="A625" s="1116"/>
      <c r="B625" s="1116"/>
      <c r="C625" s="1116"/>
      <c r="D625" s="1116"/>
      <c r="E625" s="1116"/>
      <c r="F625" s="1116"/>
      <c r="G625" s="1116"/>
      <c r="H625" s="1116"/>
      <c r="I625" s="1116"/>
      <c r="J625" s="1116"/>
      <c r="K625" s="1116"/>
      <c r="L625" s="1116"/>
      <c r="M625" s="1116"/>
      <c r="N625" s="1116"/>
      <c r="O625" s="1116"/>
      <c r="P625" s="1116"/>
      <c r="Q625" s="1116"/>
      <c r="R625" s="1116"/>
      <c r="S625" s="1116"/>
      <c r="T625" s="1116"/>
      <c r="U625" s="1116"/>
      <c r="V625" s="1116"/>
      <c r="W625" s="1116"/>
      <c r="X625" s="1116"/>
      <c r="Y625" s="1116"/>
      <c r="Z625" s="1116"/>
      <c r="AA625" s="1116"/>
      <c r="AB625" s="1116"/>
      <c r="AC625" s="1116"/>
      <c r="AD625" s="1116"/>
      <c r="AE625" s="1116"/>
      <c r="AF625" s="1116"/>
      <c r="AG625" s="1116"/>
      <c r="AH625" s="1116"/>
      <c r="AI625" s="1116"/>
      <c r="AJ625" s="1116"/>
      <c r="AK625" s="1116"/>
    </row>
    <row r="626" spans="1:37" x14ac:dyDescent="0.35">
      <c r="A626" s="1116"/>
      <c r="B626" s="1116"/>
      <c r="C626" s="1116"/>
      <c r="D626" s="1116"/>
      <c r="E626" s="1116"/>
      <c r="F626" s="1116"/>
      <c r="G626" s="1116"/>
      <c r="H626" s="1116"/>
      <c r="I626" s="1116"/>
      <c r="J626" s="1116"/>
      <c r="K626" s="1116"/>
      <c r="L626" s="1116"/>
      <c r="M626" s="1116"/>
      <c r="N626" s="1116"/>
      <c r="O626" s="1116"/>
      <c r="P626" s="1116"/>
      <c r="Q626" s="1116"/>
      <c r="R626" s="1116"/>
      <c r="S626" s="1116"/>
      <c r="T626" s="1116"/>
      <c r="U626" s="1116"/>
      <c r="V626" s="1116"/>
      <c r="W626" s="1116"/>
      <c r="X626" s="1116"/>
      <c r="Y626" s="1116"/>
      <c r="Z626" s="1116"/>
      <c r="AA626" s="1116"/>
      <c r="AB626" s="1116"/>
      <c r="AC626" s="1116"/>
      <c r="AD626" s="1116"/>
      <c r="AE626" s="1116"/>
      <c r="AF626" s="1116"/>
      <c r="AG626" s="1116"/>
      <c r="AH626" s="1116"/>
      <c r="AI626" s="1116"/>
      <c r="AJ626" s="1116"/>
      <c r="AK626" s="1116"/>
    </row>
    <row r="627" spans="1:37" x14ac:dyDescent="0.35">
      <c r="A627" s="1116"/>
      <c r="B627" s="1116"/>
      <c r="C627" s="1116"/>
      <c r="D627" s="1116"/>
      <c r="E627" s="1116"/>
      <c r="F627" s="1116"/>
      <c r="G627" s="1116"/>
      <c r="H627" s="1116"/>
      <c r="I627" s="1116"/>
      <c r="J627" s="1116"/>
      <c r="K627" s="1116"/>
      <c r="L627" s="1116"/>
      <c r="M627" s="1116"/>
      <c r="N627" s="1116"/>
      <c r="O627" s="1116"/>
      <c r="P627" s="1116"/>
      <c r="Q627" s="1116"/>
      <c r="R627" s="1116"/>
      <c r="S627" s="1116"/>
      <c r="T627" s="1116"/>
      <c r="U627" s="1116"/>
      <c r="V627" s="1116"/>
      <c r="W627" s="1116"/>
      <c r="X627" s="1116"/>
      <c r="Y627" s="1116"/>
      <c r="Z627" s="1116"/>
      <c r="AA627" s="1116"/>
      <c r="AB627" s="1116"/>
      <c r="AC627" s="1116"/>
      <c r="AD627" s="1116"/>
      <c r="AE627" s="1116"/>
      <c r="AF627" s="1116"/>
      <c r="AG627" s="1116"/>
      <c r="AH627" s="1116"/>
      <c r="AI627" s="1116"/>
      <c r="AJ627" s="1116"/>
      <c r="AK627" s="1116"/>
    </row>
    <row r="628" spans="1:37" x14ac:dyDescent="0.35">
      <c r="A628" s="1116"/>
      <c r="B628" s="1116"/>
      <c r="C628" s="1116"/>
      <c r="D628" s="1116"/>
      <c r="E628" s="1116"/>
      <c r="F628" s="1116"/>
      <c r="G628" s="1116"/>
      <c r="H628" s="1116"/>
      <c r="I628" s="1116"/>
      <c r="J628" s="1116"/>
      <c r="K628" s="1116"/>
      <c r="L628" s="1116"/>
      <c r="M628" s="1116"/>
      <c r="N628" s="1116"/>
      <c r="O628" s="1116"/>
      <c r="P628" s="1116"/>
      <c r="Q628" s="1116"/>
      <c r="R628" s="1116"/>
      <c r="S628" s="1116"/>
      <c r="T628" s="1116"/>
      <c r="U628" s="1116"/>
      <c r="V628" s="1116"/>
      <c r="W628" s="1116"/>
      <c r="X628" s="1116"/>
      <c r="Y628" s="1116"/>
      <c r="Z628" s="1116"/>
      <c r="AA628" s="1116"/>
      <c r="AB628" s="1116"/>
      <c r="AC628" s="1116"/>
      <c r="AD628" s="1116"/>
      <c r="AE628" s="1116"/>
      <c r="AF628" s="1116"/>
      <c r="AG628" s="1116"/>
      <c r="AH628" s="1116"/>
      <c r="AI628" s="1116"/>
      <c r="AJ628" s="1116"/>
      <c r="AK628" s="1116"/>
    </row>
    <row r="629" spans="1:37" x14ac:dyDescent="0.35">
      <c r="A629" s="1116"/>
      <c r="B629" s="1116"/>
      <c r="C629" s="1116"/>
      <c r="D629" s="1116"/>
      <c r="E629" s="1116"/>
      <c r="F629" s="1116"/>
      <c r="G629" s="1116"/>
      <c r="H629" s="1116"/>
      <c r="I629" s="1116"/>
      <c r="J629" s="1116"/>
      <c r="K629" s="1116"/>
      <c r="L629" s="1116"/>
      <c r="M629" s="1116"/>
      <c r="N629" s="1116"/>
      <c r="O629" s="1116"/>
      <c r="P629" s="1116"/>
      <c r="Q629" s="1116"/>
      <c r="R629" s="1116"/>
      <c r="S629" s="1116"/>
      <c r="T629" s="1116"/>
      <c r="U629" s="1116"/>
      <c r="V629" s="1116"/>
      <c r="W629" s="1116"/>
      <c r="X629" s="1116"/>
      <c r="Y629" s="1116"/>
      <c r="Z629" s="1116"/>
      <c r="AA629" s="1116"/>
      <c r="AB629" s="1116"/>
      <c r="AC629" s="1116"/>
      <c r="AD629" s="1116"/>
      <c r="AE629" s="1116"/>
      <c r="AF629" s="1116"/>
      <c r="AG629" s="1116"/>
      <c r="AH629" s="1116"/>
      <c r="AI629" s="1116"/>
      <c r="AJ629" s="1116"/>
      <c r="AK629" s="1116"/>
    </row>
    <row r="630" spans="1:37" x14ac:dyDescent="0.35">
      <c r="A630" s="1116"/>
      <c r="B630" s="1116"/>
      <c r="C630" s="1116"/>
      <c r="D630" s="1116"/>
      <c r="E630" s="1116"/>
      <c r="F630" s="1116"/>
      <c r="G630" s="1116"/>
      <c r="H630" s="1116"/>
      <c r="I630" s="1116"/>
      <c r="J630" s="1116"/>
      <c r="K630" s="1116"/>
      <c r="L630" s="1116"/>
      <c r="M630" s="1116"/>
      <c r="N630" s="1116"/>
      <c r="O630" s="1116"/>
      <c r="P630" s="1116"/>
      <c r="Q630" s="1116"/>
      <c r="R630" s="1116"/>
      <c r="S630" s="1116"/>
      <c r="T630" s="1116"/>
      <c r="U630" s="1116"/>
      <c r="V630" s="1116"/>
      <c r="W630" s="1116"/>
      <c r="X630" s="1116"/>
      <c r="Y630" s="1116"/>
      <c r="Z630" s="1116"/>
      <c r="AA630" s="1116"/>
      <c r="AB630" s="1116"/>
      <c r="AC630" s="1116"/>
      <c r="AD630" s="1116"/>
      <c r="AE630" s="1116"/>
      <c r="AF630" s="1116"/>
      <c r="AG630" s="1116"/>
      <c r="AH630" s="1116"/>
      <c r="AI630" s="1116"/>
      <c r="AJ630" s="1116"/>
      <c r="AK630" s="1116"/>
    </row>
    <row r="631" spans="1:37" x14ac:dyDescent="0.35">
      <c r="A631" s="1116"/>
      <c r="B631" s="1116"/>
      <c r="C631" s="1116"/>
      <c r="D631" s="1116"/>
      <c r="E631" s="1116"/>
      <c r="F631" s="1116"/>
      <c r="G631" s="1116"/>
      <c r="H631" s="1116"/>
      <c r="I631" s="1116"/>
      <c r="J631" s="1116"/>
      <c r="K631" s="1116"/>
      <c r="L631" s="1116"/>
      <c r="M631" s="1116"/>
      <c r="N631" s="1116"/>
      <c r="O631" s="1116"/>
      <c r="P631" s="1116"/>
      <c r="Q631" s="1116"/>
      <c r="R631" s="1116"/>
      <c r="S631" s="1116"/>
      <c r="T631" s="1116"/>
      <c r="U631" s="1116"/>
      <c r="V631" s="1116"/>
      <c r="W631" s="1116"/>
      <c r="X631" s="1116"/>
      <c r="Y631" s="1116"/>
      <c r="Z631" s="1116"/>
      <c r="AA631" s="1116"/>
      <c r="AB631" s="1116"/>
      <c r="AC631" s="1116"/>
      <c r="AD631" s="1116"/>
      <c r="AE631" s="1116"/>
      <c r="AF631" s="1116"/>
      <c r="AG631" s="1116"/>
      <c r="AH631" s="1116"/>
      <c r="AI631" s="1116"/>
      <c r="AJ631" s="1116"/>
      <c r="AK631" s="1116"/>
    </row>
    <row r="632" spans="1:37" x14ac:dyDescent="0.35">
      <c r="A632" s="1116"/>
      <c r="B632" s="1116"/>
      <c r="C632" s="1116"/>
      <c r="D632" s="1116"/>
      <c r="E632" s="1116"/>
      <c r="F632" s="1116"/>
      <c r="G632" s="1116"/>
      <c r="H632" s="1116"/>
      <c r="I632" s="1116"/>
      <c r="J632" s="1116"/>
      <c r="K632" s="1116"/>
      <c r="L632" s="1116"/>
      <c r="M632" s="1116"/>
      <c r="N632" s="1116"/>
      <c r="O632" s="1116"/>
      <c r="P632" s="1116"/>
      <c r="Q632" s="1116"/>
      <c r="R632" s="1116"/>
      <c r="S632" s="1116"/>
      <c r="T632" s="1116"/>
      <c r="U632" s="1116"/>
      <c r="V632" s="1116"/>
      <c r="W632" s="1116"/>
      <c r="X632" s="1116"/>
      <c r="Y632" s="1116"/>
      <c r="Z632" s="1116"/>
      <c r="AA632" s="1116"/>
      <c r="AB632" s="1116"/>
      <c r="AC632" s="1116"/>
      <c r="AD632" s="1116"/>
      <c r="AE632" s="1116"/>
      <c r="AF632" s="1116"/>
      <c r="AG632" s="1116"/>
      <c r="AH632" s="1116"/>
      <c r="AI632" s="1116"/>
      <c r="AJ632" s="1116"/>
      <c r="AK632" s="1116"/>
    </row>
    <row r="633" spans="1:37" x14ac:dyDescent="0.35">
      <c r="A633" s="1116"/>
      <c r="B633" s="1116"/>
      <c r="C633" s="1116"/>
      <c r="D633" s="1116"/>
      <c r="E633" s="1116"/>
      <c r="F633" s="1116"/>
      <c r="G633" s="1116"/>
      <c r="H633" s="1116"/>
      <c r="I633" s="1116"/>
      <c r="J633" s="1116"/>
      <c r="K633" s="1116"/>
      <c r="L633" s="1116"/>
      <c r="M633" s="1116"/>
      <c r="N633" s="1116"/>
      <c r="O633" s="1116"/>
      <c r="P633" s="1116"/>
      <c r="Q633" s="1116"/>
      <c r="R633" s="1116"/>
      <c r="S633" s="1116"/>
      <c r="T633" s="1116"/>
      <c r="U633" s="1116"/>
      <c r="V633" s="1116"/>
      <c r="W633" s="1116"/>
      <c r="X633" s="1116"/>
      <c r="Y633" s="1116"/>
      <c r="Z633" s="1116"/>
      <c r="AA633" s="1116"/>
      <c r="AB633" s="1116"/>
      <c r="AC633" s="1116"/>
      <c r="AD633" s="1116"/>
      <c r="AE633" s="1116"/>
      <c r="AF633" s="1116"/>
      <c r="AG633" s="1116"/>
      <c r="AH633" s="1116"/>
      <c r="AI633" s="1116"/>
      <c r="AJ633" s="1116"/>
      <c r="AK633" s="1116"/>
    </row>
    <row r="634" spans="1:37" x14ac:dyDescent="0.35">
      <c r="A634" s="1116"/>
      <c r="B634" s="1116"/>
      <c r="C634" s="1116"/>
      <c r="D634" s="1116"/>
      <c r="E634" s="1116"/>
      <c r="F634" s="1116"/>
      <c r="G634" s="1116"/>
      <c r="H634" s="1116"/>
      <c r="I634" s="1116"/>
      <c r="J634" s="1116"/>
      <c r="K634" s="1116"/>
      <c r="L634" s="1116"/>
      <c r="M634" s="1116"/>
      <c r="N634" s="1116"/>
      <c r="O634" s="1116"/>
      <c r="P634" s="1116"/>
      <c r="Q634" s="1116"/>
      <c r="R634" s="1116"/>
      <c r="S634" s="1116"/>
      <c r="T634" s="1116"/>
      <c r="U634" s="1116"/>
      <c r="V634" s="1116"/>
      <c r="W634" s="1116"/>
      <c r="X634" s="1116"/>
      <c r="Y634" s="1116"/>
      <c r="Z634" s="1116"/>
      <c r="AA634" s="1116"/>
      <c r="AB634" s="1116"/>
      <c r="AC634" s="1116"/>
      <c r="AD634" s="1116"/>
      <c r="AE634" s="1116"/>
      <c r="AF634" s="1116"/>
      <c r="AG634" s="1116"/>
      <c r="AH634" s="1116"/>
      <c r="AI634" s="1116"/>
      <c r="AJ634" s="1116"/>
      <c r="AK634" s="1116"/>
    </row>
    <row r="635" spans="1:37" x14ac:dyDescent="0.35">
      <c r="A635" s="1116"/>
      <c r="B635" s="1116"/>
      <c r="C635" s="1116"/>
      <c r="D635" s="1116"/>
      <c r="E635" s="1116"/>
      <c r="F635" s="1116"/>
      <c r="G635" s="1116"/>
      <c r="H635" s="1116"/>
      <c r="I635" s="1116"/>
      <c r="J635" s="1116"/>
      <c r="K635" s="1116"/>
      <c r="L635" s="1116"/>
      <c r="M635" s="1116"/>
      <c r="N635" s="1116"/>
      <c r="O635" s="1116"/>
      <c r="P635" s="1116"/>
      <c r="Q635" s="1116"/>
      <c r="R635" s="1116"/>
      <c r="S635" s="1116"/>
      <c r="T635" s="1116"/>
      <c r="U635" s="1116"/>
      <c r="V635" s="1116"/>
      <c r="W635" s="1116"/>
      <c r="X635" s="1116"/>
      <c r="Y635" s="1116"/>
      <c r="Z635" s="1116"/>
      <c r="AA635" s="1116"/>
      <c r="AB635" s="1116"/>
      <c r="AC635" s="1116"/>
      <c r="AD635" s="1116"/>
      <c r="AE635" s="1116"/>
      <c r="AF635" s="1116"/>
      <c r="AG635" s="1116"/>
      <c r="AH635" s="1116"/>
      <c r="AI635" s="1116"/>
      <c r="AJ635" s="1116"/>
      <c r="AK635" s="1116"/>
    </row>
    <row r="636" spans="1:37" x14ac:dyDescent="0.35">
      <c r="A636" s="1116"/>
      <c r="B636" s="1116"/>
      <c r="C636" s="1116"/>
      <c r="D636" s="1116"/>
      <c r="E636" s="1116"/>
      <c r="F636" s="1116"/>
      <c r="G636" s="1116"/>
      <c r="H636" s="1116"/>
      <c r="I636" s="1116"/>
      <c r="J636" s="1116"/>
      <c r="K636" s="1116"/>
      <c r="L636" s="1116"/>
      <c r="M636" s="1116"/>
      <c r="N636" s="1116"/>
      <c r="O636" s="1116"/>
      <c r="P636" s="1116"/>
      <c r="Q636" s="1116"/>
      <c r="R636" s="1116"/>
      <c r="S636" s="1116"/>
      <c r="T636" s="1116"/>
      <c r="U636" s="1116"/>
      <c r="V636" s="1116"/>
      <c r="W636" s="1116"/>
      <c r="X636" s="1116"/>
      <c r="Y636" s="1116"/>
      <c r="Z636" s="1116"/>
      <c r="AA636" s="1116"/>
      <c r="AB636" s="1116"/>
      <c r="AC636" s="1116"/>
      <c r="AD636" s="1116"/>
      <c r="AE636" s="1116"/>
      <c r="AF636" s="1116"/>
      <c r="AG636" s="1116"/>
      <c r="AH636" s="1116"/>
      <c r="AI636" s="1116"/>
      <c r="AJ636" s="1116"/>
      <c r="AK636" s="1116"/>
    </row>
    <row r="637" spans="1:37" x14ac:dyDescent="0.35">
      <c r="A637" s="1116"/>
      <c r="B637" s="1116"/>
      <c r="C637" s="1116"/>
      <c r="D637" s="1116"/>
      <c r="E637" s="1116"/>
      <c r="F637" s="1116"/>
      <c r="G637" s="1116"/>
      <c r="H637" s="1116"/>
      <c r="I637" s="1116"/>
      <c r="J637" s="1116"/>
      <c r="K637" s="1116"/>
      <c r="L637" s="1116"/>
      <c r="M637" s="1116"/>
      <c r="N637" s="1116"/>
      <c r="O637" s="1116"/>
      <c r="P637" s="1116"/>
      <c r="Q637" s="1116"/>
      <c r="R637" s="1116"/>
      <c r="S637" s="1116"/>
      <c r="T637" s="1116"/>
      <c r="U637" s="1116"/>
      <c r="V637" s="1116"/>
      <c r="W637" s="1116"/>
      <c r="X637" s="1116"/>
      <c r="Y637" s="1116"/>
      <c r="Z637" s="1116"/>
      <c r="AA637" s="1116"/>
      <c r="AB637" s="1116"/>
      <c r="AC637" s="1116"/>
      <c r="AD637" s="1116"/>
      <c r="AE637" s="1116"/>
      <c r="AF637" s="1116"/>
      <c r="AG637" s="1116"/>
      <c r="AH637" s="1116"/>
      <c r="AI637" s="1116"/>
      <c r="AJ637" s="1116"/>
      <c r="AK637" s="1116"/>
    </row>
    <row r="638" spans="1:37" x14ac:dyDescent="0.35">
      <c r="A638" s="1116"/>
      <c r="B638" s="1116"/>
      <c r="C638" s="1116"/>
      <c r="D638" s="1116"/>
      <c r="E638" s="1116"/>
      <c r="F638" s="1116"/>
      <c r="G638" s="1116"/>
      <c r="H638" s="1116"/>
      <c r="I638" s="1116"/>
      <c r="J638" s="1116"/>
      <c r="K638" s="1116"/>
      <c r="L638" s="1116"/>
      <c r="M638" s="1116"/>
      <c r="N638" s="1116"/>
      <c r="O638" s="1116"/>
      <c r="P638" s="1116"/>
      <c r="Q638" s="1116"/>
      <c r="R638" s="1116"/>
      <c r="S638" s="1116"/>
      <c r="T638" s="1116"/>
      <c r="U638" s="1116"/>
      <c r="V638" s="1116"/>
      <c r="W638" s="1116"/>
      <c r="X638" s="1116"/>
      <c r="Y638" s="1116"/>
      <c r="Z638" s="1116"/>
      <c r="AA638" s="1116"/>
      <c r="AB638" s="1116"/>
      <c r="AC638" s="1116"/>
      <c r="AD638" s="1116"/>
      <c r="AE638" s="1116"/>
      <c r="AF638" s="1116"/>
      <c r="AG638" s="1116"/>
      <c r="AH638" s="1116"/>
      <c r="AI638" s="1116"/>
      <c r="AJ638" s="1116"/>
      <c r="AK638" s="1116"/>
    </row>
    <row r="639" spans="1:37" x14ac:dyDescent="0.35">
      <c r="A639" s="1116"/>
      <c r="B639" s="1116"/>
      <c r="C639" s="1116"/>
      <c r="D639" s="1116"/>
      <c r="E639" s="1116"/>
      <c r="F639" s="1116"/>
      <c r="G639" s="1116"/>
      <c r="H639" s="1116"/>
      <c r="I639" s="1116"/>
      <c r="J639" s="1116"/>
      <c r="K639" s="1116"/>
      <c r="L639" s="1116"/>
      <c r="M639" s="1116"/>
      <c r="N639" s="1116"/>
      <c r="O639" s="1116"/>
      <c r="P639" s="1116"/>
      <c r="Q639" s="1116"/>
      <c r="R639" s="1116"/>
      <c r="S639" s="1116"/>
      <c r="T639" s="1116"/>
      <c r="U639" s="1116"/>
      <c r="V639" s="1116"/>
      <c r="W639" s="1116"/>
      <c r="X639" s="1116"/>
      <c r="Y639" s="1116"/>
      <c r="Z639" s="1116"/>
      <c r="AA639" s="1116"/>
      <c r="AB639" s="1116"/>
      <c r="AC639" s="1116"/>
      <c r="AD639" s="1116"/>
      <c r="AE639" s="1116"/>
      <c r="AF639" s="1116"/>
      <c r="AG639" s="1116"/>
      <c r="AH639" s="1116"/>
      <c r="AI639" s="1116"/>
      <c r="AJ639" s="1116"/>
      <c r="AK639" s="1116"/>
    </row>
    <row r="640" spans="1:37" x14ac:dyDescent="0.35">
      <c r="A640" s="1116"/>
      <c r="B640" s="1116"/>
      <c r="C640" s="1116"/>
      <c r="D640" s="1116"/>
      <c r="E640" s="1116"/>
      <c r="F640" s="1116"/>
      <c r="G640" s="1116"/>
      <c r="H640" s="1116"/>
      <c r="I640" s="1116"/>
      <c r="J640" s="1116"/>
      <c r="K640" s="1116"/>
      <c r="L640" s="1116"/>
      <c r="M640" s="1116"/>
      <c r="N640" s="1116"/>
      <c r="O640" s="1116"/>
      <c r="P640" s="1116"/>
      <c r="Q640" s="1116"/>
      <c r="R640" s="1116"/>
      <c r="S640" s="1116"/>
      <c r="T640" s="1116"/>
      <c r="U640" s="1116"/>
      <c r="V640" s="1116"/>
      <c r="W640" s="1116"/>
      <c r="X640" s="1116"/>
      <c r="Y640" s="1116"/>
      <c r="Z640" s="1116"/>
      <c r="AA640" s="1116"/>
      <c r="AB640" s="1116"/>
      <c r="AC640" s="1116"/>
      <c r="AD640" s="1116"/>
      <c r="AE640" s="1116"/>
      <c r="AF640" s="1116"/>
      <c r="AG640" s="1116"/>
      <c r="AH640" s="1116"/>
      <c r="AI640" s="1116"/>
      <c r="AJ640" s="1116"/>
      <c r="AK640" s="1116"/>
    </row>
    <row r="641" spans="1:37" x14ac:dyDescent="0.35">
      <c r="A641" s="1116"/>
      <c r="B641" s="1116"/>
      <c r="C641" s="1116"/>
      <c r="D641" s="1116"/>
      <c r="E641" s="1116"/>
      <c r="F641" s="1116"/>
      <c r="G641" s="1116"/>
      <c r="H641" s="1116"/>
      <c r="I641" s="1116"/>
      <c r="J641" s="1116"/>
      <c r="K641" s="1116"/>
      <c r="L641" s="1116"/>
      <c r="M641" s="1116"/>
      <c r="N641" s="1116"/>
      <c r="O641" s="1116"/>
      <c r="P641" s="1116"/>
      <c r="Q641" s="1116"/>
      <c r="R641" s="1116"/>
      <c r="S641" s="1116"/>
      <c r="T641" s="1116"/>
      <c r="U641" s="1116"/>
      <c r="V641" s="1116"/>
      <c r="W641" s="1116"/>
      <c r="X641" s="1116"/>
      <c r="Y641" s="1116"/>
      <c r="Z641" s="1116"/>
      <c r="AA641" s="1116"/>
      <c r="AB641" s="1116"/>
      <c r="AC641" s="1116"/>
      <c r="AD641" s="1116"/>
      <c r="AE641" s="1116"/>
      <c r="AF641" s="1116"/>
      <c r="AG641" s="1116"/>
      <c r="AH641" s="1116"/>
      <c r="AI641" s="1116"/>
      <c r="AJ641" s="1116"/>
      <c r="AK641" s="1116"/>
    </row>
    <row r="642" spans="1:37" x14ac:dyDescent="0.35">
      <c r="A642" s="1116"/>
      <c r="B642" s="1116"/>
      <c r="C642" s="1116"/>
      <c r="D642" s="1116"/>
      <c r="E642" s="1116"/>
      <c r="F642" s="1116"/>
      <c r="G642" s="1116"/>
      <c r="H642" s="1116"/>
      <c r="I642" s="1116"/>
      <c r="J642" s="1116"/>
      <c r="K642" s="1116"/>
      <c r="L642" s="1116"/>
      <c r="M642" s="1116"/>
      <c r="N642" s="1116"/>
      <c r="O642" s="1116"/>
      <c r="P642" s="1116"/>
      <c r="Q642" s="1116"/>
      <c r="R642" s="1116"/>
      <c r="S642" s="1116"/>
      <c r="T642" s="1116"/>
      <c r="U642" s="1116"/>
      <c r="V642" s="1116"/>
      <c r="W642" s="1116"/>
      <c r="X642" s="1116"/>
      <c r="Y642" s="1116"/>
      <c r="Z642" s="1116"/>
      <c r="AA642" s="1116"/>
      <c r="AB642" s="1116"/>
      <c r="AC642" s="1116"/>
      <c r="AD642" s="1116"/>
      <c r="AE642" s="1116"/>
      <c r="AF642" s="1116"/>
      <c r="AG642" s="1116"/>
      <c r="AH642" s="1116"/>
      <c r="AI642" s="1116"/>
      <c r="AJ642" s="1116"/>
      <c r="AK642" s="1116"/>
    </row>
    <row r="643" spans="1:37" x14ac:dyDescent="0.35">
      <c r="A643" s="1116"/>
      <c r="B643" s="1116"/>
      <c r="C643" s="1116"/>
      <c r="D643" s="1116"/>
      <c r="E643" s="1116"/>
      <c r="F643" s="1116"/>
      <c r="G643" s="1116"/>
      <c r="H643" s="1116"/>
      <c r="I643" s="1116"/>
      <c r="J643" s="1116"/>
      <c r="K643" s="1116"/>
      <c r="L643" s="1116"/>
      <c r="M643" s="1116"/>
      <c r="N643" s="1116"/>
      <c r="O643" s="1116"/>
      <c r="P643" s="1116"/>
      <c r="Q643" s="1116"/>
      <c r="R643" s="1116"/>
      <c r="S643" s="1116"/>
      <c r="T643" s="1116"/>
      <c r="U643" s="1116"/>
      <c r="V643" s="1116"/>
      <c r="W643" s="1116"/>
      <c r="X643" s="1116"/>
      <c r="Y643" s="1116"/>
      <c r="Z643" s="1116"/>
      <c r="AA643" s="1116"/>
      <c r="AB643" s="1116"/>
      <c r="AC643" s="1116"/>
      <c r="AD643" s="1116"/>
      <c r="AE643" s="1116"/>
      <c r="AF643" s="1116"/>
      <c r="AG643" s="1116"/>
      <c r="AH643" s="1116"/>
      <c r="AI643" s="1116"/>
      <c r="AJ643" s="1116"/>
      <c r="AK643" s="1116"/>
    </row>
    <row r="644" spans="1:37" x14ac:dyDescent="0.35">
      <c r="A644" s="1116"/>
      <c r="B644" s="1116"/>
      <c r="C644" s="1116"/>
      <c r="D644" s="1116"/>
      <c r="E644" s="1116"/>
      <c r="F644" s="1116"/>
      <c r="G644" s="1116"/>
      <c r="H644" s="1116"/>
      <c r="I644" s="1116"/>
      <c r="J644" s="1116"/>
      <c r="K644" s="1116"/>
      <c r="L644" s="1116"/>
      <c r="M644" s="1116"/>
      <c r="N644" s="1116"/>
      <c r="O644" s="1116"/>
      <c r="P644" s="1116"/>
      <c r="Q644" s="1116"/>
      <c r="R644" s="1116"/>
      <c r="S644" s="1116"/>
      <c r="T644" s="1116"/>
      <c r="U644" s="1116"/>
      <c r="V644" s="1116"/>
      <c r="W644" s="1116"/>
      <c r="X644" s="1116"/>
      <c r="Y644" s="1116"/>
      <c r="Z644" s="1116"/>
      <c r="AA644" s="1116"/>
      <c r="AB644" s="1116"/>
      <c r="AC644" s="1116"/>
      <c r="AD644" s="1116"/>
      <c r="AE644" s="1116"/>
      <c r="AF644" s="1116"/>
      <c r="AG644" s="1116"/>
      <c r="AH644" s="1116"/>
      <c r="AI644" s="1116"/>
      <c r="AJ644" s="1116"/>
      <c r="AK644" s="1116"/>
    </row>
    <row r="645" spans="1:37" x14ac:dyDescent="0.35">
      <c r="A645" s="1116"/>
      <c r="B645" s="1116"/>
      <c r="C645" s="1116"/>
      <c r="D645" s="1116"/>
      <c r="E645" s="1116"/>
      <c r="F645" s="1116"/>
      <c r="G645" s="1116"/>
      <c r="H645" s="1116"/>
      <c r="I645" s="1116"/>
      <c r="J645" s="1116"/>
      <c r="K645" s="1116"/>
      <c r="L645" s="1116"/>
      <c r="M645" s="1116"/>
      <c r="N645" s="1116"/>
      <c r="O645" s="1116"/>
      <c r="P645" s="1116"/>
      <c r="Q645" s="1116"/>
      <c r="R645" s="1116"/>
      <c r="S645" s="1116"/>
      <c r="T645" s="1116"/>
      <c r="U645" s="1116"/>
      <c r="V645" s="1116"/>
      <c r="W645" s="1116"/>
      <c r="X645" s="1116"/>
      <c r="Y645" s="1116"/>
      <c r="Z645" s="1116"/>
      <c r="AA645" s="1116"/>
      <c r="AB645" s="1116"/>
      <c r="AC645" s="1116"/>
      <c r="AD645" s="1116"/>
      <c r="AE645" s="1116"/>
      <c r="AF645" s="1116"/>
      <c r="AG645" s="1116"/>
      <c r="AH645" s="1116"/>
      <c r="AI645" s="1116"/>
      <c r="AJ645" s="1116"/>
      <c r="AK645" s="1116"/>
    </row>
    <row r="646" spans="1:37" x14ac:dyDescent="0.35">
      <c r="A646" s="1116"/>
      <c r="B646" s="1116"/>
      <c r="C646" s="1116"/>
      <c r="D646" s="1116"/>
      <c r="E646" s="1116"/>
      <c r="F646" s="1116"/>
      <c r="G646" s="1116"/>
      <c r="H646" s="1116"/>
      <c r="I646" s="1116"/>
      <c r="J646" s="1116"/>
      <c r="K646" s="1116"/>
      <c r="L646" s="1116"/>
      <c r="M646" s="1116"/>
      <c r="N646" s="1116"/>
      <c r="O646" s="1116"/>
      <c r="P646" s="1116"/>
      <c r="Q646" s="1116"/>
      <c r="R646" s="1116"/>
      <c r="S646" s="1116"/>
      <c r="T646" s="1116"/>
      <c r="U646" s="1116"/>
      <c r="V646" s="1116"/>
      <c r="W646" s="1116"/>
      <c r="X646" s="1116"/>
      <c r="Y646" s="1116"/>
      <c r="Z646" s="1116"/>
      <c r="AA646" s="1116"/>
      <c r="AB646" s="1116"/>
      <c r="AC646" s="1116"/>
      <c r="AD646" s="1116"/>
      <c r="AE646" s="1116"/>
      <c r="AF646" s="1116"/>
      <c r="AG646" s="1116"/>
      <c r="AH646" s="1116"/>
      <c r="AI646" s="1116"/>
      <c r="AJ646" s="1116"/>
      <c r="AK646" s="1116"/>
    </row>
    <row r="647" spans="1:37" x14ac:dyDescent="0.35">
      <c r="A647" s="1116"/>
      <c r="B647" s="1116"/>
      <c r="C647" s="1116"/>
      <c r="D647" s="1116"/>
      <c r="E647" s="1116"/>
      <c r="F647" s="1116"/>
      <c r="G647" s="1116"/>
      <c r="H647" s="1116"/>
      <c r="I647" s="1116"/>
      <c r="J647" s="1116"/>
      <c r="K647" s="1116"/>
      <c r="L647" s="1116"/>
      <c r="M647" s="1116"/>
      <c r="N647" s="1116"/>
      <c r="O647" s="1116"/>
      <c r="P647" s="1116"/>
      <c r="Q647" s="1116"/>
      <c r="R647" s="1116"/>
      <c r="S647" s="1116"/>
      <c r="T647" s="1116"/>
      <c r="U647" s="1116"/>
      <c r="V647" s="1116"/>
      <c r="W647" s="1116"/>
      <c r="X647" s="1116"/>
      <c r="Y647" s="1116"/>
      <c r="Z647" s="1116"/>
      <c r="AA647" s="1116"/>
      <c r="AB647" s="1116"/>
      <c r="AC647" s="1116"/>
      <c r="AD647" s="1116"/>
      <c r="AE647" s="1116"/>
      <c r="AF647" s="1116"/>
      <c r="AG647" s="1116"/>
      <c r="AH647" s="1116"/>
      <c r="AI647" s="1116"/>
      <c r="AJ647" s="1116"/>
      <c r="AK647" s="1116"/>
    </row>
    <row r="648" spans="1:37" x14ac:dyDescent="0.35">
      <c r="A648" s="1116"/>
      <c r="B648" s="1116"/>
      <c r="C648" s="1116"/>
      <c r="D648" s="1116"/>
      <c r="E648" s="1116"/>
      <c r="F648" s="1116"/>
      <c r="G648" s="1116"/>
      <c r="H648" s="1116"/>
      <c r="I648" s="1116"/>
      <c r="J648" s="1116"/>
      <c r="K648" s="1116"/>
      <c r="L648" s="1116"/>
      <c r="M648" s="1116"/>
      <c r="N648" s="1116"/>
      <c r="O648" s="1116"/>
      <c r="P648" s="1116"/>
      <c r="Q648" s="1116"/>
      <c r="R648" s="1116"/>
      <c r="S648" s="1116"/>
      <c r="T648" s="1116"/>
      <c r="U648" s="1116"/>
      <c r="V648" s="1116"/>
      <c r="W648" s="1116"/>
      <c r="X648" s="1116"/>
      <c r="Y648" s="1116"/>
      <c r="Z648" s="1116"/>
      <c r="AA648" s="1116"/>
      <c r="AB648" s="1116"/>
      <c r="AC648" s="1116"/>
      <c r="AD648" s="1116"/>
      <c r="AE648" s="1116"/>
      <c r="AF648" s="1116"/>
      <c r="AG648" s="1116"/>
      <c r="AH648" s="1116"/>
      <c r="AI648" s="1116"/>
      <c r="AJ648" s="1116"/>
      <c r="AK648" s="1116"/>
    </row>
    <row r="649" spans="1:37" x14ac:dyDescent="0.35">
      <c r="A649" s="1116"/>
      <c r="B649" s="1116"/>
      <c r="C649" s="1116"/>
      <c r="D649" s="1116"/>
      <c r="E649" s="1116"/>
      <c r="F649" s="1116"/>
      <c r="G649" s="1116"/>
      <c r="H649" s="1116"/>
      <c r="I649" s="1116"/>
      <c r="J649" s="1116"/>
      <c r="K649" s="1116"/>
      <c r="L649" s="1116"/>
      <c r="M649" s="1116"/>
      <c r="N649" s="1116"/>
      <c r="O649" s="1116"/>
      <c r="P649" s="1116"/>
      <c r="Q649" s="1116"/>
      <c r="R649" s="1116"/>
      <c r="S649" s="1116"/>
      <c r="T649" s="1116"/>
      <c r="U649" s="1116"/>
      <c r="V649" s="1116"/>
      <c r="W649" s="1116"/>
      <c r="X649" s="1116"/>
      <c r="Y649" s="1116"/>
      <c r="Z649" s="1116"/>
      <c r="AA649" s="1116"/>
      <c r="AB649" s="1116"/>
      <c r="AC649" s="1116"/>
      <c r="AD649" s="1116"/>
      <c r="AE649" s="1116"/>
      <c r="AF649" s="1116"/>
      <c r="AG649" s="1116"/>
      <c r="AH649" s="1116"/>
      <c r="AI649" s="1116"/>
      <c r="AJ649" s="1116"/>
      <c r="AK649" s="1116"/>
    </row>
    <row r="650" spans="1:37" x14ac:dyDescent="0.35">
      <c r="A650" s="1116"/>
      <c r="B650" s="1116"/>
      <c r="C650" s="1116"/>
      <c r="D650" s="1116"/>
      <c r="E650" s="1116"/>
      <c r="F650" s="1116"/>
      <c r="G650" s="1116"/>
      <c r="H650" s="1116"/>
      <c r="I650" s="1116"/>
      <c r="J650" s="1116"/>
      <c r="K650" s="1116"/>
      <c r="L650" s="1116"/>
      <c r="M650" s="1116"/>
      <c r="N650" s="1116"/>
      <c r="O650" s="1116"/>
      <c r="P650" s="1116"/>
      <c r="Q650" s="1116"/>
      <c r="R650" s="1116"/>
      <c r="S650" s="1116"/>
      <c r="T650" s="1116"/>
      <c r="U650" s="1116"/>
      <c r="V650" s="1116"/>
      <c r="W650" s="1116"/>
      <c r="X650" s="1116"/>
      <c r="Y650" s="1116"/>
      <c r="Z650" s="1116"/>
      <c r="AA650" s="1116"/>
      <c r="AB650" s="1116"/>
      <c r="AC650" s="1116"/>
      <c r="AD650" s="1116"/>
      <c r="AE650" s="1116"/>
      <c r="AF650" s="1116"/>
      <c r="AG650" s="1116"/>
      <c r="AH650" s="1116"/>
      <c r="AI650" s="1116"/>
      <c r="AJ650" s="1116"/>
      <c r="AK650" s="1116"/>
    </row>
    <row r="651" spans="1:37" x14ac:dyDescent="0.35">
      <c r="A651" s="1116"/>
      <c r="B651" s="1116"/>
      <c r="C651" s="1116"/>
      <c r="D651" s="1116"/>
      <c r="E651" s="1116"/>
      <c r="F651" s="1116"/>
      <c r="G651" s="1116"/>
      <c r="H651" s="1116"/>
      <c r="I651" s="1116"/>
      <c r="J651" s="1116"/>
      <c r="K651" s="1116"/>
      <c r="L651" s="1116"/>
      <c r="M651" s="1116"/>
      <c r="N651" s="1116"/>
      <c r="O651" s="1116"/>
      <c r="P651" s="1116"/>
      <c r="Q651" s="1116"/>
      <c r="R651" s="1116"/>
      <c r="S651" s="1116"/>
      <c r="T651" s="1116"/>
      <c r="U651" s="1116"/>
      <c r="V651" s="1116"/>
      <c r="W651" s="1116"/>
      <c r="X651" s="1116"/>
      <c r="Y651" s="1116"/>
      <c r="Z651" s="1116"/>
      <c r="AA651" s="1116"/>
      <c r="AB651" s="1116"/>
      <c r="AC651" s="1116"/>
      <c r="AD651" s="1116"/>
      <c r="AE651" s="1116"/>
      <c r="AF651" s="1116"/>
      <c r="AG651" s="1116"/>
      <c r="AH651" s="1116"/>
      <c r="AI651" s="1116"/>
      <c r="AJ651" s="1116"/>
      <c r="AK651" s="1116"/>
    </row>
    <row r="652" spans="1:37" x14ac:dyDescent="0.35">
      <c r="A652" s="1116"/>
      <c r="B652" s="1116"/>
      <c r="C652" s="1116"/>
      <c r="D652" s="1116"/>
      <c r="E652" s="1116"/>
      <c r="F652" s="1116"/>
      <c r="G652" s="1116"/>
      <c r="H652" s="1116"/>
      <c r="I652" s="1116"/>
      <c r="J652" s="1116"/>
      <c r="K652" s="1116"/>
      <c r="L652" s="1116"/>
      <c r="M652" s="1116"/>
      <c r="N652" s="1116"/>
      <c r="O652" s="1116"/>
      <c r="P652" s="1116"/>
      <c r="Q652" s="1116"/>
      <c r="R652" s="1116"/>
      <c r="S652" s="1116"/>
      <c r="T652" s="1116"/>
      <c r="U652" s="1116"/>
      <c r="V652" s="1116"/>
      <c r="W652" s="1116"/>
      <c r="X652" s="1116"/>
      <c r="Y652" s="1116"/>
      <c r="Z652" s="1116"/>
      <c r="AA652" s="1116"/>
      <c r="AB652" s="1116"/>
      <c r="AC652" s="1116"/>
      <c r="AD652" s="1116"/>
      <c r="AE652" s="1116"/>
      <c r="AF652" s="1116"/>
      <c r="AG652" s="1116"/>
      <c r="AH652" s="1116"/>
      <c r="AI652" s="1116"/>
      <c r="AJ652" s="1116"/>
      <c r="AK652" s="1116"/>
    </row>
    <row r="653" spans="1:37" x14ac:dyDescent="0.35">
      <c r="A653" s="1116"/>
      <c r="B653" s="1116"/>
      <c r="C653" s="1116"/>
      <c r="D653" s="1116"/>
      <c r="E653" s="1116"/>
      <c r="F653" s="1116"/>
      <c r="G653" s="1116"/>
      <c r="H653" s="1116"/>
      <c r="I653" s="1116"/>
      <c r="J653" s="1116"/>
      <c r="K653" s="1116"/>
      <c r="L653" s="1116"/>
      <c r="M653" s="1116"/>
      <c r="N653" s="1116"/>
      <c r="O653" s="1116"/>
      <c r="P653" s="1116"/>
      <c r="Q653" s="1116"/>
      <c r="R653" s="1116"/>
      <c r="S653" s="1116"/>
      <c r="T653" s="1116"/>
      <c r="U653" s="1116"/>
      <c r="V653" s="1116"/>
      <c r="W653" s="1116"/>
      <c r="X653" s="1116"/>
      <c r="Y653" s="1116"/>
      <c r="Z653" s="1116"/>
      <c r="AA653" s="1116"/>
      <c r="AB653" s="1116"/>
      <c r="AC653" s="1116"/>
      <c r="AD653" s="1116"/>
      <c r="AE653" s="1116"/>
      <c r="AF653" s="1116"/>
      <c r="AG653" s="1116"/>
      <c r="AH653" s="1116"/>
      <c r="AI653" s="1116"/>
      <c r="AJ653" s="1116"/>
      <c r="AK653" s="1116"/>
    </row>
    <row r="654" spans="1:37" x14ac:dyDescent="0.35">
      <c r="A654" s="1116"/>
      <c r="B654" s="1116"/>
      <c r="C654" s="1116"/>
      <c r="D654" s="1116"/>
      <c r="E654" s="1116"/>
      <c r="F654" s="1116"/>
      <c r="G654" s="1116"/>
      <c r="H654" s="1116"/>
      <c r="I654" s="1116"/>
      <c r="J654" s="1116"/>
      <c r="K654" s="1116"/>
      <c r="L654" s="1116"/>
      <c r="M654" s="1116"/>
      <c r="N654" s="1116"/>
      <c r="O654" s="1116"/>
      <c r="P654" s="1116"/>
      <c r="Q654" s="1116"/>
      <c r="R654" s="1116"/>
      <c r="S654" s="1116"/>
      <c r="T654" s="1116"/>
      <c r="U654" s="1116"/>
      <c r="V654" s="1116"/>
      <c r="W654" s="1116"/>
      <c r="X654" s="1116"/>
      <c r="Y654" s="1116"/>
      <c r="Z654" s="1116"/>
      <c r="AA654" s="1116"/>
      <c r="AB654" s="1116"/>
      <c r="AC654" s="1116"/>
      <c r="AD654" s="1116"/>
      <c r="AE654" s="1116"/>
      <c r="AF654" s="1116"/>
      <c r="AG654" s="1116"/>
      <c r="AH654" s="1116"/>
      <c r="AI654" s="1116"/>
      <c r="AJ654" s="1116"/>
      <c r="AK654" s="1116"/>
    </row>
    <row r="655" spans="1:37" x14ac:dyDescent="0.35">
      <c r="A655" s="1116"/>
      <c r="B655" s="1116"/>
      <c r="C655" s="1116"/>
      <c r="D655" s="1116"/>
      <c r="E655" s="1116"/>
      <c r="F655" s="1116"/>
      <c r="G655" s="1116"/>
      <c r="H655" s="1116"/>
      <c r="I655" s="1116"/>
      <c r="J655" s="1116"/>
      <c r="K655" s="1116"/>
      <c r="L655" s="1116"/>
      <c r="M655" s="1116"/>
      <c r="N655" s="1116"/>
      <c r="O655" s="1116"/>
      <c r="P655" s="1116"/>
      <c r="Q655" s="1116"/>
      <c r="R655" s="1116"/>
      <c r="S655" s="1116"/>
      <c r="T655" s="1116"/>
      <c r="U655" s="1116"/>
      <c r="V655" s="1116"/>
      <c r="W655" s="1116"/>
      <c r="X655" s="1116"/>
      <c r="Y655" s="1116"/>
      <c r="Z655" s="1116"/>
      <c r="AA655" s="1116"/>
      <c r="AB655" s="1116"/>
      <c r="AC655" s="1116"/>
      <c r="AD655" s="1116"/>
      <c r="AE655" s="1116"/>
      <c r="AF655" s="1116"/>
      <c r="AG655" s="1116"/>
      <c r="AH655" s="1116"/>
      <c r="AI655" s="1116"/>
      <c r="AJ655" s="1116"/>
      <c r="AK655" s="1116"/>
    </row>
    <row r="656" spans="1:37" x14ac:dyDescent="0.35">
      <c r="A656" s="1116"/>
      <c r="B656" s="1116"/>
      <c r="C656" s="1116"/>
      <c r="D656" s="1116"/>
      <c r="E656" s="1116"/>
      <c r="F656" s="1116"/>
      <c r="G656" s="1116"/>
      <c r="H656" s="1116"/>
      <c r="I656" s="1116"/>
      <c r="J656" s="1116"/>
      <c r="K656" s="1116"/>
      <c r="L656" s="1116"/>
      <c r="M656" s="1116"/>
      <c r="N656" s="1116"/>
      <c r="O656" s="1116"/>
      <c r="P656" s="1116"/>
      <c r="Q656" s="1116"/>
      <c r="R656" s="1116"/>
      <c r="S656" s="1116"/>
      <c r="T656" s="1116"/>
      <c r="U656" s="1116"/>
      <c r="V656" s="1116"/>
      <c r="W656" s="1116"/>
      <c r="X656" s="1116"/>
      <c r="Y656" s="1116"/>
      <c r="Z656" s="1116"/>
      <c r="AA656" s="1116"/>
      <c r="AB656" s="1116"/>
      <c r="AC656" s="1116"/>
      <c r="AD656" s="1116"/>
      <c r="AE656" s="1116"/>
      <c r="AF656" s="1116"/>
      <c r="AG656" s="1116"/>
      <c r="AH656" s="1116"/>
      <c r="AI656" s="1116"/>
      <c r="AJ656" s="1116"/>
      <c r="AK656" s="1116"/>
    </row>
    <row r="657" spans="1:37" x14ac:dyDescent="0.35">
      <c r="A657" s="1116"/>
      <c r="B657" s="1116"/>
      <c r="C657" s="1116"/>
      <c r="D657" s="1116"/>
      <c r="E657" s="1116"/>
      <c r="F657" s="1116"/>
      <c r="G657" s="1116"/>
      <c r="H657" s="1116"/>
      <c r="I657" s="1116"/>
      <c r="J657" s="1116"/>
      <c r="K657" s="1116"/>
      <c r="L657" s="1116"/>
      <c r="M657" s="1116"/>
      <c r="N657" s="1116"/>
      <c r="O657" s="1116"/>
      <c r="P657" s="1116"/>
      <c r="Q657" s="1116"/>
      <c r="R657" s="1116"/>
      <c r="S657" s="1116"/>
      <c r="T657" s="1116"/>
      <c r="U657" s="1116"/>
      <c r="V657" s="1116"/>
      <c r="W657" s="1116"/>
      <c r="X657" s="1116"/>
      <c r="Y657" s="1116"/>
      <c r="Z657" s="1116"/>
      <c r="AA657" s="1116"/>
      <c r="AB657" s="1116"/>
      <c r="AC657" s="1116"/>
      <c r="AD657" s="1116"/>
      <c r="AE657" s="1116"/>
      <c r="AF657" s="1116"/>
      <c r="AG657" s="1116"/>
      <c r="AH657" s="1116"/>
      <c r="AI657" s="1116"/>
      <c r="AJ657" s="1116"/>
      <c r="AK657" s="1116"/>
    </row>
    <row r="658" spans="1:37" x14ac:dyDescent="0.35">
      <c r="A658" s="1116"/>
      <c r="B658" s="1116"/>
      <c r="C658" s="1116"/>
      <c r="D658" s="1116"/>
      <c r="E658" s="1116"/>
      <c r="F658" s="1116"/>
      <c r="G658" s="1116"/>
      <c r="H658" s="1116"/>
      <c r="I658" s="1116"/>
      <c r="J658" s="1116"/>
      <c r="K658" s="1116"/>
      <c r="L658" s="1116"/>
      <c r="M658" s="1116"/>
      <c r="N658" s="1116"/>
      <c r="O658" s="1116"/>
      <c r="P658" s="1116"/>
      <c r="Q658" s="1116"/>
      <c r="R658" s="1116"/>
      <c r="S658" s="1116"/>
      <c r="T658" s="1116"/>
      <c r="U658" s="1116"/>
      <c r="V658" s="1116"/>
      <c r="W658" s="1116"/>
      <c r="X658" s="1116"/>
      <c r="Y658" s="1116"/>
      <c r="Z658" s="1116"/>
      <c r="AA658" s="1116"/>
      <c r="AB658" s="1116"/>
      <c r="AC658" s="1116"/>
      <c r="AD658" s="1116"/>
      <c r="AE658" s="1116"/>
      <c r="AF658" s="1116"/>
      <c r="AG658" s="1116"/>
      <c r="AH658" s="1116"/>
      <c r="AI658" s="1116"/>
      <c r="AJ658" s="1116"/>
      <c r="AK658" s="1116"/>
    </row>
    <row r="659" spans="1:37" x14ac:dyDescent="0.35">
      <c r="A659" s="1116"/>
      <c r="B659" s="1116"/>
      <c r="C659" s="1116"/>
      <c r="D659" s="1116"/>
      <c r="E659" s="1116"/>
      <c r="F659" s="1116"/>
      <c r="G659" s="1116"/>
      <c r="H659" s="1116"/>
      <c r="I659" s="1116"/>
      <c r="J659" s="1116"/>
      <c r="K659" s="1116"/>
      <c r="L659" s="1116"/>
      <c r="M659" s="1116"/>
      <c r="N659" s="1116"/>
      <c r="O659" s="1116"/>
      <c r="P659" s="1116"/>
      <c r="Q659" s="1116"/>
      <c r="R659" s="1116"/>
      <c r="S659" s="1116"/>
      <c r="T659" s="1116"/>
      <c r="U659" s="1116"/>
      <c r="V659" s="1116"/>
      <c r="W659" s="1116"/>
      <c r="X659" s="1116"/>
      <c r="Y659" s="1116"/>
      <c r="Z659" s="1116"/>
      <c r="AA659" s="1116"/>
      <c r="AB659" s="1116"/>
      <c r="AC659" s="1116"/>
      <c r="AD659" s="1116"/>
      <c r="AE659" s="1116"/>
      <c r="AF659" s="1116"/>
      <c r="AG659" s="1116"/>
      <c r="AH659" s="1116"/>
      <c r="AI659" s="1116"/>
      <c r="AJ659" s="1116"/>
      <c r="AK659" s="1116"/>
    </row>
    <row r="660" spans="1:37" x14ac:dyDescent="0.35">
      <c r="A660" s="1116"/>
      <c r="B660" s="1116"/>
      <c r="C660" s="1116"/>
      <c r="D660" s="1116"/>
      <c r="E660" s="1116"/>
      <c r="F660" s="1116"/>
      <c r="G660" s="1116"/>
      <c r="H660" s="1116"/>
      <c r="I660" s="1116"/>
      <c r="J660" s="1116"/>
      <c r="K660" s="1116"/>
      <c r="L660" s="1116"/>
      <c r="M660" s="1116"/>
      <c r="N660" s="1116"/>
      <c r="O660" s="1116"/>
      <c r="P660" s="1116"/>
      <c r="Q660" s="1116"/>
      <c r="R660" s="1116"/>
      <c r="S660" s="1116"/>
      <c r="T660" s="1116"/>
      <c r="U660" s="1116"/>
      <c r="V660" s="1116"/>
      <c r="W660" s="1116"/>
      <c r="X660" s="1116"/>
      <c r="Y660" s="1116"/>
      <c r="Z660" s="1116"/>
      <c r="AA660" s="1116"/>
      <c r="AB660" s="1116"/>
      <c r="AC660" s="1116"/>
      <c r="AD660" s="1116"/>
      <c r="AE660" s="1116"/>
      <c r="AF660" s="1116"/>
      <c r="AG660" s="1116"/>
      <c r="AH660" s="1116"/>
      <c r="AI660" s="1116"/>
      <c r="AJ660" s="1116"/>
      <c r="AK660" s="1116"/>
    </row>
    <row r="661" spans="1:37" x14ac:dyDescent="0.35">
      <c r="A661" s="1116"/>
      <c r="B661" s="1116"/>
      <c r="C661" s="1116"/>
      <c r="D661" s="1116"/>
      <c r="E661" s="1116"/>
      <c r="F661" s="1116"/>
      <c r="G661" s="1116"/>
      <c r="H661" s="1116"/>
      <c r="I661" s="1116"/>
      <c r="J661" s="1116"/>
      <c r="K661" s="1116"/>
      <c r="L661" s="1116"/>
      <c r="M661" s="1116"/>
      <c r="N661" s="1116"/>
      <c r="O661" s="1116"/>
      <c r="P661" s="1116"/>
      <c r="Q661" s="1116"/>
      <c r="R661" s="1116"/>
      <c r="S661" s="1116"/>
      <c r="T661" s="1116"/>
      <c r="U661" s="1116"/>
      <c r="V661" s="1116"/>
      <c r="W661" s="1116"/>
      <c r="X661" s="1116"/>
      <c r="Y661" s="1116"/>
      <c r="Z661" s="1116"/>
      <c r="AA661" s="1116"/>
      <c r="AB661" s="1116"/>
      <c r="AC661" s="1116"/>
      <c r="AD661" s="1116"/>
      <c r="AE661" s="1116"/>
      <c r="AF661" s="1116"/>
      <c r="AG661" s="1116"/>
      <c r="AH661" s="1116"/>
      <c r="AI661" s="1116"/>
      <c r="AJ661" s="1116"/>
      <c r="AK661" s="1116"/>
    </row>
    <row r="662" spans="1:37" x14ac:dyDescent="0.35">
      <c r="A662" s="1116"/>
      <c r="B662" s="1116"/>
      <c r="C662" s="1116"/>
      <c r="D662" s="1116"/>
      <c r="E662" s="1116"/>
      <c r="F662" s="1116"/>
      <c r="G662" s="1116"/>
      <c r="H662" s="1116"/>
      <c r="I662" s="1116"/>
      <c r="J662" s="1116"/>
      <c r="K662" s="1116"/>
      <c r="L662" s="1116"/>
      <c r="M662" s="1116"/>
      <c r="N662" s="1116"/>
      <c r="O662" s="1116"/>
      <c r="P662" s="1116"/>
      <c r="Q662" s="1116"/>
      <c r="R662" s="1116"/>
      <c r="S662" s="1116"/>
      <c r="T662" s="1116"/>
      <c r="U662" s="1116"/>
      <c r="V662" s="1116"/>
      <c r="W662" s="1116"/>
      <c r="X662" s="1116"/>
      <c r="Y662" s="1116"/>
      <c r="Z662" s="1116"/>
      <c r="AA662" s="1116"/>
      <c r="AB662" s="1116"/>
      <c r="AC662" s="1116"/>
      <c r="AD662" s="1116"/>
      <c r="AE662" s="1116"/>
      <c r="AF662" s="1116"/>
      <c r="AG662" s="1116"/>
      <c r="AH662" s="1116"/>
      <c r="AI662" s="1116"/>
      <c r="AJ662" s="1116"/>
      <c r="AK662" s="1116"/>
    </row>
    <row r="663" spans="1:37" x14ac:dyDescent="0.35">
      <c r="A663" s="1116"/>
      <c r="B663" s="1116"/>
      <c r="C663" s="1116"/>
      <c r="D663" s="1116"/>
      <c r="E663" s="1116"/>
      <c r="F663" s="1116"/>
      <c r="G663" s="1116"/>
      <c r="H663" s="1116"/>
      <c r="I663" s="1116"/>
      <c r="J663" s="1116"/>
      <c r="K663" s="1116"/>
      <c r="L663" s="1116"/>
      <c r="M663" s="1116"/>
      <c r="N663" s="1116"/>
      <c r="O663" s="1116"/>
      <c r="P663" s="1116"/>
      <c r="Q663" s="1116"/>
      <c r="R663" s="1116"/>
      <c r="S663" s="1116"/>
      <c r="T663" s="1116"/>
      <c r="U663" s="1116"/>
      <c r="V663" s="1116"/>
      <c r="W663" s="1116"/>
      <c r="X663" s="1116"/>
      <c r="Y663" s="1116"/>
      <c r="Z663" s="1116"/>
      <c r="AA663" s="1116"/>
      <c r="AB663" s="1116"/>
      <c r="AC663" s="1116"/>
      <c r="AD663" s="1116"/>
      <c r="AE663" s="1116"/>
      <c r="AF663" s="1116"/>
      <c r="AG663" s="1116"/>
      <c r="AH663" s="1116"/>
      <c r="AI663" s="1116"/>
      <c r="AJ663" s="1116"/>
      <c r="AK663" s="1116"/>
    </row>
    <row r="664" spans="1:37" x14ac:dyDescent="0.35">
      <c r="A664" s="1116"/>
      <c r="B664" s="1116"/>
      <c r="C664" s="1116"/>
      <c r="D664" s="1116"/>
      <c r="E664" s="1116"/>
      <c r="F664" s="1116"/>
      <c r="G664" s="1116"/>
      <c r="H664" s="1116"/>
      <c r="I664" s="1116"/>
      <c r="J664" s="1116"/>
      <c r="K664" s="1116"/>
      <c r="L664" s="1116"/>
      <c r="M664" s="1116"/>
      <c r="N664" s="1116"/>
      <c r="O664" s="1116"/>
      <c r="P664" s="1116"/>
      <c r="Q664" s="1116"/>
      <c r="R664" s="1116"/>
      <c r="S664" s="1116"/>
      <c r="T664" s="1116"/>
      <c r="U664" s="1116"/>
      <c r="V664" s="1116"/>
      <c r="W664" s="1116"/>
      <c r="X664" s="1116"/>
      <c r="Y664" s="1116"/>
      <c r="Z664" s="1116"/>
      <c r="AA664" s="1116"/>
      <c r="AB664" s="1116"/>
      <c r="AC664" s="1116"/>
      <c r="AD664" s="1116"/>
      <c r="AE664" s="1116"/>
      <c r="AF664" s="1116"/>
      <c r="AG664" s="1116"/>
      <c r="AH664" s="1116"/>
      <c r="AI664" s="1116"/>
      <c r="AJ664" s="1116"/>
      <c r="AK664" s="1116"/>
    </row>
    <row r="665" spans="1:37" x14ac:dyDescent="0.35">
      <c r="A665" s="1116"/>
      <c r="B665" s="1116"/>
      <c r="C665" s="1116"/>
      <c r="D665" s="1116"/>
      <c r="E665" s="1116"/>
      <c r="F665" s="1116"/>
      <c r="G665" s="1116"/>
      <c r="H665" s="1116"/>
      <c r="I665" s="1116"/>
      <c r="J665" s="1116"/>
      <c r="K665" s="1116"/>
      <c r="L665" s="1116"/>
      <c r="M665" s="1116"/>
      <c r="N665" s="1116"/>
      <c r="O665" s="1116"/>
      <c r="P665" s="1116"/>
      <c r="Q665" s="1116"/>
      <c r="R665" s="1116"/>
      <c r="S665" s="1116"/>
      <c r="T665" s="1116"/>
      <c r="U665" s="1116"/>
      <c r="V665" s="1116"/>
      <c r="W665" s="1116"/>
      <c r="X665" s="1116"/>
      <c r="Y665" s="1116"/>
      <c r="Z665" s="1116"/>
      <c r="AA665" s="1116"/>
      <c r="AB665" s="1116"/>
      <c r="AC665" s="1116"/>
      <c r="AD665" s="1116"/>
      <c r="AE665" s="1116"/>
      <c r="AF665" s="1116"/>
      <c r="AG665" s="1116"/>
      <c r="AH665" s="1116"/>
      <c r="AI665" s="1116"/>
      <c r="AJ665" s="1116"/>
      <c r="AK665" s="1116"/>
    </row>
    <row r="666" spans="1:37" x14ac:dyDescent="0.35">
      <c r="A666" s="1116"/>
      <c r="B666" s="1116"/>
      <c r="C666" s="1116"/>
      <c r="D666" s="1116"/>
      <c r="E666" s="1116"/>
      <c r="F666" s="1116"/>
      <c r="G666" s="1116"/>
      <c r="H666" s="1116"/>
      <c r="I666" s="1116"/>
      <c r="J666" s="1116"/>
      <c r="K666" s="1116"/>
      <c r="L666" s="1116"/>
      <c r="M666" s="1116"/>
      <c r="N666" s="1116"/>
      <c r="O666" s="1116"/>
      <c r="P666" s="1116"/>
      <c r="Q666" s="1116"/>
      <c r="R666" s="1116"/>
      <c r="S666" s="1116"/>
      <c r="T666" s="1116"/>
      <c r="U666" s="1116"/>
      <c r="V666" s="1116"/>
      <c r="W666" s="1116"/>
      <c r="X666" s="1116"/>
      <c r="Y666" s="1116"/>
      <c r="Z666" s="1116"/>
      <c r="AA666" s="1116"/>
      <c r="AB666" s="1116"/>
      <c r="AC666" s="1116"/>
      <c r="AD666" s="1116"/>
      <c r="AE666" s="1116"/>
      <c r="AF666" s="1116"/>
      <c r="AG666" s="1116"/>
      <c r="AH666" s="1116"/>
      <c r="AI666" s="1116"/>
      <c r="AJ666" s="1116"/>
      <c r="AK666" s="1116"/>
    </row>
    <row r="667" spans="1:37" x14ac:dyDescent="0.35">
      <c r="A667" s="1116"/>
      <c r="B667" s="1116"/>
      <c r="C667" s="1116"/>
      <c r="D667" s="1116"/>
      <c r="E667" s="1116"/>
      <c r="F667" s="1116"/>
      <c r="G667" s="1116"/>
      <c r="H667" s="1116"/>
      <c r="I667" s="1116"/>
      <c r="J667" s="1116"/>
      <c r="K667" s="1116"/>
      <c r="L667" s="1116"/>
      <c r="M667" s="1116"/>
      <c r="N667" s="1116"/>
      <c r="O667" s="1116"/>
      <c r="P667" s="1116"/>
      <c r="Q667" s="1116"/>
      <c r="R667" s="1116"/>
      <c r="S667" s="1116"/>
      <c r="T667" s="1116"/>
      <c r="U667" s="1116"/>
      <c r="V667" s="1116"/>
      <c r="W667" s="1116"/>
      <c r="X667" s="1116"/>
      <c r="Y667" s="1116"/>
      <c r="Z667" s="1116"/>
      <c r="AA667" s="1116"/>
      <c r="AB667" s="1116"/>
      <c r="AC667" s="1116"/>
      <c r="AD667" s="1116"/>
      <c r="AE667" s="1116"/>
      <c r="AF667" s="1116"/>
      <c r="AG667" s="1116"/>
      <c r="AH667" s="1116"/>
      <c r="AI667" s="1116"/>
      <c r="AJ667" s="1116"/>
      <c r="AK667" s="1116"/>
    </row>
    <row r="668" spans="1:37" x14ac:dyDescent="0.35">
      <c r="A668" s="1116"/>
      <c r="B668" s="1116"/>
      <c r="C668" s="1116"/>
      <c r="D668" s="1116"/>
      <c r="E668" s="1116"/>
      <c r="F668" s="1116"/>
      <c r="G668" s="1116"/>
      <c r="H668" s="1116"/>
      <c r="I668" s="1116"/>
      <c r="J668" s="1116"/>
      <c r="K668" s="1116"/>
      <c r="L668" s="1116"/>
      <c r="M668" s="1116"/>
      <c r="N668" s="1116"/>
      <c r="O668" s="1116"/>
      <c r="P668" s="1116"/>
      <c r="Q668" s="1116"/>
      <c r="R668" s="1116"/>
      <c r="S668" s="1116"/>
      <c r="T668" s="1116"/>
      <c r="U668" s="1116"/>
      <c r="V668" s="1116"/>
      <c r="W668" s="1116"/>
      <c r="X668" s="1116"/>
      <c r="Y668" s="1116"/>
      <c r="Z668" s="1116"/>
      <c r="AA668" s="1116"/>
      <c r="AB668" s="1116"/>
      <c r="AC668" s="1116"/>
      <c r="AD668" s="1116"/>
      <c r="AE668" s="1116"/>
      <c r="AF668" s="1116"/>
      <c r="AG668" s="1116"/>
      <c r="AH668" s="1116"/>
      <c r="AI668" s="1116"/>
      <c r="AJ668" s="1116"/>
      <c r="AK668" s="1116"/>
    </row>
    <row r="669" spans="1:37" x14ac:dyDescent="0.35">
      <c r="A669" s="1116"/>
      <c r="B669" s="1116"/>
      <c r="C669" s="1116"/>
      <c r="D669" s="1116"/>
      <c r="E669" s="1116"/>
      <c r="F669" s="1116"/>
      <c r="G669" s="1116"/>
      <c r="H669" s="1116"/>
      <c r="I669" s="1116"/>
      <c r="J669" s="1116"/>
      <c r="K669" s="1116"/>
      <c r="L669" s="1116"/>
      <c r="M669" s="1116"/>
      <c r="N669" s="1116"/>
      <c r="O669" s="1116"/>
      <c r="P669" s="1116"/>
      <c r="Q669" s="1116"/>
      <c r="R669" s="1116"/>
      <c r="S669" s="1116"/>
      <c r="T669" s="1116"/>
      <c r="U669" s="1116"/>
      <c r="V669" s="1116"/>
      <c r="W669" s="1116"/>
      <c r="X669" s="1116"/>
      <c r="Y669" s="1116"/>
      <c r="Z669" s="1116"/>
      <c r="AA669" s="1116"/>
      <c r="AB669" s="1116"/>
      <c r="AC669" s="1116"/>
      <c r="AD669" s="1116"/>
      <c r="AE669" s="1116"/>
      <c r="AF669" s="1116"/>
      <c r="AG669" s="1116"/>
      <c r="AH669" s="1116"/>
      <c r="AI669" s="1116"/>
      <c r="AJ669" s="1116"/>
      <c r="AK669" s="1116"/>
    </row>
    <row r="670" spans="1:37" x14ac:dyDescent="0.35">
      <c r="A670" s="1116"/>
      <c r="B670" s="1116"/>
      <c r="C670" s="1116"/>
      <c r="D670" s="1116"/>
      <c r="E670" s="1116"/>
      <c r="F670" s="1116"/>
      <c r="G670" s="1116"/>
      <c r="H670" s="1116"/>
      <c r="I670" s="1116"/>
      <c r="J670" s="1116"/>
      <c r="K670" s="1116"/>
      <c r="L670" s="1116"/>
      <c r="M670" s="1116"/>
      <c r="N670" s="1116"/>
      <c r="O670" s="1116"/>
      <c r="P670" s="1116"/>
      <c r="Q670" s="1116"/>
      <c r="R670" s="1116"/>
      <c r="S670" s="1116"/>
      <c r="T670" s="1116"/>
      <c r="U670" s="1116"/>
      <c r="V670" s="1116"/>
      <c r="W670" s="1116"/>
      <c r="X670" s="1116"/>
      <c r="Y670" s="1116"/>
      <c r="Z670" s="1116"/>
      <c r="AA670" s="1116"/>
      <c r="AB670" s="1116"/>
      <c r="AC670" s="1116"/>
      <c r="AD670" s="1116"/>
      <c r="AE670" s="1116"/>
      <c r="AF670" s="1116"/>
      <c r="AG670" s="1116"/>
      <c r="AH670" s="1116"/>
      <c r="AI670" s="1116"/>
      <c r="AJ670" s="1116"/>
      <c r="AK670" s="1116"/>
    </row>
    <row r="671" spans="1:37" x14ac:dyDescent="0.35">
      <c r="A671" s="1116"/>
      <c r="B671" s="1116"/>
      <c r="C671" s="1116"/>
      <c r="D671" s="1116"/>
      <c r="E671" s="1116"/>
      <c r="F671" s="1116"/>
      <c r="G671" s="1116"/>
      <c r="H671" s="1116"/>
      <c r="I671" s="1116"/>
      <c r="J671" s="1116"/>
      <c r="K671" s="1116"/>
      <c r="L671" s="1116"/>
      <c r="M671" s="1116"/>
      <c r="N671" s="1116"/>
      <c r="O671" s="1116"/>
      <c r="P671" s="1116"/>
      <c r="Q671" s="1116"/>
      <c r="R671" s="1116"/>
      <c r="S671" s="1116"/>
      <c r="T671" s="1116"/>
      <c r="U671" s="1116"/>
      <c r="V671" s="1116"/>
      <c r="W671" s="1116"/>
      <c r="X671" s="1116"/>
      <c r="Y671" s="1116"/>
      <c r="Z671" s="1116"/>
      <c r="AA671" s="1116"/>
      <c r="AB671" s="1116"/>
      <c r="AC671" s="1116"/>
      <c r="AD671" s="1116"/>
      <c r="AE671" s="1116"/>
      <c r="AF671" s="1116"/>
      <c r="AG671" s="1116"/>
      <c r="AH671" s="1116"/>
      <c r="AI671" s="1116"/>
      <c r="AJ671" s="1116"/>
      <c r="AK671" s="1116"/>
    </row>
    <row r="672" spans="1:37" x14ac:dyDescent="0.35">
      <c r="A672" s="1116"/>
      <c r="B672" s="1116"/>
      <c r="C672" s="1116"/>
      <c r="D672" s="1116"/>
      <c r="E672" s="1116"/>
      <c r="F672" s="1116"/>
      <c r="G672" s="1116"/>
      <c r="H672" s="1116"/>
      <c r="I672" s="1116"/>
      <c r="J672" s="1116"/>
      <c r="K672" s="1116"/>
      <c r="L672" s="1116"/>
      <c r="M672" s="1116"/>
      <c r="N672" s="1116"/>
      <c r="O672" s="1116"/>
      <c r="P672" s="1116"/>
      <c r="Q672" s="1116"/>
      <c r="R672" s="1116"/>
      <c r="S672" s="1116"/>
      <c r="T672" s="1116"/>
      <c r="U672" s="1116"/>
      <c r="V672" s="1116"/>
      <c r="W672" s="1116"/>
      <c r="X672" s="1116"/>
      <c r="Y672" s="1116"/>
      <c r="Z672" s="1116"/>
      <c r="AA672" s="1116"/>
      <c r="AB672" s="1116"/>
      <c r="AC672" s="1116"/>
      <c r="AD672" s="1116"/>
      <c r="AE672" s="1116"/>
      <c r="AF672" s="1116"/>
      <c r="AG672" s="1116"/>
      <c r="AH672" s="1116"/>
      <c r="AI672" s="1116"/>
      <c r="AJ672" s="1116"/>
      <c r="AK672" s="1116"/>
    </row>
    <row r="673" spans="1:37" x14ac:dyDescent="0.35">
      <c r="A673" s="1116"/>
      <c r="B673" s="1116"/>
      <c r="C673" s="1116"/>
      <c r="D673" s="1116"/>
      <c r="E673" s="1116"/>
      <c r="F673" s="1116"/>
      <c r="G673" s="1116"/>
      <c r="H673" s="1116"/>
      <c r="I673" s="1116"/>
      <c r="J673" s="1116"/>
      <c r="K673" s="1116"/>
      <c r="L673" s="1116"/>
      <c r="M673" s="1116"/>
      <c r="N673" s="1116"/>
      <c r="O673" s="1116"/>
      <c r="P673" s="1116"/>
      <c r="Q673" s="1116"/>
      <c r="R673" s="1116"/>
      <c r="S673" s="1116"/>
      <c r="T673" s="1116"/>
      <c r="U673" s="1116"/>
      <c r="V673" s="1116"/>
      <c r="W673" s="1116"/>
      <c r="X673" s="1116"/>
      <c r="Y673" s="1116"/>
      <c r="Z673" s="1116"/>
      <c r="AA673" s="1116"/>
      <c r="AB673" s="1116"/>
      <c r="AC673" s="1116"/>
      <c r="AD673" s="1116"/>
      <c r="AE673" s="1116"/>
      <c r="AF673" s="1116"/>
      <c r="AG673" s="1116"/>
      <c r="AH673" s="1116"/>
      <c r="AI673" s="1116"/>
      <c r="AJ673" s="1116"/>
      <c r="AK673" s="1116"/>
    </row>
    <row r="674" spans="1:37" x14ac:dyDescent="0.35">
      <c r="A674" s="1116"/>
      <c r="B674" s="1116"/>
      <c r="C674" s="1116"/>
      <c r="D674" s="1116"/>
      <c r="E674" s="1116"/>
      <c r="F674" s="1116"/>
      <c r="G674" s="1116"/>
      <c r="H674" s="1116"/>
      <c r="I674" s="1116"/>
      <c r="J674" s="1116"/>
      <c r="K674" s="1116"/>
      <c r="L674" s="1116"/>
      <c r="M674" s="1116"/>
      <c r="N674" s="1116"/>
      <c r="O674" s="1116"/>
      <c r="P674" s="1116"/>
      <c r="Q674" s="1116"/>
      <c r="R674" s="1116"/>
      <c r="S674" s="1116"/>
      <c r="T674" s="1116"/>
      <c r="U674" s="1116"/>
      <c r="V674" s="1116"/>
      <c r="W674" s="1116"/>
      <c r="X674" s="1116"/>
      <c r="Y674" s="1116"/>
      <c r="Z674" s="1116"/>
      <c r="AA674" s="1116"/>
      <c r="AB674" s="1116"/>
      <c r="AC674" s="1116"/>
      <c r="AD674" s="1116"/>
      <c r="AE674" s="1116"/>
      <c r="AF674" s="1116"/>
      <c r="AG674" s="1116"/>
      <c r="AH674" s="1116"/>
      <c r="AI674" s="1116"/>
      <c r="AJ674" s="1116"/>
      <c r="AK674" s="1116"/>
    </row>
    <row r="675" spans="1:37" x14ac:dyDescent="0.35">
      <c r="A675" s="1116"/>
      <c r="B675" s="1116"/>
      <c r="C675" s="1116"/>
      <c r="D675" s="1116"/>
      <c r="E675" s="1116"/>
      <c r="F675" s="1116"/>
      <c r="G675" s="1116"/>
      <c r="H675" s="1116"/>
      <c r="I675" s="1116"/>
      <c r="J675" s="1116"/>
      <c r="K675" s="1116"/>
      <c r="L675" s="1116"/>
      <c r="M675" s="1116"/>
      <c r="N675" s="1116"/>
      <c r="O675" s="1116"/>
      <c r="P675" s="1116"/>
      <c r="Q675" s="1116"/>
      <c r="R675" s="1116"/>
      <c r="S675" s="1116"/>
      <c r="T675" s="1116"/>
      <c r="U675" s="1116"/>
      <c r="V675" s="1116"/>
      <c r="W675" s="1116"/>
      <c r="X675" s="1116"/>
      <c r="Y675" s="1116"/>
      <c r="Z675" s="1116"/>
      <c r="AA675" s="1116"/>
      <c r="AB675" s="1116"/>
      <c r="AC675" s="1116"/>
      <c r="AD675" s="1116"/>
      <c r="AE675" s="1116"/>
      <c r="AF675" s="1116"/>
      <c r="AG675" s="1116"/>
      <c r="AH675" s="1116"/>
      <c r="AI675" s="1116"/>
      <c r="AJ675" s="1116"/>
      <c r="AK675" s="1116"/>
    </row>
    <row r="676" spans="1:37" x14ac:dyDescent="0.35">
      <c r="A676" s="1116"/>
      <c r="B676" s="1116"/>
      <c r="C676" s="1116"/>
      <c r="D676" s="1116"/>
      <c r="E676" s="1116"/>
      <c r="F676" s="1116"/>
      <c r="G676" s="1116"/>
      <c r="H676" s="1116"/>
      <c r="I676" s="1116"/>
      <c r="J676" s="1116"/>
      <c r="K676" s="1116"/>
      <c r="L676" s="1116"/>
      <c r="M676" s="1116"/>
      <c r="N676" s="1116"/>
      <c r="O676" s="1116"/>
      <c r="P676" s="1116"/>
      <c r="Q676" s="1116"/>
      <c r="R676" s="1116"/>
      <c r="S676" s="1116"/>
      <c r="T676" s="1116"/>
      <c r="U676" s="1116"/>
      <c r="V676" s="1116"/>
      <c r="W676" s="1116"/>
      <c r="X676" s="1116"/>
      <c r="Y676" s="1116"/>
      <c r="Z676" s="1116"/>
      <c r="AA676" s="1116"/>
      <c r="AB676" s="1116"/>
      <c r="AC676" s="1116"/>
      <c r="AD676" s="1116"/>
      <c r="AE676" s="1116"/>
      <c r="AF676" s="1116"/>
      <c r="AG676" s="1116"/>
      <c r="AH676" s="1116"/>
      <c r="AI676" s="1116"/>
      <c r="AJ676" s="1116"/>
      <c r="AK676" s="1116"/>
    </row>
    <row r="677" spans="1:37" x14ac:dyDescent="0.35">
      <c r="A677" s="1116"/>
      <c r="B677" s="1116"/>
      <c r="C677" s="1116"/>
      <c r="D677" s="1116"/>
      <c r="E677" s="1116"/>
      <c r="F677" s="1116"/>
      <c r="G677" s="1116"/>
      <c r="H677" s="1116"/>
      <c r="I677" s="1116"/>
      <c r="J677" s="1116"/>
      <c r="K677" s="1116"/>
      <c r="L677" s="1116"/>
      <c r="M677" s="1116"/>
      <c r="N677" s="1116"/>
      <c r="O677" s="1116"/>
      <c r="P677" s="1116"/>
      <c r="Q677" s="1116"/>
      <c r="R677" s="1116"/>
      <c r="S677" s="1116"/>
      <c r="T677" s="1116"/>
      <c r="U677" s="1116"/>
      <c r="V677" s="1116"/>
      <c r="W677" s="1116"/>
      <c r="X677" s="1116"/>
      <c r="Y677" s="1116"/>
      <c r="Z677" s="1116"/>
      <c r="AA677" s="1116"/>
      <c r="AB677" s="1116"/>
      <c r="AC677" s="1116"/>
      <c r="AD677" s="1116"/>
      <c r="AE677" s="1116"/>
      <c r="AF677" s="1116"/>
      <c r="AG677" s="1116"/>
      <c r="AH677" s="1116"/>
      <c r="AI677" s="1116"/>
      <c r="AJ677" s="1116"/>
      <c r="AK677" s="1116"/>
    </row>
    <row r="678" spans="1:37" x14ac:dyDescent="0.35">
      <c r="A678" s="1116"/>
      <c r="B678" s="1116"/>
      <c r="C678" s="1116"/>
      <c r="D678" s="1116"/>
      <c r="E678" s="1116"/>
      <c r="F678" s="1116"/>
      <c r="G678" s="1116"/>
      <c r="H678" s="1116"/>
      <c r="I678" s="1116"/>
      <c r="J678" s="1116"/>
      <c r="K678" s="1116"/>
      <c r="L678" s="1116"/>
      <c r="M678" s="1116"/>
      <c r="N678" s="1116"/>
      <c r="O678" s="1116"/>
      <c r="P678" s="1116"/>
      <c r="Q678" s="1116"/>
      <c r="R678" s="1116"/>
      <c r="S678" s="1116"/>
      <c r="T678" s="1116"/>
      <c r="U678" s="1116"/>
      <c r="V678" s="1116"/>
      <c r="W678" s="1116"/>
      <c r="X678" s="1116"/>
      <c r="Y678" s="1116"/>
      <c r="Z678" s="1116"/>
      <c r="AA678" s="1116"/>
      <c r="AB678" s="1116"/>
      <c r="AC678" s="1116"/>
      <c r="AD678" s="1116"/>
      <c r="AE678" s="1116"/>
      <c r="AF678" s="1116"/>
      <c r="AG678" s="1116"/>
      <c r="AH678" s="1116"/>
      <c r="AI678" s="1116"/>
      <c r="AJ678" s="1116"/>
      <c r="AK678" s="1116"/>
    </row>
    <row r="679" spans="1:37" x14ac:dyDescent="0.35">
      <c r="A679" s="1116"/>
      <c r="B679" s="1116"/>
      <c r="C679" s="1116"/>
      <c r="D679" s="1116"/>
      <c r="E679" s="1116"/>
      <c r="F679" s="1116"/>
      <c r="G679" s="1116"/>
      <c r="H679" s="1116"/>
      <c r="I679" s="1116"/>
      <c r="J679" s="1116"/>
      <c r="K679" s="1116"/>
      <c r="L679" s="1116"/>
      <c r="M679" s="1116"/>
      <c r="N679" s="1116"/>
      <c r="O679" s="1116"/>
      <c r="P679" s="1116"/>
      <c r="Q679" s="1116"/>
      <c r="R679" s="1116"/>
      <c r="S679" s="1116"/>
      <c r="T679" s="1116"/>
      <c r="U679" s="1116"/>
      <c r="V679" s="1116"/>
      <c r="W679" s="1116"/>
      <c r="X679" s="1116"/>
      <c r="Y679" s="1116"/>
      <c r="Z679" s="1116"/>
      <c r="AA679" s="1116"/>
      <c r="AB679" s="1116"/>
      <c r="AC679" s="1116"/>
      <c r="AD679" s="1116"/>
      <c r="AE679" s="1116"/>
      <c r="AF679" s="1116"/>
      <c r="AG679" s="1116"/>
      <c r="AH679" s="1116"/>
      <c r="AI679" s="1116"/>
      <c r="AJ679" s="1116"/>
      <c r="AK679" s="1116"/>
    </row>
    <row r="680" spans="1:37" x14ac:dyDescent="0.35">
      <c r="A680" s="1116"/>
      <c r="B680" s="1116"/>
      <c r="C680" s="1116"/>
      <c r="D680" s="1116"/>
      <c r="E680" s="1116"/>
      <c r="F680" s="1116"/>
      <c r="G680" s="1116"/>
      <c r="H680" s="1116"/>
      <c r="I680" s="1116"/>
      <c r="J680" s="1116"/>
      <c r="K680" s="1116"/>
      <c r="L680" s="1116"/>
      <c r="M680" s="1116"/>
      <c r="N680" s="1116"/>
      <c r="O680" s="1116"/>
      <c r="P680" s="1116"/>
      <c r="Q680" s="1116"/>
      <c r="R680" s="1116"/>
      <c r="S680" s="1116"/>
      <c r="T680" s="1116"/>
      <c r="U680" s="1116"/>
      <c r="V680" s="1116"/>
      <c r="W680" s="1116"/>
      <c r="X680" s="1116"/>
      <c r="Y680" s="1116"/>
      <c r="Z680" s="1116"/>
      <c r="AA680" s="1116"/>
      <c r="AB680" s="1116"/>
      <c r="AC680" s="1116"/>
      <c r="AD680" s="1116"/>
      <c r="AE680" s="1116"/>
      <c r="AF680" s="1116"/>
      <c r="AG680" s="1116"/>
      <c r="AH680" s="1116"/>
      <c r="AI680" s="1116"/>
      <c r="AJ680" s="1116"/>
      <c r="AK680" s="1116"/>
    </row>
    <row r="681" spans="1:37" x14ac:dyDescent="0.35">
      <c r="A681" s="1116"/>
      <c r="B681" s="1116"/>
      <c r="C681" s="1116"/>
      <c r="D681" s="1116"/>
      <c r="E681" s="1116"/>
      <c r="F681" s="1116"/>
      <c r="G681" s="1116"/>
      <c r="H681" s="1116"/>
      <c r="I681" s="1116"/>
      <c r="J681" s="1116"/>
      <c r="K681" s="1116"/>
      <c r="L681" s="1116"/>
      <c r="M681" s="1116"/>
      <c r="N681" s="1116"/>
      <c r="O681" s="1116"/>
      <c r="P681" s="1116"/>
      <c r="Q681" s="1116"/>
      <c r="R681" s="1116"/>
      <c r="S681" s="1116"/>
      <c r="T681" s="1116"/>
      <c r="U681" s="1116"/>
      <c r="V681" s="1116"/>
      <c r="W681" s="1116"/>
      <c r="X681" s="1116"/>
      <c r="Y681" s="1116"/>
      <c r="Z681" s="1116"/>
      <c r="AA681" s="1116"/>
      <c r="AB681" s="1116"/>
      <c r="AC681" s="1116"/>
      <c r="AD681" s="1116"/>
      <c r="AE681" s="1116"/>
      <c r="AF681" s="1116"/>
      <c r="AG681" s="1116"/>
      <c r="AH681" s="1116"/>
      <c r="AI681" s="1116"/>
      <c r="AJ681" s="1116"/>
      <c r="AK681" s="1116"/>
    </row>
    <row r="682" spans="1:37" x14ac:dyDescent="0.35">
      <c r="A682" s="1116"/>
      <c r="B682" s="1116"/>
      <c r="C682" s="1116"/>
      <c r="D682" s="1116"/>
      <c r="E682" s="1116"/>
      <c r="F682" s="1116"/>
      <c r="G682" s="1116"/>
      <c r="H682" s="1116"/>
      <c r="I682" s="1116"/>
      <c r="J682" s="1116"/>
      <c r="K682" s="1116"/>
      <c r="L682" s="1116"/>
      <c r="M682" s="1116"/>
      <c r="N682" s="1116"/>
      <c r="O682" s="1116"/>
      <c r="P682" s="1116"/>
      <c r="Q682" s="1116"/>
      <c r="R682" s="1116"/>
      <c r="S682" s="1116"/>
      <c r="T682" s="1116"/>
      <c r="U682" s="1116"/>
      <c r="V682" s="1116"/>
      <c r="W682" s="1116"/>
      <c r="X682" s="1116"/>
      <c r="Y682" s="1116"/>
      <c r="Z682" s="1116"/>
      <c r="AA682" s="1116"/>
      <c r="AB682" s="1116"/>
      <c r="AC682" s="1116"/>
      <c r="AD682" s="1116"/>
      <c r="AE682" s="1116"/>
      <c r="AF682" s="1116"/>
      <c r="AG682" s="1116"/>
      <c r="AH682" s="1116"/>
      <c r="AI682" s="1116"/>
      <c r="AJ682" s="1116"/>
      <c r="AK682" s="1116"/>
    </row>
    <row r="683" spans="1:37" x14ac:dyDescent="0.35">
      <c r="A683" s="1116"/>
      <c r="B683" s="1116"/>
      <c r="C683" s="1116"/>
      <c r="D683" s="1116"/>
      <c r="E683" s="1116"/>
      <c r="F683" s="1116"/>
      <c r="G683" s="1116"/>
      <c r="H683" s="1116"/>
      <c r="I683" s="1116"/>
      <c r="J683" s="1116"/>
      <c r="K683" s="1116"/>
      <c r="L683" s="1116"/>
      <c r="M683" s="1116"/>
      <c r="N683" s="1116"/>
      <c r="O683" s="1116"/>
      <c r="P683" s="1116"/>
      <c r="Q683" s="1116"/>
      <c r="R683" s="1116"/>
      <c r="S683" s="1116"/>
      <c r="T683" s="1116"/>
      <c r="U683" s="1116"/>
      <c r="V683" s="1116"/>
      <c r="W683" s="1116"/>
      <c r="X683" s="1116"/>
      <c r="Y683" s="1116"/>
      <c r="Z683" s="1116"/>
      <c r="AA683" s="1116"/>
      <c r="AB683" s="1116"/>
      <c r="AC683" s="1116"/>
      <c r="AD683" s="1116"/>
      <c r="AE683" s="1116"/>
      <c r="AF683" s="1116"/>
      <c r="AG683" s="1116"/>
      <c r="AH683" s="1116"/>
      <c r="AI683" s="1116"/>
      <c r="AJ683" s="1116"/>
      <c r="AK683" s="1116"/>
    </row>
    <row r="684" spans="1:37" x14ac:dyDescent="0.35">
      <c r="A684" s="1116"/>
      <c r="B684" s="1116"/>
      <c r="C684" s="1116"/>
      <c r="D684" s="1116"/>
      <c r="E684" s="1116"/>
      <c r="F684" s="1116"/>
      <c r="G684" s="1116"/>
      <c r="H684" s="1116"/>
      <c r="I684" s="1116"/>
      <c r="J684" s="1116"/>
      <c r="K684" s="1116"/>
      <c r="L684" s="1116"/>
      <c r="M684" s="1116"/>
      <c r="N684" s="1116"/>
      <c r="O684" s="1116"/>
      <c r="P684" s="1116"/>
      <c r="Q684" s="1116"/>
      <c r="R684" s="1116"/>
      <c r="S684" s="1116"/>
      <c r="T684" s="1116"/>
      <c r="U684" s="1116"/>
      <c r="V684" s="1116"/>
      <c r="W684" s="1116"/>
      <c r="X684" s="1116"/>
      <c r="Y684" s="1116"/>
      <c r="Z684" s="1116"/>
      <c r="AA684" s="1116"/>
      <c r="AB684" s="1116"/>
      <c r="AC684" s="1116"/>
      <c r="AD684" s="1116"/>
      <c r="AE684" s="1116"/>
      <c r="AF684" s="1116"/>
      <c r="AG684" s="1116"/>
      <c r="AH684" s="1116"/>
      <c r="AI684" s="1116"/>
      <c r="AJ684" s="1116"/>
      <c r="AK684" s="1116"/>
    </row>
    <row r="685" spans="1:37" x14ac:dyDescent="0.35">
      <c r="A685" s="1116"/>
      <c r="B685" s="1116"/>
      <c r="C685" s="1116"/>
      <c r="D685" s="1116"/>
      <c r="E685" s="1116"/>
      <c r="F685" s="1116"/>
      <c r="G685" s="1116"/>
      <c r="H685" s="1116"/>
      <c r="I685" s="1116"/>
      <c r="J685" s="1116"/>
      <c r="K685" s="1116"/>
      <c r="L685" s="1116"/>
      <c r="M685" s="1116"/>
      <c r="N685" s="1116"/>
      <c r="O685" s="1116"/>
      <c r="P685" s="1116"/>
      <c r="Q685" s="1116"/>
      <c r="R685" s="1116"/>
      <c r="S685" s="1116"/>
      <c r="T685" s="1116"/>
      <c r="U685" s="1116"/>
      <c r="V685" s="1116"/>
      <c r="W685" s="1116"/>
      <c r="X685" s="1116"/>
      <c r="Y685" s="1116"/>
      <c r="Z685" s="1116"/>
      <c r="AA685" s="1116"/>
      <c r="AB685" s="1116"/>
      <c r="AC685" s="1116"/>
      <c r="AD685" s="1116"/>
      <c r="AE685" s="1116"/>
      <c r="AF685" s="1116"/>
      <c r="AG685" s="1116"/>
      <c r="AH685" s="1116"/>
      <c r="AI685" s="1116"/>
      <c r="AJ685" s="1116"/>
      <c r="AK685" s="1116"/>
    </row>
    <row r="686" spans="1:37" x14ac:dyDescent="0.35">
      <c r="A686" s="1116"/>
      <c r="B686" s="1116"/>
      <c r="C686" s="1116"/>
      <c r="D686" s="1116"/>
      <c r="E686" s="1116"/>
      <c r="F686" s="1116"/>
      <c r="G686" s="1116"/>
      <c r="H686" s="1116"/>
      <c r="I686" s="1116"/>
      <c r="J686" s="1116"/>
      <c r="K686" s="1116"/>
      <c r="L686" s="1116"/>
      <c r="M686" s="1116"/>
      <c r="N686" s="1116"/>
      <c r="O686" s="1116"/>
      <c r="P686" s="1116"/>
      <c r="Q686" s="1116"/>
      <c r="R686" s="1116"/>
      <c r="S686" s="1116"/>
      <c r="T686" s="1116"/>
      <c r="U686" s="1116"/>
      <c r="V686" s="1116"/>
      <c r="W686" s="1116"/>
      <c r="X686" s="1116"/>
      <c r="Y686" s="1116"/>
      <c r="Z686" s="1116"/>
      <c r="AA686" s="1116"/>
      <c r="AB686" s="1116"/>
      <c r="AC686" s="1116"/>
      <c r="AD686" s="1116"/>
      <c r="AE686" s="1116"/>
      <c r="AF686" s="1116"/>
      <c r="AG686" s="1116"/>
      <c r="AH686" s="1116"/>
      <c r="AI686" s="1116"/>
      <c r="AJ686" s="1116"/>
      <c r="AK686" s="1116"/>
    </row>
    <row r="687" spans="1:37" x14ac:dyDescent="0.35">
      <c r="A687" s="1116"/>
      <c r="B687" s="1116"/>
      <c r="C687" s="1116"/>
      <c r="D687" s="1116"/>
      <c r="E687" s="1116"/>
      <c r="F687" s="1116"/>
      <c r="G687" s="1116"/>
      <c r="H687" s="1116"/>
      <c r="I687" s="1116"/>
      <c r="J687" s="1116"/>
      <c r="K687" s="1116"/>
      <c r="L687" s="1116"/>
      <c r="M687" s="1116"/>
      <c r="N687" s="1116"/>
      <c r="O687" s="1116"/>
      <c r="P687" s="1116"/>
      <c r="Q687" s="1116"/>
      <c r="R687" s="1116"/>
      <c r="S687" s="1116"/>
      <c r="T687" s="1116"/>
      <c r="U687" s="1116"/>
      <c r="V687" s="1116"/>
      <c r="W687" s="1116"/>
      <c r="X687" s="1116"/>
      <c r="Y687" s="1116"/>
      <c r="Z687" s="1116"/>
      <c r="AA687" s="1116"/>
      <c r="AB687" s="1116"/>
      <c r="AC687" s="1116"/>
      <c r="AD687" s="1116"/>
      <c r="AE687" s="1116"/>
      <c r="AF687" s="1116"/>
      <c r="AG687" s="1116"/>
      <c r="AH687" s="1116"/>
      <c r="AI687" s="1116"/>
      <c r="AJ687" s="1116"/>
      <c r="AK687" s="1116"/>
    </row>
    <row r="688" spans="1:37" x14ac:dyDescent="0.35">
      <c r="A688" s="1116"/>
      <c r="B688" s="1116"/>
      <c r="C688" s="1116"/>
      <c r="D688" s="1116"/>
      <c r="E688" s="1116"/>
      <c r="F688" s="1116"/>
      <c r="G688" s="1116"/>
      <c r="H688" s="1116"/>
      <c r="I688" s="1116"/>
      <c r="J688" s="1116"/>
      <c r="K688" s="1116"/>
      <c r="L688" s="1116"/>
      <c r="M688" s="1116"/>
      <c r="N688" s="1116"/>
      <c r="O688" s="1116"/>
      <c r="P688" s="1116"/>
      <c r="Q688" s="1116"/>
      <c r="R688" s="1116"/>
      <c r="S688" s="1116"/>
      <c r="T688" s="1116"/>
      <c r="U688" s="1116"/>
      <c r="V688" s="1116"/>
      <c r="W688" s="1116"/>
      <c r="X688" s="1116"/>
      <c r="Y688" s="1116"/>
      <c r="Z688" s="1116"/>
      <c r="AA688" s="1116"/>
      <c r="AB688" s="1116"/>
      <c r="AC688" s="1116"/>
      <c r="AD688" s="1116"/>
      <c r="AE688" s="1116"/>
      <c r="AF688" s="1116"/>
      <c r="AG688" s="1116"/>
      <c r="AH688" s="1116"/>
      <c r="AI688" s="1116"/>
      <c r="AJ688" s="1116"/>
      <c r="AK688" s="1116"/>
    </row>
    <row r="689" spans="1:37" x14ac:dyDescent="0.35">
      <c r="A689" s="1116"/>
      <c r="B689" s="1116"/>
      <c r="C689" s="1116"/>
      <c r="D689" s="1116"/>
      <c r="E689" s="1116"/>
      <c r="F689" s="1116"/>
      <c r="G689" s="1116"/>
      <c r="H689" s="1116"/>
      <c r="I689" s="1116"/>
      <c r="J689" s="1116"/>
      <c r="K689" s="1116"/>
      <c r="L689" s="1116"/>
      <c r="M689" s="1116"/>
      <c r="N689" s="1116"/>
      <c r="O689" s="1116"/>
      <c r="P689" s="1116"/>
      <c r="Q689" s="1116"/>
      <c r="R689" s="1116"/>
      <c r="S689" s="1116"/>
      <c r="T689" s="1116"/>
      <c r="U689" s="1116"/>
      <c r="V689" s="1116"/>
      <c r="W689" s="1116"/>
      <c r="X689" s="1116"/>
      <c r="Y689" s="1116"/>
      <c r="Z689" s="1116"/>
      <c r="AA689" s="1116"/>
      <c r="AB689" s="1116"/>
      <c r="AC689" s="1116"/>
      <c r="AD689" s="1116"/>
      <c r="AE689" s="1116"/>
      <c r="AF689" s="1116"/>
      <c r="AG689" s="1116"/>
      <c r="AH689" s="1116"/>
      <c r="AI689" s="1116"/>
      <c r="AJ689" s="1116"/>
      <c r="AK689" s="1116"/>
    </row>
    <row r="690" spans="1:37" x14ac:dyDescent="0.35">
      <c r="A690" s="1116"/>
      <c r="B690" s="1116"/>
      <c r="C690" s="1116"/>
      <c r="D690" s="1116"/>
      <c r="E690" s="1116"/>
      <c r="F690" s="1116"/>
      <c r="G690" s="1116"/>
      <c r="H690" s="1116"/>
      <c r="I690" s="1116"/>
      <c r="J690" s="1116"/>
      <c r="K690" s="1116"/>
      <c r="L690" s="1116"/>
      <c r="M690" s="1116"/>
      <c r="N690" s="1116"/>
      <c r="O690" s="1116"/>
      <c r="P690" s="1116"/>
      <c r="Q690" s="1116"/>
      <c r="R690" s="1116"/>
      <c r="S690" s="1116"/>
      <c r="T690" s="1116"/>
      <c r="U690" s="1116"/>
      <c r="V690" s="1116"/>
      <c r="W690" s="1116"/>
      <c r="X690" s="1116"/>
      <c r="Y690" s="1116"/>
      <c r="Z690" s="1116"/>
      <c r="AA690" s="1116"/>
      <c r="AB690" s="1116"/>
      <c r="AC690" s="1116"/>
      <c r="AD690" s="1116"/>
      <c r="AE690" s="1116"/>
      <c r="AF690" s="1116"/>
      <c r="AG690" s="1116"/>
      <c r="AH690" s="1116"/>
      <c r="AI690" s="1116"/>
      <c r="AJ690" s="1116"/>
      <c r="AK690" s="1116"/>
    </row>
    <row r="691" spans="1:37" x14ac:dyDescent="0.35">
      <c r="A691" s="1116"/>
      <c r="B691" s="1116"/>
      <c r="C691" s="1116"/>
      <c r="D691" s="1116"/>
      <c r="E691" s="1116"/>
      <c r="F691" s="1116"/>
      <c r="G691" s="1116"/>
      <c r="H691" s="1116"/>
      <c r="I691" s="1116"/>
      <c r="J691" s="1116"/>
      <c r="K691" s="1116"/>
      <c r="L691" s="1116"/>
      <c r="M691" s="1116"/>
      <c r="N691" s="1116"/>
      <c r="O691" s="1116"/>
      <c r="P691" s="1116"/>
      <c r="Q691" s="1116"/>
      <c r="R691" s="1116"/>
      <c r="S691" s="1116"/>
      <c r="T691" s="1116"/>
      <c r="U691" s="1116"/>
      <c r="V691" s="1116"/>
      <c r="W691" s="1116"/>
      <c r="X691" s="1116"/>
      <c r="Y691" s="1116"/>
      <c r="Z691" s="1116"/>
      <c r="AA691" s="1116"/>
      <c r="AB691" s="1116"/>
      <c r="AC691" s="1116"/>
      <c r="AD691" s="1116"/>
      <c r="AE691" s="1116"/>
      <c r="AF691" s="1116"/>
      <c r="AG691" s="1116"/>
      <c r="AH691" s="1116"/>
      <c r="AI691" s="1116"/>
      <c r="AJ691" s="1116"/>
      <c r="AK691" s="1116"/>
    </row>
    <row r="692" spans="1:37" x14ac:dyDescent="0.35">
      <c r="A692" s="1116"/>
      <c r="B692" s="1116"/>
      <c r="C692" s="1116"/>
      <c r="D692" s="1116"/>
      <c r="E692" s="1116"/>
      <c r="F692" s="1116"/>
      <c r="G692" s="1116"/>
      <c r="H692" s="1116"/>
      <c r="I692" s="1116"/>
      <c r="J692" s="1116"/>
      <c r="K692" s="1116"/>
      <c r="L692" s="1116"/>
      <c r="M692" s="1116"/>
      <c r="N692" s="1116"/>
      <c r="O692" s="1116"/>
      <c r="P692" s="1116"/>
      <c r="Q692" s="1116"/>
      <c r="R692" s="1116"/>
      <c r="S692" s="1116"/>
      <c r="T692" s="1116"/>
      <c r="U692" s="1116"/>
      <c r="V692" s="1116"/>
      <c r="W692" s="1116"/>
      <c r="X692" s="1116"/>
      <c r="Y692" s="1116"/>
      <c r="Z692" s="1116"/>
      <c r="AA692" s="1116"/>
      <c r="AB692" s="1116"/>
      <c r="AC692" s="1116"/>
      <c r="AD692" s="1116"/>
      <c r="AE692" s="1116"/>
      <c r="AF692" s="1116"/>
      <c r="AG692" s="1116"/>
      <c r="AH692" s="1116"/>
      <c r="AI692" s="1116"/>
      <c r="AJ692" s="1116"/>
      <c r="AK692" s="1116"/>
    </row>
    <row r="693" spans="1:37" x14ac:dyDescent="0.35">
      <c r="A693" s="1116"/>
      <c r="B693" s="1116"/>
      <c r="C693" s="1116"/>
      <c r="D693" s="1116"/>
      <c r="E693" s="1116"/>
      <c r="F693" s="1116"/>
      <c r="G693" s="1116"/>
      <c r="H693" s="1116"/>
      <c r="I693" s="1116"/>
      <c r="J693" s="1116"/>
      <c r="K693" s="1116"/>
      <c r="L693" s="1116"/>
      <c r="M693" s="1116"/>
      <c r="N693" s="1116"/>
      <c r="O693" s="1116"/>
      <c r="P693" s="1116"/>
      <c r="Q693" s="1116"/>
      <c r="R693" s="1116"/>
      <c r="S693" s="1116"/>
      <c r="T693" s="1116"/>
      <c r="U693" s="1116"/>
      <c r="V693" s="1116"/>
      <c r="W693" s="1116"/>
      <c r="X693" s="1116"/>
      <c r="Y693" s="1116"/>
      <c r="Z693" s="1116"/>
      <c r="AA693" s="1116"/>
      <c r="AB693" s="1116"/>
      <c r="AC693" s="1116"/>
      <c r="AD693" s="1116"/>
      <c r="AE693" s="1116"/>
      <c r="AF693" s="1116"/>
      <c r="AG693" s="1116"/>
      <c r="AH693" s="1116"/>
      <c r="AI693" s="1116"/>
      <c r="AJ693" s="1116"/>
      <c r="AK693" s="1116"/>
    </row>
    <row r="694" spans="1:37" x14ac:dyDescent="0.35">
      <c r="A694" s="1116"/>
      <c r="B694" s="1116"/>
      <c r="C694" s="1116"/>
      <c r="D694" s="1116"/>
      <c r="E694" s="1116"/>
      <c r="F694" s="1116"/>
      <c r="G694" s="1116"/>
      <c r="H694" s="1116"/>
      <c r="I694" s="1116"/>
      <c r="J694" s="1116"/>
      <c r="K694" s="1116"/>
      <c r="L694" s="1116"/>
      <c r="M694" s="1116"/>
      <c r="N694" s="1116"/>
      <c r="O694" s="1116"/>
      <c r="P694" s="1116"/>
      <c r="Q694" s="1116"/>
      <c r="R694" s="1116"/>
      <c r="S694" s="1116"/>
      <c r="T694" s="1116"/>
      <c r="U694" s="1116"/>
      <c r="V694" s="1116"/>
      <c r="W694" s="1116"/>
      <c r="X694" s="1116"/>
      <c r="Y694" s="1116"/>
      <c r="Z694" s="1116"/>
      <c r="AA694" s="1116"/>
      <c r="AB694" s="1116"/>
      <c r="AC694" s="1116"/>
      <c r="AD694" s="1116"/>
      <c r="AE694" s="1116"/>
      <c r="AF694" s="1116"/>
      <c r="AG694" s="1116"/>
      <c r="AH694" s="1116"/>
      <c r="AI694" s="1116"/>
      <c r="AJ694" s="1116"/>
      <c r="AK694" s="1116"/>
    </row>
    <row r="695" spans="1:37" x14ac:dyDescent="0.35">
      <c r="A695" s="1116"/>
      <c r="B695" s="1116"/>
      <c r="C695" s="1116"/>
      <c r="D695" s="1116"/>
      <c r="E695" s="1116"/>
      <c r="F695" s="1116"/>
      <c r="G695" s="1116"/>
      <c r="H695" s="1116"/>
      <c r="I695" s="1116"/>
      <c r="J695" s="1116"/>
      <c r="K695" s="1116"/>
      <c r="L695" s="1116"/>
      <c r="M695" s="1116"/>
      <c r="N695" s="1116"/>
      <c r="O695" s="1116"/>
      <c r="P695" s="1116"/>
      <c r="Q695" s="1116"/>
      <c r="R695" s="1116"/>
      <c r="S695" s="1116"/>
      <c r="T695" s="1116"/>
      <c r="U695" s="1116"/>
      <c r="V695" s="1116"/>
      <c r="W695" s="1116"/>
      <c r="X695" s="1116"/>
      <c r="Y695" s="1116"/>
      <c r="Z695" s="1116"/>
      <c r="AA695" s="1116"/>
      <c r="AB695" s="1116"/>
      <c r="AC695" s="1116"/>
      <c r="AD695" s="1116"/>
      <c r="AE695" s="1116"/>
      <c r="AF695" s="1116"/>
      <c r="AG695" s="1116"/>
      <c r="AH695" s="1116"/>
      <c r="AI695" s="1116"/>
      <c r="AJ695" s="1116"/>
      <c r="AK695" s="1116"/>
    </row>
    <row r="696" spans="1:37" x14ac:dyDescent="0.35">
      <c r="A696" s="1116"/>
      <c r="B696" s="1116"/>
      <c r="C696" s="1116"/>
      <c r="D696" s="1116"/>
      <c r="E696" s="1116"/>
      <c r="F696" s="1116"/>
      <c r="G696" s="1116"/>
      <c r="H696" s="1116"/>
      <c r="I696" s="1116"/>
      <c r="J696" s="1116"/>
      <c r="K696" s="1116"/>
      <c r="L696" s="1116"/>
      <c r="M696" s="1116"/>
      <c r="N696" s="1116"/>
      <c r="O696" s="1116"/>
      <c r="P696" s="1116"/>
      <c r="Q696" s="1116"/>
      <c r="R696" s="1116"/>
      <c r="S696" s="1116"/>
      <c r="T696" s="1116"/>
      <c r="U696" s="1116"/>
      <c r="V696" s="1116"/>
      <c r="W696" s="1116"/>
      <c r="X696" s="1116"/>
      <c r="Y696" s="1116"/>
      <c r="Z696" s="1116"/>
      <c r="AA696" s="1116"/>
      <c r="AB696" s="1116"/>
      <c r="AC696" s="1116"/>
      <c r="AD696" s="1116"/>
      <c r="AE696" s="1116"/>
      <c r="AF696" s="1116"/>
      <c r="AG696" s="1116"/>
      <c r="AH696" s="1116"/>
      <c r="AI696" s="1116"/>
      <c r="AJ696" s="1116"/>
      <c r="AK696" s="1116"/>
    </row>
    <row r="697" spans="1:37" x14ac:dyDescent="0.35">
      <c r="A697" s="1116"/>
      <c r="B697" s="1116"/>
      <c r="C697" s="1116"/>
      <c r="D697" s="1116"/>
      <c r="E697" s="1116"/>
      <c r="F697" s="1116"/>
      <c r="G697" s="1116"/>
      <c r="H697" s="1116"/>
      <c r="I697" s="1116"/>
      <c r="J697" s="1116"/>
      <c r="K697" s="1116"/>
      <c r="L697" s="1116"/>
      <c r="M697" s="1116"/>
      <c r="N697" s="1116"/>
      <c r="O697" s="1116"/>
      <c r="P697" s="1116"/>
      <c r="Q697" s="1116"/>
      <c r="R697" s="1116"/>
      <c r="S697" s="1116"/>
      <c r="T697" s="1116"/>
      <c r="U697" s="1116"/>
      <c r="V697" s="1116"/>
      <c r="W697" s="1116"/>
      <c r="X697" s="1116"/>
      <c r="Y697" s="1116"/>
      <c r="Z697" s="1116"/>
      <c r="AA697" s="1116"/>
      <c r="AB697" s="1116"/>
      <c r="AC697" s="1116"/>
      <c r="AD697" s="1116"/>
      <c r="AE697" s="1116"/>
      <c r="AF697" s="1116"/>
      <c r="AG697" s="1116"/>
      <c r="AH697" s="1116"/>
      <c r="AI697" s="1116"/>
      <c r="AJ697" s="1116"/>
      <c r="AK697" s="1116"/>
    </row>
    <row r="698" spans="1:37" x14ac:dyDescent="0.35">
      <c r="A698" s="1116"/>
      <c r="B698" s="1116"/>
      <c r="C698" s="1116"/>
      <c r="D698" s="1116"/>
      <c r="E698" s="1116"/>
      <c r="F698" s="1116"/>
      <c r="G698" s="1116"/>
      <c r="H698" s="1116"/>
      <c r="I698" s="1116"/>
      <c r="J698" s="1116"/>
      <c r="K698" s="1116"/>
      <c r="L698" s="1116"/>
      <c r="M698" s="1116"/>
      <c r="N698" s="1116"/>
      <c r="O698" s="1116"/>
      <c r="P698" s="1116"/>
      <c r="Q698" s="1116"/>
      <c r="R698" s="1116"/>
      <c r="S698" s="1116"/>
      <c r="T698" s="1116"/>
      <c r="U698" s="1116"/>
      <c r="V698" s="1116"/>
      <c r="W698" s="1116"/>
      <c r="X698" s="1116"/>
      <c r="Y698" s="1116"/>
      <c r="Z698" s="1116"/>
      <c r="AA698" s="1116"/>
      <c r="AB698" s="1116"/>
      <c r="AC698" s="1116"/>
      <c r="AD698" s="1116"/>
      <c r="AE698" s="1116"/>
      <c r="AF698" s="1116"/>
      <c r="AG698" s="1116"/>
      <c r="AH698" s="1116"/>
      <c r="AI698" s="1116"/>
      <c r="AJ698" s="1116"/>
      <c r="AK698" s="1116"/>
    </row>
    <row r="699" spans="1:37" x14ac:dyDescent="0.35">
      <c r="A699" s="1116"/>
      <c r="B699" s="1116"/>
      <c r="C699" s="1116"/>
      <c r="D699" s="1116"/>
      <c r="E699" s="1116"/>
      <c r="F699" s="1116"/>
      <c r="G699" s="1116"/>
      <c r="H699" s="1116"/>
      <c r="I699" s="1116"/>
      <c r="J699" s="1116"/>
      <c r="K699" s="1116"/>
      <c r="L699" s="1116"/>
      <c r="M699" s="1116"/>
      <c r="N699" s="1116"/>
      <c r="O699" s="1116"/>
      <c r="P699" s="1116"/>
      <c r="Q699" s="1116"/>
      <c r="R699" s="1116"/>
      <c r="S699" s="1116"/>
      <c r="T699" s="1116"/>
      <c r="U699" s="1116"/>
      <c r="V699" s="1116"/>
      <c r="W699" s="1116"/>
      <c r="X699" s="1116"/>
      <c r="Y699" s="1116"/>
      <c r="Z699" s="1116"/>
      <c r="AA699" s="1116"/>
      <c r="AB699" s="1116"/>
      <c r="AC699" s="1116"/>
      <c r="AD699" s="1116"/>
      <c r="AE699" s="1116"/>
      <c r="AF699" s="1116"/>
      <c r="AG699" s="1116"/>
      <c r="AH699" s="1116"/>
      <c r="AI699" s="1116"/>
      <c r="AJ699" s="1116"/>
      <c r="AK699" s="1116"/>
    </row>
    <row r="700" spans="1:37" x14ac:dyDescent="0.35">
      <c r="A700" s="1116"/>
      <c r="B700" s="1116"/>
      <c r="C700" s="1116"/>
      <c r="D700" s="1116"/>
      <c r="E700" s="1116"/>
      <c r="F700" s="1116"/>
      <c r="G700" s="1116"/>
      <c r="H700" s="1116"/>
      <c r="I700" s="1116"/>
      <c r="J700" s="1116"/>
      <c r="K700" s="1116"/>
      <c r="L700" s="1116"/>
      <c r="M700" s="1116"/>
      <c r="N700" s="1116"/>
      <c r="O700" s="1116"/>
      <c r="P700" s="1116"/>
      <c r="Q700" s="1116"/>
      <c r="R700" s="1116"/>
      <c r="S700" s="1116"/>
      <c r="T700" s="1116"/>
      <c r="U700" s="1116"/>
      <c r="V700" s="1116"/>
      <c r="W700" s="1116"/>
      <c r="X700" s="1116"/>
      <c r="Y700" s="1116"/>
      <c r="Z700" s="1116"/>
      <c r="AA700" s="1116"/>
      <c r="AB700" s="1116"/>
      <c r="AC700" s="1116"/>
      <c r="AD700" s="1116"/>
      <c r="AE700" s="1116"/>
      <c r="AF700" s="1116"/>
      <c r="AG700" s="1116"/>
      <c r="AH700" s="1116"/>
      <c r="AI700" s="1116"/>
      <c r="AJ700" s="1116"/>
      <c r="AK700" s="1116"/>
    </row>
    <row r="701" spans="1:37" x14ac:dyDescent="0.35">
      <c r="A701" s="1116"/>
      <c r="B701" s="1116"/>
      <c r="C701" s="1116"/>
      <c r="D701" s="1116"/>
      <c r="E701" s="1116"/>
      <c r="F701" s="1116"/>
      <c r="G701" s="1116"/>
      <c r="H701" s="1116"/>
      <c r="I701" s="1116"/>
      <c r="J701" s="1116"/>
      <c r="K701" s="1116"/>
      <c r="L701" s="1116"/>
      <c r="M701" s="1116"/>
      <c r="N701" s="1116"/>
      <c r="O701" s="1116"/>
      <c r="P701" s="1116"/>
      <c r="Q701" s="1116"/>
      <c r="R701" s="1116"/>
      <c r="S701" s="1116"/>
      <c r="T701" s="1116"/>
      <c r="U701" s="1116"/>
      <c r="V701" s="1116"/>
      <c r="W701" s="1116"/>
      <c r="X701" s="1116"/>
      <c r="Y701" s="1116"/>
      <c r="Z701" s="1116"/>
      <c r="AA701" s="1116"/>
      <c r="AB701" s="1116"/>
      <c r="AC701" s="1116"/>
      <c r="AD701" s="1116"/>
      <c r="AE701" s="1116"/>
      <c r="AF701" s="1116"/>
      <c r="AG701" s="1116"/>
      <c r="AH701" s="1116"/>
      <c r="AI701" s="1116"/>
      <c r="AJ701" s="1116"/>
      <c r="AK701" s="1116"/>
    </row>
    <row r="702" spans="1:37" x14ac:dyDescent="0.35">
      <c r="A702" s="1116"/>
      <c r="B702" s="1116"/>
      <c r="C702" s="1116"/>
      <c r="D702" s="1116"/>
      <c r="E702" s="1116"/>
      <c r="F702" s="1116"/>
      <c r="G702" s="1116"/>
      <c r="H702" s="1116"/>
      <c r="I702" s="1116"/>
      <c r="J702" s="1116"/>
      <c r="K702" s="1116"/>
      <c r="L702" s="1116"/>
      <c r="M702" s="1116"/>
      <c r="N702" s="1116"/>
      <c r="O702" s="1116"/>
      <c r="P702" s="1116"/>
      <c r="Q702" s="1116"/>
      <c r="R702" s="1116"/>
      <c r="S702" s="1116"/>
      <c r="T702" s="1116"/>
      <c r="U702" s="1116"/>
      <c r="V702" s="1116"/>
      <c r="W702" s="1116"/>
      <c r="X702" s="1116"/>
      <c r="Y702" s="1116"/>
      <c r="Z702" s="1116"/>
      <c r="AA702" s="1116"/>
      <c r="AB702" s="1116"/>
      <c r="AC702" s="1116"/>
      <c r="AD702" s="1116"/>
      <c r="AE702" s="1116"/>
      <c r="AF702" s="1116"/>
      <c r="AG702" s="1116"/>
      <c r="AH702" s="1116"/>
      <c r="AI702" s="1116"/>
      <c r="AJ702" s="1116"/>
      <c r="AK702" s="1116"/>
    </row>
    <row r="703" spans="1:37" x14ac:dyDescent="0.35">
      <c r="A703" s="1116"/>
      <c r="B703" s="1116"/>
      <c r="C703" s="1116"/>
      <c r="D703" s="1116"/>
      <c r="E703" s="1116"/>
      <c r="F703" s="1116"/>
      <c r="G703" s="1116"/>
      <c r="H703" s="1116"/>
      <c r="I703" s="1116"/>
      <c r="J703" s="1116"/>
      <c r="K703" s="1116"/>
      <c r="L703" s="1116"/>
      <c r="M703" s="1116"/>
      <c r="N703" s="1116"/>
      <c r="O703" s="1116"/>
      <c r="P703" s="1116"/>
      <c r="Q703" s="1116"/>
      <c r="R703" s="1116"/>
      <c r="S703" s="1116"/>
      <c r="T703" s="1116"/>
      <c r="U703" s="1116"/>
      <c r="V703" s="1116"/>
      <c r="W703" s="1116"/>
      <c r="X703" s="1116"/>
      <c r="Y703" s="1116"/>
      <c r="Z703" s="1116"/>
      <c r="AA703" s="1116"/>
      <c r="AB703" s="1116"/>
      <c r="AC703" s="1116"/>
      <c r="AD703" s="1116"/>
      <c r="AE703" s="1116"/>
      <c r="AF703" s="1116"/>
      <c r="AG703" s="1116"/>
      <c r="AH703" s="1116"/>
      <c r="AI703" s="1116"/>
      <c r="AJ703" s="1116"/>
      <c r="AK703" s="1116"/>
    </row>
    <row r="704" spans="1:37" x14ac:dyDescent="0.35">
      <c r="A704" s="1116"/>
      <c r="B704" s="1116"/>
      <c r="C704" s="1116"/>
      <c r="D704" s="1116"/>
      <c r="E704" s="1116"/>
      <c r="F704" s="1116"/>
      <c r="G704" s="1116"/>
      <c r="H704" s="1116"/>
      <c r="I704" s="1116"/>
      <c r="J704" s="1116"/>
      <c r="K704" s="1116"/>
      <c r="L704" s="1116"/>
      <c r="M704" s="1116"/>
      <c r="N704" s="1116"/>
      <c r="O704" s="1116"/>
      <c r="P704" s="1116"/>
      <c r="Q704" s="1116"/>
      <c r="R704" s="1116"/>
      <c r="S704" s="1116"/>
      <c r="T704" s="1116"/>
      <c r="U704" s="1116"/>
      <c r="V704" s="1116"/>
      <c r="W704" s="1116"/>
      <c r="X704" s="1116"/>
      <c r="Y704" s="1116"/>
      <c r="Z704" s="1116"/>
      <c r="AA704" s="1116"/>
      <c r="AB704" s="1116"/>
      <c r="AC704" s="1116"/>
      <c r="AD704" s="1116"/>
      <c r="AE704" s="1116"/>
      <c r="AF704" s="1116"/>
      <c r="AG704" s="1116"/>
      <c r="AH704" s="1116"/>
      <c r="AI704" s="1116"/>
      <c r="AJ704" s="1116"/>
      <c r="AK704" s="1116"/>
    </row>
    <row r="705" spans="1:37" x14ac:dyDescent="0.35">
      <c r="A705" s="1116"/>
      <c r="B705" s="1116"/>
      <c r="C705" s="1116"/>
      <c r="D705" s="1116"/>
      <c r="E705" s="1116"/>
      <c r="F705" s="1116"/>
      <c r="G705" s="1116"/>
      <c r="H705" s="1116"/>
      <c r="I705" s="1116"/>
      <c r="J705" s="1116"/>
      <c r="K705" s="1116"/>
      <c r="L705" s="1116"/>
      <c r="M705" s="1116"/>
      <c r="N705" s="1116"/>
      <c r="O705" s="1116"/>
      <c r="P705" s="1116"/>
      <c r="Q705" s="1116"/>
      <c r="R705" s="1116"/>
      <c r="S705" s="1116"/>
      <c r="T705" s="1116"/>
      <c r="U705" s="1116"/>
      <c r="V705" s="1116"/>
      <c r="W705" s="1116"/>
      <c r="X705" s="1116"/>
      <c r="Y705" s="1116"/>
      <c r="Z705" s="1116"/>
      <c r="AA705" s="1116"/>
      <c r="AB705" s="1116"/>
      <c r="AC705" s="1116"/>
      <c r="AD705" s="1116"/>
      <c r="AE705" s="1116"/>
      <c r="AF705" s="1116"/>
      <c r="AG705" s="1116"/>
      <c r="AH705" s="1116"/>
      <c r="AI705" s="1116"/>
      <c r="AJ705" s="1116"/>
      <c r="AK705" s="1116"/>
    </row>
    <row r="706" spans="1:37" x14ac:dyDescent="0.35">
      <c r="A706" s="1116"/>
      <c r="B706" s="1116"/>
      <c r="C706" s="1116"/>
      <c r="D706" s="1116"/>
      <c r="E706" s="1116"/>
      <c r="F706" s="1116"/>
      <c r="G706" s="1116"/>
      <c r="H706" s="1116"/>
      <c r="I706" s="1116"/>
      <c r="J706" s="1116"/>
      <c r="K706" s="1116"/>
      <c r="L706" s="1116"/>
      <c r="M706" s="1116"/>
      <c r="N706" s="1116"/>
      <c r="O706" s="1116"/>
      <c r="P706" s="1116"/>
      <c r="Q706" s="1116"/>
      <c r="R706" s="1116"/>
      <c r="S706" s="1116"/>
      <c r="T706" s="1116"/>
      <c r="U706" s="1116"/>
      <c r="V706" s="1116"/>
      <c r="W706" s="1116"/>
      <c r="X706" s="1116"/>
      <c r="Y706" s="1116"/>
      <c r="Z706" s="1116"/>
      <c r="AA706" s="1116"/>
      <c r="AB706" s="1116"/>
      <c r="AC706" s="1116"/>
      <c r="AD706" s="1116"/>
      <c r="AE706" s="1116"/>
      <c r="AF706" s="1116"/>
      <c r="AG706" s="1116"/>
      <c r="AH706" s="1116"/>
      <c r="AI706" s="1116"/>
      <c r="AJ706" s="1116"/>
      <c r="AK706" s="1116"/>
    </row>
    <row r="707" spans="1:37" x14ac:dyDescent="0.35">
      <c r="A707" s="1116"/>
      <c r="B707" s="1116"/>
      <c r="C707" s="1116"/>
      <c r="D707" s="1116"/>
      <c r="E707" s="1116"/>
      <c r="F707" s="1116"/>
      <c r="G707" s="1116"/>
      <c r="H707" s="1116"/>
      <c r="I707" s="1116"/>
      <c r="J707" s="1116"/>
      <c r="K707" s="1116"/>
      <c r="L707" s="1116"/>
      <c r="M707" s="1116"/>
      <c r="N707" s="1116"/>
      <c r="O707" s="1116"/>
      <c r="P707" s="1116"/>
      <c r="Q707" s="1116"/>
      <c r="R707" s="1116"/>
      <c r="S707" s="1116"/>
      <c r="T707" s="1116"/>
      <c r="U707" s="1116"/>
      <c r="V707" s="1116"/>
      <c r="W707" s="1116"/>
      <c r="X707" s="1116"/>
      <c r="Y707" s="1116"/>
      <c r="Z707" s="1116"/>
      <c r="AA707" s="1116"/>
      <c r="AB707" s="1116"/>
      <c r="AC707" s="1116"/>
      <c r="AD707" s="1116"/>
      <c r="AE707" s="1116"/>
      <c r="AF707" s="1116"/>
      <c r="AG707" s="1116"/>
      <c r="AH707" s="1116"/>
      <c r="AI707" s="1116"/>
      <c r="AJ707" s="1116"/>
      <c r="AK707" s="1116"/>
    </row>
    <row r="708" spans="1:37" x14ac:dyDescent="0.35">
      <c r="A708" s="1116"/>
      <c r="B708" s="1116"/>
      <c r="C708" s="1116"/>
      <c r="D708" s="1116"/>
      <c r="E708" s="1116"/>
      <c r="F708" s="1116"/>
      <c r="G708" s="1116"/>
      <c r="H708" s="1116"/>
      <c r="I708" s="1116"/>
      <c r="J708" s="1116"/>
      <c r="K708" s="1116"/>
      <c r="L708" s="1116"/>
      <c r="M708" s="1116"/>
      <c r="N708" s="1116"/>
      <c r="O708" s="1116"/>
      <c r="P708" s="1116"/>
      <c r="Q708" s="1116"/>
      <c r="R708" s="1116"/>
      <c r="S708" s="1116"/>
      <c r="T708" s="1116"/>
      <c r="U708" s="1116"/>
      <c r="V708" s="1116"/>
      <c r="W708" s="1116"/>
      <c r="X708" s="1116"/>
      <c r="Y708" s="1116"/>
      <c r="Z708" s="1116"/>
      <c r="AA708" s="1116"/>
      <c r="AB708" s="1116"/>
      <c r="AC708" s="1116"/>
      <c r="AD708" s="1116"/>
      <c r="AE708" s="1116"/>
      <c r="AF708" s="1116"/>
      <c r="AG708" s="1116"/>
      <c r="AH708" s="1116"/>
      <c r="AI708" s="1116"/>
      <c r="AJ708" s="1116"/>
      <c r="AK708" s="1116"/>
    </row>
    <row r="709" spans="1:37" x14ac:dyDescent="0.35">
      <c r="A709" s="1116"/>
      <c r="B709" s="1116"/>
      <c r="C709" s="1116"/>
      <c r="D709" s="1116"/>
      <c r="E709" s="1116"/>
      <c r="F709" s="1116"/>
      <c r="G709" s="1116"/>
      <c r="H709" s="1116"/>
      <c r="I709" s="1116"/>
      <c r="J709" s="1116"/>
      <c r="K709" s="1116"/>
      <c r="L709" s="1116"/>
      <c r="M709" s="1116"/>
      <c r="N709" s="1116"/>
      <c r="O709" s="1116"/>
      <c r="P709" s="1116"/>
      <c r="Q709" s="1116"/>
      <c r="R709" s="1116"/>
      <c r="S709" s="1116"/>
      <c r="T709" s="1116"/>
      <c r="U709" s="1116"/>
      <c r="V709" s="1116"/>
      <c r="W709" s="1116"/>
      <c r="X709" s="1116"/>
      <c r="Y709" s="1116"/>
      <c r="Z709" s="1116"/>
      <c r="AA709" s="1116"/>
      <c r="AB709" s="1116"/>
      <c r="AC709" s="1116"/>
      <c r="AD709" s="1116"/>
      <c r="AE709" s="1116"/>
      <c r="AF709" s="1116"/>
      <c r="AG709" s="1116"/>
      <c r="AH709" s="1116"/>
      <c r="AI709" s="1116"/>
      <c r="AJ709" s="1116"/>
      <c r="AK709" s="1116"/>
    </row>
    <row r="710" spans="1:37" x14ac:dyDescent="0.35">
      <c r="A710" s="1116"/>
      <c r="B710" s="1116"/>
      <c r="C710" s="1116"/>
      <c r="D710" s="1116"/>
      <c r="E710" s="1116"/>
      <c r="F710" s="1116"/>
      <c r="G710" s="1116"/>
      <c r="H710" s="1116"/>
      <c r="I710" s="1116"/>
      <c r="J710" s="1116"/>
      <c r="K710" s="1116"/>
      <c r="L710" s="1116"/>
      <c r="M710" s="1116"/>
      <c r="N710" s="1116"/>
      <c r="O710" s="1116"/>
      <c r="P710" s="1116"/>
      <c r="Q710" s="1116"/>
      <c r="R710" s="1116"/>
      <c r="S710" s="1116"/>
      <c r="T710" s="1116"/>
      <c r="U710" s="1116"/>
      <c r="V710" s="1116"/>
      <c r="W710" s="1116"/>
      <c r="X710" s="1116"/>
      <c r="Y710" s="1116"/>
      <c r="Z710" s="1116"/>
      <c r="AA710" s="1116"/>
      <c r="AB710" s="1116"/>
      <c r="AC710" s="1116"/>
      <c r="AD710" s="1116"/>
      <c r="AE710" s="1116"/>
      <c r="AF710" s="1116"/>
      <c r="AG710" s="1116"/>
      <c r="AH710" s="1116"/>
      <c r="AI710" s="1116"/>
      <c r="AJ710" s="1116"/>
      <c r="AK710" s="1116"/>
    </row>
    <row r="711" spans="1:37" x14ac:dyDescent="0.35">
      <c r="A711" s="1116"/>
      <c r="B711" s="1116"/>
      <c r="C711" s="1116"/>
      <c r="D711" s="1116"/>
      <c r="E711" s="1116"/>
      <c r="F711" s="1116"/>
      <c r="G711" s="1116"/>
      <c r="H711" s="1116"/>
      <c r="I711" s="1116"/>
      <c r="J711" s="1116"/>
      <c r="K711" s="1116"/>
      <c r="L711" s="1116"/>
      <c r="M711" s="1116"/>
      <c r="N711" s="1116"/>
      <c r="O711" s="1116"/>
      <c r="P711" s="1116"/>
      <c r="Q711" s="1116"/>
      <c r="R711" s="1116"/>
      <c r="S711" s="1116"/>
      <c r="T711" s="1116"/>
      <c r="U711" s="1116"/>
      <c r="V711" s="1116"/>
      <c r="W711" s="1116"/>
      <c r="X711" s="1116"/>
      <c r="Y711" s="1116"/>
      <c r="Z711" s="1116"/>
      <c r="AA711" s="1116"/>
      <c r="AB711" s="1116"/>
      <c r="AC711" s="1116"/>
      <c r="AD711" s="1116"/>
      <c r="AE711" s="1116"/>
      <c r="AF711" s="1116"/>
      <c r="AG711" s="1116"/>
      <c r="AH711" s="1116"/>
      <c r="AI711" s="1116"/>
      <c r="AJ711" s="1116"/>
      <c r="AK711" s="1116"/>
    </row>
    <row r="712" spans="1:37" x14ac:dyDescent="0.35">
      <c r="A712" s="1116"/>
      <c r="B712" s="1116"/>
      <c r="C712" s="1116"/>
      <c r="D712" s="1116"/>
      <c r="E712" s="1116"/>
      <c r="F712" s="1116"/>
      <c r="G712" s="1116"/>
      <c r="H712" s="1116"/>
      <c r="I712" s="1116"/>
      <c r="J712" s="1116"/>
      <c r="K712" s="1116"/>
      <c r="L712" s="1116"/>
      <c r="M712" s="1116"/>
      <c r="N712" s="1116"/>
      <c r="O712" s="1116"/>
      <c r="P712" s="1116"/>
      <c r="Q712" s="1116"/>
      <c r="R712" s="1116"/>
      <c r="S712" s="1116"/>
      <c r="T712" s="1116"/>
      <c r="U712" s="1116"/>
      <c r="V712" s="1116"/>
      <c r="W712" s="1116"/>
      <c r="X712" s="1116"/>
      <c r="Y712" s="1116"/>
      <c r="Z712" s="1116"/>
      <c r="AA712" s="1116"/>
      <c r="AB712" s="1116"/>
      <c r="AC712" s="1116"/>
      <c r="AD712" s="1116"/>
      <c r="AE712" s="1116"/>
      <c r="AF712" s="1116"/>
      <c r="AG712" s="1116"/>
      <c r="AH712" s="1116"/>
      <c r="AI712" s="1116"/>
      <c r="AJ712" s="1116"/>
      <c r="AK712" s="1116"/>
    </row>
    <row r="713" spans="1:37" x14ac:dyDescent="0.35">
      <c r="A713" s="1116"/>
      <c r="B713" s="1116"/>
      <c r="C713" s="1116"/>
      <c r="D713" s="1116"/>
      <c r="E713" s="1116"/>
      <c r="F713" s="1116"/>
      <c r="G713" s="1116"/>
      <c r="H713" s="1116"/>
      <c r="I713" s="1116"/>
      <c r="J713" s="1116"/>
      <c r="K713" s="1116"/>
      <c r="L713" s="1116"/>
      <c r="M713" s="1116"/>
      <c r="N713" s="1116"/>
      <c r="O713" s="1116"/>
      <c r="P713" s="1116"/>
      <c r="Q713" s="1116"/>
      <c r="R713" s="1116"/>
      <c r="S713" s="1116"/>
      <c r="T713" s="1116"/>
      <c r="U713" s="1116"/>
      <c r="V713" s="1116"/>
      <c r="W713" s="1116"/>
      <c r="X713" s="1116"/>
      <c r="Y713" s="1116"/>
      <c r="Z713" s="1116"/>
      <c r="AA713" s="1116"/>
      <c r="AB713" s="1116"/>
      <c r="AC713" s="1116"/>
      <c r="AD713" s="1116"/>
      <c r="AE713" s="1116"/>
      <c r="AF713" s="1116"/>
      <c r="AG713" s="1116"/>
      <c r="AH713" s="1116"/>
      <c r="AI713" s="1116"/>
      <c r="AJ713" s="1116"/>
      <c r="AK713" s="1116"/>
    </row>
    <row r="714" spans="1:37" x14ac:dyDescent="0.35">
      <c r="A714" s="1116"/>
      <c r="B714" s="1116"/>
      <c r="C714" s="1116"/>
      <c r="D714" s="1116"/>
      <c r="E714" s="1116"/>
      <c r="F714" s="1116"/>
      <c r="G714" s="1116"/>
      <c r="H714" s="1116"/>
      <c r="I714" s="1116"/>
      <c r="J714" s="1116"/>
      <c r="K714" s="1116"/>
      <c r="L714" s="1116"/>
      <c r="M714" s="1116"/>
      <c r="N714" s="1116"/>
      <c r="O714" s="1116"/>
      <c r="P714" s="1116"/>
      <c r="Q714" s="1116"/>
      <c r="R714" s="1116"/>
      <c r="S714" s="1116"/>
      <c r="T714" s="1116"/>
      <c r="U714" s="1116"/>
      <c r="V714" s="1116"/>
      <c r="W714" s="1116"/>
      <c r="X714" s="1116"/>
      <c r="Y714" s="1116"/>
      <c r="Z714" s="1116"/>
      <c r="AA714" s="1116"/>
      <c r="AB714" s="1116"/>
      <c r="AC714" s="1116"/>
      <c r="AD714" s="1116"/>
      <c r="AE714" s="1116"/>
      <c r="AF714" s="1116"/>
      <c r="AG714" s="1116"/>
      <c r="AH714" s="1116"/>
      <c r="AI714" s="1116"/>
      <c r="AJ714" s="1116"/>
      <c r="AK714" s="1116"/>
    </row>
    <row r="715" spans="1:37" x14ac:dyDescent="0.35">
      <c r="A715" s="1116"/>
      <c r="B715" s="1116"/>
      <c r="C715" s="1116"/>
      <c r="D715" s="1116"/>
      <c r="E715" s="1116"/>
      <c r="F715" s="1116"/>
      <c r="G715" s="1116"/>
      <c r="H715" s="1116"/>
      <c r="I715" s="1116"/>
      <c r="J715" s="1116"/>
      <c r="K715" s="1116"/>
      <c r="L715" s="1116"/>
      <c r="M715" s="1116"/>
      <c r="N715" s="1116"/>
      <c r="O715" s="1116"/>
      <c r="P715" s="1116"/>
      <c r="Q715" s="1116"/>
      <c r="R715" s="1116"/>
      <c r="S715" s="1116"/>
      <c r="T715" s="1116"/>
      <c r="U715" s="1116"/>
      <c r="V715" s="1116"/>
      <c r="W715" s="1116"/>
      <c r="X715" s="1116"/>
      <c r="Y715" s="1116"/>
      <c r="Z715" s="1116"/>
      <c r="AA715" s="1116"/>
      <c r="AB715" s="1116"/>
      <c r="AC715" s="1116"/>
      <c r="AD715" s="1116"/>
      <c r="AE715" s="1116"/>
      <c r="AF715" s="1116"/>
      <c r="AG715" s="1116"/>
      <c r="AH715" s="1116"/>
      <c r="AI715" s="1116"/>
      <c r="AJ715" s="1116"/>
      <c r="AK715" s="1116"/>
    </row>
    <row r="716" spans="1:37" x14ac:dyDescent="0.35">
      <c r="A716" s="1116"/>
      <c r="B716" s="1116"/>
      <c r="C716" s="1116"/>
      <c r="D716" s="1116"/>
      <c r="E716" s="1116"/>
      <c r="F716" s="1116"/>
      <c r="G716" s="1116"/>
      <c r="H716" s="1116"/>
      <c r="I716" s="1116"/>
      <c r="J716" s="1116"/>
      <c r="K716" s="1116"/>
      <c r="L716" s="1116"/>
      <c r="M716" s="1116"/>
      <c r="N716" s="1116"/>
      <c r="O716" s="1116"/>
      <c r="P716" s="1116"/>
      <c r="Q716" s="1116"/>
      <c r="R716" s="1116"/>
      <c r="S716" s="1116"/>
      <c r="T716" s="1116"/>
      <c r="U716" s="1116"/>
      <c r="V716" s="1116"/>
      <c r="W716" s="1116"/>
      <c r="X716" s="1116"/>
      <c r="Y716" s="1116"/>
      <c r="Z716" s="1116"/>
      <c r="AA716" s="1116"/>
      <c r="AB716" s="1116"/>
      <c r="AC716" s="1116"/>
      <c r="AD716" s="1116"/>
      <c r="AE716" s="1116"/>
      <c r="AF716" s="1116"/>
      <c r="AG716" s="1116"/>
      <c r="AH716" s="1116"/>
      <c r="AI716" s="1116"/>
      <c r="AJ716" s="1116"/>
      <c r="AK716" s="1116"/>
    </row>
    <row r="717" spans="1:37" x14ac:dyDescent="0.35">
      <c r="A717" s="1116"/>
      <c r="B717" s="1116"/>
      <c r="C717" s="1116"/>
      <c r="D717" s="1116"/>
      <c r="E717" s="1116"/>
      <c r="F717" s="1116"/>
      <c r="G717" s="1116"/>
      <c r="H717" s="1116"/>
      <c r="I717" s="1116"/>
      <c r="J717" s="1116"/>
      <c r="K717" s="1116"/>
      <c r="L717" s="1116"/>
      <c r="M717" s="1116"/>
      <c r="N717" s="1116"/>
      <c r="O717" s="1116"/>
      <c r="P717" s="1116"/>
      <c r="Q717" s="1116"/>
      <c r="R717" s="1116"/>
      <c r="S717" s="1116"/>
      <c r="T717" s="1116"/>
      <c r="U717" s="1116"/>
      <c r="V717" s="1116"/>
      <c r="W717" s="1116"/>
      <c r="X717" s="1116"/>
      <c r="Y717" s="1116"/>
      <c r="Z717" s="1116"/>
      <c r="AA717" s="1116"/>
      <c r="AB717" s="1116"/>
      <c r="AC717" s="1116"/>
      <c r="AD717" s="1116"/>
      <c r="AE717" s="1116"/>
      <c r="AF717" s="1116"/>
      <c r="AG717" s="1116"/>
      <c r="AH717" s="1116"/>
      <c r="AI717" s="1116"/>
      <c r="AJ717" s="1116"/>
      <c r="AK717" s="1116"/>
    </row>
    <row r="718" spans="1:37" x14ac:dyDescent="0.35">
      <c r="A718" s="1116"/>
      <c r="B718" s="1116"/>
      <c r="C718" s="1116"/>
      <c r="D718" s="1116"/>
      <c r="E718" s="1116"/>
      <c r="F718" s="1116"/>
      <c r="G718" s="1116"/>
      <c r="H718" s="1116"/>
      <c r="I718" s="1116"/>
      <c r="J718" s="1116"/>
      <c r="K718" s="1116"/>
      <c r="L718" s="1116"/>
      <c r="M718" s="1116"/>
      <c r="N718" s="1116"/>
      <c r="O718" s="1116"/>
      <c r="P718" s="1116"/>
      <c r="Q718" s="1116"/>
      <c r="R718" s="1116"/>
      <c r="S718" s="1116"/>
      <c r="T718" s="1116"/>
      <c r="U718" s="1116"/>
      <c r="V718" s="1116"/>
      <c r="W718" s="1116"/>
      <c r="X718" s="1116"/>
      <c r="Y718" s="1116"/>
      <c r="Z718" s="1116"/>
      <c r="AA718" s="1116"/>
      <c r="AB718" s="1116"/>
      <c r="AC718" s="1116"/>
      <c r="AD718" s="1116"/>
      <c r="AE718" s="1116"/>
      <c r="AF718" s="1116"/>
      <c r="AG718" s="1116"/>
      <c r="AH718" s="1116"/>
      <c r="AI718" s="1116"/>
      <c r="AJ718" s="1116"/>
      <c r="AK718" s="1116"/>
    </row>
    <row r="719" spans="1:37" x14ac:dyDescent="0.35">
      <c r="A719" s="1116"/>
      <c r="B719" s="1116"/>
      <c r="C719" s="1116"/>
      <c r="D719" s="1116"/>
      <c r="E719" s="1116"/>
      <c r="F719" s="1116"/>
      <c r="G719" s="1116"/>
      <c r="H719" s="1116"/>
      <c r="I719" s="1116"/>
      <c r="J719" s="1116"/>
      <c r="K719" s="1116"/>
      <c r="L719" s="1116"/>
      <c r="M719" s="1116"/>
      <c r="N719" s="1116"/>
      <c r="O719" s="1116"/>
      <c r="P719" s="1116"/>
      <c r="Q719" s="1116"/>
      <c r="R719" s="1116"/>
      <c r="S719" s="1116"/>
      <c r="T719" s="1116"/>
      <c r="U719" s="1116"/>
      <c r="V719" s="1116"/>
      <c r="W719" s="1116"/>
      <c r="X719" s="1116"/>
      <c r="Y719" s="1116"/>
      <c r="Z719" s="1116"/>
      <c r="AA719" s="1116"/>
      <c r="AB719" s="1116"/>
      <c r="AC719" s="1116"/>
      <c r="AD719" s="1116"/>
      <c r="AE719" s="1116"/>
      <c r="AF719" s="1116"/>
      <c r="AG719" s="1116"/>
      <c r="AH719" s="1116"/>
      <c r="AI719" s="1116"/>
      <c r="AJ719" s="1116"/>
      <c r="AK719" s="1116"/>
    </row>
    <row r="720" spans="1:37" x14ac:dyDescent="0.35">
      <c r="A720" s="1116"/>
      <c r="B720" s="1116"/>
      <c r="C720" s="1116"/>
      <c r="D720" s="1116"/>
      <c r="E720" s="1116"/>
      <c r="F720" s="1116"/>
      <c r="G720" s="1116"/>
      <c r="H720" s="1116"/>
      <c r="I720" s="1116"/>
      <c r="J720" s="1116"/>
      <c r="K720" s="1116"/>
      <c r="L720" s="1116"/>
      <c r="M720" s="1116"/>
      <c r="N720" s="1116"/>
      <c r="O720" s="1116"/>
      <c r="P720" s="1116"/>
      <c r="Q720" s="1116"/>
      <c r="R720" s="1116"/>
      <c r="S720" s="1116"/>
      <c r="T720" s="1116"/>
      <c r="U720" s="1116"/>
      <c r="V720" s="1116"/>
      <c r="W720" s="1116"/>
      <c r="X720" s="1116"/>
      <c r="Y720" s="1116"/>
      <c r="Z720" s="1116"/>
      <c r="AA720" s="1116"/>
      <c r="AB720" s="1116"/>
      <c r="AC720" s="1116"/>
      <c r="AD720" s="1116"/>
      <c r="AE720" s="1116"/>
      <c r="AF720" s="1116"/>
      <c r="AG720" s="1116"/>
      <c r="AH720" s="1116"/>
      <c r="AI720" s="1116"/>
      <c r="AJ720" s="1116"/>
      <c r="AK720" s="1116"/>
    </row>
    <row r="721" spans="1:37" x14ac:dyDescent="0.35">
      <c r="A721" s="1116"/>
      <c r="B721" s="1116"/>
      <c r="C721" s="1116"/>
      <c r="D721" s="1116"/>
      <c r="E721" s="1116"/>
      <c r="F721" s="1116"/>
      <c r="G721" s="1116"/>
      <c r="H721" s="1116"/>
      <c r="I721" s="1116"/>
      <c r="J721" s="1116"/>
      <c r="K721" s="1116"/>
      <c r="L721" s="1116"/>
      <c r="M721" s="1116"/>
      <c r="N721" s="1116"/>
      <c r="O721" s="1116"/>
      <c r="P721" s="1116"/>
      <c r="Q721" s="1116"/>
      <c r="R721" s="1116"/>
      <c r="S721" s="1116"/>
      <c r="T721" s="1116"/>
      <c r="U721" s="1116"/>
      <c r="V721" s="1116"/>
      <c r="W721" s="1116"/>
      <c r="X721" s="1116"/>
      <c r="Y721" s="1116"/>
      <c r="Z721" s="1116"/>
      <c r="AA721" s="1116"/>
      <c r="AB721" s="1116"/>
      <c r="AC721" s="1116"/>
      <c r="AD721" s="1116"/>
      <c r="AE721" s="1116"/>
      <c r="AF721" s="1116"/>
      <c r="AG721" s="1116"/>
      <c r="AH721" s="1116"/>
      <c r="AI721" s="1116"/>
      <c r="AJ721" s="1116"/>
      <c r="AK721" s="1116"/>
    </row>
    <row r="722" spans="1:37" x14ac:dyDescent="0.35">
      <c r="A722" s="1116"/>
      <c r="B722" s="1116"/>
      <c r="C722" s="1116"/>
      <c r="D722" s="1116"/>
      <c r="E722" s="1116"/>
      <c r="F722" s="1116"/>
      <c r="G722" s="1116"/>
      <c r="H722" s="1116"/>
      <c r="I722" s="1116"/>
      <c r="J722" s="1116"/>
      <c r="K722" s="1116"/>
      <c r="L722" s="1116"/>
      <c r="M722" s="1116"/>
      <c r="N722" s="1116"/>
      <c r="O722" s="1116"/>
      <c r="P722" s="1116"/>
      <c r="Q722" s="1116"/>
      <c r="R722" s="1116"/>
      <c r="S722" s="1116"/>
      <c r="T722" s="1116"/>
      <c r="U722" s="1116"/>
      <c r="V722" s="1116"/>
      <c r="W722" s="1116"/>
      <c r="X722" s="1116"/>
      <c r="Y722" s="1116"/>
      <c r="Z722" s="1116"/>
      <c r="AA722" s="1116"/>
      <c r="AB722" s="1116"/>
      <c r="AC722" s="1116"/>
      <c r="AD722" s="1116"/>
      <c r="AE722" s="1116"/>
      <c r="AF722" s="1116"/>
      <c r="AG722" s="1116"/>
      <c r="AH722" s="1116"/>
      <c r="AI722" s="1116"/>
      <c r="AJ722" s="1116"/>
      <c r="AK722" s="1116"/>
    </row>
    <row r="723" spans="1:37" x14ac:dyDescent="0.35">
      <c r="A723" s="1116"/>
      <c r="B723" s="1116"/>
      <c r="C723" s="1116"/>
      <c r="D723" s="1116"/>
      <c r="E723" s="1116"/>
      <c r="F723" s="1116"/>
      <c r="G723" s="1116"/>
      <c r="H723" s="1116"/>
      <c r="I723" s="1116"/>
      <c r="J723" s="1116"/>
      <c r="K723" s="1116"/>
      <c r="L723" s="1116"/>
      <c r="M723" s="1116"/>
      <c r="N723" s="1116"/>
      <c r="O723" s="1116"/>
      <c r="P723" s="1116"/>
      <c r="Q723" s="1116"/>
      <c r="R723" s="1116"/>
      <c r="S723" s="1116"/>
      <c r="T723" s="1116"/>
      <c r="U723" s="1116"/>
      <c r="V723" s="1116"/>
      <c r="W723" s="1116"/>
      <c r="X723" s="1116"/>
      <c r="Y723" s="1116"/>
      <c r="Z723" s="1116"/>
      <c r="AA723" s="1116"/>
      <c r="AB723" s="1116"/>
      <c r="AC723" s="1116"/>
      <c r="AD723" s="1116"/>
      <c r="AE723" s="1116"/>
      <c r="AF723" s="1116"/>
      <c r="AG723" s="1116"/>
      <c r="AH723" s="1116"/>
      <c r="AI723" s="1116"/>
      <c r="AJ723" s="1116"/>
      <c r="AK723" s="1116"/>
    </row>
    <row r="724" spans="1:37" x14ac:dyDescent="0.35">
      <c r="A724" s="1116"/>
      <c r="B724" s="1116"/>
      <c r="C724" s="1116"/>
      <c r="D724" s="1116"/>
      <c r="E724" s="1116"/>
      <c r="F724" s="1116"/>
      <c r="G724" s="1116"/>
      <c r="H724" s="1116"/>
      <c r="I724" s="1116"/>
      <c r="J724" s="1116"/>
      <c r="K724" s="1116"/>
      <c r="L724" s="1116"/>
      <c r="M724" s="1116"/>
      <c r="N724" s="1116"/>
      <c r="O724" s="1116"/>
      <c r="P724" s="1116"/>
      <c r="Q724" s="1116"/>
      <c r="R724" s="1116"/>
      <c r="S724" s="1116"/>
      <c r="T724" s="1116"/>
      <c r="U724" s="1116"/>
      <c r="V724" s="1116"/>
      <c r="W724" s="1116"/>
      <c r="X724" s="1116"/>
      <c r="Y724" s="1116"/>
      <c r="Z724" s="1116"/>
      <c r="AA724" s="1116"/>
      <c r="AB724" s="1116"/>
      <c r="AC724" s="1116"/>
      <c r="AD724" s="1116"/>
      <c r="AE724" s="1116"/>
      <c r="AF724" s="1116"/>
      <c r="AG724" s="1116"/>
      <c r="AH724" s="1116"/>
      <c r="AI724" s="1116"/>
      <c r="AJ724" s="1116"/>
      <c r="AK724" s="1116"/>
    </row>
    <row r="725" spans="1:37" x14ac:dyDescent="0.35">
      <c r="A725" s="1116"/>
      <c r="B725" s="1116"/>
      <c r="C725" s="1116"/>
      <c r="D725" s="1116"/>
      <c r="E725" s="1116"/>
      <c r="F725" s="1116"/>
      <c r="G725" s="1116"/>
      <c r="H725" s="1116"/>
      <c r="I725" s="1116"/>
      <c r="J725" s="1116"/>
      <c r="K725" s="1116"/>
      <c r="L725" s="1116"/>
      <c r="M725" s="1116"/>
      <c r="N725" s="1116"/>
      <c r="O725" s="1116"/>
      <c r="P725" s="1116"/>
      <c r="Q725" s="1116"/>
      <c r="R725" s="1116"/>
      <c r="S725" s="1116"/>
      <c r="T725" s="1116"/>
      <c r="U725" s="1116"/>
      <c r="V725" s="1116"/>
      <c r="W725" s="1116"/>
      <c r="X725" s="1116"/>
      <c r="Y725" s="1116"/>
      <c r="Z725" s="1116"/>
      <c r="AA725" s="1116"/>
      <c r="AB725" s="1116"/>
      <c r="AC725" s="1116"/>
      <c r="AD725" s="1116"/>
      <c r="AE725" s="1116"/>
      <c r="AF725" s="1116"/>
      <c r="AG725" s="1116"/>
      <c r="AH725" s="1116"/>
      <c r="AI725" s="1116"/>
      <c r="AJ725" s="1116"/>
      <c r="AK725" s="1116"/>
    </row>
    <row r="726" spans="1:37" x14ac:dyDescent="0.35">
      <c r="A726" s="1116"/>
      <c r="B726" s="1116"/>
      <c r="C726" s="1116"/>
      <c r="D726" s="1116"/>
      <c r="E726" s="1116"/>
      <c r="F726" s="1116"/>
      <c r="G726" s="1116"/>
      <c r="H726" s="1116"/>
      <c r="I726" s="1116"/>
      <c r="J726" s="1116"/>
      <c r="K726" s="1116"/>
      <c r="L726" s="1116"/>
      <c r="M726" s="1116"/>
      <c r="N726" s="1116"/>
      <c r="O726" s="1116"/>
      <c r="P726" s="1116"/>
      <c r="Q726" s="1116"/>
      <c r="R726" s="1116"/>
      <c r="S726" s="1116"/>
      <c r="T726" s="1116"/>
      <c r="U726" s="1116"/>
      <c r="V726" s="1116"/>
      <c r="W726" s="1116"/>
      <c r="X726" s="1116"/>
      <c r="Y726" s="1116"/>
      <c r="Z726" s="1116"/>
      <c r="AA726" s="1116"/>
      <c r="AB726" s="1116"/>
      <c r="AC726" s="1116"/>
      <c r="AD726" s="1116"/>
      <c r="AE726" s="1116"/>
      <c r="AF726" s="1116"/>
      <c r="AG726" s="1116"/>
      <c r="AH726" s="1116"/>
      <c r="AI726" s="1116"/>
      <c r="AJ726" s="1116"/>
      <c r="AK726" s="1116"/>
    </row>
    <row r="727" spans="1:37" x14ac:dyDescent="0.35">
      <c r="A727" s="1116"/>
      <c r="B727" s="1116"/>
      <c r="C727" s="1116"/>
      <c r="D727" s="1116"/>
      <c r="E727" s="1116"/>
      <c r="F727" s="1116"/>
      <c r="G727" s="1116"/>
      <c r="H727" s="1116"/>
      <c r="I727" s="1116"/>
      <c r="J727" s="1116"/>
      <c r="K727" s="1116"/>
      <c r="L727" s="1116"/>
      <c r="M727" s="1116"/>
      <c r="N727" s="1116"/>
      <c r="O727" s="1116"/>
      <c r="P727" s="1116"/>
      <c r="Q727" s="1116"/>
      <c r="R727" s="1116"/>
      <c r="S727" s="1116"/>
      <c r="T727" s="1116"/>
      <c r="U727" s="1116"/>
      <c r="V727" s="1116"/>
      <c r="W727" s="1116"/>
      <c r="X727" s="1116"/>
      <c r="Y727" s="1116"/>
      <c r="Z727" s="1116"/>
      <c r="AA727" s="1116"/>
      <c r="AB727" s="1116"/>
      <c r="AC727" s="1116"/>
      <c r="AD727" s="1116"/>
      <c r="AE727" s="1116"/>
      <c r="AF727" s="1116"/>
      <c r="AG727" s="1116"/>
      <c r="AH727" s="1116"/>
      <c r="AI727" s="1116"/>
      <c r="AJ727" s="1116"/>
      <c r="AK727" s="1116"/>
    </row>
    <row r="728" spans="1:37" x14ac:dyDescent="0.35">
      <c r="A728" s="1116"/>
      <c r="B728" s="1116"/>
      <c r="C728" s="1116"/>
      <c r="D728" s="1116"/>
      <c r="E728" s="1116"/>
      <c r="F728" s="1116"/>
      <c r="G728" s="1116"/>
      <c r="H728" s="1116"/>
      <c r="I728" s="1116"/>
      <c r="J728" s="1116"/>
      <c r="K728" s="1116"/>
      <c r="L728" s="1116"/>
      <c r="M728" s="1116"/>
      <c r="N728" s="1116"/>
      <c r="O728" s="1116"/>
      <c r="P728" s="1116"/>
      <c r="Q728" s="1116"/>
      <c r="R728" s="1116"/>
      <c r="S728" s="1116"/>
      <c r="T728" s="1116"/>
      <c r="U728" s="1116"/>
      <c r="V728" s="1116"/>
      <c r="W728" s="1116"/>
      <c r="X728" s="1116"/>
      <c r="Y728" s="1116"/>
      <c r="Z728" s="1116"/>
      <c r="AA728" s="1116"/>
      <c r="AB728" s="1116"/>
      <c r="AC728" s="1116"/>
      <c r="AD728" s="1116"/>
      <c r="AE728" s="1116"/>
      <c r="AF728" s="1116"/>
      <c r="AG728" s="1116"/>
      <c r="AH728" s="1116"/>
      <c r="AI728" s="1116"/>
      <c r="AJ728" s="1116"/>
      <c r="AK728" s="1116"/>
    </row>
    <row r="729" spans="1:37" x14ac:dyDescent="0.35">
      <c r="A729" s="1116"/>
      <c r="B729" s="1116"/>
      <c r="C729" s="1116"/>
      <c r="D729" s="1116"/>
      <c r="E729" s="1116"/>
      <c r="F729" s="1116"/>
      <c r="G729" s="1116"/>
      <c r="H729" s="1116"/>
      <c r="I729" s="1116"/>
      <c r="J729" s="1116"/>
      <c r="K729" s="1116"/>
      <c r="L729" s="1116"/>
      <c r="M729" s="1116"/>
      <c r="N729" s="1116"/>
      <c r="O729" s="1116"/>
      <c r="P729" s="1116"/>
      <c r="Q729" s="1116"/>
      <c r="R729" s="1116"/>
      <c r="S729" s="1116"/>
      <c r="T729" s="1116"/>
      <c r="U729" s="1116"/>
      <c r="V729" s="1116"/>
      <c r="W729" s="1116"/>
      <c r="X729" s="1116"/>
      <c r="Y729" s="1116"/>
      <c r="Z729" s="1116"/>
      <c r="AA729" s="1116"/>
      <c r="AB729" s="1116"/>
      <c r="AC729" s="1116"/>
      <c r="AD729" s="1116"/>
      <c r="AE729" s="1116"/>
      <c r="AF729" s="1116"/>
      <c r="AG729" s="1116"/>
      <c r="AH729" s="1116"/>
      <c r="AI729" s="1116"/>
      <c r="AJ729" s="1116"/>
      <c r="AK729" s="1116"/>
    </row>
    <row r="730" spans="1:37" x14ac:dyDescent="0.35">
      <c r="A730" s="1116"/>
      <c r="B730" s="1116"/>
      <c r="C730" s="1116"/>
      <c r="D730" s="1116"/>
      <c r="E730" s="1116"/>
      <c r="F730" s="1116"/>
      <c r="G730" s="1116"/>
      <c r="H730" s="1116"/>
      <c r="I730" s="1116"/>
      <c r="J730" s="1116"/>
      <c r="K730" s="1116"/>
      <c r="L730" s="1116"/>
      <c r="M730" s="1116"/>
      <c r="N730" s="1116"/>
      <c r="O730" s="1116"/>
      <c r="P730" s="1116"/>
      <c r="Q730" s="1116"/>
      <c r="R730" s="1116"/>
      <c r="S730" s="1116"/>
      <c r="T730" s="1116"/>
      <c r="U730" s="1116"/>
      <c r="V730" s="1116"/>
      <c r="W730" s="1116"/>
      <c r="X730" s="1116"/>
      <c r="Y730" s="1116"/>
      <c r="Z730" s="1116"/>
      <c r="AA730" s="1116"/>
      <c r="AB730" s="1116"/>
      <c r="AC730" s="1116"/>
      <c r="AD730" s="1116"/>
      <c r="AE730" s="1116"/>
      <c r="AF730" s="1116"/>
      <c r="AG730" s="1116"/>
      <c r="AH730" s="1116"/>
      <c r="AI730" s="1116"/>
      <c r="AJ730" s="1116"/>
      <c r="AK730" s="1116"/>
    </row>
    <row r="731" spans="1:37" x14ac:dyDescent="0.35">
      <c r="A731" s="1116"/>
      <c r="B731" s="1116"/>
      <c r="C731" s="1116"/>
      <c r="D731" s="1116"/>
      <c r="E731" s="1116"/>
      <c r="F731" s="1116"/>
      <c r="G731" s="1116"/>
      <c r="H731" s="1116"/>
      <c r="I731" s="1116"/>
      <c r="J731" s="1116"/>
      <c r="K731" s="1116"/>
      <c r="L731" s="1116"/>
      <c r="M731" s="1116"/>
      <c r="N731" s="1116"/>
      <c r="O731" s="1116"/>
      <c r="P731" s="1116"/>
      <c r="Q731" s="1116"/>
      <c r="R731" s="1116"/>
      <c r="S731" s="1116"/>
      <c r="T731" s="1116"/>
      <c r="U731" s="1116"/>
      <c r="V731" s="1116"/>
      <c r="W731" s="1116"/>
      <c r="X731" s="1116"/>
      <c r="Y731" s="1116"/>
      <c r="Z731" s="1116"/>
      <c r="AA731" s="1116"/>
      <c r="AB731" s="1116"/>
      <c r="AC731" s="1116"/>
      <c r="AD731" s="1116"/>
      <c r="AE731" s="1116"/>
      <c r="AF731" s="1116"/>
      <c r="AG731" s="1116"/>
      <c r="AH731" s="1116"/>
      <c r="AI731" s="1116"/>
      <c r="AJ731" s="1116"/>
      <c r="AK731" s="1116"/>
    </row>
    <row r="732" spans="1:37" x14ac:dyDescent="0.35">
      <c r="A732" s="1116"/>
      <c r="B732" s="1116"/>
      <c r="C732" s="1116"/>
      <c r="D732" s="1116"/>
      <c r="E732" s="1116"/>
      <c r="F732" s="1116"/>
      <c r="G732" s="1116"/>
      <c r="H732" s="1116"/>
      <c r="I732" s="1116"/>
      <c r="J732" s="1116"/>
      <c r="K732" s="1116"/>
      <c r="L732" s="1116"/>
      <c r="M732" s="1116"/>
      <c r="N732" s="1116"/>
      <c r="O732" s="1116"/>
      <c r="P732" s="1116"/>
      <c r="Q732" s="1116"/>
      <c r="R732" s="1116"/>
      <c r="S732" s="1116"/>
      <c r="T732" s="1116"/>
      <c r="U732" s="1116"/>
      <c r="V732" s="1116"/>
      <c r="W732" s="1116"/>
      <c r="X732" s="1116"/>
      <c r="Y732" s="1116"/>
      <c r="Z732" s="1116"/>
      <c r="AA732" s="1116"/>
      <c r="AB732" s="1116"/>
      <c r="AC732" s="1116"/>
      <c r="AD732" s="1116"/>
      <c r="AE732" s="1116"/>
      <c r="AF732" s="1116"/>
      <c r="AG732" s="1116"/>
      <c r="AH732" s="1116"/>
      <c r="AI732" s="1116"/>
      <c r="AJ732" s="1116"/>
      <c r="AK732" s="1116"/>
    </row>
    <row r="733" spans="1:37" x14ac:dyDescent="0.35">
      <c r="A733" s="1116"/>
      <c r="B733" s="1116"/>
      <c r="C733" s="1116"/>
      <c r="D733" s="1116"/>
      <c r="E733" s="1116"/>
      <c r="F733" s="1116"/>
      <c r="G733" s="1116"/>
      <c r="H733" s="1116"/>
      <c r="I733" s="1116"/>
      <c r="J733" s="1116"/>
      <c r="K733" s="1116"/>
      <c r="L733" s="1116"/>
      <c r="M733" s="1116"/>
      <c r="N733" s="1116"/>
      <c r="O733" s="1116"/>
      <c r="P733" s="1116"/>
      <c r="Q733" s="1116"/>
      <c r="R733" s="1116"/>
      <c r="S733" s="1116"/>
      <c r="T733" s="1116"/>
      <c r="U733" s="1116"/>
      <c r="V733" s="1116"/>
      <c r="W733" s="1116"/>
      <c r="X733" s="1116"/>
      <c r="Y733" s="1116"/>
      <c r="Z733" s="1116"/>
      <c r="AA733" s="1116"/>
      <c r="AB733" s="1116"/>
      <c r="AC733" s="1116"/>
      <c r="AD733" s="1116"/>
      <c r="AE733" s="1116"/>
      <c r="AF733" s="1116"/>
      <c r="AG733" s="1116"/>
      <c r="AH733" s="1116"/>
      <c r="AI733" s="1116"/>
      <c r="AJ733" s="1116"/>
      <c r="AK733" s="1116"/>
    </row>
    <row r="734" spans="1:37" x14ac:dyDescent="0.35">
      <c r="A734" s="1116"/>
      <c r="B734" s="1116"/>
      <c r="C734" s="1116"/>
      <c r="D734" s="1116"/>
      <c r="E734" s="1116"/>
      <c r="F734" s="1116"/>
      <c r="G734" s="1116"/>
      <c r="H734" s="1116"/>
      <c r="I734" s="1116"/>
      <c r="J734" s="1116"/>
      <c r="K734" s="1116"/>
      <c r="L734" s="1116"/>
      <c r="M734" s="1116"/>
      <c r="N734" s="1116"/>
      <c r="O734" s="1116"/>
      <c r="P734" s="1116"/>
      <c r="Q734" s="1116"/>
      <c r="R734" s="1116"/>
      <c r="S734" s="1116"/>
      <c r="T734" s="1116"/>
      <c r="U734" s="1116"/>
      <c r="V734" s="1116"/>
      <c r="W734" s="1116"/>
      <c r="X734" s="1116"/>
      <c r="Y734" s="1116"/>
      <c r="Z734" s="1116"/>
      <c r="AA734" s="1116"/>
      <c r="AB734" s="1116"/>
      <c r="AC734" s="1116"/>
      <c r="AD734" s="1116"/>
      <c r="AE734" s="1116"/>
      <c r="AF734" s="1116"/>
      <c r="AG734" s="1116"/>
      <c r="AH734" s="1116"/>
      <c r="AI734" s="1116"/>
      <c r="AJ734" s="1116"/>
      <c r="AK734" s="1116"/>
    </row>
    <row r="735" spans="1:37" x14ac:dyDescent="0.35">
      <c r="A735" s="1116"/>
      <c r="B735" s="1116"/>
      <c r="C735" s="1116"/>
      <c r="D735" s="1116"/>
      <c r="E735" s="1116"/>
      <c r="F735" s="1116"/>
      <c r="G735" s="1116"/>
      <c r="H735" s="1116"/>
      <c r="I735" s="1116"/>
      <c r="J735" s="1116"/>
      <c r="K735" s="1116"/>
      <c r="L735" s="1116"/>
      <c r="M735" s="1116"/>
      <c r="N735" s="1116"/>
      <c r="O735" s="1116"/>
      <c r="P735" s="1116"/>
      <c r="Q735" s="1116"/>
      <c r="R735" s="1116"/>
      <c r="S735" s="1116"/>
      <c r="T735" s="1116"/>
      <c r="U735" s="1116"/>
      <c r="V735" s="1116"/>
      <c r="W735" s="1116"/>
      <c r="X735" s="1116"/>
      <c r="Y735" s="1116"/>
      <c r="Z735" s="1116"/>
      <c r="AA735" s="1116"/>
      <c r="AB735" s="1116"/>
      <c r="AC735" s="1116"/>
      <c r="AD735" s="1116"/>
      <c r="AE735" s="1116"/>
      <c r="AF735" s="1116"/>
      <c r="AG735" s="1116"/>
      <c r="AH735" s="1116"/>
      <c r="AI735" s="1116"/>
      <c r="AJ735" s="1116"/>
      <c r="AK735" s="1116"/>
    </row>
    <row r="736" spans="1:37" x14ac:dyDescent="0.35">
      <c r="A736" s="1116"/>
      <c r="B736" s="1116"/>
      <c r="C736" s="1116"/>
      <c r="D736" s="1116"/>
      <c r="E736" s="1116"/>
      <c r="F736" s="1116"/>
      <c r="G736" s="1116"/>
      <c r="H736" s="1116"/>
      <c r="I736" s="1116"/>
      <c r="J736" s="1116"/>
      <c r="K736" s="1116"/>
      <c r="L736" s="1116"/>
      <c r="M736" s="1116"/>
      <c r="N736" s="1116"/>
      <c r="O736" s="1116"/>
      <c r="P736" s="1116"/>
      <c r="Q736" s="1116"/>
      <c r="R736" s="1116"/>
      <c r="S736" s="1116"/>
      <c r="T736" s="1116"/>
      <c r="U736" s="1116"/>
      <c r="V736" s="1116"/>
      <c r="W736" s="1116"/>
      <c r="X736" s="1116"/>
      <c r="Y736" s="1116"/>
      <c r="Z736" s="1116"/>
      <c r="AA736" s="1116"/>
      <c r="AB736" s="1116"/>
      <c r="AC736" s="1116"/>
      <c r="AD736" s="1116"/>
      <c r="AE736" s="1116"/>
      <c r="AF736" s="1116"/>
      <c r="AG736" s="1116"/>
      <c r="AH736" s="1116"/>
      <c r="AI736" s="1116"/>
      <c r="AJ736" s="1116"/>
      <c r="AK736" s="1116"/>
    </row>
    <row r="737" spans="1:37" x14ac:dyDescent="0.35">
      <c r="A737" s="1116"/>
      <c r="B737" s="1116"/>
      <c r="C737" s="1116"/>
      <c r="D737" s="1116"/>
      <c r="E737" s="1116"/>
      <c r="F737" s="1116"/>
      <c r="G737" s="1116"/>
      <c r="H737" s="1116"/>
      <c r="I737" s="1116"/>
      <c r="J737" s="1116"/>
      <c r="K737" s="1116"/>
      <c r="L737" s="1116"/>
      <c r="M737" s="1116"/>
      <c r="N737" s="1116"/>
      <c r="O737" s="1116"/>
      <c r="P737" s="1116"/>
      <c r="Q737" s="1116"/>
      <c r="R737" s="1116"/>
      <c r="S737" s="1116"/>
      <c r="T737" s="1116"/>
      <c r="U737" s="1116"/>
      <c r="V737" s="1116"/>
      <c r="W737" s="1116"/>
      <c r="X737" s="1116"/>
      <c r="Y737" s="1116"/>
      <c r="Z737" s="1116"/>
      <c r="AA737" s="1116"/>
      <c r="AB737" s="1116"/>
      <c r="AC737" s="1116"/>
      <c r="AD737" s="1116"/>
      <c r="AE737" s="1116"/>
      <c r="AF737" s="1116"/>
      <c r="AG737" s="1116"/>
      <c r="AH737" s="1116"/>
      <c r="AI737" s="1116"/>
      <c r="AJ737" s="1116"/>
      <c r="AK737" s="1116"/>
    </row>
    <row r="738" spans="1:37" x14ac:dyDescent="0.35">
      <c r="A738" s="1116"/>
      <c r="B738" s="1116"/>
      <c r="C738" s="1116"/>
      <c r="D738" s="1116"/>
      <c r="E738" s="1116"/>
      <c r="F738" s="1116"/>
      <c r="G738" s="1116"/>
      <c r="H738" s="1116"/>
      <c r="I738" s="1116"/>
      <c r="J738" s="1116"/>
      <c r="K738" s="1116"/>
      <c r="L738" s="1116"/>
      <c r="M738" s="1116"/>
      <c r="N738" s="1116"/>
      <c r="O738" s="1116"/>
      <c r="P738" s="1116"/>
      <c r="Q738" s="1116"/>
      <c r="R738" s="1116"/>
      <c r="S738" s="1116"/>
      <c r="T738" s="1116"/>
      <c r="U738" s="1116"/>
      <c r="V738" s="1116"/>
      <c r="W738" s="1116"/>
      <c r="X738" s="1116"/>
      <c r="Y738" s="1116"/>
      <c r="Z738" s="1116"/>
      <c r="AA738" s="1116"/>
      <c r="AB738" s="1116"/>
      <c r="AC738" s="1116"/>
      <c r="AD738" s="1116"/>
      <c r="AE738" s="1116"/>
      <c r="AF738" s="1116"/>
      <c r="AG738" s="1116"/>
      <c r="AH738" s="1116"/>
      <c r="AI738" s="1116"/>
      <c r="AJ738" s="1116"/>
      <c r="AK738" s="1116"/>
    </row>
    <row r="739" spans="1:37" x14ac:dyDescent="0.35">
      <c r="A739" s="1116"/>
      <c r="B739" s="1116"/>
      <c r="C739" s="1116"/>
      <c r="D739" s="1116"/>
      <c r="E739" s="1116"/>
      <c r="F739" s="1116"/>
      <c r="G739" s="1116"/>
      <c r="H739" s="1116"/>
      <c r="I739" s="1116"/>
      <c r="J739" s="1116"/>
      <c r="K739" s="1116"/>
      <c r="L739" s="1116"/>
      <c r="M739" s="1116"/>
      <c r="N739" s="1116"/>
      <c r="O739" s="1116"/>
      <c r="P739" s="1116"/>
      <c r="Q739" s="1116"/>
      <c r="R739" s="1116"/>
      <c r="S739" s="1116"/>
      <c r="T739" s="1116"/>
      <c r="U739" s="1116"/>
      <c r="V739" s="1116"/>
      <c r="W739" s="1116"/>
      <c r="X739" s="1116"/>
      <c r="Y739" s="1116"/>
      <c r="Z739" s="1116"/>
      <c r="AA739" s="1116"/>
      <c r="AB739" s="1116"/>
      <c r="AC739" s="1116"/>
      <c r="AD739" s="1116"/>
      <c r="AE739" s="1116"/>
      <c r="AF739" s="1116"/>
      <c r="AG739" s="1116"/>
      <c r="AH739" s="1116"/>
      <c r="AI739" s="1116"/>
      <c r="AJ739" s="1116"/>
      <c r="AK739" s="1116"/>
    </row>
    <row r="740" spans="1:37" x14ac:dyDescent="0.35">
      <c r="A740" s="1116"/>
      <c r="B740" s="1116"/>
      <c r="C740" s="1116"/>
      <c r="D740" s="1116"/>
      <c r="E740" s="1116"/>
      <c r="F740" s="1116"/>
      <c r="G740" s="1116"/>
      <c r="H740" s="1116"/>
      <c r="I740" s="1116"/>
      <c r="J740" s="1116"/>
      <c r="K740" s="1116"/>
      <c r="L740" s="1116"/>
      <c r="M740" s="1116"/>
      <c r="N740" s="1116"/>
      <c r="O740" s="1116"/>
      <c r="P740" s="1116"/>
      <c r="Q740" s="1116"/>
      <c r="R740" s="1116"/>
      <c r="S740" s="1116"/>
      <c r="T740" s="1116"/>
      <c r="U740" s="1116"/>
      <c r="V740" s="1116"/>
      <c r="W740" s="1116"/>
      <c r="X740" s="1116"/>
      <c r="Y740" s="1116"/>
      <c r="Z740" s="1116"/>
      <c r="AA740" s="1116"/>
      <c r="AB740" s="1116"/>
      <c r="AC740" s="1116"/>
      <c r="AD740" s="1116"/>
      <c r="AE740" s="1116"/>
      <c r="AF740" s="1116"/>
      <c r="AG740" s="1116"/>
      <c r="AH740" s="1116"/>
      <c r="AI740" s="1116"/>
      <c r="AJ740" s="1116"/>
      <c r="AK740" s="1116"/>
    </row>
    <row r="741" spans="1:37" x14ac:dyDescent="0.35">
      <c r="A741" s="1116"/>
      <c r="B741" s="1116"/>
      <c r="C741" s="1116"/>
      <c r="D741" s="1116"/>
      <c r="E741" s="1116"/>
      <c r="F741" s="1116"/>
      <c r="G741" s="1116"/>
      <c r="H741" s="1116"/>
      <c r="I741" s="1116"/>
      <c r="J741" s="1116"/>
      <c r="K741" s="1116"/>
      <c r="L741" s="1116"/>
      <c r="M741" s="1116"/>
      <c r="N741" s="1116"/>
      <c r="O741" s="1116"/>
      <c r="P741" s="1116"/>
      <c r="Q741" s="1116"/>
      <c r="R741" s="1116"/>
      <c r="S741" s="1116"/>
      <c r="T741" s="1116"/>
      <c r="U741" s="1116"/>
      <c r="V741" s="1116"/>
      <c r="W741" s="1116"/>
      <c r="X741" s="1116"/>
      <c r="Y741" s="1116"/>
      <c r="Z741" s="1116"/>
      <c r="AA741" s="1116"/>
      <c r="AB741" s="1116"/>
      <c r="AC741" s="1116"/>
      <c r="AD741" s="1116"/>
      <c r="AE741" s="1116"/>
      <c r="AF741" s="1116"/>
      <c r="AG741" s="1116"/>
      <c r="AH741" s="1116"/>
      <c r="AI741" s="1116"/>
      <c r="AJ741" s="1116"/>
      <c r="AK741" s="1116"/>
    </row>
    <row r="742" spans="1:37" x14ac:dyDescent="0.35">
      <c r="A742" s="1116"/>
      <c r="B742" s="1116"/>
      <c r="C742" s="1116"/>
      <c r="D742" s="1116"/>
      <c r="E742" s="1116"/>
      <c r="F742" s="1116"/>
      <c r="G742" s="1116"/>
      <c r="H742" s="1116"/>
      <c r="I742" s="1116"/>
      <c r="J742" s="1116"/>
      <c r="K742" s="1116"/>
      <c r="L742" s="1116"/>
      <c r="M742" s="1116"/>
      <c r="N742" s="1116"/>
      <c r="O742" s="1116"/>
      <c r="P742" s="1116"/>
      <c r="Q742" s="1116"/>
      <c r="R742" s="1116"/>
      <c r="S742" s="1116"/>
      <c r="T742" s="1116"/>
      <c r="U742" s="1116"/>
      <c r="V742" s="1116"/>
      <c r="W742" s="1116"/>
      <c r="X742" s="1116"/>
      <c r="Y742" s="1116"/>
      <c r="Z742" s="1116"/>
      <c r="AA742" s="1116"/>
      <c r="AB742" s="1116"/>
      <c r="AC742" s="1116"/>
      <c r="AD742" s="1116"/>
      <c r="AE742" s="1116"/>
      <c r="AF742" s="1116"/>
      <c r="AG742" s="1116"/>
      <c r="AH742" s="1116"/>
      <c r="AI742" s="1116"/>
      <c r="AJ742" s="1116"/>
      <c r="AK742" s="1116"/>
    </row>
    <row r="743" spans="1:37" x14ac:dyDescent="0.35">
      <c r="A743" s="1116"/>
      <c r="B743" s="1116"/>
      <c r="C743" s="1116"/>
      <c r="D743" s="1116"/>
      <c r="E743" s="1116"/>
      <c r="F743" s="1116"/>
      <c r="G743" s="1116"/>
      <c r="H743" s="1116"/>
      <c r="I743" s="1116"/>
      <c r="J743" s="1116"/>
      <c r="K743" s="1116"/>
      <c r="L743" s="1116"/>
      <c r="M743" s="1116"/>
      <c r="N743" s="1116"/>
      <c r="O743" s="1116"/>
      <c r="P743" s="1116"/>
      <c r="Q743" s="1116"/>
      <c r="R743" s="1116"/>
      <c r="S743" s="1116"/>
      <c r="T743" s="1116"/>
      <c r="U743" s="1116"/>
      <c r="V743" s="1116"/>
      <c r="W743" s="1116"/>
      <c r="X743" s="1116"/>
      <c r="Y743" s="1116"/>
      <c r="Z743" s="1116"/>
      <c r="AA743" s="1116"/>
      <c r="AB743" s="1116"/>
      <c r="AC743" s="1116"/>
      <c r="AD743" s="1116"/>
      <c r="AE743" s="1116"/>
      <c r="AF743" s="1116"/>
      <c r="AG743" s="1116"/>
      <c r="AH743" s="1116"/>
      <c r="AI743" s="1116"/>
      <c r="AJ743" s="1116"/>
      <c r="AK743" s="1116"/>
    </row>
    <row r="744" spans="1:37" x14ac:dyDescent="0.35">
      <c r="A744" s="1116"/>
      <c r="B744" s="1116"/>
      <c r="C744" s="1116"/>
      <c r="D744" s="1116"/>
      <c r="E744" s="1116"/>
      <c r="F744" s="1116"/>
      <c r="G744" s="1116"/>
      <c r="H744" s="1116"/>
      <c r="I744" s="1116"/>
      <c r="J744" s="1116"/>
      <c r="K744" s="1116"/>
      <c r="L744" s="1116"/>
      <c r="M744" s="1116"/>
      <c r="N744" s="1116"/>
      <c r="O744" s="1116"/>
      <c r="P744" s="1116"/>
      <c r="Q744" s="1116"/>
      <c r="R744" s="1116"/>
      <c r="S744" s="1116"/>
      <c r="T744" s="1116"/>
      <c r="U744" s="1116"/>
      <c r="V744" s="1116"/>
      <c r="W744" s="1116"/>
      <c r="X744" s="1116"/>
      <c r="Y744" s="1116"/>
      <c r="Z744" s="1116"/>
      <c r="AA744" s="1116"/>
      <c r="AB744" s="1116"/>
      <c r="AC744" s="1116"/>
      <c r="AD744" s="1116"/>
      <c r="AE744" s="1116"/>
      <c r="AF744" s="1116"/>
      <c r="AG744" s="1116"/>
      <c r="AH744" s="1116"/>
      <c r="AI744" s="1116"/>
      <c r="AJ744" s="1116"/>
      <c r="AK744" s="1116"/>
    </row>
    <row r="745" spans="1:37" x14ac:dyDescent="0.35">
      <c r="A745" s="1116"/>
      <c r="B745" s="1116"/>
      <c r="C745" s="1116"/>
      <c r="D745" s="1116"/>
      <c r="E745" s="1116"/>
      <c r="F745" s="1116"/>
      <c r="G745" s="1116"/>
      <c r="H745" s="1116"/>
      <c r="I745" s="1116"/>
      <c r="J745" s="1116"/>
      <c r="K745" s="1116"/>
      <c r="L745" s="1116"/>
      <c r="M745" s="1116"/>
      <c r="N745" s="1116"/>
      <c r="O745" s="1116"/>
      <c r="P745" s="1116"/>
      <c r="Q745" s="1116"/>
      <c r="R745" s="1116"/>
      <c r="S745" s="1116"/>
      <c r="T745" s="1116"/>
      <c r="U745" s="1116"/>
      <c r="V745" s="1116"/>
      <c r="W745" s="1116"/>
      <c r="X745" s="1116"/>
      <c r="Y745" s="1116"/>
      <c r="Z745" s="1116"/>
      <c r="AA745" s="1116"/>
      <c r="AB745" s="1116"/>
      <c r="AC745" s="1116"/>
      <c r="AD745" s="1116"/>
      <c r="AE745" s="1116"/>
      <c r="AF745" s="1116"/>
      <c r="AG745" s="1116"/>
      <c r="AH745" s="1116"/>
      <c r="AI745" s="1116"/>
      <c r="AJ745" s="1116"/>
      <c r="AK745" s="1116"/>
    </row>
    <row r="746" spans="1:37" x14ac:dyDescent="0.35">
      <c r="A746" s="1116"/>
      <c r="B746" s="1116"/>
      <c r="C746" s="1116"/>
      <c r="D746" s="1116"/>
      <c r="E746" s="1116"/>
      <c r="F746" s="1116"/>
      <c r="G746" s="1116"/>
      <c r="H746" s="1116"/>
      <c r="I746" s="1116"/>
      <c r="J746" s="1116"/>
      <c r="K746" s="1116"/>
      <c r="L746" s="1116"/>
      <c r="M746" s="1116"/>
      <c r="N746" s="1116"/>
      <c r="O746" s="1116"/>
      <c r="P746" s="1116"/>
      <c r="Q746" s="1116"/>
      <c r="R746" s="1116"/>
      <c r="S746" s="1116"/>
      <c r="T746" s="1116"/>
      <c r="U746" s="1116"/>
      <c r="V746" s="1116"/>
      <c r="W746" s="1116"/>
      <c r="X746" s="1116"/>
      <c r="Y746" s="1116"/>
      <c r="Z746" s="1116"/>
      <c r="AA746" s="1116"/>
      <c r="AB746" s="1116"/>
      <c r="AC746" s="1116"/>
      <c r="AD746" s="1116"/>
      <c r="AE746" s="1116"/>
      <c r="AF746" s="1116"/>
      <c r="AG746" s="1116"/>
      <c r="AH746" s="1116"/>
      <c r="AI746" s="1116"/>
      <c r="AJ746" s="1116"/>
      <c r="AK746" s="1116"/>
    </row>
    <row r="747" spans="1:37" x14ac:dyDescent="0.35">
      <c r="A747" s="1116"/>
      <c r="B747" s="1116"/>
      <c r="C747" s="1116"/>
      <c r="D747" s="1116"/>
      <c r="E747" s="1116"/>
      <c r="F747" s="1116"/>
      <c r="G747" s="1116"/>
      <c r="H747" s="1116"/>
      <c r="I747" s="1116"/>
      <c r="J747" s="1116"/>
      <c r="K747" s="1116"/>
      <c r="L747" s="1116"/>
      <c r="M747" s="1116"/>
      <c r="N747" s="1116"/>
      <c r="O747" s="1116"/>
      <c r="P747" s="1116"/>
      <c r="Q747" s="1116"/>
      <c r="R747" s="1116"/>
      <c r="S747" s="1116"/>
      <c r="T747" s="1116"/>
      <c r="U747" s="1116"/>
      <c r="V747" s="1116"/>
      <c r="W747" s="1116"/>
      <c r="X747" s="1116"/>
      <c r="Y747" s="1116"/>
      <c r="Z747" s="1116"/>
      <c r="AA747" s="1116"/>
      <c r="AB747" s="1116"/>
      <c r="AC747" s="1116"/>
      <c r="AD747" s="1116"/>
      <c r="AE747" s="1116"/>
      <c r="AF747" s="1116"/>
      <c r="AG747" s="1116"/>
      <c r="AH747" s="1116"/>
      <c r="AI747" s="1116"/>
      <c r="AJ747" s="1116"/>
      <c r="AK747" s="1116"/>
    </row>
    <row r="748" spans="1:37" x14ac:dyDescent="0.35">
      <c r="A748" s="1116"/>
      <c r="B748" s="1116"/>
      <c r="C748" s="1116"/>
      <c r="D748" s="1116"/>
      <c r="E748" s="1116"/>
      <c r="F748" s="1116"/>
      <c r="G748" s="1116"/>
      <c r="H748" s="1116"/>
      <c r="I748" s="1116"/>
      <c r="J748" s="1116"/>
      <c r="K748" s="1116"/>
      <c r="L748" s="1116"/>
      <c r="M748" s="1116"/>
      <c r="N748" s="1116"/>
      <c r="O748" s="1116"/>
      <c r="P748" s="1116"/>
      <c r="Q748" s="1116"/>
      <c r="R748" s="1116"/>
      <c r="S748" s="1116"/>
      <c r="T748" s="1116"/>
      <c r="U748" s="1116"/>
      <c r="V748" s="1116"/>
      <c r="W748" s="1116"/>
      <c r="X748" s="1116"/>
      <c r="Y748" s="1116"/>
      <c r="Z748" s="1116"/>
      <c r="AA748" s="1116"/>
      <c r="AB748" s="1116"/>
      <c r="AC748" s="1116"/>
      <c r="AD748" s="1116"/>
      <c r="AE748" s="1116"/>
      <c r="AF748" s="1116"/>
      <c r="AG748" s="1116"/>
      <c r="AH748" s="1116"/>
      <c r="AI748" s="1116"/>
      <c r="AJ748" s="1116"/>
      <c r="AK748" s="1116"/>
    </row>
    <row r="749" spans="1:37" x14ac:dyDescent="0.35">
      <c r="A749" s="1116"/>
      <c r="B749" s="1116"/>
      <c r="C749" s="1116"/>
      <c r="D749" s="1116"/>
      <c r="E749" s="1116"/>
      <c r="F749" s="1116"/>
      <c r="G749" s="1116"/>
      <c r="H749" s="1116"/>
      <c r="I749" s="1116"/>
      <c r="J749" s="1116"/>
      <c r="K749" s="1116"/>
      <c r="L749" s="1116"/>
      <c r="M749" s="1116"/>
      <c r="N749" s="1116"/>
      <c r="O749" s="1116"/>
      <c r="P749" s="1116"/>
      <c r="Q749" s="1116"/>
      <c r="R749" s="1116"/>
      <c r="S749" s="1116"/>
      <c r="T749" s="1116"/>
      <c r="U749" s="1116"/>
      <c r="V749" s="1116"/>
      <c r="W749" s="1116"/>
      <c r="X749" s="1116"/>
      <c r="Y749" s="1116"/>
      <c r="Z749" s="1116"/>
      <c r="AA749" s="1116"/>
      <c r="AB749" s="1116"/>
      <c r="AC749" s="1116"/>
      <c r="AD749" s="1116"/>
      <c r="AE749" s="1116"/>
      <c r="AF749" s="1116"/>
      <c r="AG749" s="1116"/>
      <c r="AH749" s="1116"/>
      <c r="AI749" s="1116"/>
      <c r="AJ749" s="1116"/>
      <c r="AK749" s="1116"/>
    </row>
    <row r="750" spans="1:37" x14ac:dyDescent="0.35">
      <c r="A750" s="1116"/>
      <c r="B750" s="1116"/>
      <c r="C750" s="1116"/>
      <c r="D750" s="1116"/>
      <c r="E750" s="1116"/>
      <c r="F750" s="1116"/>
      <c r="G750" s="1116"/>
      <c r="H750" s="1116"/>
      <c r="I750" s="1116"/>
      <c r="J750" s="1116"/>
      <c r="K750" s="1116"/>
      <c r="L750" s="1116"/>
      <c r="M750" s="1116"/>
      <c r="N750" s="1116"/>
      <c r="O750" s="1116"/>
      <c r="P750" s="1116"/>
      <c r="Q750" s="1116"/>
      <c r="R750" s="1116"/>
      <c r="S750" s="1116"/>
      <c r="T750" s="1116"/>
      <c r="U750" s="1116"/>
      <c r="V750" s="1116"/>
      <c r="W750" s="1116"/>
      <c r="X750" s="1116"/>
      <c r="Y750" s="1116"/>
      <c r="Z750" s="1116"/>
      <c r="AA750" s="1116"/>
      <c r="AB750" s="1116"/>
      <c r="AC750" s="1116"/>
      <c r="AD750" s="1116"/>
      <c r="AE750" s="1116"/>
      <c r="AF750" s="1116"/>
      <c r="AG750" s="1116"/>
      <c r="AH750" s="1116"/>
      <c r="AI750" s="1116"/>
      <c r="AJ750" s="1116"/>
      <c r="AK750" s="1116"/>
    </row>
    <row r="751" spans="1:37" x14ac:dyDescent="0.35">
      <c r="A751" s="1116"/>
      <c r="B751" s="1116"/>
      <c r="C751" s="1116"/>
      <c r="D751" s="1116"/>
      <c r="E751" s="1116"/>
      <c r="F751" s="1116"/>
      <c r="G751" s="1116"/>
      <c r="H751" s="1116"/>
      <c r="I751" s="1116"/>
      <c r="J751" s="1116"/>
      <c r="K751" s="1116"/>
      <c r="L751" s="1116"/>
      <c r="M751" s="1116"/>
      <c r="N751" s="1116"/>
      <c r="O751" s="1116"/>
      <c r="P751" s="1116"/>
      <c r="Q751" s="1116"/>
      <c r="R751" s="1116"/>
      <c r="S751" s="1116"/>
      <c r="T751" s="1116"/>
      <c r="U751" s="1116"/>
      <c r="V751" s="1116"/>
      <c r="W751" s="1116"/>
      <c r="X751" s="1116"/>
      <c r="Y751" s="1116"/>
      <c r="Z751" s="1116"/>
      <c r="AA751" s="1116"/>
      <c r="AB751" s="1116"/>
      <c r="AC751" s="1116"/>
      <c r="AD751" s="1116"/>
      <c r="AE751" s="1116"/>
      <c r="AF751" s="1116"/>
      <c r="AG751" s="1116"/>
      <c r="AH751" s="1116"/>
      <c r="AI751" s="1116"/>
      <c r="AJ751" s="1116"/>
      <c r="AK751" s="1116"/>
    </row>
    <row r="752" spans="1:37" x14ac:dyDescent="0.35">
      <c r="A752" s="1116"/>
      <c r="B752" s="1116"/>
      <c r="C752" s="1116"/>
      <c r="D752" s="1116"/>
      <c r="E752" s="1116"/>
      <c r="F752" s="1116"/>
      <c r="G752" s="1116"/>
      <c r="H752" s="1116"/>
      <c r="I752" s="1116"/>
      <c r="J752" s="1116"/>
      <c r="K752" s="1116"/>
      <c r="L752" s="1116"/>
      <c r="M752" s="1116"/>
      <c r="N752" s="1116"/>
      <c r="O752" s="1116"/>
      <c r="P752" s="1116"/>
      <c r="Q752" s="1116"/>
      <c r="R752" s="1116"/>
      <c r="S752" s="1116"/>
      <c r="T752" s="1116"/>
      <c r="U752" s="1116"/>
      <c r="V752" s="1116"/>
      <c r="W752" s="1116"/>
      <c r="X752" s="1116"/>
      <c r="Y752" s="1116"/>
      <c r="Z752" s="1116"/>
      <c r="AA752" s="1116"/>
      <c r="AB752" s="1116"/>
      <c r="AC752" s="1116"/>
      <c r="AD752" s="1116"/>
      <c r="AE752" s="1116"/>
      <c r="AF752" s="1116"/>
      <c r="AG752" s="1116"/>
      <c r="AH752" s="1116"/>
      <c r="AI752" s="1116"/>
      <c r="AJ752" s="1116"/>
      <c r="AK752" s="1116"/>
    </row>
    <row r="753" spans="1:37" x14ac:dyDescent="0.35">
      <c r="A753" s="1116"/>
      <c r="B753" s="1116"/>
      <c r="C753" s="1116"/>
      <c r="D753" s="1116"/>
      <c r="E753" s="1116"/>
      <c r="F753" s="1116"/>
      <c r="G753" s="1116"/>
      <c r="H753" s="1116"/>
      <c r="I753" s="1116"/>
      <c r="J753" s="1116"/>
      <c r="K753" s="1116"/>
      <c r="L753" s="1116"/>
      <c r="M753" s="1116"/>
      <c r="N753" s="1116"/>
      <c r="O753" s="1116"/>
      <c r="P753" s="1116"/>
      <c r="Q753" s="1116"/>
      <c r="R753" s="1116"/>
      <c r="S753" s="1116"/>
      <c r="T753" s="1116"/>
      <c r="U753" s="1116"/>
      <c r="V753" s="1116"/>
      <c r="W753" s="1116"/>
      <c r="X753" s="1116"/>
      <c r="Y753" s="1116"/>
      <c r="Z753" s="1116"/>
      <c r="AA753" s="1116"/>
      <c r="AB753" s="1116"/>
      <c r="AC753" s="1116"/>
      <c r="AD753" s="1116"/>
      <c r="AE753" s="1116"/>
      <c r="AF753" s="1116"/>
      <c r="AG753" s="1116"/>
      <c r="AH753" s="1116"/>
      <c r="AI753" s="1116"/>
      <c r="AJ753" s="1116"/>
      <c r="AK753" s="1116"/>
    </row>
    <row r="754" spans="1:37" x14ac:dyDescent="0.35">
      <c r="A754" s="1116"/>
      <c r="B754" s="1116"/>
      <c r="C754" s="1116"/>
      <c r="D754" s="1116"/>
      <c r="E754" s="1116"/>
      <c r="F754" s="1116"/>
      <c r="G754" s="1116"/>
      <c r="H754" s="1116"/>
      <c r="I754" s="1116"/>
      <c r="J754" s="1116"/>
      <c r="K754" s="1116"/>
      <c r="L754" s="1116"/>
      <c r="M754" s="1116"/>
      <c r="N754" s="1116"/>
      <c r="O754" s="1116"/>
      <c r="P754" s="1116"/>
      <c r="Q754" s="1116"/>
      <c r="R754" s="1116"/>
      <c r="S754" s="1116"/>
      <c r="T754" s="1116"/>
      <c r="U754" s="1116"/>
      <c r="V754" s="1116"/>
      <c r="W754" s="1116"/>
      <c r="X754" s="1116"/>
      <c r="Y754" s="1116"/>
      <c r="Z754" s="1116"/>
      <c r="AA754" s="1116"/>
      <c r="AB754" s="1116"/>
      <c r="AC754" s="1116"/>
      <c r="AD754" s="1116"/>
      <c r="AE754" s="1116"/>
      <c r="AF754" s="1116"/>
      <c r="AG754" s="1116"/>
      <c r="AH754" s="1116"/>
      <c r="AI754" s="1116"/>
      <c r="AJ754" s="1116"/>
      <c r="AK754" s="1116"/>
    </row>
    <row r="755" spans="1:37" x14ac:dyDescent="0.35">
      <c r="A755" s="1116"/>
      <c r="B755" s="1116"/>
      <c r="C755" s="1116"/>
      <c r="D755" s="1116"/>
      <c r="E755" s="1116"/>
      <c r="F755" s="1116"/>
      <c r="G755" s="1116"/>
      <c r="H755" s="1116"/>
      <c r="I755" s="1116"/>
      <c r="J755" s="1116"/>
      <c r="K755" s="1116"/>
      <c r="L755" s="1116"/>
      <c r="M755" s="1116"/>
      <c r="N755" s="1116"/>
      <c r="O755" s="1116"/>
      <c r="P755" s="1116"/>
      <c r="Q755" s="1116"/>
      <c r="R755" s="1116"/>
      <c r="S755" s="1116"/>
      <c r="T755" s="1116"/>
      <c r="U755" s="1116"/>
      <c r="V755" s="1116"/>
      <c r="W755" s="1116"/>
      <c r="X755" s="1116"/>
      <c r="Y755" s="1116"/>
      <c r="Z755" s="1116"/>
      <c r="AA755" s="1116"/>
      <c r="AB755" s="1116"/>
      <c r="AC755" s="1116"/>
      <c r="AD755" s="1116"/>
      <c r="AE755" s="1116"/>
      <c r="AF755" s="1116"/>
      <c r="AG755" s="1116"/>
      <c r="AH755" s="1116"/>
      <c r="AI755" s="1116"/>
      <c r="AJ755" s="1116"/>
      <c r="AK755" s="1116"/>
    </row>
    <row r="756" spans="1:37" x14ac:dyDescent="0.35">
      <c r="A756" s="1116"/>
      <c r="B756" s="1116"/>
      <c r="C756" s="1116"/>
      <c r="D756" s="1116"/>
      <c r="E756" s="1116"/>
      <c r="F756" s="1116"/>
      <c r="G756" s="1116"/>
      <c r="H756" s="1116"/>
      <c r="I756" s="1116"/>
      <c r="J756" s="1116"/>
      <c r="K756" s="1116"/>
      <c r="L756" s="1116"/>
      <c r="M756" s="1116"/>
      <c r="N756" s="1116"/>
      <c r="O756" s="1116"/>
      <c r="P756" s="1116"/>
      <c r="Q756" s="1116"/>
      <c r="R756" s="1116"/>
      <c r="S756" s="1116"/>
      <c r="T756" s="1116"/>
      <c r="U756" s="1116"/>
      <c r="V756" s="1116"/>
      <c r="W756" s="1116"/>
      <c r="X756" s="1116"/>
      <c r="Y756" s="1116"/>
      <c r="Z756" s="1116"/>
      <c r="AA756" s="1116"/>
      <c r="AB756" s="1116"/>
      <c r="AC756" s="1116"/>
      <c r="AD756" s="1116"/>
      <c r="AE756" s="1116"/>
      <c r="AF756" s="1116"/>
      <c r="AG756" s="1116"/>
      <c r="AH756" s="1116"/>
      <c r="AI756" s="1116"/>
      <c r="AJ756" s="1116"/>
      <c r="AK756" s="1116"/>
    </row>
    <row r="757" spans="1:37" x14ac:dyDescent="0.35">
      <c r="A757" s="1116"/>
      <c r="B757" s="1116"/>
      <c r="C757" s="1116"/>
      <c r="D757" s="1116"/>
      <c r="E757" s="1116"/>
      <c r="F757" s="1116"/>
      <c r="G757" s="1116"/>
      <c r="H757" s="1116"/>
      <c r="I757" s="1116"/>
      <c r="J757" s="1116"/>
      <c r="K757" s="1116"/>
      <c r="L757" s="1116"/>
      <c r="M757" s="1116"/>
      <c r="N757" s="1116"/>
      <c r="O757" s="1116"/>
      <c r="P757" s="1116"/>
      <c r="Q757" s="1116"/>
      <c r="R757" s="1116"/>
      <c r="S757" s="1116"/>
      <c r="T757" s="1116"/>
      <c r="U757" s="1116"/>
      <c r="V757" s="1116"/>
      <c r="W757" s="1116"/>
      <c r="X757" s="1116"/>
      <c r="Y757" s="1116"/>
      <c r="Z757" s="1116"/>
      <c r="AA757" s="1116"/>
      <c r="AB757" s="1116"/>
      <c r="AC757" s="1116"/>
      <c r="AD757" s="1116"/>
      <c r="AE757" s="1116"/>
      <c r="AF757" s="1116"/>
      <c r="AG757" s="1116"/>
      <c r="AH757" s="1116"/>
      <c r="AI757" s="1116"/>
      <c r="AJ757" s="1116"/>
      <c r="AK757" s="1116"/>
    </row>
    <row r="758" spans="1:37" x14ac:dyDescent="0.35">
      <c r="A758" s="1116"/>
      <c r="B758" s="1116"/>
      <c r="C758" s="1116"/>
      <c r="D758" s="1116"/>
      <c r="E758" s="1116"/>
      <c r="F758" s="1116"/>
      <c r="G758" s="1116"/>
      <c r="H758" s="1116"/>
      <c r="I758" s="1116"/>
      <c r="J758" s="1116"/>
      <c r="K758" s="1116"/>
      <c r="L758" s="1116"/>
      <c r="M758" s="1116"/>
      <c r="N758" s="1116"/>
      <c r="O758" s="1116"/>
      <c r="P758" s="1116"/>
      <c r="Q758" s="1116"/>
      <c r="R758" s="1116"/>
      <c r="S758" s="1116"/>
      <c r="T758" s="1116"/>
      <c r="U758" s="1116"/>
      <c r="V758" s="1116"/>
      <c r="W758" s="1116"/>
      <c r="X758" s="1116"/>
      <c r="Y758" s="1116"/>
      <c r="Z758" s="1116"/>
      <c r="AA758" s="1116"/>
      <c r="AB758" s="1116"/>
      <c r="AC758" s="1116"/>
      <c r="AD758" s="1116"/>
      <c r="AE758" s="1116"/>
      <c r="AF758" s="1116"/>
      <c r="AG758" s="1116"/>
      <c r="AH758" s="1116"/>
      <c r="AI758" s="1116"/>
      <c r="AJ758" s="1116"/>
      <c r="AK758" s="1116"/>
    </row>
    <row r="759" spans="1:37" x14ac:dyDescent="0.35">
      <c r="A759" s="1116"/>
      <c r="B759" s="1116"/>
      <c r="C759" s="1116"/>
      <c r="D759" s="1116"/>
      <c r="E759" s="1116"/>
      <c r="F759" s="1116"/>
      <c r="G759" s="1116"/>
      <c r="H759" s="1116"/>
      <c r="I759" s="1116"/>
      <c r="J759" s="1116"/>
      <c r="K759" s="1116"/>
      <c r="L759" s="1116"/>
      <c r="M759" s="1116"/>
      <c r="N759" s="1116"/>
      <c r="O759" s="1116"/>
      <c r="P759" s="1116"/>
      <c r="Q759" s="1116"/>
      <c r="R759" s="1116"/>
      <c r="S759" s="1116"/>
      <c r="T759" s="1116"/>
      <c r="U759" s="1116"/>
      <c r="V759" s="1116"/>
      <c r="W759" s="1116"/>
      <c r="X759" s="1116"/>
      <c r="Y759" s="1116"/>
      <c r="Z759" s="1116"/>
      <c r="AA759" s="1116"/>
      <c r="AB759" s="1116"/>
      <c r="AC759" s="1116"/>
      <c r="AD759" s="1116"/>
      <c r="AE759" s="1116"/>
      <c r="AF759" s="1116"/>
      <c r="AG759" s="1116"/>
      <c r="AH759" s="1116"/>
      <c r="AI759" s="1116"/>
      <c r="AJ759" s="1116"/>
      <c r="AK759" s="1116"/>
    </row>
    <row r="760" spans="1:37" x14ac:dyDescent="0.35">
      <c r="A760" s="1116"/>
      <c r="B760" s="1116"/>
      <c r="C760" s="1116"/>
      <c r="D760" s="1116"/>
      <c r="E760" s="1116"/>
      <c r="F760" s="1116"/>
      <c r="G760" s="1116"/>
      <c r="H760" s="1116"/>
      <c r="I760" s="1116"/>
      <c r="J760" s="1116"/>
      <c r="K760" s="1116"/>
      <c r="L760" s="1116"/>
      <c r="M760" s="1116"/>
      <c r="N760" s="1116"/>
      <c r="O760" s="1116"/>
      <c r="P760" s="1116"/>
      <c r="Q760" s="1116"/>
      <c r="R760" s="1116"/>
      <c r="S760" s="1116"/>
      <c r="T760" s="1116"/>
      <c r="U760" s="1116"/>
      <c r="V760" s="1116"/>
      <c r="W760" s="1116"/>
      <c r="X760" s="1116"/>
      <c r="Y760" s="1116"/>
      <c r="Z760" s="1116"/>
      <c r="AA760" s="1116"/>
      <c r="AB760" s="1116"/>
      <c r="AC760" s="1116"/>
      <c r="AD760" s="1116"/>
      <c r="AE760" s="1116"/>
      <c r="AF760" s="1116"/>
      <c r="AG760" s="1116"/>
      <c r="AH760" s="1116"/>
      <c r="AI760" s="1116"/>
      <c r="AJ760" s="1116"/>
      <c r="AK760" s="1116"/>
    </row>
    <row r="761" spans="1:37" x14ac:dyDescent="0.35">
      <c r="A761" s="1116"/>
      <c r="B761" s="1116"/>
      <c r="C761" s="1116"/>
      <c r="D761" s="1116"/>
      <c r="E761" s="1116"/>
      <c r="F761" s="1116"/>
      <c r="G761" s="1116"/>
      <c r="H761" s="1116"/>
      <c r="I761" s="1116"/>
      <c r="J761" s="1116"/>
      <c r="K761" s="1116"/>
      <c r="L761" s="1116"/>
      <c r="M761" s="1116"/>
      <c r="N761" s="1116"/>
      <c r="O761" s="1116"/>
      <c r="P761" s="1116"/>
      <c r="Q761" s="1116"/>
      <c r="R761" s="1116"/>
      <c r="S761" s="1116"/>
      <c r="T761" s="1116"/>
      <c r="U761" s="1116"/>
      <c r="V761" s="1116"/>
      <c r="W761" s="1116"/>
      <c r="X761" s="1116"/>
      <c r="Y761" s="1116"/>
      <c r="Z761" s="1116"/>
      <c r="AA761" s="1116"/>
      <c r="AB761" s="1116"/>
      <c r="AC761" s="1116"/>
      <c r="AD761" s="1116"/>
      <c r="AE761" s="1116"/>
      <c r="AF761" s="1116"/>
      <c r="AG761" s="1116"/>
      <c r="AH761" s="1116"/>
      <c r="AI761" s="1116"/>
      <c r="AJ761" s="1116"/>
      <c r="AK761" s="1116"/>
    </row>
    <row r="762" spans="1:37" x14ac:dyDescent="0.35">
      <c r="A762" s="1116"/>
      <c r="B762" s="1116"/>
      <c r="C762" s="1116"/>
      <c r="D762" s="1116"/>
      <c r="E762" s="1116"/>
      <c r="F762" s="1116"/>
      <c r="G762" s="1116"/>
      <c r="H762" s="1116"/>
      <c r="I762" s="1116"/>
      <c r="J762" s="1116"/>
      <c r="K762" s="1116"/>
      <c r="L762" s="1116"/>
      <c r="M762" s="1116"/>
      <c r="N762" s="1116"/>
      <c r="O762" s="1116"/>
      <c r="P762" s="1116"/>
      <c r="Q762" s="1116"/>
      <c r="R762" s="1116"/>
      <c r="S762" s="1116"/>
      <c r="T762" s="1116"/>
      <c r="U762" s="1116"/>
      <c r="V762" s="1116"/>
      <c r="W762" s="1116"/>
      <c r="X762" s="1116"/>
      <c r="Y762" s="1116"/>
      <c r="Z762" s="1116"/>
      <c r="AA762" s="1116"/>
      <c r="AB762" s="1116"/>
      <c r="AC762" s="1116"/>
      <c r="AD762" s="1116"/>
      <c r="AE762" s="1116"/>
      <c r="AF762" s="1116"/>
      <c r="AG762" s="1116"/>
      <c r="AH762" s="1116"/>
      <c r="AI762" s="1116"/>
      <c r="AJ762" s="1116"/>
      <c r="AK762" s="1116"/>
    </row>
    <row r="763" spans="1:37" x14ac:dyDescent="0.35">
      <c r="A763" s="1116"/>
      <c r="B763" s="1116"/>
      <c r="C763" s="1116"/>
      <c r="D763" s="1116"/>
      <c r="E763" s="1116"/>
      <c r="F763" s="1116"/>
      <c r="G763" s="1116"/>
      <c r="H763" s="1116"/>
      <c r="I763" s="1116"/>
      <c r="J763" s="1116"/>
      <c r="K763" s="1116"/>
      <c r="L763" s="1116"/>
      <c r="M763" s="1116"/>
      <c r="N763" s="1116"/>
      <c r="O763" s="1116"/>
      <c r="P763" s="1116"/>
      <c r="Q763" s="1116"/>
      <c r="R763" s="1116"/>
      <c r="S763" s="1116"/>
      <c r="T763" s="1116"/>
      <c r="U763" s="1116"/>
      <c r="V763" s="1116"/>
      <c r="W763" s="1116"/>
      <c r="X763" s="1116"/>
      <c r="Y763" s="1116"/>
      <c r="Z763" s="1116"/>
      <c r="AA763" s="1116"/>
      <c r="AB763" s="1116"/>
      <c r="AC763" s="1116"/>
      <c r="AD763" s="1116"/>
      <c r="AE763" s="1116"/>
      <c r="AF763" s="1116"/>
      <c r="AG763" s="1116"/>
      <c r="AH763" s="1116"/>
      <c r="AI763" s="1116"/>
      <c r="AJ763" s="1116"/>
      <c r="AK763" s="1116"/>
    </row>
    <row r="764" spans="1:37" x14ac:dyDescent="0.35">
      <c r="A764" s="1116"/>
      <c r="B764" s="1116"/>
      <c r="C764" s="1116"/>
      <c r="D764" s="1116"/>
      <c r="E764" s="1116"/>
      <c r="F764" s="1116"/>
      <c r="G764" s="1116"/>
      <c r="H764" s="1116"/>
      <c r="I764" s="1116"/>
      <c r="J764" s="1116"/>
      <c r="K764" s="1116"/>
      <c r="L764" s="1116"/>
      <c r="M764" s="1116"/>
      <c r="N764" s="1116"/>
      <c r="O764" s="1116"/>
      <c r="P764" s="1116"/>
      <c r="Q764" s="1116"/>
      <c r="R764" s="1116"/>
      <c r="S764" s="1116"/>
      <c r="T764" s="1116"/>
      <c r="U764" s="1116"/>
      <c r="V764" s="1116"/>
      <c r="W764" s="1116"/>
      <c r="X764" s="1116"/>
      <c r="Y764" s="1116"/>
      <c r="Z764" s="1116"/>
      <c r="AA764" s="1116"/>
      <c r="AB764" s="1116"/>
      <c r="AC764" s="1116"/>
      <c r="AD764" s="1116"/>
      <c r="AE764" s="1116"/>
      <c r="AF764" s="1116"/>
      <c r="AG764" s="1116"/>
      <c r="AH764" s="1116"/>
      <c r="AI764" s="1116"/>
      <c r="AJ764" s="1116"/>
      <c r="AK764" s="1116"/>
    </row>
    <row r="765" spans="1:37" x14ac:dyDescent="0.35">
      <c r="A765" s="1116"/>
      <c r="B765" s="1116"/>
      <c r="C765" s="1116"/>
      <c r="D765" s="1116"/>
      <c r="E765" s="1116"/>
      <c r="F765" s="1116"/>
      <c r="G765" s="1116"/>
      <c r="H765" s="1116"/>
      <c r="I765" s="1116"/>
      <c r="J765" s="1116"/>
      <c r="K765" s="1116"/>
      <c r="L765" s="1116"/>
      <c r="M765" s="1116"/>
      <c r="N765" s="1116"/>
      <c r="O765" s="1116"/>
      <c r="P765" s="1116"/>
      <c r="Q765" s="1116"/>
      <c r="R765" s="1116"/>
      <c r="S765" s="1116"/>
      <c r="T765" s="1116"/>
      <c r="U765" s="1116"/>
      <c r="V765" s="1116"/>
      <c r="W765" s="1116"/>
      <c r="X765" s="1116"/>
      <c r="Y765" s="1116"/>
      <c r="Z765" s="1116"/>
      <c r="AA765" s="1116"/>
      <c r="AB765" s="1116"/>
      <c r="AC765" s="1116"/>
      <c r="AD765" s="1116"/>
      <c r="AE765" s="1116"/>
      <c r="AF765" s="1116"/>
      <c r="AG765" s="1116"/>
      <c r="AH765" s="1116"/>
      <c r="AI765" s="1116"/>
      <c r="AJ765" s="1116"/>
      <c r="AK765" s="1116"/>
    </row>
    <row r="766" spans="1:37" x14ac:dyDescent="0.35">
      <c r="A766" s="1116"/>
      <c r="B766" s="1116"/>
      <c r="C766" s="1116"/>
      <c r="D766" s="1116"/>
      <c r="E766" s="1116"/>
      <c r="F766" s="1116"/>
      <c r="G766" s="1116"/>
      <c r="H766" s="1116"/>
      <c r="I766" s="1116"/>
      <c r="J766" s="1116"/>
      <c r="K766" s="1116"/>
      <c r="L766" s="1116"/>
      <c r="M766" s="1116"/>
      <c r="N766" s="1116"/>
      <c r="O766" s="1116"/>
      <c r="P766" s="1116"/>
      <c r="Q766" s="1116"/>
      <c r="R766" s="1116"/>
      <c r="S766" s="1116"/>
      <c r="T766" s="1116"/>
      <c r="U766" s="1116"/>
      <c r="V766" s="1116"/>
      <c r="W766" s="1116"/>
      <c r="X766" s="1116"/>
      <c r="Y766" s="1116"/>
      <c r="Z766" s="1116"/>
      <c r="AA766" s="1116"/>
      <c r="AB766" s="1116"/>
      <c r="AC766" s="1116"/>
      <c r="AD766" s="1116"/>
      <c r="AE766" s="1116"/>
      <c r="AF766" s="1116"/>
      <c r="AG766" s="1116"/>
      <c r="AH766" s="1116"/>
      <c r="AI766" s="1116"/>
      <c r="AJ766" s="1116"/>
      <c r="AK766" s="1116"/>
    </row>
    <row r="767" spans="1:37" x14ac:dyDescent="0.35">
      <c r="A767" s="1116"/>
      <c r="B767" s="1116"/>
      <c r="C767" s="1116"/>
      <c r="D767" s="1116"/>
      <c r="E767" s="1116"/>
      <c r="F767" s="1116"/>
      <c r="G767" s="1116"/>
      <c r="H767" s="1116"/>
      <c r="I767" s="1116"/>
      <c r="J767" s="1116"/>
      <c r="K767" s="1116"/>
      <c r="L767" s="1116"/>
      <c r="M767" s="1116"/>
      <c r="N767" s="1116"/>
      <c r="O767" s="1116"/>
      <c r="P767" s="1116"/>
      <c r="Q767" s="1116"/>
      <c r="R767" s="1116"/>
      <c r="S767" s="1116"/>
      <c r="T767" s="1116"/>
      <c r="U767" s="1116"/>
      <c r="V767" s="1116"/>
      <c r="W767" s="1116"/>
      <c r="X767" s="1116"/>
      <c r="Y767" s="1116"/>
      <c r="Z767" s="1116"/>
      <c r="AA767" s="1116"/>
      <c r="AB767" s="1116"/>
      <c r="AC767" s="1116"/>
      <c r="AD767" s="1116"/>
      <c r="AE767" s="1116"/>
      <c r="AF767" s="1116"/>
      <c r="AG767" s="1116"/>
      <c r="AH767" s="1116"/>
      <c r="AI767" s="1116"/>
      <c r="AJ767" s="1116"/>
      <c r="AK767" s="1116"/>
    </row>
    <row r="768" spans="1:37" x14ac:dyDescent="0.35">
      <c r="A768" s="1116"/>
      <c r="B768" s="1116"/>
      <c r="C768" s="1116"/>
      <c r="D768" s="1116"/>
      <c r="E768" s="1116"/>
      <c r="F768" s="1116"/>
      <c r="G768" s="1116"/>
      <c r="H768" s="1116"/>
      <c r="I768" s="1116"/>
      <c r="J768" s="1116"/>
      <c r="K768" s="1116"/>
      <c r="L768" s="1116"/>
      <c r="M768" s="1116"/>
      <c r="N768" s="1116"/>
      <c r="O768" s="1116"/>
      <c r="P768" s="1116"/>
      <c r="Q768" s="1116"/>
      <c r="R768" s="1116"/>
      <c r="S768" s="1116"/>
      <c r="T768" s="1116"/>
      <c r="U768" s="1116"/>
      <c r="V768" s="1116"/>
      <c r="W768" s="1116"/>
      <c r="X768" s="1116"/>
      <c r="Y768" s="1116"/>
      <c r="Z768" s="1116"/>
      <c r="AA768" s="1116"/>
      <c r="AB768" s="1116"/>
      <c r="AC768" s="1116"/>
      <c r="AD768" s="1116"/>
      <c r="AE768" s="1116"/>
      <c r="AF768" s="1116"/>
      <c r="AG768" s="1116"/>
      <c r="AH768" s="1116"/>
      <c r="AI768" s="1116"/>
      <c r="AJ768" s="1116"/>
      <c r="AK768" s="1116"/>
    </row>
    <row r="769" spans="1:37" x14ac:dyDescent="0.35">
      <c r="A769" s="1116"/>
      <c r="B769" s="1116"/>
      <c r="C769" s="1116"/>
      <c r="D769" s="1116"/>
      <c r="E769" s="1116"/>
      <c r="F769" s="1116"/>
      <c r="G769" s="1116"/>
      <c r="H769" s="1116"/>
      <c r="I769" s="1116"/>
      <c r="J769" s="1116"/>
      <c r="K769" s="1116"/>
      <c r="L769" s="1116"/>
      <c r="M769" s="1116"/>
      <c r="N769" s="1116"/>
      <c r="O769" s="1116"/>
      <c r="P769" s="1116"/>
      <c r="Q769" s="1116"/>
      <c r="R769" s="1116"/>
      <c r="S769" s="1116"/>
      <c r="T769" s="1116"/>
      <c r="U769" s="1116"/>
      <c r="V769" s="1116"/>
      <c r="W769" s="1116"/>
      <c r="X769" s="1116"/>
      <c r="Y769" s="1116"/>
      <c r="Z769" s="1116"/>
      <c r="AA769" s="1116"/>
      <c r="AB769" s="1116"/>
      <c r="AC769" s="1116"/>
      <c r="AD769" s="1116"/>
      <c r="AE769" s="1116"/>
      <c r="AF769" s="1116"/>
      <c r="AG769" s="1116"/>
      <c r="AH769" s="1116"/>
      <c r="AI769" s="1116"/>
      <c r="AJ769" s="1116"/>
      <c r="AK769" s="1116"/>
    </row>
    <row r="770" spans="1:37" x14ac:dyDescent="0.35">
      <c r="A770" s="1116"/>
      <c r="B770" s="1116"/>
      <c r="C770" s="1116"/>
      <c r="D770" s="1116"/>
      <c r="E770" s="1116"/>
      <c r="F770" s="1116"/>
      <c r="G770" s="1116"/>
      <c r="H770" s="1116"/>
      <c r="I770" s="1116"/>
      <c r="J770" s="1116"/>
      <c r="K770" s="1116"/>
      <c r="L770" s="1116"/>
      <c r="M770" s="1116"/>
      <c r="N770" s="1116"/>
      <c r="O770" s="1116"/>
      <c r="P770" s="1116"/>
      <c r="Q770" s="1116"/>
      <c r="R770" s="1116"/>
      <c r="S770" s="1116"/>
      <c r="T770" s="1116"/>
      <c r="U770" s="1116"/>
      <c r="V770" s="1116"/>
      <c r="W770" s="1116"/>
      <c r="X770" s="1116"/>
      <c r="Y770" s="1116"/>
      <c r="Z770" s="1116"/>
      <c r="AA770" s="1116"/>
      <c r="AB770" s="1116"/>
      <c r="AC770" s="1116"/>
      <c r="AD770" s="1116"/>
      <c r="AE770" s="1116"/>
      <c r="AF770" s="1116"/>
      <c r="AG770" s="1116"/>
      <c r="AH770" s="1116"/>
      <c r="AI770" s="1116"/>
      <c r="AJ770" s="1116"/>
      <c r="AK770" s="1116"/>
    </row>
    <row r="771" spans="1:37" x14ac:dyDescent="0.35">
      <c r="A771" s="1116"/>
      <c r="B771" s="1116"/>
      <c r="C771" s="1116"/>
      <c r="D771" s="1116"/>
      <c r="E771" s="1116"/>
      <c r="F771" s="1116"/>
      <c r="G771" s="1116"/>
      <c r="H771" s="1116"/>
      <c r="I771" s="1116"/>
      <c r="J771" s="1116"/>
      <c r="K771" s="1116"/>
      <c r="L771" s="1116"/>
      <c r="M771" s="1116"/>
      <c r="N771" s="1116"/>
      <c r="O771" s="1116"/>
      <c r="P771" s="1116"/>
      <c r="Q771" s="1116"/>
      <c r="R771" s="1116"/>
      <c r="S771" s="1116"/>
      <c r="T771" s="1116"/>
      <c r="U771" s="1116"/>
      <c r="V771" s="1116"/>
      <c r="W771" s="1116"/>
      <c r="X771" s="1116"/>
      <c r="Y771" s="1116"/>
      <c r="Z771" s="1116"/>
      <c r="AA771" s="1116"/>
      <c r="AB771" s="1116"/>
      <c r="AC771" s="1116"/>
      <c r="AD771" s="1116"/>
      <c r="AE771" s="1116"/>
      <c r="AF771" s="1116"/>
      <c r="AG771" s="1116"/>
      <c r="AH771" s="1116"/>
      <c r="AI771" s="1116"/>
      <c r="AJ771" s="1116"/>
      <c r="AK771" s="1116"/>
    </row>
    <row r="772" spans="1:37" x14ac:dyDescent="0.35">
      <c r="A772" s="1116"/>
      <c r="B772" s="1116"/>
      <c r="C772" s="1116"/>
      <c r="D772" s="1116"/>
      <c r="E772" s="1116"/>
      <c r="F772" s="1116"/>
      <c r="G772" s="1116"/>
      <c r="H772" s="1116"/>
      <c r="I772" s="1116"/>
      <c r="J772" s="1116"/>
      <c r="K772" s="1116"/>
      <c r="L772" s="1116"/>
      <c r="M772" s="1116"/>
      <c r="N772" s="1116"/>
      <c r="O772" s="1116"/>
      <c r="P772" s="1116"/>
      <c r="Q772" s="1116"/>
      <c r="R772" s="1116"/>
      <c r="S772" s="1116"/>
      <c r="T772" s="1116"/>
      <c r="U772" s="1116"/>
      <c r="V772" s="1116"/>
      <c r="W772" s="1116"/>
      <c r="X772" s="1116"/>
      <c r="Y772" s="1116"/>
      <c r="Z772" s="1116"/>
      <c r="AA772" s="1116"/>
      <c r="AB772" s="1116"/>
      <c r="AC772" s="1116"/>
      <c r="AD772" s="1116"/>
      <c r="AE772" s="1116"/>
      <c r="AF772" s="1116"/>
      <c r="AG772" s="1116"/>
      <c r="AH772" s="1116"/>
      <c r="AI772" s="1116"/>
      <c r="AJ772" s="1116"/>
      <c r="AK772" s="1116"/>
    </row>
    <row r="773" spans="1:37" x14ac:dyDescent="0.35">
      <c r="A773" s="1116"/>
      <c r="B773" s="1116"/>
      <c r="C773" s="1116"/>
      <c r="D773" s="1116"/>
      <c r="E773" s="1116"/>
      <c r="F773" s="1116"/>
      <c r="G773" s="1116"/>
      <c r="H773" s="1116"/>
      <c r="I773" s="1116"/>
      <c r="J773" s="1116"/>
      <c r="K773" s="1116"/>
      <c r="L773" s="1116"/>
      <c r="M773" s="1116"/>
      <c r="N773" s="1116"/>
      <c r="O773" s="1116"/>
      <c r="P773" s="1116"/>
      <c r="Q773" s="1116"/>
      <c r="R773" s="1116"/>
      <c r="S773" s="1116"/>
      <c r="T773" s="1116"/>
      <c r="U773" s="1116"/>
      <c r="V773" s="1116"/>
      <c r="W773" s="1116"/>
      <c r="X773" s="1116"/>
      <c r="Y773" s="1116"/>
      <c r="Z773" s="1116"/>
      <c r="AA773" s="1116"/>
      <c r="AB773" s="1116"/>
      <c r="AC773" s="1116"/>
      <c r="AD773" s="1116"/>
      <c r="AE773" s="1116"/>
      <c r="AF773" s="1116"/>
      <c r="AG773" s="1116"/>
      <c r="AH773" s="1116"/>
      <c r="AI773" s="1116"/>
      <c r="AJ773" s="1116"/>
      <c r="AK773" s="1116"/>
    </row>
    <row r="774" spans="1:37" x14ac:dyDescent="0.35">
      <c r="A774" s="1116"/>
      <c r="B774" s="1116"/>
      <c r="C774" s="1116"/>
      <c r="D774" s="1116"/>
      <c r="E774" s="1116"/>
      <c r="F774" s="1116"/>
      <c r="G774" s="1116"/>
      <c r="H774" s="1116"/>
      <c r="I774" s="1116"/>
      <c r="J774" s="1116"/>
      <c r="K774" s="1116"/>
      <c r="L774" s="1116"/>
      <c r="M774" s="1116"/>
      <c r="N774" s="1116"/>
      <c r="O774" s="1116"/>
      <c r="P774" s="1116"/>
      <c r="Q774" s="1116"/>
      <c r="R774" s="1116"/>
      <c r="S774" s="1116"/>
      <c r="T774" s="1116"/>
      <c r="U774" s="1116"/>
      <c r="V774" s="1116"/>
      <c r="W774" s="1116"/>
      <c r="X774" s="1116"/>
      <c r="Y774" s="1116"/>
      <c r="Z774" s="1116"/>
      <c r="AA774" s="1116"/>
      <c r="AB774" s="1116"/>
      <c r="AC774" s="1116"/>
      <c r="AD774" s="1116"/>
      <c r="AE774" s="1116"/>
      <c r="AF774" s="1116"/>
      <c r="AG774" s="1116"/>
      <c r="AH774" s="1116"/>
      <c r="AI774" s="1116"/>
      <c r="AJ774" s="1116"/>
      <c r="AK774" s="1116"/>
    </row>
    <row r="775" spans="1:37" x14ac:dyDescent="0.35">
      <c r="A775" s="1116"/>
      <c r="B775" s="1116"/>
      <c r="C775" s="1116"/>
      <c r="D775" s="1116"/>
      <c r="E775" s="1116"/>
      <c r="F775" s="1116"/>
      <c r="G775" s="1116"/>
      <c r="H775" s="1116"/>
      <c r="I775" s="1116"/>
      <c r="J775" s="1116"/>
      <c r="K775" s="1116"/>
      <c r="L775" s="1116"/>
      <c r="M775" s="1116"/>
      <c r="N775" s="1116"/>
      <c r="O775" s="1116"/>
      <c r="P775" s="1116"/>
      <c r="Q775" s="1116"/>
      <c r="R775" s="1116"/>
      <c r="S775" s="1116"/>
      <c r="T775" s="1116"/>
      <c r="U775" s="1116"/>
      <c r="V775" s="1116"/>
      <c r="W775" s="1116"/>
      <c r="X775" s="1116"/>
      <c r="Y775" s="1116"/>
      <c r="Z775" s="1116"/>
      <c r="AA775" s="1116"/>
      <c r="AB775" s="1116"/>
      <c r="AC775" s="1116"/>
      <c r="AD775" s="1116"/>
      <c r="AE775" s="1116"/>
      <c r="AF775" s="1116"/>
      <c r="AG775" s="1116"/>
      <c r="AH775" s="1116"/>
      <c r="AI775" s="1116"/>
      <c r="AJ775" s="1116"/>
      <c r="AK775" s="1116"/>
    </row>
    <row r="776" spans="1:37" x14ac:dyDescent="0.35">
      <c r="A776" s="1116"/>
      <c r="B776" s="1116"/>
      <c r="C776" s="1116"/>
      <c r="D776" s="1116"/>
      <c r="E776" s="1116"/>
      <c r="F776" s="1116"/>
      <c r="G776" s="1116"/>
      <c r="H776" s="1116"/>
      <c r="I776" s="1116"/>
      <c r="J776" s="1116"/>
      <c r="K776" s="1116"/>
      <c r="L776" s="1116"/>
      <c r="M776" s="1116"/>
      <c r="N776" s="1116"/>
      <c r="O776" s="1116"/>
      <c r="P776" s="1116"/>
      <c r="Q776" s="1116"/>
      <c r="R776" s="1116"/>
      <c r="S776" s="1116"/>
      <c r="T776" s="1116"/>
      <c r="U776" s="1116"/>
      <c r="V776" s="1116"/>
      <c r="W776" s="1116"/>
      <c r="X776" s="1116"/>
      <c r="Y776" s="1116"/>
      <c r="Z776" s="1116"/>
      <c r="AA776" s="1116"/>
      <c r="AB776" s="1116"/>
      <c r="AC776" s="1116"/>
      <c r="AD776" s="1116"/>
      <c r="AE776" s="1116"/>
      <c r="AF776" s="1116"/>
      <c r="AG776" s="1116"/>
      <c r="AH776" s="1116"/>
      <c r="AI776" s="1116"/>
      <c r="AJ776" s="1116"/>
      <c r="AK776" s="1116"/>
    </row>
    <row r="777" spans="1:37" x14ac:dyDescent="0.35">
      <c r="A777" s="1116"/>
      <c r="B777" s="1116"/>
      <c r="C777" s="1116"/>
      <c r="D777" s="1116"/>
      <c r="E777" s="1116"/>
      <c r="F777" s="1116"/>
      <c r="G777" s="1116"/>
      <c r="H777" s="1116"/>
      <c r="I777" s="1116"/>
      <c r="J777" s="1116"/>
      <c r="K777" s="1116"/>
      <c r="L777" s="1116"/>
      <c r="M777" s="1116"/>
      <c r="N777" s="1116"/>
      <c r="O777" s="1116"/>
      <c r="P777" s="1116"/>
      <c r="Q777" s="1116"/>
      <c r="R777" s="1116"/>
      <c r="S777" s="1116"/>
      <c r="T777" s="1116"/>
      <c r="U777" s="1116"/>
      <c r="V777" s="1116"/>
      <c r="W777" s="1116"/>
      <c r="X777" s="1116"/>
      <c r="Y777" s="1116"/>
      <c r="Z777" s="1116"/>
      <c r="AA777" s="1116"/>
      <c r="AB777" s="1116"/>
      <c r="AC777" s="1116"/>
      <c r="AD777" s="1116"/>
      <c r="AE777" s="1116"/>
      <c r="AF777" s="1116"/>
      <c r="AG777" s="1116"/>
      <c r="AH777" s="1116"/>
      <c r="AI777" s="1116"/>
      <c r="AJ777" s="1116"/>
      <c r="AK777" s="1116"/>
    </row>
    <row r="778" spans="1:37" x14ac:dyDescent="0.35">
      <c r="A778" s="1116"/>
      <c r="B778" s="1116"/>
      <c r="C778" s="1116"/>
      <c r="D778" s="1116"/>
      <c r="E778" s="1116"/>
      <c r="F778" s="1116"/>
      <c r="G778" s="1116"/>
      <c r="H778" s="1116"/>
      <c r="I778" s="1116"/>
      <c r="J778" s="1116"/>
      <c r="K778" s="1116"/>
      <c r="L778" s="1116"/>
      <c r="M778" s="1116"/>
      <c r="N778" s="1116"/>
      <c r="O778" s="1116"/>
      <c r="P778" s="1116"/>
      <c r="Q778" s="1116"/>
      <c r="R778" s="1116"/>
      <c r="S778" s="1116"/>
      <c r="T778" s="1116"/>
      <c r="U778" s="1116"/>
      <c r="V778" s="1116"/>
      <c r="W778" s="1116"/>
      <c r="X778" s="1116"/>
      <c r="Y778" s="1116"/>
      <c r="Z778" s="1116"/>
      <c r="AA778" s="1116"/>
      <c r="AB778" s="1116"/>
      <c r="AC778" s="1116"/>
      <c r="AD778" s="1116"/>
      <c r="AE778" s="1116"/>
      <c r="AF778" s="1116"/>
      <c r="AG778" s="1116"/>
      <c r="AH778" s="1116"/>
      <c r="AI778" s="1116"/>
      <c r="AJ778" s="1116"/>
      <c r="AK778" s="1116"/>
    </row>
    <row r="779" spans="1:37" x14ac:dyDescent="0.35">
      <c r="A779" s="1116"/>
      <c r="B779" s="1116"/>
      <c r="C779" s="1116"/>
      <c r="D779" s="1116"/>
      <c r="E779" s="1116"/>
      <c r="F779" s="1116"/>
      <c r="G779" s="1116"/>
      <c r="H779" s="1116"/>
      <c r="I779" s="1116"/>
      <c r="J779" s="1116"/>
      <c r="K779" s="1116"/>
      <c r="L779" s="1116"/>
      <c r="M779" s="1116"/>
      <c r="N779" s="1116"/>
      <c r="O779" s="1116"/>
      <c r="P779" s="1116"/>
      <c r="Q779" s="1116"/>
      <c r="R779" s="1116"/>
      <c r="S779" s="1116"/>
      <c r="T779" s="1116"/>
      <c r="U779" s="1116"/>
      <c r="V779" s="1116"/>
      <c r="W779" s="1116"/>
      <c r="X779" s="1116"/>
      <c r="Y779" s="1116"/>
      <c r="Z779" s="1116"/>
      <c r="AA779" s="1116"/>
      <c r="AB779" s="1116"/>
      <c r="AC779" s="1116"/>
      <c r="AD779" s="1116"/>
      <c r="AE779" s="1116"/>
      <c r="AF779" s="1116"/>
      <c r="AG779" s="1116"/>
      <c r="AH779" s="1116"/>
      <c r="AI779" s="1116"/>
      <c r="AJ779" s="1116"/>
      <c r="AK779" s="1116"/>
    </row>
    <row r="780" spans="1:37" x14ac:dyDescent="0.35">
      <c r="A780" s="1116"/>
      <c r="B780" s="1116"/>
      <c r="C780" s="1116"/>
      <c r="D780" s="1116"/>
      <c r="E780" s="1116"/>
      <c r="F780" s="1116"/>
      <c r="G780" s="1116"/>
      <c r="H780" s="1116"/>
      <c r="I780" s="1116"/>
      <c r="J780" s="1116"/>
      <c r="K780" s="1116"/>
      <c r="L780" s="1116"/>
      <c r="M780" s="1116"/>
      <c r="N780" s="1116"/>
      <c r="O780" s="1116"/>
      <c r="P780" s="1116"/>
      <c r="Q780" s="1116"/>
      <c r="R780" s="1116"/>
      <c r="S780" s="1116"/>
      <c r="T780" s="1116"/>
      <c r="U780" s="1116"/>
      <c r="V780" s="1116"/>
      <c r="W780" s="1116"/>
      <c r="X780" s="1116"/>
      <c r="Y780" s="1116"/>
      <c r="Z780" s="1116"/>
      <c r="AA780" s="1116"/>
      <c r="AB780" s="1116"/>
      <c r="AC780" s="1116"/>
      <c r="AD780" s="1116"/>
      <c r="AE780" s="1116"/>
      <c r="AF780" s="1116"/>
      <c r="AG780" s="1116"/>
      <c r="AH780" s="1116"/>
      <c r="AI780" s="1116"/>
      <c r="AJ780" s="1116"/>
      <c r="AK780" s="1116"/>
    </row>
    <row r="781" spans="1:37" x14ac:dyDescent="0.35">
      <c r="A781" s="1116"/>
      <c r="B781" s="1116"/>
      <c r="C781" s="1116"/>
      <c r="D781" s="1116"/>
      <c r="E781" s="1116"/>
      <c r="F781" s="1116"/>
      <c r="G781" s="1116"/>
      <c r="H781" s="1116"/>
      <c r="I781" s="1116"/>
      <c r="J781" s="1116"/>
      <c r="K781" s="1116"/>
      <c r="L781" s="1116"/>
      <c r="M781" s="1116"/>
      <c r="N781" s="1116"/>
      <c r="O781" s="1116"/>
      <c r="P781" s="1116"/>
      <c r="Q781" s="1116"/>
      <c r="R781" s="1116"/>
      <c r="S781" s="1116"/>
      <c r="T781" s="1116"/>
      <c r="U781" s="1116"/>
      <c r="V781" s="1116"/>
      <c r="W781" s="1116"/>
      <c r="X781" s="1116"/>
      <c r="Y781" s="1116"/>
      <c r="Z781" s="1116"/>
      <c r="AA781" s="1116"/>
      <c r="AB781" s="1116"/>
      <c r="AC781" s="1116"/>
      <c r="AD781" s="1116"/>
      <c r="AE781" s="1116"/>
      <c r="AF781" s="1116"/>
      <c r="AG781" s="1116"/>
      <c r="AH781" s="1116"/>
      <c r="AI781" s="1116"/>
      <c r="AJ781" s="1116"/>
      <c r="AK781" s="1116"/>
    </row>
    <row r="782" spans="1:37" x14ac:dyDescent="0.35">
      <c r="A782" s="1116"/>
      <c r="B782" s="1116"/>
      <c r="C782" s="1116"/>
      <c r="D782" s="1116"/>
      <c r="E782" s="1116"/>
      <c r="F782" s="1116"/>
      <c r="G782" s="1116"/>
      <c r="H782" s="1116"/>
      <c r="I782" s="1116"/>
      <c r="J782" s="1116"/>
      <c r="K782" s="1116"/>
      <c r="L782" s="1116"/>
      <c r="M782" s="1116"/>
      <c r="N782" s="1116"/>
      <c r="O782" s="1116"/>
      <c r="P782" s="1116"/>
      <c r="Q782" s="1116"/>
      <c r="R782" s="1116"/>
      <c r="S782" s="1116"/>
      <c r="T782" s="1116"/>
      <c r="U782" s="1116"/>
      <c r="V782" s="1116"/>
      <c r="W782" s="1116"/>
      <c r="X782" s="1116"/>
      <c r="Y782" s="1116"/>
      <c r="Z782" s="1116"/>
      <c r="AA782" s="1116"/>
      <c r="AB782" s="1116"/>
      <c r="AC782" s="1116"/>
      <c r="AD782" s="1116"/>
      <c r="AE782" s="1116"/>
      <c r="AF782" s="1116"/>
      <c r="AG782" s="1116"/>
      <c r="AH782" s="1116"/>
      <c r="AI782" s="1116"/>
      <c r="AJ782" s="1116"/>
      <c r="AK782" s="1116"/>
    </row>
    <row r="783" spans="1:37" x14ac:dyDescent="0.35">
      <c r="A783" s="1116"/>
      <c r="B783" s="1116"/>
      <c r="C783" s="1116"/>
      <c r="D783" s="1116"/>
      <c r="E783" s="1116"/>
      <c r="F783" s="1116"/>
      <c r="G783" s="1116"/>
      <c r="H783" s="1116"/>
      <c r="I783" s="1116"/>
      <c r="J783" s="1116"/>
      <c r="K783" s="1116"/>
      <c r="L783" s="1116"/>
      <c r="M783" s="1116"/>
      <c r="N783" s="1116"/>
      <c r="O783" s="1116"/>
      <c r="P783" s="1116"/>
      <c r="Q783" s="1116"/>
      <c r="R783" s="1116"/>
      <c r="S783" s="1116"/>
      <c r="T783" s="1116"/>
      <c r="U783" s="1116"/>
      <c r="V783" s="1116"/>
      <c r="W783" s="1116"/>
      <c r="X783" s="1116"/>
      <c r="Y783" s="1116"/>
      <c r="Z783" s="1116"/>
      <c r="AA783" s="1116"/>
      <c r="AB783" s="1116"/>
      <c r="AC783" s="1116"/>
      <c r="AD783" s="1116"/>
      <c r="AE783" s="1116"/>
      <c r="AF783" s="1116"/>
      <c r="AG783" s="1116"/>
      <c r="AH783" s="1116"/>
      <c r="AI783" s="1116"/>
      <c r="AJ783" s="1116"/>
      <c r="AK783" s="1116"/>
    </row>
    <row r="784" spans="1:37" x14ac:dyDescent="0.35">
      <c r="A784" s="1116"/>
      <c r="B784" s="1116"/>
      <c r="C784" s="1116"/>
      <c r="D784" s="1116"/>
      <c r="E784" s="1116"/>
      <c r="F784" s="1116"/>
      <c r="G784" s="1116"/>
      <c r="H784" s="1116"/>
      <c r="I784" s="1116"/>
      <c r="J784" s="1116"/>
      <c r="K784" s="1116"/>
      <c r="L784" s="1116"/>
      <c r="M784" s="1116"/>
      <c r="N784" s="1116"/>
      <c r="O784" s="1116"/>
      <c r="P784" s="1116"/>
      <c r="Q784" s="1116"/>
      <c r="R784" s="1116"/>
      <c r="S784" s="1116"/>
      <c r="T784" s="1116"/>
      <c r="U784" s="1116"/>
      <c r="V784" s="1116"/>
      <c r="W784" s="1116"/>
      <c r="X784" s="1116"/>
      <c r="Y784" s="1116"/>
      <c r="Z784" s="1116"/>
      <c r="AA784" s="1116"/>
      <c r="AB784" s="1116"/>
      <c r="AC784" s="1116"/>
      <c r="AD784" s="1116"/>
      <c r="AE784" s="1116"/>
      <c r="AF784" s="1116"/>
      <c r="AG784" s="1116"/>
      <c r="AH784" s="1116"/>
      <c r="AI784" s="1116"/>
      <c r="AJ784" s="1116"/>
      <c r="AK784" s="1116"/>
    </row>
    <row r="785" spans="1:37" x14ac:dyDescent="0.35">
      <c r="A785" s="1116"/>
      <c r="B785" s="1116"/>
      <c r="C785" s="1116"/>
      <c r="D785" s="1116"/>
      <c r="E785" s="1116"/>
      <c r="F785" s="1116"/>
      <c r="G785" s="1116"/>
      <c r="H785" s="1116"/>
      <c r="I785" s="1116"/>
      <c r="J785" s="1116"/>
      <c r="K785" s="1116"/>
      <c r="L785" s="1116"/>
      <c r="M785" s="1116"/>
      <c r="N785" s="1116"/>
      <c r="O785" s="1116"/>
      <c r="P785" s="1116"/>
      <c r="Q785" s="1116"/>
      <c r="R785" s="1116"/>
      <c r="S785" s="1116"/>
      <c r="T785" s="1116"/>
      <c r="U785" s="1116"/>
      <c r="V785" s="1116"/>
      <c r="W785" s="1116"/>
      <c r="X785" s="1116"/>
      <c r="Y785" s="1116"/>
      <c r="Z785" s="1116"/>
      <c r="AA785" s="1116"/>
      <c r="AB785" s="1116"/>
      <c r="AC785" s="1116"/>
      <c r="AD785" s="1116"/>
      <c r="AE785" s="1116"/>
      <c r="AF785" s="1116"/>
      <c r="AG785" s="1116"/>
      <c r="AH785" s="1116"/>
      <c r="AI785" s="1116"/>
      <c r="AJ785" s="1116"/>
      <c r="AK785" s="1116"/>
    </row>
    <row r="786" spans="1:37" x14ac:dyDescent="0.35">
      <c r="A786" s="1116"/>
      <c r="B786" s="1116"/>
      <c r="C786" s="1116"/>
      <c r="D786" s="1116"/>
      <c r="E786" s="1116"/>
      <c r="F786" s="1116"/>
      <c r="G786" s="1116"/>
      <c r="H786" s="1116"/>
      <c r="I786" s="1116"/>
      <c r="J786" s="1116"/>
      <c r="K786" s="1116"/>
      <c r="L786" s="1116"/>
      <c r="M786" s="1116"/>
      <c r="N786" s="1116"/>
      <c r="O786" s="1116"/>
      <c r="P786" s="1116"/>
      <c r="Q786" s="1116"/>
      <c r="R786" s="1116"/>
      <c r="S786" s="1116"/>
      <c r="T786" s="1116"/>
      <c r="U786" s="1116"/>
      <c r="V786" s="1116"/>
      <c r="W786" s="1116"/>
      <c r="X786" s="1116"/>
      <c r="Y786" s="1116"/>
      <c r="Z786" s="1116"/>
      <c r="AA786" s="1116"/>
      <c r="AB786" s="1116"/>
      <c r="AC786" s="1116"/>
      <c r="AD786" s="1116"/>
      <c r="AE786" s="1116"/>
      <c r="AF786" s="1116"/>
      <c r="AG786" s="1116"/>
      <c r="AH786" s="1116"/>
      <c r="AI786" s="1116"/>
      <c r="AJ786" s="1116"/>
      <c r="AK786" s="1116"/>
    </row>
    <row r="787" spans="1:37" x14ac:dyDescent="0.35">
      <c r="A787" s="1116"/>
      <c r="B787" s="1116"/>
      <c r="C787" s="1116"/>
      <c r="D787" s="1116"/>
      <c r="E787" s="1116"/>
      <c r="F787" s="1116"/>
      <c r="G787" s="1116"/>
      <c r="H787" s="1116"/>
      <c r="I787" s="1116"/>
      <c r="J787" s="1116"/>
      <c r="K787" s="1116"/>
      <c r="L787" s="1116"/>
      <c r="M787" s="1116"/>
      <c r="N787" s="1116"/>
      <c r="O787" s="1116"/>
      <c r="P787" s="1116"/>
      <c r="Q787" s="1116"/>
      <c r="R787" s="1116"/>
      <c r="S787" s="1116"/>
      <c r="T787" s="1116"/>
      <c r="U787" s="1116"/>
      <c r="V787" s="1116"/>
      <c r="W787" s="1116"/>
      <c r="X787" s="1116"/>
      <c r="Y787" s="1116"/>
      <c r="Z787" s="1116"/>
      <c r="AA787" s="1116"/>
      <c r="AB787" s="1116"/>
      <c r="AC787" s="1116"/>
      <c r="AD787" s="1116"/>
      <c r="AE787" s="1116"/>
      <c r="AF787" s="1116"/>
      <c r="AG787" s="1116"/>
      <c r="AH787" s="1116"/>
      <c r="AI787" s="1116"/>
      <c r="AJ787" s="1116"/>
      <c r="AK787" s="1116"/>
    </row>
    <row r="788" spans="1:37" x14ac:dyDescent="0.35">
      <c r="A788" s="1116"/>
      <c r="B788" s="1116"/>
      <c r="C788" s="1116"/>
      <c r="D788" s="1116"/>
      <c r="E788" s="1116"/>
      <c r="F788" s="1116"/>
      <c r="G788" s="1116"/>
      <c r="H788" s="1116"/>
      <c r="I788" s="1116"/>
      <c r="J788" s="1116"/>
      <c r="K788" s="1116"/>
      <c r="L788" s="1116"/>
      <c r="M788" s="1116"/>
      <c r="N788" s="1116"/>
      <c r="O788" s="1116"/>
      <c r="P788" s="1116"/>
      <c r="Q788" s="1116"/>
      <c r="R788" s="1116"/>
      <c r="S788" s="1116"/>
      <c r="T788" s="1116"/>
      <c r="U788" s="1116"/>
      <c r="V788" s="1116"/>
      <c r="W788" s="1116"/>
      <c r="X788" s="1116"/>
      <c r="Y788" s="1116"/>
      <c r="Z788" s="1116"/>
      <c r="AA788" s="1116"/>
      <c r="AB788" s="1116"/>
      <c r="AC788" s="1116"/>
      <c r="AD788" s="1116"/>
      <c r="AE788" s="1116"/>
      <c r="AF788" s="1116"/>
      <c r="AG788" s="1116"/>
      <c r="AH788" s="1116"/>
      <c r="AI788" s="1116"/>
      <c r="AJ788" s="1116"/>
      <c r="AK788" s="1116"/>
    </row>
    <row r="789" spans="1:37" x14ac:dyDescent="0.35">
      <c r="A789" s="1116"/>
      <c r="B789" s="1116"/>
      <c r="C789" s="1116"/>
      <c r="D789" s="1116"/>
      <c r="E789" s="1116"/>
      <c r="F789" s="1116"/>
      <c r="G789" s="1116"/>
      <c r="H789" s="1116"/>
      <c r="I789" s="1116"/>
      <c r="J789" s="1116"/>
      <c r="K789" s="1116"/>
      <c r="L789" s="1116"/>
      <c r="M789" s="1116"/>
      <c r="N789" s="1116"/>
      <c r="O789" s="1116"/>
      <c r="P789" s="1116"/>
      <c r="Q789" s="1116"/>
      <c r="R789" s="1116"/>
      <c r="S789" s="1116"/>
      <c r="T789" s="1116"/>
      <c r="U789" s="1116"/>
      <c r="V789" s="1116"/>
      <c r="W789" s="1116"/>
      <c r="X789" s="1116"/>
      <c r="Y789" s="1116"/>
      <c r="Z789" s="1116"/>
      <c r="AA789" s="1116"/>
      <c r="AB789" s="1116"/>
      <c r="AC789" s="1116"/>
      <c r="AD789" s="1116"/>
      <c r="AE789" s="1116"/>
      <c r="AF789" s="1116"/>
      <c r="AG789" s="1116"/>
      <c r="AH789" s="1116"/>
      <c r="AI789" s="1116"/>
      <c r="AJ789" s="1116"/>
      <c r="AK789" s="1116"/>
    </row>
    <row r="790" spans="1:37" x14ac:dyDescent="0.35">
      <c r="A790" s="1116"/>
      <c r="B790" s="1116"/>
      <c r="C790" s="1116"/>
      <c r="D790" s="1116"/>
      <c r="E790" s="1116"/>
      <c r="F790" s="1116"/>
      <c r="G790" s="1116"/>
      <c r="H790" s="1116"/>
      <c r="I790" s="1116"/>
      <c r="J790" s="1116"/>
      <c r="K790" s="1116"/>
      <c r="L790" s="1116"/>
      <c r="M790" s="1116"/>
      <c r="N790" s="1116"/>
      <c r="O790" s="1116"/>
      <c r="P790" s="1116"/>
      <c r="Q790" s="1116"/>
      <c r="R790" s="1116"/>
      <c r="S790" s="1116"/>
      <c r="T790" s="1116"/>
      <c r="U790" s="1116"/>
      <c r="V790" s="1116"/>
      <c r="W790" s="1116"/>
      <c r="X790" s="1116"/>
      <c r="Y790" s="1116"/>
      <c r="Z790" s="1116"/>
      <c r="AA790" s="1116"/>
      <c r="AB790" s="1116"/>
      <c r="AC790" s="1116"/>
      <c r="AD790" s="1116"/>
      <c r="AE790" s="1116"/>
      <c r="AF790" s="1116"/>
      <c r="AG790" s="1116"/>
      <c r="AH790" s="1116"/>
      <c r="AI790" s="1116"/>
      <c r="AJ790" s="1116"/>
      <c r="AK790" s="1116"/>
    </row>
    <row r="791" spans="1:37" x14ac:dyDescent="0.35">
      <c r="A791" s="1116"/>
      <c r="B791" s="1116"/>
      <c r="C791" s="1116"/>
      <c r="D791" s="1116"/>
      <c r="E791" s="1116"/>
      <c r="F791" s="1116"/>
      <c r="G791" s="1116"/>
      <c r="H791" s="1116"/>
      <c r="I791" s="1116"/>
      <c r="J791" s="1116"/>
      <c r="K791" s="1116"/>
      <c r="L791" s="1116"/>
      <c r="M791" s="1116"/>
      <c r="N791" s="1116"/>
      <c r="O791" s="1116"/>
      <c r="P791" s="1116"/>
      <c r="Q791" s="1116"/>
      <c r="R791" s="1116"/>
      <c r="S791" s="1116"/>
      <c r="T791" s="1116"/>
      <c r="U791" s="1116"/>
      <c r="V791" s="1116"/>
      <c r="W791" s="1116"/>
      <c r="X791" s="1116"/>
      <c r="Y791" s="1116"/>
      <c r="Z791" s="1116"/>
      <c r="AA791" s="1116"/>
      <c r="AB791" s="1116"/>
      <c r="AC791" s="1116"/>
      <c r="AD791" s="1116"/>
      <c r="AE791" s="1116"/>
      <c r="AF791" s="1116"/>
      <c r="AG791" s="1116"/>
      <c r="AH791" s="1116"/>
      <c r="AI791" s="1116"/>
      <c r="AJ791" s="1116"/>
      <c r="AK791" s="1116"/>
    </row>
    <row r="792" spans="1:37" x14ac:dyDescent="0.35">
      <c r="A792" s="1116"/>
      <c r="B792" s="1116"/>
      <c r="C792" s="1116"/>
      <c r="D792" s="1116"/>
      <c r="E792" s="1116"/>
      <c r="F792" s="1116"/>
      <c r="G792" s="1116"/>
      <c r="H792" s="1116"/>
      <c r="I792" s="1116"/>
      <c r="J792" s="1116"/>
      <c r="K792" s="1116"/>
      <c r="L792" s="1116"/>
      <c r="M792" s="1116"/>
      <c r="N792" s="1116"/>
      <c r="O792" s="1116"/>
      <c r="P792" s="1116"/>
      <c r="Q792" s="1116"/>
      <c r="R792" s="1116"/>
      <c r="S792" s="1116"/>
      <c r="T792" s="1116"/>
      <c r="U792" s="1116"/>
      <c r="V792" s="1116"/>
      <c r="W792" s="1116"/>
      <c r="X792" s="1116"/>
      <c r="Y792" s="1116"/>
      <c r="Z792" s="1116"/>
      <c r="AA792" s="1116"/>
      <c r="AB792" s="1116"/>
      <c r="AC792" s="1116"/>
      <c r="AD792" s="1116"/>
      <c r="AE792" s="1116"/>
      <c r="AF792" s="1116"/>
      <c r="AG792" s="1116"/>
      <c r="AH792" s="1116"/>
      <c r="AI792" s="1116"/>
      <c r="AJ792" s="1116"/>
      <c r="AK792" s="1116"/>
    </row>
    <row r="793" spans="1:37" x14ac:dyDescent="0.35">
      <c r="A793" s="1116"/>
      <c r="B793" s="1116"/>
      <c r="C793" s="1116"/>
      <c r="D793" s="1116"/>
      <c r="E793" s="1116"/>
      <c r="F793" s="1116"/>
      <c r="G793" s="1116"/>
      <c r="H793" s="1116"/>
      <c r="I793" s="1116"/>
      <c r="J793" s="1116"/>
      <c r="K793" s="1116"/>
      <c r="L793" s="1116"/>
      <c r="M793" s="1116"/>
      <c r="N793" s="1116"/>
      <c r="O793" s="1116"/>
      <c r="P793" s="1116"/>
      <c r="Q793" s="1116"/>
      <c r="R793" s="1116"/>
      <c r="S793" s="1116"/>
      <c r="T793" s="1116"/>
      <c r="U793" s="1116"/>
      <c r="V793" s="1116"/>
      <c r="W793" s="1116"/>
      <c r="X793" s="1116"/>
      <c r="Y793" s="1116"/>
      <c r="Z793" s="1116"/>
      <c r="AA793" s="1116"/>
      <c r="AB793" s="1116"/>
      <c r="AC793" s="1116"/>
      <c r="AD793" s="1116"/>
      <c r="AE793" s="1116"/>
      <c r="AF793" s="1116"/>
      <c r="AG793" s="1116"/>
      <c r="AH793" s="1116"/>
      <c r="AI793" s="1116"/>
      <c r="AJ793" s="1116"/>
      <c r="AK793" s="1116"/>
    </row>
    <row r="794" spans="1:37" x14ac:dyDescent="0.35">
      <c r="A794" s="1116"/>
      <c r="B794" s="1116"/>
      <c r="C794" s="1116"/>
      <c r="D794" s="1116"/>
      <c r="E794" s="1116"/>
      <c r="F794" s="1116"/>
      <c r="G794" s="1116"/>
      <c r="H794" s="1116"/>
      <c r="I794" s="1116"/>
      <c r="J794" s="1116"/>
      <c r="K794" s="1116"/>
      <c r="L794" s="1116"/>
      <c r="M794" s="1116"/>
      <c r="N794" s="1116"/>
      <c r="O794" s="1116"/>
      <c r="P794" s="1116"/>
      <c r="Q794" s="1116"/>
      <c r="R794" s="1116"/>
      <c r="S794" s="1116"/>
      <c r="T794" s="1116"/>
      <c r="U794" s="1116"/>
      <c r="V794" s="1116"/>
      <c r="W794" s="1116"/>
      <c r="X794" s="1116"/>
      <c r="Y794" s="1116"/>
      <c r="Z794" s="1116"/>
      <c r="AA794" s="1116"/>
      <c r="AB794" s="1116"/>
      <c r="AC794" s="1116"/>
      <c r="AD794" s="1116"/>
      <c r="AE794" s="1116"/>
      <c r="AF794" s="1116"/>
      <c r="AG794" s="1116"/>
      <c r="AH794" s="1116"/>
      <c r="AI794" s="1116"/>
      <c r="AJ794" s="1116"/>
      <c r="AK794" s="1116"/>
    </row>
    <row r="795" spans="1:37" x14ac:dyDescent="0.35">
      <c r="A795" s="1116"/>
      <c r="B795" s="1116"/>
      <c r="C795" s="1116"/>
      <c r="D795" s="1116"/>
      <c r="E795" s="1116"/>
      <c r="F795" s="1116"/>
      <c r="G795" s="1116"/>
      <c r="H795" s="1116"/>
      <c r="I795" s="1116"/>
      <c r="J795" s="1116"/>
      <c r="K795" s="1116"/>
      <c r="L795" s="1116"/>
      <c r="M795" s="1116"/>
      <c r="N795" s="1116"/>
      <c r="O795" s="1116"/>
      <c r="P795" s="1116"/>
      <c r="Q795" s="1116"/>
      <c r="R795" s="1116"/>
      <c r="S795" s="1116"/>
      <c r="T795" s="1116"/>
      <c r="U795" s="1116"/>
      <c r="V795" s="1116"/>
      <c r="W795" s="1116"/>
      <c r="X795" s="1116"/>
      <c r="Y795" s="1116"/>
      <c r="Z795" s="1116"/>
      <c r="AA795" s="1116"/>
      <c r="AB795" s="1116"/>
      <c r="AC795" s="1116"/>
      <c r="AD795" s="1116"/>
      <c r="AE795" s="1116"/>
      <c r="AF795" s="1116"/>
      <c r="AG795" s="1116"/>
      <c r="AH795" s="1116"/>
      <c r="AI795" s="1116"/>
      <c r="AJ795" s="1116"/>
      <c r="AK795" s="1116"/>
    </row>
    <row r="796" spans="1:37" x14ac:dyDescent="0.35">
      <c r="A796" s="1116"/>
      <c r="B796" s="1116"/>
      <c r="C796" s="1116"/>
      <c r="D796" s="1116"/>
      <c r="E796" s="1116"/>
      <c r="F796" s="1116"/>
      <c r="G796" s="1116"/>
      <c r="H796" s="1116"/>
      <c r="I796" s="1116"/>
      <c r="J796" s="1116"/>
      <c r="K796" s="1116"/>
      <c r="L796" s="1116"/>
      <c r="M796" s="1116"/>
      <c r="N796" s="1116"/>
      <c r="O796" s="1116"/>
      <c r="P796" s="1116"/>
      <c r="Q796" s="1116"/>
      <c r="R796" s="1116"/>
      <c r="S796" s="1116"/>
      <c r="T796" s="1116"/>
      <c r="U796" s="1116"/>
      <c r="V796" s="1116"/>
      <c r="W796" s="1116"/>
      <c r="X796" s="1116"/>
      <c r="Y796" s="1116"/>
      <c r="Z796" s="1116"/>
      <c r="AA796" s="1116"/>
      <c r="AB796" s="1116"/>
      <c r="AC796" s="1116"/>
      <c r="AD796" s="1116"/>
      <c r="AE796" s="1116"/>
      <c r="AF796" s="1116"/>
      <c r="AG796" s="1116"/>
      <c r="AH796" s="1116"/>
      <c r="AI796" s="1116"/>
      <c r="AJ796" s="1116"/>
      <c r="AK796" s="1116"/>
    </row>
    <row r="797" spans="1:37" x14ac:dyDescent="0.35">
      <c r="A797" s="1116"/>
      <c r="B797" s="1116"/>
      <c r="C797" s="1116"/>
      <c r="D797" s="1116"/>
      <c r="E797" s="1116"/>
      <c r="F797" s="1116"/>
      <c r="G797" s="1116"/>
      <c r="H797" s="1116"/>
      <c r="I797" s="1116"/>
      <c r="J797" s="1116"/>
      <c r="K797" s="1116"/>
      <c r="L797" s="1116"/>
      <c r="M797" s="1116"/>
      <c r="N797" s="1116"/>
      <c r="O797" s="1116"/>
      <c r="P797" s="1116"/>
      <c r="Q797" s="1116"/>
      <c r="R797" s="1116"/>
      <c r="S797" s="1116"/>
      <c r="T797" s="1116"/>
      <c r="U797" s="1116"/>
      <c r="V797" s="1116"/>
      <c r="W797" s="1116"/>
      <c r="X797" s="1116"/>
      <c r="Y797" s="1116"/>
      <c r="Z797" s="1116"/>
      <c r="AA797" s="1116"/>
      <c r="AB797" s="1116"/>
      <c r="AC797" s="1116"/>
      <c r="AD797" s="1116"/>
      <c r="AE797" s="1116"/>
      <c r="AF797" s="1116"/>
      <c r="AG797" s="1116"/>
      <c r="AH797" s="1116"/>
      <c r="AI797" s="1116"/>
      <c r="AJ797" s="1116"/>
      <c r="AK797" s="1116"/>
    </row>
    <row r="798" spans="1:37" x14ac:dyDescent="0.35">
      <c r="A798" s="1116"/>
      <c r="B798" s="1116"/>
      <c r="C798" s="1116"/>
      <c r="D798" s="1116"/>
      <c r="E798" s="1116"/>
      <c r="F798" s="1116"/>
      <c r="G798" s="1116"/>
      <c r="H798" s="1116"/>
      <c r="I798" s="1116"/>
      <c r="J798" s="1116"/>
      <c r="K798" s="1116"/>
      <c r="L798" s="1116"/>
      <c r="M798" s="1116"/>
      <c r="N798" s="1116"/>
      <c r="O798" s="1116"/>
      <c r="P798" s="1116"/>
      <c r="Q798" s="1116"/>
      <c r="R798" s="1116"/>
      <c r="S798" s="1116"/>
      <c r="T798" s="1116"/>
      <c r="U798" s="1116"/>
      <c r="V798" s="1116"/>
      <c r="W798" s="1116"/>
      <c r="X798" s="1116"/>
      <c r="Y798" s="1116"/>
      <c r="Z798" s="1116"/>
      <c r="AA798" s="1116"/>
      <c r="AB798" s="1116"/>
      <c r="AC798" s="1116"/>
      <c r="AD798" s="1116"/>
      <c r="AE798" s="1116"/>
      <c r="AF798" s="1116"/>
      <c r="AG798" s="1116"/>
      <c r="AH798" s="1116"/>
      <c r="AI798" s="1116"/>
      <c r="AJ798" s="1116"/>
      <c r="AK798" s="1116"/>
    </row>
    <row r="799" spans="1:37" x14ac:dyDescent="0.35">
      <c r="A799" s="1116"/>
      <c r="B799" s="1116"/>
      <c r="C799" s="1116"/>
      <c r="D799" s="1116"/>
      <c r="E799" s="1116"/>
      <c r="F799" s="1116"/>
      <c r="G799" s="1116"/>
      <c r="H799" s="1116"/>
      <c r="I799" s="1116"/>
      <c r="J799" s="1116"/>
      <c r="K799" s="1116"/>
      <c r="L799" s="1116"/>
      <c r="M799" s="1116"/>
      <c r="N799" s="1116"/>
      <c r="O799" s="1116"/>
      <c r="P799" s="1116"/>
      <c r="Q799" s="1116"/>
      <c r="R799" s="1116"/>
      <c r="S799" s="1116"/>
      <c r="T799" s="1116"/>
      <c r="U799" s="1116"/>
      <c r="V799" s="1116"/>
      <c r="W799" s="1116"/>
      <c r="X799" s="1116"/>
      <c r="Y799" s="1116"/>
      <c r="Z799" s="1116"/>
      <c r="AA799" s="1116"/>
      <c r="AB799" s="1116"/>
      <c r="AC799" s="1116"/>
      <c r="AD799" s="1116"/>
      <c r="AE799" s="1116"/>
      <c r="AF799" s="1116"/>
      <c r="AG799" s="1116"/>
      <c r="AH799" s="1116"/>
      <c r="AI799" s="1116"/>
      <c r="AJ799" s="1116"/>
      <c r="AK799" s="1116"/>
    </row>
    <row r="800" spans="1:37" x14ac:dyDescent="0.35">
      <c r="A800" s="1116"/>
      <c r="B800" s="1116"/>
      <c r="C800" s="1116"/>
      <c r="D800" s="1116"/>
      <c r="E800" s="1116"/>
      <c r="F800" s="1116"/>
      <c r="G800" s="1116"/>
      <c r="H800" s="1116"/>
      <c r="I800" s="1116"/>
      <c r="J800" s="1116"/>
      <c r="K800" s="1116"/>
      <c r="L800" s="1116"/>
      <c r="M800" s="1116"/>
      <c r="N800" s="1116"/>
      <c r="O800" s="1116"/>
      <c r="P800" s="1116"/>
      <c r="Q800" s="1116"/>
      <c r="R800" s="1116"/>
      <c r="S800" s="1116"/>
      <c r="T800" s="1116"/>
      <c r="U800" s="1116"/>
      <c r="V800" s="1116"/>
      <c r="W800" s="1116"/>
      <c r="X800" s="1116"/>
      <c r="Y800" s="1116"/>
      <c r="Z800" s="1116"/>
      <c r="AA800" s="1116"/>
      <c r="AB800" s="1116"/>
      <c r="AC800" s="1116"/>
      <c r="AD800" s="1116"/>
      <c r="AE800" s="1116"/>
      <c r="AF800" s="1116"/>
      <c r="AG800" s="1116"/>
      <c r="AH800" s="1116"/>
      <c r="AI800" s="1116"/>
      <c r="AJ800" s="1116"/>
      <c r="AK800" s="1116"/>
    </row>
    <row r="801" spans="1:37" x14ac:dyDescent="0.35">
      <c r="A801" s="1116"/>
      <c r="B801" s="1116"/>
      <c r="C801" s="1116"/>
      <c r="D801" s="1116"/>
      <c r="E801" s="1116"/>
      <c r="F801" s="1116"/>
      <c r="G801" s="1116"/>
      <c r="H801" s="1116"/>
      <c r="I801" s="1116"/>
      <c r="J801" s="1116"/>
      <c r="K801" s="1116"/>
      <c r="L801" s="1116"/>
      <c r="M801" s="1116"/>
      <c r="N801" s="1116"/>
      <c r="O801" s="1116"/>
      <c r="P801" s="1116"/>
      <c r="Q801" s="1116"/>
      <c r="R801" s="1116"/>
      <c r="S801" s="1116"/>
      <c r="T801" s="1116"/>
      <c r="U801" s="1116"/>
      <c r="V801" s="1116"/>
      <c r="W801" s="1116"/>
      <c r="X801" s="1116"/>
      <c r="Y801" s="1116"/>
      <c r="Z801" s="1116"/>
      <c r="AA801" s="1116"/>
      <c r="AB801" s="1116"/>
      <c r="AC801" s="1116"/>
      <c r="AD801" s="1116"/>
      <c r="AE801" s="1116"/>
      <c r="AF801" s="1116"/>
      <c r="AG801" s="1116"/>
      <c r="AH801" s="1116"/>
      <c r="AI801" s="1116"/>
      <c r="AJ801" s="1116"/>
      <c r="AK801" s="1116"/>
    </row>
    <row r="802" spans="1:37" x14ac:dyDescent="0.35">
      <c r="A802" s="1116"/>
      <c r="B802" s="1116"/>
      <c r="C802" s="1116"/>
      <c r="D802" s="1116"/>
      <c r="E802" s="1116"/>
      <c r="F802" s="1116"/>
      <c r="G802" s="1116"/>
      <c r="H802" s="1116"/>
      <c r="I802" s="1116"/>
      <c r="J802" s="1116"/>
      <c r="K802" s="1116"/>
      <c r="L802" s="1116"/>
      <c r="M802" s="1116"/>
      <c r="N802" s="1116"/>
      <c r="O802" s="1116"/>
      <c r="P802" s="1116"/>
      <c r="Q802" s="1116"/>
      <c r="R802" s="1116"/>
      <c r="S802" s="1116"/>
      <c r="T802" s="1116"/>
      <c r="U802" s="1116"/>
      <c r="V802" s="1116"/>
      <c r="W802" s="1116"/>
      <c r="X802" s="1116"/>
      <c r="Y802" s="1116"/>
      <c r="Z802" s="1116"/>
      <c r="AA802" s="1116"/>
      <c r="AB802" s="1116"/>
      <c r="AC802" s="1116"/>
      <c r="AD802" s="1116"/>
      <c r="AE802" s="1116"/>
      <c r="AF802" s="1116"/>
      <c r="AG802" s="1116"/>
      <c r="AH802" s="1116"/>
      <c r="AI802" s="1116"/>
      <c r="AJ802" s="1116"/>
      <c r="AK802" s="1116"/>
    </row>
    <row r="803" spans="1:37" x14ac:dyDescent="0.35">
      <c r="A803" s="1116"/>
      <c r="B803" s="1116"/>
      <c r="C803" s="1116"/>
      <c r="D803" s="1116"/>
      <c r="E803" s="1116"/>
      <c r="F803" s="1116"/>
      <c r="G803" s="1116"/>
      <c r="H803" s="1116"/>
      <c r="I803" s="1116"/>
      <c r="J803" s="1116"/>
      <c r="K803" s="1116"/>
      <c r="L803" s="1116"/>
      <c r="M803" s="1116"/>
      <c r="N803" s="1116"/>
      <c r="O803" s="1116"/>
      <c r="P803" s="1116"/>
      <c r="Q803" s="1116"/>
      <c r="R803" s="1116"/>
      <c r="S803" s="1116"/>
      <c r="T803" s="1116"/>
      <c r="U803" s="1116"/>
      <c r="V803" s="1116"/>
      <c r="W803" s="1116"/>
      <c r="X803" s="1116"/>
      <c r="Y803" s="1116"/>
      <c r="Z803" s="1116"/>
      <c r="AA803" s="1116"/>
      <c r="AB803" s="1116"/>
      <c r="AC803" s="1116"/>
      <c r="AD803" s="1116"/>
      <c r="AE803" s="1116"/>
      <c r="AF803" s="1116"/>
      <c r="AG803" s="1116"/>
      <c r="AH803" s="1116"/>
      <c r="AI803" s="1116"/>
      <c r="AJ803" s="1116"/>
      <c r="AK803" s="1116"/>
    </row>
    <row r="804" spans="1:37" x14ac:dyDescent="0.35">
      <c r="A804" s="1116"/>
      <c r="B804" s="1116"/>
      <c r="C804" s="1116"/>
      <c r="D804" s="1116"/>
      <c r="E804" s="1116"/>
      <c r="F804" s="1116"/>
      <c r="G804" s="1116"/>
      <c r="H804" s="1116"/>
      <c r="I804" s="1116"/>
      <c r="J804" s="1116"/>
      <c r="K804" s="1116"/>
      <c r="L804" s="1116"/>
      <c r="M804" s="1116"/>
      <c r="N804" s="1116"/>
      <c r="O804" s="1116"/>
      <c r="P804" s="1116"/>
      <c r="Q804" s="1116"/>
      <c r="R804" s="1116"/>
      <c r="S804" s="1116"/>
      <c r="T804" s="1116"/>
      <c r="U804" s="1116"/>
      <c r="V804" s="1116"/>
      <c r="W804" s="1116"/>
      <c r="X804" s="1116"/>
      <c r="Y804" s="1116"/>
      <c r="Z804" s="1116"/>
      <c r="AA804" s="1116"/>
      <c r="AB804" s="1116"/>
      <c r="AC804" s="1116"/>
      <c r="AD804" s="1116"/>
      <c r="AE804" s="1116"/>
      <c r="AF804" s="1116"/>
      <c r="AG804" s="1116"/>
      <c r="AH804" s="1116"/>
      <c r="AI804" s="1116"/>
      <c r="AJ804" s="1116"/>
      <c r="AK804" s="1116"/>
    </row>
    <row r="805" spans="1:37" x14ac:dyDescent="0.35">
      <c r="A805" s="1116"/>
      <c r="B805" s="1116"/>
      <c r="C805" s="1116"/>
      <c r="D805" s="1116"/>
      <c r="E805" s="1116"/>
      <c r="F805" s="1116"/>
      <c r="G805" s="1116"/>
      <c r="H805" s="1116"/>
      <c r="I805" s="1116"/>
      <c r="J805" s="1116"/>
      <c r="K805" s="1116"/>
      <c r="L805" s="1116"/>
      <c r="M805" s="1116"/>
      <c r="N805" s="1116"/>
      <c r="O805" s="1116"/>
      <c r="P805" s="1116"/>
      <c r="Q805" s="1116"/>
      <c r="R805" s="1116"/>
      <c r="S805" s="1116"/>
      <c r="T805" s="1116"/>
      <c r="U805" s="1116"/>
      <c r="V805" s="1116"/>
      <c r="W805" s="1116"/>
      <c r="X805" s="1116"/>
      <c r="Y805" s="1116"/>
      <c r="Z805" s="1116"/>
      <c r="AA805" s="1116"/>
      <c r="AB805" s="1116"/>
      <c r="AC805" s="1116"/>
      <c r="AD805" s="1116"/>
      <c r="AE805" s="1116"/>
      <c r="AF805" s="1116"/>
      <c r="AG805" s="1116"/>
      <c r="AH805" s="1116"/>
      <c r="AI805" s="1116"/>
      <c r="AJ805" s="1116"/>
      <c r="AK805" s="1116"/>
    </row>
    <row r="806" spans="1:37" x14ac:dyDescent="0.35">
      <c r="A806" s="1116"/>
      <c r="B806" s="1116"/>
      <c r="C806" s="1116"/>
      <c r="D806" s="1116"/>
      <c r="E806" s="1116"/>
      <c r="F806" s="1116"/>
      <c r="G806" s="1116"/>
      <c r="H806" s="1116"/>
      <c r="I806" s="1116"/>
      <c r="J806" s="1116"/>
      <c r="K806" s="1116"/>
      <c r="L806" s="1116"/>
      <c r="M806" s="1116"/>
      <c r="N806" s="1116"/>
      <c r="O806" s="1116"/>
      <c r="P806" s="1116"/>
      <c r="Q806" s="1116"/>
      <c r="R806" s="1116"/>
      <c r="S806" s="1116"/>
      <c r="T806" s="1116"/>
      <c r="U806" s="1116"/>
      <c r="V806" s="1116"/>
      <c r="W806" s="1116"/>
      <c r="X806" s="1116"/>
      <c r="Y806" s="1116"/>
      <c r="Z806" s="1116"/>
      <c r="AA806" s="1116"/>
      <c r="AB806" s="1116"/>
      <c r="AC806" s="1116"/>
      <c r="AD806" s="1116"/>
      <c r="AE806" s="1116"/>
      <c r="AF806" s="1116"/>
      <c r="AG806" s="1116"/>
      <c r="AH806" s="1116"/>
      <c r="AI806" s="1116"/>
      <c r="AJ806" s="1116"/>
      <c r="AK806" s="1116"/>
    </row>
    <row r="807" spans="1:37" x14ac:dyDescent="0.35">
      <c r="A807" s="1116"/>
      <c r="B807" s="1116"/>
      <c r="C807" s="1116"/>
      <c r="D807" s="1116"/>
      <c r="E807" s="1116"/>
      <c r="F807" s="1116"/>
      <c r="G807" s="1116"/>
      <c r="H807" s="1116"/>
      <c r="I807" s="1116"/>
      <c r="J807" s="1116"/>
      <c r="K807" s="1116"/>
      <c r="L807" s="1116"/>
      <c r="M807" s="1116"/>
      <c r="N807" s="1116"/>
      <c r="O807" s="1116"/>
      <c r="P807" s="1116"/>
      <c r="Q807" s="1116"/>
      <c r="R807" s="1116"/>
      <c r="S807" s="1116"/>
      <c r="T807" s="1116"/>
      <c r="U807" s="1116"/>
      <c r="V807" s="1116"/>
      <c r="W807" s="1116"/>
      <c r="X807" s="1116"/>
      <c r="Y807" s="1116"/>
      <c r="Z807" s="1116"/>
      <c r="AA807" s="1116"/>
      <c r="AB807" s="1116"/>
      <c r="AC807" s="1116"/>
      <c r="AD807" s="1116"/>
      <c r="AE807" s="1116"/>
      <c r="AF807" s="1116"/>
      <c r="AG807" s="1116"/>
      <c r="AH807" s="1116"/>
      <c r="AI807" s="1116"/>
      <c r="AJ807" s="1116"/>
      <c r="AK807" s="1116"/>
    </row>
    <row r="808" spans="1:37" x14ac:dyDescent="0.35">
      <c r="A808" s="1116"/>
      <c r="B808" s="1116"/>
      <c r="C808" s="1116"/>
      <c r="D808" s="1116"/>
      <c r="E808" s="1116"/>
      <c r="F808" s="1116"/>
      <c r="G808" s="1116"/>
      <c r="H808" s="1116"/>
      <c r="I808" s="1116"/>
      <c r="J808" s="1116"/>
      <c r="K808" s="1116"/>
      <c r="L808" s="1116"/>
      <c r="M808" s="1116"/>
      <c r="N808" s="1116"/>
      <c r="O808" s="1116"/>
      <c r="P808" s="1116"/>
      <c r="Q808" s="1116"/>
      <c r="R808" s="1116"/>
      <c r="S808" s="1116"/>
      <c r="T808" s="1116"/>
      <c r="U808" s="1116"/>
      <c r="V808" s="1116"/>
      <c r="W808" s="1116"/>
      <c r="X808" s="1116"/>
      <c r="Y808" s="1116"/>
      <c r="Z808" s="1116"/>
      <c r="AA808" s="1116"/>
      <c r="AB808" s="1116"/>
      <c r="AC808" s="1116"/>
      <c r="AD808" s="1116"/>
      <c r="AE808" s="1116"/>
      <c r="AF808" s="1116"/>
      <c r="AG808" s="1116"/>
      <c r="AH808" s="1116"/>
      <c r="AI808" s="1116"/>
      <c r="AJ808" s="1116"/>
      <c r="AK808" s="1116"/>
    </row>
    <row r="809" spans="1:37" x14ac:dyDescent="0.35">
      <c r="A809" s="1116"/>
      <c r="B809" s="1116"/>
      <c r="C809" s="1116"/>
      <c r="D809" s="1116"/>
      <c r="E809" s="1116"/>
      <c r="F809" s="1116"/>
      <c r="G809" s="1116"/>
      <c r="H809" s="1116"/>
      <c r="I809" s="1116"/>
      <c r="J809" s="1116"/>
      <c r="K809" s="1116"/>
      <c r="L809" s="1116"/>
      <c r="M809" s="1116"/>
      <c r="N809" s="1116"/>
      <c r="O809" s="1116"/>
      <c r="P809" s="1116"/>
      <c r="Q809" s="1116"/>
      <c r="R809" s="1116"/>
      <c r="S809" s="1116"/>
      <c r="T809" s="1116"/>
      <c r="U809" s="1116"/>
      <c r="V809" s="1116"/>
      <c r="W809" s="1116"/>
      <c r="X809" s="1116"/>
      <c r="Y809" s="1116"/>
      <c r="Z809" s="1116"/>
      <c r="AA809" s="1116"/>
      <c r="AB809" s="1116"/>
      <c r="AC809" s="1116"/>
      <c r="AD809" s="1116"/>
      <c r="AE809" s="1116"/>
      <c r="AF809" s="1116"/>
      <c r="AG809" s="1116"/>
      <c r="AH809" s="1116"/>
      <c r="AI809" s="1116"/>
      <c r="AJ809" s="1116"/>
      <c r="AK809" s="1116"/>
    </row>
    <row r="810" spans="1:37" x14ac:dyDescent="0.35">
      <c r="A810" s="1116"/>
      <c r="B810" s="1116"/>
      <c r="C810" s="1116"/>
      <c r="D810" s="1116"/>
      <c r="E810" s="1116"/>
      <c r="F810" s="1116"/>
      <c r="G810" s="1116"/>
      <c r="H810" s="1116"/>
      <c r="I810" s="1116"/>
      <c r="J810" s="1116"/>
      <c r="K810" s="1116"/>
      <c r="L810" s="1116"/>
      <c r="M810" s="1116"/>
      <c r="N810" s="1116"/>
      <c r="O810" s="1116"/>
      <c r="P810" s="1116"/>
      <c r="Q810" s="1116"/>
      <c r="R810" s="1116"/>
      <c r="S810" s="1116"/>
      <c r="T810" s="1116"/>
      <c r="U810" s="1116"/>
      <c r="V810" s="1116"/>
      <c r="W810" s="1116"/>
      <c r="X810" s="1116"/>
      <c r="Y810" s="1116"/>
      <c r="Z810" s="1116"/>
      <c r="AA810" s="1116"/>
      <c r="AB810" s="1116"/>
      <c r="AC810" s="1116"/>
      <c r="AD810" s="1116"/>
      <c r="AE810" s="1116"/>
      <c r="AF810" s="1116"/>
      <c r="AG810" s="1116"/>
      <c r="AH810" s="1116"/>
      <c r="AI810" s="1116"/>
      <c r="AJ810" s="1116"/>
      <c r="AK810" s="1116"/>
    </row>
    <row r="811" spans="1:37" x14ac:dyDescent="0.35">
      <c r="A811" s="1116"/>
      <c r="B811" s="1116"/>
      <c r="C811" s="1116"/>
      <c r="D811" s="1116"/>
      <c r="E811" s="1116"/>
      <c r="F811" s="1116"/>
      <c r="G811" s="1116"/>
      <c r="H811" s="1116"/>
      <c r="I811" s="1116"/>
      <c r="J811" s="1116"/>
      <c r="K811" s="1116"/>
      <c r="L811" s="1116"/>
      <c r="M811" s="1116"/>
      <c r="N811" s="1116"/>
      <c r="O811" s="1116"/>
      <c r="P811" s="1116"/>
      <c r="Q811" s="1116"/>
      <c r="R811" s="1116"/>
      <c r="S811" s="1116"/>
      <c r="T811" s="1116"/>
      <c r="U811" s="1116"/>
      <c r="V811" s="1116"/>
      <c r="W811" s="1116"/>
      <c r="X811" s="1116"/>
      <c r="Y811" s="1116"/>
      <c r="Z811" s="1116"/>
      <c r="AA811" s="1116"/>
      <c r="AB811" s="1116"/>
      <c r="AC811" s="1116"/>
      <c r="AD811" s="1116"/>
      <c r="AE811" s="1116"/>
      <c r="AF811" s="1116"/>
      <c r="AG811" s="1116"/>
      <c r="AH811" s="1116"/>
      <c r="AI811" s="1116"/>
      <c r="AJ811" s="1116"/>
      <c r="AK811" s="1116"/>
    </row>
    <row r="812" spans="1:37" x14ac:dyDescent="0.35">
      <c r="A812" s="1116"/>
      <c r="B812" s="1116"/>
      <c r="C812" s="1116"/>
      <c r="D812" s="1116"/>
      <c r="E812" s="1116"/>
      <c r="F812" s="1116"/>
      <c r="G812" s="1116"/>
      <c r="H812" s="1116"/>
      <c r="I812" s="1116"/>
      <c r="J812" s="1116"/>
      <c r="K812" s="1116"/>
      <c r="L812" s="1116"/>
      <c r="M812" s="1116"/>
      <c r="N812" s="1116"/>
      <c r="O812" s="1116"/>
      <c r="P812" s="1116"/>
      <c r="Q812" s="1116"/>
      <c r="R812" s="1116"/>
      <c r="S812" s="1116"/>
      <c r="T812" s="1116"/>
      <c r="U812" s="1116"/>
      <c r="V812" s="1116"/>
      <c r="W812" s="1116"/>
      <c r="X812" s="1116"/>
      <c r="Y812" s="1116"/>
      <c r="Z812" s="1116"/>
      <c r="AA812" s="1116"/>
      <c r="AB812" s="1116"/>
      <c r="AC812" s="1116"/>
      <c r="AD812" s="1116"/>
      <c r="AE812" s="1116"/>
      <c r="AF812" s="1116"/>
      <c r="AG812" s="1116"/>
      <c r="AH812" s="1116"/>
      <c r="AI812" s="1116"/>
      <c r="AJ812" s="1116"/>
      <c r="AK812" s="1116"/>
    </row>
    <row r="813" spans="1:37" x14ac:dyDescent="0.35">
      <c r="A813" s="1116"/>
      <c r="B813" s="1116"/>
      <c r="C813" s="1116"/>
      <c r="D813" s="1116"/>
      <c r="E813" s="1116"/>
      <c r="F813" s="1116"/>
      <c r="G813" s="1116"/>
      <c r="H813" s="1116"/>
      <c r="I813" s="1116"/>
      <c r="J813" s="1116"/>
      <c r="K813" s="1116"/>
      <c r="L813" s="1116"/>
      <c r="M813" s="1116"/>
      <c r="N813" s="1116"/>
      <c r="O813" s="1116"/>
      <c r="P813" s="1116"/>
      <c r="Q813" s="1116"/>
      <c r="R813" s="1116"/>
      <c r="S813" s="1116"/>
      <c r="T813" s="1116"/>
      <c r="U813" s="1116"/>
      <c r="V813" s="1116"/>
      <c r="W813" s="1116"/>
      <c r="X813" s="1116"/>
      <c r="Y813" s="1116"/>
      <c r="Z813" s="1116"/>
      <c r="AA813" s="1116"/>
      <c r="AB813" s="1116"/>
      <c r="AC813" s="1116"/>
      <c r="AD813" s="1116"/>
      <c r="AE813" s="1116"/>
      <c r="AF813" s="1116"/>
      <c r="AG813" s="1116"/>
      <c r="AH813" s="1116"/>
      <c r="AI813" s="1116"/>
      <c r="AJ813" s="1116"/>
      <c r="AK813" s="1116"/>
    </row>
    <row r="814" spans="1:37" x14ac:dyDescent="0.35">
      <c r="A814" s="1116"/>
      <c r="B814" s="1116"/>
      <c r="C814" s="1116"/>
      <c r="D814" s="1116"/>
      <c r="E814" s="1116"/>
      <c r="F814" s="1116"/>
      <c r="G814" s="1116"/>
      <c r="H814" s="1116"/>
      <c r="I814" s="1116"/>
      <c r="J814" s="1116"/>
      <c r="K814" s="1116"/>
      <c r="L814" s="1116"/>
      <c r="M814" s="1116"/>
      <c r="N814" s="1116"/>
      <c r="O814" s="1116"/>
      <c r="P814" s="1116"/>
      <c r="Q814" s="1116"/>
      <c r="R814" s="1116"/>
      <c r="S814" s="1116"/>
      <c r="T814" s="1116"/>
      <c r="U814" s="1116"/>
      <c r="V814" s="1116"/>
      <c r="W814" s="1116"/>
      <c r="X814" s="1116"/>
      <c r="Y814" s="1116"/>
      <c r="Z814" s="1116"/>
      <c r="AA814" s="1116"/>
      <c r="AB814" s="1116"/>
      <c r="AC814" s="1116"/>
      <c r="AD814" s="1116"/>
      <c r="AE814" s="1116"/>
      <c r="AF814" s="1116"/>
      <c r="AG814" s="1116"/>
      <c r="AH814" s="1116"/>
      <c r="AI814" s="1116"/>
      <c r="AJ814" s="1116"/>
      <c r="AK814" s="1116"/>
    </row>
    <row r="815" spans="1:37" x14ac:dyDescent="0.35">
      <c r="A815" s="1116"/>
      <c r="B815" s="1116"/>
      <c r="C815" s="1116"/>
      <c r="D815" s="1116"/>
      <c r="E815" s="1116"/>
      <c r="F815" s="1116"/>
      <c r="G815" s="1116"/>
      <c r="H815" s="1116"/>
      <c r="I815" s="1116"/>
      <c r="J815" s="1116"/>
      <c r="K815" s="1116"/>
      <c r="L815" s="1116"/>
      <c r="M815" s="1116"/>
      <c r="N815" s="1116"/>
      <c r="O815" s="1116"/>
      <c r="P815" s="1116"/>
      <c r="Q815" s="1116"/>
      <c r="R815" s="1116"/>
      <c r="S815" s="1116"/>
      <c r="T815" s="1116"/>
      <c r="U815" s="1116"/>
      <c r="V815" s="1116"/>
      <c r="W815" s="1116"/>
      <c r="X815" s="1116"/>
      <c r="Y815" s="1116"/>
      <c r="Z815" s="1116"/>
      <c r="AA815" s="1116"/>
      <c r="AB815" s="1116"/>
      <c r="AC815" s="1116"/>
      <c r="AD815" s="1116"/>
      <c r="AE815" s="1116"/>
      <c r="AF815" s="1116"/>
      <c r="AG815" s="1116"/>
      <c r="AH815" s="1116"/>
      <c r="AI815" s="1116"/>
      <c r="AJ815" s="1116"/>
      <c r="AK815" s="1116"/>
    </row>
    <row r="816" spans="1:37" x14ac:dyDescent="0.35">
      <c r="A816" s="1116"/>
      <c r="B816" s="1116"/>
      <c r="C816" s="1116"/>
      <c r="D816" s="1116"/>
      <c r="E816" s="1116"/>
      <c r="F816" s="1116"/>
      <c r="G816" s="1116"/>
      <c r="H816" s="1116"/>
      <c r="I816" s="1116"/>
      <c r="J816" s="1116"/>
      <c r="K816" s="1116"/>
      <c r="L816" s="1116"/>
      <c r="M816" s="1116"/>
      <c r="N816" s="1116"/>
      <c r="O816" s="1116"/>
      <c r="P816" s="1116"/>
      <c r="Q816" s="1116"/>
      <c r="R816" s="1116"/>
      <c r="S816" s="1116"/>
      <c r="T816" s="1116"/>
      <c r="U816" s="1116"/>
      <c r="V816" s="1116"/>
      <c r="W816" s="1116"/>
      <c r="X816" s="1116"/>
      <c r="Y816" s="1116"/>
      <c r="Z816" s="1116"/>
      <c r="AA816" s="1116"/>
      <c r="AB816" s="1116"/>
      <c r="AC816" s="1116"/>
      <c r="AD816" s="1116"/>
      <c r="AE816" s="1116"/>
      <c r="AF816" s="1116"/>
      <c r="AG816" s="1116"/>
      <c r="AH816" s="1116"/>
      <c r="AI816" s="1116"/>
      <c r="AJ816" s="1116"/>
      <c r="AK816" s="1116"/>
    </row>
    <row r="817" spans="1:37" x14ac:dyDescent="0.35">
      <c r="A817" s="1116"/>
      <c r="B817" s="1116"/>
      <c r="C817" s="1116"/>
      <c r="D817" s="1116"/>
      <c r="E817" s="1116"/>
      <c r="F817" s="1116"/>
      <c r="G817" s="1116"/>
      <c r="H817" s="1116"/>
      <c r="I817" s="1116"/>
      <c r="J817" s="1116"/>
      <c r="K817" s="1116"/>
      <c r="L817" s="1116"/>
      <c r="M817" s="1116"/>
      <c r="N817" s="1116"/>
      <c r="O817" s="1116"/>
      <c r="P817" s="1116"/>
      <c r="Q817" s="1116"/>
      <c r="R817" s="1116"/>
      <c r="S817" s="1116"/>
      <c r="T817" s="1116"/>
      <c r="U817" s="1116"/>
      <c r="V817" s="1116"/>
      <c r="W817" s="1116"/>
      <c r="X817" s="1116"/>
      <c r="Y817" s="1116"/>
      <c r="Z817" s="1116"/>
      <c r="AA817" s="1116"/>
      <c r="AB817" s="1116"/>
      <c r="AC817" s="1116"/>
      <c r="AD817" s="1116"/>
      <c r="AE817" s="1116"/>
      <c r="AF817" s="1116"/>
      <c r="AG817" s="1116"/>
      <c r="AH817" s="1116"/>
      <c r="AI817" s="1116"/>
      <c r="AJ817" s="1116"/>
      <c r="AK817" s="1116"/>
    </row>
    <row r="818" spans="1:37" x14ac:dyDescent="0.35">
      <c r="A818" s="1116"/>
      <c r="B818" s="1116"/>
      <c r="C818" s="1116"/>
      <c r="D818" s="1116"/>
      <c r="E818" s="1116"/>
      <c r="F818" s="1116"/>
      <c r="G818" s="1116"/>
      <c r="H818" s="1116"/>
      <c r="I818" s="1116"/>
      <c r="J818" s="1116"/>
      <c r="K818" s="1116"/>
      <c r="L818" s="1116"/>
      <c r="M818" s="1116"/>
      <c r="N818" s="1116"/>
      <c r="O818" s="1116"/>
      <c r="P818" s="1116"/>
      <c r="Q818" s="1116"/>
      <c r="R818" s="1116"/>
      <c r="S818" s="1116"/>
      <c r="T818" s="1116"/>
      <c r="U818" s="1116"/>
      <c r="V818" s="1116"/>
      <c r="W818" s="1116"/>
      <c r="X818" s="1116"/>
      <c r="Y818" s="1116"/>
      <c r="Z818" s="1116"/>
      <c r="AA818" s="1116"/>
      <c r="AB818" s="1116"/>
      <c r="AC818" s="1116"/>
      <c r="AD818" s="1116"/>
      <c r="AE818" s="1116"/>
      <c r="AF818" s="1116"/>
      <c r="AG818" s="1116"/>
      <c r="AH818" s="1116"/>
      <c r="AI818" s="1116"/>
      <c r="AJ818" s="1116"/>
      <c r="AK818" s="1116"/>
    </row>
    <row r="819" spans="1:37" x14ac:dyDescent="0.35">
      <c r="A819" s="1116"/>
      <c r="B819" s="1116"/>
      <c r="C819" s="1116"/>
      <c r="D819" s="1116"/>
      <c r="E819" s="1116"/>
      <c r="F819" s="1116"/>
      <c r="G819" s="1116"/>
      <c r="H819" s="1116"/>
      <c r="I819" s="1116"/>
      <c r="J819" s="1116"/>
      <c r="K819" s="1116"/>
      <c r="L819" s="1116"/>
      <c r="M819" s="1116"/>
      <c r="N819" s="1116"/>
      <c r="O819" s="1116"/>
      <c r="P819" s="1116"/>
      <c r="Q819" s="1116"/>
      <c r="R819" s="1116"/>
      <c r="S819" s="1116"/>
      <c r="T819" s="1116"/>
      <c r="U819" s="1116"/>
      <c r="V819" s="1116"/>
      <c r="W819" s="1116"/>
      <c r="X819" s="1116"/>
      <c r="Y819" s="1116"/>
      <c r="Z819" s="1116"/>
      <c r="AA819" s="1116"/>
      <c r="AB819" s="1116"/>
      <c r="AC819" s="1116"/>
      <c r="AD819" s="1116"/>
      <c r="AE819" s="1116"/>
      <c r="AF819" s="1116"/>
      <c r="AG819" s="1116"/>
      <c r="AH819" s="1116"/>
      <c r="AI819" s="1116"/>
      <c r="AJ819" s="1116"/>
      <c r="AK819" s="1116"/>
    </row>
    <row r="820" spans="1:37" x14ac:dyDescent="0.35">
      <c r="A820" s="1116"/>
      <c r="B820" s="1116"/>
      <c r="C820" s="1116"/>
      <c r="D820" s="1116"/>
      <c r="E820" s="1116"/>
      <c r="F820" s="1116"/>
      <c r="G820" s="1116"/>
      <c r="H820" s="1116"/>
      <c r="I820" s="1116"/>
      <c r="J820" s="1116"/>
      <c r="K820" s="1116"/>
      <c r="L820" s="1116"/>
      <c r="M820" s="1116"/>
      <c r="N820" s="1116"/>
      <c r="O820" s="1116"/>
      <c r="P820" s="1116"/>
      <c r="Q820" s="1116"/>
      <c r="R820" s="1116"/>
      <c r="S820" s="1116"/>
      <c r="T820" s="1116"/>
      <c r="U820" s="1116"/>
      <c r="V820" s="1116"/>
      <c r="W820" s="1116"/>
      <c r="X820" s="1116"/>
      <c r="Y820" s="1116"/>
      <c r="Z820" s="1116"/>
      <c r="AA820" s="1116"/>
      <c r="AB820" s="1116"/>
      <c r="AC820" s="1116"/>
      <c r="AD820" s="1116"/>
      <c r="AE820" s="1116"/>
      <c r="AF820" s="1116"/>
      <c r="AG820" s="1116"/>
      <c r="AH820" s="1116"/>
      <c r="AI820" s="1116"/>
      <c r="AJ820" s="1116"/>
      <c r="AK820" s="1116"/>
    </row>
    <row r="821" spans="1:37" x14ac:dyDescent="0.35">
      <c r="A821" s="1116"/>
      <c r="B821" s="1116"/>
      <c r="C821" s="1116"/>
      <c r="D821" s="1116"/>
      <c r="E821" s="1116"/>
      <c r="F821" s="1116"/>
      <c r="G821" s="1116"/>
      <c r="H821" s="1116"/>
      <c r="I821" s="1116"/>
      <c r="J821" s="1116"/>
      <c r="K821" s="1116"/>
      <c r="L821" s="1116"/>
      <c r="M821" s="1116"/>
      <c r="N821" s="1116"/>
      <c r="O821" s="1116"/>
      <c r="P821" s="1116"/>
      <c r="Q821" s="1116"/>
      <c r="R821" s="1116"/>
      <c r="S821" s="1116"/>
      <c r="T821" s="1116"/>
      <c r="U821" s="1116"/>
      <c r="V821" s="1116"/>
      <c r="W821" s="1116"/>
      <c r="X821" s="1116"/>
      <c r="Y821" s="1116"/>
      <c r="Z821" s="1116"/>
      <c r="AA821" s="1116"/>
      <c r="AB821" s="1116"/>
      <c r="AC821" s="1116"/>
      <c r="AD821" s="1116"/>
      <c r="AE821" s="1116"/>
      <c r="AF821" s="1116"/>
      <c r="AG821" s="1116"/>
      <c r="AH821" s="1116"/>
      <c r="AI821" s="1116"/>
      <c r="AJ821" s="1116"/>
      <c r="AK821" s="1116"/>
    </row>
    <row r="822" spans="1:37" x14ac:dyDescent="0.35">
      <c r="A822" s="1116"/>
      <c r="B822" s="1116"/>
      <c r="C822" s="1116"/>
      <c r="D822" s="1116"/>
      <c r="E822" s="1116"/>
      <c r="F822" s="1116"/>
      <c r="G822" s="1116"/>
      <c r="H822" s="1116"/>
      <c r="I822" s="1116"/>
      <c r="J822" s="1116"/>
      <c r="K822" s="1116"/>
      <c r="L822" s="1116"/>
      <c r="M822" s="1116"/>
      <c r="N822" s="1116"/>
      <c r="O822" s="1116"/>
      <c r="P822" s="1116"/>
      <c r="Q822" s="1116"/>
      <c r="R822" s="1116"/>
      <c r="S822" s="1116"/>
      <c r="T822" s="1116"/>
      <c r="U822" s="1116"/>
      <c r="V822" s="1116"/>
      <c r="W822" s="1116"/>
      <c r="X822" s="1116"/>
      <c r="Y822" s="1116"/>
      <c r="Z822" s="1116"/>
      <c r="AA822" s="1116"/>
      <c r="AB822" s="1116"/>
      <c r="AC822" s="1116"/>
      <c r="AD822" s="1116"/>
      <c r="AE822" s="1116"/>
      <c r="AF822" s="1116"/>
      <c r="AG822" s="1116"/>
      <c r="AH822" s="1116"/>
      <c r="AI822" s="1116"/>
      <c r="AJ822" s="1116"/>
      <c r="AK822" s="1116"/>
    </row>
    <row r="823" spans="1:37" x14ac:dyDescent="0.35">
      <c r="A823" s="1116"/>
      <c r="B823" s="1116"/>
      <c r="C823" s="1116"/>
      <c r="D823" s="1116"/>
      <c r="E823" s="1116"/>
      <c r="F823" s="1116"/>
      <c r="G823" s="1116"/>
      <c r="H823" s="1116"/>
      <c r="I823" s="1116"/>
      <c r="J823" s="1116"/>
      <c r="K823" s="1116"/>
      <c r="L823" s="1116"/>
      <c r="M823" s="1116"/>
      <c r="N823" s="1116"/>
      <c r="O823" s="1116"/>
      <c r="P823" s="1116"/>
      <c r="Q823" s="1116"/>
      <c r="R823" s="1116"/>
      <c r="S823" s="1116"/>
      <c r="T823" s="1116"/>
      <c r="U823" s="1116"/>
      <c r="V823" s="1116"/>
      <c r="W823" s="1116"/>
      <c r="X823" s="1116"/>
      <c r="Y823" s="1116"/>
      <c r="Z823" s="1116"/>
      <c r="AA823" s="1116"/>
      <c r="AB823" s="1116"/>
      <c r="AC823" s="1116"/>
      <c r="AD823" s="1116"/>
      <c r="AE823" s="1116"/>
      <c r="AF823" s="1116"/>
      <c r="AG823" s="1116"/>
      <c r="AH823" s="1116"/>
      <c r="AI823" s="1116"/>
      <c r="AJ823" s="1116"/>
      <c r="AK823" s="1116"/>
    </row>
    <row r="824" spans="1:37" x14ac:dyDescent="0.35">
      <c r="A824" s="1116"/>
      <c r="B824" s="1116"/>
      <c r="C824" s="1116"/>
      <c r="D824" s="1116"/>
      <c r="E824" s="1116"/>
      <c r="F824" s="1116"/>
      <c r="G824" s="1116"/>
      <c r="H824" s="1116"/>
      <c r="I824" s="1116"/>
      <c r="J824" s="1116"/>
      <c r="K824" s="1116"/>
      <c r="L824" s="1116"/>
      <c r="M824" s="1116"/>
      <c r="N824" s="1116"/>
      <c r="O824" s="1116"/>
      <c r="P824" s="1116"/>
      <c r="Q824" s="1116"/>
      <c r="R824" s="1116"/>
      <c r="S824" s="1116"/>
      <c r="T824" s="1116"/>
      <c r="U824" s="1116"/>
      <c r="V824" s="1116"/>
      <c r="W824" s="1116"/>
      <c r="X824" s="1116"/>
      <c r="Y824" s="1116"/>
      <c r="Z824" s="1116"/>
      <c r="AA824" s="1116"/>
      <c r="AB824" s="1116"/>
      <c r="AC824" s="1116"/>
      <c r="AD824" s="1116"/>
      <c r="AE824" s="1116"/>
      <c r="AF824" s="1116"/>
      <c r="AG824" s="1116"/>
      <c r="AH824" s="1116"/>
      <c r="AI824" s="1116"/>
      <c r="AJ824" s="1116"/>
      <c r="AK824" s="1116"/>
    </row>
    <row r="825" spans="1:37" x14ac:dyDescent="0.35">
      <c r="A825" s="1116"/>
      <c r="B825" s="1116"/>
      <c r="C825" s="1116"/>
      <c r="D825" s="1116"/>
      <c r="E825" s="1116"/>
      <c r="F825" s="1116"/>
      <c r="G825" s="1116"/>
      <c r="H825" s="1116"/>
      <c r="I825" s="1116"/>
      <c r="J825" s="1116"/>
      <c r="K825" s="1116"/>
      <c r="L825" s="1116"/>
      <c r="M825" s="1116"/>
      <c r="N825" s="1116"/>
      <c r="O825" s="1116"/>
      <c r="P825" s="1116"/>
      <c r="Q825" s="1116"/>
      <c r="R825" s="1116"/>
      <c r="S825" s="1116"/>
      <c r="T825" s="1116"/>
      <c r="U825" s="1116"/>
      <c r="V825" s="1116"/>
      <c r="W825" s="1116"/>
      <c r="X825" s="1116"/>
      <c r="Y825" s="1116"/>
      <c r="Z825" s="1116"/>
      <c r="AA825" s="1116"/>
      <c r="AB825" s="1116"/>
      <c r="AC825" s="1116"/>
      <c r="AD825" s="1116"/>
      <c r="AE825" s="1116"/>
      <c r="AF825" s="1116"/>
      <c r="AG825" s="1116"/>
      <c r="AH825" s="1116"/>
      <c r="AI825" s="1116"/>
      <c r="AJ825" s="1116"/>
      <c r="AK825" s="1116"/>
    </row>
    <row r="826" spans="1:37" x14ac:dyDescent="0.35">
      <c r="A826" s="1116"/>
      <c r="B826" s="1116"/>
      <c r="C826" s="1116"/>
      <c r="D826" s="1116"/>
      <c r="E826" s="1116"/>
      <c r="F826" s="1116"/>
      <c r="G826" s="1116"/>
      <c r="H826" s="1116"/>
      <c r="I826" s="1116"/>
      <c r="J826" s="1116"/>
      <c r="K826" s="1116"/>
      <c r="L826" s="1116"/>
      <c r="M826" s="1116"/>
      <c r="N826" s="1116"/>
      <c r="O826" s="1116"/>
      <c r="P826" s="1116"/>
      <c r="Q826" s="1116"/>
      <c r="R826" s="1116"/>
      <c r="S826" s="1116"/>
      <c r="T826" s="1116"/>
      <c r="U826" s="1116"/>
      <c r="V826" s="1116"/>
      <c r="W826" s="1116"/>
      <c r="X826" s="1116"/>
      <c r="Y826" s="1116"/>
      <c r="Z826" s="1116"/>
      <c r="AA826" s="1116"/>
      <c r="AB826" s="1116"/>
      <c r="AC826" s="1116"/>
      <c r="AD826" s="1116"/>
      <c r="AE826" s="1116"/>
      <c r="AF826" s="1116"/>
      <c r="AG826" s="1116"/>
      <c r="AH826" s="1116"/>
      <c r="AI826" s="1116"/>
      <c r="AJ826" s="1116"/>
      <c r="AK826" s="1116"/>
    </row>
    <row r="827" spans="1:37" x14ac:dyDescent="0.35">
      <c r="A827" s="1116"/>
      <c r="B827" s="1116"/>
      <c r="C827" s="1116"/>
      <c r="D827" s="1116"/>
      <c r="E827" s="1116"/>
      <c r="F827" s="1116"/>
      <c r="G827" s="1116"/>
      <c r="H827" s="1116"/>
      <c r="I827" s="1116"/>
      <c r="J827" s="1116"/>
      <c r="K827" s="1116"/>
      <c r="L827" s="1116"/>
      <c r="M827" s="1116"/>
      <c r="N827" s="1116"/>
      <c r="O827" s="1116"/>
      <c r="P827" s="1116"/>
      <c r="Q827" s="1116"/>
      <c r="R827" s="1116"/>
      <c r="S827" s="1116"/>
      <c r="T827" s="1116"/>
      <c r="U827" s="1116"/>
      <c r="V827" s="1116"/>
      <c r="W827" s="1116"/>
      <c r="X827" s="1116"/>
      <c r="Y827" s="1116"/>
      <c r="Z827" s="1116"/>
      <c r="AA827" s="1116"/>
      <c r="AB827" s="1116"/>
      <c r="AC827" s="1116"/>
      <c r="AD827" s="1116"/>
      <c r="AE827" s="1116"/>
      <c r="AF827" s="1116"/>
      <c r="AG827" s="1116"/>
      <c r="AH827" s="1116"/>
      <c r="AI827" s="1116"/>
      <c r="AJ827" s="1116"/>
      <c r="AK827" s="1116"/>
    </row>
    <row r="828" spans="1:37" x14ac:dyDescent="0.35">
      <c r="A828" s="1116"/>
      <c r="B828" s="1116"/>
      <c r="C828" s="1116"/>
      <c r="D828" s="1116"/>
      <c r="E828" s="1116"/>
      <c r="F828" s="1116"/>
      <c r="G828" s="1116"/>
      <c r="H828" s="1116"/>
      <c r="I828" s="1116"/>
      <c r="J828" s="1116"/>
      <c r="K828" s="1116"/>
      <c r="L828" s="1116"/>
      <c r="M828" s="1116"/>
      <c r="N828" s="1116"/>
      <c r="O828" s="1116"/>
      <c r="P828" s="1116"/>
      <c r="Q828" s="1116"/>
      <c r="R828" s="1116"/>
      <c r="S828" s="1116"/>
      <c r="T828" s="1116"/>
      <c r="U828" s="1116"/>
      <c r="V828" s="1116"/>
      <c r="W828" s="1116"/>
      <c r="X828" s="1116"/>
      <c r="Y828" s="1116"/>
      <c r="Z828" s="1116"/>
      <c r="AA828" s="1116"/>
      <c r="AB828" s="1116"/>
      <c r="AC828" s="1116"/>
      <c r="AD828" s="1116"/>
      <c r="AE828" s="1116"/>
      <c r="AF828" s="1116"/>
      <c r="AG828" s="1116"/>
      <c r="AH828" s="1116"/>
      <c r="AI828" s="1116"/>
      <c r="AJ828" s="1116"/>
      <c r="AK828" s="1116"/>
    </row>
    <row r="829" spans="1:37" x14ac:dyDescent="0.35">
      <c r="A829" s="1116"/>
      <c r="B829" s="1116"/>
      <c r="C829" s="1116"/>
      <c r="D829" s="1116"/>
      <c r="E829" s="1116"/>
      <c r="F829" s="1116"/>
      <c r="G829" s="1116"/>
      <c r="H829" s="1116"/>
      <c r="I829" s="1116"/>
      <c r="J829" s="1116"/>
      <c r="K829" s="1116"/>
      <c r="L829" s="1116"/>
      <c r="M829" s="1116"/>
      <c r="N829" s="1116"/>
      <c r="O829" s="1116"/>
      <c r="P829" s="1116"/>
      <c r="Q829" s="1116"/>
      <c r="R829" s="1116"/>
      <c r="S829" s="1116"/>
      <c r="T829" s="1116"/>
      <c r="U829" s="1116"/>
      <c r="V829" s="1116"/>
      <c r="W829" s="1116"/>
      <c r="X829" s="1116"/>
      <c r="Y829" s="1116"/>
      <c r="Z829" s="1116"/>
      <c r="AA829" s="1116"/>
      <c r="AB829" s="1116"/>
      <c r="AC829" s="1116"/>
      <c r="AD829" s="1116"/>
      <c r="AE829" s="1116"/>
      <c r="AF829" s="1116"/>
      <c r="AG829" s="1116"/>
      <c r="AH829" s="1116"/>
      <c r="AI829" s="1116"/>
      <c r="AJ829" s="1116"/>
      <c r="AK829" s="1116"/>
    </row>
    <row r="830" spans="1:37" x14ac:dyDescent="0.35">
      <c r="A830" s="1116"/>
      <c r="B830" s="1116"/>
      <c r="C830" s="1116"/>
      <c r="D830" s="1116"/>
      <c r="E830" s="1116"/>
      <c r="F830" s="1116"/>
      <c r="G830" s="1116"/>
      <c r="H830" s="1116"/>
      <c r="I830" s="1116"/>
      <c r="J830" s="1116"/>
      <c r="K830" s="1116"/>
      <c r="L830" s="1116"/>
      <c r="M830" s="1116"/>
      <c r="N830" s="1116"/>
      <c r="O830" s="1116"/>
      <c r="P830" s="1116"/>
      <c r="Q830" s="1116"/>
      <c r="R830" s="1116"/>
      <c r="S830" s="1116"/>
      <c r="T830" s="1116"/>
      <c r="U830" s="1116"/>
      <c r="V830" s="1116"/>
      <c r="W830" s="1116"/>
      <c r="X830" s="1116"/>
      <c r="Y830" s="1116"/>
      <c r="Z830" s="1116"/>
      <c r="AA830" s="1116"/>
      <c r="AB830" s="1116"/>
      <c r="AC830" s="1116"/>
      <c r="AD830" s="1116"/>
      <c r="AE830" s="1116"/>
      <c r="AF830" s="1116"/>
      <c r="AG830" s="1116"/>
      <c r="AH830" s="1116"/>
      <c r="AI830" s="1116"/>
      <c r="AJ830" s="1116"/>
      <c r="AK830" s="1116"/>
    </row>
    <row r="831" spans="1:37" x14ac:dyDescent="0.35">
      <c r="A831" s="1116"/>
      <c r="B831" s="1116"/>
      <c r="C831" s="1116"/>
      <c r="D831" s="1116"/>
      <c r="E831" s="1116"/>
      <c r="F831" s="1116"/>
      <c r="G831" s="1116"/>
      <c r="H831" s="1116"/>
      <c r="I831" s="1116"/>
      <c r="J831" s="1116"/>
      <c r="K831" s="1116"/>
      <c r="L831" s="1116"/>
      <c r="M831" s="1116"/>
      <c r="N831" s="1116"/>
      <c r="O831" s="1116"/>
      <c r="P831" s="1116"/>
      <c r="Q831" s="1116"/>
      <c r="R831" s="1116"/>
      <c r="S831" s="1116"/>
      <c r="T831" s="1116"/>
      <c r="U831" s="1116"/>
      <c r="V831" s="1116"/>
      <c r="W831" s="1116"/>
      <c r="X831" s="1116"/>
      <c r="Y831" s="1116"/>
      <c r="Z831" s="1116"/>
      <c r="AA831" s="1116"/>
      <c r="AB831" s="1116"/>
      <c r="AC831" s="1116"/>
      <c r="AD831" s="1116"/>
      <c r="AE831" s="1116"/>
      <c r="AF831" s="1116"/>
      <c r="AG831" s="1116"/>
      <c r="AH831" s="1116"/>
      <c r="AI831" s="1116"/>
      <c r="AJ831" s="1116"/>
      <c r="AK831" s="1116"/>
    </row>
    <row r="832" spans="1:37" x14ac:dyDescent="0.35">
      <c r="A832" s="1116"/>
      <c r="B832" s="1116"/>
      <c r="C832" s="1116"/>
      <c r="D832" s="1116"/>
      <c r="E832" s="1116"/>
      <c r="F832" s="1116"/>
      <c r="G832" s="1116"/>
      <c r="H832" s="1116"/>
      <c r="I832" s="1116"/>
      <c r="J832" s="1116"/>
      <c r="K832" s="1116"/>
      <c r="L832" s="1116"/>
      <c r="M832" s="1116"/>
      <c r="N832" s="1116"/>
      <c r="O832" s="1116"/>
      <c r="P832" s="1116"/>
      <c r="Q832" s="1116"/>
      <c r="R832" s="1116"/>
      <c r="S832" s="1116"/>
      <c r="T832" s="1116"/>
      <c r="U832" s="1116"/>
      <c r="V832" s="1116"/>
      <c r="W832" s="1116"/>
      <c r="X832" s="1116"/>
      <c r="Y832" s="1116"/>
      <c r="Z832" s="1116"/>
      <c r="AA832" s="1116"/>
      <c r="AB832" s="1116"/>
      <c r="AC832" s="1116"/>
      <c r="AD832" s="1116"/>
      <c r="AE832" s="1116"/>
      <c r="AF832" s="1116"/>
      <c r="AG832" s="1116"/>
      <c r="AH832" s="1116"/>
      <c r="AI832" s="1116"/>
      <c r="AJ832" s="1116"/>
      <c r="AK832" s="1116"/>
    </row>
    <row r="833" spans="1:37" x14ac:dyDescent="0.35">
      <c r="A833" s="1116"/>
      <c r="B833" s="1116"/>
      <c r="C833" s="1116"/>
      <c r="D833" s="1116"/>
      <c r="E833" s="1116"/>
      <c r="F833" s="1116"/>
      <c r="G833" s="1116"/>
      <c r="H833" s="1116"/>
      <c r="I833" s="1116"/>
      <c r="J833" s="1116"/>
      <c r="K833" s="1116"/>
      <c r="L833" s="1116"/>
      <c r="M833" s="1116"/>
      <c r="N833" s="1116"/>
      <c r="O833" s="1116"/>
      <c r="P833" s="1116"/>
      <c r="Q833" s="1116"/>
      <c r="R833" s="1116"/>
      <c r="S833" s="1116"/>
      <c r="T833" s="1116"/>
      <c r="U833" s="1116"/>
      <c r="V833" s="1116"/>
      <c r="W833" s="1116"/>
      <c r="X833" s="1116"/>
      <c r="Y833" s="1116"/>
      <c r="Z833" s="1116"/>
      <c r="AA833" s="1116"/>
      <c r="AB833" s="1116"/>
      <c r="AC833" s="1116"/>
      <c r="AD833" s="1116"/>
      <c r="AE833" s="1116"/>
      <c r="AF833" s="1116"/>
      <c r="AG833" s="1116"/>
      <c r="AH833" s="1116"/>
      <c r="AI833" s="1116"/>
      <c r="AJ833" s="1116"/>
      <c r="AK833" s="1116"/>
    </row>
    <row r="834" spans="1:37" x14ac:dyDescent="0.35">
      <c r="A834" s="1116"/>
      <c r="B834" s="1116"/>
      <c r="C834" s="1116"/>
      <c r="D834" s="1116"/>
      <c r="E834" s="1116"/>
      <c r="F834" s="1116"/>
      <c r="G834" s="1116"/>
      <c r="H834" s="1116"/>
      <c r="I834" s="1116"/>
      <c r="J834" s="1116"/>
      <c r="K834" s="1116"/>
      <c r="L834" s="1116"/>
      <c r="M834" s="1116"/>
      <c r="N834" s="1116"/>
      <c r="O834" s="1116"/>
      <c r="P834" s="1116"/>
      <c r="Q834" s="1116"/>
      <c r="R834" s="1116"/>
      <c r="S834" s="1116"/>
      <c r="T834" s="1116"/>
      <c r="U834" s="1116"/>
      <c r="V834" s="1116"/>
      <c r="W834" s="1116"/>
      <c r="X834" s="1116"/>
      <c r="Y834" s="1116"/>
      <c r="Z834" s="1116"/>
      <c r="AA834" s="1116"/>
      <c r="AB834" s="1116"/>
      <c r="AC834" s="1116"/>
      <c r="AD834" s="1116"/>
      <c r="AE834" s="1116"/>
      <c r="AF834" s="1116"/>
      <c r="AG834" s="1116"/>
      <c r="AH834" s="1116"/>
      <c r="AI834" s="1116"/>
      <c r="AJ834" s="1116"/>
      <c r="AK834" s="1116"/>
    </row>
    <row r="835" spans="1:37" x14ac:dyDescent="0.35">
      <c r="A835" s="1116"/>
      <c r="B835" s="1116"/>
      <c r="C835" s="1116"/>
      <c r="D835" s="1116"/>
      <c r="E835" s="1116"/>
      <c r="F835" s="1116"/>
      <c r="G835" s="1116"/>
      <c r="H835" s="1116"/>
      <c r="I835" s="1116"/>
      <c r="J835" s="1116"/>
      <c r="K835" s="1116"/>
      <c r="L835" s="1116"/>
      <c r="M835" s="1116"/>
      <c r="N835" s="1116"/>
      <c r="O835" s="1116"/>
      <c r="P835" s="1116"/>
      <c r="Q835" s="1116"/>
      <c r="R835" s="1116"/>
      <c r="S835" s="1116"/>
      <c r="T835" s="1116"/>
      <c r="U835" s="1116"/>
      <c r="V835" s="1116"/>
      <c r="W835" s="1116"/>
      <c r="X835" s="1116"/>
      <c r="Y835" s="1116"/>
      <c r="Z835" s="1116"/>
      <c r="AA835" s="1116"/>
      <c r="AB835" s="1116"/>
      <c r="AC835" s="1116"/>
      <c r="AD835" s="1116"/>
      <c r="AE835" s="1116"/>
      <c r="AF835" s="1116"/>
      <c r="AG835" s="1116"/>
      <c r="AH835" s="1116"/>
      <c r="AI835" s="1116"/>
      <c r="AJ835" s="1116"/>
      <c r="AK835" s="1116"/>
    </row>
    <row r="836" spans="1:37" x14ac:dyDescent="0.35">
      <c r="A836" s="1116"/>
      <c r="B836" s="1116"/>
      <c r="C836" s="1116"/>
      <c r="D836" s="1116"/>
      <c r="E836" s="1116"/>
      <c r="F836" s="1116"/>
      <c r="G836" s="1116"/>
      <c r="H836" s="1116"/>
      <c r="I836" s="1116"/>
      <c r="J836" s="1116"/>
      <c r="K836" s="1116"/>
      <c r="L836" s="1116"/>
      <c r="M836" s="1116"/>
      <c r="N836" s="1116"/>
      <c r="O836" s="1116"/>
      <c r="P836" s="1116"/>
      <c r="Q836" s="1116"/>
      <c r="R836" s="1116"/>
      <c r="S836" s="1116"/>
      <c r="T836" s="1116"/>
      <c r="U836" s="1116"/>
      <c r="V836" s="1116"/>
      <c r="W836" s="1116"/>
      <c r="X836" s="1116"/>
      <c r="Y836" s="1116"/>
      <c r="Z836" s="1116"/>
      <c r="AA836" s="1116"/>
      <c r="AB836" s="1116"/>
      <c r="AC836" s="1116"/>
      <c r="AD836" s="1116"/>
      <c r="AE836" s="1116"/>
      <c r="AF836" s="1116"/>
      <c r="AG836" s="1116"/>
      <c r="AH836" s="1116"/>
      <c r="AI836" s="1116"/>
      <c r="AJ836" s="1116"/>
      <c r="AK836" s="1116"/>
    </row>
    <row r="837" spans="1:37" x14ac:dyDescent="0.35">
      <c r="A837" s="1116"/>
      <c r="B837" s="1116"/>
      <c r="C837" s="1116"/>
      <c r="D837" s="1116"/>
      <c r="E837" s="1116"/>
      <c r="F837" s="1116"/>
      <c r="G837" s="1116"/>
      <c r="H837" s="1116"/>
      <c r="I837" s="1116"/>
      <c r="J837" s="1116"/>
      <c r="K837" s="1116"/>
      <c r="L837" s="1116"/>
      <c r="M837" s="1116"/>
      <c r="N837" s="1116"/>
      <c r="O837" s="1116"/>
      <c r="P837" s="1116"/>
      <c r="Q837" s="1116"/>
      <c r="R837" s="1116"/>
      <c r="S837" s="1116"/>
      <c r="T837" s="1116"/>
      <c r="U837" s="1116"/>
      <c r="V837" s="1116"/>
      <c r="W837" s="1116"/>
      <c r="X837" s="1116"/>
      <c r="Y837" s="1116"/>
      <c r="Z837" s="1116"/>
      <c r="AA837" s="1116"/>
      <c r="AB837" s="1116"/>
      <c r="AC837" s="1116"/>
      <c r="AD837" s="1116"/>
      <c r="AE837" s="1116"/>
      <c r="AF837" s="1116"/>
      <c r="AG837" s="1116"/>
      <c r="AH837" s="1116"/>
      <c r="AI837" s="1116"/>
      <c r="AJ837" s="1116"/>
      <c r="AK837" s="1116"/>
    </row>
    <row r="838" spans="1:37" x14ac:dyDescent="0.35">
      <c r="A838" s="1116"/>
      <c r="B838" s="1116"/>
      <c r="C838" s="1116"/>
      <c r="D838" s="1116"/>
      <c r="E838" s="1116"/>
      <c r="F838" s="1116"/>
      <c r="G838" s="1116"/>
      <c r="H838" s="1116"/>
      <c r="I838" s="1116"/>
      <c r="J838" s="1116"/>
      <c r="K838" s="1116"/>
      <c r="L838" s="1116"/>
      <c r="M838" s="1116"/>
      <c r="N838" s="1116"/>
      <c r="O838" s="1116"/>
      <c r="P838" s="1116"/>
      <c r="Q838" s="1116"/>
      <c r="R838" s="1116"/>
      <c r="S838" s="1116"/>
      <c r="T838" s="1116"/>
      <c r="U838" s="1116"/>
      <c r="V838" s="1116"/>
      <c r="W838" s="1116"/>
      <c r="X838" s="1116"/>
      <c r="Y838" s="1116"/>
      <c r="Z838" s="1116"/>
      <c r="AA838" s="1116"/>
      <c r="AB838" s="1116"/>
      <c r="AC838" s="1116"/>
      <c r="AD838" s="1116"/>
      <c r="AE838" s="1116"/>
      <c r="AF838" s="1116"/>
      <c r="AG838" s="1116"/>
      <c r="AH838" s="1116"/>
      <c r="AI838" s="1116"/>
      <c r="AJ838" s="1116"/>
      <c r="AK838" s="1116"/>
    </row>
    <row r="839" spans="1:37" x14ac:dyDescent="0.35">
      <c r="A839" s="1116"/>
      <c r="B839" s="1116"/>
      <c r="C839" s="1116"/>
      <c r="D839" s="1116"/>
      <c r="E839" s="1116"/>
      <c r="F839" s="1116"/>
      <c r="G839" s="1116"/>
      <c r="H839" s="1116"/>
      <c r="I839" s="1116"/>
      <c r="J839" s="1116"/>
      <c r="K839" s="1116"/>
      <c r="L839" s="1116"/>
      <c r="M839" s="1116"/>
      <c r="N839" s="1116"/>
      <c r="O839" s="1116"/>
      <c r="P839" s="1116"/>
      <c r="Q839" s="1116"/>
      <c r="R839" s="1116"/>
      <c r="S839" s="1116"/>
      <c r="T839" s="1116"/>
      <c r="U839" s="1116"/>
      <c r="V839" s="1116"/>
      <c r="W839" s="1116"/>
      <c r="X839" s="1116"/>
      <c r="Y839" s="1116"/>
      <c r="Z839" s="1116"/>
      <c r="AA839" s="1116"/>
      <c r="AB839" s="1116"/>
      <c r="AC839" s="1116"/>
      <c r="AD839" s="1116"/>
      <c r="AE839" s="1116"/>
      <c r="AF839" s="1116"/>
      <c r="AG839" s="1116"/>
      <c r="AH839" s="1116"/>
      <c r="AI839" s="1116"/>
      <c r="AJ839" s="1116"/>
      <c r="AK839" s="1116"/>
    </row>
    <row r="840" spans="1:37" x14ac:dyDescent="0.35">
      <c r="A840" s="1116"/>
      <c r="B840" s="1116"/>
      <c r="C840" s="1116"/>
      <c r="D840" s="1116"/>
      <c r="E840" s="1116"/>
      <c r="F840" s="1116"/>
      <c r="G840" s="1116"/>
      <c r="H840" s="1116"/>
      <c r="I840" s="1116"/>
      <c r="J840" s="1116"/>
      <c r="K840" s="1116"/>
      <c r="L840" s="1116"/>
      <c r="M840" s="1116"/>
      <c r="N840" s="1116"/>
      <c r="O840" s="1116"/>
      <c r="P840" s="1116"/>
      <c r="Q840" s="1116"/>
      <c r="R840" s="1116"/>
      <c r="S840" s="1116"/>
      <c r="T840" s="1116"/>
      <c r="U840" s="1116"/>
      <c r="V840" s="1116"/>
      <c r="W840" s="1116"/>
      <c r="X840" s="1116"/>
      <c r="Y840" s="1116"/>
      <c r="Z840" s="1116"/>
      <c r="AA840" s="1116"/>
      <c r="AB840" s="1116"/>
      <c r="AC840" s="1116"/>
      <c r="AD840" s="1116"/>
      <c r="AE840" s="1116"/>
      <c r="AF840" s="1116"/>
      <c r="AG840" s="1116"/>
      <c r="AH840" s="1116"/>
      <c r="AI840" s="1116"/>
      <c r="AJ840" s="1116"/>
      <c r="AK840" s="1116"/>
    </row>
    <row r="841" spans="1:37" x14ac:dyDescent="0.35">
      <c r="A841" s="1116"/>
      <c r="B841" s="1116"/>
      <c r="C841" s="1116"/>
      <c r="D841" s="1116"/>
      <c r="E841" s="1116"/>
      <c r="F841" s="1116"/>
      <c r="G841" s="1116"/>
      <c r="H841" s="1116"/>
      <c r="I841" s="1116"/>
      <c r="J841" s="1116"/>
      <c r="K841" s="1116"/>
      <c r="L841" s="1116"/>
      <c r="M841" s="1116"/>
      <c r="N841" s="1116"/>
      <c r="O841" s="1116"/>
      <c r="P841" s="1116"/>
      <c r="Q841" s="1116"/>
      <c r="R841" s="1116"/>
      <c r="S841" s="1116"/>
      <c r="T841" s="1116"/>
      <c r="U841" s="1116"/>
      <c r="V841" s="1116"/>
      <c r="W841" s="1116"/>
      <c r="X841" s="1116"/>
      <c r="Y841" s="1116"/>
      <c r="Z841" s="1116"/>
      <c r="AA841" s="1116"/>
      <c r="AB841" s="1116"/>
      <c r="AC841" s="1116"/>
      <c r="AD841" s="1116"/>
      <c r="AE841" s="1116"/>
      <c r="AF841" s="1116"/>
      <c r="AG841" s="1116"/>
      <c r="AH841" s="1116"/>
      <c r="AI841" s="1116"/>
      <c r="AJ841" s="1116"/>
      <c r="AK841" s="1116"/>
    </row>
    <row r="842" spans="1:37" x14ac:dyDescent="0.35">
      <c r="A842" s="1116"/>
      <c r="B842" s="1116"/>
      <c r="C842" s="1116"/>
      <c r="D842" s="1116"/>
      <c r="E842" s="1116"/>
      <c r="F842" s="1116"/>
      <c r="G842" s="1116"/>
      <c r="H842" s="1116"/>
      <c r="I842" s="1116"/>
      <c r="J842" s="1116"/>
      <c r="K842" s="1116"/>
      <c r="L842" s="1116"/>
      <c r="M842" s="1116"/>
      <c r="N842" s="1116"/>
      <c r="O842" s="1116"/>
      <c r="P842" s="1116"/>
      <c r="Q842" s="1116"/>
      <c r="R842" s="1116"/>
      <c r="S842" s="1116"/>
      <c r="T842" s="1116"/>
      <c r="U842" s="1116"/>
      <c r="V842" s="1116"/>
      <c r="W842" s="1116"/>
      <c r="X842" s="1116"/>
      <c r="Y842" s="1116"/>
      <c r="Z842" s="1116"/>
      <c r="AA842" s="1116"/>
      <c r="AB842" s="1116"/>
      <c r="AC842" s="1116"/>
      <c r="AD842" s="1116"/>
      <c r="AE842" s="1116"/>
      <c r="AF842" s="1116"/>
      <c r="AG842" s="1116"/>
      <c r="AH842" s="1116"/>
      <c r="AI842" s="1116"/>
      <c r="AJ842" s="1116"/>
      <c r="AK842" s="1116"/>
    </row>
    <row r="843" spans="1:37" x14ac:dyDescent="0.35">
      <c r="A843" s="1116"/>
      <c r="B843" s="1116"/>
      <c r="C843" s="1116"/>
      <c r="D843" s="1116"/>
      <c r="E843" s="1116"/>
      <c r="F843" s="1116"/>
      <c r="G843" s="1116"/>
      <c r="H843" s="1116"/>
      <c r="I843" s="1116"/>
      <c r="J843" s="1116"/>
      <c r="K843" s="1116"/>
      <c r="L843" s="1116"/>
      <c r="M843" s="1116"/>
      <c r="N843" s="1116"/>
      <c r="O843" s="1116"/>
      <c r="P843" s="1116"/>
      <c r="Q843" s="1116"/>
      <c r="R843" s="1116"/>
      <c r="S843" s="1116"/>
      <c r="T843" s="1116"/>
      <c r="U843" s="1116"/>
      <c r="V843" s="1116"/>
      <c r="W843" s="1116"/>
      <c r="X843" s="1116"/>
      <c r="Y843" s="1116"/>
      <c r="Z843" s="1116"/>
      <c r="AA843" s="1116"/>
      <c r="AB843" s="1116"/>
      <c r="AC843" s="1116"/>
      <c r="AD843" s="1116"/>
      <c r="AE843" s="1116"/>
      <c r="AF843" s="1116"/>
      <c r="AG843" s="1116"/>
      <c r="AH843" s="1116"/>
      <c r="AI843" s="1116"/>
      <c r="AJ843" s="1116"/>
      <c r="AK843" s="1116"/>
    </row>
    <row r="844" spans="1:37" x14ac:dyDescent="0.35">
      <c r="A844" s="1116"/>
      <c r="B844" s="1116"/>
      <c r="C844" s="1116"/>
      <c r="D844" s="1116"/>
      <c r="E844" s="1116"/>
      <c r="F844" s="1116"/>
      <c r="G844" s="1116"/>
      <c r="H844" s="1116"/>
      <c r="I844" s="1116"/>
      <c r="J844" s="1116"/>
      <c r="K844" s="1116"/>
      <c r="L844" s="1116"/>
      <c r="M844" s="1116"/>
      <c r="N844" s="1116"/>
      <c r="O844" s="1116"/>
      <c r="P844" s="1116"/>
      <c r="Q844" s="1116"/>
      <c r="R844" s="1116"/>
      <c r="S844" s="1116"/>
      <c r="T844" s="1116"/>
      <c r="U844" s="1116"/>
      <c r="V844" s="1116"/>
      <c r="W844" s="1116"/>
      <c r="X844" s="1116"/>
      <c r="Y844" s="1116"/>
      <c r="Z844" s="1116"/>
      <c r="AA844" s="1116"/>
      <c r="AB844" s="1116"/>
      <c r="AC844" s="1116"/>
      <c r="AD844" s="1116"/>
      <c r="AE844" s="1116"/>
      <c r="AF844" s="1116"/>
      <c r="AG844" s="1116"/>
      <c r="AH844" s="1116"/>
      <c r="AI844" s="1116"/>
      <c r="AJ844" s="1116"/>
      <c r="AK844" s="1116"/>
    </row>
    <row r="845" spans="1:37" x14ac:dyDescent="0.35">
      <c r="A845" s="1116"/>
      <c r="B845" s="1116"/>
      <c r="C845" s="1116"/>
      <c r="D845" s="1116"/>
      <c r="E845" s="1116"/>
      <c r="F845" s="1116"/>
      <c r="G845" s="1116"/>
      <c r="H845" s="1116"/>
      <c r="I845" s="1116"/>
      <c r="J845" s="1116"/>
      <c r="K845" s="1116"/>
      <c r="L845" s="1116"/>
      <c r="M845" s="1116"/>
      <c r="N845" s="1116"/>
      <c r="O845" s="1116"/>
      <c r="P845" s="1116"/>
      <c r="Q845" s="1116"/>
      <c r="R845" s="1116"/>
      <c r="S845" s="1116"/>
      <c r="T845" s="1116"/>
      <c r="U845" s="1116"/>
      <c r="V845" s="1116"/>
      <c r="W845" s="1116"/>
      <c r="X845" s="1116"/>
      <c r="Y845" s="1116"/>
      <c r="Z845" s="1116"/>
      <c r="AA845" s="1116"/>
      <c r="AB845" s="1116"/>
      <c r="AC845" s="1116"/>
      <c r="AD845" s="1116"/>
      <c r="AE845" s="1116"/>
      <c r="AF845" s="1116"/>
      <c r="AG845" s="1116"/>
      <c r="AH845" s="1116"/>
      <c r="AI845" s="1116"/>
      <c r="AJ845" s="1116"/>
      <c r="AK845" s="1116"/>
    </row>
    <row r="846" spans="1:37" x14ac:dyDescent="0.35">
      <c r="A846" s="1116"/>
      <c r="B846" s="1116"/>
      <c r="C846" s="1116"/>
      <c r="D846" s="1116"/>
      <c r="E846" s="1116"/>
      <c r="F846" s="1116"/>
      <c r="G846" s="1116"/>
      <c r="H846" s="1116"/>
      <c r="I846" s="1116"/>
      <c r="J846" s="1116"/>
      <c r="K846" s="1116"/>
      <c r="L846" s="1116"/>
      <c r="M846" s="1116"/>
      <c r="N846" s="1116"/>
      <c r="O846" s="1116"/>
      <c r="P846" s="1116"/>
      <c r="Q846" s="1116"/>
      <c r="R846" s="1116"/>
      <c r="S846" s="1116"/>
      <c r="T846" s="1116"/>
      <c r="U846" s="1116"/>
      <c r="V846" s="1116"/>
      <c r="W846" s="1116"/>
      <c r="X846" s="1116"/>
      <c r="Y846" s="1116"/>
      <c r="Z846" s="1116"/>
      <c r="AA846" s="1116"/>
      <c r="AB846" s="1116"/>
      <c r="AC846" s="1116"/>
      <c r="AD846" s="1116"/>
      <c r="AE846" s="1116"/>
      <c r="AF846" s="1116"/>
      <c r="AG846" s="1116"/>
      <c r="AH846" s="1116"/>
      <c r="AI846" s="1116"/>
      <c r="AJ846" s="1116"/>
      <c r="AK846" s="1116"/>
    </row>
    <row r="847" spans="1:37" x14ac:dyDescent="0.35">
      <c r="A847" s="1116"/>
      <c r="B847" s="1116"/>
      <c r="C847" s="1116"/>
      <c r="D847" s="1116"/>
      <c r="E847" s="1116"/>
      <c r="F847" s="1116"/>
      <c r="G847" s="1116"/>
      <c r="H847" s="1116"/>
      <c r="I847" s="1116"/>
      <c r="J847" s="1116"/>
      <c r="K847" s="1116"/>
      <c r="L847" s="1116"/>
      <c r="M847" s="1116"/>
      <c r="N847" s="1116"/>
      <c r="O847" s="1116"/>
      <c r="P847" s="1116"/>
      <c r="Q847" s="1116"/>
      <c r="R847" s="1116"/>
      <c r="S847" s="1116"/>
      <c r="T847" s="1116"/>
      <c r="U847" s="1116"/>
      <c r="V847" s="1116"/>
      <c r="W847" s="1116"/>
      <c r="X847" s="1116"/>
      <c r="Y847" s="1116"/>
      <c r="Z847" s="1116"/>
      <c r="AA847" s="1116"/>
      <c r="AB847" s="1116"/>
      <c r="AC847" s="1116"/>
      <c r="AD847" s="1116"/>
      <c r="AE847" s="1116"/>
      <c r="AF847" s="1116"/>
      <c r="AG847" s="1116"/>
      <c r="AH847" s="1116"/>
      <c r="AI847" s="1116"/>
      <c r="AJ847" s="1116"/>
      <c r="AK847" s="1116"/>
    </row>
    <row r="848" spans="1:37" x14ac:dyDescent="0.35">
      <c r="A848" s="1116"/>
      <c r="B848" s="1116"/>
      <c r="C848" s="1116"/>
      <c r="D848" s="1116"/>
      <c r="E848" s="1116"/>
      <c r="F848" s="1116"/>
      <c r="G848" s="1116"/>
      <c r="H848" s="1116"/>
      <c r="I848" s="1116"/>
      <c r="J848" s="1116"/>
      <c r="K848" s="1116"/>
      <c r="L848" s="1116"/>
      <c r="M848" s="1116"/>
      <c r="N848" s="1116"/>
      <c r="O848" s="1116"/>
      <c r="P848" s="1116"/>
      <c r="Q848" s="1116"/>
      <c r="R848" s="1116"/>
      <c r="S848" s="1116"/>
      <c r="T848" s="1116"/>
      <c r="U848" s="1116"/>
      <c r="V848" s="1116"/>
      <c r="W848" s="1116"/>
      <c r="X848" s="1116"/>
      <c r="Y848" s="1116"/>
      <c r="Z848" s="1116"/>
      <c r="AA848" s="1116"/>
      <c r="AB848" s="1116"/>
      <c r="AC848" s="1116"/>
      <c r="AD848" s="1116"/>
      <c r="AE848" s="1116"/>
      <c r="AF848" s="1116"/>
      <c r="AG848" s="1116"/>
      <c r="AH848" s="1116"/>
      <c r="AI848" s="1116"/>
      <c r="AJ848" s="1116"/>
      <c r="AK848" s="1116"/>
    </row>
    <row r="849" spans="1:37" x14ac:dyDescent="0.35">
      <c r="A849" s="1116"/>
      <c r="B849" s="1116"/>
      <c r="C849" s="1116"/>
      <c r="D849" s="1116"/>
      <c r="E849" s="1116"/>
      <c r="F849" s="1116"/>
      <c r="G849" s="1116"/>
      <c r="H849" s="1116"/>
      <c r="I849" s="1116"/>
      <c r="J849" s="1116"/>
      <c r="K849" s="1116"/>
      <c r="L849" s="1116"/>
      <c r="M849" s="1116"/>
      <c r="N849" s="1116"/>
      <c r="O849" s="1116"/>
      <c r="P849" s="1116"/>
      <c r="Q849" s="1116"/>
      <c r="R849" s="1116"/>
      <c r="S849" s="1116"/>
      <c r="T849" s="1116"/>
      <c r="U849" s="1116"/>
      <c r="V849" s="1116"/>
      <c r="W849" s="1116"/>
      <c r="X849" s="1116"/>
      <c r="Y849" s="1116"/>
      <c r="Z849" s="1116"/>
      <c r="AA849" s="1116"/>
      <c r="AB849" s="1116"/>
      <c r="AC849" s="1116"/>
      <c r="AD849" s="1116"/>
      <c r="AE849" s="1116"/>
      <c r="AF849" s="1116"/>
      <c r="AG849" s="1116"/>
      <c r="AH849" s="1116"/>
      <c r="AI849" s="1116"/>
      <c r="AJ849" s="1116"/>
      <c r="AK849" s="1116"/>
    </row>
    <row r="850" spans="1:37" x14ac:dyDescent="0.35">
      <c r="A850" s="1116"/>
      <c r="B850" s="1116"/>
      <c r="C850" s="1116"/>
      <c r="D850" s="1116"/>
      <c r="E850" s="1116"/>
      <c r="F850" s="1116"/>
      <c r="G850" s="1116"/>
      <c r="H850" s="1116"/>
      <c r="I850" s="1116"/>
      <c r="J850" s="1116"/>
      <c r="K850" s="1116"/>
      <c r="L850" s="1116"/>
      <c r="M850" s="1116"/>
      <c r="N850" s="1116"/>
      <c r="O850" s="1116"/>
      <c r="P850" s="1116"/>
      <c r="Q850" s="1116"/>
      <c r="R850" s="1116"/>
      <c r="S850" s="1116"/>
      <c r="T850" s="1116"/>
      <c r="U850" s="1116"/>
      <c r="V850" s="1116"/>
      <c r="W850" s="1116"/>
      <c r="X850" s="1116"/>
      <c r="Y850" s="1116"/>
      <c r="Z850" s="1116"/>
      <c r="AA850" s="1116"/>
      <c r="AB850" s="1116"/>
      <c r="AC850" s="1116"/>
      <c r="AD850" s="1116"/>
      <c r="AE850" s="1116"/>
      <c r="AF850" s="1116"/>
      <c r="AG850" s="1116"/>
      <c r="AH850" s="1116"/>
      <c r="AI850" s="1116"/>
      <c r="AJ850" s="1116"/>
      <c r="AK850" s="1116"/>
    </row>
    <row r="851" spans="1:37" x14ac:dyDescent="0.35">
      <c r="A851" s="1116"/>
      <c r="B851" s="1116"/>
      <c r="C851" s="1116"/>
      <c r="D851" s="1116"/>
      <c r="E851" s="1116"/>
      <c r="F851" s="1116"/>
      <c r="G851" s="1116"/>
      <c r="H851" s="1116"/>
      <c r="I851" s="1116"/>
      <c r="J851" s="1116"/>
      <c r="K851" s="1116"/>
      <c r="L851" s="1116"/>
      <c r="M851" s="1116"/>
      <c r="N851" s="1116"/>
      <c r="O851" s="1116"/>
      <c r="P851" s="1116"/>
      <c r="Q851" s="1116"/>
      <c r="R851" s="1116"/>
      <c r="S851" s="1116"/>
      <c r="T851" s="1116"/>
      <c r="U851" s="1116"/>
      <c r="V851" s="1116"/>
      <c r="W851" s="1116"/>
      <c r="X851" s="1116"/>
      <c r="Y851" s="1116"/>
      <c r="Z851" s="1116"/>
      <c r="AA851" s="1116"/>
      <c r="AB851" s="1116"/>
      <c r="AC851" s="1116"/>
      <c r="AD851" s="1116"/>
      <c r="AE851" s="1116"/>
      <c r="AF851" s="1116"/>
      <c r="AG851" s="1116"/>
      <c r="AH851" s="1116"/>
      <c r="AI851" s="1116"/>
      <c r="AJ851" s="1116"/>
      <c r="AK851" s="1116"/>
    </row>
    <row r="852" spans="1:37" x14ac:dyDescent="0.35">
      <c r="A852" s="1116"/>
      <c r="B852" s="1116"/>
      <c r="C852" s="1116"/>
      <c r="D852" s="1116"/>
      <c r="E852" s="1116"/>
      <c r="F852" s="1116"/>
      <c r="G852" s="1116"/>
      <c r="H852" s="1116"/>
      <c r="I852" s="1116"/>
      <c r="J852" s="1116"/>
      <c r="K852" s="1116"/>
      <c r="L852" s="1116"/>
      <c r="M852" s="1116"/>
      <c r="N852" s="1116"/>
      <c r="O852" s="1116"/>
      <c r="P852" s="1116"/>
      <c r="Q852" s="1116"/>
      <c r="R852" s="1116"/>
      <c r="S852" s="1116"/>
      <c r="T852" s="1116"/>
      <c r="U852" s="1116"/>
      <c r="V852" s="1116"/>
      <c r="W852" s="1116"/>
      <c r="X852" s="1116"/>
      <c r="Y852" s="1116"/>
      <c r="Z852" s="1116"/>
      <c r="AA852" s="1116"/>
      <c r="AB852" s="1116"/>
      <c r="AC852" s="1116"/>
      <c r="AD852" s="1116"/>
      <c r="AE852" s="1116"/>
      <c r="AF852" s="1116"/>
      <c r="AG852" s="1116"/>
      <c r="AH852" s="1116"/>
      <c r="AI852" s="1116"/>
      <c r="AJ852" s="1116"/>
      <c r="AK852" s="1116"/>
    </row>
    <row r="853" spans="1:37" x14ac:dyDescent="0.35">
      <c r="A853" s="1116"/>
      <c r="B853" s="1116"/>
      <c r="C853" s="1116"/>
      <c r="D853" s="1116"/>
      <c r="E853" s="1116"/>
      <c r="F853" s="1116"/>
      <c r="G853" s="1116"/>
      <c r="H853" s="1116"/>
      <c r="I853" s="1116"/>
      <c r="J853" s="1116"/>
      <c r="K853" s="1116"/>
      <c r="L853" s="1116"/>
      <c r="M853" s="1116"/>
      <c r="N853" s="1116"/>
      <c r="O853" s="1116"/>
      <c r="P853" s="1116"/>
      <c r="Q853" s="1116"/>
      <c r="R853" s="1116"/>
      <c r="S853" s="1116"/>
      <c r="T853" s="1116"/>
      <c r="U853" s="1116"/>
      <c r="V853" s="1116"/>
      <c r="W853" s="1116"/>
      <c r="X853" s="1116"/>
      <c r="Y853" s="1116"/>
      <c r="Z853" s="1116"/>
      <c r="AA853" s="1116"/>
      <c r="AB853" s="1116"/>
      <c r="AC853" s="1116"/>
      <c r="AD853" s="1116"/>
      <c r="AE853" s="1116"/>
      <c r="AF853" s="1116"/>
      <c r="AG853" s="1116"/>
      <c r="AH853" s="1116"/>
      <c r="AI853" s="1116"/>
      <c r="AJ853" s="1116"/>
      <c r="AK853" s="1116"/>
    </row>
    <row r="854" spans="1:37" x14ac:dyDescent="0.35">
      <c r="A854" s="1116"/>
      <c r="B854" s="1116"/>
      <c r="C854" s="1116"/>
      <c r="D854" s="1116"/>
      <c r="E854" s="1116"/>
      <c r="F854" s="1116"/>
      <c r="G854" s="1116"/>
      <c r="H854" s="1116"/>
      <c r="I854" s="1116"/>
      <c r="J854" s="1116"/>
      <c r="K854" s="1116"/>
      <c r="L854" s="1116"/>
      <c r="M854" s="1116"/>
      <c r="N854" s="1116"/>
      <c r="O854" s="1116"/>
      <c r="P854" s="1116"/>
      <c r="Q854" s="1116"/>
      <c r="R854" s="1116"/>
      <c r="S854" s="1116"/>
      <c r="T854" s="1116"/>
      <c r="U854" s="1116"/>
      <c r="V854" s="1116"/>
      <c r="W854" s="1116"/>
      <c r="X854" s="1116"/>
      <c r="Y854" s="1116"/>
      <c r="Z854" s="1116"/>
      <c r="AA854" s="1116"/>
      <c r="AB854" s="1116"/>
      <c r="AC854" s="1116"/>
      <c r="AD854" s="1116"/>
      <c r="AE854" s="1116"/>
      <c r="AF854" s="1116"/>
      <c r="AG854" s="1116"/>
      <c r="AH854" s="1116"/>
      <c r="AI854" s="1116"/>
      <c r="AJ854" s="1116"/>
      <c r="AK854" s="1116"/>
    </row>
    <row r="855" spans="1:37" x14ac:dyDescent="0.35">
      <c r="A855" s="1116"/>
      <c r="B855" s="1116"/>
      <c r="C855" s="1116"/>
      <c r="D855" s="1116"/>
      <c r="E855" s="1116"/>
      <c r="F855" s="1116"/>
      <c r="G855" s="1116"/>
      <c r="H855" s="1116"/>
      <c r="I855" s="1116"/>
      <c r="J855" s="1116"/>
      <c r="K855" s="1116"/>
      <c r="L855" s="1116"/>
      <c r="M855" s="1116"/>
      <c r="N855" s="1116"/>
      <c r="O855" s="1116"/>
      <c r="P855" s="1116"/>
      <c r="Q855" s="1116"/>
      <c r="R855" s="1116"/>
      <c r="S855" s="1116"/>
      <c r="T855" s="1116"/>
      <c r="U855" s="1116"/>
      <c r="V855" s="1116"/>
      <c r="W855" s="1116"/>
      <c r="X855" s="1116"/>
      <c r="Y855" s="1116"/>
      <c r="Z855" s="1116"/>
      <c r="AA855" s="1116"/>
      <c r="AB855" s="1116"/>
      <c r="AC855" s="1116"/>
      <c r="AD855" s="1116"/>
      <c r="AE855" s="1116"/>
      <c r="AF855" s="1116"/>
      <c r="AG855" s="1116"/>
      <c r="AH855" s="1116"/>
      <c r="AI855" s="1116"/>
      <c r="AJ855" s="1116"/>
      <c r="AK855" s="1116"/>
    </row>
    <row r="856" spans="1:37" x14ac:dyDescent="0.35">
      <c r="A856" s="1116"/>
      <c r="B856" s="1116"/>
      <c r="C856" s="1116"/>
      <c r="D856" s="1116"/>
      <c r="E856" s="1116"/>
      <c r="F856" s="1116"/>
      <c r="G856" s="1116"/>
      <c r="H856" s="1116"/>
      <c r="I856" s="1116"/>
      <c r="J856" s="1116"/>
      <c r="K856" s="1116"/>
      <c r="L856" s="1116"/>
      <c r="M856" s="1116"/>
      <c r="N856" s="1116"/>
      <c r="O856" s="1116"/>
      <c r="P856" s="1116"/>
      <c r="Q856" s="1116"/>
      <c r="R856" s="1116"/>
      <c r="S856" s="1116"/>
      <c r="T856" s="1116"/>
      <c r="U856" s="1116"/>
      <c r="V856" s="1116"/>
      <c r="W856" s="1116"/>
      <c r="X856" s="1116"/>
      <c r="Y856" s="1116"/>
      <c r="Z856" s="1116"/>
      <c r="AA856" s="1116"/>
      <c r="AB856" s="1116"/>
      <c r="AC856" s="1116"/>
      <c r="AD856" s="1116"/>
      <c r="AE856" s="1116"/>
      <c r="AF856" s="1116"/>
      <c r="AG856" s="1116"/>
      <c r="AH856" s="1116"/>
      <c r="AI856" s="1116"/>
      <c r="AJ856" s="1116"/>
      <c r="AK856" s="1116"/>
    </row>
    <row r="857" spans="1:37" x14ac:dyDescent="0.35">
      <c r="A857" s="1116"/>
      <c r="B857" s="1116"/>
      <c r="C857" s="1116"/>
      <c r="D857" s="1116"/>
      <c r="E857" s="1116"/>
      <c r="F857" s="1116"/>
      <c r="G857" s="1116"/>
      <c r="H857" s="1116"/>
      <c r="I857" s="1116"/>
      <c r="J857" s="1116"/>
      <c r="K857" s="1116"/>
      <c r="L857" s="1116"/>
      <c r="M857" s="1116"/>
      <c r="N857" s="1116"/>
      <c r="O857" s="1116"/>
      <c r="P857" s="1116"/>
      <c r="Q857" s="1116"/>
      <c r="R857" s="1116"/>
      <c r="S857" s="1116"/>
      <c r="T857" s="1116"/>
      <c r="U857" s="1116"/>
      <c r="V857" s="1116"/>
      <c r="W857" s="1116"/>
      <c r="X857" s="1116"/>
      <c r="Y857" s="1116"/>
      <c r="Z857" s="1116"/>
      <c r="AA857" s="1116"/>
      <c r="AB857" s="1116"/>
      <c r="AC857" s="1116"/>
      <c r="AD857" s="1116"/>
      <c r="AE857" s="1116"/>
      <c r="AF857" s="1116"/>
      <c r="AG857" s="1116"/>
      <c r="AH857" s="1116"/>
      <c r="AI857" s="1116"/>
      <c r="AJ857" s="1116"/>
      <c r="AK857" s="1116"/>
    </row>
    <row r="858" spans="1:37" x14ac:dyDescent="0.35">
      <c r="A858" s="1116"/>
      <c r="B858" s="1116"/>
      <c r="C858" s="1116"/>
      <c r="D858" s="1116"/>
      <c r="E858" s="1116"/>
      <c r="F858" s="1116"/>
      <c r="G858" s="1116"/>
      <c r="H858" s="1116"/>
      <c r="I858" s="1116"/>
      <c r="J858" s="1116"/>
      <c r="K858" s="1116"/>
      <c r="L858" s="1116"/>
      <c r="M858" s="1116"/>
      <c r="N858" s="1116"/>
      <c r="O858" s="1116"/>
      <c r="P858" s="1116"/>
      <c r="Q858" s="1116"/>
      <c r="R858" s="1116"/>
      <c r="S858" s="1116"/>
      <c r="T858" s="1116"/>
      <c r="U858" s="1116"/>
      <c r="V858" s="1116"/>
      <c r="W858" s="1116"/>
      <c r="X858" s="1116"/>
      <c r="Y858" s="1116"/>
      <c r="Z858" s="1116"/>
      <c r="AA858" s="1116"/>
      <c r="AB858" s="1116"/>
      <c r="AC858" s="1116"/>
      <c r="AD858" s="1116"/>
      <c r="AE858" s="1116"/>
      <c r="AF858" s="1116"/>
      <c r="AG858" s="1116"/>
      <c r="AH858" s="1116"/>
      <c r="AI858" s="1116"/>
      <c r="AJ858" s="1116"/>
      <c r="AK858" s="1116"/>
    </row>
    <row r="859" spans="1:37" x14ac:dyDescent="0.35">
      <c r="A859" s="1116"/>
      <c r="B859" s="1116"/>
      <c r="C859" s="1116"/>
      <c r="D859" s="1116"/>
      <c r="E859" s="1116"/>
      <c r="F859" s="1116"/>
      <c r="G859" s="1116"/>
      <c r="H859" s="1116"/>
      <c r="I859" s="1116"/>
      <c r="J859" s="1116"/>
      <c r="K859" s="1116"/>
      <c r="L859" s="1116"/>
      <c r="M859" s="1116"/>
      <c r="N859" s="1116"/>
      <c r="O859" s="1116"/>
      <c r="P859" s="1116"/>
      <c r="Q859" s="1116"/>
      <c r="R859" s="1116"/>
      <c r="S859" s="1116"/>
      <c r="T859" s="1116"/>
      <c r="U859" s="1116"/>
      <c r="V859" s="1116"/>
      <c r="W859" s="1116"/>
      <c r="X859" s="1116"/>
      <c r="Y859" s="1116"/>
      <c r="Z859" s="1116"/>
      <c r="AA859" s="1116"/>
      <c r="AB859" s="1116"/>
      <c r="AC859" s="1116"/>
      <c r="AD859" s="1116"/>
      <c r="AE859" s="1116"/>
      <c r="AF859" s="1116"/>
      <c r="AG859" s="1116"/>
      <c r="AH859" s="1116"/>
      <c r="AI859" s="1116"/>
      <c r="AJ859" s="1116"/>
      <c r="AK859" s="1116"/>
    </row>
    <row r="860" spans="1:37" x14ac:dyDescent="0.35">
      <c r="A860" s="1116"/>
      <c r="B860" s="1116"/>
      <c r="C860" s="1116"/>
      <c r="D860" s="1116"/>
      <c r="E860" s="1116"/>
      <c r="F860" s="1116"/>
      <c r="G860" s="1116"/>
      <c r="H860" s="1116"/>
      <c r="I860" s="1116"/>
      <c r="J860" s="1116"/>
      <c r="K860" s="1116"/>
      <c r="L860" s="1116"/>
      <c r="M860" s="1116"/>
      <c r="N860" s="1116"/>
      <c r="O860" s="1116"/>
      <c r="P860" s="1116"/>
      <c r="Q860" s="1116"/>
      <c r="R860" s="1116"/>
      <c r="S860" s="1116"/>
      <c r="T860" s="1116"/>
      <c r="U860" s="1116"/>
      <c r="V860" s="1116"/>
      <c r="W860" s="1116"/>
      <c r="X860" s="1116"/>
      <c r="Y860" s="1116"/>
      <c r="Z860" s="1116"/>
      <c r="AA860" s="1116"/>
      <c r="AB860" s="1116"/>
      <c r="AC860" s="1116"/>
      <c r="AD860" s="1116"/>
      <c r="AE860" s="1116"/>
      <c r="AF860" s="1116"/>
      <c r="AG860" s="1116"/>
      <c r="AH860" s="1116"/>
      <c r="AI860" s="1116"/>
      <c r="AJ860" s="1116"/>
      <c r="AK860" s="1116"/>
    </row>
    <row r="861" spans="1:37" x14ac:dyDescent="0.35">
      <c r="A861" s="1116"/>
      <c r="B861" s="1116"/>
      <c r="C861" s="1116"/>
      <c r="D861" s="1116"/>
      <c r="E861" s="1116"/>
      <c r="F861" s="1116"/>
      <c r="G861" s="1116"/>
      <c r="H861" s="1116"/>
      <c r="I861" s="1116"/>
      <c r="J861" s="1116"/>
      <c r="K861" s="1116"/>
      <c r="L861" s="1116"/>
      <c r="M861" s="1116"/>
      <c r="N861" s="1116"/>
      <c r="O861" s="1116"/>
      <c r="P861" s="1116"/>
      <c r="Q861" s="1116"/>
      <c r="R861" s="1116"/>
      <c r="S861" s="1116"/>
      <c r="T861" s="1116"/>
      <c r="U861" s="1116"/>
      <c r="V861" s="1116"/>
      <c r="W861" s="1116"/>
      <c r="X861" s="1116"/>
      <c r="Y861" s="1116"/>
      <c r="Z861" s="1116"/>
      <c r="AA861" s="1116"/>
      <c r="AB861" s="1116"/>
      <c r="AC861" s="1116"/>
      <c r="AD861" s="1116"/>
      <c r="AE861" s="1116"/>
      <c r="AF861" s="1116"/>
      <c r="AG861" s="1116"/>
      <c r="AH861" s="1116"/>
      <c r="AI861" s="1116"/>
      <c r="AJ861" s="1116"/>
      <c r="AK861" s="1116"/>
    </row>
    <row r="862" spans="1:37" x14ac:dyDescent="0.35">
      <c r="A862" s="1116"/>
      <c r="B862" s="1116"/>
      <c r="C862" s="1116"/>
      <c r="D862" s="1116"/>
      <c r="E862" s="1116"/>
      <c r="F862" s="1116"/>
      <c r="G862" s="1116"/>
      <c r="H862" s="1116"/>
      <c r="I862" s="1116"/>
      <c r="J862" s="1116"/>
      <c r="K862" s="1116"/>
      <c r="L862" s="1116"/>
      <c r="M862" s="1116"/>
      <c r="N862" s="1116"/>
      <c r="O862" s="1116"/>
      <c r="P862" s="1116"/>
      <c r="Q862" s="1116"/>
      <c r="R862" s="1116"/>
      <c r="S862" s="1116"/>
      <c r="T862" s="1116"/>
      <c r="U862" s="1116"/>
      <c r="V862" s="1116"/>
      <c r="W862" s="1116"/>
      <c r="X862" s="1116"/>
      <c r="Y862" s="1116"/>
      <c r="Z862" s="1116"/>
      <c r="AA862" s="1116"/>
      <c r="AB862" s="1116"/>
      <c r="AC862" s="1116"/>
      <c r="AD862" s="1116"/>
      <c r="AE862" s="1116"/>
      <c r="AF862" s="1116"/>
      <c r="AG862" s="1116"/>
      <c r="AH862" s="1116"/>
      <c r="AI862" s="1116"/>
      <c r="AJ862" s="1116"/>
      <c r="AK862" s="1116"/>
    </row>
    <row r="863" spans="1:37" x14ac:dyDescent="0.35">
      <c r="A863" s="1116"/>
      <c r="B863" s="1116"/>
      <c r="C863" s="1116"/>
      <c r="D863" s="1116"/>
      <c r="E863" s="1116"/>
      <c r="F863" s="1116"/>
      <c r="G863" s="1116"/>
      <c r="H863" s="1116"/>
      <c r="I863" s="1116"/>
      <c r="J863" s="1116"/>
      <c r="K863" s="1116"/>
      <c r="L863" s="1116"/>
      <c r="M863" s="1116"/>
      <c r="N863" s="1116"/>
      <c r="O863" s="1116"/>
      <c r="P863" s="1116"/>
      <c r="Q863" s="1116"/>
      <c r="R863" s="1116"/>
      <c r="S863" s="1116"/>
      <c r="T863" s="1116"/>
      <c r="U863" s="1116"/>
      <c r="V863" s="1116"/>
      <c r="W863" s="1116"/>
      <c r="X863" s="1116"/>
      <c r="Y863" s="1116"/>
      <c r="Z863" s="1116"/>
      <c r="AA863" s="1116"/>
      <c r="AB863" s="1116"/>
      <c r="AC863" s="1116"/>
      <c r="AD863" s="1116"/>
      <c r="AE863" s="1116"/>
      <c r="AF863" s="1116"/>
      <c r="AG863" s="1116"/>
      <c r="AH863" s="1116"/>
      <c r="AI863" s="1116"/>
      <c r="AJ863" s="1116"/>
      <c r="AK863" s="1116"/>
    </row>
    <row r="864" spans="1:37" x14ac:dyDescent="0.35">
      <c r="A864" s="1116"/>
      <c r="B864" s="1116"/>
      <c r="C864" s="1116"/>
      <c r="D864" s="1116"/>
      <c r="E864" s="1116"/>
      <c r="F864" s="1116"/>
      <c r="G864" s="1116"/>
      <c r="H864" s="1116"/>
      <c r="I864" s="1116"/>
      <c r="J864" s="1116"/>
      <c r="K864" s="1116"/>
      <c r="L864" s="1116"/>
      <c r="M864" s="1116"/>
      <c r="N864" s="1116"/>
      <c r="O864" s="1116"/>
      <c r="P864" s="1116"/>
      <c r="Q864" s="1116"/>
      <c r="R864" s="1116"/>
      <c r="S864" s="1116"/>
      <c r="T864" s="1116"/>
      <c r="U864" s="1116"/>
      <c r="V864" s="1116"/>
      <c r="W864" s="1116"/>
      <c r="X864" s="1116"/>
      <c r="Y864" s="1116"/>
      <c r="Z864" s="1116"/>
      <c r="AA864" s="1116"/>
      <c r="AB864" s="1116"/>
      <c r="AC864" s="1116"/>
      <c r="AD864" s="1116"/>
      <c r="AE864" s="1116"/>
      <c r="AF864" s="1116"/>
      <c r="AG864" s="1116"/>
      <c r="AH864" s="1116"/>
      <c r="AI864" s="1116"/>
      <c r="AJ864" s="1116"/>
      <c r="AK864" s="1116"/>
    </row>
    <row r="865" spans="1:37" x14ac:dyDescent="0.35">
      <c r="A865" s="1116"/>
      <c r="B865" s="1116"/>
      <c r="C865" s="1116"/>
      <c r="D865" s="1116"/>
      <c r="E865" s="1116"/>
      <c r="F865" s="1116"/>
      <c r="G865" s="1116"/>
      <c r="H865" s="1116"/>
      <c r="I865" s="1116"/>
      <c r="J865" s="1116"/>
      <c r="K865" s="1116"/>
      <c r="L865" s="1116"/>
      <c r="M865" s="1116"/>
      <c r="N865" s="1116"/>
      <c r="O865" s="1116"/>
      <c r="P865" s="1116"/>
      <c r="Q865" s="1116"/>
      <c r="R865" s="1116"/>
      <c r="S865" s="1116"/>
      <c r="T865" s="1116"/>
      <c r="U865" s="1116"/>
      <c r="V865" s="1116"/>
      <c r="W865" s="1116"/>
      <c r="X865" s="1116"/>
      <c r="Y865" s="1116"/>
      <c r="Z865" s="1116"/>
      <c r="AA865" s="1116"/>
      <c r="AB865" s="1116"/>
      <c r="AC865" s="1116"/>
      <c r="AD865" s="1116"/>
      <c r="AE865" s="1116"/>
      <c r="AF865" s="1116"/>
      <c r="AG865" s="1116"/>
      <c r="AH865" s="1116"/>
      <c r="AI865" s="1116"/>
      <c r="AJ865" s="1116"/>
      <c r="AK865" s="1116"/>
    </row>
    <row r="866" spans="1:37" x14ac:dyDescent="0.35">
      <c r="A866" s="1116"/>
      <c r="B866" s="1116"/>
      <c r="C866" s="1116"/>
      <c r="D866" s="1116"/>
      <c r="E866" s="1116"/>
      <c r="F866" s="1116"/>
      <c r="G866" s="1116"/>
      <c r="H866" s="1116"/>
      <c r="I866" s="1116"/>
      <c r="J866" s="1116"/>
      <c r="K866" s="1116"/>
      <c r="L866" s="1116"/>
      <c r="M866" s="1116"/>
      <c r="N866" s="1116"/>
      <c r="O866" s="1116"/>
      <c r="P866" s="1116"/>
      <c r="Q866" s="1116"/>
      <c r="R866" s="1116"/>
      <c r="S866" s="1116"/>
      <c r="T866" s="1116"/>
      <c r="U866" s="1116"/>
      <c r="V866" s="1116"/>
      <c r="W866" s="1116"/>
      <c r="X866" s="1116"/>
      <c r="Y866" s="1116"/>
      <c r="Z866" s="1116"/>
      <c r="AA866" s="1116"/>
      <c r="AB866" s="1116"/>
      <c r="AC866" s="1116"/>
      <c r="AD866" s="1116"/>
      <c r="AE866" s="1116"/>
      <c r="AF866" s="1116"/>
      <c r="AG866" s="1116"/>
      <c r="AH866" s="1116"/>
      <c r="AI866" s="1116"/>
      <c r="AJ866" s="1116"/>
      <c r="AK866" s="1116"/>
    </row>
    <row r="867" spans="1:37" x14ac:dyDescent="0.35">
      <c r="A867" s="1116"/>
      <c r="B867" s="1116"/>
      <c r="C867" s="1116"/>
      <c r="D867" s="1116"/>
      <c r="E867" s="1116"/>
      <c r="F867" s="1116"/>
      <c r="G867" s="1116"/>
      <c r="H867" s="1116"/>
      <c r="I867" s="1116"/>
      <c r="J867" s="1116"/>
      <c r="K867" s="1116"/>
      <c r="L867" s="1116"/>
      <c r="M867" s="1116"/>
      <c r="N867" s="1116"/>
      <c r="O867" s="1116"/>
      <c r="P867" s="1116"/>
      <c r="Q867" s="1116"/>
      <c r="R867" s="1116"/>
      <c r="S867" s="1116"/>
      <c r="T867" s="1116"/>
      <c r="U867" s="1116"/>
      <c r="V867" s="1116"/>
      <c r="W867" s="1116"/>
      <c r="X867" s="1116"/>
      <c r="Y867" s="1116"/>
      <c r="Z867" s="1116"/>
      <c r="AA867" s="1116"/>
      <c r="AB867" s="1116"/>
      <c r="AC867" s="1116"/>
      <c r="AD867" s="1116"/>
      <c r="AE867" s="1116"/>
      <c r="AF867" s="1116"/>
      <c r="AG867" s="1116"/>
      <c r="AH867" s="1116"/>
      <c r="AI867" s="1116"/>
      <c r="AJ867" s="1116"/>
      <c r="AK867" s="1116"/>
    </row>
    <row r="868" spans="1:37" x14ac:dyDescent="0.35">
      <c r="A868" s="1116"/>
      <c r="B868" s="1116"/>
      <c r="C868" s="1116"/>
      <c r="D868" s="1116"/>
      <c r="E868" s="1116"/>
      <c r="F868" s="1116"/>
      <c r="G868" s="1116"/>
      <c r="H868" s="1116"/>
      <c r="I868" s="1116"/>
      <c r="J868" s="1116"/>
      <c r="K868" s="1116"/>
      <c r="L868" s="1116"/>
      <c r="M868" s="1116"/>
      <c r="N868" s="1116"/>
      <c r="O868" s="1116"/>
      <c r="P868" s="1116"/>
      <c r="Q868" s="1116"/>
      <c r="R868" s="1116"/>
      <c r="S868" s="1116"/>
      <c r="T868" s="1116"/>
      <c r="U868" s="1116"/>
      <c r="V868" s="1116"/>
      <c r="W868" s="1116"/>
      <c r="X868" s="1116"/>
      <c r="Y868" s="1116"/>
      <c r="Z868" s="1116"/>
      <c r="AA868" s="1116"/>
      <c r="AB868" s="1116"/>
      <c r="AC868" s="1116"/>
      <c r="AD868" s="1116"/>
      <c r="AE868" s="1116"/>
      <c r="AF868" s="1116"/>
      <c r="AG868" s="1116"/>
      <c r="AH868" s="1116"/>
      <c r="AI868" s="1116"/>
      <c r="AJ868" s="1116"/>
      <c r="AK868" s="1116"/>
    </row>
    <row r="869" spans="1:37" x14ac:dyDescent="0.35">
      <c r="A869" s="1116"/>
      <c r="B869" s="1116"/>
      <c r="C869" s="1116"/>
      <c r="D869" s="1116"/>
      <c r="E869" s="1116"/>
      <c r="F869" s="1116"/>
      <c r="G869" s="1116"/>
      <c r="H869" s="1116"/>
      <c r="I869" s="1116"/>
      <c r="J869" s="1116"/>
      <c r="K869" s="1116"/>
      <c r="L869" s="1116"/>
      <c r="M869" s="1116"/>
      <c r="N869" s="1116"/>
      <c r="O869" s="1116"/>
      <c r="P869" s="1116"/>
      <c r="Q869" s="1116"/>
      <c r="R869" s="1116"/>
      <c r="S869" s="1116"/>
      <c r="T869" s="1116"/>
      <c r="U869" s="1116"/>
      <c r="V869" s="1116"/>
      <c r="W869" s="1116"/>
      <c r="X869" s="1116"/>
      <c r="Y869" s="1116"/>
      <c r="Z869" s="1116"/>
      <c r="AA869" s="1116"/>
      <c r="AB869" s="1116"/>
      <c r="AC869" s="1116"/>
      <c r="AD869" s="1116"/>
      <c r="AE869" s="1116"/>
      <c r="AF869" s="1116"/>
      <c r="AG869" s="1116"/>
      <c r="AH869" s="1116"/>
      <c r="AI869" s="1116"/>
      <c r="AJ869" s="1116"/>
      <c r="AK869" s="1116"/>
    </row>
    <row r="870" spans="1:37" x14ac:dyDescent="0.35">
      <c r="A870" s="1116"/>
      <c r="B870" s="1116"/>
      <c r="C870" s="1116"/>
      <c r="D870" s="1116"/>
      <c r="E870" s="1116"/>
      <c r="F870" s="1116"/>
      <c r="G870" s="1116"/>
      <c r="H870" s="1116"/>
      <c r="I870" s="1116"/>
      <c r="J870" s="1116"/>
      <c r="K870" s="1116"/>
      <c r="L870" s="1116"/>
      <c r="M870" s="1116"/>
      <c r="N870" s="1116"/>
      <c r="O870" s="1116"/>
      <c r="P870" s="1116"/>
      <c r="Q870" s="1116"/>
      <c r="R870" s="1116"/>
      <c r="S870" s="1116"/>
      <c r="T870" s="1116"/>
      <c r="U870" s="1116"/>
      <c r="V870" s="1116"/>
      <c r="W870" s="1116"/>
      <c r="X870" s="1116"/>
      <c r="Y870" s="1116"/>
      <c r="Z870" s="1116"/>
      <c r="AA870" s="1116"/>
      <c r="AB870" s="1116"/>
      <c r="AC870" s="1116"/>
      <c r="AD870" s="1116"/>
      <c r="AE870" s="1116"/>
      <c r="AF870" s="1116"/>
      <c r="AG870" s="1116"/>
      <c r="AH870" s="1116"/>
      <c r="AI870" s="1116"/>
      <c r="AJ870" s="1116"/>
      <c r="AK870" s="1116"/>
    </row>
    <row r="871" spans="1:37" x14ac:dyDescent="0.35">
      <c r="A871" s="1116"/>
      <c r="B871" s="1116"/>
      <c r="C871" s="1116"/>
      <c r="D871" s="1116"/>
      <c r="E871" s="1116"/>
      <c r="F871" s="1116"/>
      <c r="G871" s="1116"/>
      <c r="H871" s="1116"/>
      <c r="I871" s="1116"/>
      <c r="J871" s="1116"/>
      <c r="K871" s="1116"/>
      <c r="L871" s="1116"/>
      <c r="M871" s="1116"/>
      <c r="N871" s="1116"/>
      <c r="O871" s="1116"/>
      <c r="P871" s="1116"/>
      <c r="Q871" s="1116"/>
      <c r="R871" s="1116"/>
      <c r="S871" s="1116"/>
      <c r="T871" s="1116"/>
      <c r="U871" s="1116"/>
      <c r="V871" s="1116"/>
      <c r="W871" s="1116"/>
      <c r="X871" s="1116"/>
      <c r="Y871" s="1116"/>
      <c r="Z871" s="1116"/>
      <c r="AA871" s="1116"/>
      <c r="AB871" s="1116"/>
      <c r="AC871" s="1116"/>
      <c r="AD871" s="1116"/>
      <c r="AE871" s="1116"/>
      <c r="AF871" s="1116"/>
      <c r="AG871" s="1116"/>
      <c r="AH871" s="1116"/>
      <c r="AI871" s="1116"/>
      <c r="AJ871" s="1116"/>
      <c r="AK871" s="1116"/>
    </row>
    <row r="872" spans="1:37" x14ac:dyDescent="0.35">
      <c r="A872" s="1116"/>
      <c r="B872" s="1116"/>
      <c r="C872" s="1116"/>
      <c r="D872" s="1116"/>
      <c r="E872" s="1116"/>
      <c r="F872" s="1116"/>
      <c r="G872" s="1116"/>
      <c r="H872" s="1116"/>
      <c r="I872" s="1116"/>
      <c r="J872" s="1116"/>
      <c r="K872" s="1116"/>
      <c r="L872" s="1116"/>
      <c r="M872" s="1116"/>
      <c r="N872" s="1116"/>
      <c r="O872" s="1116"/>
      <c r="P872" s="1116"/>
      <c r="Q872" s="1116"/>
      <c r="R872" s="1116"/>
      <c r="S872" s="1116"/>
      <c r="T872" s="1116"/>
      <c r="U872" s="1116"/>
      <c r="V872" s="1116"/>
      <c r="W872" s="1116"/>
      <c r="X872" s="1116"/>
      <c r="Y872" s="1116"/>
      <c r="Z872" s="1116"/>
      <c r="AA872" s="1116"/>
      <c r="AB872" s="1116"/>
      <c r="AC872" s="1116"/>
      <c r="AD872" s="1116"/>
      <c r="AE872" s="1116"/>
      <c r="AF872" s="1116"/>
      <c r="AG872" s="1116"/>
      <c r="AH872" s="1116"/>
      <c r="AI872" s="1116"/>
      <c r="AJ872" s="1116"/>
      <c r="AK872" s="1116"/>
    </row>
    <row r="873" spans="1:37" x14ac:dyDescent="0.35">
      <c r="A873" s="1116"/>
      <c r="B873" s="1116"/>
      <c r="C873" s="1116"/>
      <c r="D873" s="1116"/>
      <c r="E873" s="1116"/>
      <c r="F873" s="1116"/>
      <c r="G873" s="1116"/>
      <c r="H873" s="1116"/>
      <c r="I873" s="1116"/>
      <c r="J873" s="1116"/>
      <c r="K873" s="1116"/>
      <c r="L873" s="1116"/>
      <c r="M873" s="1116"/>
      <c r="N873" s="1116"/>
      <c r="O873" s="1116"/>
      <c r="P873" s="1116"/>
      <c r="Q873" s="1116"/>
      <c r="R873" s="1116"/>
      <c r="S873" s="1116"/>
      <c r="T873" s="1116"/>
      <c r="U873" s="1116"/>
      <c r="V873" s="1116"/>
      <c r="W873" s="1116"/>
      <c r="X873" s="1116"/>
      <c r="Y873" s="1116"/>
      <c r="Z873" s="1116"/>
      <c r="AA873" s="1116"/>
      <c r="AB873" s="1116"/>
      <c r="AC873" s="1116"/>
      <c r="AD873" s="1116"/>
      <c r="AE873" s="1116"/>
      <c r="AF873" s="1116"/>
      <c r="AG873" s="1116"/>
      <c r="AH873" s="1116"/>
      <c r="AI873" s="1116"/>
      <c r="AJ873" s="1116"/>
      <c r="AK873" s="1116"/>
    </row>
    <row r="874" spans="1:37" x14ac:dyDescent="0.35">
      <c r="A874" s="1116"/>
      <c r="B874" s="1116"/>
      <c r="C874" s="1116"/>
      <c r="D874" s="1116"/>
      <c r="E874" s="1116"/>
      <c r="F874" s="1116"/>
      <c r="G874" s="1116"/>
      <c r="H874" s="1116"/>
      <c r="I874" s="1116"/>
      <c r="J874" s="1116"/>
      <c r="K874" s="1116"/>
      <c r="L874" s="1116"/>
      <c r="M874" s="1116"/>
      <c r="N874" s="1116"/>
      <c r="O874" s="1116"/>
      <c r="P874" s="1116"/>
      <c r="Q874" s="1116"/>
      <c r="R874" s="1116"/>
      <c r="S874" s="1116"/>
      <c r="T874" s="1116"/>
      <c r="U874" s="1116"/>
      <c r="V874" s="1116"/>
      <c r="W874" s="1116"/>
      <c r="X874" s="1116"/>
      <c r="Y874" s="1116"/>
      <c r="Z874" s="1116"/>
      <c r="AA874" s="1116"/>
      <c r="AB874" s="1116"/>
      <c r="AC874" s="1116"/>
      <c r="AD874" s="1116"/>
      <c r="AE874" s="1116"/>
      <c r="AF874" s="1116"/>
      <c r="AG874" s="1116"/>
      <c r="AH874" s="1116"/>
      <c r="AI874" s="1116"/>
      <c r="AJ874" s="1116"/>
      <c r="AK874" s="1116"/>
    </row>
    <row r="875" spans="1:37" x14ac:dyDescent="0.35">
      <c r="A875" s="1116"/>
      <c r="B875" s="1116"/>
      <c r="C875" s="1116"/>
      <c r="D875" s="1116"/>
      <c r="E875" s="1116"/>
      <c r="F875" s="1116"/>
      <c r="G875" s="1116"/>
      <c r="H875" s="1116"/>
      <c r="I875" s="1116"/>
      <c r="J875" s="1116"/>
      <c r="K875" s="1116"/>
      <c r="L875" s="1116"/>
      <c r="M875" s="1116"/>
      <c r="N875" s="1116"/>
      <c r="O875" s="1116"/>
      <c r="P875" s="1116"/>
      <c r="Q875" s="1116"/>
      <c r="R875" s="1116"/>
      <c r="S875" s="1116"/>
      <c r="T875" s="1116"/>
      <c r="U875" s="1116"/>
      <c r="V875" s="1116"/>
      <c r="W875" s="1116"/>
      <c r="X875" s="1116"/>
      <c r="Y875" s="1116"/>
      <c r="Z875" s="1116"/>
      <c r="AA875" s="1116"/>
      <c r="AB875" s="1116"/>
      <c r="AC875" s="1116"/>
      <c r="AD875" s="1116"/>
      <c r="AE875" s="1116"/>
      <c r="AF875" s="1116"/>
      <c r="AG875" s="1116"/>
      <c r="AH875" s="1116"/>
      <c r="AI875" s="1116"/>
      <c r="AJ875" s="1116"/>
      <c r="AK875" s="1116"/>
    </row>
    <row r="876" spans="1:37" x14ac:dyDescent="0.35">
      <c r="A876" s="1116"/>
      <c r="B876" s="1116"/>
      <c r="C876" s="1116"/>
      <c r="D876" s="1116"/>
      <c r="E876" s="1116"/>
      <c r="F876" s="1116"/>
      <c r="G876" s="1116"/>
      <c r="H876" s="1116"/>
      <c r="I876" s="1116"/>
      <c r="J876" s="1116"/>
      <c r="K876" s="1116"/>
      <c r="L876" s="1116"/>
      <c r="M876" s="1116"/>
      <c r="N876" s="1116"/>
      <c r="O876" s="1116"/>
      <c r="P876" s="1116"/>
      <c r="Q876" s="1116"/>
      <c r="R876" s="1116"/>
      <c r="S876" s="1116"/>
      <c r="T876" s="1116"/>
      <c r="U876" s="1116"/>
      <c r="V876" s="1116"/>
      <c r="W876" s="1116"/>
      <c r="X876" s="1116"/>
      <c r="Y876" s="1116"/>
      <c r="Z876" s="1116"/>
      <c r="AA876" s="1116"/>
      <c r="AB876" s="1116"/>
      <c r="AC876" s="1116"/>
      <c r="AD876" s="1116"/>
      <c r="AE876" s="1116"/>
      <c r="AF876" s="1116"/>
      <c r="AG876" s="1116"/>
      <c r="AH876" s="1116"/>
      <c r="AI876" s="1116"/>
      <c r="AJ876" s="1116"/>
      <c r="AK876" s="1116"/>
    </row>
    <row r="877" spans="1:37" x14ac:dyDescent="0.35">
      <c r="A877" s="1116"/>
      <c r="B877" s="1116"/>
      <c r="C877" s="1116"/>
      <c r="D877" s="1116"/>
      <c r="E877" s="1116"/>
      <c r="F877" s="1116"/>
      <c r="G877" s="1116"/>
      <c r="H877" s="1116"/>
      <c r="I877" s="1116"/>
      <c r="J877" s="1116"/>
      <c r="K877" s="1116"/>
      <c r="L877" s="1116"/>
      <c r="M877" s="1116"/>
      <c r="N877" s="1116"/>
      <c r="O877" s="1116"/>
      <c r="P877" s="1116"/>
      <c r="Q877" s="1116"/>
      <c r="R877" s="1116"/>
      <c r="S877" s="1116"/>
      <c r="T877" s="1116"/>
      <c r="U877" s="1116"/>
      <c r="V877" s="1116"/>
      <c r="W877" s="1116"/>
      <c r="X877" s="1116"/>
      <c r="Y877" s="1116"/>
      <c r="Z877" s="1116"/>
      <c r="AA877" s="1116"/>
      <c r="AB877" s="1116"/>
      <c r="AC877" s="1116"/>
      <c r="AD877" s="1116"/>
      <c r="AE877" s="1116"/>
      <c r="AF877" s="1116"/>
      <c r="AG877" s="1116"/>
      <c r="AH877" s="1116"/>
      <c r="AI877" s="1116"/>
      <c r="AJ877" s="1116"/>
      <c r="AK877" s="1116"/>
    </row>
    <row r="878" spans="1:37" x14ac:dyDescent="0.35">
      <c r="A878" s="1116"/>
      <c r="B878" s="1116"/>
      <c r="C878" s="1116"/>
      <c r="D878" s="1116"/>
      <c r="E878" s="1116"/>
      <c r="F878" s="1116"/>
      <c r="G878" s="1116"/>
      <c r="H878" s="1116"/>
      <c r="I878" s="1116"/>
      <c r="J878" s="1116"/>
      <c r="K878" s="1116"/>
      <c r="L878" s="1116"/>
      <c r="M878" s="1116"/>
      <c r="N878" s="1116"/>
      <c r="O878" s="1116"/>
      <c r="P878" s="1116"/>
      <c r="Q878" s="1116"/>
      <c r="R878" s="1116"/>
      <c r="S878" s="1116"/>
      <c r="T878" s="1116"/>
      <c r="U878" s="1116"/>
      <c r="V878" s="1116"/>
      <c r="W878" s="1116"/>
      <c r="X878" s="1116"/>
      <c r="Y878" s="1116"/>
      <c r="Z878" s="1116"/>
      <c r="AA878" s="1116"/>
      <c r="AB878" s="1116"/>
      <c r="AC878" s="1116"/>
      <c r="AD878" s="1116"/>
      <c r="AE878" s="1116"/>
      <c r="AF878" s="1116"/>
      <c r="AG878" s="1116"/>
      <c r="AH878" s="1116"/>
      <c r="AI878" s="1116"/>
      <c r="AJ878" s="1116"/>
      <c r="AK878" s="1116"/>
    </row>
    <row r="879" spans="1:37" x14ac:dyDescent="0.35">
      <c r="A879" s="1116"/>
      <c r="B879" s="1116"/>
      <c r="C879" s="1116"/>
      <c r="D879" s="1116"/>
      <c r="E879" s="1116"/>
      <c r="F879" s="1116"/>
      <c r="G879" s="1116"/>
      <c r="H879" s="1116"/>
      <c r="I879" s="1116"/>
      <c r="J879" s="1116"/>
      <c r="K879" s="1116"/>
      <c r="L879" s="1116"/>
      <c r="M879" s="1116"/>
      <c r="N879" s="1116"/>
      <c r="O879" s="1116"/>
      <c r="P879" s="1116"/>
      <c r="Q879" s="1116"/>
      <c r="R879" s="1116"/>
      <c r="S879" s="1116"/>
      <c r="T879" s="1116"/>
      <c r="U879" s="1116"/>
      <c r="V879" s="1116"/>
      <c r="W879" s="1116"/>
      <c r="X879" s="1116"/>
      <c r="Y879" s="1116"/>
      <c r="Z879" s="1116"/>
      <c r="AA879" s="1116"/>
      <c r="AB879" s="1116"/>
      <c r="AC879" s="1116"/>
      <c r="AD879" s="1116"/>
      <c r="AE879" s="1116"/>
      <c r="AF879" s="1116"/>
      <c r="AG879" s="1116"/>
      <c r="AH879" s="1116"/>
      <c r="AI879" s="1116"/>
      <c r="AJ879" s="1116"/>
      <c r="AK879" s="1116"/>
    </row>
    <row r="880" spans="1:37" x14ac:dyDescent="0.35">
      <c r="A880" s="1116"/>
      <c r="B880" s="1116"/>
      <c r="C880" s="1116"/>
      <c r="D880" s="1116"/>
      <c r="E880" s="1116"/>
      <c r="F880" s="1116"/>
      <c r="G880" s="1116"/>
      <c r="H880" s="1116"/>
      <c r="I880" s="1116"/>
      <c r="J880" s="1116"/>
      <c r="K880" s="1116"/>
      <c r="L880" s="1116"/>
      <c r="M880" s="1116"/>
      <c r="N880" s="1116"/>
      <c r="O880" s="1116"/>
      <c r="P880" s="1116"/>
      <c r="Q880" s="1116"/>
      <c r="R880" s="1116"/>
      <c r="S880" s="1116"/>
      <c r="T880" s="1116"/>
      <c r="U880" s="1116"/>
      <c r="V880" s="1116"/>
      <c r="W880" s="1116"/>
      <c r="X880" s="1116"/>
      <c r="Y880" s="1116"/>
      <c r="Z880" s="1116"/>
      <c r="AA880" s="1116"/>
      <c r="AB880" s="1116"/>
      <c r="AC880" s="1116"/>
      <c r="AD880" s="1116"/>
      <c r="AE880" s="1116"/>
      <c r="AF880" s="1116"/>
      <c r="AG880" s="1116"/>
      <c r="AH880" s="1116"/>
      <c r="AI880" s="1116"/>
      <c r="AJ880" s="1116"/>
      <c r="AK880" s="1116"/>
    </row>
    <row r="881" spans="1:37" x14ac:dyDescent="0.35">
      <c r="A881" s="1116"/>
      <c r="B881" s="1116"/>
      <c r="C881" s="1116"/>
      <c r="D881" s="1116"/>
      <c r="E881" s="1116"/>
      <c r="F881" s="1116"/>
      <c r="G881" s="1116"/>
      <c r="H881" s="1116"/>
      <c r="I881" s="1116"/>
      <c r="J881" s="1116"/>
      <c r="K881" s="1116"/>
      <c r="L881" s="1116"/>
      <c r="M881" s="1116"/>
      <c r="N881" s="1116"/>
      <c r="O881" s="1116"/>
      <c r="P881" s="1116"/>
      <c r="Q881" s="1116"/>
      <c r="R881" s="1116"/>
      <c r="S881" s="1116"/>
      <c r="T881" s="1116"/>
      <c r="U881" s="1116"/>
      <c r="V881" s="1116"/>
      <c r="W881" s="1116"/>
      <c r="X881" s="1116"/>
      <c r="Y881" s="1116"/>
      <c r="Z881" s="1116"/>
      <c r="AA881" s="1116"/>
      <c r="AB881" s="1116"/>
      <c r="AC881" s="1116"/>
      <c r="AD881" s="1116"/>
      <c r="AE881" s="1116"/>
      <c r="AF881" s="1116"/>
      <c r="AG881" s="1116"/>
      <c r="AH881" s="1116"/>
      <c r="AI881" s="1116"/>
      <c r="AJ881" s="1116"/>
      <c r="AK881" s="1116"/>
    </row>
    <row r="882" spans="1:37" x14ac:dyDescent="0.35">
      <c r="A882" s="1116"/>
      <c r="B882" s="1116"/>
      <c r="C882" s="1116"/>
      <c r="D882" s="1116"/>
      <c r="E882" s="1116"/>
      <c r="F882" s="1116"/>
      <c r="G882" s="1116"/>
      <c r="H882" s="1116"/>
      <c r="I882" s="1116"/>
      <c r="J882" s="1116"/>
      <c r="K882" s="1116"/>
      <c r="L882" s="1116"/>
      <c r="M882" s="1116"/>
      <c r="N882" s="1116"/>
      <c r="O882" s="1116"/>
      <c r="P882" s="1116"/>
      <c r="Q882" s="1116"/>
      <c r="R882" s="1116"/>
      <c r="S882" s="1116"/>
      <c r="T882" s="1116"/>
      <c r="U882" s="1116"/>
      <c r="V882" s="1116"/>
      <c r="W882" s="1116"/>
      <c r="X882" s="1116"/>
      <c r="Y882" s="1116"/>
      <c r="Z882" s="1116"/>
      <c r="AA882" s="1116"/>
      <c r="AB882" s="1116"/>
      <c r="AC882" s="1116"/>
      <c r="AD882" s="1116"/>
      <c r="AE882" s="1116"/>
      <c r="AF882" s="1116"/>
      <c r="AG882" s="1116"/>
      <c r="AH882" s="1116"/>
      <c r="AI882" s="1116"/>
      <c r="AJ882" s="1116"/>
      <c r="AK882" s="1116"/>
    </row>
    <row r="883" spans="1:37" x14ac:dyDescent="0.35">
      <c r="A883" s="1116"/>
      <c r="B883" s="1116"/>
      <c r="C883" s="1116"/>
      <c r="D883" s="1116"/>
      <c r="E883" s="1116"/>
      <c r="F883" s="1116"/>
      <c r="G883" s="1116"/>
      <c r="H883" s="1116"/>
      <c r="I883" s="1116"/>
      <c r="J883" s="1116"/>
      <c r="K883" s="1116"/>
      <c r="L883" s="1116"/>
      <c r="M883" s="1116"/>
      <c r="N883" s="1116"/>
      <c r="O883" s="1116"/>
      <c r="P883" s="1116"/>
      <c r="Q883" s="1116"/>
      <c r="R883" s="1116"/>
      <c r="S883" s="1116"/>
      <c r="T883" s="1116"/>
      <c r="U883" s="1116"/>
      <c r="V883" s="1116"/>
      <c r="W883" s="1116"/>
      <c r="X883" s="1116"/>
      <c r="Y883" s="1116"/>
      <c r="Z883" s="1116"/>
      <c r="AA883" s="1116"/>
      <c r="AB883" s="1116"/>
      <c r="AC883" s="1116"/>
      <c r="AD883" s="1116"/>
      <c r="AE883" s="1116"/>
      <c r="AF883" s="1116"/>
      <c r="AG883" s="1116"/>
      <c r="AH883" s="1116"/>
      <c r="AI883" s="1116"/>
      <c r="AJ883" s="1116"/>
      <c r="AK883" s="1116"/>
    </row>
    <row r="884" spans="1:37" x14ac:dyDescent="0.35">
      <c r="A884" s="1116"/>
      <c r="B884" s="1116"/>
      <c r="C884" s="1116"/>
      <c r="D884" s="1116"/>
      <c r="E884" s="1116"/>
      <c r="F884" s="1116"/>
      <c r="G884" s="1116"/>
      <c r="H884" s="1116"/>
      <c r="I884" s="1116"/>
      <c r="J884" s="1116"/>
      <c r="K884" s="1116"/>
      <c r="L884" s="1116"/>
      <c r="M884" s="1116"/>
      <c r="N884" s="1116"/>
      <c r="O884" s="1116"/>
      <c r="P884" s="1116"/>
      <c r="Q884" s="1116"/>
      <c r="R884" s="1116"/>
      <c r="S884" s="1116"/>
      <c r="T884" s="1116"/>
      <c r="U884" s="1116"/>
      <c r="V884" s="1116"/>
      <c r="W884" s="1116"/>
      <c r="X884" s="1116"/>
      <c r="Y884" s="1116"/>
      <c r="Z884" s="1116"/>
      <c r="AA884" s="1116"/>
      <c r="AB884" s="1116"/>
      <c r="AC884" s="1116"/>
      <c r="AD884" s="1116"/>
      <c r="AE884" s="1116"/>
      <c r="AF884" s="1116"/>
      <c r="AG884" s="1116"/>
      <c r="AH884" s="1116"/>
      <c r="AI884" s="1116"/>
      <c r="AJ884" s="1116"/>
      <c r="AK884" s="1116"/>
    </row>
    <row r="885" spans="1:37" x14ac:dyDescent="0.35">
      <c r="A885" s="1116"/>
      <c r="B885" s="1116"/>
      <c r="C885" s="1116"/>
      <c r="D885" s="1116"/>
      <c r="E885" s="1116"/>
      <c r="F885" s="1116"/>
      <c r="G885" s="1116"/>
      <c r="H885" s="1116"/>
      <c r="I885" s="1116"/>
      <c r="J885" s="1116"/>
      <c r="K885" s="1116"/>
      <c r="L885" s="1116"/>
      <c r="M885" s="1116"/>
      <c r="N885" s="1116"/>
      <c r="O885" s="1116"/>
      <c r="P885" s="1116"/>
      <c r="Q885" s="1116"/>
      <c r="R885" s="1116"/>
      <c r="S885" s="1116"/>
      <c r="T885" s="1116"/>
      <c r="U885" s="1116"/>
      <c r="V885" s="1116"/>
      <c r="W885" s="1116"/>
      <c r="X885" s="1116"/>
      <c r="Y885" s="1116"/>
      <c r="Z885" s="1116"/>
      <c r="AA885" s="1116"/>
      <c r="AB885" s="1116"/>
      <c r="AC885" s="1116"/>
      <c r="AD885" s="1116"/>
      <c r="AE885" s="1116"/>
      <c r="AF885" s="1116"/>
      <c r="AG885" s="1116"/>
      <c r="AH885" s="1116"/>
      <c r="AI885" s="1116"/>
      <c r="AJ885" s="1116"/>
      <c r="AK885" s="1116"/>
    </row>
    <row r="886" spans="1:37" x14ac:dyDescent="0.35">
      <c r="A886" s="1116"/>
      <c r="B886" s="1116"/>
      <c r="C886" s="1116"/>
      <c r="D886" s="1116"/>
      <c r="E886" s="1116"/>
      <c r="F886" s="1116"/>
      <c r="G886" s="1116"/>
      <c r="H886" s="1116"/>
      <c r="I886" s="1116"/>
      <c r="J886" s="1116"/>
      <c r="K886" s="1116"/>
      <c r="L886" s="1116"/>
      <c r="M886" s="1116"/>
      <c r="N886" s="1116"/>
      <c r="O886" s="1116"/>
      <c r="P886" s="1116"/>
      <c r="Q886" s="1116"/>
      <c r="R886" s="1116"/>
      <c r="S886" s="1116"/>
      <c r="T886" s="1116"/>
      <c r="U886" s="1116"/>
      <c r="V886" s="1116"/>
      <c r="W886" s="1116"/>
      <c r="X886" s="1116"/>
      <c r="Y886" s="1116"/>
      <c r="Z886" s="1116"/>
      <c r="AA886" s="1116"/>
      <c r="AB886" s="1116"/>
      <c r="AC886" s="1116"/>
      <c r="AD886" s="1116"/>
      <c r="AE886" s="1116"/>
      <c r="AF886" s="1116"/>
      <c r="AG886" s="1116"/>
      <c r="AH886" s="1116"/>
      <c r="AI886" s="1116"/>
      <c r="AJ886" s="1116"/>
      <c r="AK886" s="1116"/>
    </row>
    <row r="887" spans="1:37" x14ac:dyDescent="0.35">
      <c r="A887" s="1116"/>
      <c r="B887" s="1116"/>
      <c r="C887" s="1116"/>
      <c r="D887" s="1116"/>
      <c r="E887" s="1116"/>
      <c r="F887" s="1116"/>
      <c r="G887" s="1116"/>
      <c r="H887" s="1116"/>
      <c r="I887" s="1116"/>
      <c r="J887" s="1116"/>
      <c r="K887" s="1116"/>
      <c r="L887" s="1116"/>
      <c r="M887" s="1116"/>
      <c r="N887" s="1116"/>
      <c r="O887" s="1116"/>
      <c r="P887" s="1116"/>
      <c r="Q887" s="1116"/>
      <c r="R887" s="1116"/>
      <c r="S887" s="1116"/>
      <c r="T887" s="1116"/>
      <c r="U887" s="1116"/>
      <c r="V887" s="1116"/>
      <c r="W887" s="1116"/>
      <c r="X887" s="1116"/>
      <c r="Y887" s="1116"/>
      <c r="Z887" s="1116"/>
      <c r="AA887" s="1116"/>
      <c r="AB887" s="1116"/>
      <c r="AC887" s="1116"/>
      <c r="AD887" s="1116"/>
      <c r="AE887" s="1116"/>
      <c r="AF887" s="1116"/>
      <c r="AG887" s="1116"/>
      <c r="AH887" s="1116"/>
      <c r="AI887" s="1116"/>
      <c r="AJ887" s="1116"/>
      <c r="AK887" s="1116"/>
    </row>
    <row r="888" spans="1:37" x14ac:dyDescent="0.35">
      <c r="A888" s="1116"/>
      <c r="B888" s="1116"/>
      <c r="C888" s="1116"/>
      <c r="D888" s="1116"/>
      <c r="E888" s="1116"/>
      <c r="F888" s="1116"/>
      <c r="G888" s="1116"/>
      <c r="H888" s="1116"/>
      <c r="I888" s="1116"/>
      <c r="J888" s="1116"/>
      <c r="K888" s="1116"/>
      <c r="L888" s="1116"/>
      <c r="M888" s="1116"/>
      <c r="N888" s="1116"/>
      <c r="O888" s="1116"/>
      <c r="P888" s="1116"/>
      <c r="Q888" s="1116"/>
      <c r="R888" s="1116"/>
      <c r="S888" s="1116"/>
      <c r="T888" s="1116"/>
      <c r="U888" s="1116"/>
      <c r="V888" s="1116"/>
      <c r="W888" s="1116"/>
      <c r="X888" s="1116"/>
      <c r="Y888" s="1116"/>
      <c r="Z888" s="1116"/>
      <c r="AA888" s="1116"/>
      <c r="AB888" s="1116"/>
      <c r="AC888" s="1116"/>
      <c r="AD888" s="1116"/>
      <c r="AE888" s="1116"/>
      <c r="AF888" s="1116"/>
      <c r="AG888" s="1116"/>
      <c r="AH888" s="1116"/>
      <c r="AI888" s="1116"/>
      <c r="AJ888" s="1116"/>
      <c r="AK888" s="1116"/>
    </row>
    <row r="889" spans="1:37" x14ac:dyDescent="0.35">
      <c r="A889" s="1116"/>
      <c r="B889" s="1116"/>
      <c r="C889" s="1116"/>
      <c r="D889" s="1116"/>
      <c r="E889" s="1116"/>
      <c r="F889" s="1116"/>
      <c r="G889" s="1116"/>
      <c r="H889" s="1116"/>
      <c r="I889" s="1116"/>
      <c r="J889" s="1116"/>
      <c r="K889" s="1116"/>
      <c r="L889" s="1116"/>
      <c r="M889" s="1116"/>
      <c r="N889" s="1116"/>
      <c r="O889" s="1116"/>
      <c r="P889" s="1116"/>
      <c r="Q889" s="1116"/>
      <c r="R889" s="1116"/>
      <c r="S889" s="1116"/>
      <c r="T889" s="1116"/>
      <c r="U889" s="1116"/>
      <c r="V889" s="1116"/>
      <c r="W889" s="1116"/>
      <c r="X889" s="1116"/>
      <c r="Y889" s="1116"/>
      <c r="Z889" s="1116"/>
      <c r="AA889" s="1116"/>
      <c r="AB889" s="1116"/>
      <c r="AC889" s="1116"/>
      <c r="AD889" s="1116"/>
      <c r="AE889" s="1116"/>
      <c r="AF889" s="1116"/>
      <c r="AG889" s="1116"/>
      <c r="AH889" s="1116"/>
      <c r="AI889" s="1116"/>
      <c r="AJ889" s="1116"/>
      <c r="AK889" s="1116"/>
    </row>
    <row r="890" spans="1:37" x14ac:dyDescent="0.35">
      <c r="A890" s="1116"/>
      <c r="B890" s="1116"/>
      <c r="C890" s="1116"/>
      <c r="D890" s="1116"/>
      <c r="E890" s="1116"/>
      <c r="F890" s="1116"/>
      <c r="G890" s="1116"/>
      <c r="H890" s="1116"/>
      <c r="I890" s="1116"/>
      <c r="J890" s="1116"/>
      <c r="K890" s="1116"/>
      <c r="L890" s="1116"/>
      <c r="M890" s="1116"/>
      <c r="N890" s="1116"/>
      <c r="O890" s="1116"/>
      <c r="P890" s="1116"/>
      <c r="Q890" s="1116"/>
      <c r="R890" s="1116"/>
      <c r="S890" s="1116"/>
      <c r="T890" s="1116"/>
      <c r="U890" s="1116"/>
      <c r="V890" s="1116"/>
      <c r="W890" s="1116"/>
      <c r="X890" s="1116"/>
      <c r="Y890" s="1116"/>
      <c r="Z890" s="1116"/>
      <c r="AA890" s="1116"/>
      <c r="AB890" s="1116"/>
      <c r="AC890" s="1116"/>
      <c r="AD890" s="1116"/>
      <c r="AE890" s="1116"/>
      <c r="AF890" s="1116"/>
      <c r="AG890" s="1116"/>
      <c r="AH890" s="1116"/>
      <c r="AI890" s="1116"/>
      <c r="AJ890" s="1116"/>
      <c r="AK890" s="1116"/>
    </row>
    <row r="891" spans="1:37" x14ac:dyDescent="0.35">
      <c r="A891" s="1116"/>
      <c r="B891" s="1116"/>
      <c r="C891" s="1116"/>
      <c r="D891" s="1116"/>
      <c r="E891" s="1116"/>
      <c r="F891" s="1116"/>
      <c r="G891" s="1116"/>
      <c r="H891" s="1116"/>
      <c r="I891" s="1116"/>
      <c r="J891" s="1116"/>
      <c r="K891" s="1116"/>
      <c r="L891" s="1116"/>
      <c r="M891" s="1116"/>
      <c r="N891" s="1116"/>
      <c r="O891" s="1116"/>
      <c r="P891" s="1116"/>
      <c r="Q891" s="1116"/>
      <c r="R891" s="1116"/>
      <c r="S891" s="1116"/>
      <c r="T891" s="1116"/>
      <c r="U891" s="1116"/>
      <c r="V891" s="1116"/>
      <c r="W891" s="1116"/>
      <c r="X891" s="1116"/>
      <c r="Y891" s="1116"/>
      <c r="Z891" s="1116"/>
      <c r="AA891" s="1116"/>
      <c r="AB891" s="1116"/>
      <c r="AC891" s="1116"/>
      <c r="AD891" s="1116"/>
      <c r="AE891" s="1116"/>
      <c r="AF891" s="1116"/>
      <c r="AG891" s="1116"/>
      <c r="AH891" s="1116"/>
      <c r="AI891" s="1116"/>
      <c r="AJ891" s="1116"/>
      <c r="AK891" s="1116"/>
    </row>
    <row r="892" spans="1:37" x14ac:dyDescent="0.35">
      <c r="A892" s="1116"/>
      <c r="B892" s="1116"/>
      <c r="C892" s="1116"/>
      <c r="D892" s="1116"/>
      <c r="E892" s="1116"/>
      <c r="F892" s="1116"/>
      <c r="G892" s="1116"/>
      <c r="H892" s="1116"/>
      <c r="I892" s="1116"/>
      <c r="J892" s="1116"/>
      <c r="K892" s="1116"/>
      <c r="L892" s="1116"/>
      <c r="M892" s="1116"/>
      <c r="N892" s="1116"/>
      <c r="O892" s="1116"/>
      <c r="P892" s="1116"/>
      <c r="Q892" s="1116"/>
      <c r="R892" s="1116"/>
      <c r="S892" s="1116"/>
      <c r="T892" s="1116"/>
      <c r="U892" s="1116"/>
      <c r="V892" s="1116"/>
      <c r="W892" s="1116"/>
      <c r="X892" s="1116"/>
      <c r="Y892" s="1116"/>
      <c r="Z892" s="1116"/>
      <c r="AA892" s="1116"/>
      <c r="AB892" s="1116"/>
      <c r="AC892" s="1116"/>
      <c r="AD892" s="1116"/>
      <c r="AE892" s="1116"/>
      <c r="AF892" s="1116"/>
      <c r="AG892" s="1116"/>
      <c r="AH892" s="1116"/>
      <c r="AI892" s="1116"/>
      <c r="AJ892" s="1116"/>
      <c r="AK892" s="1116"/>
    </row>
    <row r="893" spans="1:37" x14ac:dyDescent="0.35">
      <c r="A893" s="1116"/>
      <c r="B893" s="1116"/>
      <c r="C893" s="1116"/>
      <c r="D893" s="1116"/>
      <c r="E893" s="1116"/>
      <c r="F893" s="1116"/>
      <c r="G893" s="1116"/>
      <c r="H893" s="1116"/>
      <c r="I893" s="1116"/>
      <c r="J893" s="1116"/>
      <c r="K893" s="1116"/>
      <c r="L893" s="1116"/>
      <c r="M893" s="1116"/>
      <c r="N893" s="1116"/>
      <c r="O893" s="1116"/>
      <c r="P893" s="1116"/>
      <c r="Q893" s="1116"/>
      <c r="R893" s="1116"/>
      <c r="S893" s="1116"/>
      <c r="T893" s="1116"/>
      <c r="U893" s="1116"/>
      <c r="V893" s="1116"/>
      <c r="W893" s="1116"/>
      <c r="X893" s="1116"/>
      <c r="Y893" s="1116"/>
      <c r="Z893" s="1116"/>
      <c r="AA893" s="1116"/>
      <c r="AB893" s="1116"/>
      <c r="AC893" s="1116"/>
      <c r="AD893" s="1116"/>
      <c r="AE893" s="1116"/>
      <c r="AF893" s="1116"/>
      <c r="AG893" s="1116"/>
      <c r="AH893" s="1116"/>
      <c r="AI893" s="1116"/>
      <c r="AJ893" s="1116"/>
      <c r="AK893" s="1116"/>
    </row>
    <row r="894" spans="1:37" x14ac:dyDescent="0.35">
      <c r="A894" s="1116"/>
      <c r="B894" s="1116"/>
      <c r="C894" s="1116"/>
      <c r="D894" s="1116"/>
      <c r="E894" s="1116"/>
      <c r="F894" s="1116"/>
      <c r="G894" s="1116"/>
      <c r="H894" s="1116"/>
      <c r="I894" s="1116"/>
      <c r="J894" s="1116"/>
      <c r="K894" s="1116"/>
      <c r="L894" s="1116"/>
      <c r="M894" s="1116"/>
      <c r="N894" s="1116"/>
      <c r="O894" s="1116"/>
      <c r="P894" s="1116"/>
      <c r="Q894" s="1116"/>
      <c r="R894" s="1116"/>
      <c r="S894" s="1116"/>
      <c r="T894" s="1116"/>
      <c r="U894" s="1116"/>
      <c r="V894" s="1116"/>
      <c r="W894" s="1116"/>
      <c r="X894" s="1116"/>
      <c r="Y894" s="1116"/>
      <c r="Z894" s="1116"/>
      <c r="AA894" s="1116"/>
      <c r="AB894" s="1116"/>
      <c r="AC894" s="1116"/>
      <c r="AD894" s="1116"/>
      <c r="AE894" s="1116"/>
      <c r="AF894" s="1116"/>
      <c r="AG894" s="1116"/>
      <c r="AH894" s="1116"/>
      <c r="AI894" s="1116"/>
      <c r="AJ894" s="1116"/>
      <c r="AK894" s="1116"/>
    </row>
    <row r="895" spans="1:37" x14ac:dyDescent="0.35">
      <c r="A895" s="1116"/>
      <c r="B895" s="1116"/>
      <c r="C895" s="1116"/>
      <c r="D895" s="1116"/>
      <c r="E895" s="1116"/>
      <c r="F895" s="1116"/>
      <c r="G895" s="1116"/>
      <c r="H895" s="1116"/>
      <c r="I895" s="1116"/>
      <c r="J895" s="1116"/>
      <c r="K895" s="1116"/>
      <c r="L895" s="1116"/>
      <c r="M895" s="1116"/>
      <c r="N895" s="1116"/>
      <c r="O895" s="1116"/>
      <c r="P895" s="1116"/>
      <c r="Q895" s="1116"/>
      <c r="R895" s="1116"/>
      <c r="S895" s="1116"/>
      <c r="T895" s="1116"/>
      <c r="U895" s="1116"/>
      <c r="V895" s="1116"/>
      <c r="W895" s="1116"/>
      <c r="X895" s="1116"/>
      <c r="Y895" s="1116"/>
      <c r="Z895" s="1116"/>
      <c r="AA895" s="1116"/>
      <c r="AB895" s="1116"/>
      <c r="AC895" s="1116"/>
      <c r="AD895" s="1116"/>
      <c r="AE895" s="1116"/>
      <c r="AF895" s="1116"/>
      <c r="AG895" s="1116"/>
      <c r="AH895" s="1116"/>
      <c r="AI895" s="1116"/>
      <c r="AJ895" s="1116"/>
      <c r="AK895" s="1116"/>
    </row>
    <row r="896" spans="1:37" x14ac:dyDescent="0.35">
      <c r="A896" s="1116"/>
      <c r="B896" s="1116"/>
      <c r="C896" s="1116"/>
      <c r="D896" s="1116"/>
      <c r="E896" s="1116"/>
      <c r="F896" s="1116"/>
      <c r="G896" s="1116"/>
      <c r="H896" s="1116"/>
      <c r="I896" s="1116"/>
      <c r="J896" s="1116"/>
      <c r="K896" s="1116"/>
      <c r="L896" s="1116"/>
      <c r="M896" s="1116"/>
      <c r="N896" s="1116"/>
      <c r="O896" s="1116"/>
      <c r="P896" s="1116"/>
      <c r="Q896" s="1116"/>
      <c r="R896" s="1116"/>
      <c r="S896" s="1116"/>
      <c r="T896" s="1116"/>
      <c r="U896" s="1116"/>
      <c r="V896" s="1116"/>
      <c r="W896" s="1116"/>
      <c r="X896" s="1116"/>
      <c r="Y896" s="1116"/>
      <c r="Z896" s="1116"/>
      <c r="AA896" s="1116"/>
      <c r="AB896" s="1116"/>
      <c r="AC896" s="1116"/>
      <c r="AD896" s="1116"/>
      <c r="AE896" s="1116"/>
      <c r="AF896" s="1116"/>
      <c r="AG896" s="1116"/>
      <c r="AH896" s="1116"/>
      <c r="AI896" s="1116"/>
      <c r="AJ896" s="1116"/>
      <c r="AK896" s="1116"/>
    </row>
    <row r="897" spans="1:37" x14ac:dyDescent="0.35">
      <c r="A897" s="1116"/>
      <c r="B897" s="1116"/>
      <c r="C897" s="1116"/>
      <c r="D897" s="1116"/>
      <c r="E897" s="1116"/>
      <c r="F897" s="1116"/>
      <c r="G897" s="1116"/>
      <c r="H897" s="1116"/>
      <c r="I897" s="1116"/>
      <c r="J897" s="1116"/>
      <c r="K897" s="1116"/>
      <c r="L897" s="1116"/>
      <c r="M897" s="1116"/>
      <c r="N897" s="1116"/>
      <c r="O897" s="1116"/>
      <c r="P897" s="1116"/>
      <c r="Q897" s="1116"/>
      <c r="R897" s="1116"/>
      <c r="S897" s="1116"/>
      <c r="T897" s="1116"/>
      <c r="U897" s="1116"/>
      <c r="V897" s="1116"/>
      <c r="W897" s="1116"/>
      <c r="X897" s="1116"/>
      <c r="Y897" s="1116"/>
      <c r="Z897" s="1116"/>
      <c r="AA897" s="1116"/>
      <c r="AB897" s="1116"/>
      <c r="AC897" s="1116"/>
      <c r="AD897" s="1116"/>
      <c r="AE897" s="1116"/>
      <c r="AF897" s="1116"/>
      <c r="AG897" s="1116"/>
      <c r="AH897" s="1116"/>
      <c r="AI897" s="1116"/>
      <c r="AJ897" s="1116"/>
      <c r="AK897" s="1116"/>
    </row>
    <row r="898" spans="1:37" x14ac:dyDescent="0.35">
      <c r="A898" s="1116"/>
      <c r="B898" s="1116"/>
      <c r="C898" s="1116"/>
      <c r="D898" s="1116"/>
      <c r="E898" s="1116"/>
      <c r="F898" s="1116"/>
      <c r="G898" s="1116"/>
      <c r="H898" s="1116"/>
      <c r="I898" s="1116"/>
      <c r="J898" s="1116"/>
      <c r="K898" s="1116"/>
      <c r="L898" s="1116"/>
      <c r="M898" s="1116"/>
      <c r="N898" s="1116"/>
      <c r="O898" s="1116"/>
      <c r="P898" s="1116"/>
      <c r="Q898" s="1116"/>
      <c r="R898" s="1116"/>
      <c r="S898" s="1116"/>
      <c r="T898" s="1116"/>
      <c r="U898" s="1116"/>
      <c r="V898" s="1116"/>
      <c r="W898" s="1116"/>
      <c r="X898" s="1116"/>
      <c r="Y898" s="1116"/>
      <c r="Z898" s="1116"/>
      <c r="AA898" s="1116"/>
      <c r="AB898" s="1116"/>
      <c r="AC898" s="1116"/>
      <c r="AD898" s="1116"/>
      <c r="AE898" s="1116"/>
      <c r="AF898" s="1116"/>
      <c r="AG898" s="1116"/>
      <c r="AH898" s="1116"/>
      <c r="AI898" s="1116"/>
      <c r="AJ898" s="1116"/>
      <c r="AK898" s="1116"/>
    </row>
  </sheetData>
  <hyperlinks>
    <hyperlink ref="S6" r:id="rId1" xr:uid="{00000000-0004-0000-1D00-000000000000}"/>
    <hyperlink ref="K7" r:id="rId2" xr:uid="{00000000-0004-0000-1D00-000001000000}"/>
    <hyperlink ref="K8" r:id="rId3" xr:uid="{00000000-0004-0000-1D00-000002000000}"/>
    <hyperlink ref="C7" r:id="rId4" xr:uid="{00000000-0004-0000-1D00-000003000000}"/>
    <hyperlink ref="C8" r:id="rId5" xr:uid="{00000000-0004-0000-1D00-000004000000}"/>
  </hyperlinks>
  <pageMargins left="0.7" right="0.7" top="0.75" bottom="0.75" header="0.3" footer="0.3"/>
  <pageSetup paperSize="9" orientation="portrait" r:id="rId6"/>
  <drawing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N37"/>
  <sheetViews>
    <sheetView zoomScaleNormal="100" workbookViewId="0">
      <pane xSplit="1" ySplit="9" topLeftCell="B10" activePane="bottomRight" state="frozen"/>
      <selection pane="topRight" activeCell="B1" sqref="B1"/>
      <selection pane="bottomLeft" activeCell="A10" sqref="A10"/>
      <selection pane="bottomRight" activeCell="B2" sqref="B2:D2"/>
    </sheetView>
  </sheetViews>
  <sheetFormatPr defaultColWidth="9.19921875" defaultRowHeight="13.5" x14ac:dyDescent="0.35"/>
  <cols>
    <col min="1" max="1" width="9.265625" style="1096" bestFit="1" customWidth="1"/>
    <col min="2" max="2" width="14" style="1096" customWidth="1"/>
    <col min="3" max="4" width="9.265625" style="1096" bestFit="1" customWidth="1"/>
    <col min="5" max="5" width="9.46484375" style="1096" bestFit="1" customWidth="1"/>
    <col min="6" max="9" width="9.265625" style="1096" bestFit="1" customWidth="1"/>
    <col min="10" max="10" width="9.46484375" style="1096" bestFit="1" customWidth="1"/>
    <col min="11" max="221" width="9.265625" style="1096" bestFit="1" customWidth="1"/>
    <col min="222" max="222" width="9.46484375" style="1096" bestFit="1" customWidth="1"/>
    <col min="223" max="329" width="9.265625" style="1096" bestFit="1" customWidth="1"/>
    <col min="330" max="334" width="10.73046875" style="1096" bestFit="1" customWidth="1"/>
    <col min="335" max="352" width="9.265625" style="1096" bestFit="1" customWidth="1"/>
    <col min="353" max="16384" width="9.19921875" style="1096"/>
  </cols>
  <sheetData>
    <row r="1" spans="1:352" ht="17.649999999999999" x14ac:dyDescent="0.5">
      <c r="A1" s="1137" t="s">
        <v>2282</v>
      </c>
    </row>
    <row r="2" spans="1:352" ht="15" x14ac:dyDescent="0.4">
      <c r="B2" s="1136" t="s">
        <v>2304</v>
      </c>
      <c r="C2" s="1136"/>
      <c r="D2" s="1178" t="s">
        <v>1855</v>
      </c>
    </row>
    <row r="3" spans="1:352" ht="13.9" x14ac:dyDescent="0.4">
      <c r="A3" s="1096" t="s">
        <v>178</v>
      </c>
      <c r="B3" s="1102" t="s">
        <v>1857</v>
      </c>
      <c r="C3" s="1096" t="s">
        <v>1857</v>
      </c>
      <c r="D3" s="1096" t="s">
        <v>1857</v>
      </c>
      <c r="E3" s="1096" t="s">
        <v>1857</v>
      </c>
      <c r="F3" s="1096" t="s">
        <v>1857</v>
      </c>
      <c r="G3" s="1096" t="s">
        <v>1857</v>
      </c>
      <c r="H3" s="1096" t="s">
        <v>1857</v>
      </c>
      <c r="I3" s="1096" t="s">
        <v>1857</v>
      </c>
      <c r="J3" s="1096" t="s">
        <v>1857</v>
      </c>
      <c r="K3" s="1096" t="s">
        <v>1857</v>
      </c>
      <c r="L3" s="1096" t="s">
        <v>1857</v>
      </c>
      <c r="M3" s="1096" t="s">
        <v>1857</v>
      </c>
      <c r="N3" s="1096" t="s">
        <v>1857</v>
      </c>
      <c r="O3" s="1096" t="s">
        <v>1857</v>
      </c>
      <c r="P3" s="1096" t="s">
        <v>1857</v>
      </c>
      <c r="Q3" s="1096" t="s">
        <v>1857</v>
      </c>
      <c r="R3" s="1096" t="s">
        <v>1857</v>
      </c>
      <c r="S3" s="1096" t="s">
        <v>1857</v>
      </c>
      <c r="T3" s="1096" t="s">
        <v>1857</v>
      </c>
      <c r="U3" s="1096" t="s">
        <v>1857</v>
      </c>
      <c r="V3" s="1096" t="s">
        <v>1857</v>
      </c>
      <c r="W3" s="1096" t="s">
        <v>1857</v>
      </c>
      <c r="X3" s="1096" t="s">
        <v>1857</v>
      </c>
      <c r="Y3" s="1096" t="s">
        <v>1857</v>
      </c>
      <c r="Z3" s="1096" t="s">
        <v>1857</v>
      </c>
      <c r="AA3" s="1096" t="s">
        <v>1857</v>
      </c>
      <c r="AB3" s="1096" t="s">
        <v>1857</v>
      </c>
      <c r="AC3" s="1096" t="s">
        <v>1857</v>
      </c>
      <c r="AD3" s="1096" t="s">
        <v>1857</v>
      </c>
      <c r="AE3" s="1096" t="s">
        <v>1857</v>
      </c>
      <c r="AF3" s="1096" t="s">
        <v>1857</v>
      </c>
      <c r="AG3" s="1096" t="s">
        <v>1857</v>
      </c>
      <c r="AH3" s="1096" t="s">
        <v>1857</v>
      </c>
      <c r="AI3" s="1096" t="s">
        <v>1857</v>
      </c>
      <c r="AJ3" s="1096" t="s">
        <v>1857</v>
      </c>
      <c r="AK3" s="1096" t="s">
        <v>1857</v>
      </c>
      <c r="AL3" s="1096" t="s">
        <v>1857</v>
      </c>
      <c r="AM3" s="1096" t="s">
        <v>1857</v>
      </c>
      <c r="AN3" s="1096" t="s">
        <v>1857</v>
      </c>
      <c r="AO3" s="1096" t="s">
        <v>1857</v>
      </c>
      <c r="AP3" s="1096" t="s">
        <v>1857</v>
      </c>
      <c r="AQ3" s="1096" t="s">
        <v>1857</v>
      </c>
      <c r="AR3" s="1096" t="s">
        <v>1857</v>
      </c>
      <c r="AS3" s="1096" t="s">
        <v>1857</v>
      </c>
      <c r="AT3" s="1096" t="s">
        <v>1857</v>
      </c>
      <c r="AU3" s="1096" t="s">
        <v>1857</v>
      </c>
      <c r="AV3" s="1096" t="s">
        <v>1857</v>
      </c>
      <c r="AW3" s="1096" t="s">
        <v>1857</v>
      </c>
      <c r="AX3" s="1096" t="s">
        <v>1857</v>
      </c>
      <c r="AY3" s="1096" t="s">
        <v>1857</v>
      </c>
      <c r="AZ3" s="1096" t="s">
        <v>1857</v>
      </c>
      <c r="BA3" s="1096" t="s">
        <v>1857</v>
      </c>
      <c r="BB3" s="1096" t="s">
        <v>1857</v>
      </c>
      <c r="BC3" s="1096" t="s">
        <v>1857</v>
      </c>
      <c r="BD3" s="1096" t="s">
        <v>1857</v>
      </c>
      <c r="BE3" s="1096" t="s">
        <v>1857</v>
      </c>
      <c r="BF3" s="1096" t="s">
        <v>1857</v>
      </c>
      <c r="BG3" s="1096" t="s">
        <v>1857</v>
      </c>
      <c r="BH3" s="1096" t="s">
        <v>1857</v>
      </c>
      <c r="BI3" s="1096" t="s">
        <v>1857</v>
      </c>
      <c r="BJ3" s="1096" t="s">
        <v>1857</v>
      </c>
      <c r="BK3" s="1096" t="s">
        <v>1857</v>
      </c>
      <c r="BL3" s="1096" t="s">
        <v>1857</v>
      </c>
      <c r="BM3" s="1096" t="s">
        <v>1857</v>
      </c>
      <c r="BN3" s="1096" t="s">
        <v>1857</v>
      </c>
      <c r="BO3" s="1096" t="s">
        <v>1857</v>
      </c>
      <c r="BP3" s="1096" t="s">
        <v>1857</v>
      </c>
      <c r="BQ3" s="1096" t="s">
        <v>1857</v>
      </c>
      <c r="BR3" s="1096" t="s">
        <v>1857</v>
      </c>
      <c r="BS3" s="1096" t="s">
        <v>1857</v>
      </c>
      <c r="BT3" s="1096" t="s">
        <v>1857</v>
      </c>
      <c r="BU3" s="1096" t="s">
        <v>1857</v>
      </c>
      <c r="BV3" s="1096" t="s">
        <v>1857</v>
      </c>
      <c r="BW3" s="1096" t="s">
        <v>1857</v>
      </c>
      <c r="BX3" s="1096" t="s">
        <v>1857</v>
      </c>
      <c r="BY3" s="1096" t="s">
        <v>1857</v>
      </c>
      <c r="BZ3" s="1096" t="s">
        <v>1857</v>
      </c>
      <c r="CA3" s="1096" t="s">
        <v>1857</v>
      </c>
      <c r="CB3" s="1096" t="s">
        <v>1857</v>
      </c>
      <c r="CC3" s="1096" t="s">
        <v>1857</v>
      </c>
      <c r="CD3" s="1096" t="s">
        <v>1857</v>
      </c>
      <c r="CE3" s="1096" t="s">
        <v>1857</v>
      </c>
      <c r="CF3" s="1096" t="s">
        <v>1857</v>
      </c>
      <c r="CG3" s="1096" t="s">
        <v>1857</v>
      </c>
      <c r="CH3" s="1096" t="s">
        <v>1857</v>
      </c>
      <c r="CI3" s="1096" t="s">
        <v>1857</v>
      </c>
      <c r="CJ3" s="1096" t="s">
        <v>1857</v>
      </c>
      <c r="CK3" s="1096" t="s">
        <v>1857</v>
      </c>
      <c r="CL3" s="1096" t="s">
        <v>1857</v>
      </c>
      <c r="CM3" s="1096" t="s">
        <v>1857</v>
      </c>
      <c r="CN3" s="1096" t="s">
        <v>1857</v>
      </c>
      <c r="CO3" s="1096" t="s">
        <v>1857</v>
      </c>
      <c r="CP3" s="1096" t="s">
        <v>1857</v>
      </c>
      <c r="CQ3" s="1096" t="s">
        <v>1857</v>
      </c>
      <c r="CR3" s="1096" t="s">
        <v>1857</v>
      </c>
      <c r="CS3" s="1096" t="s">
        <v>1857</v>
      </c>
      <c r="CT3" s="1096" t="s">
        <v>1857</v>
      </c>
      <c r="CU3" s="1096" t="s">
        <v>1857</v>
      </c>
      <c r="CV3" s="1096" t="s">
        <v>1857</v>
      </c>
      <c r="CW3" s="1096" t="s">
        <v>1857</v>
      </c>
      <c r="CX3" s="1096" t="s">
        <v>1857</v>
      </c>
      <c r="CY3" s="1096" t="s">
        <v>1857</v>
      </c>
      <c r="CZ3" s="1096" t="s">
        <v>1857</v>
      </c>
      <c r="DA3" s="1096" t="s">
        <v>1857</v>
      </c>
      <c r="DB3" s="1096" t="s">
        <v>1857</v>
      </c>
      <c r="DC3" s="1096" t="s">
        <v>1857</v>
      </c>
      <c r="DD3" s="1096" t="s">
        <v>1857</v>
      </c>
      <c r="DE3" s="1096" t="s">
        <v>1857</v>
      </c>
      <c r="DF3" s="1096" t="s">
        <v>1857</v>
      </c>
      <c r="DG3" s="1096" t="s">
        <v>1857</v>
      </c>
      <c r="DH3" s="1096" t="s">
        <v>1857</v>
      </c>
      <c r="DI3" s="1096" t="s">
        <v>1857</v>
      </c>
      <c r="DJ3" s="1096" t="s">
        <v>1857</v>
      </c>
      <c r="DK3" s="1096" t="s">
        <v>1857</v>
      </c>
      <c r="DL3" s="1096" t="s">
        <v>1857</v>
      </c>
      <c r="DM3" s="1096" t="s">
        <v>1857</v>
      </c>
      <c r="DN3" s="1096" t="s">
        <v>1857</v>
      </c>
      <c r="DO3" s="1096" t="s">
        <v>1857</v>
      </c>
      <c r="DP3" s="1096" t="s">
        <v>1857</v>
      </c>
      <c r="DQ3" s="1096" t="s">
        <v>1857</v>
      </c>
      <c r="DR3" s="1096" t="s">
        <v>1857</v>
      </c>
      <c r="DS3" s="1096" t="s">
        <v>1857</v>
      </c>
      <c r="DT3" s="1096" t="s">
        <v>1857</v>
      </c>
      <c r="DU3" s="1096" t="s">
        <v>1857</v>
      </c>
      <c r="DV3" s="1096" t="s">
        <v>1857</v>
      </c>
      <c r="DW3" s="1096" t="s">
        <v>1857</v>
      </c>
      <c r="DX3" s="1096" t="s">
        <v>1857</v>
      </c>
      <c r="DY3" s="1096" t="s">
        <v>1857</v>
      </c>
      <c r="DZ3" s="1096" t="s">
        <v>1857</v>
      </c>
      <c r="EA3" s="1096" t="s">
        <v>1857</v>
      </c>
      <c r="EB3" s="1096" t="s">
        <v>1857</v>
      </c>
      <c r="EC3" s="1096" t="s">
        <v>1857</v>
      </c>
      <c r="ED3" s="1096" t="s">
        <v>1857</v>
      </c>
      <c r="EE3" s="1096" t="s">
        <v>1857</v>
      </c>
      <c r="EF3" s="1096" t="s">
        <v>1857</v>
      </c>
      <c r="EG3" s="1096" t="s">
        <v>1857</v>
      </c>
      <c r="EH3" s="1096" t="s">
        <v>1857</v>
      </c>
      <c r="EI3" s="1096" t="s">
        <v>1857</v>
      </c>
      <c r="EJ3" s="1096" t="s">
        <v>1857</v>
      </c>
      <c r="EK3" s="1096" t="s">
        <v>1857</v>
      </c>
      <c r="EL3" s="1096" t="s">
        <v>1857</v>
      </c>
      <c r="EM3" s="1096" t="s">
        <v>1857</v>
      </c>
      <c r="EN3" s="1096" t="s">
        <v>1857</v>
      </c>
      <c r="EO3" s="1096" t="s">
        <v>1857</v>
      </c>
      <c r="EP3" s="1096" t="s">
        <v>1857</v>
      </c>
      <c r="EQ3" s="1096" t="s">
        <v>1857</v>
      </c>
      <c r="ER3" s="1096" t="s">
        <v>1857</v>
      </c>
      <c r="ES3" s="1096" t="s">
        <v>1857</v>
      </c>
      <c r="ET3" s="1096" t="s">
        <v>1857</v>
      </c>
      <c r="EU3" s="1096" t="s">
        <v>1857</v>
      </c>
      <c r="EV3" s="1096" t="s">
        <v>1857</v>
      </c>
      <c r="EW3" s="1096" t="s">
        <v>1857</v>
      </c>
      <c r="EX3" s="1096" t="s">
        <v>1857</v>
      </c>
      <c r="EY3" s="1096" t="s">
        <v>1857</v>
      </c>
      <c r="EZ3" s="1096" t="s">
        <v>1857</v>
      </c>
      <c r="FA3" s="1096" t="s">
        <v>1857</v>
      </c>
      <c r="FB3" s="1096" t="s">
        <v>1857</v>
      </c>
      <c r="FC3" s="1096" t="s">
        <v>1857</v>
      </c>
      <c r="FD3" s="1096" t="s">
        <v>1857</v>
      </c>
      <c r="FE3" s="1096" t="s">
        <v>1857</v>
      </c>
      <c r="FF3" s="1096" t="s">
        <v>1857</v>
      </c>
      <c r="FG3" s="1096" t="s">
        <v>1857</v>
      </c>
      <c r="FH3" s="1096" t="s">
        <v>1857</v>
      </c>
      <c r="FI3" s="1096" t="s">
        <v>1857</v>
      </c>
      <c r="FJ3" s="1096" t="s">
        <v>1857</v>
      </c>
      <c r="FK3" s="1096" t="s">
        <v>1857</v>
      </c>
      <c r="FL3" s="1096" t="s">
        <v>1857</v>
      </c>
      <c r="FM3" s="1096" t="s">
        <v>1857</v>
      </c>
      <c r="FN3" s="1096" t="s">
        <v>1857</v>
      </c>
      <c r="FO3" s="1096" t="s">
        <v>1857</v>
      </c>
      <c r="FP3" s="1096" t="s">
        <v>1857</v>
      </c>
      <c r="FQ3" s="1096" t="s">
        <v>1857</v>
      </c>
      <c r="FR3" s="1096" t="s">
        <v>1857</v>
      </c>
      <c r="FS3" s="1096" t="s">
        <v>1857</v>
      </c>
      <c r="FT3" s="1096" t="s">
        <v>1857</v>
      </c>
      <c r="FU3" s="1096" t="s">
        <v>1857</v>
      </c>
      <c r="FV3" s="1096" t="s">
        <v>1857</v>
      </c>
      <c r="FW3" s="1096" t="s">
        <v>1857</v>
      </c>
      <c r="FX3" s="1096" t="s">
        <v>1857</v>
      </c>
      <c r="FY3" s="1096" t="s">
        <v>1857</v>
      </c>
      <c r="FZ3" s="1096" t="s">
        <v>1857</v>
      </c>
      <c r="GA3" s="1096" t="s">
        <v>1857</v>
      </c>
      <c r="GB3" s="1096" t="s">
        <v>1857</v>
      </c>
      <c r="GC3" s="1096" t="s">
        <v>1857</v>
      </c>
      <c r="GD3" s="1096" t="s">
        <v>1857</v>
      </c>
      <c r="GE3" s="1096" t="s">
        <v>1857</v>
      </c>
      <c r="GF3" s="1096" t="s">
        <v>1857</v>
      </c>
      <c r="GG3" s="1096" t="s">
        <v>1857</v>
      </c>
      <c r="GH3" s="1096" t="s">
        <v>1857</v>
      </c>
      <c r="GI3" s="1096" t="s">
        <v>1857</v>
      </c>
      <c r="GJ3" s="1096" t="s">
        <v>1857</v>
      </c>
      <c r="GK3" s="1096" t="s">
        <v>1857</v>
      </c>
      <c r="GL3" s="1096" t="s">
        <v>1857</v>
      </c>
      <c r="GM3" s="1096" t="s">
        <v>1857</v>
      </c>
      <c r="GN3" s="1096" t="s">
        <v>1857</v>
      </c>
      <c r="GO3" s="1096" t="s">
        <v>1857</v>
      </c>
      <c r="GP3" s="1096" t="s">
        <v>1857</v>
      </c>
      <c r="GQ3" s="1096" t="s">
        <v>1857</v>
      </c>
      <c r="GR3" s="1096" t="s">
        <v>1857</v>
      </c>
      <c r="GS3" s="1096" t="s">
        <v>1857</v>
      </c>
      <c r="GT3" s="1096" t="s">
        <v>1857</v>
      </c>
      <c r="GU3" s="1096" t="s">
        <v>1857</v>
      </c>
      <c r="GV3" s="1096" t="s">
        <v>1857</v>
      </c>
      <c r="GW3" s="1096" t="s">
        <v>1857</v>
      </c>
      <c r="GX3" s="1096" t="s">
        <v>1857</v>
      </c>
      <c r="GY3" s="1096" t="s">
        <v>1857</v>
      </c>
      <c r="GZ3" s="1096" t="s">
        <v>1857</v>
      </c>
      <c r="HA3" s="1096" t="s">
        <v>1857</v>
      </c>
      <c r="HB3" s="1096" t="s">
        <v>1857</v>
      </c>
      <c r="HC3" s="1096" t="s">
        <v>1857</v>
      </c>
      <c r="HD3" s="1096" t="s">
        <v>1857</v>
      </c>
      <c r="HE3" s="1096" t="s">
        <v>1857</v>
      </c>
      <c r="HF3" s="1096" t="s">
        <v>1857</v>
      </c>
      <c r="HG3" s="1096" t="s">
        <v>1857</v>
      </c>
      <c r="HH3" s="1096" t="s">
        <v>1857</v>
      </c>
      <c r="HI3" s="1096" t="s">
        <v>1857</v>
      </c>
      <c r="HJ3" s="1096" t="s">
        <v>1857</v>
      </c>
      <c r="HK3" s="1096" t="s">
        <v>1857</v>
      </c>
      <c r="HL3" s="1096" t="s">
        <v>1857</v>
      </c>
      <c r="HM3" s="1096" t="s">
        <v>1857</v>
      </c>
      <c r="HN3" s="1096" t="s">
        <v>1857</v>
      </c>
      <c r="HO3" s="1096" t="s">
        <v>1857</v>
      </c>
      <c r="HP3" s="1096" t="s">
        <v>1857</v>
      </c>
      <c r="HQ3" s="1096" t="s">
        <v>1857</v>
      </c>
      <c r="HR3" s="1096" t="s">
        <v>1857</v>
      </c>
      <c r="HS3" s="1096" t="s">
        <v>1857</v>
      </c>
      <c r="HT3" s="1096" t="s">
        <v>1857</v>
      </c>
      <c r="HU3" s="1096" t="s">
        <v>1857</v>
      </c>
      <c r="HV3" s="1096" t="s">
        <v>1857</v>
      </c>
      <c r="HW3" s="1096" t="s">
        <v>1857</v>
      </c>
      <c r="HX3" s="1096" t="s">
        <v>1857</v>
      </c>
      <c r="HY3" s="1096" t="s">
        <v>1857</v>
      </c>
      <c r="HZ3" s="1096" t="s">
        <v>1857</v>
      </c>
      <c r="IA3" s="1096" t="s">
        <v>1857</v>
      </c>
      <c r="IB3" s="1096" t="s">
        <v>1857</v>
      </c>
      <c r="IC3" s="1096" t="s">
        <v>1857</v>
      </c>
      <c r="ID3" s="1096" t="s">
        <v>1857</v>
      </c>
      <c r="IE3" s="1096" t="s">
        <v>1857</v>
      </c>
      <c r="IF3" s="1096" t="s">
        <v>1857</v>
      </c>
      <c r="IG3" s="1096" t="s">
        <v>1857</v>
      </c>
      <c r="IH3" s="1096" t="s">
        <v>1857</v>
      </c>
      <c r="II3" s="1096" t="s">
        <v>1857</v>
      </c>
      <c r="IJ3" s="1096" t="s">
        <v>1857</v>
      </c>
      <c r="IK3" s="1096" t="s">
        <v>1857</v>
      </c>
      <c r="IL3" s="1096" t="s">
        <v>1857</v>
      </c>
      <c r="IM3" s="1096" t="s">
        <v>1857</v>
      </c>
      <c r="IN3" s="1096" t="s">
        <v>1857</v>
      </c>
      <c r="IO3" s="1096" t="s">
        <v>1857</v>
      </c>
      <c r="IP3" s="1096" t="s">
        <v>1857</v>
      </c>
      <c r="IQ3" s="1096" t="s">
        <v>1857</v>
      </c>
      <c r="IR3" s="1096" t="s">
        <v>1857</v>
      </c>
      <c r="IS3" s="1096" t="s">
        <v>1857</v>
      </c>
      <c r="IT3" s="1096" t="s">
        <v>1857</v>
      </c>
      <c r="IU3" s="1096" t="s">
        <v>1857</v>
      </c>
      <c r="IV3" s="1096" t="s">
        <v>1857</v>
      </c>
      <c r="IW3" s="1096" t="s">
        <v>1857</v>
      </c>
      <c r="IX3" s="1096" t="s">
        <v>1857</v>
      </c>
      <c r="IY3" s="1096" t="s">
        <v>1857</v>
      </c>
      <c r="IZ3" s="1096" t="s">
        <v>1857</v>
      </c>
      <c r="JA3" s="1096" t="s">
        <v>1857</v>
      </c>
      <c r="JB3" s="1096" t="s">
        <v>1857</v>
      </c>
      <c r="JC3" s="1096" t="s">
        <v>1857</v>
      </c>
      <c r="JD3" s="1096" t="s">
        <v>1857</v>
      </c>
      <c r="JE3" s="1096" t="s">
        <v>1857</v>
      </c>
      <c r="JF3" s="1096" t="s">
        <v>1857</v>
      </c>
      <c r="JG3" s="1096" t="s">
        <v>1857</v>
      </c>
      <c r="JH3" s="1096" t="s">
        <v>1857</v>
      </c>
      <c r="JI3" s="1096" t="s">
        <v>1857</v>
      </c>
      <c r="JJ3" s="1096" t="s">
        <v>1857</v>
      </c>
      <c r="JK3" s="1096" t="s">
        <v>1857</v>
      </c>
      <c r="JL3" s="1096" t="s">
        <v>1857</v>
      </c>
      <c r="JM3" s="1096" t="s">
        <v>1857</v>
      </c>
      <c r="JN3" s="1096" t="s">
        <v>1857</v>
      </c>
      <c r="JO3" s="1096" t="s">
        <v>1857</v>
      </c>
      <c r="JP3" s="1096" t="s">
        <v>1857</v>
      </c>
      <c r="JQ3" s="1096" t="s">
        <v>1857</v>
      </c>
      <c r="JR3" s="1096" t="s">
        <v>1857</v>
      </c>
      <c r="JS3" s="1096" t="s">
        <v>1857</v>
      </c>
      <c r="JT3" s="1096" t="s">
        <v>1857</v>
      </c>
      <c r="JU3" s="1096" t="s">
        <v>1857</v>
      </c>
      <c r="JV3" s="1096" t="s">
        <v>1857</v>
      </c>
      <c r="JW3" s="1096" t="s">
        <v>1857</v>
      </c>
      <c r="JX3" s="1096" t="s">
        <v>1857</v>
      </c>
      <c r="JY3" s="1096" t="s">
        <v>1857</v>
      </c>
      <c r="JZ3" s="1096" t="s">
        <v>1857</v>
      </c>
      <c r="KA3" s="1096" t="s">
        <v>1857</v>
      </c>
      <c r="KB3" s="1096" t="s">
        <v>1857</v>
      </c>
      <c r="KC3" s="1096" t="s">
        <v>1857</v>
      </c>
      <c r="KD3" s="1096" t="s">
        <v>1857</v>
      </c>
      <c r="KE3" s="1096" t="s">
        <v>1857</v>
      </c>
      <c r="KF3" s="1096" t="s">
        <v>1857</v>
      </c>
      <c r="KG3" s="1096" t="s">
        <v>1857</v>
      </c>
      <c r="KH3" s="1096" t="s">
        <v>1857</v>
      </c>
      <c r="KI3" s="1096" t="s">
        <v>1857</v>
      </c>
      <c r="KJ3" s="1096" t="s">
        <v>1857</v>
      </c>
      <c r="KK3" s="1096" t="s">
        <v>1857</v>
      </c>
      <c r="KL3" s="1096" t="s">
        <v>1857</v>
      </c>
      <c r="KM3" s="1096" t="s">
        <v>1857</v>
      </c>
      <c r="KN3" s="1096" t="s">
        <v>1857</v>
      </c>
      <c r="KO3" s="1096" t="s">
        <v>1857</v>
      </c>
      <c r="KP3" s="1096" t="s">
        <v>1857</v>
      </c>
      <c r="KQ3" s="1096" t="s">
        <v>1857</v>
      </c>
      <c r="KR3" s="1096" t="s">
        <v>1857</v>
      </c>
      <c r="KS3" s="1096" t="s">
        <v>1857</v>
      </c>
      <c r="KT3" s="1096" t="s">
        <v>1857</v>
      </c>
      <c r="KU3" s="1096" t="s">
        <v>1857</v>
      </c>
      <c r="KV3" s="1096" t="s">
        <v>1857</v>
      </c>
      <c r="KW3" s="1096" t="s">
        <v>1857</v>
      </c>
      <c r="KX3" s="1096" t="s">
        <v>1857</v>
      </c>
      <c r="KY3" s="1096" t="s">
        <v>1857</v>
      </c>
      <c r="KZ3" s="1096" t="s">
        <v>1857</v>
      </c>
      <c r="LA3" s="1096" t="s">
        <v>1857</v>
      </c>
      <c r="LB3" s="1096" t="s">
        <v>1857</v>
      </c>
      <c r="LC3" s="1096" t="s">
        <v>1857</v>
      </c>
      <c r="LD3" s="1096" t="s">
        <v>1857</v>
      </c>
      <c r="LE3" s="1096" t="s">
        <v>1857</v>
      </c>
      <c r="LF3" s="1096" t="s">
        <v>1857</v>
      </c>
      <c r="LG3" s="1096" t="s">
        <v>1857</v>
      </c>
      <c r="LH3" s="1096" t="s">
        <v>1857</v>
      </c>
      <c r="LI3" s="1096" t="s">
        <v>1857</v>
      </c>
      <c r="LJ3" s="1096" t="s">
        <v>1857</v>
      </c>
      <c r="LK3" s="1096" t="s">
        <v>1857</v>
      </c>
      <c r="LL3" s="1096" t="s">
        <v>1857</v>
      </c>
      <c r="LM3" s="1096" t="s">
        <v>1857</v>
      </c>
      <c r="LN3" s="1096" t="s">
        <v>1857</v>
      </c>
      <c r="LO3" s="1096" t="s">
        <v>1857</v>
      </c>
      <c r="LP3" s="1096" t="s">
        <v>1857</v>
      </c>
      <c r="LQ3" s="1096" t="s">
        <v>1857</v>
      </c>
      <c r="LR3" s="1096" t="s">
        <v>1857</v>
      </c>
      <c r="LS3" s="1096" t="s">
        <v>1857</v>
      </c>
      <c r="LT3" s="1096" t="s">
        <v>1857</v>
      </c>
      <c r="LU3" s="1096" t="s">
        <v>1857</v>
      </c>
      <c r="LV3" s="1096" t="s">
        <v>1857</v>
      </c>
      <c r="LW3" s="1096" t="s">
        <v>1857</v>
      </c>
      <c r="LX3" s="1096" t="s">
        <v>1857</v>
      </c>
      <c r="LY3" s="1096" t="s">
        <v>1857</v>
      </c>
      <c r="LZ3" s="1096" t="s">
        <v>1857</v>
      </c>
      <c r="MA3" s="1096" t="s">
        <v>1857</v>
      </c>
      <c r="MB3" s="1096" t="s">
        <v>1857</v>
      </c>
      <c r="MC3" s="1096" t="s">
        <v>1857</v>
      </c>
      <c r="MD3" s="1096" t="s">
        <v>1857</v>
      </c>
      <c r="ME3" s="1096" t="s">
        <v>1857</v>
      </c>
      <c r="MF3" s="1096" t="s">
        <v>1857</v>
      </c>
      <c r="MG3" s="1096" t="s">
        <v>1857</v>
      </c>
      <c r="MH3" s="1096" t="s">
        <v>1857</v>
      </c>
      <c r="MI3" s="1096" t="s">
        <v>1857</v>
      </c>
      <c r="MJ3" s="1096" t="s">
        <v>1857</v>
      </c>
      <c r="MK3" s="1096" t="s">
        <v>1857</v>
      </c>
      <c r="ML3" s="1096" t="s">
        <v>1857</v>
      </c>
      <c r="MM3" s="1096" t="s">
        <v>1857</v>
      </c>
      <c r="MN3" s="1096" t="s">
        <v>1857</v>
      </c>
    </row>
    <row r="4" spans="1:352" ht="13.9" x14ac:dyDescent="0.4">
      <c r="A4" s="1096" t="s">
        <v>1858</v>
      </c>
      <c r="B4" s="1102" t="s">
        <v>1859</v>
      </c>
      <c r="C4" s="1096" t="s">
        <v>1860</v>
      </c>
      <c r="D4" s="1096" t="s">
        <v>1860</v>
      </c>
      <c r="E4" s="1096" t="s">
        <v>1860</v>
      </c>
      <c r="F4" s="1096" t="s">
        <v>1860</v>
      </c>
      <c r="G4" s="1096" t="s">
        <v>1860</v>
      </c>
      <c r="H4" s="1096" t="s">
        <v>1860</v>
      </c>
      <c r="I4" s="1096" t="s">
        <v>1860</v>
      </c>
      <c r="J4" s="1096" t="s">
        <v>1860</v>
      </c>
      <c r="K4" s="1096" t="s">
        <v>1860</v>
      </c>
      <c r="L4" s="1096" t="s">
        <v>1860</v>
      </c>
      <c r="M4" s="1096" t="s">
        <v>1860</v>
      </c>
      <c r="N4" s="1096" t="s">
        <v>1860</v>
      </c>
      <c r="O4" s="1096" t="s">
        <v>1860</v>
      </c>
      <c r="P4" s="1096" t="s">
        <v>1860</v>
      </c>
      <c r="Q4" s="1096" t="s">
        <v>1860</v>
      </c>
      <c r="R4" s="1096" t="s">
        <v>1860</v>
      </c>
      <c r="S4" s="1096" t="s">
        <v>1861</v>
      </c>
      <c r="T4" s="1096" t="s">
        <v>1861</v>
      </c>
      <c r="U4" s="1096" t="s">
        <v>1861</v>
      </c>
      <c r="V4" s="1096" t="s">
        <v>1861</v>
      </c>
      <c r="W4" s="1096" t="s">
        <v>1861</v>
      </c>
      <c r="X4" s="1096" t="s">
        <v>1861</v>
      </c>
      <c r="Y4" s="1096" t="s">
        <v>1861</v>
      </c>
      <c r="Z4" s="1096" t="s">
        <v>1861</v>
      </c>
      <c r="AA4" s="1096" t="s">
        <v>1861</v>
      </c>
      <c r="AB4" s="1096" t="s">
        <v>1861</v>
      </c>
      <c r="AC4" s="1096" t="s">
        <v>1862</v>
      </c>
      <c r="AD4" s="1096" t="s">
        <v>1862</v>
      </c>
      <c r="AE4" s="1096" t="s">
        <v>1862</v>
      </c>
      <c r="AF4" s="1096" t="s">
        <v>1862</v>
      </c>
      <c r="AG4" s="1096" t="s">
        <v>1862</v>
      </c>
      <c r="AH4" s="1096" t="s">
        <v>1862</v>
      </c>
      <c r="AI4" s="1096" t="s">
        <v>1863</v>
      </c>
      <c r="AJ4" s="1096" t="s">
        <v>1863</v>
      </c>
      <c r="AK4" s="1096" t="s">
        <v>1863</v>
      </c>
      <c r="AL4" s="1096" t="s">
        <v>1863</v>
      </c>
      <c r="AM4" s="1096" t="s">
        <v>1863</v>
      </c>
      <c r="AN4" s="1096" t="s">
        <v>1863</v>
      </c>
      <c r="AO4" s="1096" t="s">
        <v>1864</v>
      </c>
      <c r="AP4" s="1096" t="s">
        <v>1864</v>
      </c>
      <c r="AQ4" s="1096" t="s">
        <v>1864</v>
      </c>
      <c r="AR4" s="1096" t="s">
        <v>1864</v>
      </c>
      <c r="AS4" s="1096" t="s">
        <v>1864</v>
      </c>
      <c r="AT4" s="1096" t="s">
        <v>1864</v>
      </c>
      <c r="AU4" s="1096" t="s">
        <v>1864</v>
      </c>
      <c r="AV4" s="1096" t="s">
        <v>1864</v>
      </c>
      <c r="AW4" s="1096" t="s">
        <v>1864</v>
      </c>
      <c r="AX4" s="1096" t="s">
        <v>1864</v>
      </c>
      <c r="AY4" s="1096" t="s">
        <v>1864</v>
      </c>
      <c r="AZ4" s="1096" t="s">
        <v>1864</v>
      </c>
      <c r="BA4" s="1096" t="s">
        <v>1864</v>
      </c>
      <c r="BB4" s="1096" t="s">
        <v>1864</v>
      </c>
      <c r="BC4" s="1096" t="s">
        <v>1864</v>
      </c>
      <c r="BD4" s="1096" t="s">
        <v>1864</v>
      </c>
      <c r="BE4" s="1096" t="s">
        <v>1865</v>
      </c>
      <c r="BF4" s="1096" t="s">
        <v>1865</v>
      </c>
      <c r="BG4" s="1096" t="s">
        <v>1865</v>
      </c>
      <c r="BH4" s="1096" t="s">
        <v>1865</v>
      </c>
      <c r="BI4" s="1096" t="s">
        <v>1865</v>
      </c>
      <c r="BJ4" s="1096" t="s">
        <v>1865</v>
      </c>
      <c r="BK4" s="1096" t="s">
        <v>1865</v>
      </c>
      <c r="BL4" s="1096" t="s">
        <v>1865</v>
      </c>
      <c r="BM4" s="1096" t="s">
        <v>1865</v>
      </c>
      <c r="BN4" s="1096" t="s">
        <v>1865</v>
      </c>
      <c r="BO4" s="1096" t="s">
        <v>1865</v>
      </c>
      <c r="BP4" s="1096" t="s">
        <v>1865</v>
      </c>
      <c r="BQ4" s="1096" t="s">
        <v>1865</v>
      </c>
      <c r="BR4" s="1096" t="s">
        <v>1866</v>
      </c>
      <c r="BS4" s="1096" t="s">
        <v>1866</v>
      </c>
      <c r="BT4" s="1096" t="s">
        <v>1866</v>
      </c>
      <c r="BU4" s="1096" t="s">
        <v>1866</v>
      </c>
      <c r="BV4" s="1096" t="s">
        <v>1866</v>
      </c>
      <c r="BW4" s="1096" t="s">
        <v>1866</v>
      </c>
      <c r="BX4" s="1096" t="s">
        <v>1867</v>
      </c>
      <c r="BY4" s="1096" t="s">
        <v>1867</v>
      </c>
      <c r="BZ4" s="1096" t="s">
        <v>1867</v>
      </c>
      <c r="CA4" s="1096" t="s">
        <v>1867</v>
      </c>
      <c r="CB4" s="1096" t="s">
        <v>1868</v>
      </c>
      <c r="CC4" s="1096" t="s">
        <v>1868</v>
      </c>
      <c r="CD4" s="1096" t="s">
        <v>1868</v>
      </c>
      <c r="CE4" s="1096" t="s">
        <v>1868</v>
      </c>
      <c r="CF4" s="1096" t="s">
        <v>1869</v>
      </c>
      <c r="CG4" s="1096" t="s">
        <v>1869</v>
      </c>
      <c r="CH4" s="1096" t="s">
        <v>1869</v>
      </c>
      <c r="CI4" s="1096" t="s">
        <v>1869</v>
      </c>
      <c r="CJ4" s="1096" t="s">
        <v>1870</v>
      </c>
      <c r="CK4" s="1096" t="s">
        <v>1870</v>
      </c>
      <c r="CL4" s="1096" t="s">
        <v>1870</v>
      </c>
      <c r="CM4" s="1096" t="s">
        <v>1870</v>
      </c>
      <c r="CN4" s="1096" t="s">
        <v>1870</v>
      </c>
      <c r="CO4" s="1096" t="s">
        <v>1870</v>
      </c>
      <c r="CP4" s="1096" t="s">
        <v>1870</v>
      </c>
      <c r="CQ4" s="1096" t="s">
        <v>1870</v>
      </c>
      <c r="CR4" s="1096" t="s">
        <v>1870</v>
      </c>
      <c r="CS4" s="1096" t="s">
        <v>1870</v>
      </c>
      <c r="CT4" s="1096" t="s">
        <v>1870</v>
      </c>
      <c r="CU4" s="1096" t="s">
        <v>1870</v>
      </c>
      <c r="CV4" s="1096" t="s">
        <v>1870</v>
      </c>
      <c r="CW4" s="1096" t="s">
        <v>1871</v>
      </c>
      <c r="CX4" s="1096" t="s">
        <v>1871</v>
      </c>
      <c r="CY4" s="1096" t="s">
        <v>1871</v>
      </c>
      <c r="CZ4" s="1096" t="s">
        <v>1872</v>
      </c>
      <c r="DA4" s="1096" t="s">
        <v>1872</v>
      </c>
      <c r="DB4" s="1096" t="s">
        <v>1872</v>
      </c>
      <c r="DC4" s="1096" t="s">
        <v>1872</v>
      </c>
      <c r="DD4" s="1096" t="s">
        <v>1872</v>
      </c>
      <c r="DE4" s="1096" t="s">
        <v>1872</v>
      </c>
      <c r="DF4" s="1096" t="s">
        <v>1872</v>
      </c>
      <c r="DG4" s="1096" t="s">
        <v>1872</v>
      </c>
      <c r="DH4" s="1096" t="s">
        <v>1872</v>
      </c>
      <c r="DI4" s="1096" t="s">
        <v>1872</v>
      </c>
      <c r="DJ4" s="1096" t="s">
        <v>1872</v>
      </c>
      <c r="DK4" s="1096" t="s">
        <v>1872</v>
      </c>
      <c r="DL4" s="1096" t="s">
        <v>1872</v>
      </c>
      <c r="DM4" s="1096" t="s">
        <v>1872</v>
      </c>
      <c r="DN4" s="1096" t="s">
        <v>1872</v>
      </c>
      <c r="DO4" s="1096" t="s">
        <v>1872</v>
      </c>
      <c r="DP4" s="1096" t="s">
        <v>1872</v>
      </c>
      <c r="DQ4" s="1096" t="s">
        <v>1873</v>
      </c>
      <c r="DR4" s="1096" t="s">
        <v>1873</v>
      </c>
      <c r="DS4" s="1096" t="s">
        <v>1873</v>
      </c>
      <c r="DT4" s="1096" t="s">
        <v>1873</v>
      </c>
      <c r="DU4" s="1096" t="s">
        <v>1873</v>
      </c>
      <c r="DV4" s="1096" t="s">
        <v>1873</v>
      </c>
      <c r="DW4" s="1096" t="s">
        <v>1873</v>
      </c>
      <c r="DX4" s="1096" t="s">
        <v>1873</v>
      </c>
      <c r="DY4" s="1096" t="s">
        <v>1873</v>
      </c>
      <c r="DZ4" s="1096" t="s">
        <v>1873</v>
      </c>
      <c r="EA4" s="1096" t="s">
        <v>1873</v>
      </c>
      <c r="EB4" s="1096" t="s">
        <v>1873</v>
      </c>
      <c r="EC4" s="1096" t="s">
        <v>1873</v>
      </c>
      <c r="ED4" s="1096" t="s">
        <v>1873</v>
      </c>
      <c r="EE4" s="1096" t="s">
        <v>1873</v>
      </c>
      <c r="EF4" s="1096" t="s">
        <v>1873</v>
      </c>
      <c r="EG4" s="1096" t="s">
        <v>1873</v>
      </c>
      <c r="EH4" s="1096" t="s">
        <v>1873</v>
      </c>
      <c r="EI4" s="1096" t="s">
        <v>1873</v>
      </c>
      <c r="EJ4" s="1096" t="s">
        <v>1873</v>
      </c>
      <c r="EK4" s="1096" t="s">
        <v>1874</v>
      </c>
      <c r="EL4" s="1096" t="s">
        <v>1874</v>
      </c>
      <c r="EM4" s="1096" t="s">
        <v>1874</v>
      </c>
      <c r="EN4" s="1096" t="s">
        <v>1874</v>
      </c>
      <c r="EO4" s="1096" t="s">
        <v>1874</v>
      </c>
      <c r="EP4" s="1096" t="s">
        <v>1874</v>
      </c>
      <c r="EQ4" s="1096" t="s">
        <v>1875</v>
      </c>
      <c r="ER4" s="1096" t="s">
        <v>1875</v>
      </c>
      <c r="ES4" s="1096" t="s">
        <v>1875</v>
      </c>
      <c r="ET4" s="1096" t="s">
        <v>1875</v>
      </c>
      <c r="EU4" s="1096" t="s">
        <v>1875</v>
      </c>
      <c r="EV4" s="1096" t="s">
        <v>1875</v>
      </c>
      <c r="EW4" s="1096" t="s">
        <v>1876</v>
      </c>
      <c r="EX4" s="1096" t="s">
        <v>1876</v>
      </c>
      <c r="EY4" s="1096" t="s">
        <v>1876</v>
      </c>
      <c r="EZ4" s="1096" t="s">
        <v>1876</v>
      </c>
      <c r="FA4" s="1096" t="s">
        <v>1876</v>
      </c>
      <c r="FB4" s="1096" t="s">
        <v>1876</v>
      </c>
      <c r="FC4" s="1096" t="s">
        <v>1876</v>
      </c>
      <c r="FD4" s="1096" t="s">
        <v>1876</v>
      </c>
      <c r="FE4" s="1096" t="s">
        <v>1876</v>
      </c>
      <c r="FF4" s="1096" t="s">
        <v>1877</v>
      </c>
      <c r="FG4" s="1096" t="s">
        <v>1877</v>
      </c>
      <c r="FH4" s="1096" t="s">
        <v>1877</v>
      </c>
      <c r="FI4" s="1096" t="s">
        <v>1877</v>
      </c>
      <c r="FJ4" s="1096" t="s">
        <v>1877</v>
      </c>
      <c r="FK4" s="1096" t="s">
        <v>1877</v>
      </c>
      <c r="FL4" s="1096" t="s">
        <v>1878</v>
      </c>
      <c r="FM4" s="1096" t="s">
        <v>1878</v>
      </c>
      <c r="FN4" s="1096" t="s">
        <v>1878</v>
      </c>
      <c r="FO4" s="1096" t="s">
        <v>1879</v>
      </c>
      <c r="FP4" s="1096" t="s">
        <v>1879</v>
      </c>
      <c r="FQ4" s="1096" t="s">
        <v>1879</v>
      </c>
      <c r="FR4" s="1096" t="s">
        <v>1879</v>
      </c>
      <c r="FS4" s="1096" t="s">
        <v>1880</v>
      </c>
      <c r="FT4" s="1096" t="s">
        <v>1880</v>
      </c>
      <c r="FU4" s="1096" t="s">
        <v>1880</v>
      </c>
      <c r="FV4" s="1096" t="s">
        <v>1880</v>
      </c>
      <c r="FW4" s="1096" t="s">
        <v>1880</v>
      </c>
      <c r="FX4" s="1096" t="s">
        <v>1880</v>
      </c>
      <c r="FY4" s="1096" t="s">
        <v>1880</v>
      </c>
      <c r="FZ4" s="1096" t="s">
        <v>1880</v>
      </c>
      <c r="GA4" s="1096" t="s">
        <v>1880</v>
      </c>
      <c r="GB4" s="1096" t="s">
        <v>1880</v>
      </c>
      <c r="GC4" s="1096" t="s">
        <v>1880</v>
      </c>
      <c r="GD4" s="1096" t="s">
        <v>1880</v>
      </c>
      <c r="GE4" s="1096" t="s">
        <v>1880</v>
      </c>
      <c r="GF4" s="1096" t="s">
        <v>1880</v>
      </c>
      <c r="GG4" s="1096" t="s">
        <v>1880</v>
      </c>
      <c r="GH4" s="1096" t="s">
        <v>1880</v>
      </c>
      <c r="GI4" s="1096" t="s">
        <v>1880</v>
      </c>
      <c r="GJ4" s="1096" t="s">
        <v>1880</v>
      </c>
      <c r="GK4" s="1096" t="s">
        <v>1880</v>
      </c>
      <c r="GL4" s="1096" t="s">
        <v>1881</v>
      </c>
      <c r="GM4" s="1096" t="s">
        <v>1882</v>
      </c>
      <c r="GN4" s="1096" t="s">
        <v>1882</v>
      </c>
      <c r="GO4" s="1096" t="s">
        <v>1882</v>
      </c>
      <c r="GP4" s="1096" t="s">
        <v>1882</v>
      </c>
      <c r="GQ4" s="1096" t="s">
        <v>1882</v>
      </c>
      <c r="GR4" s="1096" t="s">
        <v>1882</v>
      </c>
      <c r="GS4" s="1096" t="s">
        <v>1882</v>
      </c>
      <c r="GT4" s="1096" t="s">
        <v>1882</v>
      </c>
      <c r="GU4" s="1096" t="s">
        <v>1882</v>
      </c>
      <c r="GV4" s="1096" t="s">
        <v>1882</v>
      </c>
      <c r="GW4" s="1096" t="s">
        <v>1882</v>
      </c>
      <c r="GX4" s="1096" t="s">
        <v>1882</v>
      </c>
      <c r="GY4" s="1096" t="s">
        <v>1882</v>
      </c>
      <c r="GZ4" s="1096" t="s">
        <v>1882</v>
      </c>
      <c r="HA4" s="1096" t="s">
        <v>1882</v>
      </c>
      <c r="HB4" s="1096" t="s">
        <v>1882</v>
      </c>
      <c r="HC4" s="1096" t="s">
        <v>1882</v>
      </c>
      <c r="HD4" s="1096" t="s">
        <v>1882</v>
      </c>
      <c r="HE4" s="1096" t="s">
        <v>1882</v>
      </c>
      <c r="HF4" s="1096" t="s">
        <v>1882</v>
      </c>
      <c r="HG4" s="1096" t="s">
        <v>1883</v>
      </c>
      <c r="HH4" s="1096" t="s">
        <v>1883</v>
      </c>
      <c r="HI4" s="1096" t="s">
        <v>1883</v>
      </c>
      <c r="HJ4" s="1096" t="s">
        <v>1883</v>
      </c>
      <c r="HK4" s="1096" t="s">
        <v>1883</v>
      </c>
      <c r="HL4" s="1096" t="s">
        <v>1883</v>
      </c>
      <c r="HM4" s="1096" t="s">
        <v>1883</v>
      </c>
      <c r="HN4" s="1096" t="s">
        <v>1883</v>
      </c>
      <c r="HO4" s="1096" t="s">
        <v>1883</v>
      </c>
      <c r="HP4" s="1096" t="s">
        <v>1883</v>
      </c>
      <c r="HQ4" s="1096" t="s">
        <v>1883</v>
      </c>
      <c r="HR4" s="1096" t="s">
        <v>1883</v>
      </c>
      <c r="HS4" s="1096" t="s">
        <v>1884</v>
      </c>
      <c r="HT4" s="1096" t="s">
        <v>1884</v>
      </c>
      <c r="HU4" s="1096" t="s">
        <v>1885</v>
      </c>
      <c r="HV4" s="1096" t="s">
        <v>1885</v>
      </c>
      <c r="HW4" s="1096" t="s">
        <v>1885</v>
      </c>
      <c r="HX4" s="1096" t="s">
        <v>1885</v>
      </c>
      <c r="HY4" s="1096" t="s">
        <v>1885</v>
      </c>
      <c r="HZ4" s="1096" t="s">
        <v>1885</v>
      </c>
      <c r="IA4" s="1096" t="s">
        <v>1886</v>
      </c>
      <c r="IB4" s="1096" t="s">
        <v>1886</v>
      </c>
      <c r="IC4" s="1096" t="s">
        <v>1887</v>
      </c>
      <c r="ID4" s="1096" t="s">
        <v>1887</v>
      </c>
      <c r="IE4" s="1096" t="s">
        <v>1888</v>
      </c>
      <c r="IF4" s="1096" t="s">
        <v>1888</v>
      </c>
      <c r="IG4" s="1096" t="s">
        <v>1888</v>
      </c>
      <c r="IH4" s="1096" t="s">
        <v>1889</v>
      </c>
      <c r="II4" s="1096" t="s">
        <v>1890</v>
      </c>
      <c r="IJ4" s="1096" t="s">
        <v>1890</v>
      </c>
      <c r="IK4" s="1096" t="s">
        <v>1890</v>
      </c>
      <c r="IL4" s="1096" t="s">
        <v>1891</v>
      </c>
      <c r="IM4" s="1096" t="s">
        <v>1892</v>
      </c>
      <c r="IN4" s="1096" t="s">
        <v>1893</v>
      </c>
      <c r="IO4" s="1096" t="s">
        <v>1894</v>
      </c>
      <c r="IP4" s="1096" t="s">
        <v>1895</v>
      </c>
      <c r="IQ4" s="1096" t="s">
        <v>1896</v>
      </c>
      <c r="IR4" s="1096" t="s">
        <v>1896</v>
      </c>
      <c r="IS4" s="1096" t="s">
        <v>1897</v>
      </c>
      <c r="IT4" s="1096" t="s">
        <v>1898</v>
      </c>
      <c r="IU4" s="1096" t="s">
        <v>1899</v>
      </c>
      <c r="IV4" s="1096" t="s">
        <v>1900</v>
      </c>
      <c r="IW4" s="1096" t="s">
        <v>1901</v>
      </c>
      <c r="IX4" s="1096" t="s">
        <v>1902</v>
      </c>
      <c r="IY4" s="1096" t="s">
        <v>1903</v>
      </c>
      <c r="IZ4" s="1096" t="s">
        <v>1904</v>
      </c>
      <c r="JA4" s="1096" t="s">
        <v>1904</v>
      </c>
      <c r="JB4" s="1096" t="s">
        <v>1904</v>
      </c>
      <c r="JC4" s="1096" t="s">
        <v>1905</v>
      </c>
      <c r="JD4" s="1096" t="s">
        <v>1906</v>
      </c>
      <c r="JE4" s="1096" t="s">
        <v>1907</v>
      </c>
      <c r="JF4" s="1096" t="s">
        <v>1908</v>
      </c>
      <c r="JG4" s="1096" t="s">
        <v>1908</v>
      </c>
      <c r="JH4" s="1096" t="s">
        <v>1909</v>
      </c>
      <c r="JI4" s="1096" t="s">
        <v>1909</v>
      </c>
      <c r="JJ4" s="1096" t="s">
        <v>1910</v>
      </c>
      <c r="JK4" s="1096" t="s">
        <v>1911</v>
      </c>
      <c r="JL4" s="1096" t="s">
        <v>1911</v>
      </c>
      <c r="JM4" s="1096" t="s">
        <v>1912</v>
      </c>
      <c r="JN4" s="1096" t="s">
        <v>1913</v>
      </c>
      <c r="JO4" s="1096" t="s">
        <v>1914</v>
      </c>
      <c r="JP4" s="1096" t="s">
        <v>1915</v>
      </c>
      <c r="JQ4" s="1096" t="s">
        <v>1916</v>
      </c>
      <c r="JR4" s="1096" t="s">
        <v>1917</v>
      </c>
      <c r="JS4" s="1096" t="s">
        <v>1917</v>
      </c>
      <c r="JT4" s="1096" t="s">
        <v>1917</v>
      </c>
      <c r="JU4" s="1096" t="s">
        <v>1917</v>
      </c>
      <c r="JV4" s="1096" t="s">
        <v>1917</v>
      </c>
      <c r="JW4" s="1096" t="s">
        <v>1918</v>
      </c>
      <c r="JX4" s="1096" t="s">
        <v>1919</v>
      </c>
      <c r="JY4" s="1096" t="s">
        <v>1919</v>
      </c>
      <c r="JZ4" s="1096" t="s">
        <v>1919</v>
      </c>
      <c r="KA4" s="1096" t="s">
        <v>1920</v>
      </c>
      <c r="KB4" s="1096" t="s">
        <v>1921</v>
      </c>
      <c r="KC4" s="1096" t="s">
        <v>1922</v>
      </c>
      <c r="KD4" s="1096" t="s">
        <v>1923</v>
      </c>
      <c r="KE4" s="1096" t="s">
        <v>1923</v>
      </c>
      <c r="KF4" s="1096" t="s">
        <v>1923</v>
      </c>
      <c r="KG4" s="1096" t="s">
        <v>1923</v>
      </c>
      <c r="KH4" s="1096" t="s">
        <v>1924</v>
      </c>
      <c r="KI4" s="1096" t="s">
        <v>1925</v>
      </c>
      <c r="KJ4" s="1096" t="s">
        <v>1925</v>
      </c>
      <c r="KK4" s="1096" t="s">
        <v>1926</v>
      </c>
      <c r="KL4" s="1096" t="s">
        <v>1927</v>
      </c>
      <c r="KM4" s="1096" t="s">
        <v>1928</v>
      </c>
      <c r="KN4" s="1096" t="s">
        <v>1929</v>
      </c>
      <c r="KO4" s="1096" t="s">
        <v>1929</v>
      </c>
      <c r="KP4" s="1096" t="s">
        <v>1929</v>
      </c>
      <c r="KQ4" s="1096" t="s">
        <v>1930</v>
      </c>
      <c r="KR4" s="1096" t="s">
        <v>1931</v>
      </c>
      <c r="KS4" s="1096" t="s">
        <v>1931</v>
      </c>
      <c r="KT4" s="1096" t="s">
        <v>1932</v>
      </c>
      <c r="KU4" s="1096" t="s">
        <v>1932</v>
      </c>
      <c r="KV4" s="1096" t="s">
        <v>1932</v>
      </c>
      <c r="KW4" s="1096" t="s">
        <v>1932</v>
      </c>
      <c r="KX4" s="1096" t="s">
        <v>1933</v>
      </c>
      <c r="KY4" s="1096" t="s">
        <v>1934</v>
      </c>
      <c r="KZ4" s="1096" t="s">
        <v>1934</v>
      </c>
      <c r="LA4" s="1096" t="s">
        <v>1935</v>
      </c>
      <c r="LB4" s="1096" t="s">
        <v>1935</v>
      </c>
      <c r="LC4" s="1096" t="s">
        <v>1935</v>
      </c>
      <c r="LD4" s="1096" t="s">
        <v>1935</v>
      </c>
      <c r="LE4" s="1096" t="s">
        <v>1936</v>
      </c>
      <c r="LF4" s="1096" t="s">
        <v>1936</v>
      </c>
      <c r="LG4" s="1096" t="s">
        <v>1937</v>
      </c>
      <c r="LH4" s="1096" t="s">
        <v>1938</v>
      </c>
      <c r="LI4" s="1096" t="s">
        <v>1938</v>
      </c>
      <c r="LJ4" s="1096" t="s">
        <v>1938</v>
      </c>
      <c r="LK4" s="1096" t="s">
        <v>1938</v>
      </c>
      <c r="LL4" s="1096" t="s">
        <v>1938</v>
      </c>
      <c r="LM4" s="1096" t="s">
        <v>1939</v>
      </c>
      <c r="LN4" s="1096" t="s">
        <v>1940</v>
      </c>
      <c r="LO4" s="1096" t="s">
        <v>1941</v>
      </c>
      <c r="LP4" s="1096" t="s">
        <v>1941</v>
      </c>
      <c r="LQ4" s="1096" t="s">
        <v>1942</v>
      </c>
      <c r="LR4" s="1142">
        <v>40</v>
      </c>
      <c r="LS4" s="1142">
        <v>400</v>
      </c>
      <c r="LT4" s="1142">
        <v>400</v>
      </c>
      <c r="LU4" s="1142">
        <v>400</v>
      </c>
      <c r="LV4" s="1142">
        <v>400</v>
      </c>
      <c r="LW4" s="1096" t="s">
        <v>1943</v>
      </c>
      <c r="LX4" s="1096" t="s">
        <v>1944</v>
      </c>
      <c r="LY4" s="1096" t="s">
        <v>1945</v>
      </c>
      <c r="LZ4" s="1096" t="s">
        <v>1945</v>
      </c>
      <c r="MA4" s="1096" t="s">
        <v>1945</v>
      </c>
      <c r="MB4" s="1102" t="s">
        <v>1946</v>
      </c>
      <c r="MC4" s="1096" t="s">
        <v>1947</v>
      </c>
      <c r="MD4" s="1096" t="s">
        <v>1948</v>
      </c>
      <c r="ME4" s="1096" t="s">
        <v>1948</v>
      </c>
      <c r="MF4" s="1096" t="s">
        <v>1949</v>
      </c>
      <c r="MG4" s="1096" t="s">
        <v>1949</v>
      </c>
      <c r="MH4" s="1096" t="s">
        <v>1949</v>
      </c>
      <c r="MI4" s="1096" t="s">
        <v>1949</v>
      </c>
      <c r="MJ4" s="1096" t="s">
        <v>1949</v>
      </c>
      <c r="MK4" s="1096" t="s">
        <v>1949</v>
      </c>
      <c r="ML4" s="1096" t="s">
        <v>1950</v>
      </c>
      <c r="MM4" s="1096" t="s">
        <v>1950</v>
      </c>
      <c r="MN4" s="1096" t="s">
        <v>1950</v>
      </c>
    </row>
    <row r="5" spans="1:352" ht="13.9" x14ac:dyDescent="0.4">
      <c r="A5" s="1096" t="s">
        <v>1841</v>
      </c>
      <c r="B5" s="1102"/>
      <c r="C5" s="1096" t="s">
        <v>1951</v>
      </c>
      <c r="D5" s="1143" t="s">
        <v>1854</v>
      </c>
      <c r="E5" s="1144" t="s">
        <v>1854</v>
      </c>
      <c r="F5" s="1143" t="s">
        <v>1854</v>
      </c>
      <c r="G5" s="1144" t="s">
        <v>1854</v>
      </c>
      <c r="H5" s="1143" t="s">
        <v>1854</v>
      </c>
      <c r="I5" s="1143" t="s">
        <v>1854</v>
      </c>
      <c r="J5" s="1144" t="s">
        <v>1854</v>
      </c>
      <c r="K5" s="1143" t="s">
        <v>1854</v>
      </c>
      <c r="L5" s="1143" t="s">
        <v>1854</v>
      </c>
      <c r="M5" s="1143" t="s">
        <v>1854</v>
      </c>
      <c r="N5" s="1143" t="s">
        <v>1854</v>
      </c>
      <c r="O5" s="1143" t="s">
        <v>1854</v>
      </c>
      <c r="P5" s="1144" t="s">
        <v>1854</v>
      </c>
      <c r="Q5" s="1143" t="s">
        <v>1854</v>
      </c>
      <c r="R5" s="1143" t="s">
        <v>1854</v>
      </c>
      <c r="S5" s="1143" t="s">
        <v>1952</v>
      </c>
      <c r="T5" s="1144" t="s">
        <v>1952</v>
      </c>
      <c r="U5" s="1143" t="s">
        <v>1952</v>
      </c>
      <c r="V5" s="1143" t="s">
        <v>1952</v>
      </c>
      <c r="W5" s="1143" t="s">
        <v>1952</v>
      </c>
      <c r="X5" s="1143" t="s">
        <v>1952</v>
      </c>
      <c r="Y5" s="1143" t="s">
        <v>1952</v>
      </c>
      <c r="Z5" s="1144" t="s">
        <v>1952</v>
      </c>
      <c r="AA5" s="1143" t="s">
        <v>1952</v>
      </c>
      <c r="AB5" s="1144" t="s">
        <v>1952</v>
      </c>
      <c r="AC5" s="1144" t="s">
        <v>933</v>
      </c>
      <c r="AD5" s="1144" t="s">
        <v>933</v>
      </c>
      <c r="AE5" s="1143" t="s">
        <v>933</v>
      </c>
      <c r="AF5" s="1143" t="s">
        <v>933</v>
      </c>
      <c r="AG5" s="1143" t="s">
        <v>1953</v>
      </c>
      <c r="AH5" s="1143" t="s">
        <v>1953</v>
      </c>
      <c r="AI5" s="1144" t="s">
        <v>1954</v>
      </c>
      <c r="AJ5" s="1144" t="s">
        <v>1954</v>
      </c>
      <c r="AK5" s="1143" t="s">
        <v>1955</v>
      </c>
      <c r="AL5" s="1144" t="s">
        <v>1955</v>
      </c>
      <c r="AM5" s="1143" t="s">
        <v>1956</v>
      </c>
      <c r="AN5" s="1144" t="s">
        <v>1956</v>
      </c>
      <c r="AO5" s="1143" t="s">
        <v>1957</v>
      </c>
      <c r="AP5" s="1143" t="s">
        <v>1957</v>
      </c>
      <c r="AQ5" s="1143" t="s">
        <v>1957</v>
      </c>
      <c r="AR5" s="1143" t="s">
        <v>1957</v>
      </c>
      <c r="AS5" s="1143" t="s">
        <v>1958</v>
      </c>
      <c r="AT5" s="1143" t="s">
        <v>1958</v>
      </c>
      <c r="AU5" s="1144" t="s">
        <v>1958</v>
      </c>
      <c r="AV5" s="1143" t="s">
        <v>1958</v>
      </c>
      <c r="AW5" s="1143" t="s">
        <v>1958</v>
      </c>
      <c r="AX5" s="1143" t="s">
        <v>1959</v>
      </c>
      <c r="AY5" s="1143" t="s">
        <v>1960</v>
      </c>
      <c r="AZ5" s="1143" t="s">
        <v>1960</v>
      </c>
      <c r="BA5" s="1143" t="s">
        <v>1960</v>
      </c>
      <c r="BB5" s="1143" t="s">
        <v>1960</v>
      </c>
      <c r="BC5" s="1143" t="s">
        <v>1960</v>
      </c>
      <c r="BD5" s="1143" t="s">
        <v>1960</v>
      </c>
      <c r="BE5" s="1144" t="s">
        <v>1961</v>
      </c>
      <c r="BF5" s="1143" t="s">
        <v>1961</v>
      </c>
      <c r="BG5" s="1143" t="s">
        <v>1961</v>
      </c>
      <c r="BH5" s="1143" t="s">
        <v>1961</v>
      </c>
      <c r="BI5" s="1144" t="s">
        <v>1962</v>
      </c>
      <c r="BJ5" s="1143" t="s">
        <v>1962</v>
      </c>
      <c r="BK5" s="1144" t="s">
        <v>1962</v>
      </c>
      <c r="BL5" s="1144" t="s">
        <v>1962</v>
      </c>
      <c r="BM5" s="1144" t="s">
        <v>1962</v>
      </c>
      <c r="BN5" s="1143" t="s">
        <v>1962</v>
      </c>
      <c r="BO5" s="1143" t="s">
        <v>1962</v>
      </c>
      <c r="BP5" s="1144" t="s">
        <v>1962</v>
      </c>
      <c r="BQ5" s="1143" t="s">
        <v>1962</v>
      </c>
      <c r="BR5" s="1144" t="s">
        <v>1963</v>
      </c>
      <c r="BS5" s="1144" t="s">
        <v>1964</v>
      </c>
      <c r="BT5" s="1144" t="s">
        <v>1965</v>
      </c>
      <c r="BU5" s="1143" t="s">
        <v>1965</v>
      </c>
      <c r="BV5" s="1143" t="s">
        <v>1965</v>
      </c>
      <c r="BW5" s="1144" t="s">
        <v>1965</v>
      </c>
      <c r="BX5" s="1144" t="s">
        <v>1966</v>
      </c>
      <c r="BY5" s="1144" t="s">
        <v>1966</v>
      </c>
      <c r="BZ5" s="1143" t="s">
        <v>1966</v>
      </c>
      <c r="CA5" s="1144" t="s">
        <v>1966</v>
      </c>
      <c r="CB5" s="1144" t="s">
        <v>1967</v>
      </c>
      <c r="CC5" s="1143" t="s">
        <v>1967</v>
      </c>
      <c r="CD5" s="1143" t="s">
        <v>1967</v>
      </c>
      <c r="CE5" s="1144" t="s">
        <v>1967</v>
      </c>
      <c r="CF5" s="1144" t="s">
        <v>1968</v>
      </c>
      <c r="CG5" s="1144" t="s">
        <v>1968</v>
      </c>
      <c r="CH5" s="1143" t="s">
        <v>1968</v>
      </c>
      <c r="CI5" s="1144" t="s">
        <v>1968</v>
      </c>
      <c r="CJ5" s="1143" t="s">
        <v>1969</v>
      </c>
      <c r="CK5" s="1143" t="s">
        <v>1969</v>
      </c>
      <c r="CL5" s="1143" t="s">
        <v>1969</v>
      </c>
      <c r="CM5" s="1143" t="s">
        <v>1970</v>
      </c>
      <c r="CN5" s="1143" t="s">
        <v>1971</v>
      </c>
      <c r="CO5" s="1143" t="s">
        <v>1971</v>
      </c>
      <c r="CP5" s="1143" t="s">
        <v>1971</v>
      </c>
      <c r="CQ5" s="1143" t="s">
        <v>1971</v>
      </c>
      <c r="CR5" s="1143" t="s">
        <v>1971</v>
      </c>
      <c r="CS5" s="1143" t="s">
        <v>1971</v>
      </c>
      <c r="CT5" s="1143" t="s">
        <v>1971</v>
      </c>
      <c r="CU5" s="1143" t="s">
        <v>1971</v>
      </c>
      <c r="CV5" s="1143" t="s">
        <v>1971</v>
      </c>
      <c r="CW5" s="1143" t="s">
        <v>1972</v>
      </c>
      <c r="CX5" s="1143" t="s">
        <v>1972</v>
      </c>
      <c r="CY5" s="1143" t="s">
        <v>1972</v>
      </c>
      <c r="CZ5" s="1143" t="s">
        <v>1970</v>
      </c>
      <c r="DA5" s="1143" t="s">
        <v>1970</v>
      </c>
      <c r="DB5" s="1143" t="s">
        <v>1970</v>
      </c>
      <c r="DC5" s="1143" t="s">
        <v>1970</v>
      </c>
      <c r="DD5" s="1143" t="s">
        <v>1970</v>
      </c>
      <c r="DE5" s="1143" t="s">
        <v>1970</v>
      </c>
      <c r="DF5" s="1143" t="s">
        <v>1970</v>
      </c>
      <c r="DG5" s="1143" t="s">
        <v>1970</v>
      </c>
      <c r="DH5" s="1143" t="s">
        <v>1970</v>
      </c>
      <c r="DI5" s="1143" t="s">
        <v>1970</v>
      </c>
      <c r="DJ5" s="1143" t="s">
        <v>1970</v>
      </c>
      <c r="DK5" s="1143" t="s">
        <v>1970</v>
      </c>
      <c r="DL5" s="1143" t="s">
        <v>1970</v>
      </c>
      <c r="DM5" s="1143" t="s">
        <v>1970</v>
      </c>
      <c r="DN5" s="1143" t="s">
        <v>1970</v>
      </c>
      <c r="DO5" s="1143" t="s">
        <v>1963</v>
      </c>
      <c r="DP5" s="1143" t="s">
        <v>1964</v>
      </c>
      <c r="DQ5" s="1143" t="s">
        <v>1973</v>
      </c>
      <c r="DR5" s="1143" t="s">
        <v>1973</v>
      </c>
      <c r="DS5" s="1143" t="s">
        <v>1974</v>
      </c>
      <c r="DT5" s="1143" t="s">
        <v>1974</v>
      </c>
      <c r="DU5" s="1143" t="s">
        <v>1975</v>
      </c>
      <c r="DV5" s="1143" t="s">
        <v>1975</v>
      </c>
      <c r="DW5" s="1143" t="s">
        <v>1976</v>
      </c>
      <c r="DX5" s="1143" t="s">
        <v>1976</v>
      </c>
      <c r="DY5" s="1143" t="s">
        <v>1977</v>
      </c>
      <c r="DZ5" s="1143" t="s">
        <v>1977</v>
      </c>
      <c r="EA5" s="1143" t="s">
        <v>1978</v>
      </c>
      <c r="EB5" s="1143" t="s">
        <v>1978</v>
      </c>
      <c r="EC5" s="1143" t="s">
        <v>1979</v>
      </c>
      <c r="ED5" s="1143" t="s">
        <v>1979</v>
      </c>
      <c r="EE5" s="1143" t="s">
        <v>1980</v>
      </c>
      <c r="EF5" s="1143" t="s">
        <v>1980</v>
      </c>
      <c r="EG5" s="1143" t="s">
        <v>1981</v>
      </c>
      <c r="EH5" s="1143" t="s">
        <v>1981</v>
      </c>
      <c r="EI5" s="1143" t="s">
        <v>1982</v>
      </c>
      <c r="EJ5" s="1143" t="s">
        <v>1982</v>
      </c>
      <c r="EK5" s="1143" t="s">
        <v>1983</v>
      </c>
      <c r="EL5" s="1143" t="s">
        <v>1983</v>
      </c>
      <c r="EM5" s="1143" t="s">
        <v>1984</v>
      </c>
      <c r="EN5" s="1143" t="s">
        <v>1984</v>
      </c>
      <c r="EO5" s="1143" t="s">
        <v>1985</v>
      </c>
      <c r="EP5" s="1143" t="s">
        <v>1985</v>
      </c>
      <c r="EQ5" s="1143" t="s">
        <v>1986</v>
      </c>
      <c r="ER5" s="1143" t="s">
        <v>1986</v>
      </c>
      <c r="ES5" s="1143" t="s">
        <v>1987</v>
      </c>
      <c r="ET5" s="1143" t="s">
        <v>1987</v>
      </c>
      <c r="EU5" s="1143" t="s">
        <v>1988</v>
      </c>
      <c r="EV5" s="1143" t="s">
        <v>1988</v>
      </c>
      <c r="EW5" s="1143" t="s">
        <v>1989</v>
      </c>
      <c r="EX5" s="1143" t="s">
        <v>1990</v>
      </c>
      <c r="EY5" s="1143" t="s">
        <v>1991</v>
      </c>
      <c r="EZ5" s="1143" t="s">
        <v>1992</v>
      </c>
      <c r="FA5" s="1143" t="s">
        <v>1993</v>
      </c>
      <c r="FB5" s="1143" t="s">
        <v>1994</v>
      </c>
      <c r="FC5" s="1143" t="s">
        <v>1995</v>
      </c>
      <c r="FD5" s="1143" t="s">
        <v>1996</v>
      </c>
      <c r="FE5" s="1143" t="s">
        <v>1997</v>
      </c>
      <c r="FF5" s="1143" t="s">
        <v>1998</v>
      </c>
      <c r="FG5" s="1143" t="s">
        <v>1999</v>
      </c>
      <c r="FH5" s="1143" t="s">
        <v>1999</v>
      </c>
      <c r="FI5" s="1143" t="s">
        <v>2000</v>
      </c>
      <c r="FJ5" s="1143" t="s">
        <v>2001</v>
      </c>
      <c r="FK5" s="1143" t="s">
        <v>2002</v>
      </c>
      <c r="FL5" s="1143" t="s">
        <v>2003</v>
      </c>
      <c r="FM5" s="1143" t="s">
        <v>2004</v>
      </c>
      <c r="FN5" s="1143" t="s">
        <v>2004</v>
      </c>
      <c r="FO5" s="1143" t="s">
        <v>2005</v>
      </c>
      <c r="FP5" s="1143" t="s">
        <v>2006</v>
      </c>
      <c r="FQ5" s="1143" t="s">
        <v>2007</v>
      </c>
      <c r="FR5" s="1143" t="s">
        <v>2008</v>
      </c>
      <c r="FS5" s="1143" t="s">
        <v>2009</v>
      </c>
      <c r="FT5" s="1143" t="s">
        <v>2009</v>
      </c>
      <c r="FU5" s="1143" t="s">
        <v>2010</v>
      </c>
      <c r="FV5" s="1143" t="s">
        <v>2010</v>
      </c>
      <c r="FW5" s="1143" t="s">
        <v>2010</v>
      </c>
      <c r="FX5" s="1143" t="s">
        <v>2011</v>
      </c>
      <c r="FY5" s="1143" t="s">
        <v>2011</v>
      </c>
      <c r="FZ5" s="1143" t="s">
        <v>2011</v>
      </c>
      <c r="GA5" s="1143" t="s">
        <v>2012</v>
      </c>
      <c r="GB5" s="1143" t="s">
        <v>2012</v>
      </c>
      <c r="GC5" s="1143" t="s">
        <v>2012</v>
      </c>
      <c r="GD5" s="1143" t="s">
        <v>2013</v>
      </c>
      <c r="GE5" s="1143" t="s">
        <v>2013</v>
      </c>
      <c r="GF5" s="1143" t="s">
        <v>2013</v>
      </c>
      <c r="GG5" s="1143" t="s">
        <v>2014</v>
      </c>
      <c r="GH5" s="1143" t="s">
        <v>2015</v>
      </c>
      <c r="GI5" s="1143" t="s">
        <v>2016</v>
      </c>
      <c r="GJ5" s="1143" t="s">
        <v>2017</v>
      </c>
      <c r="GK5" s="1143" t="s">
        <v>2017</v>
      </c>
      <c r="GL5" s="1143" t="s">
        <v>2018</v>
      </c>
      <c r="GM5" s="1143" t="s">
        <v>1951</v>
      </c>
      <c r="GN5" s="1143" t="s">
        <v>1951</v>
      </c>
      <c r="GO5" s="1143" t="s">
        <v>1951</v>
      </c>
      <c r="GP5" s="1143" t="s">
        <v>1951</v>
      </c>
      <c r="GQ5" s="1143" t="s">
        <v>1951</v>
      </c>
      <c r="GR5" s="1143" t="s">
        <v>1951</v>
      </c>
      <c r="GS5" s="1143" t="s">
        <v>1951</v>
      </c>
      <c r="GT5" s="1143" t="s">
        <v>2019</v>
      </c>
      <c r="GU5" s="1143" t="s">
        <v>2019</v>
      </c>
      <c r="GV5" s="1143" t="s">
        <v>2019</v>
      </c>
      <c r="GW5" s="1143" t="s">
        <v>2019</v>
      </c>
      <c r="GX5" s="1143" t="s">
        <v>2019</v>
      </c>
      <c r="GY5" s="1143" t="s">
        <v>2019</v>
      </c>
      <c r="GZ5" s="1143" t="s">
        <v>2019</v>
      </c>
      <c r="HA5" s="1143" t="s">
        <v>2020</v>
      </c>
      <c r="HB5" s="1143" t="s">
        <v>2020</v>
      </c>
      <c r="HC5" s="1143" t="s">
        <v>2020</v>
      </c>
      <c r="HD5" s="1143" t="s">
        <v>2020</v>
      </c>
      <c r="HE5" s="1143" t="s">
        <v>2020</v>
      </c>
      <c r="HF5" s="1143" t="s">
        <v>1951</v>
      </c>
      <c r="HG5" s="1143" t="s">
        <v>2021</v>
      </c>
      <c r="HH5" s="1143" t="s">
        <v>2021</v>
      </c>
      <c r="HI5" s="1143" t="s">
        <v>2021</v>
      </c>
      <c r="HJ5" s="1143" t="s">
        <v>2021</v>
      </c>
      <c r="HK5" s="1143" t="s">
        <v>2021</v>
      </c>
      <c r="HL5" s="1143" t="s">
        <v>2021</v>
      </c>
      <c r="HM5" s="1143" t="s">
        <v>2021</v>
      </c>
      <c r="HN5" s="1143" t="s">
        <v>2021</v>
      </c>
      <c r="HO5" s="1143" t="s">
        <v>2021</v>
      </c>
      <c r="HP5" s="1143" t="s">
        <v>2021</v>
      </c>
      <c r="HQ5" s="1143" t="s">
        <v>2021</v>
      </c>
      <c r="HR5" s="1143" t="s">
        <v>2021</v>
      </c>
      <c r="HS5" s="1143" t="s">
        <v>2022</v>
      </c>
      <c r="HT5" s="1143" t="s">
        <v>2022</v>
      </c>
      <c r="HU5" s="1143" t="s">
        <v>2023</v>
      </c>
      <c r="HV5" s="1143" t="s">
        <v>2023</v>
      </c>
      <c r="HW5" s="1143" t="s">
        <v>2023</v>
      </c>
      <c r="HX5" s="1143" t="s">
        <v>2023</v>
      </c>
      <c r="HY5" s="1143" t="s">
        <v>2023</v>
      </c>
      <c r="HZ5" s="1143" t="s">
        <v>2023</v>
      </c>
      <c r="IA5" s="1143" t="s">
        <v>2024</v>
      </c>
      <c r="IB5" s="1143" t="s">
        <v>2024</v>
      </c>
      <c r="IC5" s="1143" t="s">
        <v>2025</v>
      </c>
      <c r="ID5" s="1143" t="s">
        <v>2025</v>
      </c>
      <c r="IE5" s="1143" t="s">
        <v>2026</v>
      </c>
      <c r="IF5" s="1143" t="s">
        <v>2026</v>
      </c>
      <c r="IG5" s="1143" t="s">
        <v>2027</v>
      </c>
      <c r="II5" s="1096" t="s">
        <v>1953</v>
      </c>
      <c r="IJ5" s="1096" t="s">
        <v>1953</v>
      </c>
      <c r="IK5" s="1096" t="s">
        <v>2028</v>
      </c>
      <c r="IL5" s="1096" t="s">
        <v>2029</v>
      </c>
      <c r="IM5" s="1096" t="s">
        <v>2030</v>
      </c>
      <c r="IN5" s="1096" t="s">
        <v>2031</v>
      </c>
      <c r="IO5" s="1096" t="s">
        <v>2032</v>
      </c>
      <c r="IP5" s="1096" t="s">
        <v>2033</v>
      </c>
      <c r="IQ5" s="1096" t="s">
        <v>2033</v>
      </c>
      <c r="IR5" s="1096" t="s">
        <v>2033</v>
      </c>
      <c r="IS5" s="1096" t="s">
        <v>2034</v>
      </c>
      <c r="IT5" s="1096" t="s">
        <v>2035</v>
      </c>
      <c r="IU5" s="1096" t="s">
        <v>2036</v>
      </c>
      <c r="IV5" s="1096" t="s">
        <v>2037</v>
      </c>
      <c r="IX5" s="1096" t="s">
        <v>2038</v>
      </c>
      <c r="IY5" s="1096" t="s">
        <v>2039</v>
      </c>
      <c r="IZ5" s="1096" t="s">
        <v>2040</v>
      </c>
      <c r="JA5" s="1096" t="s">
        <v>2040</v>
      </c>
      <c r="JB5" s="1096" t="s">
        <v>2040</v>
      </c>
      <c r="JC5" s="1096" t="s">
        <v>2041</v>
      </c>
      <c r="JD5" s="1096" t="s">
        <v>2042</v>
      </c>
      <c r="JF5" s="1096" t="s">
        <v>2043</v>
      </c>
      <c r="JG5" s="1096" t="s">
        <v>2044</v>
      </c>
      <c r="JH5" s="1096" t="s">
        <v>2045</v>
      </c>
      <c r="JI5" s="1096" t="s">
        <v>2045</v>
      </c>
      <c r="JJ5" s="1096" t="s">
        <v>2046</v>
      </c>
      <c r="JK5" s="1096" t="s">
        <v>2047</v>
      </c>
      <c r="JL5" s="1096" t="s">
        <v>2048</v>
      </c>
      <c r="JM5" s="1096" t="s">
        <v>2049</v>
      </c>
      <c r="JN5" s="1096" t="s">
        <v>2050</v>
      </c>
      <c r="JO5" s="1096" t="s">
        <v>2051</v>
      </c>
      <c r="JP5" s="1096" t="s">
        <v>1966</v>
      </c>
      <c r="JR5" s="1096" t="s">
        <v>2052</v>
      </c>
      <c r="JS5" s="1096" t="s">
        <v>2053</v>
      </c>
      <c r="JT5" s="1096" t="s">
        <v>2053</v>
      </c>
      <c r="JU5" s="1096" t="s">
        <v>2054</v>
      </c>
      <c r="JV5" s="1096" t="s">
        <v>2054</v>
      </c>
      <c r="JW5" s="1096" t="s">
        <v>2028</v>
      </c>
      <c r="JX5" s="1096" t="s">
        <v>2055</v>
      </c>
      <c r="JY5" s="1096" t="s">
        <v>2055</v>
      </c>
      <c r="JZ5" s="1096" t="s">
        <v>2055</v>
      </c>
      <c r="KA5" s="1096" t="s">
        <v>2056</v>
      </c>
      <c r="KB5" s="1096" t="s">
        <v>2057</v>
      </c>
      <c r="KD5" s="1096" t="s">
        <v>2058</v>
      </c>
      <c r="KE5" s="1096" t="s">
        <v>2059</v>
      </c>
      <c r="KF5" s="1096" t="s">
        <v>2060</v>
      </c>
      <c r="KG5" s="1096" t="s">
        <v>2061</v>
      </c>
      <c r="KH5" s="1096" t="s">
        <v>2062</v>
      </c>
      <c r="KI5" s="1096" t="s">
        <v>2063</v>
      </c>
      <c r="KJ5" s="1096" t="s">
        <v>2064</v>
      </c>
      <c r="KL5" s="1096" t="s">
        <v>2065</v>
      </c>
      <c r="KM5" s="1096" t="s">
        <v>2065</v>
      </c>
      <c r="KO5" s="1096" t="s">
        <v>2066</v>
      </c>
      <c r="KP5" s="1096" t="s">
        <v>2067</v>
      </c>
      <c r="KR5" s="1096" t="s">
        <v>2068</v>
      </c>
      <c r="KS5" s="1096" t="s">
        <v>2069</v>
      </c>
      <c r="KT5" s="1096" t="s">
        <v>2070</v>
      </c>
      <c r="KU5" s="1096" t="s">
        <v>2071</v>
      </c>
      <c r="KV5" s="1096" t="s">
        <v>2072</v>
      </c>
      <c r="KW5" s="1096" t="s">
        <v>2073</v>
      </c>
      <c r="KY5" s="1096" t="s">
        <v>2074</v>
      </c>
      <c r="KZ5" s="1096" t="s">
        <v>2075</v>
      </c>
      <c r="LA5" s="1096" t="s">
        <v>2076</v>
      </c>
      <c r="LB5" s="1096" t="s">
        <v>2077</v>
      </c>
      <c r="LC5" s="1096" t="s">
        <v>2078</v>
      </c>
      <c r="LD5" s="1096" t="s">
        <v>2079</v>
      </c>
      <c r="LF5" s="1096" t="s">
        <v>2080</v>
      </c>
      <c r="LG5" s="1096" t="s">
        <v>2081</v>
      </c>
      <c r="LH5" s="1096" t="s">
        <v>2082</v>
      </c>
      <c r="LI5" s="1096" t="s">
        <v>2083</v>
      </c>
      <c r="LJ5" s="1096" t="s">
        <v>2084</v>
      </c>
      <c r="LK5" s="1096" t="s">
        <v>2085</v>
      </c>
      <c r="LL5" s="1096" t="s">
        <v>2086</v>
      </c>
      <c r="LN5" s="1096" t="s">
        <v>2087</v>
      </c>
      <c r="LO5" s="1096" t="s">
        <v>2088</v>
      </c>
      <c r="LP5" s="1096" t="s">
        <v>2089</v>
      </c>
      <c r="LR5" s="1096" t="s">
        <v>2090</v>
      </c>
      <c r="LS5" s="1096" t="s">
        <v>2091</v>
      </c>
      <c r="LT5" s="1096" t="s">
        <v>2092</v>
      </c>
      <c r="LU5" s="1096" t="s">
        <v>2093</v>
      </c>
      <c r="LV5" s="1096" t="s">
        <v>2094</v>
      </c>
      <c r="LX5" s="1096" t="s">
        <v>2095</v>
      </c>
      <c r="LZ5" s="1096" t="s">
        <v>2096</v>
      </c>
      <c r="MA5" s="1096" t="s">
        <v>2097</v>
      </c>
      <c r="MC5" s="1096" t="s">
        <v>2098</v>
      </c>
      <c r="MD5" s="1096" t="s">
        <v>2099</v>
      </c>
      <c r="ME5" s="1096" t="s">
        <v>2100</v>
      </c>
      <c r="MG5" s="1096" t="s">
        <v>2101</v>
      </c>
      <c r="MH5" s="1096" t="s">
        <v>2101</v>
      </c>
      <c r="MI5" s="1096" t="s">
        <v>2102</v>
      </c>
      <c r="MJ5" s="1096" t="s">
        <v>2103</v>
      </c>
      <c r="MK5" s="1096" t="s">
        <v>2103</v>
      </c>
      <c r="MM5" s="1096" t="s">
        <v>2104</v>
      </c>
      <c r="MN5" s="1096" t="s">
        <v>2104</v>
      </c>
    </row>
    <row r="6" spans="1:352" ht="13.9" x14ac:dyDescent="0.4">
      <c r="A6" s="1096" t="s">
        <v>2105</v>
      </c>
      <c r="B6" s="1102"/>
      <c r="C6" s="1096" t="s">
        <v>2106</v>
      </c>
      <c r="D6" s="1096" t="s">
        <v>2107</v>
      </c>
      <c r="E6" s="1102" t="s">
        <v>496</v>
      </c>
      <c r="F6" s="1096" t="s">
        <v>195</v>
      </c>
      <c r="G6" s="1102" t="s">
        <v>1852</v>
      </c>
      <c r="H6" s="1096" t="s">
        <v>2108</v>
      </c>
      <c r="I6" s="1096" t="s">
        <v>2109</v>
      </c>
      <c r="J6" s="1102" t="s">
        <v>497</v>
      </c>
      <c r="K6" s="1096" t="s">
        <v>2110</v>
      </c>
      <c r="L6" s="1096" t="s">
        <v>2111</v>
      </c>
      <c r="M6" s="1096" t="s">
        <v>2112</v>
      </c>
      <c r="N6" s="1096" t="s">
        <v>2106</v>
      </c>
      <c r="O6" s="1096" t="s">
        <v>2113</v>
      </c>
      <c r="P6" s="1102" t="s">
        <v>2114</v>
      </c>
      <c r="Q6" s="1096" t="s">
        <v>2115</v>
      </c>
      <c r="R6" s="1096" t="s">
        <v>2116</v>
      </c>
      <c r="S6" s="1096" t="s">
        <v>2107</v>
      </c>
      <c r="T6" s="1102" t="s">
        <v>1852</v>
      </c>
      <c r="U6" s="1096" t="s">
        <v>2108</v>
      </c>
      <c r="V6" s="1096" t="s">
        <v>2109</v>
      </c>
      <c r="W6" s="1096" t="s">
        <v>1847</v>
      </c>
      <c r="X6" s="1096" t="s">
        <v>163</v>
      </c>
      <c r="Y6" s="1096" t="s">
        <v>497</v>
      </c>
      <c r="Z6" s="1102" t="s">
        <v>2110</v>
      </c>
      <c r="AA6" s="1096" t="s">
        <v>2117</v>
      </c>
      <c r="AB6" s="1102" t="s">
        <v>2112</v>
      </c>
      <c r="AC6" s="1102" t="s">
        <v>2118</v>
      </c>
      <c r="AD6" s="1102" t="s">
        <v>499</v>
      </c>
      <c r="AE6" s="1096" t="s">
        <v>2119</v>
      </c>
      <c r="AF6" s="1096" t="s">
        <v>497</v>
      </c>
      <c r="AG6" s="1096" t="s">
        <v>195</v>
      </c>
      <c r="AH6" s="1096" t="s">
        <v>497</v>
      </c>
      <c r="AI6" s="1102" t="s">
        <v>2108</v>
      </c>
      <c r="AJ6" s="1102" t="s">
        <v>497</v>
      </c>
      <c r="AK6" s="1096" t="s">
        <v>2109</v>
      </c>
      <c r="AL6" s="1102" t="s">
        <v>2110</v>
      </c>
      <c r="AM6" s="1096" t="s">
        <v>2108</v>
      </c>
      <c r="AN6" s="1102" t="s">
        <v>497</v>
      </c>
      <c r="AO6" s="1096" t="s">
        <v>496</v>
      </c>
      <c r="AP6" s="1096" t="s">
        <v>499</v>
      </c>
      <c r="AQ6" s="1096" t="s">
        <v>2119</v>
      </c>
      <c r="AR6" s="1096" t="s">
        <v>497</v>
      </c>
      <c r="AS6" s="1096" t="s">
        <v>2119</v>
      </c>
      <c r="AT6" s="1096" t="s">
        <v>2109</v>
      </c>
      <c r="AU6" s="1102" t="s">
        <v>497</v>
      </c>
      <c r="AV6" s="1096" t="s">
        <v>2110</v>
      </c>
      <c r="AW6" s="1096" t="s">
        <v>227</v>
      </c>
      <c r="AX6" s="1096" t="s">
        <v>497</v>
      </c>
      <c r="AY6" s="1096" t="s">
        <v>2107</v>
      </c>
      <c r="AZ6" s="1096" t="s">
        <v>496</v>
      </c>
      <c r="BA6" s="1096" t="s">
        <v>195</v>
      </c>
      <c r="BB6" s="1096" t="s">
        <v>499</v>
      </c>
      <c r="BC6" s="1096" t="s">
        <v>2109</v>
      </c>
      <c r="BD6" s="1096" t="s">
        <v>497</v>
      </c>
      <c r="BE6" s="1102" t="s">
        <v>2118</v>
      </c>
      <c r="BF6" s="1096" t="s">
        <v>499</v>
      </c>
      <c r="BG6" s="1096" t="s">
        <v>2109</v>
      </c>
      <c r="BH6" s="1096" t="s">
        <v>497</v>
      </c>
      <c r="BI6" s="1102" t="s">
        <v>2118</v>
      </c>
      <c r="BJ6" s="1096" t="s">
        <v>496</v>
      </c>
      <c r="BK6" s="1102" t="s">
        <v>195</v>
      </c>
      <c r="BL6" s="1102" t="s">
        <v>499</v>
      </c>
      <c r="BM6" s="1102" t="s">
        <v>1852</v>
      </c>
      <c r="BN6" s="1096" t="s">
        <v>2108</v>
      </c>
      <c r="BO6" s="1096" t="s">
        <v>2109</v>
      </c>
      <c r="BP6" s="1102" t="s">
        <v>497</v>
      </c>
      <c r="BQ6" s="1096" t="s">
        <v>227</v>
      </c>
      <c r="BR6" s="1102" t="s">
        <v>496</v>
      </c>
      <c r="BS6" s="1102" t="s">
        <v>496</v>
      </c>
      <c r="BT6" s="1102" t="s">
        <v>496</v>
      </c>
      <c r="BU6" s="1096" t="s">
        <v>1852</v>
      </c>
      <c r="BV6" s="1096" t="s">
        <v>2108</v>
      </c>
      <c r="BW6" s="1102" t="s">
        <v>497</v>
      </c>
      <c r="BX6" s="1102" t="s">
        <v>496</v>
      </c>
      <c r="BY6" s="1102" t="s">
        <v>1852</v>
      </c>
      <c r="BZ6" s="1096" t="s">
        <v>2108</v>
      </c>
      <c r="CA6" s="1102" t="s">
        <v>497</v>
      </c>
      <c r="CB6" s="1102" t="s">
        <v>496</v>
      </c>
      <c r="CC6" s="1096" t="s">
        <v>1852</v>
      </c>
      <c r="CD6" s="1096" t="s">
        <v>2108</v>
      </c>
      <c r="CE6" s="1102" t="s">
        <v>497</v>
      </c>
      <c r="CF6" s="1102" t="s">
        <v>496</v>
      </c>
      <c r="CG6" s="1102" t="s">
        <v>1852</v>
      </c>
      <c r="CH6" s="1096" t="s">
        <v>2108</v>
      </c>
      <c r="CI6" s="1102" t="s">
        <v>497</v>
      </c>
      <c r="CJ6" s="1096" t="s">
        <v>496</v>
      </c>
      <c r="CK6" s="1096" t="s">
        <v>195</v>
      </c>
      <c r="CL6" s="1096" t="s">
        <v>497</v>
      </c>
      <c r="CM6" s="1096" t="s">
        <v>2113</v>
      </c>
      <c r="CN6" s="1096" t="s">
        <v>496</v>
      </c>
      <c r="CO6" s="1096" t="s">
        <v>1852</v>
      </c>
      <c r="CP6" s="1096" t="s">
        <v>2108</v>
      </c>
      <c r="CQ6" s="1096" t="s">
        <v>497</v>
      </c>
      <c r="CR6" s="1096" t="s">
        <v>2112</v>
      </c>
      <c r="CS6" s="1096" t="s">
        <v>2113</v>
      </c>
      <c r="CT6" s="1096" t="s">
        <v>2115</v>
      </c>
      <c r="CU6" s="1096" t="s">
        <v>2120</v>
      </c>
      <c r="CV6" s="1096" t="s">
        <v>2121</v>
      </c>
      <c r="CW6" s="1096" t="s">
        <v>177</v>
      </c>
      <c r="CX6" s="1096" t="s">
        <v>2108</v>
      </c>
      <c r="CY6" s="1096" t="s">
        <v>2117</v>
      </c>
      <c r="CZ6" s="1096" t="s">
        <v>2107</v>
      </c>
      <c r="DA6" s="1096" t="s">
        <v>496</v>
      </c>
      <c r="DB6" s="1096" t="s">
        <v>195</v>
      </c>
      <c r="DC6" s="1096" t="s">
        <v>499</v>
      </c>
      <c r="DD6" s="1096" t="s">
        <v>2119</v>
      </c>
      <c r="DE6" s="1096" t="s">
        <v>1852</v>
      </c>
      <c r="DF6" s="1096" t="s">
        <v>2108</v>
      </c>
      <c r="DG6" s="1096" t="s">
        <v>2109</v>
      </c>
      <c r="DH6" s="1096" t="s">
        <v>497</v>
      </c>
      <c r="DI6" s="1096" t="s">
        <v>2110</v>
      </c>
      <c r="DJ6" s="1096" t="s">
        <v>2112</v>
      </c>
      <c r="DK6" s="1096" t="s">
        <v>2122</v>
      </c>
      <c r="DL6" s="1096" t="s">
        <v>227</v>
      </c>
      <c r="DM6" s="1096" t="s">
        <v>2123</v>
      </c>
      <c r="DN6" s="1096" t="s">
        <v>2121</v>
      </c>
      <c r="DO6" s="1096" t="s">
        <v>497</v>
      </c>
      <c r="DP6" s="1096" t="s">
        <v>497</v>
      </c>
      <c r="DQ6" s="1096" t="s">
        <v>2124</v>
      </c>
      <c r="DR6" s="1096" t="s">
        <v>2125</v>
      </c>
      <c r="DS6" s="1096" t="s">
        <v>2124</v>
      </c>
      <c r="DT6" s="1096" t="s">
        <v>2125</v>
      </c>
      <c r="DU6" s="1096" t="s">
        <v>2124</v>
      </c>
      <c r="DV6" s="1096" t="s">
        <v>2125</v>
      </c>
      <c r="DW6" s="1096" t="s">
        <v>2124</v>
      </c>
      <c r="DX6" s="1096" t="s">
        <v>2125</v>
      </c>
      <c r="DY6" s="1096" t="s">
        <v>2124</v>
      </c>
      <c r="DZ6" s="1096" t="s">
        <v>2125</v>
      </c>
      <c r="EA6" s="1096" t="s">
        <v>2124</v>
      </c>
      <c r="EB6" s="1096" t="s">
        <v>2125</v>
      </c>
      <c r="EC6" s="1096" t="s">
        <v>2124</v>
      </c>
      <c r="ED6" s="1096" t="s">
        <v>2125</v>
      </c>
      <c r="EE6" s="1096" t="s">
        <v>2124</v>
      </c>
      <c r="EF6" s="1096" t="s">
        <v>2125</v>
      </c>
      <c r="EG6" s="1096" t="s">
        <v>2124</v>
      </c>
      <c r="EH6" s="1096" t="s">
        <v>2125</v>
      </c>
      <c r="EI6" s="1096" t="s">
        <v>2124</v>
      </c>
      <c r="EJ6" s="1096" t="s">
        <v>2125</v>
      </c>
      <c r="EK6" s="1096" t="s">
        <v>2117</v>
      </c>
      <c r="EL6" s="1096" t="s">
        <v>177</v>
      </c>
      <c r="EM6" s="1096" t="s">
        <v>2117</v>
      </c>
      <c r="EN6" s="1096" t="s">
        <v>177</v>
      </c>
      <c r="EO6" s="1096" t="s">
        <v>2117</v>
      </c>
      <c r="EP6" s="1096" t="s">
        <v>177</v>
      </c>
      <c r="EQ6" s="1096" t="s">
        <v>2117</v>
      </c>
      <c r="ER6" s="1096" t="s">
        <v>177</v>
      </c>
      <c r="ES6" s="1096" t="s">
        <v>2117</v>
      </c>
      <c r="ET6" s="1096" t="s">
        <v>177</v>
      </c>
      <c r="EU6" s="1096" t="s">
        <v>2117</v>
      </c>
      <c r="EV6" s="1096" t="s">
        <v>177</v>
      </c>
      <c r="EW6" s="1096" t="s">
        <v>177</v>
      </c>
      <c r="EX6" s="1096" t="s">
        <v>177</v>
      </c>
      <c r="EY6" s="1096" t="s">
        <v>177</v>
      </c>
      <c r="EZ6" s="1096" t="s">
        <v>177</v>
      </c>
      <c r="FA6" s="1096" t="s">
        <v>177</v>
      </c>
      <c r="FB6" s="1096" t="s">
        <v>177</v>
      </c>
      <c r="FC6" s="1096" t="s">
        <v>177</v>
      </c>
      <c r="FD6" s="1096" t="s">
        <v>177</v>
      </c>
      <c r="FE6" s="1096" t="s">
        <v>177</v>
      </c>
      <c r="FF6" s="1096" t="s">
        <v>2117</v>
      </c>
      <c r="FG6" s="1096" t="s">
        <v>2117</v>
      </c>
      <c r="FH6" s="1096" t="s">
        <v>2123</v>
      </c>
      <c r="FI6" s="1096" t="s">
        <v>2117</v>
      </c>
      <c r="FJ6" s="1096" t="s">
        <v>2117</v>
      </c>
      <c r="FK6" s="1096" t="s">
        <v>2117</v>
      </c>
      <c r="FL6" s="1096" t="s">
        <v>2109</v>
      </c>
      <c r="FM6" s="1096" t="s">
        <v>2126</v>
      </c>
      <c r="FN6" s="1096" t="s">
        <v>2127</v>
      </c>
      <c r="FO6" s="1096" t="s">
        <v>2108</v>
      </c>
      <c r="FP6" s="1096" t="s">
        <v>2108</v>
      </c>
      <c r="FQ6" s="1096" t="s">
        <v>2108</v>
      </c>
      <c r="FR6" s="1096" t="s">
        <v>496</v>
      </c>
      <c r="FS6" s="1096" t="s">
        <v>1852</v>
      </c>
      <c r="FT6" s="1096" t="s">
        <v>2108</v>
      </c>
      <c r="FU6" s="1096" t="s">
        <v>177</v>
      </c>
      <c r="FV6" s="1096" t="s">
        <v>2108</v>
      </c>
      <c r="FW6" s="1096" t="s">
        <v>2117</v>
      </c>
      <c r="FX6" s="1096" t="s">
        <v>177</v>
      </c>
      <c r="FY6" s="1096" t="s">
        <v>2108</v>
      </c>
      <c r="FZ6" s="1096" t="s">
        <v>2117</v>
      </c>
      <c r="GA6" s="1096" t="s">
        <v>177</v>
      </c>
      <c r="GB6" s="1096" t="s">
        <v>2108</v>
      </c>
      <c r="GC6" s="1096" t="s">
        <v>2117</v>
      </c>
      <c r="GD6" s="1096" t="s">
        <v>177</v>
      </c>
      <c r="GE6" s="1096" t="s">
        <v>2108</v>
      </c>
      <c r="GF6" s="1096" t="s">
        <v>2117</v>
      </c>
      <c r="GG6" s="1096" t="s">
        <v>1852</v>
      </c>
      <c r="GH6" s="1096" t="s">
        <v>1852</v>
      </c>
      <c r="GI6" s="1096" t="s">
        <v>1852</v>
      </c>
      <c r="GJ6" s="1096" t="s">
        <v>1852</v>
      </c>
      <c r="GK6" s="1096" t="s">
        <v>2108</v>
      </c>
      <c r="GL6" s="1096" t="s">
        <v>2108</v>
      </c>
      <c r="GM6" s="1096" t="s">
        <v>496</v>
      </c>
      <c r="GN6" s="1096" t="s">
        <v>195</v>
      </c>
      <c r="GO6" s="1096" t="s">
        <v>1852</v>
      </c>
      <c r="GP6" s="1096" t="s">
        <v>2108</v>
      </c>
      <c r="GQ6" s="1096" t="s">
        <v>497</v>
      </c>
      <c r="GR6" s="1096" t="s">
        <v>2122</v>
      </c>
      <c r="GS6" s="1096" t="s">
        <v>227</v>
      </c>
      <c r="GT6" s="1096" t="s">
        <v>2107</v>
      </c>
      <c r="GU6" s="1096" t="s">
        <v>496</v>
      </c>
      <c r="GV6" s="1096" t="s">
        <v>195</v>
      </c>
      <c r="GW6" s="1096" t="s">
        <v>1852</v>
      </c>
      <c r="GX6" s="1096" t="s">
        <v>2108</v>
      </c>
      <c r="GY6" s="1096" t="s">
        <v>497</v>
      </c>
      <c r="GZ6" s="1096" t="s">
        <v>227</v>
      </c>
      <c r="HA6" s="1096" t="s">
        <v>2107</v>
      </c>
      <c r="HB6" s="1096" t="s">
        <v>496</v>
      </c>
      <c r="HC6" s="1096" t="s">
        <v>195</v>
      </c>
      <c r="HD6" s="1096" t="s">
        <v>1852</v>
      </c>
      <c r="HE6" s="1096" t="s">
        <v>497</v>
      </c>
      <c r="HF6" s="1096" t="s">
        <v>2109</v>
      </c>
      <c r="HG6" s="1096" t="s">
        <v>2128</v>
      </c>
      <c r="HH6" s="1096" t="s">
        <v>2107</v>
      </c>
      <c r="HI6" s="1096" t="s">
        <v>496</v>
      </c>
      <c r="HJ6" s="1096" t="s">
        <v>195</v>
      </c>
      <c r="HK6" s="1096" t="s">
        <v>1852</v>
      </c>
      <c r="HL6" s="1096" t="s">
        <v>2108</v>
      </c>
      <c r="HM6" s="1096" t="s">
        <v>2109</v>
      </c>
      <c r="HN6" s="1096" t="s">
        <v>497</v>
      </c>
      <c r="HO6" s="1096" t="s">
        <v>2112</v>
      </c>
      <c r="HP6" s="1096" t="s">
        <v>2122</v>
      </c>
      <c r="HQ6" s="1096" t="s">
        <v>227</v>
      </c>
      <c r="HR6" s="1096" t="s">
        <v>2129</v>
      </c>
      <c r="HS6" s="1096" t="s">
        <v>177</v>
      </c>
      <c r="HT6" s="1096" t="s">
        <v>2117</v>
      </c>
      <c r="HU6" s="1096" t="s">
        <v>2107</v>
      </c>
      <c r="HV6" s="1096" t="s">
        <v>496</v>
      </c>
      <c r="HW6" s="1096" t="s">
        <v>195</v>
      </c>
      <c r="HX6" s="1096" t="s">
        <v>1852</v>
      </c>
      <c r="HY6" s="1096" t="s">
        <v>497</v>
      </c>
      <c r="HZ6" s="1096" t="s">
        <v>2130</v>
      </c>
      <c r="IA6" s="1096" t="s">
        <v>2108</v>
      </c>
      <c r="IB6" s="1096" t="s">
        <v>2117</v>
      </c>
      <c r="IC6" s="1096" t="s">
        <v>1852</v>
      </c>
      <c r="ID6" s="1096" t="s">
        <v>2108</v>
      </c>
      <c r="IE6" s="1096" t="s">
        <v>2124</v>
      </c>
      <c r="IF6" s="1096" t="s">
        <v>2125</v>
      </c>
      <c r="IG6" s="1096" t="s">
        <v>2108</v>
      </c>
      <c r="II6" s="1096" t="s">
        <v>2112</v>
      </c>
      <c r="IJ6" s="1096" t="s">
        <v>496</v>
      </c>
      <c r="IK6" s="1096" t="s">
        <v>499</v>
      </c>
      <c r="IL6" s="1096" t="s">
        <v>2131</v>
      </c>
      <c r="IM6" s="1096" t="s">
        <v>2132</v>
      </c>
      <c r="IN6" s="1096" t="s">
        <v>2131</v>
      </c>
      <c r="IO6" s="1096" t="s">
        <v>2132</v>
      </c>
      <c r="IP6" s="1096" t="s">
        <v>2133</v>
      </c>
      <c r="IQ6" s="1096" t="s">
        <v>2134</v>
      </c>
      <c r="IR6" s="1096" t="s">
        <v>2135</v>
      </c>
      <c r="IS6" s="1096" t="s">
        <v>2132</v>
      </c>
      <c r="IT6" s="1096" t="s">
        <v>2132</v>
      </c>
      <c r="IU6" s="1096" t="s">
        <v>2132</v>
      </c>
      <c r="IV6" s="1096" t="s">
        <v>2132</v>
      </c>
      <c r="IX6" s="1096" t="s">
        <v>2136</v>
      </c>
      <c r="IY6" s="1096" t="s">
        <v>2137</v>
      </c>
      <c r="IZ6" s="1096" t="s">
        <v>2137</v>
      </c>
      <c r="JA6" s="1096" t="s">
        <v>2138</v>
      </c>
      <c r="JB6" s="1096" t="s">
        <v>2139</v>
      </c>
      <c r="JC6" s="1096" t="s">
        <v>2140</v>
      </c>
      <c r="JD6" s="1096" t="s">
        <v>2141</v>
      </c>
      <c r="JF6" s="1096" t="s">
        <v>497</v>
      </c>
      <c r="JG6" s="1096" t="s">
        <v>497</v>
      </c>
      <c r="JH6" s="1096" t="s">
        <v>195</v>
      </c>
      <c r="JI6" s="1096" t="s">
        <v>2112</v>
      </c>
      <c r="JJ6" s="1096" t="s">
        <v>2142</v>
      </c>
      <c r="JK6" s="1096" t="s">
        <v>497</v>
      </c>
      <c r="JL6" s="1096" t="s">
        <v>497</v>
      </c>
      <c r="JM6" s="1096" t="s">
        <v>2143</v>
      </c>
      <c r="JN6" s="1096" t="s">
        <v>2144</v>
      </c>
      <c r="JO6" s="1096" t="s">
        <v>2145</v>
      </c>
      <c r="JP6" s="1096" t="s">
        <v>2110</v>
      </c>
      <c r="JR6" s="1096" t="s">
        <v>2138</v>
      </c>
      <c r="JS6" s="1096" t="s">
        <v>2112</v>
      </c>
      <c r="JT6" s="1096" t="s">
        <v>2146</v>
      </c>
      <c r="JU6" s="1096" t="s">
        <v>2146</v>
      </c>
      <c r="JV6" s="1096" t="s">
        <v>2147</v>
      </c>
      <c r="JW6" s="1096" t="s">
        <v>2118</v>
      </c>
      <c r="JX6" s="1096" t="s">
        <v>2137</v>
      </c>
      <c r="JY6" s="1096" t="s">
        <v>2138</v>
      </c>
      <c r="JZ6" s="1096" t="s">
        <v>195</v>
      </c>
      <c r="KA6" s="1096" t="s">
        <v>2148</v>
      </c>
      <c r="KB6" s="1096" t="s">
        <v>195</v>
      </c>
      <c r="KD6" s="1096" t="s">
        <v>2123</v>
      </c>
      <c r="KE6" s="1096" t="s">
        <v>2123</v>
      </c>
      <c r="KF6" s="1096" t="s">
        <v>2123</v>
      </c>
      <c r="KG6" s="1096" t="s">
        <v>2123</v>
      </c>
      <c r="KH6" s="1096" t="s">
        <v>2149</v>
      </c>
      <c r="KI6" s="1096" t="s">
        <v>2150</v>
      </c>
      <c r="KJ6" s="1096" t="s">
        <v>2112</v>
      </c>
      <c r="KL6" s="1096" t="s">
        <v>2137</v>
      </c>
      <c r="KM6" s="1096" t="s">
        <v>2138</v>
      </c>
      <c r="KO6" s="1096" t="s">
        <v>2151</v>
      </c>
      <c r="KP6" s="1096" t="s">
        <v>2150</v>
      </c>
      <c r="KR6" s="1096" t="s">
        <v>2132</v>
      </c>
      <c r="KS6" s="1096" t="s">
        <v>2152</v>
      </c>
      <c r="KT6" s="1096" t="s">
        <v>2132</v>
      </c>
      <c r="KU6" s="1096" t="s">
        <v>2132</v>
      </c>
      <c r="KV6" s="1096" t="s">
        <v>2132</v>
      </c>
      <c r="KW6" s="1096" t="s">
        <v>2132</v>
      </c>
      <c r="KY6" s="1096" t="s">
        <v>2132</v>
      </c>
      <c r="KZ6" s="1096" t="s">
        <v>2132</v>
      </c>
      <c r="LA6" s="1096" t="s">
        <v>2132</v>
      </c>
      <c r="LB6" s="1096" t="s">
        <v>2152</v>
      </c>
      <c r="LC6" s="1096" t="s">
        <v>2132</v>
      </c>
      <c r="LD6" s="1096" t="s">
        <v>2132</v>
      </c>
      <c r="LF6" s="1096" t="s">
        <v>2132</v>
      </c>
      <c r="LG6" s="1096" t="s">
        <v>2132</v>
      </c>
      <c r="LH6" s="1096" t="s">
        <v>2132</v>
      </c>
      <c r="LI6" s="1096" t="s">
        <v>2152</v>
      </c>
      <c r="LJ6" s="1096" t="s">
        <v>2132</v>
      </c>
      <c r="LK6" s="1096" t="s">
        <v>2132</v>
      </c>
      <c r="LL6" s="1096" t="s">
        <v>2132</v>
      </c>
      <c r="LN6" s="1096" t="s">
        <v>2132</v>
      </c>
      <c r="LO6" s="1096" t="s">
        <v>2132</v>
      </c>
      <c r="LP6" s="1096" t="s">
        <v>2132</v>
      </c>
      <c r="LR6" s="1096" t="s">
        <v>2132</v>
      </c>
      <c r="LS6" s="1096" t="s">
        <v>2152</v>
      </c>
      <c r="LT6" s="1096" t="s">
        <v>2132</v>
      </c>
      <c r="LU6" s="1096" t="s">
        <v>2132</v>
      </c>
      <c r="LV6" s="1096" t="s">
        <v>2132</v>
      </c>
      <c r="LX6" s="1096" t="s">
        <v>2132</v>
      </c>
      <c r="LZ6" s="1096" t="s">
        <v>2132</v>
      </c>
      <c r="MA6" s="1096" t="s">
        <v>2132</v>
      </c>
      <c r="MC6" s="1096" t="s">
        <v>2106</v>
      </c>
      <c r="MD6" s="1096" t="s">
        <v>2153</v>
      </c>
      <c r="ME6" s="1096" t="s">
        <v>2154</v>
      </c>
      <c r="MG6" s="1096" t="s">
        <v>2124</v>
      </c>
      <c r="MH6" s="1096" t="s">
        <v>2125</v>
      </c>
      <c r="MI6" s="1096" t="s">
        <v>2123</v>
      </c>
      <c r="MJ6" s="1096" t="s">
        <v>2124</v>
      </c>
      <c r="MK6" s="1096" t="s">
        <v>2125</v>
      </c>
      <c r="MM6" s="1096" t="s">
        <v>1852</v>
      </c>
      <c r="MN6" s="1096" t="s">
        <v>2108</v>
      </c>
    </row>
    <row r="7" spans="1:352" ht="13.9" x14ac:dyDescent="0.4">
      <c r="A7" s="1096" t="s">
        <v>1838</v>
      </c>
      <c r="B7" s="1102" t="s">
        <v>2155</v>
      </c>
      <c r="C7" s="1096" t="s">
        <v>2155</v>
      </c>
      <c r="D7" s="1096" t="s">
        <v>2155</v>
      </c>
      <c r="E7" s="1096" t="s">
        <v>2155</v>
      </c>
      <c r="F7" s="1096" t="s">
        <v>2155</v>
      </c>
      <c r="G7" s="1096" t="s">
        <v>2155</v>
      </c>
      <c r="H7" s="1096" t="s">
        <v>2155</v>
      </c>
      <c r="I7" s="1096" t="s">
        <v>2155</v>
      </c>
      <c r="J7" s="1096" t="s">
        <v>2155</v>
      </c>
      <c r="K7" s="1096" t="s">
        <v>2155</v>
      </c>
      <c r="L7" s="1096" t="s">
        <v>2155</v>
      </c>
      <c r="M7" s="1096" t="s">
        <v>2155</v>
      </c>
      <c r="N7" s="1096" t="s">
        <v>2155</v>
      </c>
      <c r="O7" s="1096" t="s">
        <v>2155</v>
      </c>
      <c r="P7" s="1096" t="s">
        <v>2155</v>
      </c>
      <c r="Q7" s="1096" t="s">
        <v>2155</v>
      </c>
      <c r="R7" s="1096" t="s">
        <v>2155</v>
      </c>
      <c r="S7" s="1096" t="s">
        <v>2155</v>
      </c>
      <c r="T7" s="1096" t="s">
        <v>2155</v>
      </c>
      <c r="U7" s="1096" t="s">
        <v>2155</v>
      </c>
      <c r="V7" s="1096" t="s">
        <v>2155</v>
      </c>
      <c r="W7" s="1096" t="s">
        <v>2155</v>
      </c>
      <c r="X7" s="1096" t="s">
        <v>2155</v>
      </c>
      <c r="Y7" s="1096" t="s">
        <v>2155</v>
      </c>
      <c r="Z7" s="1096" t="s">
        <v>2155</v>
      </c>
      <c r="AA7" s="1096" t="s">
        <v>2155</v>
      </c>
      <c r="AB7" s="1096" t="s">
        <v>2155</v>
      </c>
      <c r="AC7" s="1096" t="s">
        <v>2155</v>
      </c>
      <c r="AD7" s="1096" t="s">
        <v>2155</v>
      </c>
      <c r="AE7" s="1096" t="s">
        <v>2155</v>
      </c>
      <c r="AF7" s="1096" t="s">
        <v>2155</v>
      </c>
      <c r="AG7" s="1096" t="s">
        <v>2155</v>
      </c>
      <c r="AH7" s="1096" t="s">
        <v>2155</v>
      </c>
      <c r="AI7" s="1096" t="s">
        <v>2155</v>
      </c>
      <c r="AJ7" s="1096" t="s">
        <v>2155</v>
      </c>
      <c r="AK7" s="1096" t="s">
        <v>2155</v>
      </c>
      <c r="AL7" s="1096" t="s">
        <v>2155</v>
      </c>
      <c r="AM7" s="1096" t="s">
        <v>2155</v>
      </c>
      <c r="AN7" s="1096" t="s">
        <v>2155</v>
      </c>
      <c r="AO7" s="1096" t="s">
        <v>2155</v>
      </c>
      <c r="AP7" s="1096" t="s">
        <v>2155</v>
      </c>
      <c r="AQ7" s="1096" t="s">
        <v>2155</v>
      </c>
      <c r="AR7" s="1096" t="s">
        <v>2155</v>
      </c>
      <c r="AS7" s="1096" t="s">
        <v>2155</v>
      </c>
      <c r="AT7" s="1096" t="s">
        <v>2155</v>
      </c>
      <c r="AU7" s="1096" t="s">
        <v>2155</v>
      </c>
      <c r="AV7" s="1096" t="s">
        <v>2155</v>
      </c>
      <c r="AW7" s="1096" t="s">
        <v>2155</v>
      </c>
      <c r="AX7" s="1096" t="s">
        <v>2155</v>
      </c>
      <c r="AY7" s="1096" t="s">
        <v>2155</v>
      </c>
      <c r="AZ7" s="1096" t="s">
        <v>2155</v>
      </c>
      <c r="BA7" s="1096" t="s">
        <v>2155</v>
      </c>
      <c r="BB7" s="1096" t="s">
        <v>2155</v>
      </c>
      <c r="BC7" s="1096" t="s">
        <v>2155</v>
      </c>
      <c r="BD7" s="1096" t="s">
        <v>2155</v>
      </c>
      <c r="BE7" s="1096" t="s">
        <v>2155</v>
      </c>
      <c r="BF7" s="1096" t="s">
        <v>2155</v>
      </c>
      <c r="BG7" s="1096" t="s">
        <v>2155</v>
      </c>
      <c r="BH7" s="1096" t="s">
        <v>2155</v>
      </c>
      <c r="BI7" s="1096" t="s">
        <v>2155</v>
      </c>
      <c r="BJ7" s="1096" t="s">
        <v>2155</v>
      </c>
      <c r="BK7" s="1096" t="s">
        <v>2155</v>
      </c>
      <c r="BL7" s="1096" t="s">
        <v>2155</v>
      </c>
      <c r="BM7" s="1096" t="s">
        <v>2155</v>
      </c>
      <c r="BN7" s="1096" t="s">
        <v>2155</v>
      </c>
      <c r="BO7" s="1096" t="s">
        <v>2155</v>
      </c>
      <c r="BP7" s="1096" t="s">
        <v>2155</v>
      </c>
      <c r="BQ7" s="1096" t="s">
        <v>2155</v>
      </c>
      <c r="BR7" s="1096" t="s">
        <v>2155</v>
      </c>
      <c r="BS7" s="1096" t="s">
        <v>2155</v>
      </c>
      <c r="BT7" s="1096" t="s">
        <v>2155</v>
      </c>
      <c r="BU7" s="1096" t="s">
        <v>2155</v>
      </c>
      <c r="BV7" s="1096" t="s">
        <v>2155</v>
      </c>
      <c r="BW7" s="1096" t="s">
        <v>2155</v>
      </c>
      <c r="BX7" s="1096" t="s">
        <v>2155</v>
      </c>
      <c r="BY7" s="1096" t="s">
        <v>2155</v>
      </c>
      <c r="BZ7" s="1096" t="s">
        <v>2155</v>
      </c>
      <c r="CA7" s="1096" t="s">
        <v>2155</v>
      </c>
      <c r="CB7" s="1096" t="s">
        <v>2155</v>
      </c>
      <c r="CC7" s="1096" t="s">
        <v>2155</v>
      </c>
      <c r="CD7" s="1096" t="s">
        <v>2155</v>
      </c>
      <c r="CE7" s="1096" t="s">
        <v>2155</v>
      </c>
      <c r="CF7" s="1096" t="s">
        <v>2155</v>
      </c>
      <c r="CG7" s="1096" t="s">
        <v>2155</v>
      </c>
      <c r="CH7" s="1096" t="s">
        <v>2155</v>
      </c>
      <c r="CI7" s="1096" t="s">
        <v>2155</v>
      </c>
      <c r="CJ7" s="1096" t="s">
        <v>2155</v>
      </c>
      <c r="CK7" s="1096" t="s">
        <v>2155</v>
      </c>
      <c r="CL7" s="1096" t="s">
        <v>2155</v>
      </c>
      <c r="CM7" s="1096" t="s">
        <v>2155</v>
      </c>
      <c r="CN7" s="1096" t="s">
        <v>2155</v>
      </c>
      <c r="CO7" s="1096" t="s">
        <v>2155</v>
      </c>
      <c r="CP7" s="1096" t="s">
        <v>2155</v>
      </c>
      <c r="CQ7" s="1096" t="s">
        <v>2155</v>
      </c>
      <c r="CR7" s="1096" t="s">
        <v>2155</v>
      </c>
      <c r="CS7" s="1096" t="s">
        <v>2155</v>
      </c>
      <c r="CT7" s="1096" t="s">
        <v>2155</v>
      </c>
      <c r="CU7" s="1096" t="s">
        <v>2155</v>
      </c>
      <c r="CV7" s="1096" t="s">
        <v>2155</v>
      </c>
      <c r="CW7" s="1096" t="s">
        <v>2155</v>
      </c>
      <c r="CX7" s="1096" t="s">
        <v>2155</v>
      </c>
      <c r="CY7" s="1096" t="s">
        <v>2155</v>
      </c>
      <c r="CZ7" s="1096" t="s">
        <v>2155</v>
      </c>
      <c r="DA7" s="1096" t="s">
        <v>2155</v>
      </c>
      <c r="DB7" s="1096" t="s">
        <v>2155</v>
      </c>
      <c r="DC7" s="1096" t="s">
        <v>2155</v>
      </c>
      <c r="DD7" s="1096" t="s">
        <v>2155</v>
      </c>
      <c r="DE7" s="1096" t="s">
        <v>2155</v>
      </c>
      <c r="DF7" s="1096" t="s">
        <v>2155</v>
      </c>
      <c r="DG7" s="1096" t="s">
        <v>2155</v>
      </c>
      <c r="DH7" s="1096" t="s">
        <v>2155</v>
      </c>
      <c r="DI7" s="1096" t="s">
        <v>2155</v>
      </c>
      <c r="DJ7" s="1096" t="s">
        <v>2155</v>
      </c>
      <c r="DK7" s="1096" t="s">
        <v>2155</v>
      </c>
      <c r="DL7" s="1096" t="s">
        <v>2155</v>
      </c>
      <c r="DM7" s="1096" t="s">
        <v>2155</v>
      </c>
      <c r="DN7" s="1096" t="s">
        <v>2155</v>
      </c>
      <c r="DO7" s="1096" t="s">
        <v>2155</v>
      </c>
      <c r="DP7" s="1096" t="s">
        <v>2155</v>
      </c>
      <c r="DQ7" s="1096" t="s">
        <v>2155</v>
      </c>
      <c r="DR7" s="1096" t="s">
        <v>2155</v>
      </c>
      <c r="DS7" s="1096" t="s">
        <v>2155</v>
      </c>
      <c r="DT7" s="1096" t="s">
        <v>2155</v>
      </c>
      <c r="DU7" s="1096" t="s">
        <v>2155</v>
      </c>
      <c r="DV7" s="1096" t="s">
        <v>2155</v>
      </c>
      <c r="DW7" s="1096" t="s">
        <v>2155</v>
      </c>
      <c r="DX7" s="1096" t="s">
        <v>2155</v>
      </c>
      <c r="DY7" s="1096" t="s">
        <v>2155</v>
      </c>
      <c r="DZ7" s="1096" t="s">
        <v>2155</v>
      </c>
      <c r="EA7" s="1096" t="s">
        <v>2155</v>
      </c>
      <c r="EB7" s="1096" t="s">
        <v>2155</v>
      </c>
      <c r="EC7" s="1096" t="s">
        <v>2155</v>
      </c>
      <c r="ED7" s="1096" t="s">
        <v>2155</v>
      </c>
      <c r="EE7" s="1096" t="s">
        <v>2155</v>
      </c>
      <c r="EF7" s="1096" t="s">
        <v>2155</v>
      </c>
      <c r="EG7" s="1096" t="s">
        <v>2155</v>
      </c>
      <c r="EH7" s="1096" t="s">
        <v>2155</v>
      </c>
      <c r="EI7" s="1096" t="s">
        <v>2155</v>
      </c>
      <c r="EJ7" s="1096" t="s">
        <v>2155</v>
      </c>
      <c r="EK7" s="1096" t="s">
        <v>2155</v>
      </c>
      <c r="EL7" s="1096" t="s">
        <v>2155</v>
      </c>
      <c r="EM7" s="1096" t="s">
        <v>2155</v>
      </c>
      <c r="EN7" s="1096" t="s">
        <v>2155</v>
      </c>
      <c r="EO7" s="1096" t="s">
        <v>2155</v>
      </c>
      <c r="EP7" s="1096" t="s">
        <v>2155</v>
      </c>
      <c r="EQ7" s="1096" t="s">
        <v>2155</v>
      </c>
      <c r="ER7" s="1096" t="s">
        <v>2155</v>
      </c>
      <c r="ES7" s="1096" t="s">
        <v>2155</v>
      </c>
      <c r="ET7" s="1096" t="s">
        <v>2155</v>
      </c>
      <c r="EU7" s="1096" t="s">
        <v>2155</v>
      </c>
      <c r="EV7" s="1096" t="s">
        <v>2155</v>
      </c>
      <c r="EW7" s="1096" t="s">
        <v>2155</v>
      </c>
      <c r="EX7" s="1096" t="s">
        <v>2155</v>
      </c>
      <c r="EY7" s="1096" t="s">
        <v>2155</v>
      </c>
      <c r="EZ7" s="1096" t="s">
        <v>2155</v>
      </c>
      <c r="FA7" s="1096" t="s">
        <v>2155</v>
      </c>
      <c r="FB7" s="1096" t="s">
        <v>2155</v>
      </c>
      <c r="FC7" s="1096" t="s">
        <v>2155</v>
      </c>
      <c r="FD7" s="1096" t="s">
        <v>2155</v>
      </c>
      <c r="FE7" s="1096" t="s">
        <v>2155</v>
      </c>
      <c r="FF7" s="1096" t="s">
        <v>2155</v>
      </c>
      <c r="FG7" s="1096" t="s">
        <v>2155</v>
      </c>
      <c r="FH7" s="1096" t="s">
        <v>2155</v>
      </c>
      <c r="FI7" s="1096" t="s">
        <v>2155</v>
      </c>
      <c r="FJ7" s="1096" t="s">
        <v>2155</v>
      </c>
      <c r="FK7" s="1096" t="s">
        <v>2155</v>
      </c>
      <c r="FL7" s="1096" t="s">
        <v>2155</v>
      </c>
      <c r="FM7" s="1096" t="s">
        <v>2155</v>
      </c>
      <c r="FN7" s="1096" t="s">
        <v>2155</v>
      </c>
      <c r="FO7" s="1096" t="s">
        <v>2155</v>
      </c>
      <c r="FP7" s="1096" t="s">
        <v>2155</v>
      </c>
      <c r="FQ7" s="1096" t="s">
        <v>2155</v>
      </c>
      <c r="FR7" s="1096" t="s">
        <v>2155</v>
      </c>
      <c r="FS7" s="1096" t="s">
        <v>2155</v>
      </c>
      <c r="FT7" s="1096" t="s">
        <v>2155</v>
      </c>
      <c r="FU7" s="1096" t="s">
        <v>2155</v>
      </c>
      <c r="FV7" s="1096" t="s">
        <v>2155</v>
      </c>
      <c r="FW7" s="1096" t="s">
        <v>2155</v>
      </c>
      <c r="FX7" s="1096" t="s">
        <v>2155</v>
      </c>
      <c r="FY7" s="1096" t="s">
        <v>2155</v>
      </c>
      <c r="FZ7" s="1096" t="s">
        <v>2155</v>
      </c>
      <c r="GA7" s="1096" t="s">
        <v>2155</v>
      </c>
      <c r="GB7" s="1096" t="s">
        <v>2155</v>
      </c>
      <c r="GC7" s="1096" t="s">
        <v>2155</v>
      </c>
      <c r="GD7" s="1096" t="s">
        <v>2155</v>
      </c>
      <c r="GE7" s="1096" t="s">
        <v>2155</v>
      </c>
      <c r="GF7" s="1096" t="s">
        <v>2155</v>
      </c>
      <c r="GG7" s="1096" t="s">
        <v>2155</v>
      </c>
      <c r="GH7" s="1096" t="s">
        <v>2155</v>
      </c>
      <c r="GI7" s="1096" t="s">
        <v>2155</v>
      </c>
      <c r="GJ7" s="1096" t="s">
        <v>2155</v>
      </c>
      <c r="GK7" s="1096" t="s">
        <v>2155</v>
      </c>
      <c r="GL7" s="1096" t="s">
        <v>2155</v>
      </c>
      <c r="GM7" s="1096" t="s">
        <v>2155</v>
      </c>
      <c r="GN7" s="1096" t="s">
        <v>2155</v>
      </c>
      <c r="GO7" s="1096" t="s">
        <v>2155</v>
      </c>
      <c r="GP7" s="1096" t="s">
        <v>2155</v>
      </c>
      <c r="GQ7" s="1096" t="s">
        <v>2155</v>
      </c>
      <c r="GR7" s="1096" t="s">
        <v>2155</v>
      </c>
      <c r="GS7" s="1096" t="s">
        <v>2155</v>
      </c>
      <c r="GT7" s="1096" t="s">
        <v>2155</v>
      </c>
      <c r="GU7" s="1096" t="s">
        <v>2155</v>
      </c>
      <c r="GV7" s="1096" t="s">
        <v>2155</v>
      </c>
      <c r="GW7" s="1096" t="s">
        <v>2155</v>
      </c>
      <c r="GX7" s="1096" t="s">
        <v>2155</v>
      </c>
      <c r="GY7" s="1096" t="s">
        <v>2155</v>
      </c>
      <c r="GZ7" s="1096" t="s">
        <v>2155</v>
      </c>
      <c r="HA7" s="1096" t="s">
        <v>2155</v>
      </c>
      <c r="HB7" s="1096" t="s">
        <v>2155</v>
      </c>
      <c r="HC7" s="1096" t="s">
        <v>2155</v>
      </c>
      <c r="HD7" s="1096" t="s">
        <v>2155</v>
      </c>
      <c r="HE7" s="1096" t="s">
        <v>2155</v>
      </c>
      <c r="HF7" s="1096" t="s">
        <v>2155</v>
      </c>
      <c r="HG7" s="1096" t="s">
        <v>2155</v>
      </c>
      <c r="HH7" s="1096" t="s">
        <v>2155</v>
      </c>
      <c r="HI7" s="1096" t="s">
        <v>2155</v>
      </c>
      <c r="HJ7" s="1096" t="s">
        <v>2155</v>
      </c>
      <c r="HK7" s="1096" t="s">
        <v>2155</v>
      </c>
      <c r="HL7" s="1096" t="s">
        <v>2155</v>
      </c>
      <c r="HM7" s="1096" t="s">
        <v>2155</v>
      </c>
      <c r="HN7" s="1096" t="s">
        <v>2155</v>
      </c>
      <c r="HO7" s="1096" t="s">
        <v>2155</v>
      </c>
      <c r="HP7" s="1096" t="s">
        <v>2155</v>
      </c>
      <c r="HQ7" s="1096" t="s">
        <v>2155</v>
      </c>
      <c r="HR7" s="1096" t="s">
        <v>2155</v>
      </c>
      <c r="HS7" s="1096" t="s">
        <v>2155</v>
      </c>
      <c r="HT7" s="1096" t="s">
        <v>2155</v>
      </c>
      <c r="HU7" s="1096" t="s">
        <v>2155</v>
      </c>
      <c r="HV7" s="1096" t="s">
        <v>2155</v>
      </c>
      <c r="HW7" s="1096" t="s">
        <v>2155</v>
      </c>
      <c r="HX7" s="1096" t="s">
        <v>2155</v>
      </c>
      <c r="HY7" s="1096" t="s">
        <v>2155</v>
      </c>
      <c r="HZ7" s="1096" t="s">
        <v>2155</v>
      </c>
      <c r="IA7" s="1096" t="s">
        <v>2155</v>
      </c>
      <c r="IB7" s="1096" t="s">
        <v>2155</v>
      </c>
      <c r="IC7" s="1096" t="s">
        <v>2155</v>
      </c>
      <c r="ID7" s="1096" t="s">
        <v>2155</v>
      </c>
      <c r="IE7" s="1096" t="s">
        <v>2155</v>
      </c>
      <c r="IF7" s="1096" t="s">
        <v>2155</v>
      </c>
      <c r="IG7" s="1096" t="s">
        <v>2155</v>
      </c>
      <c r="IH7" s="1096" t="s">
        <v>2155</v>
      </c>
      <c r="II7" s="1096" t="s">
        <v>2155</v>
      </c>
      <c r="IJ7" s="1096" t="s">
        <v>2155</v>
      </c>
      <c r="IK7" s="1096" t="s">
        <v>2155</v>
      </c>
      <c r="IL7" s="1096" t="s">
        <v>2155</v>
      </c>
      <c r="IM7" s="1096" t="s">
        <v>2155</v>
      </c>
      <c r="IN7" s="1096" t="s">
        <v>2155</v>
      </c>
      <c r="IO7" s="1096" t="s">
        <v>2155</v>
      </c>
      <c r="IP7" s="1096" t="s">
        <v>2155</v>
      </c>
      <c r="IQ7" s="1096" t="s">
        <v>2155</v>
      </c>
      <c r="IR7" s="1096" t="s">
        <v>2155</v>
      </c>
      <c r="IS7" s="1096" t="s">
        <v>2155</v>
      </c>
      <c r="IT7" s="1096" t="s">
        <v>2155</v>
      </c>
      <c r="IU7" s="1096" t="s">
        <v>2155</v>
      </c>
      <c r="IV7" s="1096" t="s">
        <v>2155</v>
      </c>
      <c r="IW7" s="1096" t="s">
        <v>2155</v>
      </c>
      <c r="IX7" s="1096" t="s">
        <v>2155</v>
      </c>
      <c r="IY7" s="1096" t="s">
        <v>2155</v>
      </c>
      <c r="IZ7" s="1096" t="s">
        <v>2155</v>
      </c>
      <c r="JA7" s="1096" t="s">
        <v>2155</v>
      </c>
      <c r="JB7" s="1096" t="s">
        <v>2155</v>
      </c>
      <c r="JC7" s="1096" t="s">
        <v>2155</v>
      </c>
      <c r="JD7" s="1096" t="s">
        <v>2155</v>
      </c>
      <c r="JE7" s="1096" t="s">
        <v>2155</v>
      </c>
      <c r="JF7" s="1096" t="s">
        <v>2155</v>
      </c>
      <c r="JG7" s="1096" t="s">
        <v>2155</v>
      </c>
      <c r="JH7" s="1096" t="s">
        <v>2155</v>
      </c>
      <c r="JI7" s="1096" t="s">
        <v>2155</v>
      </c>
      <c r="JJ7" s="1096" t="s">
        <v>2155</v>
      </c>
      <c r="JK7" s="1096" t="s">
        <v>2155</v>
      </c>
      <c r="JL7" s="1096" t="s">
        <v>2155</v>
      </c>
      <c r="JM7" s="1096" t="s">
        <v>2155</v>
      </c>
      <c r="JN7" s="1096" t="s">
        <v>2155</v>
      </c>
      <c r="JO7" s="1096" t="s">
        <v>2155</v>
      </c>
      <c r="JP7" s="1096" t="s">
        <v>2155</v>
      </c>
      <c r="JQ7" s="1096" t="s">
        <v>2155</v>
      </c>
      <c r="JR7" s="1096" t="s">
        <v>2155</v>
      </c>
      <c r="JS7" s="1096" t="s">
        <v>2155</v>
      </c>
      <c r="JT7" s="1096" t="s">
        <v>2155</v>
      </c>
      <c r="JU7" s="1096" t="s">
        <v>2155</v>
      </c>
      <c r="JV7" s="1096" t="s">
        <v>2155</v>
      </c>
      <c r="JW7" s="1096" t="s">
        <v>2155</v>
      </c>
      <c r="JX7" s="1096" t="s">
        <v>2155</v>
      </c>
      <c r="JY7" s="1096" t="s">
        <v>2155</v>
      </c>
      <c r="JZ7" s="1096" t="s">
        <v>2155</v>
      </c>
      <c r="KA7" s="1096" t="s">
        <v>2155</v>
      </c>
      <c r="KB7" s="1096" t="s">
        <v>2155</v>
      </c>
      <c r="KC7" s="1096" t="s">
        <v>2155</v>
      </c>
      <c r="KD7" s="1096" t="s">
        <v>2155</v>
      </c>
      <c r="KE7" s="1096" t="s">
        <v>2155</v>
      </c>
      <c r="KF7" s="1096" t="s">
        <v>2155</v>
      </c>
      <c r="KG7" s="1096" t="s">
        <v>2155</v>
      </c>
      <c r="KH7" s="1096" t="s">
        <v>2155</v>
      </c>
      <c r="KI7" s="1096" t="s">
        <v>2155</v>
      </c>
      <c r="KJ7" s="1096" t="s">
        <v>2155</v>
      </c>
      <c r="KK7" s="1096" t="s">
        <v>2155</v>
      </c>
      <c r="KL7" s="1096" t="s">
        <v>2155</v>
      </c>
      <c r="KM7" s="1096" t="s">
        <v>2155</v>
      </c>
      <c r="KN7" s="1096" t="s">
        <v>2155</v>
      </c>
      <c r="KO7" s="1096" t="s">
        <v>2155</v>
      </c>
      <c r="KP7" s="1096" t="s">
        <v>2155</v>
      </c>
      <c r="KQ7" s="1096" t="s">
        <v>2155</v>
      </c>
      <c r="KR7" s="1096" t="s">
        <v>2155</v>
      </c>
      <c r="KS7" s="1096" t="s">
        <v>2155</v>
      </c>
      <c r="KT7" s="1096" t="s">
        <v>2155</v>
      </c>
      <c r="KU7" s="1096" t="s">
        <v>2155</v>
      </c>
      <c r="KV7" s="1096" t="s">
        <v>2155</v>
      </c>
      <c r="KW7" s="1096" t="s">
        <v>2155</v>
      </c>
      <c r="KX7" s="1096" t="s">
        <v>2155</v>
      </c>
      <c r="KY7" s="1096" t="s">
        <v>2155</v>
      </c>
      <c r="KZ7" s="1096" t="s">
        <v>2155</v>
      </c>
      <c r="LA7" s="1096" t="s">
        <v>2155</v>
      </c>
      <c r="LB7" s="1096" t="s">
        <v>2155</v>
      </c>
      <c r="LC7" s="1096" t="s">
        <v>2155</v>
      </c>
      <c r="LD7" s="1096" t="s">
        <v>2155</v>
      </c>
      <c r="LE7" s="1096" t="s">
        <v>2155</v>
      </c>
      <c r="LF7" s="1096" t="s">
        <v>2155</v>
      </c>
      <c r="LG7" s="1096" t="s">
        <v>2155</v>
      </c>
      <c r="LH7" s="1096" t="s">
        <v>2155</v>
      </c>
      <c r="LI7" s="1096" t="s">
        <v>2155</v>
      </c>
      <c r="LJ7" s="1096" t="s">
        <v>2155</v>
      </c>
      <c r="LK7" s="1096" t="s">
        <v>2155</v>
      </c>
      <c r="LL7" s="1096" t="s">
        <v>2155</v>
      </c>
      <c r="LM7" s="1096" t="s">
        <v>2155</v>
      </c>
      <c r="LN7" s="1096" t="s">
        <v>2155</v>
      </c>
      <c r="LO7" s="1096" t="s">
        <v>2155</v>
      </c>
      <c r="LP7" s="1096" t="s">
        <v>2155</v>
      </c>
      <c r="LQ7" s="1096" t="s">
        <v>2155</v>
      </c>
      <c r="LR7" s="1096" t="s">
        <v>2155</v>
      </c>
      <c r="LS7" s="1096" t="s">
        <v>2155</v>
      </c>
      <c r="LT7" s="1096" t="s">
        <v>2155</v>
      </c>
      <c r="LU7" s="1096" t="s">
        <v>2155</v>
      </c>
      <c r="LV7" s="1096" t="s">
        <v>2155</v>
      </c>
      <c r="LW7" s="1096" t="s">
        <v>2155</v>
      </c>
      <c r="LX7" s="1096" t="s">
        <v>2155</v>
      </c>
      <c r="LY7" s="1096" t="s">
        <v>2155</v>
      </c>
      <c r="LZ7" s="1096" t="s">
        <v>2155</v>
      </c>
      <c r="MA7" s="1096" t="s">
        <v>2155</v>
      </c>
      <c r="MB7" s="1096" t="s">
        <v>2155</v>
      </c>
      <c r="MC7" s="1096" t="s">
        <v>2155</v>
      </c>
      <c r="MD7" s="1096" t="s">
        <v>2155</v>
      </c>
      <c r="ME7" s="1096" t="s">
        <v>2155</v>
      </c>
      <c r="MF7" s="1096" t="s">
        <v>2155</v>
      </c>
      <c r="MG7" s="1096" t="s">
        <v>2155</v>
      </c>
      <c r="MH7" s="1096" t="s">
        <v>2155</v>
      </c>
      <c r="MI7" s="1096" t="s">
        <v>2155</v>
      </c>
      <c r="MJ7" s="1096" t="s">
        <v>2155</v>
      </c>
      <c r="MK7" s="1096" t="s">
        <v>2155</v>
      </c>
      <c r="ML7" s="1096" t="s">
        <v>2155</v>
      </c>
      <c r="MM7" s="1096" t="s">
        <v>2155</v>
      </c>
      <c r="MN7" s="1096" t="s">
        <v>2155</v>
      </c>
    </row>
    <row r="8" spans="1:352" ht="13.9" x14ac:dyDescent="0.4">
      <c r="B8" s="1102"/>
    </row>
    <row r="9" spans="1:352" ht="13.9" x14ac:dyDescent="0.4">
      <c r="B9" s="1102"/>
    </row>
    <row r="10" spans="1:352" ht="13.9" x14ac:dyDescent="0.4">
      <c r="A10" s="1096">
        <v>1990</v>
      </c>
      <c r="B10" s="1145">
        <v>154590.87564401</v>
      </c>
      <c r="C10" s="1111">
        <v>22.978184165999998</v>
      </c>
      <c r="D10" s="1111">
        <v>0</v>
      </c>
      <c r="E10" s="1111">
        <v>49949.948921700197</v>
      </c>
      <c r="F10" s="1111">
        <v>0</v>
      </c>
      <c r="G10" s="1111">
        <v>5306.5814122743895</v>
      </c>
      <c r="H10" s="1111">
        <v>178.63142213465099</v>
      </c>
      <c r="I10" s="1111">
        <v>0</v>
      </c>
      <c r="J10" s="1111">
        <v>4.3521120026819498</v>
      </c>
      <c r="K10" s="1111">
        <v>0</v>
      </c>
      <c r="L10" s="1111">
        <v>92.612499999999997</v>
      </c>
      <c r="M10" s="1111">
        <v>0</v>
      </c>
      <c r="N10" s="1111">
        <v>44.147891573302701</v>
      </c>
      <c r="O10" s="1111">
        <v>0</v>
      </c>
      <c r="P10" s="1111">
        <v>0</v>
      </c>
      <c r="Q10" s="1111">
        <v>92.364806711617405</v>
      </c>
      <c r="R10" s="1111">
        <v>0</v>
      </c>
      <c r="S10" s="1111">
        <v>0</v>
      </c>
      <c r="T10" s="1111">
        <v>1821.567</v>
      </c>
      <c r="U10" s="1111">
        <v>59.091999999999999</v>
      </c>
      <c r="V10" s="1111">
        <v>13.903184713375801</v>
      </c>
      <c r="W10" s="1111">
        <v>16.8</v>
      </c>
      <c r="X10" s="1111">
        <v>93.933219963966494</v>
      </c>
      <c r="Y10" s="1111">
        <v>13.4519825537442</v>
      </c>
      <c r="Z10" s="1111">
        <v>1936.70183366541</v>
      </c>
      <c r="AA10" s="1111">
        <v>0</v>
      </c>
      <c r="AB10" s="1111">
        <v>907.68</v>
      </c>
      <c r="AC10" s="1111">
        <v>321.38109952948503</v>
      </c>
      <c r="AD10" s="1111">
        <v>238.25215595980899</v>
      </c>
      <c r="AE10" s="1111">
        <v>1.7035209027484399</v>
      </c>
      <c r="AF10" s="1111">
        <v>0.62841272508391899</v>
      </c>
      <c r="AG10" s="1111">
        <v>0</v>
      </c>
      <c r="AH10" s="1111">
        <v>0</v>
      </c>
      <c r="AI10" s="1111">
        <v>303.47757405917503</v>
      </c>
      <c r="AJ10" s="1111">
        <v>1695.2551900450001</v>
      </c>
      <c r="AK10" s="1111">
        <v>18.810191082802501</v>
      </c>
      <c r="AL10" s="1111">
        <v>270.11831738747702</v>
      </c>
      <c r="AM10" s="1111">
        <v>8.4015402312775809</v>
      </c>
      <c r="AN10" s="1111">
        <v>578.62994674615095</v>
      </c>
      <c r="AO10" s="1111">
        <v>79.209000000000003</v>
      </c>
      <c r="AP10" s="1111">
        <v>0</v>
      </c>
      <c r="AQ10" s="1111">
        <v>39.592175463877503</v>
      </c>
      <c r="AR10" s="1111">
        <v>16.716066555755699</v>
      </c>
      <c r="AS10" s="1111">
        <v>5.1693048083400797</v>
      </c>
      <c r="AT10" s="1111">
        <v>29.442038216560601</v>
      </c>
      <c r="AU10" s="1111">
        <v>140.72465396053599</v>
      </c>
      <c r="AV10" s="1111">
        <v>0</v>
      </c>
      <c r="AW10" s="1111">
        <v>0</v>
      </c>
      <c r="AX10" s="1111">
        <v>20.870355285588499</v>
      </c>
      <c r="AY10" s="1111">
        <v>0</v>
      </c>
      <c r="AZ10" s="1111">
        <v>0</v>
      </c>
      <c r="BA10" s="1111">
        <v>0</v>
      </c>
      <c r="BB10" s="1111">
        <v>0</v>
      </c>
      <c r="BC10" s="1111">
        <v>0</v>
      </c>
      <c r="BD10" s="1111">
        <v>0</v>
      </c>
      <c r="BE10" s="1111">
        <v>1235.2824313241499</v>
      </c>
      <c r="BF10" s="1111">
        <v>64.987601794299096</v>
      </c>
      <c r="BG10" s="1111">
        <v>11.199575379599301</v>
      </c>
      <c r="BH10" s="1111">
        <v>10.7160906803784</v>
      </c>
      <c r="BI10" s="1111">
        <v>3256.6301308762399</v>
      </c>
      <c r="BJ10" s="1111">
        <v>8.1240000000000006</v>
      </c>
      <c r="BK10" s="1111">
        <v>194.71808037950399</v>
      </c>
      <c r="BL10" s="1111">
        <v>315.579845334048</v>
      </c>
      <c r="BM10" s="1111">
        <v>97.688599922057506</v>
      </c>
      <c r="BN10" s="1111">
        <v>8.9599013390519602</v>
      </c>
      <c r="BO10" s="1111">
        <v>8.1363663856418693</v>
      </c>
      <c r="BP10" s="1111">
        <v>660.95788937247505</v>
      </c>
      <c r="BQ10" s="1111">
        <v>0</v>
      </c>
      <c r="BR10" s="1111">
        <v>629.93279568092703</v>
      </c>
      <c r="BS10" s="1111">
        <v>238.197923799162</v>
      </c>
      <c r="BT10" s="1111">
        <v>53.482999999999997</v>
      </c>
      <c r="BU10" s="1111">
        <v>27.744</v>
      </c>
      <c r="BV10" s="1111">
        <v>8.6816439179933003</v>
      </c>
      <c r="BW10" s="1111">
        <v>223.49084250136099</v>
      </c>
      <c r="BX10" s="1111">
        <v>767.71799999999996</v>
      </c>
      <c r="BY10" s="1111">
        <v>1137.5039999999999</v>
      </c>
      <c r="BZ10" s="1111">
        <v>60.376887247862498</v>
      </c>
      <c r="CA10" s="1111">
        <v>1328.13599809118</v>
      </c>
      <c r="CB10" s="1111">
        <v>465.77600000000001</v>
      </c>
      <c r="CC10" s="1111">
        <v>195.94200000000001</v>
      </c>
      <c r="CD10" s="1111">
        <v>13.811706233171099</v>
      </c>
      <c r="CE10" s="1111">
        <v>578.781440538487</v>
      </c>
      <c r="CF10" s="1111">
        <v>341.88499999999999</v>
      </c>
      <c r="CG10" s="1111">
        <v>685.79700000000003</v>
      </c>
      <c r="CH10" s="1111">
        <v>60.247413056194397</v>
      </c>
      <c r="CI10" s="1111">
        <v>983.08275442399804</v>
      </c>
      <c r="CJ10" s="1111">
        <v>89.481225094742101</v>
      </c>
      <c r="CK10" s="1111">
        <v>12.723980929165799</v>
      </c>
      <c r="CL10" s="1111">
        <v>82.260269072497294</v>
      </c>
      <c r="CM10" s="1111">
        <v>0</v>
      </c>
      <c r="CN10" s="1111">
        <v>1698.1332976076601</v>
      </c>
      <c r="CO10" s="1111">
        <v>0.86699999999999999</v>
      </c>
      <c r="CP10" s="1111">
        <v>8.69</v>
      </c>
      <c r="CQ10" s="1111">
        <v>4.8848854937866104</v>
      </c>
      <c r="CR10" s="1111">
        <v>25.2037633497279</v>
      </c>
      <c r="CS10" s="1111">
        <v>0.27310627026301798</v>
      </c>
      <c r="CT10" s="1111">
        <v>0</v>
      </c>
      <c r="CU10" s="1111">
        <v>0</v>
      </c>
      <c r="CV10" s="1111">
        <v>0</v>
      </c>
      <c r="CW10" s="1111">
        <v>214.05082110812401</v>
      </c>
      <c r="CX10" s="1111">
        <v>1636.034080095</v>
      </c>
      <c r="CY10" s="1111">
        <v>134.499329209216</v>
      </c>
      <c r="CZ10" s="1111">
        <v>392.56299999999999</v>
      </c>
      <c r="DA10" s="1111">
        <v>1007.93577490526</v>
      </c>
      <c r="DB10" s="1111">
        <v>44.115069174011197</v>
      </c>
      <c r="DC10" s="1111">
        <v>20.425883747486299</v>
      </c>
      <c r="DD10" s="1111">
        <v>27.550044944448899</v>
      </c>
      <c r="DE10" s="1111">
        <v>1461.43227195789</v>
      </c>
      <c r="DF10" s="1111">
        <v>1227.5228446165099</v>
      </c>
      <c r="DG10" s="1111">
        <v>496.564649433162</v>
      </c>
      <c r="DH10" s="1111">
        <v>3362.4815966401102</v>
      </c>
      <c r="DI10" s="1111">
        <v>35.914919550626898</v>
      </c>
      <c r="DJ10" s="1111">
        <v>0</v>
      </c>
      <c r="DK10" s="1111">
        <v>50.56</v>
      </c>
      <c r="DL10" s="1111">
        <v>0</v>
      </c>
      <c r="DM10" s="1111">
        <v>186.56928295702099</v>
      </c>
      <c r="DN10" s="1111">
        <v>20.689725538384302</v>
      </c>
      <c r="DO10" s="1111">
        <v>138.87927840066399</v>
      </c>
      <c r="DP10" s="1111">
        <v>52.514738080917397</v>
      </c>
      <c r="DQ10" s="1111">
        <v>1.4116127174391599</v>
      </c>
      <c r="DR10" s="1111">
        <v>13.9212233010528</v>
      </c>
      <c r="DS10" s="1111">
        <v>0</v>
      </c>
      <c r="DT10" s="1111">
        <v>1.7045096241787101</v>
      </c>
      <c r="DU10" s="1111">
        <v>2.0836661867406101E-2</v>
      </c>
      <c r="DV10" s="1111">
        <v>1.05443171203269</v>
      </c>
      <c r="DW10" s="1111">
        <v>0</v>
      </c>
      <c r="DX10" s="1111">
        <v>1.12368418928564</v>
      </c>
      <c r="DY10" s="1111">
        <v>14.7381149686772</v>
      </c>
      <c r="DZ10" s="1111">
        <v>108.56947175385299</v>
      </c>
      <c r="EA10" s="1111">
        <v>1.5365042631642101</v>
      </c>
      <c r="EB10" s="1111">
        <v>34.617729506708002</v>
      </c>
      <c r="EC10" s="1111">
        <v>0</v>
      </c>
      <c r="ED10" s="1111">
        <v>13.3283621276308</v>
      </c>
      <c r="EE10" s="1111">
        <v>7.6316728325053804E-2</v>
      </c>
      <c r="EF10" s="1111">
        <v>16.8813877790645</v>
      </c>
      <c r="EG10" s="1111">
        <v>0</v>
      </c>
      <c r="EH10" s="1111">
        <v>22.490527049190199</v>
      </c>
      <c r="EI10" s="1111">
        <v>2.3704443263737298</v>
      </c>
      <c r="EJ10" s="1111">
        <v>279.23873144964602</v>
      </c>
      <c r="EK10" s="1111">
        <v>6957.8053833997501</v>
      </c>
      <c r="EL10" s="1111">
        <v>296.71088106978101</v>
      </c>
      <c r="EM10" s="1111">
        <v>8836.5853826205603</v>
      </c>
      <c r="EN10" s="1111">
        <v>399.94206110555302</v>
      </c>
      <c r="EO10" s="1111">
        <v>2652.5962418290401</v>
      </c>
      <c r="EP10" s="1111">
        <v>160.83582853911599</v>
      </c>
      <c r="EQ10" s="1111">
        <v>699.60770056716399</v>
      </c>
      <c r="ER10" s="1111">
        <v>484.65632271663401</v>
      </c>
      <c r="ES10" s="1111">
        <v>993.29278202386502</v>
      </c>
      <c r="ET10" s="1111">
        <v>502.139828726085</v>
      </c>
      <c r="EU10" s="1111">
        <v>261.38847004996802</v>
      </c>
      <c r="EV10" s="1111">
        <v>205.74951361713201</v>
      </c>
      <c r="EW10" s="1111">
        <v>398.097903634131</v>
      </c>
      <c r="EX10" s="1111">
        <v>1095.37565506389</v>
      </c>
      <c r="EY10" s="1111">
        <v>1213.50183253828</v>
      </c>
      <c r="EZ10" s="1111">
        <v>913.11563260063997</v>
      </c>
      <c r="FA10" s="1111">
        <v>414.89126232737101</v>
      </c>
      <c r="FB10" s="1111">
        <v>1029.0590007293899</v>
      </c>
      <c r="FC10" s="1111">
        <v>125.96546638458101</v>
      </c>
      <c r="FD10" s="1111">
        <v>1137.6437753274699</v>
      </c>
      <c r="FE10" s="1111">
        <v>623.89786427485296</v>
      </c>
      <c r="FF10" s="1111">
        <v>72.352231353339207</v>
      </c>
      <c r="FG10" s="1111">
        <v>17.283776361263399</v>
      </c>
      <c r="FH10" s="1111">
        <v>0.44376939844229202</v>
      </c>
      <c r="FI10" s="1111">
        <v>4.0172578524390801</v>
      </c>
      <c r="FJ10" s="1111">
        <v>97.122907531110101</v>
      </c>
      <c r="FK10" s="1111">
        <v>15.963734939479799</v>
      </c>
      <c r="FL10" s="1111">
        <v>0</v>
      </c>
      <c r="FM10" s="1111">
        <v>0</v>
      </c>
      <c r="FN10" s="1111">
        <v>0</v>
      </c>
      <c r="FO10" s="1111">
        <v>137.98564283996399</v>
      </c>
      <c r="FP10" s="1111">
        <v>123.70187394868</v>
      </c>
      <c r="FQ10" s="1111">
        <v>135.180078590764</v>
      </c>
      <c r="FR10" s="1111">
        <v>0</v>
      </c>
      <c r="FS10" s="1111">
        <v>696.54641292088002</v>
      </c>
      <c r="FT10" s="1111">
        <v>1278.4776849979501</v>
      </c>
      <c r="FU10" s="1111">
        <v>0.511574039837288</v>
      </c>
      <c r="FV10" s="1111">
        <v>0</v>
      </c>
      <c r="FW10" s="1111">
        <v>0</v>
      </c>
      <c r="FX10" s="1111">
        <v>23.8099919729158</v>
      </c>
      <c r="FY10" s="1111">
        <v>26.298590778796601</v>
      </c>
      <c r="FZ10" s="1111">
        <v>18.841861394785798</v>
      </c>
      <c r="GA10" s="1111">
        <v>0</v>
      </c>
      <c r="GB10" s="1111">
        <v>0</v>
      </c>
      <c r="GC10" s="1111">
        <v>9.5341039364908102</v>
      </c>
      <c r="GD10" s="1111">
        <v>0</v>
      </c>
      <c r="GE10" s="1111">
        <v>3.3397405719387998</v>
      </c>
      <c r="GF10" s="1111">
        <v>0</v>
      </c>
      <c r="GG10" s="1111">
        <v>9.3888620433894303</v>
      </c>
      <c r="GH10" s="1111">
        <v>1.4715252264307399</v>
      </c>
      <c r="GI10" s="1111">
        <v>0.82585599442541502</v>
      </c>
      <c r="GJ10" s="1111">
        <v>1.3664353066984301</v>
      </c>
      <c r="GK10" s="1111">
        <v>5.3503898061991597</v>
      </c>
      <c r="GL10" s="1111">
        <v>61.293751265626</v>
      </c>
      <c r="GM10" s="1111">
        <v>216.64000000000101</v>
      </c>
      <c r="GN10" s="1111">
        <v>0</v>
      </c>
      <c r="GO10" s="1111">
        <v>159.52799999999999</v>
      </c>
      <c r="GP10" s="1111">
        <v>368.26042062943299</v>
      </c>
      <c r="GQ10" s="1111">
        <v>2415.6199847613402</v>
      </c>
      <c r="GR10" s="1111">
        <v>0</v>
      </c>
      <c r="GS10" s="1111">
        <v>0</v>
      </c>
      <c r="GT10" s="1111">
        <v>10.308</v>
      </c>
      <c r="GU10" s="1111">
        <v>589.66700000000003</v>
      </c>
      <c r="GV10" s="1111">
        <v>158.10442423976801</v>
      </c>
      <c r="GW10" s="1111">
        <v>606.9</v>
      </c>
      <c r="GX10" s="1111">
        <v>547.49557605756797</v>
      </c>
      <c r="GY10" s="1111">
        <v>1749.54902507815</v>
      </c>
      <c r="GZ10" s="1111">
        <v>0</v>
      </c>
      <c r="HA10" s="1111">
        <v>8.59</v>
      </c>
      <c r="HB10" s="1111">
        <v>0</v>
      </c>
      <c r="HC10" s="1111">
        <v>0</v>
      </c>
      <c r="HD10" s="1111">
        <v>1.734</v>
      </c>
      <c r="HE10" s="1111">
        <v>120.968931347273</v>
      </c>
      <c r="HF10" s="1111">
        <v>7.8523793390788397</v>
      </c>
      <c r="HG10" s="1111">
        <v>1023.928</v>
      </c>
      <c r="HH10" s="1111">
        <v>1347.2914488184599</v>
      </c>
      <c r="HI10" s="1111">
        <v>2193.84</v>
      </c>
      <c r="HJ10" s="1111">
        <v>315.37671993090601</v>
      </c>
      <c r="HK10" s="1111">
        <v>14.739000000000001</v>
      </c>
      <c r="HL10" s="1111">
        <v>249.82075735967899</v>
      </c>
      <c r="HM10" s="1111">
        <v>284.69716964532199</v>
      </c>
      <c r="HN10" s="1111">
        <v>14857.0451799528</v>
      </c>
      <c r="HO10" s="1111">
        <v>22.266666666666701</v>
      </c>
      <c r="HP10" s="1111">
        <v>907.71</v>
      </c>
      <c r="HQ10" s="1111">
        <v>0</v>
      </c>
      <c r="HR10" s="1111">
        <v>101.586414510895</v>
      </c>
      <c r="HS10" s="1111">
        <v>7.4116685466771397</v>
      </c>
      <c r="HT10" s="1111">
        <v>74.882274881997304</v>
      </c>
      <c r="HU10" s="1111">
        <v>10.308</v>
      </c>
      <c r="HV10" s="1111">
        <v>13.54</v>
      </c>
      <c r="HW10" s="1111">
        <v>0</v>
      </c>
      <c r="HX10" s="1111">
        <v>84.965999999999994</v>
      </c>
      <c r="HY10" s="1111">
        <v>49.505274030507202</v>
      </c>
      <c r="HZ10" s="1111">
        <v>0</v>
      </c>
      <c r="IA10" s="1111">
        <v>1239.944846764</v>
      </c>
      <c r="IB10" s="1111">
        <v>0.51326529428571399</v>
      </c>
      <c r="IC10" s="1111">
        <v>93.013647777106797</v>
      </c>
      <c r="ID10" s="1111">
        <v>207.03830679088699</v>
      </c>
      <c r="IE10" s="1111">
        <v>0</v>
      </c>
      <c r="IF10" s="1111">
        <v>1060.4028579999999</v>
      </c>
      <c r="IG10" s="1111">
        <v>383.26190233949001</v>
      </c>
      <c r="IH10" s="1111">
        <v>2039.0420684507999</v>
      </c>
      <c r="II10" s="1111">
        <v>0</v>
      </c>
      <c r="IJ10" s="1111">
        <v>426.48600000000101</v>
      </c>
      <c r="IK10" s="1111">
        <v>36.758719499329899</v>
      </c>
      <c r="IL10" s="1111">
        <v>203.64119537197999</v>
      </c>
      <c r="IM10" s="1111">
        <v>30.679848460703599</v>
      </c>
      <c r="IN10" s="1111">
        <v>165.21183786802001</v>
      </c>
      <c r="IO10" s="1111">
        <v>102.329635125026</v>
      </c>
      <c r="IP10" s="1111">
        <v>0.116000871012572</v>
      </c>
      <c r="IQ10" s="1111">
        <v>4.6910463700756102</v>
      </c>
      <c r="IR10" s="1111">
        <v>3.3118679941991497E-2</v>
      </c>
      <c r="IS10" s="1111">
        <v>0.47060897915790201</v>
      </c>
      <c r="IT10" s="1111">
        <v>0.166823345587194</v>
      </c>
      <c r="IU10" s="1111">
        <v>1025.2311665959601</v>
      </c>
      <c r="IV10" s="1111">
        <v>43.2260672839923</v>
      </c>
      <c r="IW10" s="1111">
        <v>2673.7577266220001</v>
      </c>
      <c r="IX10" s="1111">
        <v>1989.61726</v>
      </c>
      <c r="IY10" s="1111">
        <v>398.740844078782</v>
      </c>
      <c r="IZ10" s="1111">
        <v>30.481549850074899</v>
      </c>
      <c r="JA10" s="1111">
        <v>27.556502199062201</v>
      </c>
      <c r="JB10" s="1111">
        <v>52.562929494398801</v>
      </c>
      <c r="JC10" s="1111">
        <v>174.79864099964001</v>
      </c>
      <c r="JD10" s="1111">
        <v>0</v>
      </c>
      <c r="JE10" s="1111">
        <v>1846.3887684637</v>
      </c>
      <c r="JF10" s="1111">
        <v>156.36259508151801</v>
      </c>
      <c r="JG10" s="1111">
        <v>360.45455290463002</v>
      </c>
      <c r="JH10" s="1111">
        <v>28.536018938585102</v>
      </c>
      <c r="JI10" s="1111">
        <v>0</v>
      </c>
      <c r="JJ10" s="1111">
        <v>63.149718666889001</v>
      </c>
      <c r="JK10" s="1111">
        <v>135.74187101328701</v>
      </c>
      <c r="JL10" s="1111">
        <v>0</v>
      </c>
      <c r="JM10" s="1111">
        <v>1.5409090909090899</v>
      </c>
      <c r="JN10" s="1111">
        <v>35.727272727272798</v>
      </c>
      <c r="JO10" s="1111">
        <v>119.22245454545499</v>
      </c>
      <c r="JP10" s="1111">
        <v>945.65337549514004</v>
      </c>
      <c r="JQ10" s="1111">
        <v>2018.3693015911999</v>
      </c>
      <c r="JR10" s="1111">
        <v>36.89235</v>
      </c>
      <c r="JS10" s="1111">
        <v>9.4784021949073303</v>
      </c>
      <c r="JT10" s="1111">
        <v>10.002079999999999</v>
      </c>
      <c r="JU10" s="1111">
        <v>2.8052700000000002</v>
      </c>
      <c r="JV10" s="1111">
        <v>1.8436600000000001</v>
      </c>
      <c r="JW10" s="1111">
        <v>500.078887976163</v>
      </c>
      <c r="JX10" s="1111">
        <v>238.33965404083401</v>
      </c>
      <c r="JY10" s="1111">
        <v>52.736400000000003</v>
      </c>
      <c r="JZ10" s="1111">
        <v>672.78753245547398</v>
      </c>
      <c r="KA10" s="1111">
        <v>122.81432</v>
      </c>
      <c r="KB10" s="1111">
        <v>370.59074492384502</v>
      </c>
      <c r="KC10" s="1111">
        <v>150.76680228548</v>
      </c>
      <c r="KD10" s="1111">
        <v>82.426287762150693</v>
      </c>
      <c r="KE10" s="1111">
        <v>47.128954890194301</v>
      </c>
      <c r="KF10" s="1111">
        <v>9.0777849958315908</v>
      </c>
      <c r="KG10" s="1111">
        <v>3.0864468985827398</v>
      </c>
      <c r="KH10" s="1111">
        <v>9.0473277387239897</v>
      </c>
      <c r="KI10" s="1111">
        <v>0</v>
      </c>
      <c r="KJ10" s="1111">
        <v>0</v>
      </c>
      <c r="KK10" s="1111">
        <v>276.86778228526998</v>
      </c>
      <c r="KL10" s="1111">
        <v>198.14590163803101</v>
      </c>
      <c r="KM10" s="1111">
        <v>78.721880647235494</v>
      </c>
      <c r="KN10" s="1111">
        <v>89.346212901005998</v>
      </c>
      <c r="KO10" s="1111">
        <v>89.346045125386397</v>
      </c>
      <c r="KP10" s="1111">
        <v>1.677756199133E-4</v>
      </c>
      <c r="KQ10" s="1111">
        <v>-4098.0707315946001</v>
      </c>
      <c r="KR10" s="1111">
        <v>-3948.5295898182899</v>
      </c>
      <c r="KS10" s="1111">
        <v>10.181092767477701</v>
      </c>
      <c r="KT10" s="1111">
        <v>-4.0432040085726104</v>
      </c>
      <c r="KU10" s="1111">
        <v>-152.77062423027601</v>
      </c>
      <c r="KV10" s="1111">
        <v>-2.9084063049300699</v>
      </c>
      <c r="KW10" s="1111">
        <v>0</v>
      </c>
      <c r="KX10" s="1111">
        <v>3890.7071761625998</v>
      </c>
      <c r="KY10" s="1111">
        <v>6.1344327272356001</v>
      </c>
      <c r="KZ10" s="1111">
        <v>790.19926519558805</v>
      </c>
      <c r="LA10" s="1111">
        <v>0.348273997807726</v>
      </c>
      <c r="LB10" s="1111">
        <v>0.19244461165350901</v>
      </c>
      <c r="LC10" s="1111">
        <v>3125.8881829637699</v>
      </c>
      <c r="LD10" s="1111">
        <v>-32.055423333420499</v>
      </c>
      <c r="LE10" s="1111">
        <v>-1939.3729324106</v>
      </c>
      <c r="LF10" s="1111">
        <v>48.217500000000001</v>
      </c>
      <c r="LG10" s="1111">
        <v>-639.38725182784106</v>
      </c>
      <c r="LH10" s="1111">
        <v>8.2847294006293204</v>
      </c>
      <c r="LI10" s="1111">
        <v>4.6763311371040501</v>
      </c>
      <c r="LJ10" s="1111">
        <v>-1191.97703598511</v>
      </c>
      <c r="LK10" s="1111">
        <v>-3.3520335810722601</v>
      </c>
      <c r="LL10" s="1111">
        <v>-165.83517155432401</v>
      </c>
      <c r="LM10" s="1111">
        <v>132.80525883771</v>
      </c>
      <c r="LN10" s="1111">
        <v>132.794027345866</v>
      </c>
      <c r="LO10" s="1111">
        <v>1.12314918414918E-2</v>
      </c>
      <c r="LP10" s="1111">
        <v>0</v>
      </c>
      <c r="LQ10" s="1111">
        <v>1912.172312101</v>
      </c>
      <c r="LR10" s="1111">
        <v>444.33240231308702</v>
      </c>
      <c r="LS10" s="1111">
        <v>10.9210128004654</v>
      </c>
      <c r="LT10" s="1111">
        <v>29.5685044672773</v>
      </c>
      <c r="LU10" s="1111">
        <v>227.088569061356</v>
      </c>
      <c r="LV10" s="1111">
        <v>1200.2618234587801</v>
      </c>
      <c r="LW10" s="1111">
        <v>0</v>
      </c>
      <c r="LX10" s="1111">
        <v>0</v>
      </c>
      <c r="LY10" s="1111">
        <v>-447.02176497369999</v>
      </c>
      <c r="LZ10" s="1111">
        <v>-375.063691011196</v>
      </c>
      <c r="MA10" s="1111">
        <v>-71.958073962502397</v>
      </c>
      <c r="MB10" s="1111">
        <v>354.73807935406001</v>
      </c>
      <c r="MC10" s="1111">
        <v>166.56542995360701</v>
      </c>
      <c r="MD10" s="1111">
        <v>104.122084280453</v>
      </c>
      <c r="ME10" s="1111">
        <v>84.050565120000002</v>
      </c>
      <c r="MF10" s="1111">
        <v>4199.0411929129004</v>
      </c>
      <c r="MG10" s="1111">
        <v>0.14460156852308201</v>
      </c>
      <c r="MH10" s="1111">
        <v>356.56576033339701</v>
      </c>
      <c r="MI10" s="1111">
        <v>0.54466709974989502</v>
      </c>
      <c r="MJ10" s="1111">
        <v>2.0295350247627102</v>
      </c>
      <c r="MK10" s="1111">
        <v>3839.7566288865</v>
      </c>
      <c r="ML10" s="1111">
        <v>2422.5324697812998</v>
      </c>
      <c r="MM10" s="1111">
        <v>1413.9043408129401</v>
      </c>
      <c r="MN10" s="1111">
        <v>1008.62812896837</v>
      </c>
    </row>
    <row r="11" spans="1:352" ht="13.9" x14ac:dyDescent="0.4">
      <c r="A11" s="1096">
        <v>1991</v>
      </c>
      <c r="B11" s="1145">
        <v>157482.80188618999</v>
      </c>
      <c r="C11" s="1111">
        <v>23.376074800909102</v>
      </c>
      <c r="D11" s="1111">
        <v>0</v>
      </c>
      <c r="E11" s="1111">
        <v>50185.842469798597</v>
      </c>
      <c r="F11" s="1111">
        <v>0</v>
      </c>
      <c r="G11" s="1111">
        <v>3987.8244473824402</v>
      </c>
      <c r="H11" s="1111">
        <v>186.9843204588</v>
      </c>
      <c r="I11" s="1111">
        <v>0</v>
      </c>
      <c r="J11" s="1111">
        <v>10.0094128278153</v>
      </c>
      <c r="K11" s="1111">
        <v>0</v>
      </c>
      <c r="L11" s="1111">
        <v>249.755</v>
      </c>
      <c r="M11" s="1111">
        <v>0</v>
      </c>
      <c r="N11" s="1111">
        <v>44.810776493049502</v>
      </c>
      <c r="O11" s="1111">
        <v>0</v>
      </c>
      <c r="P11" s="1111">
        <v>0</v>
      </c>
      <c r="Q11" s="1111">
        <v>87.117916429306703</v>
      </c>
      <c r="R11" s="1111">
        <v>0</v>
      </c>
      <c r="S11" s="1111">
        <v>0</v>
      </c>
      <c r="T11" s="1111">
        <v>1999.8720000000001</v>
      </c>
      <c r="U11" s="1111">
        <v>57.353999999999999</v>
      </c>
      <c r="V11" s="1111">
        <v>13.7279344858963</v>
      </c>
      <c r="W11" s="1111">
        <v>34.4</v>
      </c>
      <c r="X11" s="1111">
        <v>97.349219963966505</v>
      </c>
      <c r="Y11" s="1111">
        <v>13.8248820740617</v>
      </c>
      <c r="Z11" s="1111">
        <v>1887.82897439055</v>
      </c>
      <c r="AA11" s="1111">
        <v>0</v>
      </c>
      <c r="AB11" s="1111">
        <v>969.99</v>
      </c>
      <c r="AC11" s="1111">
        <v>281.30560243965198</v>
      </c>
      <c r="AD11" s="1111">
        <v>217.503655421323</v>
      </c>
      <c r="AE11" s="1111">
        <v>1.7035209027484399</v>
      </c>
      <c r="AF11" s="1111">
        <v>0.58196925112248699</v>
      </c>
      <c r="AG11" s="1111">
        <v>0</v>
      </c>
      <c r="AH11" s="1111">
        <v>0</v>
      </c>
      <c r="AI11" s="1111">
        <v>302.34123931503302</v>
      </c>
      <c r="AJ11" s="1111">
        <v>1762.1872490328701</v>
      </c>
      <c r="AK11" s="1111">
        <v>24.943949044585999</v>
      </c>
      <c r="AL11" s="1111">
        <v>289.83586585776698</v>
      </c>
      <c r="AM11" s="1111">
        <v>9.3544052243507299</v>
      </c>
      <c r="AN11" s="1111">
        <v>601.47541211041801</v>
      </c>
      <c r="AO11" s="1111">
        <v>74.233286713286702</v>
      </c>
      <c r="AP11" s="1111">
        <v>0</v>
      </c>
      <c r="AQ11" s="1111">
        <v>31.015828850040599</v>
      </c>
      <c r="AR11" s="1111">
        <v>31.2174756511072</v>
      </c>
      <c r="AS11" s="1111">
        <v>3.4657839055916502</v>
      </c>
      <c r="AT11" s="1111">
        <v>33.472793448589599</v>
      </c>
      <c r="AU11" s="1111">
        <v>176.54167128426701</v>
      </c>
      <c r="AV11" s="1111">
        <v>0</v>
      </c>
      <c r="AW11" s="1111">
        <v>0</v>
      </c>
      <c r="AX11" s="1111">
        <v>24.577568131665402</v>
      </c>
      <c r="AY11" s="1111">
        <v>0</v>
      </c>
      <c r="AZ11" s="1111">
        <v>0</v>
      </c>
      <c r="BA11" s="1111">
        <v>0</v>
      </c>
      <c r="BB11" s="1111">
        <v>0</v>
      </c>
      <c r="BC11" s="1111">
        <v>0</v>
      </c>
      <c r="BD11" s="1111">
        <v>0</v>
      </c>
      <c r="BE11" s="1111">
        <v>1166.37424344997</v>
      </c>
      <c r="BF11" s="1111">
        <v>59.328071514743698</v>
      </c>
      <c r="BG11" s="1111">
        <v>11.199575379599301</v>
      </c>
      <c r="BH11" s="1111">
        <v>9.9241072296676602</v>
      </c>
      <c r="BI11" s="1111">
        <v>3290.9103683631902</v>
      </c>
      <c r="BJ11" s="1111">
        <v>6.093</v>
      </c>
      <c r="BK11" s="1111">
        <v>165.016365453655</v>
      </c>
      <c r="BL11" s="1111">
        <v>310.935810108223</v>
      </c>
      <c r="BM11" s="1111">
        <v>134.28656835541699</v>
      </c>
      <c r="BN11" s="1111">
        <v>8.2816801769300703</v>
      </c>
      <c r="BO11" s="1111">
        <v>8.1363663856418693</v>
      </c>
      <c r="BP11" s="1111">
        <v>612.109132338515</v>
      </c>
      <c r="BQ11" s="1111">
        <v>0</v>
      </c>
      <c r="BR11" s="1111">
        <v>673.00027964326296</v>
      </c>
      <c r="BS11" s="1111">
        <v>232.021532782528</v>
      </c>
      <c r="BT11" s="1111">
        <v>200.392</v>
      </c>
      <c r="BU11" s="1111">
        <v>46.872</v>
      </c>
      <c r="BV11" s="1111">
        <v>9.4989184271509792</v>
      </c>
      <c r="BW11" s="1111">
        <v>223.031520485133</v>
      </c>
      <c r="BX11" s="1111">
        <v>855.05100000000004</v>
      </c>
      <c r="BY11" s="1111">
        <v>1297.6600000000001</v>
      </c>
      <c r="BZ11" s="1111">
        <v>66.060659970640998</v>
      </c>
      <c r="CA11" s="1111">
        <v>879.53998858278101</v>
      </c>
      <c r="CB11" s="1111">
        <v>559.87900000000002</v>
      </c>
      <c r="CC11" s="1111">
        <v>237.83199999999999</v>
      </c>
      <c r="CD11" s="1111">
        <v>15.1119156795584</v>
      </c>
      <c r="CE11" s="1111">
        <v>582.13159357017003</v>
      </c>
      <c r="CF11" s="1111">
        <v>417.03199999999998</v>
      </c>
      <c r="CG11" s="1111">
        <v>693.53200000000004</v>
      </c>
      <c r="CH11" s="1111">
        <v>65.913571303263396</v>
      </c>
      <c r="CI11" s="1111">
        <v>938.15947063874899</v>
      </c>
      <c r="CJ11" s="1111">
        <v>73.132639571002201</v>
      </c>
      <c r="CK11" s="1111">
        <v>12.528020743096199</v>
      </c>
      <c r="CL11" s="1111">
        <v>67.361119122815893</v>
      </c>
      <c r="CM11" s="1111">
        <v>0</v>
      </c>
      <c r="CN11" s="1111">
        <v>1349.15302486991</v>
      </c>
      <c r="CO11" s="1111">
        <v>0.86799999999999999</v>
      </c>
      <c r="CP11" s="1111">
        <v>7.3310668836147803</v>
      </c>
      <c r="CQ11" s="1111">
        <v>3.8744017692916501</v>
      </c>
      <c r="CR11" s="1111">
        <v>41.6589814492065</v>
      </c>
      <c r="CS11" s="1111">
        <v>1.91174389184113</v>
      </c>
      <c r="CT11" s="1111">
        <v>0</v>
      </c>
      <c r="CU11" s="1111">
        <v>0</v>
      </c>
      <c r="CV11" s="1111">
        <v>0</v>
      </c>
      <c r="CW11" s="1111">
        <v>203.33711994734301</v>
      </c>
      <c r="CX11" s="1111">
        <v>1554.14707712883</v>
      </c>
      <c r="CY11" s="1111">
        <v>127.767350270694</v>
      </c>
      <c r="CZ11" s="1111">
        <v>450.11599999999999</v>
      </c>
      <c r="DA11" s="1111">
        <v>1033.4535247573799</v>
      </c>
      <c r="DB11" s="1111">
        <v>18.2410512590276</v>
      </c>
      <c r="DC11" s="1111">
        <v>16.529616905480299</v>
      </c>
      <c r="DD11" s="1111">
        <v>22.380740136108798</v>
      </c>
      <c r="DE11" s="1111">
        <v>2235.0124508003</v>
      </c>
      <c r="DF11" s="1111">
        <v>1343.0796607898401</v>
      </c>
      <c r="DG11" s="1111">
        <v>566.12601563416899</v>
      </c>
      <c r="DH11" s="1111">
        <v>3602.05894616965</v>
      </c>
      <c r="DI11" s="1111">
        <v>46.475130270768602</v>
      </c>
      <c r="DJ11" s="1111">
        <v>0</v>
      </c>
      <c r="DK11" s="1111">
        <v>16.59</v>
      </c>
      <c r="DL11" s="1111">
        <v>0</v>
      </c>
      <c r="DM11" s="1111">
        <v>175.89829430115901</v>
      </c>
      <c r="DN11" s="1111">
        <v>16.9096281261188</v>
      </c>
      <c r="DO11" s="1111">
        <v>147.502377495394</v>
      </c>
      <c r="DP11" s="1111">
        <v>50.852471760768502</v>
      </c>
      <c r="DQ11" s="1111">
        <v>1.2159386085531401</v>
      </c>
      <c r="DR11" s="1111">
        <v>12.437734241204801</v>
      </c>
      <c r="DS11" s="1111">
        <v>2.9918427556497799E-3</v>
      </c>
      <c r="DT11" s="1111">
        <v>1.4850157361776799</v>
      </c>
      <c r="DU11" s="1111">
        <v>3.7082229618066398E-2</v>
      </c>
      <c r="DV11" s="1111">
        <v>0.73590272847790095</v>
      </c>
      <c r="DW11" s="1111">
        <v>0</v>
      </c>
      <c r="DX11" s="1111">
        <v>0.86684896445874404</v>
      </c>
      <c r="DY11" s="1111">
        <v>15.095848235762601</v>
      </c>
      <c r="DZ11" s="1111">
        <v>106.175145299455</v>
      </c>
      <c r="EA11" s="1111">
        <v>1.1280471381204999</v>
      </c>
      <c r="EB11" s="1111">
        <v>30.329993033693501</v>
      </c>
      <c r="EC11" s="1111">
        <v>7.9579959124806698E-2</v>
      </c>
      <c r="ED11" s="1111">
        <v>11.6200161381249</v>
      </c>
      <c r="EE11" s="1111">
        <v>0.13840679451523499</v>
      </c>
      <c r="EF11" s="1111">
        <v>9.9854224342854998</v>
      </c>
      <c r="EG11" s="1111">
        <v>0</v>
      </c>
      <c r="EH11" s="1111">
        <v>17.0684169563533</v>
      </c>
      <c r="EI11" s="1111">
        <v>1.5302972024564401</v>
      </c>
      <c r="EJ11" s="1111">
        <v>285.85650079140601</v>
      </c>
      <c r="EK11" s="1111">
        <v>6904.4560042539397</v>
      </c>
      <c r="EL11" s="1111">
        <v>339.371232766628</v>
      </c>
      <c r="EM11" s="1111">
        <v>8774.7911295502308</v>
      </c>
      <c r="EN11" s="1111">
        <v>451.50858595952099</v>
      </c>
      <c r="EO11" s="1111">
        <v>2590.4221840688801</v>
      </c>
      <c r="EP11" s="1111">
        <v>178.59707141509901</v>
      </c>
      <c r="EQ11" s="1111">
        <v>685.23757788542696</v>
      </c>
      <c r="ER11" s="1111">
        <v>559.54525773782905</v>
      </c>
      <c r="ES11" s="1111">
        <v>968.046811944963</v>
      </c>
      <c r="ET11" s="1111">
        <v>577.84727910390995</v>
      </c>
      <c r="EU11" s="1111">
        <v>240.16915888877301</v>
      </c>
      <c r="EV11" s="1111">
        <v>224.324509534161</v>
      </c>
      <c r="EW11" s="1111">
        <v>347.43346723954801</v>
      </c>
      <c r="EX11" s="1111">
        <v>1079.40584392818</v>
      </c>
      <c r="EY11" s="1111">
        <v>1159.84201240528</v>
      </c>
      <c r="EZ11" s="1111">
        <v>1012.47908143846</v>
      </c>
      <c r="FA11" s="1111">
        <v>392.212950955515</v>
      </c>
      <c r="FB11" s="1111">
        <v>977.32163666534098</v>
      </c>
      <c r="FC11" s="1111">
        <v>112.08137730204</v>
      </c>
      <c r="FD11" s="1111">
        <v>1078.2769574803101</v>
      </c>
      <c r="FE11" s="1111">
        <v>556.17229021071205</v>
      </c>
      <c r="FF11" s="1111">
        <v>77.094977756840393</v>
      </c>
      <c r="FG11" s="1111">
        <v>15.6826026138604</v>
      </c>
      <c r="FH11" s="1111">
        <v>0.405556683501828</v>
      </c>
      <c r="FI11" s="1111">
        <v>3.7237452778739799</v>
      </c>
      <c r="FJ11" s="1111">
        <v>88.420028364320402</v>
      </c>
      <c r="FK11" s="1111">
        <v>15.7590566312272</v>
      </c>
      <c r="FL11" s="1111">
        <v>0</v>
      </c>
      <c r="FM11" s="1111">
        <v>0</v>
      </c>
      <c r="FN11" s="1111">
        <v>0</v>
      </c>
      <c r="FO11" s="1111">
        <v>138.06371109616799</v>
      </c>
      <c r="FP11" s="1111">
        <v>123.768076229833</v>
      </c>
      <c r="FQ11" s="1111">
        <v>146.27162137733799</v>
      </c>
      <c r="FR11" s="1111">
        <v>0</v>
      </c>
      <c r="FS11" s="1111">
        <v>685.75104828860697</v>
      </c>
      <c r="FT11" s="1111">
        <v>1266.6189222217099</v>
      </c>
      <c r="FU11" s="1111">
        <v>0.53473674103717395</v>
      </c>
      <c r="FV11" s="1111">
        <v>0</v>
      </c>
      <c r="FW11" s="1111">
        <v>0</v>
      </c>
      <c r="FX11" s="1111">
        <v>24.8880445844514</v>
      </c>
      <c r="FY11" s="1111">
        <v>26.298590778796601</v>
      </c>
      <c r="FZ11" s="1111">
        <v>19.3654418045456</v>
      </c>
      <c r="GA11" s="1111">
        <v>0</v>
      </c>
      <c r="GB11" s="1111">
        <v>0</v>
      </c>
      <c r="GC11" s="1111">
        <v>9.9657826056426995</v>
      </c>
      <c r="GD11" s="1111">
        <v>0</v>
      </c>
      <c r="GE11" s="1111">
        <v>3.0057665147449102</v>
      </c>
      <c r="GF11" s="1111">
        <v>0</v>
      </c>
      <c r="GG11" s="1111">
        <v>9.5520096172844493</v>
      </c>
      <c r="GH11" s="1111">
        <v>1.4759206906443301</v>
      </c>
      <c r="GI11" s="1111">
        <v>0.82832283658610395</v>
      </c>
      <c r="GJ11" s="1111">
        <v>1.34302265151406</v>
      </c>
      <c r="GK11" s="1111">
        <v>5.3118321524312497</v>
      </c>
      <c r="GL11" s="1111">
        <v>59.256405926528103</v>
      </c>
      <c r="GM11" s="1111">
        <v>196.33000000000101</v>
      </c>
      <c r="GN11" s="1111">
        <v>0</v>
      </c>
      <c r="GO11" s="1111">
        <v>152.768</v>
      </c>
      <c r="GP11" s="1111">
        <v>382.17344722962201</v>
      </c>
      <c r="GQ11" s="1111">
        <v>2941.0826187235102</v>
      </c>
      <c r="GR11" s="1111">
        <v>0</v>
      </c>
      <c r="GS11" s="1111">
        <v>0</v>
      </c>
      <c r="GT11" s="1111">
        <v>10.308</v>
      </c>
      <c r="GU11" s="1111">
        <v>565.29499999999996</v>
      </c>
      <c r="GV11" s="1111">
        <v>130.01289399378899</v>
      </c>
      <c r="GW11" s="1111">
        <v>616.28</v>
      </c>
      <c r="GX11" s="1111">
        <v>606.485853642851</v>
      </c>
      <c r="GY11" s="1111">
        <v>1983.5484925616199</v>
      </c>
      <c r="GZ11" s="1111">
        <v>0</v>
      </c>
      <c r="HA11" s="1111">
        <v>8.59</v>
      </c>
      <c r="HB11" s="1111">
        <v>0</v>
      </c>
      <c r="HC11" s="1111">
        <v>0</v>
      </c>
      <c r="HD11" s="1111">
        <v>0.86799999999999999</v>
      </c>
      <c r="HE11" s="1111">
        <v>116.74344862541</v>
      </c>
      <c r="HF11" s="1111">
        <v>7.9125817234769498</v>
      </c>
      <c r="HG11" s="1111">
        <v>1398.452</v>
      </c>
      <c r="HH11" s="1111">
        <v>1568.9721330792399</v>
      </c>
      <c r="HI11" s="1111">
        <v>2268</v>
      </c>
      <c r="HJ11" s="1111">
        <v>260.85920397471801</v>
      </c>
      <c r="HK11" s="1111">
        <v>11.284000000000001</v>
      </c>
      <c r="HL11" s="1111">
        <v>227.28773073486701</v>
      </c>
      <c r="HM11" s="1111">
        <v>344.09312639132202</v>
      </c>
      <c r="HN11" s="1111">
        <v>16548.407801580401</v>
      </c>
      <c r="HO11" s="1111">
        <v>47.2053333333334</v>
      </c>
      <c r="HP11" s="1111">
        <v>931.41</v>
      </c>
      <c r="HQ11" s="1111">
        <v>0</v>
      </c>
      <c r="HR11" s="1111">
        <v>94.382908802968004</v>
      </c>
      <c r="HS11" s="1111">
        <v>7.49602900167997</v>
      </c>
      <c r="HT11" s="1111">
        <v>75.7345934578899</v>
      </c>
      <c r="HU11" s="1111">
        <v>10.308</v>
      </c>
      <c r="HV11" s="1111">
        <v>12.863</v>
      </c>
      <c r="HW11" s="1111">
        <v>0</v>
      </c>
      <c r="HX11" s="1111">
        <v>92.007999999999996</v>
      </c>
      <c r="HY11" s="1111">
        <v>53.862533385323097</v>
      </c>
      <c r="HZ11" s="1111">
        <v>0</v>
      </c>
      <c r="IA11" s="1111">
        <v>1239.944846764</v>
      </c>
      <c r="IB11" s="1111">
        <v>0.51326529428571399</v>
      </c>
      <c r="IC11" s="1111">
        <v>92.312936615699996</v>
      </c>
      <c r="ID11" s="1111">
        <v>201.744627424111</v>
      </c>
      <c r="IE11" s="1111">
        <v>0</v>
      </c>
      <c r="IF11" s="1111">
        <v>773.55698800000005</v>
      </c>
      <c r="IG11" s="1111">
        <v>399.55175975373697</v>
      </c>
      <c r="IH11" s="1111">
        <v>1916.0951975329999</v>
      </c>
      <c r="II11" s="1111">
        <v>0</v>
      </c>
      <c r="IJ11" s="1111">
        <v>342.93900000000002</v>
      </c>
      <c r="IK11" s="1111">
        <v>14.916011445659599</v>
      </c>
      <c r="IL11" s="1111">
        <v>201.33729273125601</v>
      </c>
      <c r="IM11" s="1111">
        <v>30.332750793375101</v>
      </c>
      <c r="IN11" s="1111">
        <v>163.34270726874399</v>
      </c>
      <c r="IO11" s="1111">
        <v>101.171924789659</v>
      </c>
      <c r="IP11" s="1111">
        <v>0.116000871012572</v>
      </c>
      <c r="IQ11" s="1111">
        <v>4.6292642253223102</v>
      </c>
      <c r="IR11" s="1111">
        <v>3.5999511651918198E-2</v>
      </c>
      <c r="IS11" s="1111">
        <v>0.46528472603785098</v>
      </c>
      <c r="IT11" s="1111">
        <v>0.164935983132212</v>
      </c>
      <c r="IU11" s="1111">
        <v>1013.89587928141</v>
      </c>
      <c r="IV11" s="1111">
        <v>42.748145905763998</v>
      </c>
      <c r="IW11" s="1111">
        <v>2195.6346993156999</v>
      </c>
      <c r="IX11" s="1111">
        <v>1634.7753</v>
      </c>
      <c r="IY11" s="1111">
        <v>324.07017631003202</v>
      </c>
      <c r="IZ11" s="1111">
        <v>22.957951274450799</v>
      </c>
      <c r="JA11" s="1111">
        <v>24.545359956389401</v>
      </c>
      <c r="JB11" s="1111">
        <v>42.195200447706398</v>
      </c>
      <c r="JC11" s="1111">
        <v>147.09071132707899</v>
      </c>
      <c r="JD11" s="1111">
        <v>0</v>
      </c>
      <c r="JE11" s="1111">
        <v>1979.407531738</v>
      </c>
      <c r="JF11" s="1111">
        <v>156.508623262496</v>
      </c>
      <c r="JG11" s="1111">
        <v>360.99771592699199</v>
      </c>
      <c r="JH11" s="1111">
        <v>28.536018938585102</v>
      </c>
      <c r="JI11" s="1111">
        <v>0</v>
      </c>
      <c r="JJ11" s="1111">
        <v>63.149718666889001</v>
      </c>
      <c r="JK11" s="1111">
        <v>135.74187101328701</v>
      </c>
      <c r="JL11" s="1111">
        <v>0</v>
      </c>
      <c r="JM11" s="1111">
        <v>1.5409090909090899</v>
      </c>
      <c r="JN11" s="1111">
        <v>35.727272727272798</v>
      </c>
      <c r="JO11" s="1111">
        <v>119.22245454545499</v>
      </c>
      <c r="JP11" s="1111">
        <v>1077.98294756616</v>
      </c>
      <c r="JQ11" s="1111">
        <v>1745.2769418114001</v>
      </c>
      <c r="JR11" s="1111">
        <v>33.9754</v>
      </c>
      <c r="JS11" s="1111">
        <v>9.4784021949073303</v>
      </c>
      <c r="JT11" s="1111">
        <v>8.3404620000000005</v>
      </c>
      <c r="JU11" s="1111">
        <v>2.3702899999999998</v>
      </c>
      <c r="JV11" s="1111">
        <v>1.7556</v>
      </c>
      <c r="JW11" s="1111">
        <v>325.44239828556999</v>
      </c>
      <c r="JX11" s="1111">
        <v>254.157969349935</v>
      </c>
      <c r="JY11" s="1111">
        <v>41.505499999999998</v>
      </c>
      <c r="JZ11" s="1111">
        <v>634.85007487590997</v>
      </c>
      <c r="KA11" s="1111">
        <v>124.37504</v>
      </c>
      <c r="KB11" s="1111">
        <v>309.02580510503202</v>
      </c>
      <c r="KC11" s="1111">
        <v>138.92686671397001</v>
      </c>
      <c r="KD11" s="1111">
        <v>72.384224117445498</v>
      </c>
      <c r="KE11" s="1111">
        <v>47.238766668660297</v>
      </c>
      <c r="KF11" s="1111">
        <v>8.8564227155462696</v>
      </c>
      <c r="KG11" s="1111">
        <v>2.3844215003393798</v>
      </c>
      <c r="KH11" s="1111">
        <v>8.0630317119739399</v>
      </c>
      <c r="KI11" s="1111">
        <v>0</v>
      </c>
      <c r="KJ11" s="1111">
        <v>0</v>
      </c>
      <c r="KK11" s="1111">
        <v>275.41885952106003</v>
      </c>
      <c r="KL11" s="1111">
        <v>197.26697679660001</v>
      </c>
      <c r="KM11" s="1111">
        <v>78.151882724457394</v>
      </c>
      <c r="KN11" s="1111">
        <v>91.135060927919994</v>
      </c>
      <c r="KO11" s="1111">
        <v>91.134899782458007</v>
      </c>
      <c r="KP11" s="1111">
        <v>1.61145462326402E-4</v>
      </c>
      <c r="KQ11" s="1111">
        <v>-4277.3507053543999</v>
      </c>
      <c r="KR11" s="1111">
        <v>-4145.9312233795399</v>
      </c>
      <c r="KS11" s="1111">
        <v>17.550527318890001</v>
      </c>
      <c r="KT11" s="1111">
        <v>-3.2303557324484</v>
      </c>
      <c r="KU11" s="1111">
        <v>-143.15204946670201</v>
      </c>
      <c r="KV11" s="1111">
        <v>-2.5876040945610499</v>
      </c>
      <c r="KW11" s="1111">
        <v>0</v>
      </c>
      <c r="KX11" s="1111">
        <v>3880.9074204295998</v>
      </c>
      <c r="KY11" s="1111">
        <v>3.0793386984286899</v>
      </c>
      <c r="KZ11" s="1111">
        <v>791.07023001763798</v>
      </c>
      <c r="LA11" s="1111">
        <v>0.35578641587832599</v>
      </c>
      <c r="LB11" s="1111">
        <v>0.196937180372495</v>
      </c>
      <c r="LC11" s="1111">
        <v>3117.1527934164301</v>
      </c>
      <c r="LD11" s="1111">
        <v>-30.947665299136499</v>
      </c>
      <c r="LE11" s="1111">
        <v>-1972.7103448994999</v>
      </c>
      <c r="LF11" s="1111">
        <v>48.217500000000001</v>
      </c>
      <c r="LG11" s="1111">
        <v>-655.58919484289095</v>
      </c>
      <c r="LH11" s="1111">
        <v>8.5576674236495904</v>
      </c>
      <c r="LI11" s="1111">
        <v>4.8298765141166102</v>
      </c>
      <c r="LJ11" s="1111">
        <v>-1206.2654785298</v>
      </c>
      <c r="LK11" s="1111">
        <v>-3.2155945717482499</v>
      </c>
      <c r="LL11" s="1111">
        <v>-169.245120892877</v>
      </c>
      <c r="LM11" s="1111">
        <v>133.40733711691999</v>
      </c>
      <c r="LN11" s="1111">
        <v>133.395267625082</v>
      </c>
      <c r="LO11" s="1111">
        <v>1.12314918414918E-2</v>
      </c>
      <c r="LP11" s="1111">
        <v>8.3799999999999999E-4</v>
      </c>
      <c r="LQ11" s="1111">
        <v>1892.8279663318001</v>
      </c>
      <c r="LR11" s="1111">
        <v>455.94233934321898</v>
      </c>
      <c r="LS11" s="1111">
        <v>10.4369818921506</v>
      </c>
      <c r="LT11" s="1111">
        <v>28.826715140588401</v>
      </c>
      <c r="LU11" s="1111">
        <v>215.78963285172</v>
      </c>
      <c r="LV11" s="1111">
        <v>1181.8322971041</v>
      </c>
      <c r="LW11" s="1111">
        <v>0</v>
      </c>
      <c r="LX11" s="1111">
        <v>0</v>
      </c>
      <c r="LY11" s="1111">
        <v>-356.25253770555003</v>
      </c>
      <c r="LZ11" s="1111">
        <v>-300.00531505510401</v>
      </c>
      <c r="MA11" s="1111">
        <v>-56.247222650448897</v>
      </c>
      <c r="MB11" s="1111">
        <v>350.13985332503</v>
      </c>
      <c r="MC11" s="1111">
        <v>161.96720392457399</v>
      </c>
      <c r="MD11" s="1111">
        <v>104.122084280453</v>
      </c>
      <c r="ME11" s="1111">
        <v>84.050565120000002</v>
      </c>
      <c r="MF11" s="1111">
        <v>4134.1488923873003</v>
      </c>
      <c r="MG11" s="1111">
        <v>0.12462855261507499</v>
      </c>
      <c r="MH11" s="1111">
        <v>352.86219579278401</v>
      </c>
      <c r="MI11" s="1111">
        <v>0.51094746435843796</v>
      </c>
      <c r="MJ11" s="1111">
        <v>1.2946684606118</v>
      </c>
      <c r="MK11" s="1111">
        <v>3779.3564521169001</v>
      </c>
      <c r="ML11" s="1111">
        <v>2410.9853739352002</v>
      </c>
      <c r="MM11" s="1111">
        <v>1351.66146917029</v>
      </c>
      <c r="MN11" s="1111">
        <v>1059.3239047648799</v>
      </c>
    </row>
    <row r="12" spans="1:352" ht="13.9" x14ac:dyDescent="0.4">
      <c r="A12" s="1096">
        <v>1992</v>
      </c>
      <c r="B12" s="1145">
        <v>153206.77486028001</v>
      </c>
      <c r="C12" s="1111">
        <v>31.134942181636301</v>
      </c>
      <c r="D12" s="1111">
        <v>0</v>
      </c>
      <c r="E12" s="1111">
        <v>46898.598571812101</v>
      </c>
      <c r="F12" s="1111">
        <v>0</v>
      </c>
      <c r="G12" s="1111">
        <v>2788.5302025351598</v>
      </c>
      <c r="H12" s="1111">
        <v>181.59548351193399</v>
      </c>
      <c r="I12" s="1111">
        <v>0</v>
      </c>
      <c r="J12" s="1111">
        <v>135.38068299422</v>
      </c>
      <c r="K12" s="1111">
        <v>0</v>
      </c>
      <c r="L12" s="1111">
        <v>768.38499999999999</v>
      </c>
      <c r="M12" s="1111">
        <v>0</v>
      </c>
      <c r="N12" s="1111">
        <v>54.026769997094199</v>
      </c>
      <c r="O12" s="1111">
        <v>0</v>
      </c>
      <c r="P12" s="1111">
        <v>580.23614877161003</v>
      </c>
      <c r="Q12" s="1111">
        <v>92.114312794897401</v>
      </c>
      <c r="R12" s="1111">
        <v>0</v>
      </c>
      <c r="S12" s="1111">
        <v>0</v>
      </c>
      <c r="T12" s="1111">
        <v>2045.7249999999999</v>
      </c>
      <c r="U12" s="1111">
        <v>57.353999999999999</v>
      </c>
      <c r="V12" s="1111">
        <v>13.0269335759782</v>
      </c>
      <c r="W12" s="1111">
        <v>36.799999999999997</v>
      </c>
      <c r="X12" s="1111">
        <v>96.495219963966505</v>
      </c>
      <c r="Y12" s="1111">
        <v>96.315721440045294</v>
      </c>
      <c r="Z12" s="1111">
        <v>1866.60652192882</v>
      </c>
      <c r="AA12" s="1111">
        <v>0</v>
      </c>
      <c r="AB12" s="1111">
        <v>973.71</v>
      </c>
      <c r="AC12" s="1111">
        <v>265.37445547694199</v>
      </c>
      <c r="AD12" s="1111">
        <v>188.99379328051299</v>
      </c>
      <c r="AE12" s="1111">
        <v>0</v>
      </c>
      <c r="AF12" s="1111">
        <v>0.64541707063671105</v>
      </c>
      <c r="AG12" s="1111">
        <v>0</v>
      </c>
      <c r="AH12" s="1111">
        <v>0</v>
      </c>
      <c r="AI12" s="1111">
        <v>312.246897871832</v>
      </c>
      <c r="AJ12" s="1111">
        <v>1874.3410409660301</v>
      </c>
      <c r="AK12" s="1111">
        <v>17.641856232939102</v>
      </c>
      <c r="AL12" s="1111">
        <v>298.96884076271903</v>
      </c>
      <c r="AM12" s="1111">
        <v>9.5123025745259202</v>
      </c>
      <c r="AN12" s="1111">
        <v>639.75610461897895</v>
      </c>
      <c r="AO12" s="1111">
        <v>50.116937062936998</v>
      </c>
      <c r="AP12" s="1111">
        <v>0</v>
      </c>
      <c r="AQ12" s="1111">
        <v>31.3682814506091</v>
      </c>
      <c r="AR12" s="1111">
        <v>51.732464814704798</v>
      </c>
      <c r="AS12" s="1111">
        <v>0</v>
      </c>
      <c r="AT12" s="1111">
        <v>32.187625113739799</v>
      </c>
      <c r="AU12" s="1111">
        <v>166.23801936754401</v>
      </c>
      <c r="AV12" s="1111">
        <v>0</v>
      </c>
      <c r="AW12" s="1111">
        <v>0</v>
      </c>
      <c r="AX12" s="1111">
        <v>25.2208177791459</v>
      </c>
      <c r="AY12" s="1111">
        <v>0</v>
      </c>
      <c r="AZ12" s="1111">
        <v>0</v>
      </c>
      <c r="BA12" s="1111">
        <v>0</v>
      </c>
      <c r="BB12" s="1111">
        <v>0</v>
      </c>
      <c r="BC12" s="1111">
        <v>0</v>
      </c>
      <c r="BD12" s="1111">
        <v>0</v>
      </c>
      <c r="BE12" s="1111">
        <v>1086.80169164211</v>
      </c>
      <c r="BF12" s="1111">
        <v>51.551488924952103</v>
      </c>
      <c r="BG12" s="1111">
        <v>13.439490455519101</v>
      </c>
      <c r="BH12" s="1111">
        <v>11.0060595203313</v>
      </c>
      <c r="BI12" s="1111">
        <v>3186.1859800659699</v>
      </c>
      <c r="BJ12" s="1111">
        <v>4.0620000000000003</v>
      </c>
      <c r="BK12" s="1111">
        <v>172.28865445951701</v>
      </c>
      <c r="BL12" s="1111">
        <v>297.23984181511099</v>
      </c>
      <c r="BM12" s="1111">
        <v>130.634079890881</v>
      </c>
      <c r="BN12" s="1111">
        <v>9.166860955093</v>
      </c>
      <c r="BO12" s="1111">
        <v>5.8964513097220097</v>
      </c>
      <c r="BP12" s="1111">
        <v>678.84288103178994</v>
      </c>
      <c r="BQ12" s="1111">
        <v>0</v>
      </c>
      <c r="BR12" s="1111">
        <v>637.86637013245399</v>
      </c>
      <c r="BS12" s="1111">
        <v>242.759719538924</v>
      </c>
      <c r="BT12" s="1111">
        <v>186.17500000000001</v>
      </c>
      <c r="BU12" s="1111">
        <v>47.575000000000003</v>
      </c>
      <c r="BV12" s="1111">
        <v>9.5319658456561207</v>
      </c>
      <c r="BW12" s="1111">
        <v>187.76600952899599</v>
      </c>
      <c r="BX12" s="1111">
        <v>819.17</v>
      </c>
      <c r="BY12" s="1111">
        <v>1305.2850000000001</v>
      </c>
      <c r="BZ12" s="1111">
        <v>66.290489744790307</v>
      </c>
      <c r="CA12" s="1111">
        <v>1044.4794575544699</v>
      </c>
      <c r="CB12" s="1111">
        <v>629.61</v>
      </c>
      <c r="CC12" s="1111">
        <v>265.55500000000001</v>
      </c>
      <c r="CD12" s="1111">
        <v>15.1644911180893</v>
      </c>
      <c r="CE12" s="1111">
        <v>568.21310921717395</v>
      </c>
      <c r="CF12" s="1111">
        <v>433.28</v>
      </c>
      <c r="CG12" s="1111">
        <v>690.27</v>
      </c>
      <c r="CH12" s="1111">
        <v>66.271559071073099</v>
      </c>
      <c r="CI12" s="1111">
        <v>989.86745055238305</v>
      </c>
      <c r="CJ12" s="1111">
        <v>12.493215810406101</v>
      </c>
      <c r="CK12" s="1111">
        <v>15.210259458570899</v>
      </c>
      <c r="CL12" s="1111">
        <v>67.089502292395593</v>
      </c>
      <c r="CM12" s="1111">
        <v>0</v>
      </c>
      <c r="CN12" s="1111">
        <v>1182.6776525805201</v>
      </c>
      <c r="CO12" s="1111">
        <v>0.86499999999999999</v>
      </c>
      <c r="CP12" s="1111">
        <v>6.8471061845509702</v>
      </c>
      <c r="CQ12" s="1111">
        <v>3.3994942288158598</v>
      </c>
      <c r="CR12" s="1111">
        <v>56.627657235335697</v>
      </c>
      <c r="CS12" s="1111">
        <v>3.55038151341923</v>
      </c>
      <c r="CT12" s="1111">
        <v>0</v>
      </c>
      <c r="CU12" s="1111">
        <v>0</v>
      </c>
      <c r="CV12" s="1111">
        <v>0</v>
      </c>
      <c r="CW12" s="1111">
        <v>203.113917839826</v>
      </c>
      <c r="CX12" s="1111">
        <v>1552.4410979003701</v>
      </c>
      <c r="CY12" s="1111">
        <v>127.627100709475</v>
      </c>
      <c r="CZ12" s="1111">
        <v>448.39800000000099</v>
      </c>
      <c r="DA12" s="1111">
        <v>1313.91142942448</v>
      </c>
      <c r="DB12" s="1111">
        <v>69.882571653654907</v>
      </c>
      <c r="DC12" s="1111">
        <v>15.742492290933599</v>
      </c>
      <c r="DD12" s="1111">
        <v>21.9108033353506</v>
      </c>
      <c r="DE12" s="1111">
        <v>2144.6117578790099</v>
      </c>
      <c r="DF12" s="1111">
        <v>1347.7523312603</v>
      </c>
      <c r="DG12" s="1111">
        <v>485.89719200195202</v>
      </c>
      <c r="DH12" s="1111">
        <v>2781.4131013543702</v>
      </c>
      <c r="DI12" s="1111">
        <v>42.750997987820099</v>
      </c>
      <c r="DJ12" s="1111">
        <v>57.2031708758253</v>
      </c>
      <c r="DK12" s="1111">
        <v>16.59</v>
      </c>
      <c r="DL12" s="1111">
        <v>0</v>
      </c>
      <c r="DM12" s="1111">
        <v>185.986614480409</v>
      </c>
      <c r="DN12" s="1111">
        <v>16.808970426965899</v>
      </c>
      <c r="DO12" s="1111">
        <v>139.70908009064499</v>
      </c>
      <c r="DP12" s="1111">
        <v>53.170599184909499</v>
      </c>
      <c r="DQ12" s="1111">
        <v>1.4147677523461999</v>
      </c>
      <c r="DR12" s="1111">
        <v>12.3081127257751</v>
      </c>
      <c r="DS12" s="1111">
        <v>0</v>
      </c>
      <c r="DT12" s="1111">
        <v>1.5146592521597799</v>
      </c>
      <c r="DU12" s="1111">
        <v>3.6632473360932102E-2</v>
      </c>
      <c r="DV12" s="1111">
        <v>0.67771575895269998</v>
      </c>
      <c r="DW12" s="1111">
        <v>0</v>
      </c>
      <c r="DX12" s="1111">
        <v>0.41978306679564098</v>
      </c>
      <c r="DY12" s="1111">
        <v>16.776629685892001</v>
      </c>
      <c r="DZ12" s="1111">
        <v>105.44338809927299</v>
      </c>
      <c r="EA12" s="1111">
        <v>1.5185848055671201</v>
      </c>
      <c r="EB12" s="1111">
        <v>31.7252522770006</v>
      </c>
      <c r="EC12" s="1111">
        <v>0</v>
      </c>
      <c r="ED12" s="1111">
        <v>12.2448454108342</v>
      </c>
      <c r="EE12" s="1111">
        <v>0.122108941121484</v>
      </c>
      <c r="EF12" s="1111">
        <v>11.6983533679362</v>
      </c>
      <c r="EG12" s="1111">
        <v>0</v>
      </c>
      <c r="EH12" s="1111">
        <v>8.4328214547656906</v>
      </c>
      <c r="EI12" s="1111">
        <v>1.6555411772469</v>
      </c>
      <c r="EJ12" s="1111">
        <v>285.517315139419</v>
      </c>
      <c r="EK12" s="1111">
        <v>7021.3449318082803</v>
      </c>
      <c r="EL12" s="1111">
        <v>434.16442528114197</v>
      </c>
      <c r="EM12" s="1111">
        <v>8797.1923941568602</v>
      </c>
      <c r="EN12" s="1111">
        <v>565.45518317909296</v>
      </c>
      <c r="EO12" s="1111">
        <v>2620.3441820344001</v>
      </c>
      <c r="EP12" s="1111">
        <v>226.487411731653</v>
      </c>
      <c r="EQ12" s="1111">
        <v>647.94730371749995</v>
      </c>
      <c r="ER12" s="1111">
        <v>629.53777872976798</v>
      </c>
      <c r="ES12" s="1111">
        <v>890.288384163096</v>
      </c>
      <c r="ET12" s="1111">
        <v>632.06934576198103</v>
      </c>
      <c r="EU12" s="1111">
        <v>233.635965095144</v>
      </c>
      <c r="EV12" s="1111">
        <v>260.22775827804099</v>
      </c>
      <c r="EW12" s="1111">
        <v>327.43622894163599</v>
      </c>
      <c r="EX12" s="1111">
        <v>1100.8352476140701</v>
      </c>
      <c r="EY12" s="1111">
        <v>1166.9508680198901</v>
      </c>
      <c r="EZ12" s="1111">
        <v>1006.0820085688</v>
      </c>
      <c r="FA12" s="1111">
        <v>356.151722250494</v>
      </c>
      <c r="FB12" s="1111">
        <v>990.90344934963196</v>
      </c>
      <c r="FC12" s="1111">
        <v>118.40282522596</v>
      </c>
      <c r="FD12" s="1111">
        <v>1052.71631858462</v>
      </c>
      <c r="FE12" s="1111">
        <v>553.638873447675</v>
      </c>
      <c r="FF12" s="1111">
        <v>65.897068281694004</v>
      </c>
      <c r="FG12" s="1111">
        <v>13.011277948409001</v>
      </c>
      <c r="FH12" s="1111">
        <v>0.333583861912083</v>
      </c>
      <c r="FI12" s="1111">
        <v>3.1870120590708999</v>
      </c>
      <c r="FJ12" s="1111">
        <v>73.693125334431699</v>
      </c>
      <c r="FK12" s="1111">
        <v>15.948117860840901</v>
      </c>
      <c r="FL12" s="1111">
        <v>0</v>
      </c>
      <c r="FM12" s="1111">
        <v>0</v>
      </c>
      <c r="FN12" s="1111">
        <v>0</v>
      </c>
      <c r="FO12" s="1111">
        <v>136.19007294728101</v>
      </c>
      <c r="FP12" s="1111">
        <v>122.179221482145</v>
      </c>
      <c r="FQ12" s="1111">
        <v>153.01421693746099</v>
      </c>
      <c r="FR12" s="1111">
        <v>0</v>
      </c>
      <c r="FS12" s="1111">
        <v>665.579786215593</v>
      </c>
      <c r="FT12" s="1111">
        <v>1265.6032056822601</v>
      </c>
      <c r="FU12" s="1111">
        <v>0.58564990981327103</v>
      </c>
      <c r="FV12" s="1111">
        <v>0</v>
      </c>
      <c r="FW12" s="1111">
        <v>0</v>
      </c>
      <c r="FX12" s="1111">
        <v>27.2576764372719</v>
      </c>
      <c r="FY12" s="1111">
        <v>26.5564201001574</v>
      </c>
      <c r="FZ12" s="1111">
        <v>20.587659609205101</v>
      </c>
      <c r="GA12" s="1111">
        <v>0</v>
      </c>
      <c r="GB12" s="1111">
        <v>0</v>
      </c>
      <c r="GC12" s="1111">
        <v>10.914641236158401</v>
      </c>
      <c r="GD12" s="1111">
        <v>0</v>
      </c>
      <c r="GE12" s="1111">
        <v>3.2840782290731498</v>
      </c>
      <c r="GF12" s="1111">
        <v>0</v>
      </c>
      <c r="GG12" s="1111">
        <v>9.5403768947873306</v>
      </c>
      <c r="GH12" s="1111">
        <v>1.51790836415798</v>
      </c>
      <c r="GI12" s="1111">
        <v>0.85188734723151804</v>
      </c>
      <c r="GJ12" s="1111">
        <v>1.29209486868969</v>
      </c>
      <c r="GK12" s="1111">
        <v>5.3077828666887701</v>
      </c>
      <c r="GL12" s="1111">
        <v>62.767575553484001</v>
      </c>
      <c r="GM12" s="1111">
        <v>127.953</v>
      </c>
      <c r="GN12" s="1111">
        <v>0</v>
      </c>
      <c r="GO12" s="1111">
        <v>141.86000000000001</v>
      </c>
      <c r="GP12" s="1111">
        <v>361.08725902826598</v>
      </c>
      <c r="GQ12" s="1111">
        <v>2717.1459374702299</v>
      </c>
      <c r="GR12" s="1111">
        <v>0</v>
      </c>
      <c r="GS12" s="1111">
        <v>0</v>
      </c>
      <c r="GT12" s="1111">
        <v>10.308</v>
      </c>
      <c r="GU12" s="1111">
        <v>503.68799999999999</v>
      </c>
      <c r="GV12" s="1111">
        <v>110.398555284739</v>
      </c>
      <c r="GW12" s="1111">
        <v>688.54</v>
      </c>
      <c r="GX12" s="1111">
        <v>613.46301666403201</v>
      </c>
      <c r="GY12" s="1111">
        <v>2175.3948280095201</v>
      </c>
      <c r="GZ12" s="1111">
        <v>0</v>
      </c>
      <c r="HA12" s="1111">
        <v>10.308</v>
      </c>
      <c r="HB12" s="1111">
        <v>0</v>
      </c>
      <c r="HC12" s="1111">
        <v>0</v>
      </c>
      <c r="HD12" s="1111">
        <v>0.86499999999999999</v>
      </c>
      <c r="HE12" s="1111">
        <v>119.50100077638599</v>
      </c>
      <c r="HF12" s="1111">
        <v>7.9727841078750501</v>
      </c>
      <c r="HG12" s="1111">
        <v>1115.9458184523801</v>
      </c>
      <c r="HH12" s="1111">
        <v>1645.4818173400199</v>
      </c>
      <c r="HI12" s="1111">
        <v>2054.16</v>
      </c>
      <c r="HJ12" s="1111">
        <v>219.96075787792699</v>
      </c>
      <c r="HK12" s="1111">
        <v>9.5150000000000006</v>
      </c>
      <c r="HL12" s="1111">
        <v>217.789704110055</v>
      </c>
      <c r="HM12" s="1111">
        <v>330.05923782340102</v>
      </c>
      <c r="HN12" s="1111">
        <v>16388.591919783401</v>
      </c>
      <c r="HO12" s="1111">
        <v>67.690666666666701</v>
      </c>
      <c r="HP12" s="1111">
        <v>843.72</v>
      </c>
      <c r="HQ12" s="1111">
        <v>0</v>
      </c>
      <c r="HR12" s="1111">
        <v>85.354842337890702</v>
      </c>
      <c r="HS12" s="1111">
        <v>7.5639860348766899</v>
      </c>
      <c r="HT12" s="1111">
        <v>76.421183421803505</v>
      </c>
      <c r="HU12" s="1111">
        <v>10.308</v>
      </c>
      <c r="HV12" s="1111">
        <v>8.1240000000000006</v>
      </c>
      <c r="HW12" s="1111">
        <v>0</v>
      </c>
      <c r="HX12" s="1111">
        <v>99.474999999999994</v>
      </c>
      <c r="HY12" s="1111">
        <v>63.846400913349697</v>
      </c>
      <c r="HZ12" s="1111">
        <v>0</v>
      </c>
      <c r="IA12" s="1111">
        <v>1239.944846764</v>
      </c>
      <c r="IB12" s="1111">
        <v>0.51326529428571399</v>
      </c>
      <c r="IC12" s="1111">
        <v>93.270861473068393</v>
      </c>
      <c r="ID12" s="1111">
        <v>208.981485250368</v>
      </c>
      <c r="IE12" s="1111">
        <v>0</v>
      </c>
      <c r="IF12" s="1111">
        <v>747.64868899999999</v>
      </c>
      <c r="IG12" s="1111">
        <v>369.19447271767802</v>
      </c>
      <c r="IH12" s="1111">
        <v>1979.9731203624999</v>
      </c>
      <c r="II12" s="1111">
        <v>0</v>
      </c>
      <c r="IJ12" s="1111">
        <v>295.40891369047699</v>
      </c>
      <c r="IK12" s="1111">
        <v>10.7442509885622</v>
      </c>
      <c r="IL12" s="1111">
        <v>216.015649514324</v>
      </c>
      <c r="IM12" s="1111">
        <v>32.544139117501203</v>
      </c>
      <c r="IN12" s="1111">
        <v>175.25109494336701</v>
      </c>
      <c r="IO12" s="1111">
        <v>108.54779434838299</v>
      </c>
      <c r="IP12" s="1111">
        <v>0.116000871012572</v>
      </c>
      <c r="IQ12" s="1111">
        <v>4.5672867470211598</v>
      </c>
      <c r="IR12" s="1111">
        <v>3.5488539377388197E-2</v>
      </c>
      <c r="IS12" s="1111">
        <v>0.49920598881956402</v>
      </c>
      <c r="IT12" s="1111">
        <v>0.17696052748730201</v>
      </c>
      <c r="IU12" s="1111">
        <v>1090.1050384780001</v>
      </c>
      <c r="IV12" s="1111">
        <v>45.961296608181499</v>
      </c>
      <c r="IW12" s="1111">
        <v>2057.4902112372001</v>
      </c>
      <c r="IX12" s="1111">
        <v>1488.10528</v>
      </c>
      <c r="IY12" s="1111">
        <v>326.10705443155501</v>
      </c>
      <c r="IZ12" s="1111">
        <v>28.978123547142999</v>
      </c>
      <c r="JA12" s="1111">
        <v>26.968303064237499</v>
      </c>
      <c r="JB12" s="1111">
        <v>50.493068438626302</v>
      </c>
      <c r="JC12" s="1111">
        <v>136.83838175561999</v>
      </c>
      <c r="JD12" s="1111">
        <v>0</v>
      </c>
      <c r="JE12" s="1111">
        <v>1970.8974958125</v>
      </c>
      <c r="JF12" s="1111">
        <v>160.82337033265</v>
      </c>
      <c r="JG12" s="1111">
        <v>367.11088156921102</v>
      </c>
      <c r="JH12" s="1111">
        <v>0</v>
      </c>
      <c r="JI12" s="1111">
        <v>28.536018938585102</v>
      </c>
      <c r="JJ12" s="1111">
        <v>63.149718666889001</v>
      </c>
      <c r="JK12" s="1111">
        <v>135.74187101328599</v>
      </c>
      <c r="JL12" s="1111">
        <v>0</v>
      </c>
      <c r="JM12" s="1111">
        <v>1.5409090909090899</v>
      </c>
      <c r="JN12" s="1111">
        <v>35.727272727272798</v>
      </c>
      <c r="JO12" s="1111">
        <v>119.22245454545499</v>
      </c>
      <c r="JP12" s="1111">
        <v>1059.0449989282599</v>
      </c>
      <c r="JQ12" s="1111">
        <v>1614.5343397483</v>
      </c>
      <c r="JR12" s="1111">
        <v>31.649550000000001</v>
      </c>
      <c r="JS12" s="1111">
        <v>9.4784021949073303</v>
      </c>
      <c r="JT12" s="1111">
        <v>8.6981040000000007</v>
      </c>
      <c r="JU12" s="1111">
        <v>2.5126400000000002</v>
      </c>
      <c r="JV12" s="1111">
        <v>1.6927399999999999</v>
      </c>
      <c r="JW12" s="1111">
        <v>281.30232208237499</v>
      </c>
      <c r="JX12" s="1111">
        <v>243.22155468085899</v>
      </c>
      <c r="JY12" s="1111">
        <v>50.204949999999997</v>
      </c>
      <c r="JZ12" s="1111">
        <v>668.06617694937404</v>
      </c>
      <c r="KA12" s="1111">
        <v>103.64846</v>
      </c>
      <c r="KB12" s="1111">
        <v>214.05943984083399</v>
      </c>
      <c r="KC12" s="1111">
        <v>411.38785583606</v>
      </c>
      <c r="KD12" s="1111">
        <v>75.865793176759894</v>
      </c>
      <c r="KE12" s="1111">
        <v>47.405062808533799</v>
      </c>
      <c r="KF12" s="1111">
        <v>9.3320110057973498</v>
      </c>
      <c r="KG12" s="1111">
        <v>2.7650402980140298</v>
      </c>
      <c r="KH12" s="1111">
        <v>7.7371843970583498</v>
      </c>
      <c r="KI12" s="1111">
        <v>0</v>
      </c>
      <c r="KJ12" s="1111">
        <v>268.28276414989301</v>
      </c>
      <c r="KK12" s="1111">
        <v>275.11417760321001</v>
      </c>
      <c r="KL12" s="1111">
        <v>197.046943059683</v>
      </c>
      <c r="KM12" s="1111">
        <v>78.067234543525203</v>
      </c>
      <c r="KN12" s="1111">
        <v>64.725688025278004</v>
      </c>
      <c r="KO12" s="1111">
        <v>64.725546622545195</v>
      </c>
      <c r="KP12" s="1111">
        <v>1.4140273268129701E-4</v>
      </c>
      <c r="KQ12" s="1111">
        <v>-4431.1885835136</v>
      </c>
      <c r="KR12" s="1111">
        <v>-4293.8603839173002</v>
      </c>
      <c r="KS12" s="1111">
        <v>4.5053132990763496</v>
      </c>
      <c r="KT12" s="1111">
        <v>-3.0415994781436702</v>
      </c>
      <c r="KU12" s="1111">
        <v>-136.411174250372</v>
      </c>
      <c r="KV12" s="1111">
        <v>-2.38073916684661</v>
      </c>
      <c r="KW12" s="1111">
        <v>0</v>
      </c>
      <c r="KX12" s="1111">
        <v>3856.7182169840999</v>
      </c>
      <c r="KY12" s="1111">
        <v>5.6513600504275097</v>
      </c>
      <c r="KZ12" s="1111">
        <v>771.61010581011305</v>
      </c>
      <c r="LA12" s="1111">
        <v>0.36332374832457598</v>
      </c>
      <c r="LB12" s="1111">
        <v>0.201433987745746</v>
      </c>
      <c r="LC12" s="1111">
        <v>3108.76093695497</v>
      </c>
      <c r="LD12" s="1111">
        <v>-29.868943567517601</v>
      </c>
      <c r="LE12" s="1111">
        <v>-2004.5775030735999</v>
      </c>
      <c r="LF12" s="1111">
        <v>48.217500000000001</v>
      </c>
      <c r="LG12" s="1111">
        <v>-671.48249400496695</v>
      </c>
      <c r="LH12" s="1111">
        <v>8.8349131995037595</v>
      </c>
      <c r="LI12" s="1111">
        <v>4.9860034090601504</v>
      </c>
      <c r="LJ12" s="1111">
        <v>-1219.5060664001701</v>
      </c>
      <c r="LK12" s="1111">
        <v>-3.0791555624242402</v>
      </c>
      <c r="LL12" s="1111">
        <v>-172.54820371462901</v>
      </c>
      <c r="LM12" s="1111">
        <v>130.10951317500999</v>
      </c>
      <c r="LN12" s="1111">
        <v>130.098281683165</v>
      </c>
      <c r="LO12" s="1111">
        <v>1.12314918414918E-2</v>
      </c>
      <c r="LP12" s="1111">
        <v>0</v>
      </c>
      <c r="LQ12" s="1111">
        <v>1874.5492823768</v>
      </c>
      <c r="LR12" s="1111">
        <v>467.00589513129398</v>
      </c>
      <c r="LS12" s="1111">
        <v>9.9342166491430604</v>
      </c>
      <c r="LT12" s="1111">
        <v>28.045709524219301</v>
      </c>
      <c r="LU12" s="1111">
        <v>205.190978783747</v>
      </c>
      <c r="LV12" s="1111">
        <v>1164.3724822883701</v>
      </c>
      <c r="LW12" s="1111">
        <v>0</v>
      </c>
      <c r="LX12" s="1111">
        <v>0</v>
      </c>
      <c r="LY12" s="1111">
        <v>-333.18560323908002</v>
      </c>
      <c r="LZ12" s="1111">
        <v>-283.88757530113998</v>
      </c>
      <c r="MA12" s="1111">
        <v>-49.298027937937903</v>
      </c>
      <c r="MB12" s="1111">
        <v>350.40297154527002</v>
      </c>
      <c r="MC12" s="1111">
        <v>167.03080214481801</v>
      </c>
      <c r="MD12" s="1111">
        <v>104.122084280453</v>
      </c>
      <c r="ME12" s="1111">
        <v>79.250085119999994</v>
      </c>
      <c r="MF12" s="1111">
        <v>4575.6351952727</v>
      </c>
      <c r="MG12" s="1111">
        <v>0.187483824369436</v>
      </c>
      <c r="MH12" s="1111">
        <v>387.67851567047899</v>
      </c>
      <c r="MI12" s="1111">
        <v>0.51844505587763101</v>
      </c>
      <c r="MJ12" s="1111">
        <v>1.47799275457839</v>
      </c>
      <c r="MK12" s="1111">
        <v>4185.7727579674402</v>
      </c>
      <c r="ML12" s="1111">
        <v>2468.2534131857001</v>
      </c>
      <c r="MM12" s="1111">
        <v>1369.34131242444</v>
      </c>
      <c r="MN12" s="1111">
        <v>1098.91210076129</v>
      </c>
    </row>
    <row r="13" spans="1:352" ht="13.9" x14ac:dyDescent="0.4">
      <c r="A13" s="1096">
        <v>1993</v>
      </c>
      <c r="B13" s="1145">
        <v>149471.91295622001</v>
      </c>
      <c r="C13" s="1111">
        <v>37.103301705272798</v>
      </c>
      <c r="D13" s="1111">
        <v>0</v>
      </c>
      <c r="E13" s="1111">
        <v>39044.702153020102</v>
      </c>
      <c r="F13" s="1111">
        <v>0</v>
      </c>
      <c r="G13" s="1111">
        <v>2511.82608941424</v>
      </c>
      <c r="H13" s="1111">
        <v>194.75546125484701</v>
      </c>
      <c r="I13" s="1111">
        <v>0</v>
      </c>
      <c r="J13" s="1111">
        <v>2500.9201707420598</v>
      </c>
      <c r="K13" s="1111">
        <v>0</v>
      </c>
      <c r="L13" s="1111">
        <v>846.06000023900003</v>
      </c>
      <c r="M13" s="1111">
        <v>0</v>
      </c>
      <c r="N13" s="1111">
        <v>80.391449673484004</v>
      </c>
      <c r="O13" s="1111">
        <v>0</v>
      </c>
      <c r="P13" s="1111">
        <v>1479.11517060965</v>
      </c>
      <c r="Q13" s="1111">
        <v>96.403806861228503</v>
      </c>
      <c r="R13" s="1111">
        <v>0</v>
      </c>
      <c r="S13" s="1111">
        <v>0</v>
      </c>
      <c r="T13" s="1111">
        <v>2113.1950000000002</v>
      </c>
      <c r="U13" s="1111">
        <v>61.698999999999998</v>
      </c>
      <c r="V13" s="1111">
        <v>10.456596906278399</v>
      </c>
      <c r="W13" s="1111">
        <v>46.4</v>
      </c>
      <c r="X13" s="1111">
        <v>93.079219963966494</v>
      </c>
      <c r="Y13" s="1111">
        <v>121.82063034647101</v>
      </c>
      <c r="Z13" s="1111">
        <v>1990.2171044162701</v>
      </c>
      <c r="AA13" s="1111">
        <v>0</v>
      </c>
      <c r="AB13" s="1111">
        <v>995.1</v>
      </c>
      <c r="AC13" s="1111">
        <v>260.81861907371803</v>
      </c>
      <c r="AD13" s="1111">
        <v>169.72953719187501</v>
      </c>
      <c r="AE13" s="1111">
        <v>0</v>
      </c>
      <c r="AF13" s="1111">
        <v>0.72426281942411297</v>
      </c>
      <c r="AG13" s="1111">
        <v>0</v>
      </c>
      <c r="AH13" s="1111">
        <v>0</v>
      </c>
      <c r="AI13" s="1111">
        <v>331.91907195553301</v>
      </c>
      <c r="AJ13" s="1111">
        <v>1979.67993234767</v>
      </c>
      <c r="AK13" s="1111">
        <v>3.38817106460418</v>
      </c>
      <c r="AL13" s="1111">
        <v>339.55311997610801</v>
      </c>
      <c r="AM13" s="1111">
        <v>11.1837363416982</v>
      </c>
      <c r="AN13" s="1111">
        <v>675.710713381358</v>
      </c>
      <c r="AO13" s="1111">
        <v>30.450797202797201</v>
      </c>
      <c r="AP13" s="1111">
        <v>0</v>
      </c>
      <c r="AQ13" s="1111">
        <v>34.011675954873901</v>
      </c>
      <c r="AR13" s="1111">
        <v>20.6433489562212</v>
      </c>
      <c r="AS13" s="1111">
        <v>0</v>
      </c>
      <c r="AT13" s="1111">
        <v>33.355959963603198</v>
      </c>
      <c r="AU13" s="1111">
        <v>168.37197572370201</v>
      </c>
      <c r="AV13" s="1111">
        <v>0</v>
      </c>
      <c r="AW13" s="1111">
        <v>0</v>
      </c>
      <c r="AX13" s="1111">
        <v>28.1048003861806</v>
      </c>
      <c r="AY13" s="1111">
        <v>0</v>
      </c>
      <c r="AZ13" s="1111">
        <v>0</v>
      </c>
      <c r="BA13" s="1111">
        <v>0</v>
      </c>
      <c r="BB13" s="1111">
        <v>0</v>
      </c>
      <c r="BC13" s="1111">
        <v>0</v>
      </c>
      <c r="BD13" s="1111">
        <v>0</v>
      </c>
      <c r="BE13" s="1111">
        <v>1243.3254203003701</v>
      </c>
      <c r="BF13" s="1111">
        <v>46.296813270461797</v>
      </c>
      <c r="BG13" s="1111">
        <v>13.439490455519101</v>
      </c>
      <c r="BH13" s="1111">
        <v>12.3505870259691</v>
      </c>
      <c r="BI13" s="1111">
        <v>2996.5739883357401</v>
      </c>
      <c r="BJ13" s="1111">
        <v>8.74009342560554</v>
      </c>
      <c r="BK13" s="1111">
        <v>149.08774445801001</v>
      </c>
      <c r="BL13" s="1111">
        <v>289.84087043837201</v>
      </c>
      <c r="BM13" s="1111">
        <v>269.032731488698</v>
      </c>
      <c r="BN13" s="1111">
        <v>10.2669106339864</v>
      </c>
      <c r="BO13" s="1111">
        <v>5.8964513097220097</v>
      </c>
      <c r="BP13" s="1111">
        <v>761.77200965113002</v>
      </c>
      <c r="BQ13" s="1111">
        <v>0</v>
      </c>
      <c r="BR13" s="1111">
        <v>784.95742315939697</v>
      </c>
      <c r="BS13" s="1111">
        <v>428.87853827952603</v>
      </c>
      <c r="BT13" s="1111">
        <v>203.92311510791399</v>
      </c>
      <c r="BU13" s="1111">
        <v>32.869999999999997</v>
      </c>
      <c r="BV13" s="1111">
        <v>9.1852788379846793</v>
      </c>
      <c r="BW13" s="1111">
        <v>204.49351219042299</v>
      </c>
      <c r="BX13" s="1111">
        <v>694.57034172661804</v>
      </c>
      <c r="BY13" s="1111">
        <v>1236.085</v>
      </c>
      <c r="BZ13" s="1111">
        <v>63.879439191438998</v>
      </c>
      <c r="CA13" s="1111">
        <v>1686.8351962756999</v>
      </c>
      <c r="CB13" s="1111">
        <v>650.09046762589901</v>
      </c>
      <c r="CC13" s="1111">
        <v>227.495</v>
      </c>
      <c r="CD13" s="1111">
        <v>14.6129436058848</v>
      </c>
      <c r="CE13" s="1111">
        <v>515.43706478160004</v>
      </c>
      <c r="CF13" s="1111">
        <v>432.48123741007203</v>
      </c>
      <c r="CG13" s="1111">
        <v>641.83000000000004</v>
      </c>
      <c r="CH13" s="1111">
        <v>63.886093554902097</v>
      </c>
      <c r="CI13" s="1111">
        <v>896.66748984299295</v>
      </c>
      <c r="CJ13" s="1111">
        <v>12.5917778351848</v>
      </c>
      <c r="CK13" s="1111">
        <v>14.654961612110901</v>
      </c>
      <c r="CL13" s="1111">
        <v>69.096803730808801</v>
      </c>
      <c r="CM13" s="1111">
        <v>0</v>
      </c>
      <c r="CN13" s="1111">
        <v>1196.7885570818701</v>
      </c>
      <c r="CO13" s="1111">
        <v>0.86499999999999999</v>
      </c>
      <c r="CP13" s="1111">
        <v>7.1090674596586796</v>
      </c>
      <c r="CQ13" s="1111">
        <v>3.31277082166753</v>
      </c>
      <c r="CR13" s="1111">
        <v>75.189925871514006</v>
      </c>
      <c r="CS13" s="1111">
        <v>5.1890191349973396</v>
      </c>
      <c r="CT13" s="1111">
        <v>0.71979283693919105</v>
      </c>
      <c r="CU13" s="1111">
        <v>0</v>
      </c>
      <c r="CV13" s="1111">
        <v>5.91518661270824</v>
      </c>
      <c r="CW13" s="1111">
        <v>206.01554523753799</v>
      </c>
      <c r="CX13" s="1111">
        <v>1574.6188278703801</v>
      </c>
      <c r="CY13" s="1111">
        <v>129.450345005325</v>
      </c>
      <c r="CZ13" s="1111">
        <v>473.30900000000003</v>
      </c>
      <c r="DA13" s="1111">
        <v>590.72517587261996</v>
      </c>
      <c r="DB13" s="1111">
        <v>91.505942830434094</v>
      </c>
      <c r="DC13" s="1111">
        <v>10.468757373470799</v>
      </c>
      <c r="DD13" s="1111">
        <v>13.2757146214188</v>
      </c>
      <c r="DE13" s="1111">
        <v>1689.78352945852</v>
      </c>
      <c r="DF13" s="1111">
        <v>1298.73324848423</v>
      </c>
      <c r="DG13" s="1111">
        <v>519.93506547967604</v>
      </c>
      <c r="DH13" s="1111">
        <v>2271.1622060791801</v>
      </c>
      <c r="DI13" s="1111">
        <v>35.914919550626898</v>
      </c>
      <c r="DJ13" s="1111">
        <v>58.8012943901062</v>
      </c>
      <c r="DK13" s="1111">
        <v>26.07</v>
      </c>
      <c r="DL13" s="1111">
        <v>0</v>
      </c>
      <c r="DM13" s="1111">
        <v>193.86446658018801</v>
      </c>
      <c r="DN13" s="1111">
        <v>17.278573955562301</v>
      </c>
      <c r="DO13" s="1111">
        <v>207.062602087138</v>
      </c>
      <c r="DP13" s="1111">
        <v>113.133150277189</v>
      </c>
      <c r="DQ13" s="1111">
        <v>1.3762963785370199</v>
      </c>
      <c r="DR13" s="1111">
        <v>12.6756764940385</v>
      </c>
      <c r="DS13" s="1111">
        <v>0</v>
      </c>
      <c r="DT13" s="1111">
        <v>1.6154114413723399</v>
      </c>
      <c r="DU13" s="1111">
        <v>2.8598106781277999E-2</v>
      </c>
      <c r="DV13" s="1111">
        <v>0.73025383812241096</v>
      </c>
      <c r="DW13" s="1111">
        <v>0</v>
      </c>
      <c r="DX13" s="1111">
        <v>0.56540572103605102</v>
      </c>
      <c r="DY13" s="1111">
        <v>15.146024785084601</v>
      </c>
      <c r="DZ13" s="1111">
        <v>105.245213179716</v>
      </c>
      <c r="EA13" s="1111">
        <v>1.82265548898495</v>
      </c>
      <c r="EB13" s="1111">
        <v>33.860848260283198</v>
      </c>
      <c r="EC13" s="1111">
        <v>0</v>
      </c>
      <c r="ED13" s="1111">
        <v>12.2267999467319</v>
      </c>
      <c r="EE13" s="1111">
        <v>9.3575345320499798E-2</v>
      </c>
      <c r="EF13" s="1111">
        <v>15.3548858763772</v>
      </c>
      <c r="EG13" s="1111">
        <v>0</v>
      </c>
      <c r="EH13" s="1111">
        <v>11.2769907160604</v>
      </c>
      <c r="EI13" s="1111">
        <v>1.91855173846909</v>
      </c>
      <c r="EJ13" s="1111">
        <v>276.98046943836101</v>
      </c>
      <c r="EK13" s="1111">
        <v>6771.2096331380899</v>
      </c>
      <c r="EL13" s="1111">
        <v>552.82175246754002</v>
      </c>
      <c r="EM13" s="1111">
        <v>8935.5805708919997</v>
      </c>
      <c r="EN13" s="1111">
        <v>720.73484340721495</v>
      </c>
      <c r="EO13" s="1111">
        <v>2618.7701790731498</v>
      </c>
      <c r="EP13" s="1111">
        <v>294.61385720458901</v>
      </c>
      <c r="EQ13" s="1111">
        <v>611.68648947916404</v>
      </c>
      <c r="ER13" s="1111">
        <v>694.14905924934601</v>
      </c>
      <c r="ES13" s="1111">
        <v>813.69687660973898</v>
      </c>
      <c r="ET13" s="1111">
        <v>675.04542058655898</v>
      </c>
      <c r="EU13" s="1111">
        <v>241.73335819437301</v>
      </c>
      <c r="EV13" s="1111">
        <v>315.14268882165197</v>
      </c>
      <c r="EW13" s="1111">
        <v>329.49951986959701</v>
      </c>
      <c r="EX13" s="1111">
        <v>1070.58481287771</v>
      </c>
      <c r="EY13" s="1111">
        <v>1108.5920087205</v>
      </c>
      <c r="EZ13" s="1111">
        <v>1013.23782717721</v>
      </c>
      <c r="FA13" s="1111">
        <v>383.89672098837701</v>
      </c>
      <c r="FB13" s="1111">
        <v>865.19893894622498</v>
      </c>
      <c r="FC13" s="1111">
        <v>105.18167706157</v>
      </c>
      <c r="FD13" s="1111">
        <v>1294.99468276674</v>
      </c>
      <c r="FE13" s="1111">
        <v>572.76335395738704</v>
      </c>
      <c r="FF13" s="1111">
        <v>59.207642469162003</v>
      </c>
      <c r="FG13" s="1111">
        <v>10.4083269177915</v>
      </c>
      <c r="FH13" s="1111">
        <v>0.26559116502341401</v>
      </c>
      <c r="FI13" s="1111">
        <v>2.6211028004771699</v>
      </c>
      <c r="FJ13" s="1111">
        <v>59.460510130994798</v>
      </c>
      <c r="FK13" s="1111">
        <v>14.0834707808804</v>
      </c>
      <c r="FL13" s="1111">
        <v>0</v>
      </c>
      <c r="FM13" s="1111">
        <v>0</v>
      </c>
      <c r="FN13" s="1111">
        <v>0</v>
      </c>
      <c r="FO13" s="1111">
        <v>136.69751661260401</v>
      </c>
      <c r="FP13" s="1111">
        <v>122.609536309644</v>
      </c>
      <c r="FQ13" s="1111">
        <v>135.35775118695699</v>
      </c>
      <c r="FR13" s="1111">
        <v>0</v>
      </c>
      <c r="FS13" s="1111">
        <v>658.22634102950406</v>
      </c>
      <c r="FT13" s="1111">
        <v>1293.8881339106399</v>
      </c>
      <c r="FU13" s="1111">
        <v>0.636563078589369</v>
      </c>
      <c r="FV13" s="1111">
        <v>0</v>
      </c>
      <c r="FW13" s="1111">
        <v>0</v>
      </c>
      <c r="FX13" s="1111">
        <v>29.6273082900926</v>
      </c>
      <c r="FY13" s="1111">
        <v>26.814249421518099</v>
      </c>
      <c r="FZ13" s="1111">
        <v>21.809877413864498</v>
      </c>
      <c r="GA13" s="1111">
        <v>0</v>
      </c>
      <c r="GB13" s="1111">
        <v>0</v>
      </c>
      <c r="GC13" s="1111">
        <v>11.8634998666742</v>
      </c>
      <c r="GD13" s="1111">
        <v>0</v>
      </c>
      <c r="GE13" s="1111">
        <v>3.5623899434013899</v>
      </c>
      <c r="GF13" s="1111">
        <v>0</v>
      </c>
      <c r="GG13" s="1111">
        <v>10.0249847195482</v>
      </c>
      <c r="GH13" s="1111">
        <v>1.53282644540364</v>
      </c>
      <c r="GI13" s="1111">
        <v>0.86025973976734804</v>
      </c>
      <c r="GJ13" s="1111">
        <v>1.2639143909311099</v>
      </c>
      <c r="GK13" s="1111">
        <v>5.3611058110264196</v>
      </c>
      <c r="GL13" s="1111">
        <v>64.328095387686602</v>
      </c>
      <c r="GM13" s="1111">
        <v>143.427989090908</v>
      </c>
      <c r="GN13" s="1111">
        <v>0</v>
      </c>
      <c r="GO13" s="1111">
        <v>167.81</v>
      </c>
      <c r="GP13" s="1111">
        <v>348.30773149911698</v>
      </c>
      <c r="GQ13" s="1111">
        <v>2929.0176303353501</v>
      </c>
      <c r="GR13" s="1111">
        <v>0</v>
      </c>
      <c r="GS13" s="1111">
        <v>0</v>
      </c>
      <c r="GT13" s="1111">
        <v>10.308</v>
      </c>
      <c r="GU13" s="1111">
        <v>430.28396727272701</v>
      </c>
      <c r="GV13" s="1111">
        <v>91.109177168784001</v>
      </c>
      <c r="GW13" s="1111">
        <v>709.3</v>
      </c>
      <c r="GX13" s="1111">
        <v>568.31759173571504</v>
      </c>
      <c r="GY13" s="1111">
        <v>1926.2980441678601</v>
      </c>
      <c r="GZ13" s="1111">
        <v>0</v>
      </c>
      <c r="HA13" s="1111">
        <v>10.308</v>
      </c>
      <c r="HB13" s="1111">
        <v>0</v>
      </c>
      <c r="HC13" s="1111">
        <v>0</v>
      </c>
      <c r="HD13" s="1111">
        <v>0.86499999999999999</v>
      </c>
      <c r="HE13" s="1111">
        <v>121.37294326067401</v>
      </c>
      <c r="HF13" s="1111">
        <v>8.0329864922731495</v>
      </c>
      <c r="HG13" s="1111">
        <v>1652.9358630952399</v>
      </c>
      <c r="HH13" s="1111">
        <v>1751.1975016008</v>
      </c>
      <c r="HI13" s="1111">
        <v>1950.48</v>
      </c>
      <c r="HJ13" s="1111">
        <v>181.39008909057901</v>
      </c>
      <c r="HK13" s="1111">
        <v>9.5150000000000006</v>
      </c>
      <c r="HL13" s="1111">
        <v>226.540677485244</v>
      </c>
      <c r="HM13" s="1111">
        <v>330.45428465129498</v>
      </c>
      <c r="HN13" s="1111">
        <v>16920.707836541202</v>
      </c>
      <c r="HO13" s="1111">
        <v>88.176000000000002</v>
      </c>
      <c r="HP13" s="1111">
        <v>890.33</v>
      </c>
      <c r="HQ13" s="1111">
        <v>0</v>
      </c>
      <c r="HR13" s="1111">
        <v>76.439717601538803</v>
      </c>
      <c r="HS13" s="1111">
        <v>7.6399773971213003</v>
      </c>
      <c r="HT13" s="1111">
        <v>77.188946583421</v>
      </c>
      <c r="HU13" s="1111">
        <v>10.308</v>
      </c>
      <c r="HV13" s="1111">
        <v>8.74009342560554</v>
      </c>
      <c r="HW13" s="1111">
        <v>0</v>
      </c>
      <c r="HX13" s="1111">
        <v>104.66500000000001</v>
      </c>
      <c r="HY13" s="1111">
        <v>63.521823173721501</v>
      </c>
      <c r="HZ13" s="1111">
        <v>0</v>
      </c>
      <c r="IA13" s="1111">
        <v>1239.944846764</v>
      </c>
      <c r="IB13" s="1111">
        <v>0.51326529428571399</v>
      </c>
      <c r="IC13" s="1111">
        <v>94.948795034407595</v>
      </c>
      <c r="ID13" s="1111">
        <v>221.36382891238401</v>
      </c>
      <c r="IE13" s="1111">
        <v>0</v>
      </c>
      <c r="IF13" s="1111">
        <v>803.16499999999996</v>
      </c>
      <c r="IG13" s="1111">
        <v>328.19106445030798</v>
      </c>
      <c r="IH13" s="1111">
        <v>2067.8776827708002</v>
      </c>
      <c r="II13" s="1111">
        <v>0</v>
      </c>
      <c r="IJ13" s="1111">
        <v>260.52334821428599</v>
      </c>
      <c r="IK13" s="1111">
        <v>18.261291057483</v>
      </c>
      <c r="IL13" s="1111">
        <v>230.69400629739201</v>
      </c>
      <c r="IM13" s="1111">
        <v>34.755527441627301</v>
      </c>
      <c r="IN13" s="1111">
        <v>187.15948261799099</v>
      </c>
      <c r="IO13" s="1111">
        <v>115.923663907107</v>
      </c>
      <c r="IP13" s="1111">
        <v>0.116000871012572</v>
      </c>
      <c r="IQ13" s="1111">
        <v>4.4223664309656003</v>
      </c>
      <c r="IR13" s="1111">
        <v>3.5573035110083299E-2</v>
      </c>
      <c r="IS13" s="1111">
        <v>0.53312725160127805</v>
      </c>
      <c r="IT13" s="1111">
        <v>0.18898507184239199</v>
      </c>
      <c r="IU13" s="1111">
        <v>1166.0989390545899</v>
      </c>
      <c r="IV13" s="1111">
        <v>49.165371519797503</v>
      </c>
      <c r="IW13" s="1111">
        <v>2066.8912437428999</v>
      </c>
      <c r="IX13" s="1111">
        <v>1506.7970399999999</v>
      </c>
      <c r="IY13" s="1111">
        <v>328.22451201905301</v>
      </c>
      <c r="IZ13" s="1111">
        <v>30.967043445254401</v>
      </c>
      <c r="JA13" s="1111">
        <v>27.7738111373157</v>
      </c>
      <c r="JB13" s="1111">
        <v>53.2351917832762</v>
      </c>
      <c r="JC13" s="1111">
        <v>119.893645358043</v>
      </c>
      <c r="JD13" s="1111">
        <v>0</v>
      </c>
      <c r="JE13" s="1111">
        <v>1963.0869015200999</v>
      </c>
      <c r="JF13" s="1111">
        <v>160.969398513626</v>
      </c>
      <c r="JG13" s="1111">
        <v>367.73586277339001</v>
      </c>
      <c r="JH13" s="1111">
        <v>0</v>
      </c>
      <c r="JI13" s="1111">
        <v>28.536018938585102</v>
      </c>
      <c r="JJ13" s="1111">
        <v>63.149718666889001</v>
      </c>
      <c r="JK13" s="1111">
        <v>135.74187101328701</v>
      </c>
      <c r="JL13" s="1111">
        <v>0</v>
      </c>
      <c r="JM13" s="1111">
        <v>1.5409090909090899</v>
      </c>
      <c r="JN13" s="1111">
        <v>35.727272727272798</v>
      </c>
      <c r="JO13" s="1111">
        <v>119.22245454545499</v>
      </c>
      <c r="JP13" s="1111">
        <v>1050.4633952507199</v>
      </c>
      <c r="JQ13" s="1111">
        <v>1506.2490974949999</v>
      </c>
      <c r="JR13" s="1111">
        <v>30.608699999999999</v>
      </c>
      <c r="JS13" s="1111">
        <v>9.4784021949073303</v>
      </c>
      <c r="JT13" s="1111">
        <v>8.9897120000000008</v>
      </c>
      <c r="JU13" s="1111">
        <v>2.6292499999999999</v>
      </c>
      <c r="JV13" s="1111">
        <v>1.7262</v>
      </c>
      <c r="JW13" s="1111">
        <v>259.75405328158001</v>
      </c>
      <c r="JX13" s="1111">
        <v>248.52224581696501</v>
      </c>
      <c r="JY13" s="1111">
        <v>35.517400000000002</v>
      </c>
      <c r="JZ13" s="1111">
        <v>663.30814013101497</v>
      </c>
      <c r="KA13" s="1111">
        <v>101.22158</v>
      </c>
      <c r="KB13" s="1111">
        <v>144.49341407056301</v>
      </c>
      <c r="KC13" s="1111">
        <v>462.03601886612</v>
      </c>
      <c r="KD13" s="1111">
        <v>77.951580762543998</v>
      </c>
      <c r="KE13" s="1111">
        <v>47.545676351640097</v>
      </c>
      <c r="KF13" s="1111">
        <v>9.7214442521417492</v>
      </c>
      <c r="KG13" s="1111">
        <v>3.6005349082006499</v>
      </c>
      <c r="KH13" s="1111">
        <v>7.9049383774945401</v>
      </c>
      <c r="KI13" s="1111">
        <v>0</v>
      </c>
      <c r="KJ13" s="1111">
        <v>315.31184421409898</v>
      </c>
      <c r="KK13" s="1111">
        <v>172.41532021685001</v>
      </c>
      <c r="KL13" s="1111">
        <v>104.82696646554599</v>
      </c>
      <c r="KM13" s="1111">
        <v>67.588353751303302</v>
      </c>
      <c r="KN13" s="1111">
        <v>54.467980604146</v>
      </c>
      <c r="KO13" s="1111">
        <v>54.467833818717601</v>
      </c>
      <c r="KP13" s="1111">
        <v>1.46785427986615E-4</v>
      </c>
      <c r="KQ13" s="1111">
        <v>-4509.1418341033004</v>
      </c>
      <c r="KR13" s="1111">
        <v>-4379.07729900704</v>
      </c>
      <c r="KS13" s="1111">
        <v>8.0448864878905493</v>
      </c>
      <c r="KT13" s="1111">
        <v>-3.1669093071183001</v>
      </c>
      <c r="KU13" s="1111">
        <v>-132.677379280715</v>
      </c>
      <c r="KV13" s="1111">
        <v>-2.2651329963168898</v>
      </c>
      <c r="KW13" s="1111">
        <v>0</v>
      </c>
      <c r="KX13" s="1111">
        <v>3904.0720599450001</v>
      </c>
      <c r="KY13" s="1111">
        <v>4.3493811579767501</v>
      </c>
      <c r="KZ13" s="1111">
        <v>826.75080236317899</v>
      </c>
      <c r="LA13" s="1111">
        <v>0.37097682155244099</v>
      </c>
      <c r="LB13" s="1111">
        <v>0.20598736014285199</v>
      </c>
      <c r="LC13" s="1111">
        <v>3101.2106653062501</v>
      </c>
      <c r="LD13" s="1111">
        <v>-28.815753064137098</v>
      </c>
      <c r="LE13" s="1111">
        <v>-2035.7492908792999</v>
      </c>
      <c r="LF13" s="1111">
        <v>48.217500000000001</v>
      </c>
      <c r="LG13" s="1111">
        <v>-687.07471946888495</v>
      </c>
      <c r="LH13" s="1111">
        <v>9.1183093218532996</v>
      </c>
      <c r="LI13" s="1111">
        <v>5.1457553917328402</v>
      </c>
      <c r="LJ13" s="1111">
        <v>-1232.4782644286799</v>
      </c>
      <c r="LK13" s="1111">
        <v>-2.9427165531002299</v>
      </c>
      <c r="LL13" s="1111">
        <v>-175.73515514217399</v>
      </c>
      <c r="LM13" s="1111">
        <v>126.61474974035001</v>
      </c>
      <c r="LN13" s="1111">
        <v>126.603518248505</v>
      </c>
      <c r="LO13" s="1111">
        <v>1.12314918414918E-2</v>
      </c>
      <c r="LP13" s="1111">
        <v>0</v>
      </c>
      <c r="LQ13" s="1111">
        <v>1860.5050915687</v>
      </c>
      <c r="LR13" s="1111">
        <v>477.55084289498802</v>
      </c>
      <c r="LS13" s="1111">
        <v>9.8727777627604105</v>
      </c>
      <c r="LT13" s="1111">
        <v>28.032261472620199</v>
      </c>
      <c r="LU13" s="1111">
        <v>195.20194388246401</v>
      </c>
      <c r="LV13" s="1111">
        <v>1149.8472655558201</v>
      </c>
      <c r="LW13" s="1111">
        <v>0</v>
      </c>
      <c r="LX13" s="1111">
        <v>0</v>
      </c>
      <c r="LY13" s="1111">
        <v>-368.75766878335003</v>
      </c>
      <c r="LZ13" s="1111">
        <v>-316.21929922858999</v>
      </c>
      <c r="MA13" s="1111">
        <v>-52.538369554760997</v>
      </c>
      <c r="MB13" s="1111">
        <v>335.09296794048998</v>
      </c>
      <c r="MC13" s="1111">
        <v>156.520798540041</v>
      </c>
      <c r="MD13" s="1111">
        <v>104.122084280453</v>
      </c>
      <c r="ME13" s="1111">
        <v>74.450085119999997</v>
      </c>
      <c r="MF13" s="1111">
        <v>4899.4582633005002</v>
      </c>
      <c r="MG13" s="1111">
        <v>0.289691781191182</v>
      </c>
      <c r="MH13" s="1111">
        <v>421.07503567348903</v>
      </c>
      <c r="MI13" s="1111">
        <v>0.54008023623009604</v>
      </c>
      <c r="MJ13" s="1111">
        <v>2.47777982773313</v>
      </c>
      <c r="MK13" s="1111">
        <v>4475.0756757818899</v>
      </c>
      <c r="ML13" s="1111">
        <v>2399.3761725129998</v>
      </c>
      <c r="MM13" s="1111">
        <v>1374.3943037445199</v>
      </c>
      <c r="MN13" s="1111">
        <v>1024.9818687684699</v>
      </c>
    </row>
    <row r="14" spans="1:352" ht="13.9" x14ac:dyDescent="0.4">
      <c r="A14" s="1096">
        <v>1994</v>
      </c>
      <c r="B14" s="1145">
        <v>147731.17439438999</v>
      </c>
      <c r="C14" s="1111">
        <v>43.370079205090803</v>
      </c>
      <c r="D14" s="1111">
        <v>0</v>
      </c>
      <c r="E14" s="1111">
        <v>36854.359194630902</v>
      </c>
      <c r="F14" s="1111">
        <v>0</v>
      </c>
      <c r="G14" s="1111">
        <v>1924.1796071312699</v>
      </c>
      <c r="H14" s="1111">
        <v>205.640818829571</v>
      </c>
      <c r="I14" s="1111">
        <v>0</v>
      </c>
      <c r="J14" s="1111">
        <v>3999.84296367671</v>
      </c>
      <c r="K14" s="1111">
        <v>0</v>
      </c>
      <c r="L14" s="1111">
        <v>733.13250000000005</v>
      </c>
      <c r="M14" s="1111">
        <v>0</v>
      </c>
      <c r="N14" s="1111">
        <v>118.902567139895</v>
      </c>
      <c r="O14" s="1111">
        <v>24.579564323671601</v>
      </c>
      <c r="P14" s="1111">
        <v>1661.3955914467699</v>
      </c>
      <c r="Q14" s="1111">
        <v>97.007187469874395</v>
      </c>
      <c r="R14" s="1111">
        <v>0</v>
      </c>
      <c r="S14" s="1111">
        <v>0</v>
      </c>
      <c r="T14" s="1111">
        <v>2185.855</v>
      </c>
      <c r="U14" s="1111">
        <v>73.864999999999995</v>
      </c>
      <c r="V14" s="1111">
        <v>4.8485896269335704</v>
      </c>
      <c r="W14" s="1111">
        <v>46.4</v>
      </c>
      <c r="X14" s="1111">
        <v>85.393219963966501</v>
      </c>
      <c r="Y14" s="1111">
        <v>96.338284368426002</v>
      </c>
      <c r="Z14" s="1111">
        <v>1925.01928170931</v>
      </c>
      <c r="AA14" s="1111">
        <v>0</v>
      </c>
      <c r="AB14" s="1111">
        <v>881.64</v>
      </c>
      <c r="AC14" s="1111">
        <v>276.47201943174298</v>
      </c>
      <c r="AD14" s="1111">
        <v>175.01715804445399</v>
      </c>
      <c r="AE14" s="1111">
        <v>0</v>
      </c>
      <c r="AF14" s="1111">
        <v>0.94693605949306403</v>
      </c>
      <c r="AG14" s="1111">
        <v>0</v>
      </c>
      <c r="AH14" s="1111">
        <v>0</v>
      </c>
      <c r="AI14" s="1111">
        <v>419.22469735596798</v>
      </c>
      <c r="AJ14" s="1111">
        <v>2349.1935758218401</v>
      </c>
      <c r="AK14" s="1111">
        <v>20.913193812556901</v>
      </c>
      <c r="AL14" s="1111">
        <v>485.68071845531699</v>
      </c>
      <c r="AM14" s="1111">
        <v>11.9402106472913</v>
      </c>
      <c r="AN14" s="1111">
        <v>801.83429707601204</v>
      </c>
      <c r="AO14" s="1111">
        <v>14.6856923076923</v>
      </c>
      <c r="AP14" s="1111">
        <v>0</v>
      </c>
      <c r="AQ14" s="1111">
        <v>40.9432437660573</v>
      </c>
      <c r="AR14" s="1111">
        <v>13.2571048329029</v>
      </c>
      <c r="AS14" s="1111">
        <v>0</v>
      </c>
      <c r="AT14" s="1111">
        <v>37.795632393084603</v>
      </c>
      <c r="AU14" s="1111">
        <v>172.10352231897701</v>
      </c>
      <c r="AV14" s="1111">
        <v>0</v>
      </c>
      <c r="AW14" s="1111">
        <v>0</v>
      </c>
      <c r="AX14" s="1111">
        <v>27.411306985325499</v>
      </c>
      <c r="AY14" s="1111">
        <v>0</v>
      </c>
      <c r="AZ14" s="1111">
        <v>0</v>
      </c>
      <c r="BA14" s="1111">
        <v>0</v>
      </c>
      <c r="BB14" s="1111">
        <v>0</v>
      </c>
      <c r="BC14" s="1111">
        <v>0</v>
      </c>
      <c r="BD14" s="1111">
        <v>0</v>
      </c>
      <c r="BE14" s="1111">
        <v>1383.9490168106199</v>
      </c>
      <c r="BF14" s="1111">
        <v>47.739107872256099</v>
      </c>
      <c r="BG14" s="1111">
        <v>11.199575379599301</v>
      </c>
      <c r="BH14" s="1111">
        <v>16.147751751355401</v>
      </c>
      <c r="BI14" s="1111">
        <v>2906.9285031630702</v>
      </c>
      <c r="BJ14" s="1111">
        <v>9.6419792387543204</v>
      </c>
      <c r="BK14" s="1111">
        <v>53.990772861633097</v>
      </c>
      <c r="BL14" s="1111">
        <v>282.284474138723</v>
      </c>
      <c r="BM14" s="1111">
        <v>237.41323967264199</v>
      </c>
      <c r="BN14" s="1111">
        <v>13.171595436193501</v>
      </c>
      <c r="BO14" s="1111">
        <v>8.1363663856418693</v>
      </c>
      <c r="BP14" s="1111">
        <v>995.97737962681003</v>
      </c>
      <c r="BQ14" s="1111">
        <v>0</v>
      </c>
      <c r="BR14" s="1111">
        <v>676.80840979147797</v>
      </c>
      <c r="BS14" s="1111">
        <v>368.04254525104699</v>
      </c>
      <c r="BT14" s="1111">
        <v>183.75435971223001</v>
      </c>
      <c r="BU14" s="1111">
        <v>44.115000000000002</v>
      </c>
      <c r="BV14" s="1111">
        <v>8.1338884049907403</v>
      </c>
      <c r="BW14" s="1111">
        <v>225.22126593943</v>
      </c>
      <c r="BX14" s="1111">
        <v>707.66469064748196</v>
      </c>
      <c r="BY14" s="1111">
        <v>1048.3800000000001</v>
      </c>
      <c r="BZ14" s="1111">
        <v>56.567496634708398</v>
      </c>
      <c r="CA14" s="1111">
        <v>2023.0042942570001</v>
      </c>
      <c r="CB14" s="1111">
        <v>560.38066187050299</v>
      </c>
      <c r="CC14" s="1111">
        <v>230.95500000000001</v>
      </c>
      <c r="CD14" s="1111">
        <v>12.940277007939899</v>
      </c>
      <c r="CE14" s="1111">
        <v>647.305554773469</v>
      </c>
      <c r="CF14" s="1111">
        <v>399.06958273381298</v>
      </c>
      <c r="CG14" s="1111">
        <v>557.92499999999995</v>
      </c>
      <c r="CH14" s="1111">
        <v>56.6367765937527</v>
      </c>
      <c r="CI14" s="1111">
        <v>1023.9369127518401</v>
      </c>
      <c r="CJ14" s="1111">
        <v>13.013353169628999</v>
      </c>
      <c r="CK14" s="1111">
        <v>12.9159498052154</v>
      </c>
      <c r="CL14" s="1111">
        <v>71.5476079718336</v>
      </c>
      <c r="CM14" s="1111">
        <v>0</v>
      </c>
      <c r="CN14" s="1111">
        <v>1255.4885466221299</v>
      </c>
      <c r="CO14" s="1111">
        <v>0.86499999999999999</v>
      </c>
      <c r="CP14" s="1111">
        <v>8.3964344411381493</v>
      </c>
      <c r="CQ14" s="1111">
        <v>3.66839822554984</v>
      </c>
      <c r="CR14" s="1111">
        <v>105.67240788243799</v>
      </c>
      <c r="CS14" s="1111">
        <v>6.8276567565754496</v>
      </c>
      <c r="CT14" s="1111">
        <v>2.2920126437892701</v>
      </c>
      <c r="CU14" s="1111">
        <v>0.46860000000000002</v>
      </c>
      <c r="CV14" s="1111">
        <v>18.8355340744321</v>
      </c>
      <c r="CW14" s="1111">
        <v>215.613235860738</v>
      </c>
      <c r="CX14" s="1111">
        <v>1647.9759346942401</v>
      </c>
      <c r="CY14" s="1111">
        <v>135.48107613774999</v>
      </c>
      <c r="CZ14" s="1111">
        <v>481.89900000000102</v>
      </c>
      <c r="DA14" s="1111">
        <v>436.52286773093499</v>
      </c>
      <c r="DB14" s="1111">
        <v>18.180014459131101</v>
      </c>
      <c r="DC14" s="1111">
        <v>10.2326199891068</v>
      </c>
      <c r="DD14" s="1111">
        <v>1.8210051029379899</v>
      </c>
      <c r="DE14" s="1111">
        <v>1378.7206249011799</v>
      </c>
      <c r="DF14" s="1111">
        <v>1150.074101979</v>
      </c>
      <c r="DG14" s="1111">
        <v>577.27613278788897</v>
      </c>
      <c r="DH14" s="1111">
        <v>2214.0510229174301</v>
      </c>
      <c r="DI14" s="1111">
        <v>61.320643891837399</v>
      </c>
      <c r="DJ14" s="1111">
        <v>60.769973926286703</v>
      </c>
      <c r="DK14" s="1111">
        <v>54.51</v>
      </c>
      <c r="DL14" s="1111">
        <v>0</v>
      </c>
      <c r="DM14" s="1111">
        <v>193.397248992654</v>
      </c>
      <c r="DN14" s="1111">
        <v>17.857064196525702</v>
      </c>
      <c r="DO14" s="1111">
        <v>204.32125714208601</v>
      </c>
      <c r="DP14" s="1111">
        <v>111.108128149051</v>
      </c>
      <c r="DQ14" s="1111">
        <v>1.6785016254648899</v>
      </c>
      <c r="DR14" s="1111">
        <v>12.163875608481099</v>
      </c>
      <c r="DS14" s="1111">
        <v>0</v>
      </c>
      <c r="DT14" s="1111">
        <v>1.4998704087058401</v>
      </c>
      <c r="DU14" s="1111">
        <v>2.46538406717937E-2</v>
      </c>
      <c r="DV14" s="1111">
        <v>0.72539618701604602</v>
      </c>
      <c r="DW14" s="1111">
        <v>0</v>
      </c>
      <c r="DX14" s="1111">
        <v>0.590627782073046</v>
      </c>
      <c r="DY14" s="1111">
        <v>18.627105759861799</v>
      </c>
      <c r="DZ14" s="1111">
        <v>95.904186428346193</v>
      </c>
      <c r="EA14" s="1111">
        <v>1.2979128708298999</v>
      </c>
      <c r="EB14" s="1111">
        <v>31.350352974208899</v>
      </c>
      <c r="EC14" s="1111">
        <v>0</v>
      </c>
      <c r="ED14" s="1111">
        <v>11.358307729191999</v>
      </c>
      <c r="EE14" s="1111">
        <v>9.49964560270804E-2</v>
      </c>
      <c r="EF14" s="1111">
        <v>10.4869433485872</v>
      </c>
      <c r="EG14" s="1111">
        <v>0</v>
      </c>
      <c r="EH14" s="1111">
        <v>11.7599022989068</v>
      </c>
      <c r="EI14" s="1111">
        <v>0.82512381712157801</v>
      </c>
      <c r="EJ14" s="1111">
        <v>253.98203335663999</v>
      </c>
      <c r="EK14" s="1111">
        <v>6583.0463248802798</v>
      </c>
      <c r="EL14" s="1111">
        <v>741.98122735048605</v>
      </c>
      <c r="EM14" s="1111">
        <v>8528.9034519102097</v>
      </c>
      <c r="EN14" s="1111">
        <v>916.72814989191704</v>
      </c>
      <c r="EO14" s="1111">
        <v>2546.8910593062501</v>
      </c>
      <c r="EP14" s="1111">
        <v>394.06597293980599</v>
      </c>
      <c r="EQ14" s="1111">
        <v>564.98909396121496</v>
      </c>
      <c r="ER14" s="1111">
        <v>806.85291910898195</v>
      </c>
      <c r="ES14" s="1111">
        <v>748.53653941835103</v>
      </c>
      <c r="ET14" s="1111">
        <v>780.29178968518795</v>
      </c>
      <c r="EU14" s="1111">
        <v>225.35730397542</v>
      </c>
      <c r="EV14" s="1111">
        <v>370.42245557121601</v>
      </c>
      <c r="EW14" s="1111">
        <v>329.62406313231998</v>
      </c>
      <c r="EX14" s="1111">
        <v>1117.8887904697101</v>
      </c>
      <c r="EY14" s="1111">
        <v>1137.41704248265</v>
      </c>
      <c r="EZ14" s="1111">
        <v>1026.31414950623</v>
      </c>
      <c r="FA14" s="1111">
        <v>400.248105730296</v>
      </c>
      <c r="FB14" s="1111">
        <v>852.10053836888096</v>
      </c>
      <c r="FC14" s="1111">
        <v>109.385112620355</v>
      </c>
      <c r="FD14" s="1111">
        <v>1359.3520378918499</v>
      </c>
      <c r="FE14" s="1111">
        <v>597.93873551449997</v>
      </c>
      <c r="FF14" s="1111">
        <v>58.258129591402103</v>
      </c>
      <c r="FG14" s="1111">
        <v>9.9600723158134006</v>
      </c>
      <c r="FH14" s="1111">
        <v>0.26494886893341302</v>
      </c>
      <c r="FI14" s="1111">
        <v>2.56048291150866</v>
      </c>
      <c r="FJ14" s="1111">
        <v>57.381724663120998</v>
      </c>
      <c r="FK14" s="1111">
        <v>14.4337772305939</v>
      </c>
      <c r="FL14" s="1111">
        <v>0</v>
      </c>
      <c r="FM14" s="1111">
        <v>0</v>
      </c>
      <c r="FN14" s="1111">
        <v>0</v>
      </c>
      <c r="FO14" s="1111">
        <v>132.91120618672699</v>
      </c>
      <c r="FP14" s="1111">
        <v>119.398725673691</v>
      </c>
      <c r="FQ14" s="1111">
        <v>126.686326241994</v>
      </c>
      <c r="FR14" s="1111">
        <v>0</v>
      </c>
      <c r="FS14" s="1111">
        <v>716.15164874001903</v>
      </c>
      <c r="FT14" s="1111">
        <v>1503.78033539735</v>
      </c>
      <c r="FU14" s="1111">
        <v>0.68747624736546598</v>
      </c>
      <c r="FV14" s="1111">
        <v>0</v>
      </c>
      <c r="FW14" s="1111">
        <v>0</v>
      </c>
      <c r="FX14" s="1111">
        <v>31.996940142913299</v>
      </c>
      <c r="FY14" s="1111">
        <v>27.329908064239699</v>
      </c>
      <c r="FZ14" s="1111">
        <v>23.103448210832401</v>
      </c>
      <c r="GA14" s="1111">
        <v>0</v>
      </c>
      <c r="GB14" s="1111">
        <v>0</v>
      </c>
      <c r="GC14" s="1111">
        <v>12.8123584971898</v>
      </c>
      <c r="GD14" s="1111">
        <v>0</v>
      </c>
      <c r="GE14" s="1111">
        <v>3.95202634346091</v>
      </c>
      <c r="GF14" s="1111">
        <v>0</v>
      </c>
      <c r="GG14" s="1111">
        <v>10.935525744689</v>
      </c>
      <c r="GH14" s="1111">
        <v>1.63904476396427</v>
      </c>
      <c r="GI14" s="1111">
        <v>0.91987206140852495</v>
      </c>
      <c r="GJ14" s="1111">
        <v>1.3408407523201</v>
      </c>
      <c r="GK14" s="1111">
        <v>5.5983831526678403</v>
      </c>
      <c r="GL14" s="1111">
        <v>67.145700643885803</v>
      </c>
      <c r="GM14" s="1111">
        <v>138.964712727273</v>
      </c>
      <c r="GN14" s="1111">
        <v>0</v>
      </c>
      <c r="GO14" s="1111">
        <v>147.05000000000001</v>
      </c>
      <c r="GP14" s="1111">
        <v>299.68629909800899</v>
      </c>
      <c r="GQ14" s="1111">
        <v>2930.0195230314398</v>
      </c>
      <c r="GR14" s="1111">
        <v>0</v>
      </c>
      <c r="GS14" s="1111">
        <v>0</v>
      </c>
      <c r="GT14" s="1111">
        <v>10.308</v>
      </c>
      <c r="GU14" s="1111">
        <v>363.009861818182</v>
      </c>
      <c r="GV14" s="1111">
        <v>0</v>
      </c>
      <c r="GW14" s="1111">
        <v>727.46500000000003</v>
      </c>
      <c r="GX14" s="1111">
        <v>496.75703009615302</v>
      </c>
      <c r="GY14" s="1111">
        <v>2049.3191489629098</v>
      </c>
      <c r="GZ14" s="1111">
        <v>0</v>
      </c>
      <c r="HA14" s="1111">
        <v>10.308</v>
      </c>
      <c r="HB14" s="1111">
        <v>0</v>
      </c>
      <c r="HC14" s="1111">
        <v>0</v>
      </c>
      <c r="HD14" s="1111">
        <v>0</v>
      </c>
      <c r="HE14" s="1111">
        <v>128.484271651217</v>
      </c>
      <c r="HF14" s="1111">
        <v>8.0931888766712508</v>
      </c>
      <c r="HG14" s="1111">
        <v>1711.1279999999999</v>
      </c>
      <c r="HH14" s="1111">
        <v>1769.29518586158</v>
      </c>
      <c r="HI14" s="1111">
        <v>1356.2749668874201</v>
      </c>
      <c r="HJ14" s="1111">
        <v>153.66604583695599</v>
      </c>
      <c r="HK14" s="1111">
        <v>11.244999999999999</v>
      </c>
      <c r="HL14" s="1111">
        <v>214.435650860431</v>
      </c>
      <c r="HM14" s="1111">
        <v>314.43422683860501</v>
      </c>
      <c r="HN14" s="1111">
        <v>16432.3583250542</v>
      </c>
      <c r="HO14" s="1111">
        <v>148.74133333333299</v>
      </c>
      <c r="HP14" s="1111">
        <v>714.16</v>
      </c>
      <c r="HQ14" s="1111">
        <v>0</v>
      </c>
      <c r="HR14" s="1111">
        <v>69.753438135086</v>
      </c>
      <c r="HS14" s="1111">
        <v>7.72500737954479</v>
      </c>
      <c r="HT14" s="1111">
        <v>78.048029592455606</v>
      </c>
      <c r="HU14" s="1111">
        <v>10.308</v>
      </c>
      <c r="HV14" s="1111">
        <v>8.7705467128027692</v>
      </c>
      <c r="HW14" s="1111">
        <v>0</v>
      </c>
      <c r="HX14" s="1111">
        <v>123.69499999999999</v>
      </c>
      <c r="HY14" s="1111">
        <v>61.152133947262598</v>
      </c>
      <c r="HZ14" s="1111">
        <v>0</v>
      </c>
      <c r="IA14" s="1111">
        <v>1239.944846764</v>
      </c>
      <c r="IB14" s="1111">
        <v>0.51326529428571399</v>
      </c>
      <c r="IC14" s="1111">
        <v>94.978010200602398</v>
      </c>
      <c r="ID14" s="1111">
        <v>221.58454142704099</v>
      </c>
      <c r="IE14" s="1111">
        <v>0</v>
      </c>
      <c r="IF14" s="1111">
        <v>777.73860000000002</v>
      </c>
      <c r="IG14" s="1111">
        <v>304.07195535620099</v>
      </c>
      <c r="IH14" s="1111">
        <v>2113.9492714068001</v>
      </c>
      <c r="II14" s="1111">
        <v>0</v>
      </c>
      <c r="IJ14" s="1111">
        <v>205.35</v>
      </c>
      <c r="IK14" s="1111">
        <v>10.586826065652801</v>
      </c>
      <c r="IL14" s="1111">
        <v>245.37236308045999</v>
      </c>
      <c r="IM14" s="1111">
        <v>36.966915765753399</v>
      </c>
      <c r="IN14" s="1111">
        <v>199.06787029261301</v>
      </c>
      <c r="IO14" s="1111">
        <v>123.299533465831</v>
      </c>
      <c r="IP14" s="1111">
        <v>0.116000871012572</v>
      </c>
      <c r="IQ14" s="1111">
        <v>4.27744611491004</v>
      </c>
      <c r="IR14" s="1111">
        <v>3.5272523208122603E-2</v>
      </c>
      <c r="IS14" s="1111">
        <v>0.56704851438299098</v>
      </c>
      <c r="IT14" s="1111">
        <v>0.201009616197483</v>
      </c>
      <c r="IU14" s="1111">
        <v>1235.99657114768</v>
      </c>
      <c r="IV14" s="1111">
        <v>52.112413949144901</v>
      </c>
      <c r="IW14" s="1111">
        <v>2361.1425227891</v>
      </c>
      <c r="IX14" s="1111">
        <v>1736.67554</v>
      </c>
      <c r="IY14" s="1111">
        <v>344.025514856482</v>
      </c>
      <c r="IZ14" s="1111">
        <v>28.329630841911801</v>
      </c>
      <c r="JA14" s="1111">
        <v>26.723123771594299</v>
      </c>
      <c r="JB14" s="1111">
        <v>49.601449853678197</v>
      </c>
      <c r="JC14" s="1111">
        <v>140.90894552391001</v>
      </c>
      <c r="JD14" s="1111">
        <v>34.878317941569399</v>
      </c>
      <c r="JE14" s="1111">
        <v>2037.6939332766999</v>
      </c>
      <c r="JF14" s="1111">
        <v>161.115426694603</v>
      </c>
      <c r="JG14" s="1111">
        <v>368.279025795753</v>
      </c>
      <c r="JH14" s="1111">
        <v>0</v>
      </c>
      <c r="JI14" s="1111">
        <v>28.536018938585102</v>
      </c>
      <c r="JJ14" s="1111">
        <v>63.149718666889001</v>
      </c>
      <c r="JK14" s="1111">
        <v>135.74187101328701</v>
      </c>
      <c r="JL14" s="1111">
        <v>0</v>
      </c>
      <c r="JM14" s="1111">
        <v>1.5409090909090899</v>
      </c>
      <c r="JN14" s="1111">
        <v>35.727272727272798</v>
      </c>
      <c r="JO14" s="1111">
        <v>119.22245454545499</v>
      </c>
      <c r="JP14" s="1111">
        <v>1124.3812358039099</v>
      </c>
      <c r="JQ14" s="1111">
        <v>1728.6685611212999</v>
      </c>
      <c r="JR14" s="1111">
        <v>33.9754</v>
      </c>
      <c r="JS14" s="1111">
        <v>9.4784021949073303</v>
      </c>
      <c r="JT14" s="1111">
        <v>9.0598200000000002</v>
      </c>
      <c r="JU14" s="1111">
        <v>2.6715</v>
      </c>
      <c r="JV14" s="1111">
        <v>1.8072600000000001</v>
      </c>
      <c r="JW14" s="1111">
        <v>338.43988585609901</v>
      </c>
      <c r="JX14" s="1111">
        <v>267.51140345353298</v>
      </c>
      <c r="JY14" s="1111">
        <v>25.879899999999999</v>
      </c>
      <c r="JZ14" s="1111">
        <v>688.59001080452003</v>
      </c>
      <c r="KA14" s="1111">
        <v>97.913659999999894</v>
      </c>
      <c r="KB14" s="1111">
        <v>253.34131881227799</v>
      </c>
      <c r="KC14" s="1111">
        <v>459.26673260018998</v>
      </c>
      <c r="KD14" s="1111">
        <v>74.207432177926606</v>
      </c>
      <c r="KE14" s="1111">
        <v>48.621935162458101</v>
      </c>
      <c r="KF14" s="1111">
        <v>10.346228524807101</v>
      </c>
      <c r="KG14" s="1111">
        <v>3.7460482589818702</v>
      </c>
      <c r="KH14" s="1111">
        <v>7.74333057956113</v>
      </c>
      <c r="KI14" s="1111">
        <v>0</v>
      </c>
      <c r="KJ14" s="1111">
        <v>314.60175789645803</v>
      </c>
      <c r="KK14" s="1111">
        <v>276.97067399274999</v>
      </c>
      <c r="KL14" s="1111">
        <v>189.316678915284</v>
      </c>
      <c r="KM14" s="1111">
        <v>87.653995077464401</v>
      </c>
      <c r="KN14" s="1111">
        <v>57.776605135772002</v>
      </c>
      <c r="KO14" s="1111">
        <v>57.776482136685203</v>
      </c>
      <c r="KP14" s="1111">
        <v>1.22999086451547E-4</v>
      </c>
      <c r="KQ14" s="1111">
        <v>-4500.5671888028</v>
      </c>
      <c r="KR14" s="1111">
        <v>-4382.3424197273498</v>
      </c>
      <c r="KS14" s="1111">
        <v>6.5022302249896198</v>
      </c>
      <c r="KT14" s="1111">
        <v>-3.2375057833348402</v>
      </c>
      <c r="KU14" s="1111">
        <v>-119.507518454454</v>
      </c>
      <c r="KV14" s="1111">
        <v>-1.9819750626478401</v>
      </c>
      <c r="KW14" s="1111">
        <v>0</v>
      </c>
      <c r="KX14" s="1111">
        <v>3905.2500762944001</v>
      </c>
      <c r="KY14" s="1111">
        <v>0.10478815598546599</v>
      </c>
      <c r="KZ14" s="1111">
        <v>837.91085463096294</v>
      </c>
      <c r="LA14" s="1111">
        <v>0.37871464365170399</v>
      </c>
      <c r="LB14" s="1111">
        <v>0.21058009420871601</v>
      </c>
      <c r="LC14" s="1111">
        <v>3094.4324698167302</v>
      </c>
      <c r="LD14" s="1111">
        <v>-27.7873310471678</v>
      </c>
      <c r="LE14" s="1111">
        <v>-2066.2391265166002</v>
      </c>
      <c r="LF14" s="1111">
        <v>48.217500000000001</v>
      </c>
      <c r="LG14" s="1111">
        <v>-702.373218771035</v>
      </c>
      <c r="LH14" s="1111">
        <v>9.4058664727423</v>
      </c>
      <c r="LI14" s="1111">
        <v>5.3079902730303896</v>
      </c>
      <c r="LJ14" s="1111">
        <v>-1245.1812057340001</v>
      </c>
      <c r="LK14" s="1111">
        <v>-2.8062775437762202</v>
      </c>
      <c r="LL14" s="1111">
        <v>-178.80978121353101</v>
      </c>
      <c r="LM14" s="1111">
        <v>157.15297322581</v>
      </c>
      <c r="LN14" s="1111">
        <v>157.14174173396501</v>
      </c>
      <c r="LO14" s="1111">
        <v>1.12314918414918E-2</v>
      </c>
      <c r="LP14" s="1111">
        <v>0</v>
      </c>
      <c r="LQ14" s="1111">
        <v>1845.8457260548</v>
      </c>
      <c r="LR14" s="1111">
        <v>487.60341611441999</v>
      </c>
      <c r="LS14" s="1111">
        <v>10.2510149309888</v>
      </c>
      <c r="LT14" s="1111">
        <v>28.783869792876001</v>
      </c>
      <c r="LU14" s="1111">
        <v>185.78381921117099</v>
      </c>
      <c r="LV14" s="1111">
        <v>1133.4236060053199</v>
      </c>
      <c r="LW14" s="1111">
        <v>0</v>
      </c>
      <c r="LX14" s="1111">
        <v>0</v>
      </c>
      <c r="LY14" s="1111">
        <v>-401.81178916285</v>
      </c>
      <c r="LZ14" s="1111">
        <v>-351.72617058028101</v>
      </c>
      <c r="MA14" s="1111">
        <v>-50.085618582573296</v>
      </c>
      <c r="MB14" s="1111">
        <v>278.71080616176999</v>
      </c>
      <c r="MC14" s="1111">
        <v>105.178717874607</v>
      </c>
      <c r="MD14" s="1111">
        <v>103.882723167164</v>
      </c>
      <c r="ME14" s="1111">
        <v>69.649365119999999</v>
      </c>
      <c r="MF14" s="1111">
        <v>5118.4590488741997</v>
      </c>
      <c r="MG14" s="1111">
        <v>0.22804234296576201</v>
      </c>
      <c r="MH14" s="1111">
        <v>422.818710112985</v>
      </c>
      <c r="MI14" s="1111">
        <v>0.53514975128312503</v>
      </c>
      <c r="MJ14" s="1111">
        <v>2.08031358375607</v>
      </c>
      <c r="MK14" s="1111">
        <v>4692.79683308326</v>
      </c>
      <c r="ML14" s="1111">
        <v>2224.3459665902001</v>
      </c>
      <c r="MM14" s="1111">
        <v>1162.8981357475</v>
      </c>
      <c r="MN14" s="1111">
        <v>1061.4478308426999</v>
      </c>
    </row>
    <row r="15" spans="1:352" ht="13.9" x14ac:dyDescent="0.4">
      <c r="A15" s="1096">
        <v>1995</v>
      </c>
      <c r="B15" s="1145">
        <v>144888.47705389</v>
      </c>
      <c r="C15" s="1111">
        <v>51.128946585818298</v>
      </c>
      <c r="D15" s="1111">
        <v>0</v>
      </c>
      <c r="E15" s="1111">
        <v>34686.779747651002</v>
      </c>
      <c r="F15" s="1111">
        <v>0</v>
      </c>
      <c r="G15" s="1111">
        <v>1829.72673152935</v>
      </c>
      <c r="H15" s="1111">
        <v>181.929108070468</v>
      </c>
      <c r="I15" s="1111">
        <v>0</v>
      </c>
      <c r="J15" s="1111">
        <v>5335.4363551680999</v>
      </c>
      <c r="K15" s="1111">
        <v>0</v>
      </c>
      <c r="L15" s="1111">
        <v>762.41</v>
      </c>
      <c r="M15" s="1111">
        <v>0</v>
      </c>
      <c r="N15" s="1111">
        <v>148.06125946669701</v>
      </c>
      <c r="O15" s="1111">
        <v>24.579564323671601</v>
      </c>
      <c r="P15" s="1111">
        <v>1716.3580084167399</v>
      </c>
      <c r="Q15" s="1111">
        <v>111.369806597299</v>
      </c>
      <c r="R15" s="1111">
        <v>0</v>
      </c>
      <c r="S15" s="1111">
        <v>0</v>
      </c>
      <c r="T15" s="1111">
        <v>2058.6999999999998</v>
      </c>
      <c r="U15" s="1111">
        <v>87.769000000000005</v>
      </c>
      <c r="V15" s="1111">
        <v>7.1852593266606002</v>
      </c>
      <c r="W15" s="1111">
        <v>25.6</v>
      </c>
      <c r="X15" s="1111">
        <v>71.7292199639665</v>
      </c>
      <c r="Y15" s="1111">
        <v>122.731210930307</v>
      </c>
      <c r="Z15" s="1111">
        <v>2059.5471834919799</v>
      </c>
      <c r="AA15" s="1111">
        <v>0</v>
      </c>
      <c r="AB15" s="1111">
        <v>1066.71</v>
      </c>
      <c r="AC15" s="1111">
        <v>276.05658914829797</v>
      </c>
      <c r="AD15" s="1111">
        <v>164.54840067098399</v>
      </c>
      <c r="AE15" s="1111">
        <v>0</v>
      </c>
      <c r="AF15" s="1111">
        <v>0.54946818080316595</v>
      </c>
      <c r="AG15" s="1111">
        <v>0</v>
      </c>
      <c r="AH15" s="1111">
        <v>0</v>
      </c>
      <c r="AI15" s="1111">
        <v>430.32963631328801</v>
      </c>
      <c r="AJ15" s="1111">
        <v>2397.3359804320298</v>
      </c>
      <c r="AK15" s="1111">
        <v>1.5772520473157401</v>
      </c>
      <c r="AL15" s="1111">
        <v>446.06417168218701</v>
      </c>
      <c r="AM15" s="1111">
        <v>13.080045548223501</v>
      </c>
      <c r="AN15" s="1111">
        <v>818.26641725438299</v>
      </c>
      <c r="AO15" s="1111">
        <v>5.3402517482517498</v>
      </c>
      <c r="AP15" s="1111">
        <v>0</v>
      </c>
      <c r="AQ15" s="1111">
        <v>23.908034738572901</v>
      </c>
      <c r="AR15" s="1111">
        <v>18.3822082305058</v>
      </c>
      <c r="AS15" s="1111">
        <v>0</v>
      </c>
      <c r="AT15" s="1111">
        <v>34.290627843494001</v>
      </c>
      <c r="AU15" s="1111">
        <v>193.75678359119399</v>
      </c>
      <c r="AV15" s="1111">
        <v>0</v>
      </c>
      <c r="AW15" s="1111">
        <v>0</v>
      </c>
      <c r="AX15" s="1111">
        <v>23.3274218577344</v>
      </c>
      <c r="AY15" s="1111">
        <v>0</v>
      </c>
      <c r="AZ15" s="1111">
        <v>0</v>
      </c>
      <c r="BA15" s="1111">
        <v>0</v>
      </c>
      <c r="BB15" s="1111">
        <v>0</v>
      </c>
      <c r="BC15" s="1111">
        <v>0</v>
      </c>
      <c r="BD15" s="1111">
        <v>0</v>
      </c>
      <c r="BE15" s="1111">
        <v>1384.4186249796601</v>
      </c>
      <c r="BF15" s="1111">
        <v>39.434943188788601</v>
      </c>
      <c r="BG15" s="1111">
        <v>11.199575379599301</v>
      </c>
      <c r="BH15" s="1111">
        <v>21.679017315324799</v>
      </c>
      <c r="BI15" s="1111">
        <v>2910.7427438192699</v>
      </c>
      <c r="BJ15" s="1111">
        <v>5.9032525951557098</v>
      </c>
      <c r="BK15" s="1111">
        <v>11.6511191607414</v>
      </c>
      <c r="BL15" s="1111">
        <v>282.63868021527003</v>
      </c>
      <c r="BM15" s="1111">
        <v>219.494390491036</v>
      </c>
      <c r="BN15" s="1111">
        <v>13.1742318644233</v>
      </c>
      <c r="BO15" s="1111">
        <v>7.96111615816233</v>
      </c>
      <c r="BP15" s="1111">
        <v>998.43363617215198</v>
      </c>
      <c r="BQ15" s="1111">
        <v>0</v>
      </c>
      <c r="BR15" s="1111">
        <v>712.52767799517801</v>
      </c>
      <c r="BS15" s="1111">
        <v>266.27632032199699</v>
      </c>
      <c r="BT15" s="1111">
        <v>155.14989208633099</v>
      </c>
      <c r="BU15" s="1111">
        <v>33.734999999999999</v>
      </c>
      <c r="BV15" s="1111">
        <v>7.1409349147891703</v>
      </c>
      <c r="BW15" s="1111">
        <v>214.44244547163501</v>
      </c>
      <c r="BX15" s="1111">
        <v>567.30895323741004</v>
      </c>
      <c r="BY15" s="1111">
        <v>691.13499999999999</v>
      </c>
      <c r="BZ15" s="1111">
        <v>49.661956452851904</v>
      </c>
      <c r="CA15" s="1111">
        <v>1991.67230045308</v>
      </c>
      <c r="CB15" s="1111">
        <v>318.39456115107902</v>
      </c>
      <c r="CC15" s="1111">
        <v>163.48500000000001</v>
      </c>
      <c r="CD15" s="1111">
        <v>11.360578273528199</v>
      </c>
      <c r="CE15" s="1111">
        <v>735.83779740103898</v>
      </c>
      <c r="CF15" s="1111">
        <v>312.32347841726602</v>
      </c>
      <c r="CG15" s="1111">
        <v>428.17500000000001</v>
      </c>
      <c r="CH15" s="1111">
        <v>49.8103000910288</v>
      </c>
      <c r="CI15" s="1111">
        <v>1217.8712469238201</v>
      </c>
      <c r="CJ15" s="1111">
        <v>14.7513939789073</v>
      </c>
      <c r="CK15" s="1111">
        <v>12.510084552048999</v>
      </c>
      <c r="CL15" s="1111">
        <v>78.820612093522698</v>
      </c>
      <c r="CM15" s="1111">
        <v>0</v>
      </c>
      <c r="CN15" s="1111">
        <v>1106.13866984686</v>
      </c>
      <c r="CO15" s="1111">
        <v>0.86499999999999999</v>
      </c>
      <c r="CP15" s="1111">
        <v>8.4872753238451892</v>
      </c>
      <c r="CQ15" s="1111">
        <v>3.4734135040454701</v>
      </c>
      <c r="CR15" s="1111">
        <v>119.919234775744</v>
      </c>
      <c r="CS15" s="1111">
        <v>13.8829020717034</v>
      </c>
      <c r="CT15" s="1111">
        <v>4.0746891445142603</v>
      </c>
      <c r="CU15" s="1111">
        <v>2.0306000000000002</v>
      </c>
      <c r="CV15" s="1111">
        <v>33.4853939101015</v>
      </c>
      <c r="CW15" s="1111">
        <v>218.96126747348299</v>
      </c>
      <c r="CX15" s="1111">
        <v>1673.5656231211699</v>
      </c>
      <c r="CY15" s="1111">
        <v>137.58481955603901</v>
      </c>
      <c r="CZ15" s="1111">
        <v>547.18299999999999</v>
      </c>
      <c r="DA15" s="1111">
        <v>632.95777537297397</v>
      </c>
      <c r="DB15" s="1111">
        <v>0</v>
      </c>
      <c r="DC15" s="1111">
        <v>6.2182844549187601</v>
      </c>
      <c r="DD15" s="1111">
        <v>11.9246463192391</v>
      </c>
      <c r="DE15" s="1111">
        <v>1008.74915159619</v>
      </c>
      <c r="DF15" s="1111">
        <v>1009.67752451307</v>
      </c>
      <c r="DG15" s="1111">
        <v>610.30741282129895</v>
      </c>
      <c r="DH15" s="1111">
        <v>1891.07990393006</v>
      </c>
      <c r="DI15" s="1111">
        <v>68.2587533504812</v>
      </c>
      <c r="DJ15" s="1111">
        <v>85.942008001867194</v>
      </c>
      <c r="DK15" s="1111">
        <v>49.77</v>
      </c>
      <c r="DL15" s="1111">
        <v>0</v>
      </c>
      <c r="DM15" s="1111">
        <v>220.50158730470301</v>
      </c>
      <c r="DN15" s="1111">
        <v>20.652838580988998</v>
      </c>
      <c r="DO15" s="1111">
        <v>682.30930084030899</v>
      </c>
      <c r="DP15" s="1111">
        <v>254.98351230429</v>
      </c>
      <c r="DQ15" s="1111">
        <v>1.69250917344489</v>
      </c>
      <c r="DR15" s="1111">
        <v>12.6054381754497</v>
      </c>
      <c r="DS15" s="1111">
        <v>0</v>
      </c>
      <c r="DT15" s="1111">
        <v>1.3420657668064599</v>
      </c>
      <c r="DU15" s="1111">
        <v>0</v>
      </c>
      <c r="DV15" s="1111">
        <v>0.70972419094732997</v>
      </c>
      <c r="DW15" s="1111">
        <v>0</v>
      </c>
      <c r="DX15" s="1111">
        <v>0.66617826608609798</v>
      </c>
      <c r="DY15" s="1111">
        <v>19.4457021137505</v>
      </c>
      <c r="DZ15" s="1111">
        <v>101.000931227458</v>
      </c>
      <c r="EA15" s="1111">
        <v>1.2551332029728599</v>
      </c>
      <c r="EB15" s="1111">
        <v>31.502886256139401</v>
      </c>
      <c r="EC15" s="1111">
        <v>0</v>
      </c>
      <c r="ED15" s="1111">
        <v>10.593632211566799</v>
      </c>
      <c r="EE15" s="1111">
        <v>0</v>
      </c>
      <c r="EF15" s="1111">
        <v>7.7258441283882204</v>
      </c>
      <c r="EG15" s="1111">
        <v>0</v>
      </c>
      <c r="EH15" s="1111">
        <v>13.340418221887299</v>
      </c>
      <c r="EI15" s="1111">
        <v>0.41182404653627203</v>
      </c>
      <c r="EJ15" s="1111">
        <v>269.29666610787802</v>
      </c>
      <c r="EK15" s="1111">
        <v>6372.8976436344201</v>
      </c>
      <c r="EL15" s="1111">
        <v>876.61319938950498</v>
      </c>
      <c r="EM15" s="1111">
        <v>8193.4509082214208</v>
      </c>
      <c r="EN15" s="1111">
        <v>1052.5048154747999</v>
      </c>
      <c r="EO15" s="1111">
        <v>2502.4179877810998</v>
      </c>
      <c r="EP15" s="1111">
        <v>472.394380937741</v>
      </c>
      <c r="EQ15" s="1111">
        <v>498.73887111309</v>
      </c>
      <c r="ER15" s="1111">
        <v>873.78245546488404</v>
      </c>
      <c r="ES15" s="1111">
        <v>657.85093953519799</v>
      </c>
      <c r="ET15" s="1111">
        <v>840.74967854992894</v>
      </c>
      <c r="EU15" s="1111">
        <v>209.07777133236601</v>
      </c>
      <c r="EV15" s="1111">
        <v>421.80235260587898</v>
      </c>
      <c r="EW15" s="1111">
        <v>332.44824952097503</v>
      </c>
      <c r="EX15" s="1111">
        <v>1114.50494805483</v>
      </c>
      <c r="EY15" s="1111">
        <v>1109.6493904404999</v>
      </c>
      <c r="EZ15" s="1111">
        <v>1045.00198898131</v>
      </c>
      <c r="FA15" s="1111">
        <v>388.59925270314301</v>
      </c>
      <c r="FB15" s="1111">
        <v>794.43490438961896</v>
      </c>
      <c r="FC15" s="1111">
        <v>106.835027436217</v>
      </c>
      <c r="FD15" s="1111">
        <v>1377.9902867445201</v>
      </c>
      <c r="FE15" s="1111">
        <v>595.52705571080901</v>
      </c>
      <c r="FF15" s="1111">
        <v>57.168588204720798</v>
      </c>
      <c r="FG15" s="1111">
        <v>8.8036919470976205</v>
      </c>
      <c r="FH15" s="1111">
        <v>0.24249446210707901</v>
      </c>
      <c r="FI15" s="1111">
        <v>2.4378304248835101</v>
      </c>
      <c r="FJ15" s="1111">
        <v>57.808060095877501</v>
      </c>
      <c r="FK15" s="1111">
        <v>13.6681934330777</v>
      </c>
      <c r="FL15" s="1111">
        <v>0</v>
      </c>
      <c r="FM15" s="1111">
        <v>0</v>
      </c>
      <c r="FN15" s="1111">
        <v>0</v>
      </c>
      <c r="FO15" s="1111">
        <v>142.74741612710699</v>
      </c>
      <c r="FP15" s="1111">
        <v>128.49102467137899</v>
      </c>
      <c r="FQ15" s="1111">
        <v>129.651599500549</v>
      </c>
      <c r="FR15" s="1111">
        <v>0</v>
      </c>
      <c r="FS15" s="1111">
        <v>754.65348951565795</v>
      </c>
      <c r="FT15" s="1111">
        <v>1560.01348006636</v>
      </c>
      <c r="FU15" s="1111">
        <v>0.73838941614156295</v>
      </c>
      <c r="FV15" s="1111">
        <v>0</v>
      </c>
      <c r="FW15" s="1111">
        <v>0</v>
      </c>
      <c r="FX15" s="1111">
        <v>34.366571995733999</v>
      </c>
      <c r="FY15" s="1111">
        <v>27.587737385600398</v>
      </c>
      <c r="FZ15" s="1111">
        <v>24.325666015491901</v>
      </c>
      <c r="GA15" s="1111">
        <v>0</v>
      </c>
      <c r="GB15" s="1111">
        <v>0</v>
      </c>
      <c r="GC15" s="1111">
        <v>13.761217127705599</v>
      </c>
      <c r="GD15" s="1111">
        <v>0</v>
      </c>
      <c r="GE15" s="1111">
        <v>3.6737146291326801</v>
      </c>
      <c r="GF15" s="1111">
        <v>0</v>
      </c>
      <c r="GG15" s="1111">
        <v>10.7571719228108</v>
      </c>
      <c r="GH15" s="1111">
        <v>1.64490271542227</v>
      </c>
      <c r="GI15" s="1111">
        <v>0.92315968722678499</v>
      </c>
      <c r="GJ15" s="1111">
        <v>1.42003569413622</v>
      </c>
      <c r="GK15" s="1111">
        <v>5.7584039508673897</v>
      </c>
      <c r="GL15" s="1111">
        <v>69.876610353740503</v>
      </c>
      <c r="GM15" s="1111">
        <v>115.257403636364</v>
      </c>
      <c r="GN15" s="1111">
        <v>0</v>
      </c>
      <c r="GO15" s="1111">
        <v>132.345</v>
      </c>
      <c r="GP15" s="1111">
        <v>288.647347969647</v>
      </c>
      <c r="GQ15" s="1111">
        <v>3072.1265505233</v>
      </c>
      <c r="GR15" s="1111">
        <v>0</v>
      </c>
      <c r="GS15" s="1111">
        <v>0</v>
      </c>
      <c r="GT15" s="1111">
        <v>10.308</v>
      </c>
      <c r="GU15" s="1111">
        <v>247.589978181818</v>
      </c>
      <c r="GV15" s="1111">
        <v>0</v>
      </c>
      <c r="GW15" s="1111">
        <v>593.39</v>
      </c>
      <c r="GX15" s="1111">
        <v>441.84509405649499</v>
      </c>
      <c r="GY15" s="1111">
        <v>2313.1611378757302</v>
      </c>
      <c r="GZ15" s="1111">
        <v>0</v>
      </c>
      <c r="HA15" s="1111">
        <v>10.308</v>
      </c>
      <c r="HB15" s="1111">
        <v>0</v>
      </c>
      <c r="HC15" s="1111">
        <v>0</v>
      </c>
      <c r="HD15" s="1111">
        <v>0.86499999999999999</v>
      </c>
      <c r="HE15" s="1111">
        <v>125.778261751125</v>
      </c>
      <c r="HF15" s="1111">
        <v>8.1533912610693609</v>
      </c>
      <c r="HG15" s="1111">
        <v>1261.2472023809501</v>
      </c>
      <c r="HH15" s="1111">
        <v>1806.2908701223701</v>
      </c>
      <c r="HI15" s="1111">
        <v>897.98781456953395</v>
      </c>
      <c r="HJ15" s="1111">
        <v>144.806766712072</v>
      </c>
      <c r="HK15" s="1111">
        <v>13.84</v>
      </c>
      <c r="HL15" s="1111">
        <v>206.67562423562001</v>
      </c>
      <c r="HM15" s="1111">
        <v>278.318809608263</v>
      </c>
      <c r="HN15" s="1111">
        <v>16284.7668525683</v>
      </c>
      <c r="HO15" s="1111">
        <v>187.04</v>
      </c>
      <c r="HP15" s="1111">
        <v>559.32000000000005</v>
      </c>
      <c r="HQ15" s="1111">
        <v>0</v>
      </c>
      <c r="HR15" s="1111">
        <v>58.990132397226802</v>
      </c>
      <c r="HS15" s="1111">
        <v>7.8050159063133497</v>
      </c>
      <c r="HT15" s="1111">
        <v>78.856379352925302</v>
      </c>
      <c r="HU15" s="1111">
        <v>10.308</v>
      </c>
      <c r="HV15" s="1111">
        <v>8.8314532871972293</v>
      </c>
      <c r="HW15" s="1111">
        <v>0</v>
      </c>
      <c r="HX15" s="1111">
        <v>115.045</v>
      </c>
      <c r="HY15" s="1111">
        <v>60.441499888348098</v>
      </c>
      <c r="HZ15" s="1111">
        <v>0</v>
      </c>
      <c r="IA15" s="1111">
        <v>1239.944846764</v>
      </c>
      <c r="IB15" s="1111">
        <v>0.51326529428571399</v>
      </c>
      <c r="IC15" s="1111">
        <v>96.5320984566699</v>
      </c>
      <c r="ID15" s="1111">
        <v>233.32524913715801</v>
      </c>
      <c r="IE15" s="1111">
        <v>0</v>
      </c>
      <c r="IF15" s="1111">
        <v>752.31219999999996</v>
      </c>
      <c r="IG15" s="1111">
        <v>309.45115342128503</v>
      </c>
      <c r="IH15" s="1111">
        <v>2499.8774491915001</v>
      </c>
      <c r="II15" s="1111">
        <v>0</v>
      </c>
      <c r="IJ15" s="1111">
        <v>189.19011904761899</v>
      </c>
      <c r="IK15" s="1111">
        <v>11.9249379103822</v>
      </c>
      <c r="IL15" s="1111">
        <v>89.042953532876496</v>
      </c>
      <c r="IM15" s="1111">
        <v>139.87132612942801</v>
      </c>
      <c r="IN15" s="1111">
        <v>72.239558285305094</v>
      </c>
      <c r="IO15" s="1111">
        <v>466.52713378329901</v>
      </c>
      <c r="IP15" s="1111">
        <v>0.116000871012572</v>
      </c>
      <c r="IQ15" s="1111">
        <v>4.1325257988544699</v>
      </c>
      <c r="IR15" s="1111">
        <v>3.5964888371702398E-2</v>
      </c>
      <c r="IS15" s="1111">
        <v>0.75258421971814704</v>
      </c>
      <c r="IT15" s="1111">
        <v>0.266779052100033</v>
      </c>
      <c r="IU15" s="1111">
        <v>1464.0499067425901</v>
      </c>
      <c r="IV15" s="1111">
        <v>61.727658929937903</v>
      </c>
      <c r="IW15" s="1111">
        <v>2385.9503851371001</v>
      </c>
      <c r="IX15" s="1111">
        <v>1714.0645400000001</v>
      </c>
      <c r="IY15" s="1111">
        <v>380.41844915546397</v>
      </c>
      <c r="IZ15" s="1111">
        <v>28.279852241978201</v>
      </c>
      <c r="JA15" s="1111">
        <v>25.776488891322</v>
      </c>
      <c r="JB15" s="1111">
        <v>48.813003057815898</v>
      </c>
      <c r="JC15" s="1111">
        <v>146.74407026066001</v>
      </c>
      <c r="JD15" s="1111">
        <v>41.853981529883299</v>
      </c>
      <c r="JE15" s="1111">
        <v>2049.6605774174</v>
      </c>
      <c r="JF15" s="1111">
        <v>161.287665061908</v>
      </c>
      <c r="JG15" s="1111">
        <v>368.91967961699902</v>
      </c>
      <c r="JH15" s="1111">
        <v>0</v>
      </c>
      <c r="JI15" s="1111">
        <v>28.536018938585102</v>
      </c>
      <c r="JJ15" s="1111">
        <v>63.149718666889001</v>
      </c>
      <c r="JK15" s="1111">
        <v>135.74187101328599</v>
      </c>
      <c r="JL15" s="1111">
        <v>0</v>
      </c>
      <c r="JM15" s="1111">
        <v>1.5409090909090899</v>
      </c>
      <c r="JN15" s="1111">
        <v>35.727272727272798</v>
      </c>
      <c r="JO15" s="1111">
        <v>119.22245454545499</v>
      </c>
      <c r="JP15" s="1111">
        <v>1135.53498775608</v>
      </c>
      <c r="JQ15" s="1111">
        <v>1869.9356937412001</v>
      </c>
      <c r="JR15" s="1111">
        <v>40.580300000000001</v>
      </c>
      <c r="JS15" s="1111">
        <v>9.4784021949073303</v>
      </c>
      <c r="JT15" s="1111">
        <v>9.2689800000000009</v>
      </c>
      <c r="JU15" s="1111">
        <v>2.7616550000000002</v>
      </c>
      <c r="JV15" s="1111">
        <v>1.83162</v>
      </c>
      <c r="JW15" s="1111">
        <v>417.44512310346499</v>
      </c>
      <c r="JX15" s="1111">
        <v>277.29913561907398</v>
      </c>
      <c r="JY15" s="1111">
        <v>8.5966500000000003</v>
      </c>
      <c r="JZ15" s="1111">
        <v>702.39604083326901</v>
      </c>
      <c r="KA15" s="1111">
        <v>100.67758000000001</v>
      </c>
      <c r="KB15" s="1111">
        <v>299.60020699049397</v>
      </c>
      <c r="KC15" s="1111">
        <v>437.92915444929997</v>
      </c>
      <c r="KD15" s="1111">
        <v>91.643787701401394</v>
      </c>
      <c r="KE15" s="1111">
        <v>49.585212589093601</v>
      </c>
      <c r="KF15" s="1111">
        <v>9.4313024236393694</v>
      </c>
      <c r="KG15" s="1111">
        <v>3.7369311489891799</v>
      </c>
      <c r="KH15" s="1111">
        <v>7.2520963089833996</v>
      </c>
      <c r="KI15" s="1111">
        <v>0</v>
      </c>
      <c r="KJ15" s="1111">
        <v>276.27982427719297</v>
      </c>
      <c r="KK15" s="1111">
        <v>292.60050896045999</v>
      </c>
      <c r="KL15" s="1111">
        <v>193.86363088467201</v>
      </c>
      <c r="KM15" s="1111">
        <v>98.736878075791793</v>
      </c>
      <c r="KN15" s="1111">
        <v>40.615034954072001</v>
      </c>
      <c r="KO15" s="1111">
        <v>40.614904778281598</v>
      </c>
      <c r="KP15" s="1111">
        <v>1.3017579033814099E-4</v>
      </c>
      <c r="KQ15" s="1111">
        <v>-4516.4224980014997</v>
      </c>
      <c r="KR15" s="1111">
        <v>-4429.0849393749604</v>
      </c>
      <c r="KS15" s="1111">
        <v>51.783358846132202</v>
      </c>
      <c r="KT15" s="1111">
        <v>-5.0796384266405301</v>
      </c>
      <c r="KU15" s="1111">
        <v>-131.62520123394901</v>
      </c>
      <c r="KV15" s="1111">
        <v>-2.4160778121323898</v>
      </c>
      <c r="KW15" s="1111">
        <v>0</v>
      </c>
      <c r="KX15" s="1111">
        <v>3983.7864803551001</v>
      </c>
      <c r="KY15" s="1111">
        <v>15.729518374878401</v>
      </c>
      <c r="KZ15" s="1111">
        <v>905.759638723016</v>
      </c>
      <c r="LA15" s="1111">
        <v>0.38646502524361598</v>
      </c>
      <c r="LB15" s="1111">
        <v>0.215171456205318</v>
      </c>
      <c r="LC15" s="1111">
        <v>3088.4786447346501</v>
      </c>
      <c r="LD15" s="1111">
        <v>-26.782957958898098</v>
      </c>
      <c r="LE15" s="1111">
        <v>-2096.0775597058</v>
      </c>
      <c r="LF15" s="1111">
        <v>48.217500000000001</v>
      </c>
      <c r="LG15" s="1111">
        <v>-717.38512421571602</v>
      </c>
      <c r="LH15" s="1111">
        <v>9.6952774235005208</v>
      </c>
      <c r="LI15" s="1111">
        <v>5.4713849647181796</v>
      </c>
      <c r="LJ15" s="1111">
        <v>-1257.6309186077999</v>
      </c>
      <c r="LK15" s="1111">
        <v>-2.66983853445221</v>
      </c>
      <c r="LL15" s="1111">
        <v>-181.77584073604999</v>
      </c>
      <c r="LM15" s="1111">
        <v>179.03451526610999</v>
      </c>
      <c r="LN15" s="1111">
        <v>179.02298377426601</v>
      </c>
      <c r="LO15" s="1111">
        <v>1.12314918414918E-2</v>
      </c>
      <c r="LP15" s="1111">
        <v>2.9999999999999997E-4</v>
      </c>
      <c r="LQ15" s="1111">
        <v>1830.6617252161</v>
      </c>
      <c r="LR15" s="1111">
        <v>497.18840187005998</v>
      </c>
      <c r="LS15" s="1111">
        <v>9.4819480790504507</v>
      </c>
      <c r="LT15" s="1111">
        <v>27.519384088241399</v>
      </c>
      <c r="LU15" s="1111">
        <v>176.90084787935601</v>
      </c>
      <c r="LV15" s="1111">
        <v>1119.5711432993501</v>
      </c>
      <c r="LW15" s="1111">
        <v>0</v>
      </c>
      <c r="LX15" s="1111">
        <v>0</v>
      </c>
      <c r="LY15" s="1111">
        <v>-453.59595730173999</v>
      </c>
      <c r="LZ15" s="1111">
        <v>-393.68258663362599</v>
      </c>
      <c r="MA15" s="1111">
        <v>-59.913370668111398</v>
      </c>
      <c r="MB15" s="1111">
        <v>267.73319607518999</v>
      </c>
      <c r="MC15" s="1111">
        <v>99.241668901312806</v>
      </c>
      <c r="MD15" s="1111">
        <v>103.643362053876</v>
      </c>
      <c r="ME15" s="1111">
        <v>64.848165120000004</v>
      </c>
      <c r="MF15" s="1111">
        <v>5446.2507883189</v>
      </c>
      <c r="MG15" s="1111">
        <v>0.17030947682598099</v>
      </c>
      <c r="MH15" s="1111">
        <v>450.39310258773003</v>
      </c>
      <c r="MI15" s="1111">
        <v>0.53384730699845495</v>
      </c>
      <c r="MJ15" s="1111">
        <v>1.76152198646949</v>
      </c>
      <c r="MK15" s="1111">
        <v>4993.3920069608403</v>
      </c>
      <c r="ML15" s="1111">
        <v>2364.1708663076001</v>
      </c>
      <c r="MM15" s="1111">
        <v>1378.9084613428299</v>
      </c>
      <c r="MN15" s="1111">
        <v>985.26240496477305</v>
      </c>
    </row>
    <row r="16" spans="1:352" ht="13.9" x14ac:dyDescent="0.4">
      <c r="A16" s="1096">
        <v>1996</v>
      </c>
      <c r="B16" s="1145">
        <v>150444.61157730999</v>
      </c>
      <c r="C16" s="1111">
        <v>62.75982964328</v>
      </c>
      <c r="D16" s="1111">
        <v>0</v>
      </c>
      <c r="E16" s="1111">
        <v>32618.099858613001</v>
      </c>
      <c r="F16" s="1111">
        <v>0</v>
      </c>
      <c r="G16" s="1111">
        <v>1824.5536804619501</v>
      </c>
      <c r="H16" s="1111">
        <v>193.438640458972</v>
      </c>
      <c r="I16" s="1111">
        <v>0</v>
      </c>
      <c r="J16" s="1111">
        <v>7496.4686331723296</v>
      </c>
      <c r="K16" s="1111">
        <v>0</v>
      </c>
      <c r="L16" s="1111">
        <v>521.01999997610005</v>
      </c>
      <c r="M16" s="1111">
        <v>0</v>
      </c>
      <c r="N16" s="1111">
        <v>130.600121680255</v>
      </c>
      <c r="O16" s="1111">
        <v>38.234877836822498</v>
      </c>
      <c r="P16" s="1111">
        <v>1762.97170382166</v>
      </c>
      <c r="Q16" s="1111">
        <v>109.597930620009</v>
      </c>
      <c r="R16" s="1111">
        <v>0</v>
      </c>
      <c r="S16" s="1111">
        <v>0</v>
      </c>
      <c r="T16" s="1111">
        <v>2031.4525000000001</v>
      </c>
      <c r="U16" s="1111">
        <v>100.804</v>
      </c>
      <c r="V16" s="1111">
        <v>8.0424089629946494</v>
      </c>
      <c r="W16" s="1111">
        <v>43.2</v>
      </c>
      <c r="X16" s="1111">
        <v>71.7292199639665</v>
      </c>
      <c r="Y16" s="1111">
        <v>148.942082741088</v>
      </c>
      <c r="Z16" s="1111">
        <v>2176.3699306184799</v>
      </c>
      <c r="AA16" s="1111">
        <v>1.71</v>
      </c>
      <c r="AB16" s="1111">
        <v>1038.81</v>
      </c>
      <c r="AC16" s="1111">
        <v>294.72927467786599</v>
      </c>
      <c r="AD16" s="1111">
        <v>198.422081126877</v>
      </c>
      <c r="AE16" s="1111">
        <v>0</v>
      </c>
      <c r="AF16" s="1111">
        <v>1.1514850094269</v>
      </c>
      <c r="AG16" s="1111">
        <v>0</v>
      </c>
      <c r="AH16" s="1111">
        <v>0</v>
      </c>
      <c r="AI16" s="1111">
        <v>429.82607106223998</v>
      </c>
      <c r="AJ16" s="1111">
        <v>2719.68077651766</v>
      </c>
      <c r="AK16" s="1111">
        <v>20.084953805200598</v>
      </c>
      <c r="AL16" s="1111">
        <v>319.98423973704001</v>
      </c>
      <c r="AM16" s="1111">
        <v>15.553325874947999</v>
      </c>
      <c r="AN16" s="1111">
        <v>928.29017844869202</v>
      </c>
      <c r="AO16" s="1111">
        <v>4.9615104895104896</v>
      </c>
      <c r="AP16" s="1111">
        <v>0</v>
      </c>
      <c r="AQ16" s="1111">
        <v>21.499608634687199</v>
      </c>
      <c r="AR16" s="1111">
        <v>17.222210575776199</v>
      </c>
      <c r="AS16" s="1111">
        <v>0</v>
      </c>
      <c r="AT16" s="1111">
        <v>38.2769996869403</v>
      </c>
      <c r="AU16" s="1111">
        <v>264.28552259904097</v>
      </c>
      <c r="AV16" s="1111">
        <v>0</v>
      </c>
      <c r="AW16" s="1111">
        <v>0</v>
      </c>
      <c r="AX16" s="1111">
        <v>43.756430358222403</v>
      </c>
      <c r="AY16" s="1111">
        <v>0</v>
      </c>
      <c r="AZ16" s="1111">
        <v>0</v>
      </c>
      <c r="BA16" s="1111">
        <v>0</v>
      </c>
      <c r="BB16" s="1111">
        <v>0</v>
      </c>
      <c r="BC16" s="1111">
        <v>0</v>
      </c>
      <c r="BD16" s="1111">
        <v>0</v>
      </c>
      <c r="BE16" s="1111">
        <v>1479.42537877517</v>
      </c>
      <c r="BF16" s="1111">
        <v>41.691334324671701</v>
      </c>
      <c r="BG16" s="1111">
        <v>11.199575379599301</v>
      </c>
      <c r="BH16" s="1111">
        <v>23.930862369828699</v>
      </c>
      <c r="BI16" s="1111">
        <v>3061.5594441805101</v>
      </c>
      <c r="BJ16" s="1111">
        <v>2.1996643598615901</v>
      </c>
      <c r="BK16" s="1111">
        <v>20.663679081999</v>
      </c>
      <c r="BL16" s="1111">
        <v>274.30064854137203</v>
      </c>
      <c r="BM16" s="1111">
        <v>70.843500000000006</v>
      </c>
      <c r="BN16" s="1111">
        <v>13.9460462287038</v>
      </c>
      <c r="BO16" s="1111">
        <v>4.8852425463900397</v>
      </c>
      <c r="BP16" s="1111">
        <v>1059.31614410712</v>
      </c>
      <c r="BQ16" s="1111">
        <v>0</v>
      </c>
      <c r="BR16" s="1111">
        <v>931.79760569282405</v>
      </c>
      <c r="BS16" s="1111">
        <v>310.599201897608</v>
      </c>
      <c r="BT16" s="1111">
        <v>129.50115315794901</v>
      </c>
      <c r="BU16" s="1111">
        <v>21.625</v>
      </c>
      <c r="BV16" s="1111">
        <v>8.0397684555918705</v>
      </c>
      <c r="BW16" s="1111">
        <v>242.81314329219501</v>
      </c>
      <c r="BX16" s="1111">
        <v>409.16853710543501</v>
      </c>
      <c r="BY16" s="1111">
        <v>567.44000000000005</v>
      </c>
      <c r="BZ16" s="1111">
        <v>55.912935168434302</v>
      </c>
      <c r="CA16" s="1111">
        <v>2118.9827401736502</v>
      </c>
      <c r="CB16" s="1111">
        <v>122.61279394742</v>
      </c>
      <c r="CC16" s="1111">
        <v>127.155</v>
      </c>
      <c r="CD16" s="1111">
        <v>12.790540724805201</v>
      </c>
      <c r="CE16" s="1111">
        <v>794.574721070191</v>
      </c>
      <c r="CF16" s="1111">
        <v>176.34199578954801</v>
      </c>
      <c r="CG16" s="1111">
        <v>382.33</v>
      </c>
      <c r="CH16" s="1111">
        <v>56.117979148604</v>
      </c>
      <c r="CI16" s="1111">
        <v>1360.85502288009</v>
      </c>
      <c r="CJ16" s="1111">
        <v>16.060097974673901</v>
      </c>
      <c r="CK16" s="1111">
        <v>15.0421162606848</v>
      </c>
      <c r="CL16" s="1111">
        <v>89.451827546806996</v>
      </c>
      <c r="CM16" s="1111">
        <v>0</v>
      </c>
      <c r="CN16" s="1111">
        <v>1099.49503262744</v>
      </c>
      <c r="CO16" s="1111">
        <v>0.86499999999999999</v>
      </c>
      <c r="CP16" s="1111">
        <v>8.8692671082070902</v>
      </c>
      <c r="CQ16" s="1111">
        <v>3.3950914837063602</v>
      </c>
      <c r="CR16" s="1111">
        <v>141.39392858994</v>
      </c>
      <c r="CS16" s="1111">
        <v>13.8829020717034</v>
      </c>
      <c r="CT16" s="1111">
        <v>4.1028044996114099</v>
      </c>
      <c r="CU16" s="1111">
        <v>1.643224</v>
      </c>
      <c r="CV16" s="1111">
        <v>33.716443128081202</v>
      </c>
      <c r="CW16" s="1111">
        <v>218.985878710284</v>
      </c>
      <c r="CX16" s="1111">
        <v>1675.0438051302001</v>
      </c>
      <c r="CY16" s="1111">
        <v>137.58481955603901</v>
      </c>
      <c r="CZ16" s="1111">
        <v>640.81399999999906</v>
      </c>
      <c r="DA16" s="1111">
        <v>195.62389601084499</v>
      </c>
      <c r="DB16" s="1111">
        <v>0</v>
      </c>
      <c r="DC16" s="1111">
        <v>8.2825191399538998</v>
      </c>
      <c r="DD16" s="1111">
        <v>11.7484200189547</v>
      </c>
      <c r="DE16" s="1111">
        <v>857.38775026551605</v>
      </c>
      <c r="DF16" s="1111">
        <v>1136.7662090139499</v>
      </c>
      <c r="DG16" s="1111">
        <v>692.05197844362897</v>
      </c>
      <c r="DH16" s="1111">
        <v>2257.1540332176301</v>
      </c>
      <c r="DI16" s="1111">
        <v>72.498503003919396</v>
      </c>
      <c r="DJ16" s="1111">
        <v>90.661452533752794</v>
      </c>
      <c r="DK16" s="1111">
        <v>41.87</v>
      </c>
      <c r="DL16" s="1111">
        <v>0</v>
      </c>
      <c r="DM16" s="1111">
        <v>216.896992900236</v>
      </c>
      <c r="DN16" s="1111">
        <v>22.224948358412</v>
      </c>
      <c r="DO16" s="1111">
        <v>768.54114694401699</v>
      </c>
      <c r="DP16" s="1111">
        <v>256.18038231467199</v>
      </c>
      <c r="DQ16" s="1111">
        <v>1.9116359973997199</v>
      </c>
      <c r="DR16" s="1111">
        <v>13.4504276594219</v>
      </c>
      <c r="DS16" s="1111">
        <v>0</v>
      </c>
      <c r="DT16" s="1111">
        <v>1.1423427942207101</v>
      </c>
      <c r="DU16" s="1111">
        <v>0</v>
      </c>
      <c r="DV16" s="1111">
        <v>0.66781568332889896</v>
      </c>
      <c r="DW16" s="1111">
        <v>0</v>
      </c>
      <c r="DX16" s="1111">
        <v>0.76454805150246796</v>
      </c>
      <c r="DY16" s="1111">
        <v>22.393495773976898</v>
      </c>
      <c r="DZ16" s="1111">
        <v>114.579455863788</v>
      </c>
      <c r="EA16" s="1111">
        <v>1.3201613916917501</v>
      </c>
      <c r="EB16" s="1111">
        <v>32.540440707772802</v>
      </c>
      <c r="EC16" s="1111">
        <v>0</v>
      </c>
      <c r="ED16" s="1111">
        <v>9.2252267258455696</v>
      </c>
      <c r="EE16" s="1111">
        <v>0</v>
      </c>
      <c r="EF16" s="1111">
        <v>6.8031189450596603</v>
      </c>
      <c r="EG16" s="1111">
        <v>0</v>
      </c>
      <c r="EH16" s="1111">
        <v>15.3283798477177</v>
      </c>
      <c r="EI16" s="1111">
        <v>0.45969754773263899</v>
      </c>
      <c r="EJ16" s="1111">
        <v>302.351394865609</v>
      </c>
      <c r="EK16" s="1111">
        <v>6573.8282291529404</v>
      </c>
      <c r="EL16" s="1111">
        <v>1018.2471481597699</v>
      </c>
      <c r="EM16" s="1111">
        <v>8310.4302952637499</v>
      </c>
      <c r="EN16" s="1111">
        <v>1183.5711488439899</v>
      </c>
      <c r="EO16" s="1111">
        <v>2638.5775059866601</v>
      </c>
      <c r="EP16" s="1111">
        <v>559.20240261373999</v>
      </c>
      <c r="EQ16" s="1111">
        <v>479.73159754013</v>
      </c>
      <c r="ER16" s="1111">
        <v>982.22361832998399</v>
      </c>
      <c r="ES16" s="1111">
        <v>608.29568735153896</v>
      </c>
      <c r="ET16" s="1111">
        <v>910.67932311669301</v>
      </c>
      <c r="EU16" s="1111">
        <v>206.490692234682</v>
      </c>
      <c r="EV16" s="1111">
        <v>488.10202375312201</v>
      </c>
      <c r="EW16" s="1111">
        <v>337.33610257465801</v>
      </c>
      <c r="EX16" s="1111">
        <v>1146.48903960497</v>
      </c>
      <c r="EY16" s="1111">
        <v>1102.0237528271</v>
      </c>
      <c r="EZ16" s="1111">
        <v>1054.65770722364</v>
      </c>
      <c r="FA16" s="1111">
        <v>392.862393989483</v>
      </c>
      <c r="FB16" s="1111">
        <v>811.15385706808195</v>
      </c>
      <c r="FC16" s="1111">
        <v>109.620827849102</v>
      </c>
      <c r="FD16" s="1111">
        <v>1472.8554097599299</v>
      </c>
      <c r="FE16" s="1111">
        <v>614.35186497300401</v>
      </c>
      <c r="FF16" s="1111">
        <v>57.764976001808101</v>
      </c>
      <c r="FG16" s="1111">
        <v>8.2221235314306291</v>
      </c>
      <c r="FH16" s="1111">
        <v>0.224687016514245</v>
      </c>
      <c r="FI16" s="1111">
        <v>2.3438882735992799</v>
      </c>
      <c r="FJ16" s="1111">
        <v>62.139714914863198</v>
      </c>
      <c r="FK16" s="1111">
        <v>14.759479361056901</v>
      </c>
      <c r="FL16" s="1111">
        <v>0.79370659515643704</v>
      </c>
      <c r="FM16" s="1111">
        <v>0</v>
      </c>
      <c r="FN16" s="1111">
        <v>0</v>
      </c>
      <c r="FO16" s="1111">
        <v>145.52625570667601</v>
      </c>
      <c r="FP16" s="1111">
        <v>131.05614558674799</v>
      </c>
      <c r="FQ16" s="1111">
        <v>146.77000064494601</v>
      </c>
      <c r="FR16" s="1111">
        <v>0</v>
      </c>
      <c r="FS16" s="1111">
        <v>766.94456087394803</v>
      </c>
      <c r="FT16" s="1111">
        <v>1566.92919805369</v>
      </c>
      <c r="FU16" s="1111">
        <v>0.78930258491766003</v>
      </c>
      <c r="FV16" s="1111">
        <v>0</v>
      </c>
      <c r="FW16" s="1111">
        <v>0</v>
      </c>
      <c r="FX16" s="1111">
        <v>36.736203848554602</v>
      </c>
      <c r="FY16" s="1111">
        <v>27.845566706961201</v>
      </c>
      <c r="FZ16" s="1111">
        <v>25.547883820151299</v>
      </c>
      <c r="GA16" s="1111">
        <v>0</v>
      </c>
      <c r="GB16" s="1111">
        <v>0</v>
      </c>
      <c r="GC16" s="1111">
        <v>14.710075758221301</v>
      </c>
      <c r="GD16" s="1111">
        <v>0</v>
      </c>
      <c r="GE16" s="1111">
        <v>3.1727535433418601</v>
      </c>
      <c r="GF16" s="1111">
        <v>0</v>
      </c>
      <c r="GG16" s="1111">
        <v>11.0039244240296</v>
      </c>
      <c r="GH16" s="1111">
        <v>1.66416705270767</v>
      </c>
      <c r="GI16" s="1111">
        <v>0.93397130509103898</v>
      </c>
      <c r="GJ16" s="1111">
        <v>1.44797983433127</v>
      </c>
      <c r="GK16" s="1111">
        <v>5.5879452026628602</v>
      </c>
      <c r="GL16" s="1111">
        <v>73.355614189964399</v>
      </c>
      <c r="GM16" s="1111">
        <v>90.929716363635606</v>
      </c>
      <c r="GN16" s="1111">
        <v>0</v>
      </c>
      <c r="GO16" s="1111">
        <v>110.8065</v>
      </c>
      <c r="GP16" s="1111">
        <v>303.678186135266</v>
      </c>
      <c r="GQ16" s="1111">
        <v>3329.49387247508</v>
      </c>
      <c r="GR16" s="1111">
        <v>0</v>
      </c>
      <c r="GS16" s="1111">
        <v>0</v>
      </c>
      <c r="GT16" s="1111">
        <v>10.308</v>
      </c>
      <c r="GU16" s="1111">
        <v>290.37637818181798</v>
      </c>
      <c r="GV16" s="1111">
        <v>0</v>
      </c>
      <c r="GW16" s="1111">
        <v>548.49649999999997</v>
      </c>
      <c r="GX16" s="1111">
        <v>453.427627715244</v>
      </c>
      <c r="GY16" s="1111">
        <v>2573.8693834628898</v>
      </c>
      <c r="GZ16" s="1111">
        <v>0</v>
      </c>
      <c r="HA16" s="1111">
        <v>10.308</v>
      </c>
      <c r="HB16" s="1111">
        <v>0</v>
      </c>
      <c r="HC16" s="1111">
        <v>0</v>
      </c>
      <c r="HD16" s="1111">
        <v>0.60550000000000004</v>
      </c>
      <c r="HE16" s="1111">
        <v>136.27574763739301</v>
      </c>
      <c r="HF16" s="1111">
        <v>8.2135936454674603</v>
      </c>
      <c r="HG16" s="1111">
        <v>1188.2040803571399</v>
      </c>
      <c r="HH16" s="1111">
        <v>2195.47655438315</v>
      </c>
      <c r="HI16" s="1111">
        <v>973.93112582781498</v>
      </c>
      <c r="HJ16" s="1111">
        <v>149.60503655367299</v>
      </c>
      <c r="HK16" s="1111">
        <v>3.3734999999999999</v>
      </c>
      <c r="HL16" s="1111">
        <v>215.42659761080799</v>
      </c>
      <c r="HM16" s="1111">
        <v>295.87032508338899</v>
      </c>
      <c r="HN16" s="1111">
        <v>18816.346092695701</v>
      </c>
      <c r="HO16" s="1111">
        <v>204.85333333333301</v>
      </c>
      <c r="HP16" s="1111">
        <v>643.85</v>
      </c>
      <c r="HQ16" s="1111">
        <v>0</v>
      </c>
      <c r="HR16" s="1111">
        <v>51.274076114008999</v>
      </c>
      <c r="HS16" s="1111">
        <v>7.8573940795387403</v>
      </c>
      <c r="HT16" s="1111">
        <v>79.385571496445806</v>
      </c>
      <c r="HU16" s="1111">
        <v>10.308</v>
      </c>
      <c r="HV16" s="1111">
        <v>8.8010000000000002</v>
      </c>
      <c r="HW16" s="1111">
        <v>0</v>
      </c>
      <c r="HX16" s="1111">
        <v>113.05549999999999</v>
      </c>
      <c r="HY16" s="1111">
        <v>71.091683190704501</v>
      </c>
      <c r="HZ16" s="1111">
        <v>0</v>
      </c>
      <c r="IA16" s="1111">
        <v>1251.4085384807599</v>
      </c>
      <c r="IB16" s="1111">
        <v>0.51326529428571399</v>
      </c>
      <c r="IC16" s="1111">
        <v>100.539281163447</v>
      </c>
      <c r="ID16" s="1111">
        <v>209.68790082490099</v>
      </c>
      <c r="IE16" s="1111">
        <v>0</v>
      </c>
      <c r="IF16" s="1111">
        <v>726.88580000000002</v>
      </c>
      <c r="IG16" s="1111">
        <v>312.75480386983298</v>
      </c>
      <c r="IH16" s="1111">
        <v>2581.1630143830998</v>
      </c>
      <c r="II16" s="1111">
        <v>0</v>
      </c>
      <c r="IJ16" s="1111">
        <v>138.88948214285699</v>
      </c>
      <c r="IK16" s="1111">
        <v>11.786661853011299</v>
      </c>
      <c r="IL16" s="1111">
        <v>93.097847284653298</v>
      </c>
      <c r="IM16" s="1111">
        <v>165.292578440863</v>
      </c>
      <c r="IN16" s="1111">
        <v>75.529248506710402</v>
      </c>
      <c r="IO16" s="1111">
        <v>551.31723555913698</v>
      </c>
      <c r="IP16" s="1111">
        <v>0.116000871012572</v>
      </c>
      <c r="IQ16" s="1111">
        <v>3.98760548279891</v>
      </c>
      <c r="IR16" s="1111">
        <v>3.9074621427326303E-2</v>
      </c>
      <c r="IS16" s="1111">
        <v>0.67326321507957398</v>
      </c>
      <c r="IT16" s="1111">
        <v>0.23866102640315401</v>
      </c>
      <c r="IU16" s="1111">
        <v>1477.8844027728501</v>
      </c>
      <c r="IV16" s="1111">
        <v>62.310952606260102</v>
      </c>
      <c r="IW16" s="1111">
        <v>2473.9541925102999</v>
      </c>
      <c r="IX16" s="1111">
        <v>1749.94066</v>
      </c>
      <c r="IY16" s="1111">
        <v>420.73334022746099</v>
      </c>
      <c r="IZ16" s="1111">
        <v>30.821134906233201</v>
      </c>
      <c r="JA16" s="1111">
        <v>26.732345728866601</v>
      </c>
      <c r="JB16" s="1111">
        <v>52.312429521370198</v>
      </c>
      <c r="JC16" s="1111">
        <v>136.911407061056</v>
      </c>
      <c r="JD16" s="1111">
        <v>56.502875065342401</v>
      </c>
      <c r="JE16" s="1111">
        <v>2045.5947871522999</v>
      </c>
      <c r="JF16" s="1111">
        <v>161.45990342921499</v>
      </c>
      <c r="JG16" s="1111">
        <v>369.47851525643</v>
      </c>
      <c r="JH16" s="1111">
        <v>0</v>
      </c>
      <c r="JI16" s="1111">
        <v>28.536018938585102</v>
      </c>
      <c r="JJ16" s="1111">
        <v>63.149718666889001</v>
      </c>
      <c r="JK16" s="1111">
        <v>135.74187101328701</v>
      </c>
      <c r="JL16" s="1111">
        <v>0</v>
      </c>
      <c r="JM16" s="1111">
        <v>1.5409090909090899</v>
      </c>
      <c r="JN16" s="1111">
        <v>32.454545454545404</v>
      </c>
      <c r="JO16" s="1111">
        <v>119.22245454545499</v>
      </c>
      <c r="JP16" s="1111">
        <v>1134.01085075695</v>
      </c>
      <c r="JQ16" s="1111">
        <v>1923.022284873</v>
      </c>
      <c r="JR16" s="1111">
        <v>51.065899999999999</v>
      </c>
      <c r="JS16" s="1111">
        <v>9.9475604653025993</v>
      </c>
      <c r="JT16" s="1111">
        <v>8.5739680000000007</v>
      </c>
      <c r="JU16" s="1111">
        <v>2.5660050000000001</v>
      </c>
      <c r="JV16" s="1111">
        <v>1.9262600000000001</v>
      </c>
      <c r="JW16" s="1111">
        <v>485.961816536588</v>
      </c>
      <c r="JX16" s="1111">
        <v>266.195204751566</v>
      </c>
      <c r="JY16" s="1111">
        <v>7.5172499999999998</v>
      </c>
      <c r="JZ16" s="1111">
        <v>695.12616431844697</v>
      </c>
      <c r="KA16" s="1111">
        <v>101.54446</v>
      </c>
      <c r="KB16" s="1111">
        <v>292.597695801106</v>
      </c>
      <c r="KC16" s="1111">
        <v>567.76517198218005</v>
      </c>
      <c r="KD16" s="1111">
        <v>86.716054705908803</v>
      </c>
      <c r="KE16" s="1111">
        <v>50.913641542382699</v>
      </c>
      <c r="KF16" s="1111">
        <v>8.4812109393004604</v>
      </c>
      <c r="KG16" s="1111">
        <v>2.94246093812465</v>
      </c>
      <c r="KH16" s="1111">
        <v>7.2551325041256396</v>
      </c>
      <c r="KI16" s="1111">
        <v>0</v>
      </c>
      <c r="KJ16" s="1111">
        <v>411.45667135233799</v>
      </c>
      <c r="KK16" s="1111">
        <v>310.60320119319999</v>
      </c>
      <c r="KL16" s="1111">
        <v>215.22496506910099</v>
      </c>
      <c r="KM16" s="1111">
        <v>95.378236124100397</v>
      </c>
      <c r="KN16" s="1111">
        <v>36.929127439169001</v>
      </c>
      <c r="KO16" s="1111">
        <v>36.929003241964601</v>
      </c>
      <c r="KP16" s="1111">
        <v>1.24197204805566E-4</v>
      </c>
      <c r="KQ16" s="1111">
        <v>-4653.8485975151998</v>
      </c>
      <c r="KR16" s="1111">
        <v>-4528.3109549849796</v>
      </c>
      <c r="KS16" s="1111">
        <v>27.250004723679201</v>
      </c>
      <c r="KT16" s="1111">
        <v>-6.0342772384041004</v>
      </c>
      <c r="KU16" s="1111">
        <v>-144.06787766459601</v>
      </c>
      <c r="KV16" s="1111">
        <v>-2.68549235087574</v>
      </c>
      <c r="KW16" s="1111">
        <v>0</v>
      </c>
      <c r="KX16" s="1111">
        <v>3958.4531057228</v>
      </c>
      <c r="KY16" s="1111">
        <v>-0.57653569378499003</v>
      </c>
      <c r="KZ16" s="1111">
        <v>901.107989843469</v>
      </c>
      <c r="LA16" s="1111">
        <v>0.39421819632252803</v>
      </c>
      <c r="LB16" s="1111">
        <v>0.21975630152845901</v>
      </c>
      <c r="LC16" s="1111">
        <v>3083.1096154143202</v>
      </c>
      <c r="LD16" s="1111">
        <v>-25.801938339105099</v>
      </c>
      <c r="LE16" s="1111">
        <v>-2125.3050363548</v>
      </c>
      <c r="LF16" s="1111">
        <v>48.217500000000001</v>
      </c>
      <c r="LG16" s="1111">
        <v>-732.117359995789</v>
      </c>
      <c r="LH16" s="1111">
        <v>9.9873877042444104</v>
      </c>
      <c r="LI16" s="1111">
        <v>5.6364156194966197</v>
      </c>
      <c r="LJ16" s="1111">
        <v>-1269.8586182501101</v>
      </c>
      <c r="LK16" s="1111">
        <v>-2.5333995251282002</v>
      </c>
      <c r="LL16" s="1111">
        <v>-184.636961907504</v>
      </c>
      <c r="LM16" s="1111">
        <v>151.72702934807</v>
      </c>
      <c r="LN16" s="1111">
        <v>151.71579785622501</v>
      </c>
      <c r="LO16" s="1111">
        <v>1.12314918414918E-2</v>
      </c>
      <c r="LP16" s="1111">
        <v>0</v>
      </c>
      <c r="LQ16" s="1111">
        <v>1821.4198263813</v>
      </c>
      <c r="LR16" s="1111">
        <v>506.32922802980602</v>
      </c>
      <c r="LS16" s="1111">
        <v>10.6806976188539</v>
      </c>
      <c r="LT16" s="1111">
        <v>29.699040781844801</v>
      </c>
      <c r="LU16" s="1111">
        <v>168.51970499689199</v>
      </c>
      <c r="LV16" s="1111">
        <v>1106.19115495391</v>
      </c>
      <c r="LW16" s="1111">
        <v>0</v>
      </c>
      <c r="LX16" s="1111">
        <v>0</v>
      </c>
      <c r="LY16" s="1111">
        <v>-449.52943183227001</v>
      </c>
      <c r="LZ16" s="1111">
        <v>-391.26711833718099</v>
      </c>
      <c r="MA16" s="1111">
        <v>-58.262313495089799</v>
      </c>
      <c r="MB16" s="1111">
        <v>269.98969966823</v>
      </c>
      <c r="MC16" s="1111">
        <v>106.537053607638</v>
      </c>
      <c r="MD16" s="1111">
        <v>103.404000940587</v>
      </c>
      <c r="ME16" s="1111">
        <v>60.048645120000003</v>
      </c>
      <c r="MF16" s="1111">
        <v>5758.9252459103</v>
      </c>
      <c r="MG16" s="1111">
        <v>0.117318746163993</v>
      </c>
      <c r="MH16" s="1111">
        <v>467.77860757583699</v>
      </c>
      <c r="MI16" s="1111">
        <v>0.51925781261023196</v>
      </c>
      <c r="MJ16" s="1111">
        <v>1.09369054303493</v>
      </c>
      <c r="MK16" s="1111">
        <v>5289.4163712326999</v>
      </c>
      <c r="ML16" s="1111">
        <v>2618.3464936797</v>
      </c>
      <c r="MM16" s="1111">
        <v>1547.2244616712601</v>
      </c>
      <c r="MN16" s="1111">
        <v>1071.1220320084201</v>
      </c>
    </row>
    <row r="17" spans="1:352" ht="13.9" x14ac:dyDescent="0.4">
      <c r="A17" s="1096">
        <v>1997</v>
      </c>
      <c r="B17" s="1145">
        <v>144592.53485308</v>
      </c>
      <c r="C17" s="1111">
        <v>52.029441029962904</v>
      </c>
      <c r="D17" s="1111">
        <v>0.25099341762437499</v>
      </c>
      <c r="E17" s="1111">
        <v>28045.0206926174</v>
      </c>
      <c r="F17" s="1111">
        <v>0</v>
      </c>
      <c r="G17" s="1111">
        <v>941.98213575823695</v>
      </c>
      <c r="H17" s="1111">
        <v>294.50334196432999</v>
      </c>
      <c r="I17" s="1111">
        <v>0</v>
      </c>
      <c r="J17" s="1111">
        <v>10144.3317403032</v>
      </c>
      <c r="K17" s="1111">
        <v>0</v>
      </c>
      <c r="L17" s="1111">
        <v>108.745</v>
      </c>
      <c r="M17" s="1111">
        <v>21.149839522475901</v>
      </c>
      <c r="N17" s="1111">
        <v>176.29127067012999</v>
      </c>
      <c r="O17" s="1111">
        <v>41.876294773662799</v>
      </c>
      <c r="P17" s="1111">
        <v>1403.40358760865</v>
      </c>
      <c r="Q17" s="1111">
        <v>112.71766332673801</v>
      </c>
      <c r="R17" s="1111">
        <v>0</v>
      </c>
      <c r="S17" s="1111">
        <v>0</v>
      </c>
      <c r="T17" s="1111">
        <v>2041.8832</v>
      </c>
      <c r="U17" s="1111">
        <v>133.37100000000001</v>
      </c>
      <c r="V17" s="1111">
        <v>8.8466498592941196</v>
      </c>
      <c r="W17" s="1111">
        <v>0</v>
      </c>
      <c r="X17" s="1111">
        <v>86.247219963966501</v>
      </c>
      <c r="Y17" s="1111">
        <v>156.70006780093399</v>
      </c>
      <c r="Z17" s="1111">
        <v>2052.67463192376</v>
      </c>
      <c r="AA17" s="1111">
        <v>0</v>
      </c>
      <c r="AB17" s="1111">
        <v>1100.19</v>
      </c>
      <c r="AC17" s="1111">
        <v>292.30283903659</v>
      </c>
      <c r="AD17" s="1111">
        <v>199.881011978412</v>
      </c>
      <c r="AE17" s="1111">
        <v>0</v>
      </c>
      <c r="AF17" s="1111">
        <v>0.75288309321396996</v>
      </c>
      <c r="AG17" s="1111">
        <v>15.027707933364301</v>
      </c>
      <c r="AH17" s="1111">
        <v>0</v>
      </c>
      <c r="AI17" s="1111">
        <v>425.31904617002198</v>
      </c>
      <c r="AJ17" s="1111">
        <v>2836.9944217255102</v>
      </c>
      <c r="AK17" s="1111">
        <v>34.529687035161899</v>
      </c>
      <c r="AL17" s="1111">
        <v>261.26372765763603</v>
      </c>
      <c r="AM17" s="1111">
        <v>15.886968405791199</v>
      </c>
      <c r="AN17" s="1111">
        <v>968.33204865078903</v>
      </c>
      <c r="AO17" s="1111">
        <v>5.2645034965035</v>
      </c>
      <c r="AP17" s="1111">
        <v>0</v>
      </c>
      <c r="AQ17" s="1111">
        <v>19.267408831085699</v>
      </c>
      <c r="AR17" s="1111">
        <v>9.6870957993530808</v>
      </c>
      <c r="AS17" s="1111">
        <v>0</v>
      </c>
      <c r="AT17" s="1111">
        <v>35.927482804900301</v>
      </c>
      <c r="AU17" s="1111">
        <v>244.71105822206499</v>
      </c>
      <c r="AV17" s="1111">
        <v>0</v>
      </c>
      <c r="AW17" s="1111">
        <v>0</v>
      </c>
      <c r="AX17" s="1111">
        <v>46.327406335766298</v>
      </c>
      <c r="AY17" s="1111">
        <v>0</v>
      </c>
      <c r="AZ17" s="1111">
        <v>0</v>
      </c>
      <c r="BA17" s="1111">
        <v>0</v>
      </c>
      <c r="BB17" s="1111">
        <v>0</v>
      </c>
      <c r="BC17" s="1111">
        <v>0</v>
      </c>
      <c r="BD17" s="1111">
        <v>0</v>
      </c>
      <c r="BE17" s="1111">
        <v>1491.59285144265</v>
      </c>
      <c r="BF17" s="1111">
        <v>44.951851135499297</v>
      </c>
      <c r="BG17" s="1111">
        <v>2.39990900991413</v>
      </c>
      <c r="BH17" s="1111">
        <v>17.165734525278602</v>
      </c>
      <c r="BI17" s="1111">
        <v>3179.8538399679701</v>
      </c>
      <c r="BJ17" s="1111">
        <v>0.550498880865533</v>
      </c>
      <c r="BK17" s="1111">
        <v>33.394906518587398</v>
      </c>
      <c r="BL17" s="1111">
        <v>292.73869061591398</v>
      </c>
      <c r="BM17" s="1111">
        <v>100.7748</v>
      </c>
      <c r="BN17" s="1111">
        <v>13.578052878596299</v>
      </c>
      <c r="BO17" s="1111">
        <v>13.6849089160752</v>
      </c>
      <c r="BP17" s="1111">
        <v>1032.8050272709199</v>
      </c>
      <c r="BQ17" s="1111">
        <v>0</v>
      </c>
      <c r="BR17" s="1111">
        <v>896.98907444567806</v>
      </c>
      <c r="BS17" s="1111">
        <v>298.99635814855901</v>
      </c>
      <c r="BT17" s="1111">
        <v>73.555505130400704</v>
      </c>
      <c r="BU17" s="1111">
        <v>23.436</v>
      </c>
      <c r="BV17" s="1111">
        <v>7.0459319594391197</v>
      </c>
      <c r="BW17" s="1111">
        <v>231.988377122332</v>
      </c>
      <c r="BX17" s="1111">
        <v>320.87972036752097</v>
      </c>
      <c r="BY17" s="1111">
        <v>428.79199999999997</v>
      </c>
      <c r="BZ17" s="1111">
        <v>49.001254081553903</v>
      </c>
      <c r="CA17" s="1111">
        <v>2318.1270440058101</v>
      </c>
      <c r="CB17" s="1111">
        <v>115.02303822405</v>
      </c>
      <c r="CC17" s="1111">
        <v>87.668000000000006</v>
      </c>
      <c r="CD17" s="1111">
        <v>11.209437208198599</v>
      </c>
      <c r="CE17" s="1111">
        <v>694.05782753085202</v>
      </c>
      <c r="CF17" s="1111">
        <v>181.66728783884301</v>
      </c>
      <c r="CG17" s="1111">
        <v>277.76</v>
      </c>
      <c r="CH17" s="1111">
        <v>49.312900763032196</v>
      </c>
      <c r="CI17" s="1111">
        <v>1339.6299838587199</v>
      </c>
      <c r="CJ17" s="1111">
        <v>16.415710256913801</v>
      </c>
      <c r="CK17" s="1111">
        <v>16.376613902627</v>
      </c>
      <c r="CL17" s="1111">
        <v>90.992912155989799</v>
      </c>
      <c r="CM17" s="1111">
        <v>0</v>
      </c>
      <c r="CN17" s="1111">
        <v>1095.6767281008699</v>
      </c>
      <c r="CO17" s="1111">
        <v>0.86799999999999999</v>
      </c>
      <c r="CP17" s="1111">
        <v>9.5003486646887403</v>
      </c>
      <c r="CQ17" s="1111">
        <v>3.3929791397253299</v>
      </c>
      <c r="CR17" s="1111">
        <v>168.05639618519101</v>
      </c>
      <c r="CS17" s="1111">
        <v>11.3794279276258</v>
      </c>
      <c r="CT17" s="1111">
        <v>4.1309198547085604</v>
      </c>
      <c r="CU17" s="1111">
        <v>1.2558480000000001</v>
      </c>
      <c r="CV17" s="1111">
        <v>33.947492346060898</v>
      </c>
      <c r="CW17" s="1111">
        <v>219.035421017998</v>
      </c>
      <c r="CX17" s="1111">
        <v>1678.8124492556601</v>
      </c>
      <c r="CY17" s="1111">
        <v>137.58481955603901</v>
      </c>
      <c r="CZ17" s="1111">
        <v>672.34600658237002</v>
      </c>
      <c r="DA17" s="1111">
        <v>266.714102276978</v>
      </c>
      <c r="DB17" s="1111">
        <v>16.953221779783298</v>
      </c>
      <c r="DC17" s="1111">
        <v>8.9577964219292205</v>
      </c>
      <c r="DD17" s="1111">
        <v>11.7484200189547</v>
      </c>
      <c r="DE17" s="1111">
        <v>383.92110423066902</v>
      </c>
      <c r="DF17" s="1111">
        <v>996.24478077238098</v>
      </c>
      <c r="DG17" s="1111">
        <v>633.34505239496002</v>
      </c>
      <c r="DH17" s="1111">
        <v>2651.0963528030302</v>
      </c>
      <c r="DI17" s="1111">
        <v>52.399908111743699</v>
      </c>
      <c r="DJ17" s="1111">
        <v>78.3844947243457</v>
      </c>
      <c r="DK17" s="1111">
        <v>52.93</v>
      </c>
      <c r="DL17" s="1111">
        <v>0</v>
      </c>
      <c r="DM17" s="1111">
        <v>223.17085493025201</v>
      </c>
      <c r="DN17" s="1111">
        <v>23.0330352947447</v>
      </c>
      <c r="DO17" s="1111">
        <v>898.52832759621299</v>
      </c>
      <c r="DP17" s="1111">
        <v>299.509442532072</v>
      </c>
      <c r="DQ17" s="1111">
        <v>2.0578654149442301</v>
      </c>
      <c r="DR17" s="1111">
        <v>14.584383315563599</v>
      </c>
      <c r="DS17" s="1111">
        <v>0</v>
      </c>
      <c r="DT17" s="1111">
        <v>1.0753552984397099</v>
      </c>
      <c r="DU17" s="1111">
        <v>0</v>
      </c>
      <c r="DV17" s="1111">
        <v>0.61711031641839798</v>
      </c>
      <c r="DW17" s="1111">
        <v>0</v>
      </c>
      <c r="DX17" s="1111">
        <v>0.62976657401032698</v>
      </c>
      <c r="DY17" s="1111">
        <v>26.587739544900501</v>
      </c>
      <c r="DZ17" s="1111">
        <v>115.74575985170399</v>
      </c>
      <c r="EA17" s="1111">
        <v>1.3296038347079799</v>
      </c>
      <c r="EB17" s="1111">
        <v>34.317590725945998</v>
      </c>
      <c r="EC17" s="1111">
        <v>0</v>
      </c>
      <c r="ED17" s="1111">
        <v>8.7915295687987491</v>
      </c>
      <c r="EE17" s="1111">
        <v>0</v>
      </c>
      <c r="EF17" s="1111">
        <v>6.8472852970700604</v>
      </c>
      <c r="EG17" s="1111">
        <v>0</v>
      </c>
      <c r="EH17" s="1111">
        <v>12.617647410672699</v>
      </c>
      <c r="EI17" s="1111">
        <v>0.53737365436640405</v>
      </c>
      <c r="EJ17" s="1111">
        <v>310.20508841663099</v>
      </c>
      <c r="EK17" s="1111">
        <v>6581.4456184721903</v>
      </c>
      <c r="EL17" s="1111">
        <v>1123.7123184278501</v>
      </c>
      <c r="EM17" s="1111">
        <v>8197.0010861039991</v>
      </c>
      <c r="EN17" s="1111">
        <v>1271.7487867766799</v>
      </c>
      <c r="EO17" s="1111">
        <v>2688.2450436061599</v>
      </c>
      <c r="EP17" s="1111">
        <v>626.26822950365795</v>
      </c>
      <c r="EQ17" s="1111">
        <v>448.50893461991501</v>
      </c>
      <c r="ER17" s="1111">
        <v>1086.98836433516</v>
      </c>
      <c r="ES17" s="1111">
        <v>559.26499658677403</v>
      </c>
      <c r="ET17" s="1111">
        <v>991.95432307281396</v>
      </c>
      <c r="EU17" s="1111">
        <v>195.99361154983399</v>
      </c>
      <c r="EV17" s="1111">
        <v>549.17528772083404</v>
      </c>
      <c r="EW17" s="1111">
        <v>335.35127974499397</v>
      </c>
      <c r="EX17" s="1111">
        <v>1156.9796327485601</v>
      </c>
      <c r="EY17" s="1111">
        <v>1087.81249679281</v>
      </c>
      <c r="EZ17" s="1111">
        <v>1054.3928025340099</v>
      </c>
      <c r="FA17" s="1111">
        <v>389.40393093819398</v>
      </c>
      <c r="FB17" s="1111">
        <v>772.39893077884005</v>
      </c>
      <c r="FC17" s="1111">
        <v>112.152468328897</v>
      </c>
      <c r="FD17" s="1111">
        <v>1530.10871927162</v>
      </c>
      <c r="FE17" s="1111">
        <v>618.57679480366698</v>
      </c>
      <c r="FF17" s="1111">
        <v>60.769183797986003</v>
      </c>
      <c r="FG17" s="1111">
        <v>7.8157212970705201</v>
      </c>
      <c r="FH17" s="1111">
        <v>0.213097636886936</v>
      </c>
      <c r="FI17" s="1111">
        <v>2.2090238121727999</v>
      </c>
      <c r="FJ17" s="1111">
        <v>68.138170836317897</v>
      </c>
      <c r="FK17" s="1111">
        <v>17.099696224115</v>
      </c>
      <c r="FL17" s="1111">
        <v>1.5874131903128701</v>
      </c>
      <c r="FM17" s="1111">
        <v>0</v>
      </c>
      <c r="FN17" s="1111">
        <v>0</v>
      </c>
      <c r="FO17" s="1111">
        <v>147.05445215310499</v>
      </c>
      <c r="FP17" s="1111">
        <v>132.36086622833301</v>
      </c>
      <c r="FQ17" s="1111">
        <v>162.18811990312199</v>
      </c>
      <c r="FR17" s="1111">
        <v>0</v>
      </c>
      <c r="FS17" s="1111">
        <v>733.53050797724597</v>
      </c>
      <c r="FT17" s="1111">
        <v>1530.9100302309701</v>
      </c>
      <c r="FU17" s="1111">
        <v>0.84021575369375801</v>
      </c>
      <c r="FV17" s="1111">
        <v>0</v>
      </c>
      <c r="FW17" s="1111">
        <v>0</v>
      </c>
      <c r="FX17" s="1111">
        <v>39.105835701375298</v>
      </c>
      <c r="FY17" s="1111">
        <v>27.329908064239699</v>
      </c>
      <c r="FZ17" s="1111">
        <v>26.5560426478858</v>
      </c>
      <c r="GA17" s="1111">
        <v>0</v>
      </c>
      <c r="GB17" s="1111">
        <v>0</v>
      </c>
      <c r="GC17" s="1111">
        <v>15.6589343887371</v>
      </c>
      <c r="GD17" s="1111">
        <v>0</v>
      </c>
      <c r="GE17" s="1111">
        <v>2.6717924575510401</v>
      </c>
      <c r="GF17" s="1111">
        <v>0</v>
      </c>
      <c r="GG17" s="1111">
        <v>12.3249284744661</v>
      </c>
      <c r="GH17" s="1111">
        <v>1.8044169389474201</v>
      </c>
      <c r="GI17" s="1111">
        <v>1.0126829759398801</v>
      </c>
      <c r="GJ17" s="1111">
        <v>1.37618940447567</v>
      </c>
      <c r="GK17" s="1111">
        <v>5.55494583678884</v>
      </c>
      <c r="GL17" s="1111">
        <v>79.305604805502796</v>
      </c>
      <c r="GM17" s="1111">
        <v>59.868956363635803</v>
      </c>
      <c r="GN17" s="1111">
        <v>0</v>
      </c>
      <c r="GO17" s="1111">
        <v>76.297200000000004</v>
      </c>
      <c r="GP17" s="1111">
        <v>251.972625273733</v>
      </c>
      <c r="GQ17" s="1111">
        <v>2962.4443951783301</v>
      </c>
      <c r="GR17" s="1111">
        <v>0</v>
      </c>
      <c r="GS17" s="1111">
        <v>0</v>
      </c>
      <c r="GT17" s="1111">
        <v>10.308</v>
      </c>
      <c r="GU17" s="1111">
        <v>328.19729090909101</v>
      </c>
      <c r="GV17" s="1111">
        <v>0</v>
      </c>
      <c r="GW17" s="1111">
        <v>410.30360000000002</v>
      </c>
      <c r="GX17" s="1111">
        <v>359.71389113682102</v>
      </c>
      <c r="GY17" s="1111">
        <v>2670.3759472175202</v>
      </c>
      <c r="GZ17" s="1111">
        <v>0</v>
      </c>
      <c r="HA17" s="1111">
        <v>10.308</v>
      </c>
      <c r="HB17" s="1111">
        <v>0</v>
      </c>
      <c r="HC17" s="1111">
        <v>0</v>
      </c>
      <c r="HD17" s="1111">
        <v>0.26040000000000002</v>
      </c>
      <c r="HE17" s="1111">
        <v>130.24877512601699</v>
      </c>
      <c r="HF17" s="1111">
        <v>8.2728648257027402</v>
      </c>
      <c r="HG17" s="1111">
        <v>1107.60380357143</v>
      </c>
      <c r="HH17" s="1111">
        <v>2169.7498541865598</v>
      </c>
      <c r="HI17" s="1111">
        <v>954.963178807948</v>
      </c>
      <c r="HJ17" s="1111">
        <v>69.294431026068906</v>
      </c>
      <c r="HK17" s="1111">
        <v>2.6040000000000001</v>
      </c>
      <c r="HL17" s="1111">
        <v>189.53253991667799</v>
      </c>
      <c r="HM17" s="1111">
        <v>252.83197294401</v>
      </c>
      <c r="HN17" s="1111">
        <v>17343.043966203099</v>
      </c>
      <c r="HO17" s="1111">
        <v>222.666666666667</v>
      </c>
      <c r="HP17" s="1111">
        <v>456.62</v>
      </c>
      <c r="HQ17" s="1111">
        <v>0</v>
      </c>
      <c r="HR17" s="1111">
        <v>43.431051103514598</v>
      </c>
      <c r="HS17" s="1111">
        <v>7.9074024915999201</v>
      </c>
      <c r="HT17" s="1111">
        <v>79.890821243489398</v>
      </c>
      <c r="HU17" s="1111">
        <v>10.308</v>
      </c>
      <c r="HV17" s="1111">
        <v>4.7717958477508597</v>
      </c>
      <c r="HW17" s="1111">
        <v>0</v>
      </c>
      <c r="HX17" s="1111">
        <v>70.394800000000004</v>
      </c>
      <c r="HY17" s="1111">
        <v>72.4273535671839</v>
      </c>
      <c r="HZ17" s="1111">
        <v>0</v>
      </c>
      <c r="IA17" s="1111">
        <v>1265.81945984869</v>
      </c>
      <c r="IB17" s="1111">
        <v>0.51326529428571399</v>
      </c>
      <c r="IC17" s="1111">
        <v>97.840875540942093</v>
      </c>
      <c r="ID17" s="1111">
        <v>190.01731874519999</v>
      </c>
      <c r="IE17" s="1111">
        <v>0</v>
      </c>
      <c r="IF17" s="1111">
        <v>658.85299999999995</v>
      </c>
      <c r="IG17" s="1111">
        <v>333.00196696569901</v>
      </c>
      <c r="IH17" s="1111">
        <v>2077.8146921897001</v>
      </c>
      <c r="II17" s="1111">
        <v>0</v>
      </c>
      <c r="IJ17" s="1111">
        <v>163.41257142857199</v>
      </c>
      <c r="IK17" s="1111">
        <v>8.2248858055895493</v>
      </c>
      <c r="IL17" s="1111">
        <v>93.685285669344694</v>
      </c>
      <c r="IM17" s="1111">
        <v>46.796242970530599</v>
      </c>
      <c r="IN17" s="1111">
        <v>76.005830737490797</v>
      </c>
      <c r="IO17" s="1111">
        <v>156.08429339310501</v>
      </c>
      <c r="IP17" s="1111">
        <v>0.116000871012572</v>
      </c>
      <c r="IQ17" s="1111">
        <v>3.8426851667433501</v>
      </c>
      <c r="IR17" s="1111">
        <v>3.8159245612056199E-2</v>
      </c>
      <c r="IS17" s="1111">
        <v>0.61837531035636994</v>
      </c>
      <c r="IT17" s="1111">
        <v>0.21920414329272001</v>
      </c>
      <c r="IU17" s="1111">
        <v>1467.26859501172</v>
      </c>
      <c r="IV17" s="1111">
        <v>61.502562436363597</v>
      </c>
      <c r="IW17" s="1111">
        <v>2562.3524523433998</v>
      </c>
      <c r="IX17" s="1111">
        <v>1830.1343400000001</v>
      </c>
      <c r="IY17" s="1111">
        <v>427.51391402851198</v>
      </c>
      <c r="IZ17" s="1111">
        <v>31.398587961509801</v>
      </c>
      <c r="JA17" s="1111">
        <v>26.909214865667401</v>
      </c>
      <c r="JB17" s="1111">
        <v>53.105368069390899</v>
      </c>
      <c r="JC17" s="1111">
        <v>134.34667009706399</v>
      </c>
      <c r="JD17" s="1111">
        <v>58.944357321252298</v>
      </c>
      <c r="JE17" s="1111">
        <v>1819.5958446336999</v>
      </c>
      <c r="JF17" s="1111">
        <v>119.597394882511</v>
      </c>
      <c r="JG17" s="1111">
        <v>240.948059662943</v>
      </c>
      <c r="JH17" s="1111">
        <v>0</v>
      </c>
      <c r="JI17" s="1111">
        <v>28.536018938585102</v>
      </c>
      <c r="JJ17" s="1111">
        <v>63.149718666889001</v>
      </c>
      <c r="JK17" s="1111">
        <v>135.74187101328701</v>
      </c>
      <c r="JL17" s="1111">
        <v>0</v>
      </c>
      <c r="JM17" s="1111">
        <v>1.5409090909090899</v>
      </c>
      <c r="JN17" s="1111">
        <v>24.272727272727298</v>
      </c>
      <c r="JO17" s="1111">
        <v>119.22245454545499</v>
      </c>
      <c r="JP17" s="1111">
        <v>1086.58669056041</v>
      </c>
      <c r="JQ17" s="1111">
        <v>1762.9935175194</v>
      </c>
      <c r="JR17" s="1111">
        <v>59.392699999999998</v>
      </c>
      <c r="JS17" s="1111">
        <v>10.8292972020233</v>
      </c>
      <c r="JT17" s="1111">
        <v>9.0710040000000003</v>
      </c>
      <c r="JU17" s="1111">
        <v>2.7504749999999998</v>
      </c>
      <c r="JV17" s="1111">
        <v>1.95818</v>
      </c>
      <c r="JW17" s="1111">
        <v>410.56080381832402</v>
      </c>
      <c r="JX17" s="1111">
        <v>292.57900600464302</v>
      </c>
      <c r="JY17" s="1111">
        <v>5.3456000000000001</v>
      </c>
      <c r="JZ17" s="1111">
        <v>714.65099949777095</v>
      </c>
      <c r="KA17" s="1111">
        <v>104.7435</v>
      </c>
      <c r="KB17" s="1111">
        <v>151.11195199660801</v>
      </c>
      <c r="KC17" s="1111">
        <v>409.84649967885002</v>
      </c>
      <c r="KD17" s="1111">
        <v>87.569770864833998</v>
      </c>
      <c r="KE17" s="1111">
        <v>51.980584090715801</v>
      </c>
      <c r="KF17" s="1111">
        <v>8.0960731554280603</v>
      </c>
      <c r="KG17" s="1111">
        <v>2.6436157242213998</v>
      </c>
      <c r="KH17" s="1111">
        <v>7.2721716696840897</v>
      </c>
      <c r="KI17" s="1111">
        <v>0</v>
      </c>
      <c r="KJ17" s="1111">
        <v>252.284284173971</v>
      </c>
      <c r="KK17" s="1111">
        <v>124.68712777487001</v>
      </c>
      <c r="KL17" s="1111">
        <v>114.56136503083999</v>
      </c>
      <c r="KM17" s="1111">
        <v>10.1257627440303</v>
      </c>
      <c r="KN17" s="1111">
        <v>29.797290962536</v>
      </c>
      <c r="KO17" s="1111">
        <v>29.797162324533002</v>
      </c>
      <c r="KP17" s="1111">
        <v>1.2863800277621099E-4</v>
      </c>
      <c r="KQ17" s="1111">
        <v>-4691.1218666133</v>
      </c>
      <c r="KR17" s="1111">
        <v>-4557.0095845112101</v>
      </c>
      <c r="KS17" s="1111">
        <v>36.3647489288741</v>
      </c>
      <c r="KT17" s="1111">
        <v>-7.1268244194426398</v>
      </c>
      <c r="KU17" s="1111">
        <v>-160.38536973523901</v>
      </c>
      <c r="KV17" s="1111">
        <v>-2.9648368763322002</v>
      </c>
      <c r="KW17" s="1111">
        <v>0</v>
      </c>
      <c r="KX17" s="1111">
        <v>3954.8947667775001</v>
      </c>
      <c r="KY17" s="1111">
        <v>-6.6044304725948404</v>
      </c>
      <c r="KZ17" s="1111">
        <v>907.42971276542698</v>
      </c>
      <c r="LA17" s="1111">
        <v>0.40205696207535901</v>
      </c>
      <c r="LB17" s="1111">
        <v>0.22438228129233501</v>
      </c>
      <c r="LC17" s="1111">
        <v>3078.2866450725101</v>
      </c>
      <c r="LD17" s="1111">
        <v>-24.843599831204799</v>
      </c>
      <c r="LE17" s="1111">
        <v>-2150.1267102582001</v>
      </c>
      <c r="LF17" s="1111">
        <v>48.217500000000001</v>
      </c>
      <c r="LG17" s="1111">
        <v>-746.57664905781905</v>
      </c>
      <c r="LH17" s="1111">
        <v>12.589785746802001</v>
      </c>
      <c r="LI17" s="1111">
        <v>7.1196604841464897</v>
      </c>
      <c r="LJ17" s="1111">
        <v>-1281.6834003459301</v>
      </c>
      <c r="LK17" s="1111">
        <v>-2.3969605158042002</v>
      </c>
      <c r="LL17" s="1111">
        <v>-187.39664656955301</v>
      </c>
      <c r="LM17" s="1111">
        <v>132.98651349547001</v>
      </c>
      <c r="LN17" s="1111">
        <v>132.975282003633</v>
      </c>
      <c r="LO17" s="1111">
        <v>1.12314918414918E-2</v>
      </c>
      <c r="LP17" s="1111">
        <v>0</v>
      </c>
      <c r="LQ17" s="1111">
        <v>1813.9842447082999</v>
      </c>
      <c r="LR17" s="1111">
        <v>515.04804472060096</v>
      </c>
      <c r="LS17" s="1111">
        <v>12.1483997848794</v>
      </c>
      <c r="LT17" s="1111">
        <v>32.345540376278997</v>
      </c>
      <c r="LU17" s="1111">
        <v>160.60931888230499</v>
      </c>
      <c r="LV17" s="1111">
        <v>1093.8329409441999</v>
      </c>
      <c r="LW17" s="1111">
        <v>0</v>
      </c>
      <c r="LX17" s="1111">
        <v>0</v>
      </c>
      <c r="LY17" s="1111">
        <v>-517.93093987528005</v>
      </c>
      <c r="LZ17" s="1111">
        <v>-447.11006711125799</v>
      </c>
      <c r="MA17" s="1111">
        <v>-70.820872764024998</v>
      </c>
      <c r="MB17" s="1111">
        <v>160.39448157307999</v>
      </c>
      <c r="MC17" s="1111">
        <v>1.9811966257825699</v>
      </c>
      <c r="MD17" s="1111">
        <v>103.164639827299</v>
      </c>
      <c r="ME17" s="1111">
        <v>55.248645119999999</v>
      </c>
      <c r="MF17" s="1111">
        <v>6124.2797636560999</v>
      </c>
      <c r="MG17" s="1111">
        <v>0.14899593904119901</v>
      </c>
      <c r="MH17" s="1111">
        <v>493.28069532304102</v>
      </c>
      <c r="MI17" s="1111">
        <v>0.49567794829151302</v>
      </c>
      <c r="MJ17" s="1111">
        <v>0.94438176080379999</v>
      </c>
      <c r="MK17" s="1111">
        <v>5629.4100126849598</v>
      </c>
      <c r="ML17" s="1111">
        <v>2866.2177795767002</v>
      </c>
      <c r="MM17" s="1111">
        <v>1835.4937712989699</v>
      </c>
      <c r="MN17" s="1111">
        <v>1030.72400827772</v>
      </c>
    </row>
    <row r="18" spans="1:352" ht="13.9" x14ac:dyDescent="0.4">
      <c r="A18" s="1096">
        <v>1998</v>
      </c>
      <c r="B18" s="1145">
        <v>146163.58357339</v>
      </c>
      <c r="C18" s="1111">
        <v>49.335228718375298</v>
      </c>
      <c r="D18" s="1111">
        <v>0.25099341762437499</v>
      </c>
      <c r="E18" s="1111">
        <v>29136.972384787499</v>
      </c>
      <c r="F18" s="1111">
        <v>0</v>
      </c>
      <c r="G18" s="1111">
        <v>807.27702495657695</v>
      </c>
      <c r="H18" s="1111">
        <v>282.498255361676</v>
      </c>
      <c r="I18" s="1111">
        <v>0</v>
      </c>
      <c r="J18" s="1111">
        <v>11219.0790555241</v>
      </c>
      <c r="K18" s="1111">
        <v>0</v>
      </c>
      <c r="L18" s="1111">
        <v>0</v>
      </c>
      <c r="M18" s="1111">
        <v>0</v>
      </c>
      <c r="N18" s="1111">
        <v>263.73631959148702</v>
      </c>
      <c r="O18" s="1111">
        <v>30.041689728931999</v>
      </c>
      <c r="P18" s="1111">
        <v>863.12871367147602</v>
      </c>
      <c r="Q18" s="1111">
        <v>103.72173127334401</v>
      </c>
      <c r="R18" s="1111">
        <v>0</v>
      </c>
      <c r="S18" s="1111">
        <v>0</v>
      </c>
      <c r="T18" s="1111">
        <v>1951.04</v>
      </c>
      <c r="U18" s="1111">
        <v>140.94</v>
      </c>
      <c r="V18" s="1111">
        <v>30.382673854613699</v>
      </c>
      <c r="W18" s="1111">
        <v>0</v>
      </c>
      <c r="X18" s="1111">
        <v>86.247219963966501</v>
      </c>
      <c r="Y18" s="1111">
        <v>188.85038504517701</v>
      </c>
      <c r="Z18" s="1111">
        <v>1946.76468755563</v>
      </c>
      <c r="AA18" s="1111">
        <v>0</v>
      </c>
      <c r="AB18" s="1111">
        <v>1107.6300000000001</v>
      </c>
      <c r="AC18" s="1111">
        <v>265.31402533126402</v>
      </c>
      <c r="AD18" s="1111">
        <v>228.51814624573299</v>
      </c>
      <c r="AE18" s="1111">
        <v>0</v>
      </c>
      <c r="AF18" s="1111">
        <v>0.35223892760890801</v>
      </c>
      <c r="AG18" s="1111">
        <v>22.6755635789658</v>
      </c>
      <c r="AH18" s="1111">
        <v>0</v>
      </c>
      <c r="AI18" s="1111">
        <v>439.90939259999999</v>
      </c>
      <c r="AJ18" s="1111">
        <v>3025.41181174859</v>
      </c>
      <c r="AK18" s="1111">
        <v>41.681224180950998</v>
      </c>
      <c r="AL18" s="1111">
        <v>256.14311472970002</v>
      </c>
      <c r="AM18" s="1111">
        <v>16.6820238</v>
      </c>
      <c r="AN18" s="1111">
        <v>1032.64327742349</v>
      </c>
      <c r="AO18" s="1111">
        <v>3.5033566433566499</v>
      </c>
      <c r="AP18" s="1111">
        <v>0</v>
      </c>
      <c r="AQ18" s="1111">
        <v>17.270177427863501</v>
      </c>
      <c r="AR18" s="1111">
        <v>3.37142973568527</v>
      </c>
      <c r="AS18" s="1111">
        <v>0</v>
      </c>
      <c r="AT18" s="1111">
        <v>36.779026245058702</v>
      </c>
      <c r="AU18" s="1111">
        <v>317.28648608817701</v>
      </c>
      <c r="AV18" s="1111">
        <v>0</v>
      </c>
      <c r="AW18" s="1111">
        <v>0</v>
      </c>
      <c r="AX18" s="1111">
        <v>0</v>
      </c>
      <c r="AY18" s="1111">
        <v>0</v>
      </c>
      <c r="AZ18" s="1111">
        <v>0</v>
      </c>
      <c r="BA18" s="1111">
        <v>0</v>
      </c>
      <c r="BB18" s="1111">
        <v>0</v>
      </c>
      <c r="BC18" s="1111">
        <v>0</v>
      </c>
      <c r="BD18" s="1111">
        <v>0</v>
      </c>
      <c r="BE18" s="1111">
        <v>1343.19810243745</v>
      </c>
      <c r="BF18" s="1111">
        <v>46.787986006375903</v>
      </c>
      <c r="BG18" s="1111">
        <v>2.39990900991413</v>
      </c>
      <c r="BH18" s="1111">
        <v>26.518559264270699</v>
      </c>
      <c r="BI18" s="1111">
        <v>2872.9718743014</v>
      </c>
      <c r="BJ18" s="1111">
        <v>3.1951573644650302</v>
      </c>
      <c r="BK18" s="1111">
        <v>19.3162208265265</v>
      </c>
      <c r="BL18" s="1111">
        <v>259.14313260248298</v>
      </c>
      <c r="BM18" s="1111">
        <v>203.34653965900699</v>
      </c>
      <c r="BN18" s="1111">
        <v>13.266596351469101</v>
      </c>
      <c r="BO18" s="1111">
        <v>16.789148161420801</v>
      </c>
      <c r="BP18" s="1111">
        <v>1011.68051993959</v>
      </c>
      <c r="BQ18" s="1111">
        <v>0</v>
      </c>
      <c r="BR18" s="1111">
        <v>936.59261954609894</v>
      </c>
      <c r="BS18" s="1111">
        <v>230.23694926847901</v>
      </c>
      <c r="BT18" s="1111">
        <v>65.974190058231102</v>
      </c>
      <c r="BU18" s="1111">
        <v>14.807</v>
      </c>
      <c r="BV18" s="1111">
        <v>7.5172761727147401</v>
      </c>
      <c r="BW18" s="1111">
        <v>278.36939250464002</v>
      </c>
      <c r="BX18" s="1111">
        <v>203.94905868962701</v>
      </c>
      <c r="BY18" s="1111">
        <v>370.17500000000001</v>
      </c>
      <c r="BZ18" s="1111">
        <v>52.279238837516097</v>
      </c>
      <c r="CA18" s="1111">
        <v>2334.1364137238402</v>
      </c>
      <c r="CB18" s="1111">
        <v>34.255829453312202</v>
      </c>
      <c r="CC18" s="1111">
        <v>73.164000000000001</v>
      </c>
      <c r="CD18" s="1111">
        <v>11.9593030020461</v>
      </c>
      <c r="CE18" s="1111">
        <v>716.60493829692302</v>
      </c>
      <c r="CF18" s="1111">
        <v>91.348878542165593</v>
      </c>
      <c r="CG18" s="1111">
        <v>214.26599999999999</v>
      </c>
      <c r="CH18" s="1111">
        <v>52.224701938508801</v>
      </c>
      <c r="CI18" s="1111">
        <v>1372.1719024239001</v>
      </c>
      <c r="CJ18" s="1111">
        <v>16.583339840623701</v>
      </c>
      <c r="CK18" s="1111">
        <v>14.8907278249517</v>
      </c>
      <c r="CL18" s="1111">
        <v>96.497525208332107</v>
      </c>
      <c r="CM18" s="1111">
        <v>0</v>
      </c>
      <c r="CN18" s="1111">
        <v>1061.5308838507401</v>
      </c>
      <c r="CO18" s="1111">
        <v>0.871</v>
      </c>
      <c r="CP18" s="1111">
        <v>9.8991373222789694</v>
      </c>
      <c r="CQ18" s="1111">
        <v>3.29597323828113</v>
      </c>
      <c r="CR18" s="1111">
        <v>191.30458625976399</v>
      </c>
      <c r="CS18" s="1111">
        <v>8.3297412430220508</v>
      </c>
      <c r="CT18" s="1111">
        <v>4.1590352098057002</v>
      </c>
      <c r="CU18" s="1111">
        <v>0.86847200000000002</v>
      </c>
      <c r="CV18" s="1111">
        <v>34.1785415640406</v>
      </c>
      <c r="CW18" s="1111">
        <v>219.074332885525</v>
      </c>
      <c r="CX18" s="1111">
        <v>1679.5495658329</v>
      </c>
      <c r="CY18" s="1111">
        <v>137.58481955603901</v>
      </c>
      <c r="CZ18" s="1111">
        <v>721.30900658236897</v>
      </c>
      <c r="DA18" s="1111">
        <v>193.09743628403501</v>
      </c>
      <c r="DB18" s="1111">
        <v>53.737810351139601</v>
      </c>
      <c r="DC18" s="1111">
        <v>4.6587179199481499</v>
      </c>
      <c r="DD18" s="1111">
        <v>10.573578017059299</v>
      </c>
      <c r="DE18" s="1111">
        <v>317.78479754594701</v>
      </c>
      <c r="DF18" s="1111">
        <v>1062.88950784699</v>
      </c>
      <c r="DG18" s="1111">
        <v>601.62619182777598</v>
      </c>
      <c r="DH18" s="1111">
        <v>2932.48661179896</v>
      </c>
      <c r="DI18" s="1111">
        <v>49.526858846276099</v>
      </c>
      <c r="DJ18" s="1111">
        <v>80.413743966434197</v>
      </c>
      <c r="DK18" s="1111">
        <v>36.340000000000003</v>
      </c>
      <c r="DL18" s="1111">
        <v>0</v>
      </c>
      <c r="DM18" s="1111">
        <v>205.034477604638</v>
      </c>
      <c r="DN18" s="1111">
        <v>23.629323751782401</v>
      </c>
      <c r="DO18" s="1111">
        <v>1165.1942281592001</v>
      </c>
      <c r="DP18" s="1111">
        <v>286.43271236391502</v>
      </c>
      <c r="DQ18" s="1111">
        <v>1.9496959748655101</v>
      </c>
      <c r="DR18" s="1111">
        <v>15.917032205955501</v>
      </c>
      <c r="DS18" s="1111">
        <v>0</v>
      </c>
      <c r="DT18" s="1111">
        <v>1.13153499424985</v>
      </c>
      <c r="DU18" s="1111">
        <v>0</v>
      </c>
      <c r="DV18" s="1111">
        <v>0.71753155632495702</v>
      </c>
      <c r="DW18" s="1111">
        <v>0</v>
      </c>
      <c r="DX18" s="1111">
        <v>0.75932245277910504</v>
      </c>
      <c r="DY18" s="1111">
        <v>25.475739232448898</v>
      </c>
      <c r="DZ18" s="1111">
        <v>123.850492994682</v>
      </c>
      <c r="EA18" s="1111">
        <v>1.3706623087564</v>
      </c>
      <c r="EB18" s="1111">
        <v>36.514367124101803</v>
      </c>
      <c r="EC18" s="1111">
        <v>0</v>
      </c>
      <c r="ED18" s="1111">
        <v>9.4273319115993299</v>
      </c>
      <c r="EE18" s="1111">
        <v>0</v>
      </c>
      <c r="EF18" s="1111">
        <v>13.484365261334499</v>
      </c>
      <c r="EG18" s="1111">
        <v>0</v>
      </c>
      <c r="EH18" s="1111">
        <v>14.509459793823501</v>
      </c>
      <c r="EI18" s="1111">
        <v>0.32759976718135903</v>
      </c>
      <c r="EJ18" s="1111">
        <v>336.11528311164801</v>
      </c>
      <c r="EK18" s="1111">
        <v>6421.4212436191001</v>
      </c>
      <c r="EL18" s="1111">
        <v>1154.08845030312</v>
      </c>
      <c r="EM18" s="1111">
        <v>8065.2652485281196</v>
      </c>
      <c r="EN18" s="1111">
        <v>1301.57334311452</v>
      </c>
      <c r="EO18" s="1111">
        <v>2710.0981848301799</v>
      </c>
      <c r="EP18" s="1111">
        <v>660.77412506917199</v>
      </c>
      <c r="EQ18" s="1111">
        <v>427.17678477661002</v>
      </c>
      <c r="ER18" s="1111">
        <v>1162.0917557810999</v>
      </c>
      <c r="ES18" s="1111">
        <v>517.44752148510702</v>
      </c>
      <c r="ET18" s="1111">
        <v>1032.3508177572401</v>
      </c>
      <c r="EU18" s="1111">
        <v>183.71413082202801</v>
      </c>
      <c r="EV18" s="1111">
        <v>578.61536877376602</v>
      </c>
      <c r="EW18" s="1111">
        <v>316.705834538744</v>
      </c>
      <c r="EX18" s="1111">
        <v>1153.7450020899701</v>
      </c>
      <c r="EY18" s="1111">
        <v>1072.35671394119</v>
      </c>
      <c r="EZ18" s="1111">
        <v>1031.4897325029899</v>
      </c>
      <c r="FA18" s="1111">
        <v>372.26902110472503</v>
      </c>
      <c r="FB18" s="1111">
        <v>755.57037812794999</v>
      </c>
      <c r="FC18" s="1111">
        <v>118.690480055164</v>
      </c>
      <c r="FD18" s="1111">
        <v>1517.95023554468</v>
      </c>
      <c r="FE18" s="1111">
        <v>630.09696095529796</v>
      </c>
      <c r="FF18" s="1111">
        <v>61.8846159978103</v>
      </c>
      <c r="FG18" s="1111">
        <v>7.7133721548456302</v>
      </c>
      <c r="FH18" s="1111">
        <v>0.21101144175617001</v>
      </c>
      <c r="FI18" s="1111">
        <v>2.0517342707951198</v>
      </c>
      <c r="FJ18" s="1111">
        <v>70.479845515582696</v>
      </c>
      <c r="FK18" s="1111">
        <v>18.255110705647901</v>
      </c>
      <c r="FL18" s="1111">
        <v>3.1981761952225001</v>
      </c>
      <c r="FM18" s="1111">
        <v>0</v>
      </c>
      <c r="FN18" s="1111">
        <v>0</v>
      </c>
      <c r="FO18" s="1111">
        <v>158.30921755839199</v>
      </c>
      <c r="FP18" s="1111">
        <v>141.90496494286799</v>
      </c>
      <c r="FQ18" s="1111">
        <v>157.619276575903</v>
      </c>
      <c r="FR18" s="1111">
        <v>0</v>
      </c>
      <c r="FS18" s="1111">
        <v>751.52216495192602</v>
      </c>
      <c r="FT18" s="1111">
        <v>1572.61812546797</v>
      </c>
      <c r="FU18" s="1111">
        <v>0.89112892246985398</v>
      </c>
      <c r="FV18" s="1111">
        <v>0</v>
      </c>
      <c r="FW18" s="1111">
        <v>0</v>
      </c>
      <c r="FX18" s="1111">
        <v>41.475467554196001</v>
      </c>
      <c r="FY18" s="1111">
        <v>26.814249421518099</v>
      </c>
      <c r="FZ18" s="1111">
        <v>27.564201475620401</v>
      </c>
      <c r="GA18" s="1111">
        <v>0</v>
      </c>
      <c r="GB18" s="1111">
        <v>0</v>
      </c>
      <c r="GC18" s="1111">
        <v>16.607793019252799</v>
      </c>
      <c r="GD18" s="1111">
        <v>0</v>
      </c>
      <c r="GE18" s="1111">
        <v>2.3934807432228098</v>
      </c>
      <c r="GF18" s="1111">
        <v>0</v>
      </c>
      <c r="GG18" s="1111">
        <v>12.8803765505301</v>
      </c>
      <c r="GH18" s="1111">
        <v>1.8085151057050599</v>
      </c>
      <c r="GI18" s="1111">
        <v>1.0149829674875299</v>
      </c>
      <c r="GJ18" s="1111">
        <v>1.4076610958159099</v>
      </c>
      <c r="GK18" s="1111">
        <v>5.54724077768382</v>
      </c>
      <c r="GL18" s="1111">
        <v>85.902283266280904</v>
      </c>
      <c r="GM18" s="1111">
        <v>68.290836363636799</v>
      </c>
      <c r="GN18" s="1111">
        <v>0</v>
      </c>
      <c r="GO18" s="1111">
        <v>51.389000000000003</v>
      </c>
      <c r="GP18" s="1111">
        <v>225.13937314613801</v>
      </c>
      <c r="GQ18" s="1111">
        <v>3255.4424888083399</v>
      </c>
      <c r="GR18" s="1111">
        <v>0</v>
      </c>
      <c r="GS18" s="1111">
        <v>0</v>
      </c>
      <c r="GT18" s="1111">
        <v>10.308</v>
      </c>
      <c r="GU18" s="1111">
        <v>224.28148363636399</v>
      </c>
      <c r="GV18" s="1111">
        <v>0</v>
      </c>
      <c r="GW18" s="1111">
        <v>317.04399999999998</v>
      </c>
      <c r="GX18" s="1111">
        <v>347.10318740682902</v>
      </c>
      <c r="GY18" s="1111">
        <v>2615.4243573429399</v>
      </c>
      <c r="GZ18" s="1111">
        <v>0</v>
      </c>
      <c r="HA18" s="1111">
        <v>10.308</v>
      </c>
      <c r="HB18" s="1111">
        <v>0</v>
      </c>
      <c r="HC18" s="1111">
        <v>0</v>
      </c>
      <c r="HD18" s="1111">
        <v>0</v>
      </c>
      <c r="HE18" s="1111">
        <v>128.56720857725199</v>
      </c>
      <c r="HF18" s="1111">
        <v>8.3321255853801901</v>
      </c>
      <c r="HG18" s="1111">
        <v>830.80894940476196</v>
      </c>
      <c r="HH18" s="1111">
        <v>2319.2591539899699</v>
      </c>
      <c r="HI18" s="1111">
        <v>1040.9411920529801</v>
      </c>
      <c r="HJ18" s="1111">
        <v>100.78028257318201</v>
      </c>
      <c r="HK18" s="1111">
        <v>0.871</v>
      </c>
      <c r="HL18" s="1111">
        <v>167.91458049917699</v>
      </c>
      <c r="HM18" s="1111">
        <v>247.86696123025499</v>
      </c>
      <c r="HN18" s="1111">
        <v>17908.613335828999</v>
      </c>
      <c r="HO18" s="1111">
        <v>213.76</v>
      </c>
      <c r="HP18" s="1111">
        <v>472.42</v>
      </c>
      <c r="HQ18" s="1111">
        <v>0</v>
      </c>
      <c r="HR18" s="1111">
        <v>34.106724274791603</v>
      </c>
      <c r="HS18" s="1111">
        <v>7.9604560766867296</v>
      </c>
      <c r="HT18" s="1111">
        <v>80.426837272393797</v>
      </c>
      <c r="HU18" s="1111">
        <v>10.308</v>
      </c>
      <c r="HV18" s="1111">
        <v>6.0086678200692001</v>
      </c>
      <c r="HW18" s="1111">
        <v>0</v>
      </c>
      <c r="HX18" s="1111">
        <v>66.195999999999998</v>
      </c>
      <c r="HY18" s="1111">
        <v>47.954814001612803</v>
      </c>
      <c r="HZ18" s="1111">
        <v>0</v>
      </c>
      <c r="IA18" s="1111">
        <v>1242.7097034406399</v>
      </c>
      <c r="IB18" s="1111">
        <v>0.51326529428571399</v>
      </c>
      <c r="IC18" s="1111">
        <v>96.654867630903595</v>
      </c>
      <c r="ID18" s="1111">
        <v>181.057356426919</v>
      </c>
      <c r="IE18" s="1111">
        <v>0</v>
      </c>
      <c r="IF18" s="1111">
        <v>636.51900000000001</v>
      </c>
      <c r="IG18" s="1111">
        <v>235.74883437115199</v>
      </c>
      <c r="IH18" s="1111">
        <v>1967.3033014329001</v>
      </c>
      <c r="II18" s="1111">
        <v>0</v>
      </c>
      <c r="IJ18" s="1111">
        <v>66.942038690476394</v>
      </c>
      <c r="IK18" s="1111">
        <v>13.454056061919299</v>
      </c>
      <c r="IL18" s="1111">
        <v>96.817603363636394</v>
      </c>
      <c r="IM18" s="1111">
        <v>39.084431816985798</v>
      </c>
      <c r="IN18" s="1111">
        <v>78.547045260000004</v>
      </c>
      <c r="IO18" s="1111">
        <v>130.362301235741</v>
      </c>
      <c r="IP18" s="1111">
        <v>0.116000871012572</v>
      </c>
      <c r="IQ18" s="1111">
        <v>3.69776485068778</v>
      </c>
      <c r="IR18" s="1111">
        <v>3.9107108318793403E-2</v>
      </c>
      <c r="IS18" s="1111">
        <v>0.57240221999999996</v>
      </c>
      <c r="IT18" s="1111">
        <v>0.20290741909090901</v>
      </c>
      <c r="IU18" s="1111">
        <v>1475.9650800986999</v>
      </c>
      <c r="IV18" s="1111">
        <v>61.502562436363597</v>
      </c>
      <c r="IW18" s="1111">
        <v>2609.8378708011001</v>
      </c>
      <c r="IX18" s="1111">
        <v>1864.9552799999999</v>
      </c>
      <c r="IY18" s="1111">
        <v>462.665647322491</v>
      </c>
      <c r="IZ18" s="1111">
        <v>29.6295687962992</v>
      </c>
      <c r="JA18" s="1111">
        <v>25.880663370397599</v>
      </c>
      <c r="JB18" s="1111">
        <v>50.664472745140301</v>
      </c>
      <c r="JC18" s="1111">
        <v>134.118500401034</v>
      </c>
      <c r="JD18" s="1111">
        <v>41.923738165766402</v>
      </c>
      <c r="JE18" s="1111">
        <v>1849.8018881758001</v>
      </c>
      <c r="JF18" s="1111">
        <v>138.41037037906599</v>
      </c>
      <c r="JG18" s="1111">
        <v>299.04417507547799</v>
      </c>
      <c r="JH18" s="1111">
        <v>0</v>
      </c>
      <c r="JI18" s="1111">
        <v>28.536018938585102</v>
      </c>
      <c r="JJ18" s="1111">
        <v>63.149718666889001</v>
      </c>
      <c r="JK18" s="1111">
        <v>64.510380306666406</v>
      </c>
      <c r="JL18" s="1111">
        <v>0</v>
      </c>
      <c r="JM18" s="1111">
        <v>1.5409090909090899</v>
      </c>
      <c r="JN18" s="1111">
        <v>22.3140000000001</v>
      </c>
      <c r="JO18" s="1111">
        <v>119.22245454545499</v>
      </c>
      <c r="JP18" s="1111">
        <v>1113.07386117279</v>
      </c>
      <c r="JQ18" s="1111">
        <v>1645.7920931326</v>
      </c>
      <c r="JR18" s="1111">
        <v>63.222000000000001</v>
      </c>
      <c r="JS18" s="1111">
        <v>9.1246328667435002</v>
      </c>
      <c r="JT18" s="1111">
        <v>7.7093639999999999</v>
      </c>
      <c r="JU18" s="1111">
        <v>2.343315</v>
      </c>
      <c r="JV18" s="1111">
        <v>1.87964</v>
      </c>
      <c r="JW18" s="1111">
        <v>360.43582796155101</v>
      </c>
      <c r="JX18" s="1111">
        <v>288.51075547128801</v>
      </c>
      <c r="JY18" s="1111">
        <v>0.43690000000000001</v>
      </c>
      <c r="JZ18" s="1111">
        <v>690.34493562629302</v>
      </c>
      <c r="KA18" s="1111">
        <v>109.24674</v>
      </c>
      <c r="KB18" s="1111">
        <v>112.53798220671899</v>
      </c>
      <c r="KC18" s="1111">
        <v>278.07513684278001</v>
      </c>
      <c r="KD18" s="1111">
        <v>78.695978876872701</v>
      </c>
      <c r="KE18" s="1111">
        <v>52.949432352593199</v>
      </c>
      <c r="KF18" s="1111">
        <v>6.2705959264440398</v>
      </c>
      <c r="KG18" s="1111">
        <v>2.3514734724165098</v>
      </c>
      <c r="KH18" s="1111">
        <v>2.9682374921708301</v>
      </c>
      <c r="KI18" s="1111">
        <v>0</v>
      </c>
      <c r="KJ18" s="1111">
        <v>134.83941872228201</v>
      </c>
      <c r="KK18" s="1111">
        <v>234.62579773067</v>
      </c>
      <c r="KL18" s="1111">
        <v>196.481881090717</v>
      </c>
      <c r="KM18" s="1111">
        <v>38.143916639952501</v>
      </c>
      <c r="KN18" s="1111">
        <v>38.724184174789002</v>
      </c>
      <c r="KO18" s="1111">
        <v>38.724093720118802</v>
      </c>
      <c r="KP18" s="1111">
        <v>9.0454670346548302E-5</v>
      </c>
      <c r="KQ18" s="1111">
        <v>-4835.7593917988997</v>
      </c>
      <c r="KR18" s="1111">
        <v>-4663.7900039256401</v>
      </c>
      <c r="KS18" s="1111">
        <v>20.548879501723501</v>
      </c>
      <c r="KT18" s="1111">
        <v>-8.3707600348942997</v>
      </c>
      <c r="KU18" s="1111">
        <v>-180.86190495588701</v>
      </c>
      <c r="KV18" s="1111">
        <v>-3.28560238420655</v>
      </c>
      <c r="KW18" s="1111">
        <v>0</v>
      </c>
      <c r="KX18" s="1111">
        <v>3964.5238671943998</v>
      </c>
      <c r="KY18" s="1111">
        <v>-1.0671638391301701</v>
      </c>
      <c r="KZ18" s="1111">
        <v>914.85996321295897</v>
      </c>
      <c r="LA18" s="1111">
        <v>0.409914556644626</v>
      </c>
      <c r="LB18" s="1111">
        <v>0.229011688138376</v>
      </c>
      <c r="LC18" s="1111">
        <v>3073.9994339193699</v>
      </c>
      <c r="LD18" s="1111">
        <v>-23.9072923435901</v>
      </c>
      <c r="LE18" s="1111">
        <v>-2182.2908036109998</v>
      </c>
      <c r="LF18" s="1111">
        <v>48.217500000000001</v>
      </c>
      <c r="LG18" s="1111">
        <v>-761.10595322133202</v>
      </c>
      <c r="LH18" s="1111">
        <v>10.347126079594901</v>
      </c>
      <c r="LI18" s="1111">
        <v>5.83866426726693</v>
      </c>
      <c r="LJ18" s="1111">
        <v>-1293.2693443656799</v>
      </c>
      <c r="LK18" s="1111">
        <v>-2.2605215064801798</v>
      </c>
      <c r="LL18" s="1111">
        <v>-190.058274864384</v>
      </c>
      <c r="LM18" s="1111">
        <v>98.524152164756003</v>
      </c>
      <c r="LN18" s="1111">
        <v>98.508534240284206</v>
      </c>
      <c r="LO18" s="1111">
        <v>1.12314918414918E-2</v>
      </c>
      <c r="LP18" s="1111">
        <v>4.3864326305799901E-3</v>
      </c>
      <c r="LQ18" s="1111">
        <v>1803.5888983108</v>
      </c>
      <c r="LR18" s="1111">
        <v>523.36580048741598</v>
      </c>
      <c r="LS18" s="1111">
        <v>12.3348065184978</v>
      </c>
      <c r="LT18" s="1111">
        <v>32.742041391543403</v>
      </c>
      <c r="LU18" s="1111">
        <v>153.070811627133</v>
      </c>
      <c r="LV18" s="1111">
        <v>1082.0754382862499</v>
      </c>
      <c r="LW18" s="1111">
        <v>0</v>
      </c>
      <c r="LX18" s="1111">
        <v>0</v>
      </c>
      <c r="LY18" s="1111">
        <v>-493.18642058098999</v>
      </c>
      <c r="LZ18" s="1111">
        <v>-427.50987725609002</v>
      </c>
      <c r="MA18" s="1111">
        <v>-65.676543324898006</v>
      </c>
      <c r="MB18" s="1111">
        <v>161.71259321106001</v>
      </c>
      <c r="MC18" s="1111">
        <v>2.0991493770447098</v>
      </c>
      <c r="MD18" s="1111">
        <v>102.925278714011</v>
      </c>
      <c r="ME18" s="1111">
        <v>56.688165120000001</v>
      </c>
      <c r="MF18" s="1111">
        <v>6816.9626125983996</v>
      </c>
      <c r="MG18" s="1111">
        <v>0.204844444872954</v>
      </c>
      <c r="MH18" s="1111">
        <v>548.27218698425997</v>
      </c>
      <c r="MI18" s="1111">
        <v>0.31352979632220102</v>
      </c>
      <c r="MJ18" s="1111">
        <v>1.3794582718748301</v>
      </c>
      <c r="MK18" s="1111">
        <v>6266.7925931011196</v>
      </c>
      <c r="ML18" s="1111">
        <v>3033.9558746931002</v>
      </c>
      <c r="MM18" s="1111">
        <v>1791.66557713358</v>
      </c>
      <c r="MN18" s="1111">
        <v>1242.29029755956</v>
      </c>
    </row>
    <row r="19" spans="1:352" ht="13.9" x14ac:dyDescent="0.4">
      <c r="A19" s="1096">
        <v>1999</v>
      </c>
      <c r="B19" s="1145">
        <v>144541.2930373</v>
      </c>
      <c r="C19" s="1111">
        <v>49.026280348151097</v>
      </c>
      <c r="D19" s="1111">
        <v>0.25099341762437499</v>
      </c>
      <c r="E19" s="1111">
        <v>24572.559663534699</v>
      </c>
      <c r="F19" s="1111">
        <v>0</v>
      </c>
      <c r="G19" s="1111">
        <v>839.56156043474198</v>
      </c>
      <c r="H19" s="1111">
        <v>329.06280377122198</v>
      </c>
      <c r="I19" s="1111">
        <v>0</v>
      </c>
      <c r="J19" s="1111">
        <v>13656.7528550385</v>
      </c>
      <c r="K19" s="1111">
        <v>0</v>
      </c>
      <c r="L19" s="1111">
        <v>0</v>
      </c>
      <c r="M19" s="1111">
        <v>0</v>
      </c>
      <c r="N19" s="1111">
        <v>245.58732004548699</v>
      </c>
      <c r="O19" s="1111">
        <v>22.7588558552515</v>
      </c>
      <c r="P19" s="1111">
        <v>759.20722242803697</v>
      </c>
      <c r="Q19" s="1111">
        <v>99.456761758886998</v>
      </c>
      <c r="R19" s="1111">
        <v>0</v>
      </c>
      <c r="S19" s="1111">
        <v>0</v>
      </c>
      <c r="T19" s="1111">
        <v>1528.626</v>
      </c>
      <c r="U19" s="1111">
        <v>100.05</v>
      </c>
      <c r="V19" s="1111">
        <v>30.377557376216402</v>
      </c>
      <c r="W19" s="1111">
        <v>0</v>
      </c>
      <c r="X19" s="1111">
        <v>89.663219963966597</v>
      </c>
      <c r="Y19" s="1111">
        <v>210.01726905139901</v>
      </c>
      <c r="Z19" s="1111">
        <v>1888.7253667700199</v>
      </c>
      <c r="AA19" s="1111">
        <v>0</v>
      </c>
      <c r="AB19" s="1111">
        <v>1083.45</v>
      </c>
      <c r="AC19" s="1111">
        <v>291.46104480700001</v>
      </c>
      <c r="AD19" s="1111">
        <v>212.355714600233</v>
      </c>
      <c r="AE19" s="1111">
        <v>0</v>
      </c>
      <c r="AF19" s="1111">
        <v>0.65709374191773195</v>
      </c>
      <c r="AG19" s="1111">
        <v>17.2914897650607</v>
      </c>
      <c r="AH19" s="1111">
        <v>0</v>
      </c>
      <c r="AI19" s="1111">
        <v>395.16235721999999</v>
      </c>
      <c r="AJ19" s="1111">
        <v>3041.36598635051</v>
      </c>
      <c r="AK19" s="1111">
        <v>5.6293680091655602</v>
      </c>
      <c r="AL19" s="1111">
        <v>268.90772177603202</v>
      </c>
      <c r="AM19" s="1111">
        <v>14.84136219</v>
      </c>
      <c r="AN19" s="1111">
        <v>1194.9864635414001</v>
      </c>
      <c r="AO19" s="1111">
        <v>6.9356993006992997</v>
      </c>
      <c r="AP19" s="1111">
        <v>0</v>
      </c>
      <c r="AQ19" s="1111">
        <v>19.443635131370101</v>
      </c>
      <c r="AR19" s="1111">
        <v>0.70763941437294298</v>
      </c>
      <c r="AS19" s="1111">
        <v>0</v>
      </c>
      <c r="AT19" s="1111">
        <v>36.772832613314698</v>
      </c>
      <c r="AU19" s="1111">
        <v>400.401830982739</v>
      </c>
      <c r="AV19" s="1111">
        <v>0</v>
      </c>
      <c r="AW19" s="1111">
        <v>0</v>
      </c>
      <c r="AX19" s="1111">
        <v>0</v>
      </c>
      <c r="AY19" s="1111">
        <v>0</v>
      </c>
      <c r="AZ19" s="1111">
        <v>0</v>
      </c>
      <c r="BA19" s="1111">
        <v>0</v>
      </c>
      <c r="BB19" s="1111">
        <v>0</v>
      </c>
      <c r="BC19" s="1111">
        <v>0</v>
      </c>
      <c r="BD19" s="1111">
        <v>0</v>
      </c>
      <c r="BE19" s="1111">
        <v>1382.2196917163001</v>
      </c>
      <c r="BF19" s="1111">
        <v>49.802901834126203</v>
      </c>
      <c r="BG19" s="1111">
        <v>2.39990900991413</v>
      </c>
      <c r="BH19" s="1111">
        <v>32.500867388700101</v>
      </c>
      <c r="BI19" s="1111">
        <v>3014.3860269459301</v>
      </c>
      <c r="BJ19" s="1111">
        <v>5.2870077546988101</v>
      </c>
      <c r="BK19" s="1111">
        <v>14.6977663003016</v>
      </c>
      <c r="BL19" s="1111">
        <v>247.253908064163</v>
      </c>
      <c r="BM19" s="1111">
        <v>300.927392549736</v>
      </c>
      <c r="BN19" s="1111">
        <v>14.2676123507319</v>
      </c>
      <c r="BO19" s="1111">
        <v>16.785916701380501</v>
      </c>
      <c r="BP19" s="1111">
        <v>1100.07601531519</v>
      </c>
      <c r="BQ19" s="1111">
        <v>0</v>
      </c>
      <c r="BR19" s="1111">
        <v>753.48992708210801</v>
      </c>
      <c r="BS19" s="1111">
        <v>195.56318982725199</v>
      </c>
      <c r="BT19" s="1111">
        <v>102.07480567145301</v>
      </c>
      <c r="BU19" s="1111">
        <v>13.984</v>
      </c>
      <c r="BV19" s="1111">
        <v>6.6401222218382197</v>
      </c>
      <c r="BW19" s="1111">
        <v>280.47793645396098</v>
      </c>
      <c r="BX19" s="1111">
        <v>209.69101452705701</v>
      </c>
      <c r="BY19" s="1111">
        <v>120.11509731863499</v>
      </c>
      <c r="BZ19" s="1111">
        <v>36.477148300116802</v>
      </c>
      <c r="CA19" s="1111">
        <v>2591.9633714974002</v>
      </c>
      <c r="CB19" s="1111">
        <v>47.6156122242583</v>
      </c>
      <c r="CC19" s="1111">
        <v>61.721369067921898</v>
      </c>
      <c r="CD19" s="1111">
        <v>7.2437696965507801</v>
      </c>
      <c r="CE19" s="1111">
        <v>810.36599122284997</v>
      </c>
      <c r="CF19" s="1111">
        <v>85.903428051381496</v>
      </c>
      <c r="CG19" s="1111">
        <v>209.998506928507</v>
      </c>
      <c r="CH19" s="1111">
        <v>39.977961797898601</v>
      </c>
      <c r="CI19" s="1111">
        <v>1460.8192788670699</v>
      </c>
      <c r="CJ19" s="1111">
        <v>16.257751197744</v>
      </c>
      <c r="CK19" s="1111">
        <v>16.490513470377099</v>
      </c>
      <c r="CL19" s="1111">
        <v>73.957477627350499</v>
      </c>
      <c r="CM19" s="1111">
        <v>0</v>
      </c>
      <c r="CN19" s="1111">
        <v>971.86114609804702</v>
      </c>
      <c r="CO19" s="1111">
        <v>0.874</v>
      </c>
      <c r="CP19" s="1111">
        <v>9.6625007374754599</v>
      </c>
      <c r="CQ19" s="1111">
        <v>2.99854929348915</v>
      </c>
      <c r="CR19" s="1111">
        <v>199.61214266516899</v>
      </c>
      <c r="CS19" s="1111">
        <v>9.1035423421005994</v>
      </c>
      <c r="CT19" s="1111">
        <v>4.1871505649028498</v>
      </c>
      <c r="CU19" s="1111">
        <v>0.48109600000000002</v>
      </c>
      <c r="CV19" s="1111">
        <v>34.409590782020302</v>
      </c>
      <c r="CW19" s="1111">
        <v>218.82928062926501</v>
      </c>
      <c r="CX19" s="1111">
        <v>1677.83185931754</v>
      </c>
      <c r="CY19" s="1111">
        <v>137.58481955603901</v>
      </c>
      <c r="CZ19" s="1111">
        <v>1039.99800658237</v>
      </c>
      <c r="DA19" s="1111">
        <v>308.68263659936702</v>
      </c>
      <c r="DB19" s="1111">
        <v>51.527951063625601</v>
      </c>
      <c r="DC19" s="1111">
        <v>5.0196212587145403</v>
      </c>
      <c r="DD19" s="1111">
        <v>8.8113150142160404</v>
      </c>
      <c r="DE19" s="1111">
        <v>103.947418996538</v>
      </c>
      <c r="DF19" s="1111">
        <v>938.24702491988296</v>
      </c>
      <c r="DG19" s="1111">
        <v>605.86950968780002</v>
      </c>
      <c r="DH19" s="1111">
        <v>3039.4173440254799</v>
      </c>
      <c r="DI19" s="1111">
        <v>53.115761661223601</v>
      </c>
      <c r="DJ19" s="1111">
        <v>79.869972413227302</v>
      </c>
      <c r="DK19" s="1111">
        <v>24.49</v>
      </c>
      <c r="DL19" s="1111">
        <v>0</v>
      </c>
      <c r="DM19" s="1111">
        <v>196.442164601152</v>
      </c>
      <c r="DN19" s="1111">
        <v>23.464241101239299</v>
      </c>
      <c r="DO19" s="1111">
        <v>1240.6640794146399</v>
      </c>
      <c r="DP19" s="1111">
        <v>322.00593021063497</v>
      </c>
      <c r="DQ19" s="1111">
        <v>2.41111096203546</v>
      </c>
      <c r="DR19" s="1111">
        <v>14.571719485333601</v>
      </c>
      <c r="DS19" s="1111">
        <v>0</v>
      </c>
      <c r="DT19" s="1111">
        <v>1.11058766332482</v>
      </c>
      <c r="DU19" s="1111">
        <v>0</v>
      </c>
      <c r="DV19" s="1111">
        <v>0.432383421162708</v>
      </c>
      <c r="DW19" s="1111">
        <v>0</v>
      </c>
      <c r="DX19" s="1111">
        <v>0.770289390200254</v>
      </c>
      <c r="DY19" s="1111">
        <v>32.043461497500303</v>
      </c>
      <c r="DZ19" s="1111">
        <v>139.213884247077</v>
      </c>
      <c r="EA19" s="1111">
        <v>1.3129433256530301</v>
      </c>
      <c r="EB19" s="1111">
        <v>35.631074573601403</v>
      </c>
      <c r="EC19" s="1111">
        <v>0</v>
      </c>
      <c r="ED19" s="1111">
        <v>9.3987363440188592</v>
      </c>
      <c r="EE19" s="1111">
        <v>0</v>
      </c>
      <c r="EF19" s="1111">
        <v>1.83320690579275</v>
      </c>
      <c r="EG19" s="1111">
        <v>0</v>
      </c>
      <c r="EH19" s="1111">
        <v>14.6683548808514</v>
      </c>
      <c r="EI19" s="1111">
        <v>0.54365991689359305</v>
      </c>
      <c r="EJ19" s="1111">
        <v>373.85768296109501</v>
      </c>
      <c r="EK19" s="1111">
        <v>6444.8829906761603</v>
      </c>
      <c r="EL19" s="1111">
        <v>1262.08301311635</v>
      </c>
      <c r="EM19" s="1111">
        <v>8130.4852854909896</v>
      </c>
      <c r="EN19" s="1111">
        <v>1417.2777905585899</v>
      </c>
      <c r="EO19" s="1111">
        <v>2723.1284348089398</v>
      </c>
      <c r="EP19" s="1111">
        <v>726.58024282456597</v>
      </c>
      <c r="EQ19" s="1111">
        <v>360.39598254508297</v>
      </c>
      <c r="ER19" s="1111">
        <v>1222.49847065479</v>
      </c>
      <c r="ES19" s="1111">
        <v>443.22597050796702</v>
      </c>
      <c r="ET19" s="1111">
        <v>1105.1087128132101</v>
      </c>
      <c r="EU19" s="1111">
        <v>152.535331107269</v>
      </c>
      <c r="EV19" s="1111">
        <v>600.98065379079196</v>
      </c>
      <c r="EW19" s="1111">
        <v>321.97342408954501</v>
      </c>
      <c r="EX19" s="1111">
        <v>1131.1432170359601</v>
      </c>
      <c r="EY19" s="1111">
        <v>1047.12657789371</v>
      </c>
      <c r="EZ19" s="1111">
        <v>991.97469064170502</v>
      </c>
      <c r="FA19" s="1111">
        <v>353.03583441184298</v>
      </c>
      <c r="FB19" s="1111">
        <v>714.53584803367005</v>
      </c>
      <c r="FC19" s="1111">
        <v>102.174158960593</v>
      </c>
      <c r="FD19" s="1111">
        <v>1536.5969186555701</v>
      </c>
      <c r="FE19" s="1111">
        <v>615.60341341267201</v>
      </c>
      <c r="FF19" s="1111">
        <v>70.180686262095904</v>
      </c>
      <c r="FG19" s="1111">
        <v>8.5782237063923503</v>
      </c>
      <c r="FH19" s="1111">
        <v>0.22617202881894499</v>
      </c>
      <c r="FI19" s="1111">
        <v>2.0506127656062998</v>
      </c>
      <c r="FJ19" s="1111">
        <v>75.840151092529098</v>
      </c>
      <c r="FK19" s="1111">
        <v>20.7411505114374</v>
      </c>
      <c r="FL19" s="1111">
        <v>6.3952752370981996</v>
      </c>
      <c r="FM19" s="1111">
        <v>0</v>
      </c>
      <c r="FN19" s="1111">
        <v>0</v>
      </c>
      <c r="FO19" s="1111">
        <v>163.50673074902801</v>
      </c>
      <c r="FP19" s="1111">
        <v>146.31248275201199</v>
      </c>
      <c r="FQ19" s="1111">
        <v>147.920743041929</v>
      </c>
      <c r="FR19" s="1111">
        <v>0</v>
      </c>
      <c r="FS19" s="1111">
        <v>756.01635981287404</v>
      </c>
      <c r="FT19" s="1111">
        <v>1604.8215073544</v>
      </c>
      <c r="FU19" s="1111">
        <v>0.94095176475145503</v>
      </c>
      <c r="FV19" s="1111">
        <v>0</v>
      </c>
      <c r="FW19" s="1111">
        <v>0</v>
      </c>
      <c r="FX19" s="1111">
        <v>43.794352764184403</v>
      </c>
      <c r="FY19" s="1111">
        <v>26.814249421518099</v>
      </c>
      <c r="FZ19" s="1111">
        <v>28.715066287971499</v>
      </c>
      <c r="GA19" s="1111">
        <v>0</v>
      </c>
      <c r="GB19" s="1111">
        <v>0</v>
      </c>
      <c r="GC19" s="1111">
        <v>17.556651649768501</v>
      </c>
      <c r="GD19" s="1111">
        <v>0</v>
      </c>
      <c r="GE19" s="1111">
        <v>2.3934807432228098</v>
      </c>
      <c r="GF19" s="1111">
        <v>0</v>
      </c>
      <c r="GG19" s="1111">
        <v>13.5309190008344</v>
      </c>
      <c r="GH19" s="1111">
        <v>1.82952550749098</v>
      </c>
      <c r="GI19" s="1111">
        <v>1.02677451951025</v>
      </c>
      <c r="GJ19" s="1111">
        <v>1.4087267053566299</v>
      </c>
      <c r="GK19" s="1111">
        <v>5.5641526522048501</v>
      </c>
      <c r="GL19" s="1111">
        <v>91.043247454051595</v>
      </c>
      <c r="GM19" s="1111">
        <v>21.637675406996799</v>
      </c>
      <c r="GN19" s="1111">
        <v>0</v>
      </c>
      <c r="GO19" s="1111">
        <v>69.990182836465394</v>
      </c>
      <c r="GP19" s="1111">
        <v>176.394153344198</v>
      </c>
      <c r="GQ19" s="1111">
        <v>3496.6836624941702</v>
      </c>
      <c r="GR19" s="1111">
        <v>0</v>
      </c>
      <c r="GS19" s="1111">
        <v>0</v>
      </c>
      <c r="GT19" s="1111">
        <v>10.308</v>
      </c>
      <c r="GU19" s="1111">
        <v>231.07364000000001</v>
      </c>
      <c r="GV19" s="1111">
        <v>0</v>
      </c>
      <c r="GW19" s="1111">
        <v>312.80023020915201</v>
      </c>
      <c r="GX19" s="1111">
        <v>276.65604373394802</v>
      </c>
      <c r="GY19" s="1111">
        <v>2636.2797043670198</v>
      </c>
      <c r="GZ19" s="1111">
        <v>0</v>
      </c>
      <c r="HA19" s="1111">
        <v>10.308</v>
      </c>
      <c r="HB19" s="1111">
        <v>0</v>
      </c>
      <c r="HC19" s="1111">
        <v>0</v>
      </c>
      <c r="HD19" s="1111">
        <v>0</v>
      </c>
      <c r="HE19" s="1111">
        <v>126.161998448205</v>
      </c>
      <c r="HF19" s="1111">
        <v>8.3937280373589598</v>
      </c>
      <c r="HG19" s="1111">
        <v>769.08622023809505</v>
      </c>
      <c r="HH19" s="1111">
        <v>2051.2944537933799</v>
      </c>
      <c r="HI19" s="1111">
        <v>1192.6990728476901</v>
      </c>
      <c r="HJ19" s="1111">
        <v>104.613513078617</v>
      </c>
      <c r="HK19" s="1111">
        <v>4.37</v>
      </c>
      <c r="HL19" s="1111">
        <v>141.85962108167499</v>
      </c>
      <c r="HM19" s="1111">
        <v>242.27305324951899</v>
      </c>
      <c r="HN19" s="1111">
        <v>18098.719168839099</v>
      </c>
      <c r="HO19" s="1111">
        <v>200.4</v>
      </c>
      <c r="HP19" s="1111">
        <v>437.66</v>
      </c>
      <c r="HQ19" s="1111">
        <v>0</v>
      </c>
      <c r="HR19" s="1111">
        <v>26.221376355204701</v>
      </c>
      <c r="HS19" s="1111">
        <v>8.0128046616915594</v>
      </c>
      <c r="HT19" s="1111">
        <v>81.049537812820603</v>
      </c>
      <c r="HU19" s="1111">
        <v>10.308</v>
      </c>
      <c r="HV19" s="1111">
        <v>4.7389999999999999</v>
      </c>
      <c r="HW19" s="1111">
        <v>0</v>
      </c>
      <c r="HX19" s="1111">
        <v>81.281999999999996</v>
      </c>
      <c r="HY19" s="1111">
        <v>58.380251685767803</v>
      </c>
      <c r="HZ19" s="1111">
        <v>0</v>
      </c>
      <c r="IA19" s="1111">
        <v>1218.15269435293</v>
      </c>
      <c r="IB19" s="1111">
        <v>0.51326529428571399</v>
      </c>
      <c r="IC19" s="1111">
        <v>96.6797826679623</v>
      </c>
      <c r="ID19" s="1111">
        <v>165.15521610746001</v>
      </c>
      <c r="IE19" s="1111">
        <v>0</v>
      </c>
      <c r="IF19" s="1111">
        <v>600.20047999999997</v>
      </c>
      <c r="IG19" s="1111">
        <v>260.08634121372103</v>
      </c>
      <c r="IH19" s="1111">
        <v>1688.2883796024</v>
      </c>
      <c r="II19" s="1111">
        <v>0</v>
      </c>
      <c r="IJ19" s="1111">
        <v>51.612470238095199</v>
      </c>
      <c r="IK19" s="1111">
        <v>6.9539160753057496</v>
      </c>
      <c r="IL19" s="1111">
        <v>32.689591854545498</v>
      </c>
      <c r="IM19" s="1111">
        <v>41.564913337776602</v>
      </c>
      <c r="IN19" s="1111">
        <v>25.1031981818182</v>
      </c>
      <c r="IO19" s="1111">
        <v>138.63570484404099</v>
      </c>
      <c r="IP19" s="1111">
        <v>0.116000871012572</v>
      </c>
      <c r="IQ19" s="1111">
        <v>3.5528808538569101</v>
      </c>
      <c r="IR19" s="1111">
        <v>3.9341518037746201E-2</v>
      </c>
      <c r="IS19" s="1111">
        <v>2.4084860962899</v>
      </c>
      <c r="IT19" s="1111">
        <v>0.57678716403618302</v>
      </c>
      <c r="IU19" s="1111">
        <v>1320.0188352739899</v>
      </c>
      <c r="IV19" s="1111">
        <v>65.016253293564404</v>
      </c>
      <c r="IW19" s="1111">
        <v>2447.1186284732999</v>
      </c>
      <c r="IX19" s="1111">
        <v>1781.14384</v>
      </c>
      <c r="IY19" s="1111">
        <v>399.02945997256103</v>
      </c>
      <c r="IZ19" s="1111">
        <v>27.1201019712461</v>
      </c>
      <c r="JA19" s="1111">
        <v>25.766360174491702</v>
      </c>
      <c r="JB19" s="1111">
        <v>47.890955933801798</v>
      </c>
      <c r="JC19" s="1111">
        <v>117.128995395389</v>
      </c>
      <c r="JD19" s="1111">
        <v>49.038915025846599</v>
      </c>
      <c r="JE19" s="1111">
        <v>1956.8404680660001</v>
      </c>
      <c r="JF19" s="1111">
        <v>160.856857417008</v>
      </c>
      <c r="JG19" s="1111">
        <v>297.67077894662799</v>
      </c>
      <c r="JH19" s="1111">
        <v>0</v>
      </c>
      <c r="JI19" s="1111">
        <v>37.967611967071697</v>
      </c>
      <c r="JJ19" s="1111">
        <v>57.9413471686834</v>
      </c>
      <c r="JK19" s="1111">
        <v>59.678452412408802</v>
      </c>
      <c r="JL19" s="1111">
        <v>0</v>
      </c>
      <c r="JM19" s="1111">
        <v>1.5409090909090899</v>
      </c>
      <c r="JN19" s="1111">
        <v>38.213181818181802</v>
      </c>
      <c r="JO19" s="1111">
        <v>117.951545454545</v>
      </c>
      <c r="JP19" s="1111">
        <v>1185.01978379053</v>
      </c>
      <c r="JQ19" s="1111">
        <v>1823.9406483007999</v>
      </c>
      <c r="JR19" s="1111">
        <v>46.786850000000001</v>
      </c>
      <c r="JS19" s="1111">
        <v>8.9423680404414796</v>
      </c>
      <c r="JT19" s="1111">
        <v>7.2513959999999997</v>
      </c>
      <c r="JU19" s="1111">
        <v>2.2577750000000001</v>
      </c>
      <c r="JV19" s="1111">
        <v>1.7686200000000001</v>
      </c>
      <c r="JW19" s="1111">
        <v>463.70025872803399</v>
      </c>
      <c r="JX19" s="1111">
        <v>288.163757631679</v>
      </c>
      <c r="JY19" s="1111">
        <v>0.69389999999999996</v>
      </c>
      <c r="JZ19" s="1111">
        <v>766.87757108044298</v>
      </c>
      <c r="KA19" s="1111">
        <v>113.864</v>
      </c>
      <c r="KB19" s="1111">
        <v>123.634151820184</v>
      </c>
      <c r="KC19" s="1111">
        <v>142.40050356536</v>
      </c>
      <c r="KD19" s="1111">
        <v>73.996998478460497</v>
      </c>
      <c r="KE19" s="1111">
        <v>53.943486132217302</v>
      </c>
      <c r="KF19" s="1111">
        <v>5.9827360471946802</v>
      </c>
      <c r="KG19" s="1111">
        <v>2.36160633441895</v>
      </c>
      <c r="KH19" s="1111">
        <v>6.1156765730659002</v>
      </c>
      <c r="KI19" s="1111">
        <v>0</v>
      </c>
      <c r="KJ19" s="1111">
        <v>0</v>
      </c>
      <c r="KK19" s="1111">
        <v>266.91571030263998</v>
      </c>
      <c r="KL19" s="1111">
        <v>181.93245262731801</v>
      </c>
      <c r="KM19" s="1111">
        <v>84.983257675323799</v>
      </c>
      <c r="KN19" s="1111">
        <v>40.040967035698003</v>
      </c>
      <c r="KO19" s="1111">
        <v>40.040856981308401</v>
      </c>
      <c r="KP19" s="1111">
        <v>1.10054389329057E-4</v>
      </c>
      <c r="KQ19" s="1111">
        <v>-4886.6796386658998</v>
      </c>
      <c r="KR19" s="1111">
        <v>-4686.5536469117596</v>
      </c>
      <c r="KS19" s="1111">
        <v>3.2917966444937901</v>
      </c>
      <c r="KT19" s="1111">
        <v>-8.5663264547481894</v>
      </c>
      <c r="KU19" s="1111">
        <v>-191.69572239099199</v>
      </c>
      <c r="KV19" s="1111">
        <v>-3.1557395528637699</v>
      </c>
      <c r="KW19" s="1111">
        <v>0</v>
      </c>
      <c r="KX19" s="1111">
        <v>3992.9996049059</v>
      </c>
      <c r="KY19" s="1111">
        <v>5.4046421100746196</v>
      </c>
      <c r="KZ19" s="1111">
        <v>939.75306257380203</v>
      </c>
      <c r="LA19" s="1111">
        <v>0.41785497455922299</v>
      </c>
      <c r="LB19" s="1111">
        <v>0.233681399231708</v>
      </c>
      <c r="LC19" s="1111">
        <v>3070.1827510921898</v>
      </c>
      <c r="LD19" s="1111">
        <v>-22.992387243960501</v>
      </c>
      <c r="LE19" s="1111">
        <v>-2015.0254229126001</v>
      </c>
      <c r="LF19" s="1111">
        <v>48.217500000000001</v>
      </c>
      <c r="LG19" s="1111">
        <v>-580.49617447252604</v>
      </c>
      <c r="LH19" s="1111">
        <v>10.501906402042099</v>
      </c>
      <c r="LI19" s="1111">
        <v>5.9255960135818002</v>
      </c>
      <c r="LJ19" s="1111">
        <v>-1304.4250586441899</v>
      </c>
      <c r="LK19" s="1111">
        <v>-2.12408249715617</v>
      </c>
      <c r="LL19" s="1111">
        <v>-192.62510971436899</v>
      </c>
      <c r="LM19" s="1111">
        <v>133.84157051444001</v>
      </c>
      <c r="LN19" s="1111">
        <v>133.82595258997</v>
      </c>
      <c r="LO19" s="1111">
        <v>1.12314918414918E-2</v>
      </c>
      <c r="LP19" s="1111">
        <v>4.3864326305799901E-3</v>
      </c>
      <c r="LQ19" s="1111">
        <v>1802.9373425494</v>
      </c>
      <c r="LR19" s="1111">
        <v>531.30231351220004</v>
      </c>
      <c r="LS19" s="1111">
        <v>15.8024043399161</v>
      </c>
      <c r="LT19" s="1111">
        <v>38.885525237073701</v>
      </c>
      <c r="LU19" s="1111">
        <v>145.94703757284901</v>
      </c>
      <c r="LV19" s="1111">
        <v>1071.0000618873401</v>
      </c>
      <c r="LW19" s="1111">
        <v>0</v>
      </c>
      <c r="LX19" s="1111">
        <v>0</v>
      </c>
      <c r="LY19" s="1111">
        <v>-557.24001717151998</v>
      </c>
      <c r="LZ19" s="1111">
        <v>-484.291119558182</v>
      </c>
      <c r="MA19" s="1111">
        <v>-72.948897613341799</v>
      </c>
      <c r="MB19" s="1111">
        <v>147.21060479481</v>
      </c>
      <c r="MC19" s="1111">
        <v>2.0157845499486999</v>
      </c>
      <c r="MD19" s="1111">
        <v>87.066655124863999</v>
      </c>
      <c r="ME19" s="1111">
        <v>58.128165119999998</v>
      </c>
      <c r="MF19" s="1111">
        <v>7405.3170735391004</v>
      </c>
      <c r="MG19" s="1111">
        <v>0.23607399435611601</v>
      </c>
      <c r="MH19" s="1111">
        <v>597.80771955142905</v>
      </c>
      <c r="MI19" s="1111">
        <v>0.31488084458919302</v>
      </c>
      <c r="MJ19" s="1111">
        <v>1.8377503035615701</v>
      </c>
      <c r="MK19" s="1111">
        <v>6805.1206488451398</v>
      </c>
      <c r="ML19" s="1111">
        <v>2430.4484719658999</v>
      </c>
      <c r="MM19" s="1111">
        <v>1400.1658661495001</v>
      </c>
      <c r="MN19" s="1111">
        <v>1030.2826058164001</v>
      </c>
    </row>
    <row r="20" spans="1:352" ht="13.9" x14ac:dyDescent="0.4">
      <c r="A20" s="1096">
        <v>2000</v>
      </c>
      <c r="B20" s="1145">
        <v>146870.14790646001</v>
      </c>
      <c r="C20" s="1111">
        <v>75.965581660097797</v>
      </c>
      <c r="D20" s="1111">
        <v>0.25099341762437499</v>
      </c>
      <c r="E20" s="1111">
        <v>27706.609269977602</v>
      </c>
      <c r="F20" s="1111">
        <v>0</v>
      </c>
      <c r="G20" s="1111">
        <v>830.14223642911998</v>
      </c>
      <c r="H20" s="1111">
        <v>280.617466951832</v>
      </c>
      <c r="I20" s="1111">
        <v>0</v>
      </c>
      <c r="J20" s="1111">
        <v>13953.986902827801</v>
      </c>
      <c r="K20" s="1111">
        <v>0</v>
      </c>
      <c r="L20" s="1111">
        <v>0</v>
      </c>
      <c r="M20" s="1111">
        <v>0</v>
      </c>
      <c r="N20" s="1111">
        <v>265.28665085530201</v>
      </c>
      <c r="O20" s="1111">
        <v>7.41489919321213</v>
      </c>
      <c r="P20" s="1111">
        <v>424.86538983064003</v>
      </c>
      <c r="Q20" s="1111">
        <v>108.974576285423</v>
      </c>
      <c r="R20" s="1111">
        <v>0</v>
      </c>
      <c r="S20" s="1111">
        <v>0</v>
      </c>
      <c r="T20" s="1111">
        <v>1074.01875</v>
      </c>
      <c r="U20" s="1111">
        <v>147.4563</v>
      </c>
      <c r="V20" s="1111">
        <v>30.3429067772373</v>
      </c>
      <c r="W20" s="1111">
        <v>12.176</v>
      </c>
      <c r="X20" s="1111">
        <v>87.536759963966503</v>
      </c>
      <c r="Y20" s="1111">
        <v>284.67219581661197</v>
      </c>
      <c r="Z20" s="1111">
        <v>1933.1918777189001</v>
      </c>
      <c r="AA20" s="1111">
        <v>0</v>
      </c>
      <c r="AB20" s="1111">
        <v>1147.5642</v>
      </c>
      <c r="AC20" s="1111">
        <v>278.475331169649</v>
      </c>
      <c r="AD20" s="1111">
        <v>222.24021939936</v>
      </c>
      <c r="AE20" s="1111">
        <v>0</v>
      </c>
      <c r="AF20" s="1111">
        <v>0.85593813946297903</v>
      </c>
      <c r="AG20" s="1111">
        <v>31.3867579638937</v>
      </c>
      <c r="AH20" s="1111">
        <v>0</v>
      </c>
      <c r="AI20" s="1111">
        <v>405.28203017999999</v>
      </c>
      <c r="AJ20" s="1111">
        <v>2942.0154290015398</v>
      </c>
      <c r="AK20" s="1111">
        <v>0.80419542988079495</v>
      </c>
      <c r="AL20" s="1111">
        <v>250.186298108079</v>
      </c>
      <c r="AM20" s="1111">
        <v>12.1187709094537</v>
      </c>
      <c r="AN20" s="1111">
        <v>1335.26668039688</v>
      </c>
      <c r="AO20" s="1111">
        <v>8.4080559440559508</v>
      </c>
      <c r="AP20" s="1111">
        <v>0</v>
      </c>
      <c r="AQ20" s="1111">
        <v>21.617092834876601</v>
      </c>
      <c r="AR20" s="1111">
        <v>0.30209581392811002</v>
      </c>
      <c r="AS20" s="1111">
        <v>0</v>
      </c>
      <c r="AT20" s="1111">
        <v>31.466423020827101</v>
      </c>
      <c r="AU20" s="1111">
        <v>432.99632092748902</v>
      </c>
      <c r="AV20" s="1111">
        <v>0</v>
      </c>
      <c r="AW20" s="1111">
        <v>0</v>
      </c>
      <c r="AX20" s="1111">
        <v>0</v>
      </c>
      <c r="AY20" s="1111">
        <v>0</v>
      </c>
      <c r="AZ20" s="1111">
        <v>0</v>
      </c>
      <c r="BA20" s="1111">
        <v>0</v>
      </c>
      <c r="BB20" s="1111">
        <v>0</v>
      </c>
      <c r="BC20" s="1111">
        <v>0</v>
      </c>
      <c r="BD20" s="1111">
        <v>0</v>
      </c>
      <c r="BE20" s="1111">
        <v>1311.2315262359</v>
      </c>
      <c r="BF20" s="1111">
        <v>47.728637577576301</v>
      </c>
      <c r="BG20" s="1111">
        <v>0</v>
      </c>
      <c r="BH20" s="1111">
        <v>35.848703252802402</v>
      </c>
      <c r="BI20" s="1111">
        <v>2688.1484384968198</v>
      </c>
      <c r="BJ20" s="1111">
        <v>2.0149706290333702</v>
      </c>
      <c r="BK20" s="1111">
        <v>16.117524359837301</v>
      </c>
      <c r="BL20" s="1111">
        <v>244.28299746027301</v>
      </c>
      <c r="BM20" s="1111">
        <v>239.520357789603</v>
      </c>
      <c r="BN20" s="1111">
        <v>5.9077760325641799</v>
      </c>
      <c r="BO20" s="1111">
        <v>19.123680741956299</v>
      </c>
      <c r="BP20" s="1111">
        <v>457.876555310372</v>
      </c>
      <c r="BQ20" s="1111">
        <v>0</v>
      </c>
      <c r="BR20" s="1111">
        <v>655.39357869603703</v>
      </c>
      <c r="BS20" s="1111">
        <v>199.05173533646499</v>
      </c>
      <c r="BT20" s="1111">
        <v>47.723697834790499</v>
      </c>
      <c r="BU20" s="1111">
        <v>8.3825000000000003</v>
      </c>
      <c r="BV20" s="1111">
        <v>9.6626941699423998</v>
      </c>
      <c r="BW20" s="1111">
        <v>297.06088369597501</v>
      </c>
      <c r="BX20" s="1111">
        <v>112.999776977154</v>
      </c>
      <c r="BY20" s="1111">
        <v>192.05389859255101</v>
      </c>
      <c r="BZ20" s="1111">
        <v>43.313691665521297</v>
      </c>
      <c r="CA20" s="1111">
        <v>2779.180375295</v>
      </c>
      <c r="CB20" s="1111">
        <v>107.863017338734</v>
      </c>
      <c r="CC20" s="1111">
        <v>41.527771479085899</v>
      </c>
      <c r="CD20" s="1111">
        <v>7.0182381749651599</v>
      </c>
      <c r="CE20" s="1111">
        <v>996.57285570197803</v>
      </c>
      <c r="CF20" s="1111">
        <v>67.579316341324002</v>
      </c>
      <c r="CG20" s="1111">
        <v>135.17661535552699</v>
      </c>
      <c r="CH20" s="1111">
        <v>48.103856381722203</v>
      </c>
      <c r="CI20" s="1111">
        <v>1550.6550035477001</v>
      </c>
      <c r="CJ20" s="1111">
        <v>16.369837214065701</v>
      </c>
      <c r="CK20" s="1111">
        <v>13.849095771550401</v>
      </c>
      <c r="CL20" s="1111">
        <v>77.910579089922393</v>
      </c>
      <c r="CM20" s="1111">
        <v>0</v>
      </c>
      <c r="CN20" s="1111">
        <v>879.28399999999999</v>
      </c>
      <c r="CO20" s="1111">
        <v>0.875</v>
      </c>
      <c r="CP20" s="1111">
        <v>9.57</v>
      </c>
      <c r="CQ20" s="1111">
        <v>2.7380631215862499</v>
      </c>
      <c r="CR20" s="1111">
        <v>207.32127916711599</v>
      </c>
      <c r="CS20" s="1111">
        <v>14.656703170782</v>
      </c>
      <c r="CT20" s="1111">
        <v>4.2152659200000002</v>
      </c>
      <c r="CU20" s="1111">
        <v>9.3719999999999998E-2</v>
      </c>
      <c r="CV20" s="1111">
        <v>34.640639999999998</v>
      </c>
      <c r="CW20" s="1111">
        <v>218.83220603631</v>
      </c>
      <c r="CX20" s="1111">
        <v>1677.46003990549</v>
      </c>
      <c r="CY20" s="1111">
        <v>137.58481955603901</v>
      </c>
      <c r="CZ20" s="1111">
        <v>1126.9459865823701</v>
      </c>
      <c r="DA20" s="1111">
        <v>344.50294666217599</v>
      </c>
      <c r="DB20" s="1111">
        <v>17.862052550343499</v>
      </c>
      <c r="DC20" s="1111">
        <v>13.6341500680837</v>
      </c>
      <c r="DD20" s="1111">
        <v>7.0490520113728303</v>
      </c>
      <c r="DE20" s="1111">
        <v>80.657205513385705</v>
      </c>
      <c r="DF20" s="1111">
        <v>1071.1055360630901</v>
      </c>
      <c r="DG20" s="1111">
        <v>573.37785514184304</v>
      </c>
      <c r="DH20" s="1111">
        <v>3506.0105982906298</v>
      </c>
      <c r="DI20" s="1111">
        <v>57.666490430576999</v>
      </c>
      <c r="DJ20" s="1111">
        <v>79.614602812619495</v>
      </c>
      <c r="DK20" s="1111">
        <v>28.44</v>
      </c>
      <c r="DL20" s="1111">
        <v>0</v>
      </c>
      <c r="DM20" s="1111">
        <v>193.35117560059899</v>
      </c>
      <c r="DN20" s="1111">
        <v>23.386209591724199</v>
      </c>
      <c r="DO20" s="1111">
        <v>1406.61683270201</v>
      </c>
      <c r="DP20" s="1111">
        <v>427.20821595457301</v>
      </c>
      <c r="DQ20" s="1111">
        <v>2.6986511068255301</v>
      </c>
      <c r="DR20" s="1111">
        <v>16.924523719783199</v>
      </c>
      <c r="DS20" s="1111">
        <v>0</v>
      </c>
      <c r="DT20" s="1111">
        <v>1.2070707824546401</v>
      </c>
      <c r="DU20" s="1111">
        <v>0</v>
      </c>
      <c r="DV20" s="1111">
        <v>0.81668207382282598</v>
      </c>
      <c r="DW20" s="1111">
        <v>0</v>
      </c>
      <c r="DX20" s="1111">
        <v>0.85423510485052401</v>
      </c>
      <c r="DY20" s="1111">
        <v>39.557677026337302</v>
      </c>
      <c r="DZ20" s="1111">
        <v>147.44678318634701</v>
      </c>
      <c r="EA20" s="1111">
        <v>1.13986297328232</v>
      </c>
      <c r="EB20" s="1111">
        <v>39.627518351403999</v>
      </c>
      <c r="EC20" s="1111">
        <v>0</v>
      </c>
      <c r="ED20" s="1111">
        <v>9.9891773928170302</v>
      </c>
      <c r="EE20" s="1111">
        <v>0</v>
      </c>
      <c r="EF20" s="1111">
        <v>5.1219536085539499</v>
      </c>
      <c r="EG20" s="1111">
        <v>0</v>
      </c>
      <c r="EH20" s="1111">
        <v>15.804933625273399</v>
      </c>
      <c r="EI20" s="1111">
        <v>0.35227838446433801</v>
      </c>
      <c r="EJ20" s="1111">
        <v>398.42504978694302</v>
      </c>
      <c r="EK20" s="1111">
        <v>6361.9639530513496</v>
      </c>
      <c r="EL20" s="1111">
        <v>1320.2317647299001</v>
      </c>
      <c r="EM20" s="1111">
        <v>8041.5874201163297</v>
      </c>
      <c r="EN20" s="1111">
        <v>1473.5068250602501</v>
      </c>
      <c r="EO20" s="1111">
        <v>2690.2305347260199</v>
      </c>
      <c r="EP20" s="1111">
        <v>760.04934006456199</v>
      </c>
      <c r="EQ20" s="1111">
        <v>312.39458321394102</v>
      </c>
      <c r="ER20" s="1111">
        <v>1270.5854299933701</v>
      </c>
      <c r="ES20" s="1111">
        <v>380.99917804371501</v>
      </c>
      <c r="ET20" s="1111">
        <v>1141.8328983551901</v>
      </c>
      <c r="EU20" s="1111">
        <v>135.239193563887</v>
      </c>
      <c r="EV20" s="1111">
        <v>639.86642574165</v>
      </c>
      <c r="EW20" s="1111">
        <v>317.54611603313998</v>
      </c>
      <c r="EX20" s="1111">
        <v>1110.4364025654199</v>
      </c>
      <c r="EY20" s="1111">
        <v>1018.04620350342</v>
      </c>
      <c r="EZ20" s="1111">
        <v>913.84800519148905</v>
      </c>
      <c r="FA20" s="1111">
        <v>335.69555274767703</v>
      </c>
      <c r="FB20" s="1111">
        <v>709.56324686543303</v>
      </c>
      <c r="FC20" s="1111">
        <v>96.410142080721997</v>
      </c>
      <c r="FD20" s="1111">
        <v>1545.2001290353201</v>
      </c>
      <c r="FE20" s="1111">
        <v>595.72555335092397</v>
      </c>
      <c r="FF20" s="1111">
        <v>70.887667701719096</v>
      </c>
      <c r="FG20" s="1111">
        <v>9.1006176544471895</v>
      </c>
      <c r="FH20" s="1111">
        <v>0.24965160312850099</v>
      </c>
      <c r="FI20" s="1111">
        <v>1.9744011763723699</v>
      </c>
      <c r="FJ20" s="1111">
        <v>75.988162071706896</v>
      </c>
      <c r="FK20" s="1111">
        <v>18.761185080308199</v>
      </c>
      <c r="FL20" s="1111">
        <v>17.5300406801266</v>
      </c>
      <c r="FM20" s="1111">
        <v>0</v>
      </c>
      <c r="FN20" s="1111">
        <v>0</v>
      </c>
      <c r="FO20" s="1111">
        <v>166.94568684508701</v>
      </c>
      <c r="FP20" s="1111">
        <v>149.22873513700901</v>
      </c>
      <c r="FQ20" s="1111">
        <v>146.304320786267</v>
      </c>
      <c r="FR20" s="1111">
        <v>0</v>
      </c>
      <c r="FS20" s="1111">
        <v>680.71413718978704</v>
      </c>
      <c r="FT20" s="1111">
        <v>1469.3488623747801</v>
      </c>
      <c r="FU20" s="1111">
        <v>0.99180600624887705</v>
      </c>
      <c r="FV20" s="1111">
        <v>0</v>
      </c>
      <c r="FW20" s="1111">
        <v>0</v>
      </c>
      <c r="FX20" s="1111">
        <v>46.1612419875458</v>
      </c>
      <c r="FY20" s="1111">
        <v>26.5564201001574</v>
      </c>
      <c r="FZ20" s="1111">
        <v>29.794578108014399</v>
      </c>
      <c r="GA20" s="1111">
        <v>0</v>
      </c>
      <c r="GB20" s="1111">
        <v>0</v>
      </c>
      <c r="GC20" s="1111">
        <v>18.505510280284302</v>
      </c>
      <c r="GD20" s="1111">
        <v>0</v>
      </c>
      <c r="GE20" s="1111">
        <v>2.3925576335246599</v>
      </c>
      <c r="GF20" s="1111">
        <v>0</v>
      </c>
      <c r="GG20" s="1111">
        <v>13.387452233943099</v>
      </c>
      <c r="GH20" s="1111">
        <v>1.8833247558562101</v>
      </c>
      <c r="GI20" s="1111">
        <v>1.5490444143661599</v>
      </c>
      <c r="GJ20" s="1111">
        <v>1.2623661947728</v>
      </c>
      <c r="GK20" s="1111">
        <v>5.28051449493808</v>
      </c>
      <c r="GL20" s="1111">
        <v>97.273834323884302</v>
      </c>
      <c r="GM20" s="1111">
        <v>10.7971406545447</v>
      </c>
      <c r="GN20" s="1111">
        <v>0</v>
      </c>
      <c r="GO20" s="1111">
        <v>51.957180682207202</v>
      </c>
      <c r="GP20" s="1111">
        <v>181.441677739471</v>
      </c>
      <c r="GQ20" s="1111">
        <v>3560.2998925648599</v>
      </c>
      <c r="GR20" s="1111">
        <v>0</v>
      </c>
      <c r="GS20" s="1111">
        <v>0</v>
      </c>
      <c r="GT20" s="1111">
        <v>10.308</v>
      </c>
      <c r="GU20" s="1111">
        <v>198.92559207588999</v>
      </c>
      <c r="GV20" s="1111">
        <v>0</v>
      </c>
      <c r="GW20" s="1111">
        <v>150.055711756101</v>
      </c>
      <c r="GX20" s="1111">
        <v>289.326093412163</v>
      </c>
      <c r="GY20" s="1111">
        <v>2640.8041708168598</v>
      </c>
      <c r="GZ20" s="1111">
        <v>0</v>
      </c>
      <c r="HA20" s="1111">
        <v>10.308</v>
      </c>
      <c r="HB20" s="1111">
        <v>0</v>
      </c>
      <c r="HC20" s="1111">
        <v>0</v>
      </c>
      <c r="HD20" s="1111">
        <v>0</v>
      </c>
      <c r="HE20" s="1111">
        <v>110.466369293046</v>
      </c>
      <c r="HF20" s="1111">
        <v>8.4813992017701807</v>
      </c>
      <c r="HG20" s="1111">
        <v>787.94352000000003</v>
      </c>
      <c r="HH20" s="1111">
        <v>2141.1032535967902</v>
      </c>
      <c r="HI20" s="1111">
        <v>711.21404503311396</v>
      </c>
      <c r="HJ20" s="1111">
        <v>123.002159588232</v>
      </c>
      <c r="HK20" s="1111">
        <v>2.31</v>
      </c>
      <c r="HL20" s="1111">
        <v>129.881261664173</v>
      </c>
      <c r="HM20" s="1111">
        <v>227.201683646839</v>
      </c>
      <c r="HN20" s="1111">
        <v>18624.693174599201</v>
      </c>
      <c r="HO20" s="1111">
        <v>187.04</v>
      </c>
      <c r="HP20" s="1111">
        <v>391.84</v>
      </c>
      <c r="HQ20" s="1111">
        <v>0</v>
      </c>
      <c r="HR20" s="1111">
        <v>17.9127993446955</v>
      </c>
      <c r="HS20" s="1111">
        <v>8.0826708996963301</v>
      </c>
      <c r="HT20" s="1111">
        <v>81.756234972939694</v>
      </c>
      <c r="HU20" s="1111">
        <v>10.308</v>
      </c>
      <c r="HV20" s="1111">
        <v>4.7881937716263003</v>
      </c>
      <c r="HW20" s="1111">
        <v>0</v>
      </c>
      <c r="HX20" s="1111">
        <v>8.7149999999999999</v>
      </c>
      <c r="HY20" s="1111">
        <v>76.631638133097297</v>
      </c>
      <c r="HZ20" s="1111">
        <v>0</v>
      </c>
      <c r="IA20" s="1111">
        <v>1182.3870244544701</v>
      </c>
      <c r="IB20" s="1111">
        <v>0.51326529428571399</v>
      </c>
      <c r="IC20" s="1111">
        <v>110.384936189239</v>
      </c>
      <c r="ID20" s="1111">
        <v>155.198028467315</v>
      </c>
      <c r="IE20" s="1111">
        <v>0</v>
      </c>
      <c r="IF20" s="1111">
        <v>542.029</v>
      </c>
      <c r="IG20" s="1111">
        <v>254.59794427440599</v>
      </c>
      <c r="IH20" s="1111">
        <v>1602.7620492143001</v>
      </c>
      <c r="II20" s="1111">
        <v>0</v>
      </c>
      <c r="IJ20" s="1111">
        <v>39.630000000000003</v>
      </c>
      <c r="IK20" s="1111">
        <v>13.002353070169599</v>
      </c>
      <c r="IL20" s="1111">
        <v>23.9960814545455</v>
      </c>
      <c r="IM20" s="1111">
        <v>41.707480375629999</v>
      </c>
      <c r="IN20" s="1111">
        <v>13.643138727272699</v>
      </c>
      <c r="IO20" s="1111">
        <v>139.11122326073399</v>
      </c>
      <c r="IP20" s="1111">
        <v>0.116000871012572</v>
      </c>
      <c r="IQ20" s="1111">
        <v>3.4079861810579799</v>
      </c>
      <c r="IR20" s="1111">
        <v>3.9978769132637502E-2</v>
      </c>
      <c r="IS20" s="1111">
        <v>0.50514467101486404</v>
      </c>
      <c r="IT20" s="1111">
        <v>0.41631263871595098</v>
      </c>
      <c r="IU20" s="1111">
        <v>1154.0921042043401</v>
      </c>
      <c r="IV20" s="1111">
        <v>173.094244990704</v>
      </c>
      <c r="IW20" s="1111">
        <v>2413.9569427452998</v>
      </c>
      <c r="IX20" s="1111">
        <v>1726.87744</v>
      </c>
      <c r="IY20" s="1111">
        <v>402.42009723728501</v>
      </c>
      <c r="IZ20" s="1111">
        <v>26.7235521127255</v>
      </c>
      <c r="JA20" s="1111">
        <v>26.1760322263105</v>
      </c>
      <c r="JB20" s="1111">
        <v>47.775159475461699</v>
      </c>
      <c r="JC20" s="1111">
        <v>126.43543708989201</v>
      </c>
      <c r="JD20" s="1111">
        <v>57.549224603589501</v>
      </c>
      <c r="JE20" s="1111">
        <v>1801.2311012753</v>
      </c>
      <c r="JF20" s="1111">
        <v>170.36449829575599</v>
      </c>
      <c r="JG20" s="1111">
        <v>344.077138067882</v>
      </c>
      <c r="JH20" s="1111">
        <v>0</v>
      </c>
      <c r="JI20" s="1111">
        <v>39.1006022312421</v>
      </c>
      <c r="JJ20" s="1111">
        <v>48.106570324951797</v>
      </c>
      <c r="JK20" s="1111">
        <v>71.432958328057595</v>
      </c>
      <c r="JL20" s="1111">
        <v>0</v>
      </c>
      <c r="JM20" s="1111">
        <v>1.5409090909090899</v>
      </c>
      <c r="JN20" s="1111">
        <v>41.947363636363598</v>
      </c>
      <c r="JO20" s="1111">
        <v>109.598727272728</v>
      </c>
      <c r="JP20" s="1111">
        <v>975.06233402743101</v>
      </c>
      <c r="JQ20" s="1111">
        <v>1678.5553728914001</v>
      </c>
      <c r="JR20" s="1111">
        <v>43.265949999999997</v>
      </c>
      <c r="JS20" s="1111">
        <v>9.1124276328393403</v>
      </c>
      <c r="JT20" s="1111">
        <v>7.0350000000000001</v>
      </c>
      <c r="JU20" s="1111">
        <v>2.1981700000000002</v>
      </c>
      <c r="JV20" s="1111">
        <v>1.61714</v>
      </c>
      <c r="JW20" s="1111">
        <v>419.42547513915002</v>
      </c>
      <c r="JX20" s="1111">
        <v>259.17148986015701</v>
      </c>
      <c r="JY20" s="1111">
        <v>0.16705</v>
      </c>
      <c r="JZ20" s="1111">
        <v>672.69456933426295</v>
      </c>
      <c r="KA20" s="1111">
        <v>128.14158</v>
      </c>
      <c r="KB20" s="1111">
        <v>135.72652092494599</v>
      </c>
      <c r="KC20" s="1111">
        <v>161.74493726194001</v>
      </c>
      <c r="KD20" s="1111">
        <v>78.173233123838799</v>
      </c>
      <c r="KE20" s="1111">
        <v>53.914685943407399</v>
      </c>
      <c r="KF20" s="1111">
        <v>4.9705523951573802</v>
      </c>
      <c r="KG20" s="1111">
        <v>1.6568507983857901</v>
      </c>
      <c r="KH20" s="1111">
        <v>5.3381884567810101</v>
      </c>
      <c r="KI20" s="1111">
        <v>0</v>
      </c>
      <c r="KJ20" s="1111">
        <v>17.6914265443658</v>
      </c>
      <c r="KK20" s="1111">
        <v>172.52112859925001</v>
      </c>
      <c r="KL20" s="1111">
        <v>118.297983264493</v>
      </c>
      <c r="KM20" s="1111">
        <v>54.223145334758897</v>
      </c>
      <c r="KN20" s="1111">
        <v>36.278771619413</v>
      </c>
      <c r="KO20" s="1111">
        <v>36.2786833474876</v>
      </c>
      <c r="KP20" s="1111">
        <v>8.8271925523566893E-5</v>
      </c>
      <c r="KQ20" s="1111">
        <v>-4968.9505187945997</v>
      </c>
      <c r="KR20" s="1111">
        <v>-4764.6945150741903</v>
      </c>
      <c r="KS20" s="1111">
        <v>11.736669738102</v>
      </c>
      <c r="KT20" s="1111">
        <v>-9.2671533087018503</v>
      </c>
      <c r="KU20" s="1111">
        <v>-203.629169901007</v>
      </c>
      <c r="KV20" s="1111">
        <v>-3.0963502488492201</v>
      </c>
      <c r="KW20" s="1111">
        <v>0</v>
      </c>
      <c r="KX20" s="1111">
        <v>3942.7435213613999</v>
      </c>
      <c r="KY20" s="1111">
        <v>1.49096005586307</v>
      </c>
      <c r="KZ20" s="1111">
        <v>1002.0008271606</v>
      </c>
      <c r="LA20" s="1111">
        <v>0.29803047838526697</v>
      </c>
      <c r="LB20" s="1111">
        <v>0.15488320454222301</v>
      </c>
      <c r="LC20" s="1111">
        <v>2958.8840013804902</v>
      </c>
      <c r="LD20" s="1111">
        <v>-20.085180918476301</v>
      </c>
      <c r="LE20" s="1111">
        <v>-1884.6144766737</v>
      </c>
      <c r="LF20" s="1111">
        <v>48.217500000000001</v>
      </c>
      <c r="LG20" s="1111">
        <v>-650.41169376086998</v>
      </c>
      <c r="LH20" s="1111">
        <v>107.844689288501</v>
      </c>
      <c r="LI20" s="1111">
        <v>58.248610783171799</v>
      </c>
      <c r="LJ20" s="1111">
        <v>-1247.2447564158199</v>
      </c>
      <c r="LK20" s="1111">
        <v>-1.98764348783217</v>
      </c>
      <c r="LL20" s="1111">
        <v>-199.28118308080801</v>
      </c>
      <c r="LM20" s="1111">
        <v>130.99975300096</v>
      </c>
      <c r="LN20" s="1111">
        <v>130.98413507648399</v>
      </c>
      <c r="LO20" s="1111">
        <v>1.12314918414918E-2</v>
      </c>
      <c r="LP20" s="1111">
        <v>4.3864326305799901E-3</v>
      </c>
      <c r="LQ20" s="1111">
        <v>1767.2189795490001</v>
      </c>
      <c r="LR20" s="1111">
        <v>545.72293970221904</v>
      </c>
      <c r="LS20" s="1111">
        <v>4.4278429392028897</v>
      </c>
      <c r="LT20" s="1111">
        <v>24.743254476005301</v>
      </c>
      <c r="LU20" s="1111">
        <v>154.819073984337</v>
      </c>
      <c r="LV20" s="1111">
        <v>1037.5058684472299</v>
      </c>
      <c r="LW20" s="1111">
        <v>0</v>
      </c>
      <c r="LX20" s="1111">
        <v>0</v>
      </c>
      <c r="LY20" s="1111">
        <v>-621.45756088157998</v>
      </c>
      <c r="LZ20" s="1111">
        <v>-536.90603085075998</v>
      </c>
      <c r="MA20" s="1111">
        <v>-84.551530030824097</v>
      </c>
      <c r="MB20" s="1111">
        <v>145.12592551012</v>
      </c>
      <c r="MC20" s="1111">
        <v>2.5578193956473698</v>
      </c>
      <c r="MD20" s="1111">
        <v>82.999940994472496</v>
      </c>
      <c r="ME20" s="1111">
        <v>59.568165120000003</v>
      </c>
      <c r="MF20" s="1111">
        <v>8170.5407215857003</v>
      </c>
      <c r="MG20" s="1111">
        <v>0.114769297566218</v>
      </c>
      <c r="MH20" s="1111">
        <v>655.382043431635</v>
      </c>
      <c r="MI20" s="1111">
        <v>0.30124559970650799</v>
      </c>
      <c r="MJ20" s="1111">
        <v>0.83396121152421099</v>
      </c>
      <c r="MK20" s="1111">
        <v>7513.9087020452298</v>
      </c>
      <c r="ML20" s="1111">
        <v>2222.0908223857</v>
      </c>
      <c r="MM20" s="1111">
        <v>1200.55615400737</v>
      </c>
      <c r="MN20" s="1111">
        <v>1021.53466837833</v>
      </c>
    </row>
    <row r="21" spans="1:352" ht="13.9" x14ac:dyDescent="0.4">
      <c r="A21" s="1096">
        <v>2001</v>
      </c>
      <c r="B21" s="1145">
        <v>149707.12714234</v>
      </c>
      <c r="C21" s="1111">
        <v>80.321185354617299</v>
      </c>
      <c r="D21" s="1111">
        <v>0.284278730421619</v>
      </c>
      <c r="E21" s="1111">
        <v>30895.235024179001</v>
      </c>
      <c r="F21" s="1111">
        <v>0</v>
      </c>
      <c r="G21" s="1111">
        <v>867.146600666567</v>
      </c>
      <c r="H21" s="1111">
        <v>283.02579415163802</v>
      </c>
      <c r="I21" s="1111">
        <v>0</v>
      </c>
      <c r="J21" s="1111">
        <v>13773.889005312099</v>
      </c>
      <c r="K21" s="1111">
        <v>0</v>
      </c>
      <c r="L21" s="1111">
        <v>0</v>
      </c>
      <c r="M21" s="1111">
        <v>0</v>
      </c>
      <c r="N21" s="1111">
        <v>278.00727330329897</v>
      </c>
      <c r="O21" s="1111">
        <v>0</v>
      </c>
      <c r="P21" s="1111">
        <v>222.10875172620399</v>
      </c>
      <c r="Q21" s="1111">
        <v>123.982391996852</v>
      </c>
      <c r="R21" s="1111">
        <v>0</v>
      </c>
      <c r="S21" s="1111">
        <v>0</v>
      </c>
      <c r="T21" s="1111">
        <v>1473.12375</v>
      </c>
      <c r="U21" s="1111">
        <v>42.090600000000002</v>
      </c>
      <c r="V21" s="1111">
        <v>34.078305060352797</v>
      </c>
      <c r="W21" s="1111">
        <v>25.824000000000002</v>
      </c>
      <c r="X21" s="1111">
        <v>101.29469996396701</v>
      </c>
      <c r="Y21" s="1111">
        <v>372.022407196188</v>
      </c>
      <c r="Z21" s="1111">
        <v>1749.2002381392799</v>
      </c>
      <c r="AA21" s="1111">
        <v>0</v>
      </c>
      <c r="AB21" s="1111">
        <v>866.17409999999995</v>
      </c>
      <c r="AC21" s="1111">
        <v>182.77525467180499</v>
      </c>
      <c r="AD21" s="1111">
        <v>186.34411147242599</v>
      </c>
      <c r="AE21" s="1111">
        <v>0</v>
      </c>
      <c r="AF21" s="1111">
        <v>0.45362973697346298</v>
      </c>
      <c r="AG21" s="1111">
        <v>26.306009399150099</v>
      </c>
      <c r="AH21" s="1111">
        <v>0</v>
      </c>
      <c r="AI21" s="1111">
        <v>429.29486624999998</v>
      </c>
      <c r="AJ21" s="1111">
        <v>2886.8063666255298</v>
      </c>
      <c r="AK21" s="1111">
        <v>15.802440197157599</v>
      </c>
      <c r="AL21" s="1111">
        <v>317.71106938316802</v>
      </c>
      <c r="AM21" s="1111">
        <v>15.508054935000001</v>
      </c>
      <c r="AN21" s="1111">
        <v>1445.71585635212</v>
      </c>
      <c r="AO21" s="1111">
        <v>7.0540559440559401</v>
      </c>
      <c r="AP21" s="1111">
        <v>0</v>
      </c>
      <c r="AQ21" s="1111">
        <v>36.713812559233602</v>
      </c>
      <c r="AR21" s="1111">
        <v>0.20161321643264901</v>
      </c>
      <c r="AS21" s="1111">
        <v>0</v>
      </c>
      <c r="AT21" s="1111">
        <v>0</v>
      </c>
      <c r="AU21" s="1111">
        <v>455.22689425228202</v>
      </c>
      <c r="AV21" s="1111">
        <v>0</v>
      </c>
      <c r="AW21" s="1111">
        <v>0</v>
      </c>
      <c r="AX21" s="1111">
        <v>0</v>
      </c>
      <c r="AY21" s="1111">
        <v>0</v>
      </c>
      <c r="AZ21" s="1111">
        <v>0</v>
      </c>
      <c r="BA21" s="1111">
        <v>0</v>
      </c>
      <c r="BB21" s="1111">
        <v>0</v>
      </c>
      <c r="BC21" s="1111">
        <v>0</v>
      </c>
      <c r="BD21" s="1111">
        <v>0</v>
      </c>
      <c r="BE21" s="1111">
        <v>1143.4014390871</v>
      </c>
      <c r="BF21" s="1111">
        <v>52.6264196171065</v>
      </c>
      <c r="BG21" s="1111">
        <v>0</v>
      </c>
      <c r="BH21" s="1111">
        <v>18.901239040560998</v>
      </c>
      <c r="BI21" s="1111">
        <v>2588.0464925665501</v>
      </c>
      <c r="BJ21" s="1111">
        <v>0.68871280276816604</v>
      </c>
      <c r="BK21" s="1111">
        <v>26.306009399150099</v>
      </c>
      <c r="BL21" s="1111">
        <v>179.800625750488</v>
      </c>
      <c r="BM21" s="1111">
        <v>275.53877814096802</v>
      </c>
      <c r="BN21" s="1111">
        <v>5.6101766814319998</v>
      </c>
      <c r="BO21" s="1111">
        <v>0</v>
      </c>
      <c r="BP21" s="1111">
        <v>438.60955234923</v>
      </c>
      <c r="BQ21" s="1111">
        <v>0</v>
      </c>
      <c r="BR21" s="1111">
        <v>702.50843435987497</v>
      </c>
      <c r="BS21" s="1111">
        <v>273.84409132929397</v>
      </c>
      <c r="BT21" s="1111">
        <v>46.300557795808203</v>
      </c>
      <c r="BU21" s="1111">
        <v>30.756250000000001</v>
      </c>
      <c r="BV21" s="1111">
        <v>10.283352217474601</v>
      </c>
      <c r="BW21" s="1111">
        <v>285.43391116452398</v>
      </c>
      <c r="BX21" s="1111">
        <v>215.83552107651201</v>
      </c>
      <c r="BY21" s="1111">
        <v>130.66529278366599</v>
      </c>
      <c r="BZ21" s="1111">
        <v>35.003648879274898</v>
      </c>
      <c r="CA21" s="1111">
        <v>2723.8200698793398</v>
      </c>
      <c r="CB21" s="1111">
        <v>97.558142295493795</v>
      </c>
      <c r="CC21" s="1111">
        <v>86.701729243501802</v>
      </c>
      <c r="CD21" s="1111">
        <v>9.1835284508997503</v>
      </c>
      <c r="CE21" s="1111">
        <v>927.79600077703697</v>
      </c>
      <c r="CF21" s="1111">
        <v>64.720308837643302</v>
      </c>
      <c r="CG21" s="1111">
        <v>164.25584687308401</v>
      </c>
      <c r="CH21" s="1111">
        <v>51.6667914094159</v>
      </c>
      <c r="CI21" s="1111">
        <v>1543.34388969015</v>
      </c>
      <c r="CJ21" s="1111">
        <v>23.898241000046902</v>
      </c>
      <c r="CK21" s="1111">
        <v>0</v>
      </c>
      <c r="CL21" s="1111">
        <v>81.461485999111204</v>
      </c>
      <c r="CM21" s="1111">
        <v>0</v>
      </c>
      <c r="CN21" s="1111">
        <v>914.73900000000003</v>
      </c>
      <c r="CO21" s="1111">
        <v>0.875</v>
      </c>
      <c r="CP21" s="1111">
        <v>11.31</v>
      </c>
      <c r="CQ21" s="1111">
        <v>1.68879267096482</v>
      </c>
      <c r="CR21" s="1111">
        <v>172.361220327171</v>
      </c>
      <c r="CS21" s="1111">
        <v>16.659482486044102</v>
      </c>
      <c r="CT21" s="1111">
        <v>3.7087804800000002</v>
      </c>
      <c r="CU21" s="1111">
        <v>0</v>
      </c>
      <c r="CV21" s="1111">
        <v>39.774239999999999</v>
      </c>
      <c r="CW21" s="1111">
        <v>218.893590717188</v>
      </c>
      <c r="CX21" s="1111">
        <v>1683.58641599362</v>
      </c>
      <c r="CY21" s="1111">
        <v>137.58481955603901</v>
      </c>
      <c r="CZ21" s="1111">
        <v>1340.2883012695399</v>
      </c>
      <c r="DA21" s="1111">
        <v>239.83813634816801</v>
      </c>
      <c r="DB21" s="1111">
        <v>11.7024320916241</v>
      </c>
      <c r="DC21" s="1111">
        <v>28.586029540839402</v>
      </c>
      <c r="DD21" s="1111">
        <v>6.1679205099512302</v>
      </c>
      <c r="DE21" s="1111">
        <v>296.93357360071502</v>
      </c>
      <c r="DF21" s="1111">
        <v>764.12133348591897</v>
      </c>
      <c r="DG21" s="1111">
        <v>581.989156876626</v>
      </c>
      <c r="DH21" s="1111">
        <v>3360.9096926410498</v>
      </c>
      <c r="DI21" s="1111">
        <v>58.5134714949046</v>
      </c>
      <c r="DJ21" s="1111">
        <v>70.707180663951306</v>
      </c>
      <c r="DK21" s="1111">
        <v>38.71</v>
      </c>
      <c r="DL21" s="1111">
        <v>0</v>
      </c>
      <c r="DM21" s="1111">
        <v>198.51294350167299</v>
      </c>
      <c r="DN21" s="1111">
        <v>20.795260215858999</v>
      </c>
      <c r="DO21" s="1111">
        <v>1099.85286740731</v>
      </c>
      <c r="DP21" s="1111">
        <v>428.732516707098</v>
      </c>
      <c r="DQ21" s="1111">
        <v>3.1403128686462898</v>
      </c>
      <c r="DR21" s="1111">
        <v>16.9875016010736</v>
      </c>
      <c r="DS21" s="1111">
        <v>0</v>
      </c>
      <c r="DT21" s="1111">
        <v>1.2516608447889499</v>
      </c>
      <c r="DU21" s="1111">
        <v>0</v>
      </c>
      <c r="DV21" s="1111">
        <v>0.818673574414996</v>
      </c>
      <c r="DW21" s="1111">
        <v>0</v>
      </c>
      <c r="DX21" s="1111">
        <v>0.76727554043400803</v>
      </c>
      <c r="DY21" s="1111">
        <v>45.1356388716125</v>
      </c>
      <c r="DZ21" s="1111">
        <v>151.67646025670101</v>
      </c>
      <c r="EA21" s="1111">
        <v>1.10132542624985</v>
      </c>
      <c r="EB21" s="1111">
        <v>39.765108687737602</v>
      </c>
      <c r="EC21" s="1111">
        <v>0</v>
      </c>
      <c r="ED21" s="1111">
        <v>10.268833270315801</v>
      </c>
      <c r="EE21" s="1111">
        <v>0</v>
      </c>
      <c r="EF21" s="1111">
        <v>10.827901398000799</v>
      </c>
      <c r="EG21" s="1111">
        <v>0</v>
      </c>
      <c r="EH21" s="1111">
        <v>15.5613968714304</v>
      </c>
      <c r="EI21" s="1111">
        <v>0.33782159374237197</v>
      </c>
      <c r="EJ21" s="1111">
        <v>414.49444165235002</v>
      </c>
      <c r="EK21" s="1111">
        <v>6265.3364057803501</v>
      </c>
      <c r="EL21" s="1111">
        <v>1429.51270821253</v>
      </c>
      <c r="EM21" s="1111">
        <v>7881.1167747301297</v>
      </c>
      <c r="EN21" s="1111">
        <v>1574.2127192641301</v>
      </c>
      <c r="EO21" s="1111">
        <v>2670.6783843304702</v>
      </c>
      <c r="EP21" s="1111">
        <v>828.81294683563203</v>
      </c>
      <c r="EQ21" s="1111">
        <v>267.696171362614</v>
      </c>
      <c r="ER21" s="1111">
        <v>1329.64865671336</v>
      </c>
      <c r="ES21" s="1111">
        <v>322.45642772681799</v>
      </c>
      <c r="ET21" s="1111">
        <v>1179.6442798785699</v>
      </c>
      <c r="EU21" s="1111">
        <v>116.463225872967</v>
      </c>
      <c r="EV21" s="1111">
        <v>673.02553882498205</v>
      </c>
      <c r="EW21" s="1111">
        <v>311.97997069038797</v>
      </c>
      <c r="EX21" s="1111">
        <v>1109.43533097306</v>
      </c>
      <c r="EY21" s="1111">
        <v>1010.28733920166</v>
      </c>
      <c r="EZ21" s="1111">
        <v>892.93693232294902</v>
      </c>
      <c r="FA21" s="1111">
        <v>330.01156545388602</v>
      </c>
      <c r="FB21" s="1111">
        <v>722.88179106099403</v>
      </c>
      <c r="FC21" s="1111">
        <v>93.488328941451698</v>
      </c>
      <c r="FD21" s="1111">
        <v>1544.87263311119</v>
      </c>
      <c r="FE21" s="1111">
        <v>595.01143547305196</v>
      </c>
      <c r="FF21" s="1111">
        <v>70.209579741804006</v>
      </c>
      <c r="FG21" s="1111">
        <v>9.4838834156087408</v>
      </c>
      <c r="FH21" s="1111">
        <v>0.27335876488634703</v>
      </c>
      <c r="FI21" s="1111">
        <v>1.9986910777135301</v>
      </c>
      <c r="FJ21" s="1111">
        <v>79.755256108036306</v>
      </c>
      <c r="FK21" s="1111">
        <v>18.735214425325299</v>
      </c>
      <c r="FL21" s="1111">
        <v>42.8724477682348</v>
      </c>
      <c r="FM21" s="1111">
        <v>0</v>
      </c>
      <c r="FN21" s="1111">
        <v>0</v>
      </c>
      <c r="FO21" s="1111">
        <v>170.34556389460101</v>
      </c>
      <c r="FP21" s="1111">
        <v>152.01993632863599</v>
      </c>
      <c r="FQ21" s="1111">
        <v>157.619276575903</v>
      </c>
      <c r="FR21" s="1111">
        <v>0</v>
      </c>
      <c r="FS21" s="1111">
        <v>644.29881350000801</v>
      </c>
      <c r="FT21" s="1111">
        <v>1380.06663278515</v>
      </c>
      <c r="FU21" s="1111">
        <v>1.0426602477463001</v>
      </c>
      <c r="FV21" s="1111">
        <v>0</v>
      </c>
      <c r="FW21" s="1111">
        <v>0</v>
      </c>
      <c r="FX21" s="1111">
        <v>48.528131210907198</v>
      </c>
      <c r="FY21" s="1111">
        <v>25.7829321360751</v>
      </c>
      <c r="FZ21" s="1111">
        <v>30.731383943440498</v>
      </c>
      <c r="GA21" s="1111">
        <v>0</v>
      </c>
      <c r="GB21" s="1111">
        <v>0</v>
      </c>
      <c r="GC21" s="1111">
        <v>19.4543689108</v>
      </c>
      <c r="GD21" s="1111">
        <v>0</v>
      </c>
      <c r="GE21" s="1111">
        <v>2.37188158637107</v>
      </c>
      <c r="GF21" s="1111">
        <v>0</v>
      </c>
      <c r="GG21" s="1111">
        <v>13.589680468114301</v>
      </c>
      <c r="GH21" s="1111">
        <v>2.83099769413958</v>
      </c>
      <c r="GI21" s="1111">
        <v>1.36832948379246</v>
      </c>
      <c r="GJ21" s="1111">
        <v>1.1922263660836001</v>
      </c>
      <c r="GK21" s="1111">
        <v>5.3028048924140503</v>
      </c>
      <c r="GL21" s="1111">
        <v>98.000609949040793</v>
      </c>
      <c r="GM21" s="1111">
        <v>11.616630690910499</v>
      </c>
      <c r="GN21" s="1111">
        <v>0</v>
      </c>
      <c r="GO21" s="1111">
        <v>90.610751740598005</v>
      </c>
      <c r="GP21" s="1111">
        <v>148.13696655538399</v>
      </c>
      <c r="GQ21" s="1111">
        <v>3568.7205891589902</v>
      </c>
      <c r="GR21" s="1111">
        <v>0</v>
      </c>
      <c r="GS21" s="1111">
        <v>0</v>
      </c>
      <c r="GT21" s="1111">
        <v>10.308</v>
      </c>
      <c r="GU21" s="1111">
        <v>193.9849733138</v>
      </c>
      <c r="GV21" s="1111">
        <v>0</v>
      </c>
      <c r="GW21" s="1111">
        <v>228.21757638585899</v>
      </c>
      <c r="GX21" s="1111">
        <v>173.75253797700699</v>
      </c>
      <c r="GY21" s="1111">
        <v>2715.7736230164901</v>
      </c>
      <c r="GZ21" s="1111">
        <v>0</v>
      </c>
      <c r="HA21" s="1111">
        <v>10.308</v>
      </c>
      <c r="HB21" s="1111">
        <v>0</v>
      </c>
      <c r="HC21" s="1111">
        <v>0</v>
      </c>
      <c r="HD21" s="1111">
        <v>0</v>
      </c>
      <c r="HE21" s="1111">
        <v>112.802594594068</v>
      </c>
      <c r="HF21" s="1111">
        <v>8.4860022017535801</v>
      </c>
      <c r="HG21" s="1111">
        <v>961.70863589285705</v>
      </c>
      <c r="HH21" s="1111">
        <v>2269.0688334002002</v>
      </c>
      <c r="HI21" s="1111">
        <v>562.88176688741805</v>
      </c>
      <c r="HJ21" s="1111">
        <v>55.078207179470603</v>
      </c>
      <c r="HK21" s="1111">
        <v>5.1362500000000004</v>
      </c>
      <c r="HL21" s="1111">
        <v>169.98980224667201</v>
      </c>
      <c r="HM21" s="1111">
        <v>275.16624863990501</v>
      </c>
      <c r="HN21" s="1111">
        <v>19124.358015781901</v>
      </c>
      <c r="HO21" s="1111">
        <v>173.68</v>
      </c>
      <c r="HP21" s="1111">
        <v>352.34</v>
      </c>
      <c r="HQ21" s="1111">
        <v>0</v>
      </c>
      <c r="HR21" s="1111">
        <v>9.7735139705552694</v>
      </c>
      <c r="HS21" s="1111">
        <v>8.1571811573532802</v>
      </c>
      <c r="HT21" s="1111">
        <v>82.509906402655503</v>
      </c>
      <c r="HU21" s="1111">
        <v>10.308</v>
      </c>
      <c r="HV21" s="1111">
        <v>3.3967128027681701</v>
      </c>
      <c r="HW21" s="1111">
        <v>0</v>
      </c>
      <c r="HX21" s="1111">
        <v>10.491250000000001</v>
      </c>
      <c r="HY21" s="1111">
        <v>117.389295267911</v>
      </c>
      <c r="HZ21" s="1111">
        <v>0</v>
      </c>
      <c r="IA21" s="1111">
        <v>1162.0971353149801</v>
      </c>
      <c r="IB21" s="1111">
        <v>0.51326529428571399</v>
      </c>
      <c r="IC21" s="1111">
        <v>110.659095779357</v>
      </c>
      <c r="ID21" s="1111">
        <v>156.30785498209201</v>
      </c>
      <c r="IE21" s="1111">
        <v>0</v>
      </c>
      <c r="IF21" s="1111">
        <v>564.36300000000006</v>
      </c>
      <c r="IG21" s="1111">
        <v>233.68520635004401</v>
      </c>
      <c r="IH21" s="1111">
        <v>1665.6556639659</v>
      </c>
      <c r="II21" s="1111">
        <v>0</v>
      </c>
      <c r="IJ21" s="1111">
        <v>45.138142857142803</v>
      </c>
      <c r="IK21" s="1111">
        <v>9.1198071504513205</v>
      </c>
      <c r="IL21" s="1111">
        <v>18.634062545454601</v>
      </c>
      <c r="IM21" s="1111">
        <v>45.424364591368601</v>
      </c>
      <c r="IN21" s="1111">
        <v>10.958219367272701</v>
      </c>
      <c r="IO21" s="1111">
        <v>151.50852718111199</v>
      </c>
      <c r="IP21" s="1111">
        <v>0.116000871012572</v>
      </c>
      <c r="IQ21" s="1111">
        <v>3.2630999661606901</v>
      </c>
      <c r="IR21" s="1111">
        <v>4.0770918309361401E-2</v>
      </c>
      <c r="IS21" s="1111">
        <v>0.61551198641781801</v>
      </c>
      <c r="IT21" s="1111">
        <v>0.36587100561681801</v>
      </c>
      <c r="IU21" s="1111">
        <v>1256.0356214553999</v>
      </c>
      <c r="IV21" s="1111">
        <v>124.435664070217</v>
      </c>
      <c r="IW21" s="1111">
        <v>2296.0536387078</v>
      </c>
      <c r="IX21" s="1111">
        <v>1593.7740200000001</v>
      </c>
      <c r="IY21" s="1111">
        <v>398.19973392776598</v>
      </c>
      <c r="IZ21" s="1111">
        <v>29.0926991368828</v>
      </c>
      <c r="JA21" s="1111">
        <v>32.177927127310397</v>
      </c>
      <c r="JB21" s="1111">
        <v>54.915789011600197</v>
      </c>
      <c r="JC21" s="1111">
        <v>132.297430705426</v>
      </c>
      <c r="JD21" s="1111">
        <v>55.596038798861599</v>
      </c>
      <c r="JE21" s="1111">
        <v>1716.8365639494</v>
      </c>
      <c r="JF21" s="1111">
        <v>182.46207610921201</v>
      </c>
      <c r="JG21" s="1111">
        <v>362.03001479987699</v>
      </c>
      <c r="JH21" s="1111">
        <v>0</v>
      </c>
      <c r="JI21" s="1111">
        <v>31.024099091685599</v>
      </c>
      <c r="JJ21" s="1111">
        <v>46.796394587168798</v>
      </c>
      <c r="JK21" s="1111">
        <v>36.211168008657303</v>
      </c>
      <c r="JL21" s="1111">
        <v>0</v>
      </c>
      <c r="JM21" s="1111">
        <v>1.5409090909090899</v>
      </c>
      <c r="JN21" s="1111">
        <v>38.386909090909199</v>
      </c>
      <c r="JO21" s="1111">
        <v>100.952454545454</v>
      </c>
      <c r="JP21" s="1111">
        <v>917.432538625544</v>
      </c>
      <c r="JQ21" s="1111">
        <v>1446.0513809084</v>
      </c>
      <c r="JR21" s="1111">
        <v>32.600450000000002</v>
      </c>
      <c r="JS21" s="1111">
        <v>8.7739358125641598</v>
      </c>
      <c r="JT21" s="1111">
        <v>6.367</v>
      </c>
      <c r="JU21" s="1111">
        <v>1.978405</v>
      </c>
      <c r="JV21" s="1111">
        <v>1.43794</v>
      </c>
      <c r="JW21" s="1111">
        <v>271.76906126084998</v>
      </c>
      <c r="JX21" s="1111">
        <v>226.0631097843</v>
      </c>
      <c r="JY21" s="1111">
        <v>0.92520000000000002</v>
      </c>
      <c r="JZ21" s="1111">
        <v>650.25166983524298</v>
      </c>
      <c r="KA21" s="1111">
        <v>143.12675999999999</v>
      </c>
      <c r="KB21" s="1111">
        <v>102.75784921543</v>
      </c>
      <c r="KC21" s="1111">
        <v>151.18697799374999</v>
      </c>
      <c r="KD21" s="1111">
        <v>84.592619413295793</v>
      </c>
      <c r="KE21" s="1111">
        <v>54.647520165588404</v>
      </c>
      <c r="KF21" s="1111">
        <v>5.0036299837809102</v>
      </c>
      <c r="KG21" s="1111">
        <v>1.56363436993153</v>
      </c>
      <c r="KH21" s="1111">
        <v>5.3795740611522804</v>
      </c>
      <c r="KI21" s="1111">
        <v>0</v>
      </c>
      <c r="KJ21" s="1111">
        <v>0</v>
      </c>
      <c r="KK21" s="1111">
        <v>118.2433456198</v>
      </c>
      <c r="KL21" s="1111">
        <v>97.637261541179797</v>
      </c>
      <c r="KM21" s="1111">
        <v>20.606084078615901</v>
      </c>
      <c r="KN21" s="1111">
        <v>37.636410369807997</v>
      </c>
      <c r="KO21" s="1111">
        <v>37.636293251514601</v>
      </c>
      <c r="KP21" s="1111">
        <v>1.1711829304534201E-4</v>
      </c>
      <c r="KQ21" s="1111">
        <v>-5058.6699513062003</v>
      </c>
      <c r="KR21" s="1111">
        <v>-4842.9370758365703</v>
      </c>
      <c r="KS21" s="1111">
        <v>16.221718152153301</v>
      </c>
      <c r="KT21" s="1111">
        <v>-10.9161773459488</v>
      </c>
      <c r="KU21" s="1111">
        <v>-216.627440553523</v>
      </c>
      <c r="KV21" s="1111">
        <v>-4.4109757223087502</v>
      </c>
      <c r="KW21" s="1111">
        <v>0</v>
      </c>
      <c r="KX21" s="1111">
        <v>3855.3374526769999</v>
      </c>
      <c r="KY21" s="1111">
        <v>0.38457975367422398</v>
      </c>
      <c r="KZ21" s="1111">
        <v>1076.0003595184901</v>
      </c>
      <c r="LA21" s="1111">
        <v>0.32505543795666603</v>
      </c>
      <c r="LB21" s="1111">
        <v>0.160464702997451</v>
      </c>
      <c r="LC21" s="1111">
        <v>2797.3802344412902</v>
      </c>
      <c r="LD21" s="1111">
        <v>-18.913241177430599</v>
      </c>
      <c r="LE21" s="1111">
        <v>-1890.4921198354</v>
      </c>
      <c r="LF21" s="1111">
        <v>48.217500000000001</v>
      </c>
      <c r="LG21" s="1111">
        <v>-718.88790019178498</v>
      </c>
      <c r="LH21" s="1111">
        <v>130.71624451214001</v>
      </c>
      <c r="LI21" s="1111">
        <v>68.307741855162902</v>
      </c>
      <c r="LJ21" s="1111">
        <v>-1213.81901605291</v>
      </c>
      <c r="LK21" s="1111">
        <v>-1.8512044785081501</v>
      </c>
      <c r="LL21" s="1111">
        <v>-203.17548547952401</v>
      </c>
      <c r="LM21" s="1111">
        <v>141.72839764809001</v>
      </c>
      <c r="LN21" s="1111">
        <v>141.71277972361699</v>
      </c>
      <c r="LO21" s="1111">
        <v>1.12314918414918E-2</v>
      </c>
      <c r="LP21" s="1111">
        <v>4.3864326305799901E-3</v>
      </c>
      <c r="LQ21" s="1111">
        <v>1758.1378289684001</v>
      </c>
      <c r="LR21" s="1111">
        <v>559.42726763638302</v>
      </c>
      <c r="LS21" s="1111">
        <v>3.6731656229562102</v>
      </c>
      <c r="LT21" s="1111">
        <v>28.883507952736799</v>
      </c>
      <c r="LU21" s="1111">
        <v>157.40922230597701</v>
      </c>
      <c r="LV21" s="1111">
        <v>1008.74466545039</v>
      </c>
      <c r="LW21" s="1111">
        <v>0</v>
      </c>
      <c r="LX21" s="1111">
        <v>0</v>
      </c>
      <c r="LY21" s="1111">
        <v>-624.21888870969997</v>
      </c>
      <c r="LZ21" s="1111">
        <v>-539.31807986162005</v>
      </c>
      <c r="MA21" s="1111">
        <v>-84.900808848080302</v>
      </c>
      <c r="MB21" s="1111">
        <v>148.66536580370001</v>
      </c>
      <c r="MC21" s="1111">
        <v>1.1331886495160299E-2</v>
      </c>
      <c r="MD21" s="1111">
        <v>87.648779517207402</v>
      </c>
      <c r="ME21" s="1111">
        <v>61.005254399999998</v>
      </c>
      <c r="MF21" s="1111">
        <v>7955.8830382451997</v>
      </c>
      <c r="MG21" s="1111">
        <v>7.1123332317668903E-2</v>
      </c>
      <c r="MH21" s="1111">
        <v>638.71245663624802</v>
      </c>
      <c r="MI21" s="1111">
        <v>0.46909031097945803</v>
      </c>
      <c r="MJ21" s="1111">
        <v>0.48959790743125697</v>
      </c>
      <c r="MK21" s="1111">
        <v>7316.1407700582104</v>
      </c>
      <c r="ML21" s="1111">
        <v>2397.3509132378999</v>
      </c>
      <c r="MM21" s="1111">
        <v>1120.0187125841201</v>
      </c>
      <c r="MN21" s="1111">
        <v>1277.3322006537301</v>
      </c>
    </row>
    <row r="22" spans="1:352" ht="13.9" x14ac:dyDescent="0.4">
      <c r="A22" s="1096">
        <v>2002</v>
      </c>
      <c r="B22" s="1145">
        <v>145576.43350000001</v>
      </c>
      <c r="C22" s="1111">
        <v>91.745143639534703</v>
      </c>
      <c r="D22" s="1111">
        <v>0.26363990025239198</v>
      </c>
      <c r="E22" s="1111">
        <v>29131.648118263998</v>
      </c>
      <c r="F22" s="1111">
        <v>0</v>
      </c>
      <c r="G22" s="1111">
        <v>684.78843421729903</v>
      </c>
      <c r="H22" s="1111">
        <v>285.30255436929099</v>
      </c>
      <c r="I22" s="1111">
        <v>0</v>
      </c>
      <c r="J22" s="1111">
        <v>14534.237895463501</v>
      </c>
      <c r="K22" s="1111">
        <v>0</v>
      </c>
      <c r="L22" s="1111">
        <v>0</v>
      </c>
      <c r="M22" s="1111">
        <v>0</v>
      </c>
      <c r="N22" s="1111">
        <v>297.99072703115797</v>
      </c>
      <c r="O22" s="1111">
        <v>0</v>
      </c>
      <c r="P22" s="1111">
        <v>203.38118568018601</v>
      </c>
      <c r="Q22" s="1111">
        <v>130.43407293224899</v>
      </c>
      <c r="R22" s="1111">
        <v>0</v>
      </c>
      <c r="S22" s="1111">
        <v>0</v>
      </c>
      <c r="T22" s="1111">
        <v>1793.1492800000001</v>
      </c>
      <c r="U22" s="1111">
        <v>42.873600000000003</v>
      </c>
      <c r="V22" s="1111">
        <v>7.8209234112363299</v>
      </c>
      <c r="W22" s="1111">
        <v>8.5920000000000005</v>
      </c>
      <c r="X22" s="1111">
        <v>89.082499963966598</v>
      </c>
      <c r="Y22" s="1111">
        <v>410.96816921908902</v>
      </c>
      <c r="Z22" s="1111">
        <v>1865.8522802291</v>
      </c>
      <c r="AA22" s="1111">
        <v>0</v>
      </c>
      <c r="AB22" s="1111">
        <v>1024.9716000000001</v>
      </c>
      <c r="AC22" s="1111">
        <v>136.63612307283501</v>
      </c>
      <c r="AD22" s="1111">
        <v>168.95308242484199</v>
      </c>
      <c r="AE22" s="1111">
        <v>0</v>
      </c>
      <c r="AF22" s="1111">
        <v>0</v>
      </c>
      <c r="AG22" s="1111">
        <v>13.6953536283222</v>
      </c>
      <c r="AH22" s="1111">
        <v>0</v>
      </c>
      <c r="AI22" s="1111">
        <v>408.931630594372</v>
      </c>
      <c r="AJ22" s="1111">
        <v>3206.77526523898</v>
      </c>
      <c r="AK22" s="1111">
        <v>10.615379674426499</v>
      </c>
      <c r="AL22" s="1111">
        <v>213.42422981464699</v>
      </c>
      <c r="AM22" s="1111">
        <v>18.729084993000001</v>
      </c>
      <c r="AN22" s="1111">
        <v>1467.87125360051</v>
      </c>
      <c r="AO22" s="1111">
        <v>6.3273461538461504</v>
      </c>
      <c r="AP22" s="1111">
        <v>0</v>
      </c>
      <c r="AQ22" s="1111">
        <v>35.362744257053699</v>
      </c>
      <c r="AR22" s="1111">
        <v>0</v>
      </c>
      <c r="AS22" s="1111">
        <v>0</v>
      </c>
      <c r="AT22" s="1111">
        <v>0</v>
      </c>
      <c r="AU22" s="1111">
        <v>454.30524868370901</v>
      </c>
      <c r="AV22" s="1111">
        <v>0</v>
      </c>
      <c r="AW22" s="1111">
        <v>0</v>
      </c>
      <c r="AX22" s="1111">
        <v>0</v>
      </c>
      <c r="AY22" s="1111">
        <v>0</v>
      </c>
      <c r="AZ22" s="1111">
        <v>0</v>
      </c>
      <c r="BA22" s="1111">
        <v>0</v>
      </c>
      <c r="BB22" s="1111">
        <v>0</v>
      </c>
      <c r="BC22" s="1111">
        <v>0</v>
      </c>
      <c r="BD22" s="1111">
        <v>0</v>
      </c>
      <c r="BE22" s="1111">
        <v>961.38928725747496</v>
      </c>
      <c r="BF22" s="1111">
        <v>41.598453951911999</v>
      </c>
      <c r="BG22" s="1111">
        <v>0</v>
      </c>
      <c r="BH22" s="1111">
        <v>11.2015219086842</v>
      </c>
      <c r="BI22" s="1111">
        <v>2272.7248274915501</v>
      </c>
      <c r="BJ22" s="1111">
        <v>0</v>
      </c>
      <c r="BK22" s="1111">
        <v>23.0702259914273</v>
      </c>
      <c r="BL22" s="1111">
        <v>145.89433836282601</v>
      </c>
      <c r="BM22" s="1111">
        <v>218.82479745746701</v>
      </c>
      <c r="BN22" s="1111">
        <v>5.8008778177450804</v>
      </c>
      <c r="BO22" s="1111">
        <v>7.9572882296886602</v>
      </c>
      <c r="BP22" s="1111">
        <v>452.90477771328398</v>
      </c>
      <c r="BQ22" s="1111">
        <v>0</v>
      </c>
      <c r="BR22" s="1111">
        <v>734.06694428755395</v>
      </c>
      <c r="BS22" s="1111">
        <v>215.75374536212601</v>
      </c>
      <c r="BT22" s="1111">
        <v>67.769326332197494</v>
      </c>
      <c r="BU22" s="1111">
        <v>29.870619999999999</v>
      </c>
      <c r="BV22" s="1111">
        <v>5.4533101334198797</v>
      </c>
      <c r="BW22" s="1111">
        <v>265.15314247808698</v>
      </c>
      <c r="BX22" s="1111">
        <v>232.459076888867</v>
      </c>
      <c r="BY22" s="1111">
        <v>95.352794244502604</v>
      </c>
      <c r="BZ22" s="1111">
        <v>17.417559260891501</v>
      </c>
      <c r="CA22" s="1111">
        <v>2477.1382513550302</v>
      </c>
      <c r="CB22" s="1111">
        <v>106.38302913074</v>
      </c>
      <c r="CC22" s="1111">
        <v>43.276873218886699</v>
      </c>
      <c r="CD22" s="1111">
        <v>4.71879902859959</v>
      </c>
      <c r="CE22" s="1111">
        <v>884.41657071695795</v>
      </c>
      <c r="CF22" s="1111">
        <v>47.686015057432897</v>
      </c>
      <c r="CG22" s="1111">
        <v>84.6347768436151</v>
      </c>
      <c r="CH22" s="1111">
        <v>25.7054861914478</v>
      </c>
      <c r="CI22" s="1111">
        <v>1509.6255025391799</v>
      </c>
      <c r="CJ22" s="1111">
        <v>25.2072937602384</v>
      </c>
      <c r="CK22" s="1111">
        <v>0</v>
      </c>
      <c r="CL22" s="1111">
        <v>80.636300001323505</v>
      </c>
      <c r="CM22" s="1111">
        <v>0</v>
      </c>
      <c r="CN22" s="1111">
        <v>875.73850000000004</v>
      </c>
      <c r="CO22" s="1111">
        <v>0</v>
      </c>
      <c r="CP22" s="1111">
        <v>12.18</v>
      </c>
      <c r="CQ22" s="1111">
        <v>2.0099365709810701</v>
      </c>
      <c r="CR22" s="1111">
        <v>234.15109176521401</v>
      </c>
      <c r="CS22" s="1111">
        <v>20.8015942516999</v>
      </c>
      <c r="CT22" s="1111">
        <v>2.0586182399999999</v>
      </c>
      <c r="CU22" s="1111">
        <v>1.28084</v>
      </c>
      <c r="CV22" s="1111">
        <v>52.943040000000003</v>
      </c>
      <c r="CW22" s="1111">
        <v>218.95063393862</v>
      </c>
      <c r="CX22" s="1111">
        <v>1689.2795013493301</v>
      </c>
      <c r="CY22" s="1111">
        <v>137.58481955603901</v>
      </c>
      <c r="CZ22" s="1111">
        <v>1106.17990010004</v>
      </c>
      <c r="DA22" s="1111">
        <v>247.91619735033899</v>
      </c>
      <c r="DB22" s="1111">
        <v>29.114070327086399</v>
      </c>
      <c r="DC22" s="1111">
        <v>12.7899577667832</v>
      </c>
      <c r="DD22" s="1111">
        <v>5.2867890085296398</v>
      </c>
      <c r="DE22" s="1111">
        <v>65.503177323573496</v>
      </c>
      <c r="DF22" s="1111">
        <v>351.47167927130698</v>
      </c>
      <c r="DG22" s="1111">
        <v>514.56991513348305</v>
      </c>
      <c r="DH22" s="1111">
        <v>3038.7052267354402</v>
      </c>
      <c r="DI22" s="1111">
        <v>51.629955895835302</v>
      </c>
      <c r="DJ22" s="1111">
        <v>58.502486987129998</v>
      </c>
      <c r="DK22" s="1111">
        <v>25.245966701352799</v>
      </c>
      <c r="DL22" s="1111">
        <v>0</v>
      </c>
      <c r="DM22" s="1111">
        <v>189.16975421786199</v>
      </c>
      <c r="DN22" s="1111">
        <v>17.275803515324</v>
      </c>
      <c r="DO22" s="1111">
        <v>1231.84417232599</v>
      </c>
      <c r="DP22" s="1111">
        <v>362.05825088580701</v>
      </c>
      <c r="DQ22" s="1111">
        <v>2.7071983671870501</v>
      </c>
      <c r="DR22" s="1111">
        <v>18.284698106318999</v>
      </c>
      <c r="DS22" s="1111">
        <v>0</v>
      </c>
      <c r="DT22" s="1111">
        <v>1.3319189662695301</v>
      </c>
      <c r="DU22" s="1111">
        <v>0</v>
      </c>
      <c r="DV22" s="1111">
        <v>0.70106375671589105</v>
      </c>
      <c r="DW22" s="1111">
        <v>0</v>
      </c>
      <c r="DX22" s="1111">
        <v>0.85231213366934999</v>
      </c>
      <c r="DY22" s="1111">
        <v>35.919655333626999</v>
      </c>
      <c r="DZ22" s="1111">
        <v>152.878785150227</v>
      </c>
      <c r="EA22" s="1111">
        <v>1.24405403689932</v>
      </c>
      <c r="EB22" s="1111">
        <v>40.921780247149997</v>
      </c>
      <c r="EC22" s="1111">
        <v>0</v>
      </c>
      <c r="ED22" s="1111">
        <v>10.7778095218444</v>
      </c>
      <c r="EE22" s="1111">
        <v>0</v>
      </c>
      <c r="EF22" s="1111">
        <v>10.411800695958799</v>
      </c>
      <c r="EG22" s="1111">
        <v>0</v>
      </c>
      <c r="EH22" s="1111">
        <v>15.414402103944999</v>
      </c>
      <c r="EI22" s="1111">
        <v>0.206837320048471</v>
      </c>
      <c r="EJ22" s="1111">
        <v>416.19508066529698</v>
      </c>
      <c r="EK22" s="1111">
        <v>6302.4287784107701</v>
      </c>
      <c r="EL22" s="1111">
        <v>1616.6632870641899</v>
      </c>
      <c r="EM22" s="1111">
        <v>7841.6548905952004</v>
      </c>
      <c r="EN22" s="1111">
        <v>1749.0519738421201</v>
      </c>
      <c r="EO22" s="1111">
        <v>2646.4164670374098</v>
      </c>
      <c r="EP22" s="1111">
        <v>927.41567541565803</v>
      </c>
      <c r="EQ22" s="1111">
        <v>229.86203087546801</v>
      </c>
      <c r="ER22" s="1111">
        <v>1397.17294449105</v>
      </c>
      <c r="ES22" s="1111">
        <v>276.71101590186203</v>
      </c>
      <c r="ET22" s="1111">
        <v>1240.9264015751501</v>
      </c>
      <c r="EU22" s="1111">
        <v>99.432519732103898</v>
      </c>
      <c r="EV22" s="1111">
        <v>701.29642816924002</v>
      </c>
      <c r="EW22" s="1111">
        <v>330.31583136123101</v>
      </c>
      <c r="EX22" s="1111">
        <v>1149.79676328399</v>
      </c>
      <c r="EY22" s="1111">
        <v>1051.2414475527301</v>
      </c>
      <c r="EZ22" s="1111">
        <v>874.07733836038301</v>
      </c>
      <c r="FA22" s="1111">
        <v>338.18887233499697</v>
      </c>
      <c r="FB22" s="1111">
        <v>735.57440172651195</v>
      </c>
      <c r="FC22" s="1111">
        <v>87.473358693122407</v>
      </c>
      <c r="FD22" s="1111">
        <v>1569.86130611873</v>
      </c>
      <c r="FE22" s="1111">
        <v>599.44139651101398</v>
      </c>
      <c r="FF22" s="1111">
        <v>74.255140682906401</v>
      </c>
      <c r="FG22" s="1111">
        <v>9.2046657965011498</v>
      </c>
      <c r="FH22" s="1111">
        <v>0.27128556558629102</v>
      </c>
      <c r="FI22" s="1111">
        <v>1.95883918727438</v>
      </c>
      <c r="FJ22" s="1111">
        <v>84.203486644764894</v>
      </c>
      <c r="FK22" s="1111">
        <v>18.100924113921799</v>
      </c>
      <c r="FL22" s="1111">
        <v>69.016641056694795</v>
      </c>
      <c r="FM22" s="1111">
        <v>9.8718787127299396E-2</v>
      </c>
      <c r="FN22" s="1111">
        <v>0</v>
      </c>
      <c r="FO22" s="1111">
        <v>173.23741333901501</v>
      </c>
      <c r="FP22" s="1111">
        <v>154.472239470565</v>
      </c>
      <c r="FQ22" s="1111">
        <v>143.87755001944899</v>
      </c>
      <c r="FR22" s="1111">
        <v>0</v>
      </c>
      <c r="FS22" s="1111">
        <v>669.19737659662906</v>
      </c>
      <c r="FT22" s="1111">
        <v>1396.60280935327</v>
      </c>
      <c r="FU22" s="1111">
        <v>1.1201105168380501</v>
      </c>
      <c r="FV22" s="1111">
        <v>0</v>
      </c>
      <c r="FW22" s="1111">
        <v>0</v>
      </c>
      <c r="FX22" s="1111">
        <v>52.132869023563401</v>
      </c>
      <c r="FY22" s="1111">
        <v>28.1033960283219</v>
      </c>
      <c r="FZ22" s="1111">
        <v>33.126311220700202</v>
      </c>
      <c r="GA22" s="1111">
        <v>0</v>
      </c>
      <c r="GB22" s="1111">
        <v>0</v>
      </c>
      <c r="GC22" s="1111">
        <v>20.8994667846362</v>
      </c>
      <c r="GD22" s="1111">
        <v>0</v>
      </c>
      <c r="GE22" s="1111">
        <v>2.2042874691987802</v>
      </c>
      <c r="GF22" s="1111">
        <v>0</v>
      </c>
      <c r="GG22" s="1111">
        <v>9.9197317399218203</v>
      </c>
      <c r="GH22" s="1111">
        <v>1.8833247558562101</v>
      </c>
      <c r="GI22" s="1111">
        <v>0.21891967057859599</v>
      </c>
      <c r="GJ22" s="1111">
        <v>1.20040415297947</v>
      </c>
      <c r="GK22" s="1111">
        <v>5.3531961044495198</v>
      </c>
      <c r="GL22" s="1111">
        <v>101.75816791692</v>
      </c>
      <c r="GM22" s="1111">
        <v>5.5427344000004499</v>
      </c>
      <c r="GN22" s="1111">
        <v>0</v>
      </c>
      <c r="GO22" s="1111">
        <v>63.220760375349897</v>
      </c>
      <c r="GP22" s="1111">
        <v>90.2748157396517</v>
      </c>
      <c r="GQ22" s="1111">
        <v>3053.90017341973</v>
      </c>
      <c r="GR22" s="1111">
        <v>0</v>
      </c>
      <c r="GS22" s="1111">
        <v>0</v>
      </c>
      <c r="GT22" s="1111">
        <v>10.308</v>
      </c>
      <c r="GU22" s="1111">
        <v>127.773312199407</v>
      </c>
      <c r="GV22" s="1111">
        <v>0</v>
      </c>
      <c r="GW22" s="1111">
        <v>112.37060686320299</v>
      </c>
      <c r="GX22" s="1111">
        <v>83.699459853653195</v>
      </c>
      <c r="GY22" s="1111">
        <v>2473.1493856029201</v>
      </c>
      <c r="GZ22" s="1111">
        <v>0</v>
      </c>
      <c r="HA22" s="1111">
        <v>10.308</v>
      </c>
      <c r="HB22" s="1111">
        <v>0</v>
      </c>
      <c r="HC22" s="1111">
        <v>0</v>
      </c>
      <c r="HD22" s="1111">
        <v>0</v>
      </c>
      <c r="HE22" s="1111">
        <v>90.469949469687904</v>
      </c>
      <c r="HF22" s="1111">
        <v>8.5407591226436192</v>
      </c>
      <c r="HG22" s="1111">
        <v>695.95305660714303</v>
      </c>
      <c r="HH22" s="1111">
        <v>1938.12734</v>
      </c>
      <c r="HI22" s="1111">
        <v>358.09405033112603</v>
      </c>
      <c r="HJ22" s="1111">
        <v>143.44317362218601</v>
      </c>
      <c r="HK22" s="1111">
        <v>3.2448999999999999</v>
      </c>
      <c r="HL22" s="1111">
        <v>177.90493412969201</v>
      </c>
      <c r="HM22" s="1111">
        <v>260.18301663129398</v>
      </c>
      <c r="HN22" s="1111">
        <v>18990.752031986402</v>
      </c>
      <c r="HO22" s="1111">
        <v>160.32</v>
      </c>
      <c r="HP22" s="1111">
        <v>309.34445022293801</v>
      </c>
      <c r="HQ22" s="1111">
        <v>0</v>
      </c>
      <c r="HR22" s="1111">
        <v>0.83009332366246702</v>
      </c>
      <c r="HS22" s="1111">
        <v>8.2093347684332603</v>
      </c>
      <c r="HT22" s="1111">
        <v>83.037440300182197</v>
      </c>
      <c r="HU22" s="1111">
        <v>10.308</v>
      </c>
      <c r="HV22" s="1111">
        <v>4.0057785467127998</v>
      </c>
      <c r="HW22" s="1111">
        <v>0</v>
      </c>
      <c r="HX22" s="1111">
        <v>2.9642599999999999</v>
      </c>
      <c r="HY22" s="1111">
        <v>118.37283962960799</v>
      </c>
      <c r="HZ22" s="1111">
        <v>0</v>
      </c>
      <c r="IA22" s="1111">
        <v>1158.33095672025</v>
      </c>
      <c r="IB22" s="1111">
        <v>0.51326529428571399</v>
      </c>
      <c r="IC22" s="1111">
        <v>111.284980997888</v>
      </c>
      <c r="ID22" s="1111">
        <v>158.63281126769601</v>
      </c>
      <c r="IE22" s="1111">
        <v>0</v>
      </c>
      <c r="IF22" s="1111">
        <v>621.91600000000005</v>
      </c>
      <c r="IG22" s="1111">
        <v>212.77246842568201</v>
      </c>
      <c r="IH22" s="1111">
        <v>1579.3151403797001</v>
      </c>
      <c r="II22" s="1111">
        <v>0</v>
      </c>
      <c r="IJ22" s="1111">
        <v>37.6421053342563</v>
      </c>
      <c r="IK22" s="1111">
        <v>15.303949333292501</v>
      </c>
      <c r="IL22" s="1111">
        <v>25.472655709090901</v>
      </c>
      <c r="IM22" s="1111">
        <v>50.250449118616402</v>
      </c>
      <c r="IN22" s="1111">
        <v>14.654266461818199</v>
      </c>
      <c r="IO22" s="1111">
        <v>167.60546029955199</v>
      </c>
      <c r="IP22" s="1111">
        <v>0.116000871012572</v>
      </c>
      <c r="IQ22" s="1111">
        <v>3.1182128389197699</v>
      </c>
      <c r="IR22" s="1111">
        <v>3.8587708554830603E-2</v>
      </c>
      <c r="IS22" s="1111">
        <v>1.1942204918727799</v>
      </c>
      <c r="IT22" s="1111">
        <v>0.311245855914771</v>
      </c>
      <c r="IU22" s="1111">
        <v>1165.8548976147799</v>
      </c>
      <c r="IV22" s="1111">
        <v>97.753088742004905</v>
      </c>
      <c r="IW22" s="1111">
        <v>2302.5081532314998</v>
      </c>
      <c r="IX22" s="1111">
        <v>1633.1631357000001</v>
      </c>
      <c r="IY22" s="1111">
        <v>366.97850517629701</v>
      </c>
      <c r="IZ22" s="1111">
        <v>28.031756584796799</v>
      </c>
      <c r="JA22" s="1111">
        <v>32.181338186799302</v>
      </c>
      <c r="JB22" s="1111">
        <v>53.740330782222202</v>
      </c>
      <c r="JC22" s="1111">
        <v>129.60824275184899</v>
      </c>
      <c r="JD22" s="1111">
        <v>58.804844049486</v>
      </c>
      <c r="JE22" s="1111">
        <v>1665.8925435245999</v>
      </c>
      <c r="JF22" s="1111">
        <v>184.42600034633099</v>
      </c>
      <c r="JG22" s="1111">
        <v>394.42618147184999</v>
      </c>
      <c r="JH22" s="1111">
        <v>0</v>
      </c>
      <c r="JI22" s="1111">
        <v>25.3985584748185</v>
      </c>
      <c r="JJ22" s="1111">
        <v>67.125735482611603</v>
      </c>
      <c r="JK22" s="1111">
        <v>0</v>
      </c>
      <c r="JL22" s="1111">
        <v>0</v>
      </c>
      <c r="JM22" s="1111">
        <v>1.5409090909090899</v>
      </c>
      <c r="JN22" s="1111">
        <v>30.8348181818182</v>
      </c>
      <c r="JO22" s="1111">
        <v>98.697545454545093</v>
      </c>
      <c r="JP22" s="1111">
        <v>863.44279502175004</v>
      </c>
      <c r="JQ22" s="1111">
        <v>1175.8832401351001</v>
      </c>
      <c r="JR22" s="1111">
        <v>27.653199999999998</v>
      </c>
      <c r="JS22" s="1111">
        <v>7.8839827901383099</v>
      </c>
      <c r="JT22" s="1111">
        <v>5.2148000000000003</v>
      </c>
      <c r="JU22" s="1111">
        <v>1.6144050000000001</v>
      </c>
      <c r="JV22" s="1111">
        <v>1.2538400000000001</v>
      </c>
      <c r="JW22" s="1111">
        <v>173.74058433297199</v>
      </c>
      <c r="JX22" s="1111">
        <v>201.45019405750699</v>
      </c>
      <c r="JY22" s="1111">
        <v>1.028</v>
      </c>
      <c r="JZ22" s="1111">
        <v>563.65322440856198</v>
      </c>
      <c r="KA22" s="1111">
        <v>144.61356000000001</v>
      </c>
      <c r="KB22" s="1111">
        <v>47.777449545957502</v>
      </c>
      <c r="KC22" s="1111">
        <v>298.94054212967001</v>
      </c>
      <c r="KD22" s="1111">
        <v>80.906802337320798</v>
      </c>
      <c r="KE22" s="1111">
        <v>55.922235870357298</v>
      </c>
      <c r="KF22" s="1111">
        <v>4.6020382980861401</v>
      </c>
      <c r="KG22" s="1111">
        <v>1.6329813315789501</v>
      </c>
      <c r="KH22" s="1111">
        <v>8.29467879514117</v>
      </c>
      <c r="KI22" s="1111">
        <v>0</v>
      </c>
      <c r="KJ22" s="1111">
        <v>147.58180549718301</v>
      </c>
      <c r="KK22" s="1111">
        <v>153.65203113889001</v>
      </c>
      <c r="KL22" s="1111">
        <v>122.69193806409</v>
      </c>
      <c r="KM22" s="1111">
        <v>30.960093074800401</v>
      </c>
      <c r="KN22" s="1111">
        <v>50.698693893832001</v>
      </c>
      <c r="KO22" s="1111">
        <v>50.698538500889597</v>
      </c>
      <c r="KP22" s="1111">
        <v>1.55392942581215E-4</v>
      </c>
      <c r="KQ22" s="1111">
        <v>-5134.4085159331999</v>
      </c>
      <c r="KR22" s="1111">
        <v>-4904.5193017335496</v>
      </c>
      <c r="KS22" s="1111">
        <v>13.7908021864085</v>
      </c>
      <c r="KT22" s="1111">
        <v>-11.978297792885</v>
      </c>
      <c r="KU22" s="1111">
        <v>-226.01629084026899</v>
      </c>
      <c r="KV22" s="1111">
        <v>-5.6854277528636796</v>
      </c>
      <c r="KW22" s="1111">
        <v>0</v>
      </c>
      <c r="KX22" s="1111">
        <v>3775.1565511936001</v>
      </c>
      <c r="KY22" s="1111">
        <v>10.720785630851701</v>
      </c>
      <c r="KZ22" s="1111">
        <v>1137.0207896663201</v>
      </c>
      <c r="LA22" s="1111">
        <v>0.35110745151300599</v>
      </c>
      <c r="LB22" s="1111">
        <v>0.166049286151042</v>
      </c>
      <c r="LC22" s="1111">
        <v>2644.6767229780198</v>
      </c>
      <c r="LD22" s="1111">
        <v>-17.778903819231399</v>
      </c>
      <c r="LE22" s="1111">
        <v>-1936.0717301970999</v>
      </c>
      <c r="LF22" s="1111">
        <v>48.217500000000001</v>
      </c>
      <c r="LG22" s="1111">
        <v>-785.96314031213296</v>
      </c>
      <c r="LH22" s="1111">
        <v>127.911806596205</v>
      </c>
      <c r="LI22" s="1111">
        <v>63.891581793576599</v>
      </c>
      <c r="LJ22" s="1111">
        <v>-1181.46756798817</v>
      </c>
      <c r="LK22" s="1111">
        <v>-1.7147654691841401</v>
      </c>
      <c r="LL22" s="1111">
        <v>-206.947144817381</v>
      </c>
      <c r="LM22" s="1111">
        <v>87.634202479636002</v>
      </c>
      <c r="LN22" s="1111">
        <v>87.618584555163494</v>
      </c>
      <c r="LO22" s="1111">
        <v>1.12314918414918E-2</v>
      </c>
      <c r="LP22" s="1111">
        <v>4.3864326305799901E-3</v>
      </c>
      <c r="LQ22" s="1111">
        <v>1758.0855665769</v>
      </c>
      <c r="LR22" s="1111">
        <v>572.45357789006698</v>
      </c>
      <c r="LS22" s="1111">
        <v>6.11319984535778</v>
      </c>
      <c r="LT22" s="1111">
        <v>38.312925690910603</v>
      </c>
      <c r="LU22" s="1111">
        <v>159.77964578744999</v>
      </c>
      <c r="LV22" s="1111">
        <v>981.42621736308797</v>
      </c>
      <c r="LW22" s="1111">
        <v>0</v>
      </c>
      <c r="LX22" s="1111">
        <v>0</v>
      </c>
      <c r="LY22" s="1111">
        <v>-606.33488687892998</v>
      </c>
      <c r="LZ22" s="1111">
        <v>-523.17703056627499</v>
      </c>
      <c r="MA22" s="1111">
        <v>-83.157856312655795</v>
      </c>
      <c r="MB22" s="1111">
        <v>143.05431370356001</v>
      </c>
      <c r="MC22" s="1111">
        <v>1.0260540245668699E-2</v>
      </c>
      <c r="MD22" s="1111">
        <v>80.598798763313496</v>
      </c>
      <c r="ME22" s="1111">
        <v>62.445254400000003</v>
      </c>
      <c r="MF22" s="1111">
        <v>7808.8070812828</v>
      </c>
      <c r="MG22" s="1111">
        <v>0.205534863259697</v>
      </c>
      <c r="MH22" s="1111">
        <v>631.591196166435</v>
      </c>
      <c r="MI22" s="1111">
        <v>0.44535854497607802</v>
      </c>
      <c r="MJ22" s="1111">
        <v>1.99993007897844</v>
      </c>
      <c r="MK22" s="1111">
        <v>7174.5650616291696</v>
      </c>
      <c r="ML22" s="1111">
        <v>2149.0499893997999</v>
      </c>
      <c r="MM22" s="1111">
        <v>1120.78232055175</v>
      </c>
      <c r="MN22" s="1111">
        <v>1028.2676688480899</v>
      </c>
    </row>
    <row r="23" spans="1:352" ht="13.9" x14ac:dyDescent="0.4">
      <c r="A23" s="1096">
        <v>2003</v>
      </c>
      <c r="B23" s="1145">
        <v>148239.19614978001</v>
      </c>
      <c r="C23" s="1111">
        <v>116.516278050444</v>
      </c>
      <c r="D23" s="1111">
        <v>0.25185755210505401</v>
      </c>
      <c r="E23" s="1111">
        <v>31921.9712</v>
      </c>
      <c r="F23" s="1111">
        <v>0</v>
      </c>
      <c r="G23" s="1111">
        <v>639.86420765637899</v>
      </c>
      <c r="H23" s="1111">
        <v>291.02749307049203</v>
      </c>
      <c r="I23" s="1111">
        <v>0</v>
      </c>
      <c r="J23" s="1111">
        <v>14305.476624893299</v>
      </c>
      <c r="K23" s="1111">
        <v>0</v>
      </c>
      <c r="L23" s="1111">
        <v>0</v>
      </c>
      <c r="M23" s="1111">
        <v>0</v>
      </c>
      <c r="N23" s="1111">
        <v>285.15453327569099</v>
      </c>
      <c r="O23" s="1111">
        <v>0</v>
      </c>
      <c r="P23" s="1111">
        <v>109.166713878381</v>
      </c>
      <c r="Q23" s="1111">
        <v>146.080483807078</v>
      </c>
      <c r="R23" s="1111">
        <v>0</v>
      </c>
      <c r="S23" s="1111">
        <v>0</v>
      </c>
      <c r="T23" s="1111">
        <v>1777.6368600000001</v>
      </c>
      <c r="U23" s="1111">
        <v>173.53890000000001</v>
      </c>
      <c r="V23" s="1111">
        <v>15.305972760992001</v>
      </c>
      <c r="W23" s="1111">
        <v>0</v>
      </c>
      <c r="X23" s="1111">
        <v>82.925159963966493</v>
      </c>
      <c r="Y23" s="1111">
        <v>400.53599257709999</v>
      </c>
      <c r="Z23" s="1111">
        <v>1688.16105366489</v>
      </c>
      <c r="AA23" s="1111">
        <v>0</v>
      </c>
      <c r="AB23" s="1111">
        <v>946.58190000000002</v>
      </c>
      <c r="AC23" s="1111">
        <v>113.28275030067999</v>
      </c>
      <c r="AD23" s="1111">
        <v>176.47068464044199</v>
      </c>
      <c r="AE23" s="1111">
        <v>0</v>
      </c>
      <c r="AF23" s="1111">
        <v>5.0516216935131399E-2</v>
      </c>
      <c r="AG23" s="1111">
        <v>0</v>
      </c>
      <c r="AH23" s="1111">
        <v>0</v>
      </c>
      <c r="AI23" s="1111">
        <v>385.74171795000001</v>
      </c>
      <c r="AJ23" s="1111">
        <v>3042.4798644733901</v>
      </c>
      <c r="AK23" s="1111">
        <v>15.696254058779401</v>
      </c>
      <c r="AL23" s="1111">
        <v>315.576176850313</v>
      </c>
      <c r="AM23" s="1111">
        <v>17.542590390000001</v>
      </c>
      <c r="AN23" s="1111">
        <v>1319.01056714479</v>
      </c>
      <c r="AO23" s="1111">
        <v>4.2750419580419603</v>
      </c>
      <c r="AP23" s="1111">
        <v>0</v>
      </c>
      <c r="AQ23" s="1111">
        <v>49.343364079609898</v>
      </c>
      <c r="AR23" s="1111">
        <v>0</v>
      </c>
      <c r="AS23" s="1111">
        <v>0</v>
      </c>
      <c r="AT23" s="1111">
        <v>1.60188097969566E-2</v>
      </c>
      <c r="AU23" s="1111">
        <v>483.85748868986201</v>
      </c>
      <c r="AV23" s="1111">
        <v>0</v>
      </c>
      <c r="AW23" s="1111">
        <v>0</v>
      </c>
      <c r="AX23" s="1111">
        <v>0</v>
      </c>
      <c r="AY23" s="1111">
        <v>0</v>
      </c>
      <c r="AZ23" s="1111">
        <v>0</v>
      </c>
      <c r="BA23" s="1111">
        <v>0</v>
      </c>
      <c r="BB23" s="1111">
        <v>0</v>
      </c>
      <c r="BC23" s="1111">
        <v>0</v>
      </c>
      <c r="BD23" s="1111">
        <v>0</v>
      </c>
      <c r="BE23" s="1111">
        <v>1137.80984619132</v>
      </c>
      <c r="BF23" s="1111">
        <v>45.994598504584502</v>
      </c>
      <c r="BG23" s="1111">
        <v>0</v>
      </c>
      <c r="BH23" s="1111">
        <v>27.228240928035799</v>
      </c>
      <c r="BI23" s="1111">
        <v>2549.97794693476</v>
      </c>
      <c r="BJ23" s="1111">
        <v>0</v>
      </c>
      <c r="BK23" s="1111">
        <v>18.0813582095528</v>
      </c>
      <c r="BL23" s="1111">
        <v>134.18790920771801</v>
      </c>
      <c r="BM23" s="1111">
        <v>116.91014529742699</v>
      </c>
      <c r="BN23" s="1111">
        <v>6.8144312619558001</v>
      </c>
      <c r="BO23" s="1111">
        <v>0</v>
      </c>
      <c r="BP23" s="1111">
        <v>528.34911292454001</v>
      </c>
      <c r="BQ23" s="1111">
        <v>0</v>
      </c>
      <c r="BR23" s="1111">
        <v>620.76179503370099</v>
      </c>
      <c r="BS23" s="1111">
        <v>312.22584591543199</v>
      </c>
      <c r="BT23" s="1111">
        <v>45.922202849627503</v>
      </c>
      <c r="BU23" s="1111">
        <v>21.096</v>
      </c>
      <c r="BV23" s="1111">
        <v>1.7894326500361399</v>
      </c>
      <c r="BW23" s="1111">
        <v>241.51803316686301</v>
      </c>
      <c r="BX23" s="1111">
        <v>243.30005942023101</v>
      </c>
      <c r="BY23" s="1111">
        <v>76.153718475302398</v>
      </c>
      <c r="BZ23" s="1111">
        <v>9.41846810731953</v>
      </c>
      <c r="CA23" s="1111">
        <v>2465.4606152681899</v>
      </c>
      <c r="CB23" s="1111">
        <v>99.258103923507605</v>
      </c>
      <c r="CC23" s="1111">
        <v>33.5667614235266</v>
      </c>
      <c r="CD23" s="1111">
        <v>1.7682408848770199</v>
      </c>
      <c r="CE23" s="1111">
        <v>887.04411488543496</v>
      </c>
      <c r="CF23" s="1111">
        <v>46.515297644046903</v>
      </c>
      <c r="CG23" s="1111">
        <v>65.455881726109396</v>
      </c>
      <c r="CH23" s="1111">
        <v>14.613943539493899</v>
      </c>
      <c r="CI23" s="1111">
        <v>1491.9294362590599</v>
      </c>
      <c r="CJ23" s="1111">
        <v>27.6426953191256</v>
      </c>
      <c r="CK23" s="1111">
        <v>0</v>
      </c>
      <c r="CL23" s="1111">
        <v>89.293320383306593</v>
      </c>
      <c r="CM23" s="1111">
        <v>0</v>
      </c>
      <c r="CN23" s="1111">
        <v>795.04999123889797</v>
      </c>
      <c r="CO23" s="1111">
        <v>0</v>
      </c>
      <c r="CP23" s="1111">
        <v>7.83</v>
      </c>
      <c r="CQ23" s="1111">
        <v>2.2331668862005301</v>
      </c>
      <c r="CR23" s="1111">
        <v>215.45152540896399</v>
      </c>
      <c r="CS23" s="1111">
        <v>30.724455404589499</v>
      </c>
      <c r="CT23" s="1111">
        <v>0.58817664000000003</v>
      </c>
      <c r="CU23" s="1111">
        <v>3.81128</v>
      </c>
      <c r="CV23" s="1111">
        <v>41.381279999999997</v>
      </c>
      <c r="CW23" s="1111">
        <v>218.999284937184</v>
      </c>
      <c r="CX23" s="1111">
        <v>1694.1350175790899</v>
      </c>
      <c r="CY23" s="1111">
        <v>137.58481955603901</v>
      </c>
      <c r="CZ23" s="1111">
        <v>1103.27967244812</v>
      </c>
      <c r="DA23" s="1111">
        <v>275.41525640914</v>
      </c>
      <c r="DB23" s="1111">
        <v>10.2346328331982</v>
      </c>
      <c r="DC23" s="1111">
        <v>10.0360135361767</v>
      </c>
      <c r="DD23" s="1111">
        <v>4.4056575071080202</v>
      </c>
      <c r="DE23" s="1111">
        <v>91.618814055984103</v>
      </c>
      <c r="DF23" s="1111">
        <v>263.12768149382498</v>
      </c>
      <c r="DG23" s="1111">
        <v>733.029190944785</v>
      </c>
      <c r="DH23" s="1111">
        <v>2979.8003330947099</v>
      </c>
      <c r="DI23" s="1111">
        <v>53.977098336811103</v>
      </c>
      <c r="DJ23" s="1111">
        <v>58.633106122816798</v>
      </c>
      <c r="DK23" s="1111">
        <v>16.59</v>
      </c>
      <c r="DL23" s="1111">
        <v>0</v>
      </c>
      <c r="DM23" s="1111">
        <v>192.49961653742</v>
      </c>
      <c r="DN23" s="1111">
        <v>17.4475643055912</v>
      </c>
      <c r="DO23" s="1111">
        <v>1143.3124802692</v>
      </c>
      <c r="DP23" s="1111">
        <v>575.05424649779002</v>
      </c>
      <c r="DQ23" s="1111">
        <v>2.5290700566627899</v>
      </c>
      <c r="DR23" s="1111">
        <v>19.227134722636301</v>
      </c>
      <c r="DS23" s="1111">
        <v>0</v>
      </c>
      <c r="DT23" s="1111">
        <v>1.4646698301821199</v>
      </c>
      <c r="DU23" s="1111">
        <v>0</v>
      </c>
      <c r="DV23" s="1111">
        <v>0.72000810063026</v>
      </c>
      <c r="DW23" s="1111">
        <v>0</v>
      </c>
      <c r="DX23" s="1111">
        <v>0.82140772435772902</v>
      </c>
      <c r="DY23" s="1111">
        <v>34.195877436501299</v>
      </c>
      <c r="DZ23" s="1111">
        <v>157.402191127343</v>
      </c>
      <c r="EA23" s="1111">
        <v>1.3080872535177499</v>
      </c>
      <c r="EB23" s="1111">
        <v>41.283052134089701</v>
      </c>
      <c r="EC23" s="1111">
        <v>0</v>
      </c>
      <c r="ED23" s="1111">
        <v>11.739128771569501</v>
      </c>
      <c r="EE23" s="1111">
        <v>0</v>
      </c>
      <c r="EF23" s="1111">
        <v>10.4643570300093</v>
      </c>
      <c r="EG23" s="1111">
        <v>0</v>
      </c>
      <c r="EH23" s="1111">
        <v>14.8915476826377</v>
      </c>
      <c r="EI23" s="1111">
        <v>0.26387306398788402</v>
      </c>
      <c r="EJ23" s="1111">
        <v>428.50059105323197</v>
      </c>
      <c r="EK23" s="1111">
        <v>6108.6744745822398</v>
      </c>
      <c r="EL23" s="1111">
        <v>1780.63195181775</v>
      </c>
      <c r="EM23" s="1111">
        <v>7469.0951759310401</v>
      </c>
      <c r="EN23" s="1111">
        <v>1881.7414804139701</v>
      </c>
      <c r="EO23" s="1111">
        <v>2516.0001724633998</v>
      </c>
      <c r="EP23" s="1111">
        <v>1011.1235188675601</v>
      </c>
      <c r="EQ23" s="1111">
        <v>195.71638318079999</v>
      </c>
      <c r="ER23" s="1111">
        <v>1470.02653520832</v>
      </c>
      <c r="ES23" s="1111">
        <v>240.56813300236701</v>
      </c>
      <c r="ET23" s="1111">
        <v>1332.8166893324001</v>
      </c>
      <c r="EU23" s="1111">
        <v>84.549599133361497</v>
      </c>
      <c r="EV23" s="1111">
        <v>737.08107645649397</v>
      </c>
      <c r="EW23" s="1111">
        <v>325.10761095367599</v>
      </c>
      <c r="EX23" s="1111">
        <v>1155.4848055099001</v>
      </c>
      <c r="EY23" s="1111">
        <v>1070.4444594850399</v>
      </c>
      <c r="EZ23" s="1111">
        <v>913.72326583587403</v>
      </c>
      <c r="FA23" s="1111">
        <v>347.371738379296</v>
      </c>
      <c r="FB23" s="1111">
        <v>764.19981742082598</v>
      </c>
      <c r="FC23" s="1111">
        <v>83.567521603678898</v>
      </c>
      <c r="FD23" s="1111">
        <v>1558.6816374790401</v>
      </c>
      <c r="FE23" s="1111">
        <v>601.82269050358104</v>
      </c>
      <c r="FF23" s="1111">
        <v>75.391431035618993</v>
      </c>
      <c r="FG23" s="1111">
        <v>9.6702622416461406</v>
      </c>
      <c r="FH23" s="1111">
        <v>0.30581373236878701</v>
      </c>
      <c r="FI23" s="1111">
        <v>1.58880207352659</v>
      </c>
      <c r="FJ23" s="1111">
        <v>98.567719627780605</v>
      </c>
      <c r="FK23" s="1111">
        <v>18.8640296142264</v>
      </c>
      <c r="FL23" s="1111">
        <v>83.369895588260405</v>
      </c>
      <c r="FM23" s="1111">
        <v>0.70688684381632805</v>
      </c>
      <c r="FN23" s="1111">
        <v>0</v>
      </c>
      <c r="FO23" s="1111">
        <v>174.37070568885301</v>
      </c>
      <c r="FP23" s="1111">
        <v>155.91626510080701</v>
      </c>
      <c r="FQ23" s="1111">
        <v>146.781165697034</v>
      </c>
      <c r="FR23" s="1111">
        <v>0</v>
      </c>
      <c r="FS23" s="1111">
        <v>637.90547316481195</v>
      </c>
      <c r="FT23" s="1111">
        <v>1310.29916685733</v>
      </c>
      <c r="FU23" s="1111">
        <v>1.1975607859298001</v>
      </c>
      <c r="FV23" s="1111">
        <v>0</v>
      </c>
      <c r="FW23" s="1111">
        <v>0</v>
      </c>
      <c r="FX23" s="1111">
        <v>55.737606836219598</v>
      </c>
      <c r="FY23" s="1111">
        <v>28.876883992404199</v>
      </c>
      <c r="FZ23" s="1111">
        <v>35.09312054411</v>
      </c>
      <c r="GA23" s="1111">
        <v>0</v>
      </c>
      <c r="GB23" s="1111">
        <v>0</v>
      </c>
      <c r="GC23" s="1111">
        <v>22.344564658472301</v>
      </c>
      <c r="GD23" s="1111">
        <v>0</v>
      </c>
      <c r="GE23" s="1111">
        <v>1.7701860101923601</v>
      </c>
      <c r="GF23" s="1111">
        <v>0</v>
      </c>
      <c r="GG23" s="1111">
        <v>11.2634933402611</v>
      </c>
      <c r="GH23" s="1111">
        <v>1.6142783621624599</v>
      </c>
      <c r="GI23" s="1111">
        <v>0.73811465871110904</v>
      </c>
      <c r="GJ23" s="1111">
        <v>1.2176755447333301</v>
      </c>
      <c r="GK23" s="1111">
        <v>5.3618968706871604</v>
      </c>
      <c r="GL23" s="1111">
        <v>108.1251784236</v>
      </c>
      <c r="GM23" s="1111">
        <v>4.3721890909092602</v>
      </c>
      <c r="GN23" s="1111">
        <v>0</v>
      </c>
      <c r="GO23" s="1111">
        <v>55.381465572494903</v>
      </c>
      <c r="GP23" s="1111">
        <v>76.761449486952699</v>
      </c>
      <c r="GQ23" s="1111">
        <v>3296.6595687108302</v>
      </c>
      <c r="GR23" s="1111">
        <v>0</v>
      </c>
      <c r="GS23" s="1111">
        <v>0</v>
      </c>
      <c r="GT23" s="1111">
        <v>10.308</v>
      </c>
      <c r="GU23" s="1111">
        <v>111.683762511666</v>
      </c>
      <c r="GV23" s="1111">
        <v>0</v>
      </c>
      <c r="GW23" s="1111">
        <v>95.476160040049706</v>
      </c>
      <c r="GX23" s="1111">
        <v>42.709908063736798</v>
      </c>
      <c r="GY23" s="1111">
        <v>2529.6167381754599</v>
      </c>
      <c r="GZ23" s="1111">
        <v>0</v>
      </c>
      <c r="HA23" s="1111">
        <v>10.308</v>
      </c>
      <c r="HB23" s="1111">
        <v>0</v>
      </c>
      <c r="HC23" s="1111">
        <v>0</v>
      </c>
      <c r="HD23" s="1111">
        <v>0</v>
      </c>
      <c r="HE23" s="1111">
        <v>4.6980081749672298</v>
      </c>
      <c r="HF23" s="1111">
        <v>8.6218733421919609</v>
      </c>
      <c r="HG23" s="1111">
        <v>533.15777976190498</v>
      </c>
      <c r="HH23" s="1111">
        <v>1933.1623199999999</v>
      </c>
      <c r="HI23" s="1111">
        <v>314.845033112583</v>
      </c>
      <c r="HJ23" s="1111">
        <v>101.41283517531799</v>
      </c>
      <c r="HK23" s="1111">
        <v>5.3091600000000003</v>
      </c>
      <c r="HL23" s="1111">
        <v>143.78296996587099</v>
      </c>
      <c r="HM23" s="1111">
        <v>277.72064036601199</v>
      </c>
      <c r="HN23" s="1111">
        <v>19523.845556819</v>
      </c>
      <c r="HO23" s="1111">
        <v>151.41333333333299</v>
      </c>
      <c r="HP23" s="1111">
        <v>269.39</v>
      </c>
      <c r="HQ23" s="1111">
        <v>0</v>
      </c>
      <c r="HR23" s="1111">
        <v>2.0151347782451898</v>
      </c>
      <c r="HS23" s="1111">
        <v>8.2602729823379892</v>
      </c>
      <c r="HT23" s="1111">
        <v>83.5526804524509</v>
      </c>
      <c r="HU23" s="1111">
        <v>10.308</v>
      </c>
      <c r="HV23" s="1111">
        <v>3.9355017301038102</v>
      </c>
      <c r="HW23" s="1111">
        <v>0</v>
      </c>
      <c r="HX23" s="1111">
        <v>3.54237</v>
      </c>
      <c r="HY23" s="1111">
        <v>117.399688157246</v>
      </c>
      <c r="HZ23" s="1111">
        <v>0</v>
      </c>
      <c r="IA23" s="1111">
        <v>1149.09137137841</v>
      </c>
      <c r="IB23" s="1111">
        <v>0.51326529428571399</v>
      </c>
      <c r="IC23" s="1111">
        <v>111.788418426492</v>
      </c>
      <c r="ID23" s="1111">
        <v>164.358889040984</v>
      </c>
      <c r="IE23" s="1111">
        <v>0</v>
      </c>
      <c r="IF23" s="1111">
        <v>625.32720573061601</v>
      </c>
      <c r="IG23" s="1111">
        <v>238.272504176289</v>
      </c>
      <c r="IH23" s="1111">
        <v>1497.5465990158</v>
      </c>
      <c r="II23" s="1111">
        <v>0</v>
      </c>
      <c r="IJ23" s="1111">
        <v>32.5087857142857</v>
      </c>
      <c r="IK23" s="1111">
        <v>18.0580167668342</v>
      </c>
      <c r="IL23" s="1111">
        <v>13.4235038181818</v>
      </c>
      <c r="IM23" s="1111">
        <v>58.097082452342399</v>
      </c>
      <c r="IN23" s="1111">
        <v>22.9400950909091</v>
      </c>
      <c r="IO23" s="1111">
        <v>252.064663636364</v>
      </c>
      <c r="IP23" s="1111">
        <v>0.116000871012572</v>
      </c>
      <c r="IQ23" s="1111">
        <v>2.9732958495738502</v>
      </c>
      <c r="IR23" s="1111">
        <v>3.9688303648245798E-2</v>
      </c>
      <c r="IS23" s="1111">
        <v>0.77112095454545504</v>
      </c>
      <c r="IT23" s="1111">
        <v>0.310728</v>
      </c>
      <c r="IU23" s="1111">
        <v>1029.7718390550499</v>
      </c>
      <c r="IV23" s="1111">
        <v>66.471778503043097</v>
      </c>
      <c r="IW23" s="1111">
        <v>2314.1113361808998</v>
      </c>
      <c r="IX23" s="1111">
        <v>1600.2407659999999</v>
      </c>
      <c r="IY23" s="1111">
        <v>394.38760647826501</v>
      </c>
      <c r="IZ23" s="1111">
        <v>26.975172227926301</v>
      </c>
      <c r="JA23" s="1111">
        <v>32.132232544216301</v>
      </c>
      <c r="JB23" s="1111">
        <v>52.5740094462831</v>
      </c>
      <c r="JC23" s="1111">
        <v>132.25511282280101</v>
      </c>
      <c r="JD23" s="1111">
        <v>75.546436661439301</v>
      </c>
      <c r="JE23" s="1111">
        <v>1741.5284578101</v>
      </c>
      <c r="JF23" s="1111">
        <v>175.575274022592</v>
      </c>
      <c r="JG23" s="1111">
        <v>350.861453250137</v>
      </c>
      <c r="JH23" s="1111">
        <v>0</v>
      </c>
      <c r="JI23" s="1111">
        <v>26.5839453009349</v>
      </c>
      <c r="JJ23" s="1111">
        <v>68.750578965738796</v>
      </c>
      <c r="JK23" s="1111">
        <v>0</v>
      </c>
      <c r="JL23" s="1111">
        <v>0</v>
      </c>
      <c r="JM23" s="1111">
        <v>1.5409090909090899</v>
      </c>
      <c r="JN23" s="1111">
        <v>34.496832000000097</v>
      </c>
      <c r="JO23" s="1111">
        <v>102.217909090909</v>
      </c>
      <c r="JP23" s="1111">
        <v>981.50155608886598</v>
      </c>
      <c r="JQ23" s="1111">
        <v>1439.5458418776</v>
      </c>
      <c r="JR23" s="1111">
        <v>31.662400000000002</v>
      </c>
      <c r="JS23" s="1111">
        <v>2.8439512166340299</v>
      </c>
      <c r="JT23" s="1111">
        <v>5.07</v>
      </c>
      <c r="JU23" s="1111">
        <v>1.5669550000000001</v>
      </c>
      <c r="JV23" s="1111">
        <v>1.4882</v>
      </c>
      <c r="JW23" s="1111">
        <v>366.59556694525497</v>
      </c>
      <c r="JX23" s="1111">
        <v>241.53442725379199</v>
      </c>
      <c r="JY23" s="1111">
        <v>0.97660000000000002</v>
      </c>
      <c r="JZ23" s="1111">
        <v>624.98607724323904</v>
      </c>
      <c r="KA23" s="1111">
        <v>143.95416</v>
      </c>
      <c r="KB23" s="1111">
        <v>18.8675042186638</v>
      </c>
      <c r="KC23" s="1111">
        <v>302.59730872968998</v>
      </c>
      <c r="KD23" s="1111">
        <v>84.418777219617496</v>
      </c>
      <c r="KE23" s="1111">
        <v>56.276664083984798</v>
      </c>
      <c r="KF23" s="1111">
        <v>6.4688718175951996</v>
      </c>
      <c r="KG23" s="1111">
        <v>2.4258269315982002</v>
      </c>
      <c r="KH23" s="1111">
        <v>11.788919023816399</v>
      </c>
      <c r="KI23" s="1111">
        <v>0</v>
      </c>
      <c r="KJ23" s="1111">
        <v>141.21824965307999</v>
      </c>
      <c r="KK23" s="1111">
        <v>363.71293469715999</v>
      </c>
      <c r="KL23" s="1111">
        <v>299.61568470898101</v>
      </c>
      <c r="KM23" s="1111">
        <v>64.097249988175804</v>
      </c>
      <c r="KN23" s="1111">
        <v>41.870648634989003</v>
      </c>
      <c r="KO23" s="1111">
        <v>41.870533823273597</v>
      </c>
      <c r="KP23" s="1111">
        <v>1.14811715366916E-4</v>
      </c>
      <c r="KQ23" s="1111">
        <v>-5158.3171579973996</v>
      </c>
      <c r="KR23" s="1111">
        <v>-4921.1986403015098</v>
      </c>
      <c r="KS23" s="1111">
        <v>11.8847573694426</v>
      </c>
      <c r="KT23" s="1111">
        <v>-13.429706858723</v>
      </c>
      <c r="KU23" s="1111">
        <v>-228.52112268209899</v>
      </c>
      <c r="KV23" s="1111">
        <v>-7.0524455245214899</v>
      </c>
      <c r="KW23" s="1111">
        <v>0</v>
      </c>
      <c r="KX23" s="1111">
        <v>3680.5156528752</v>
      </c>
      <c r="KY23" s="1111">
        <v>0.38543583052467301</v>
      </c>
      <c r="KZ23" s="1111">
        <v>1195.65542108876</v>
      </c>
      <c r="LA23" s="1111">
        <v>0.376217766514374</v>
      </c>
      <c r="LB23" s="1111">
        <v>0.17162009594305899</v>
      </c>
      <c r="LC23" s="1111">
        <v>2500.5969559319801</v>
      </c>
      <c r="LD23" s="1111">
        <v>-16.669997838511001</v>
      </c>
      <c r="LE23" s="1111">
        <v>-1936.8046012950999</v>
      </c>
      <c r="LF23" s="1111">
        <v>48.217500000000001</v>
      </c>
      <c r="LG23" s="1111">
        <v>-851.67454181898802</v>
      </c>
      <c r="LH23" s="1111">
        <v>150.76818814750399</v>
      </c>
      <c r="LI23" s="1111">
        <v>74.279047179064094</v>
      </c>
      <c r="LJ23" s="1111">
        <v>-1149.4996206430901</v>
      </c>
      <c r="LK23" s="1111">
        <v>1.72205290121212</v>
      </c>
      <c r="LL23" s="1111">
        <v>-210.61722706076401</v>
      </c>
      <c r="LM23" s="1111">
        <v>152.20279068643001</v>
      </c>
      <c r="LN23" s="1111">
        <v>152.13920172699699</v>
      </c>
      <c r="LO23" s="1111">
        <v>5.9202526806526802E-2</v>
      </c>
      <c r="LP23" s="1111">
        <v>4.3864326305799901E-3</v>
      </c>
      <c r="LQ23" s="1111">
        <v>1768.8066180743001</v>
      </c>
      <c r="LR23" s="1111">
        <v>584.83794242159797</v>
      </c>
      <c r="LS23" s="1111">
        <v>12.2553084076867</v>
      </c>
      <c r="LT23" s="1111">
        <v>53.940146529102798</v>
      </c>
      <c r="LU23" s="1111">
        <v>161.98412853998201</v>
      </c>
      <c r="LV23" s="1111">
        <v>955.78909217596799</v>
      </c>
      <c r="LW23" s="1111">
        <v>0</v>
      </c>
      <c r="LX23" s="1111">
        <v>0</v>
      </c>
      <c r="LY23" s="1111">
        <v>-650.54238753525999</v>
      </c>
      <c r="LZ23" s="1111">
        <v>-553.63214133745998</v>
      </c>
      <c r="MA23" s="1111">
        <v>-96.910246197804895</v>
      </c>
      <c r="MB23" s="1111">
        <v>136.87059159034001</v>
      </c>
      <c r="MC23" s="1111">
        <v>9.1220602938834605E-3</v>
      </c>
      <c r="MD23" s="1111">
        <v>83.739529990042698</v>
      </c>
      <c r="ME23" s="1111">
        <v>53.12193954</v>
      </c>
      <c r="MF23" s="1111">
        <v>7995.3764240282999</v>
      </c>
      <c r="MG23" s="1111">
        <v>8.3472065548125599E-2</v>
      </c>
      <c r="MH23" s="1111">
        <v>651.76503578643303</v>
      </c>
      <c r="MI23" s="1111">
        <v>0.48516538631964101</v>
      </c>
      <c r="MJ23" s="1111">
        <v>0.43965012378208101</v>
      </c>
      <c r="MK23" s="1111">
        <v>7342.6031006662297</v>
      </c>
      <c r="ML23" s="1111">
        <v>2073.7708118813998</v>
      </c>
      <c r="MM23" s="1111">
        <v>1258.4646078380899</v>
      </c>
      <c r="MN23" s="1111">
        <v>815.30620404326203</v>
      </c>
    </row>
    <row r="24" spans="1:352" ht="13.9" x14ac:dyDescent="0.4">
      <c r="A24" s="1096">
        <v>2004</v>
      </c>
      <c r="B24" s="1145">
        <v>148282.15359608</v>
      </c>
      <c r="C24" s="1111">
        <v>115.071752959535</v>
      </c>
      <c r="D24" s="1111">
        <v>0.26021921853219698</v>
      </c>
      <c r="E24" s="1111">
        <v>30712.729599999999</v>
      </c>
      <c r="F24" s="1111">
        <v>0</v>
      </c>
      <c r="G24" s="1111">
        <v>723.59480448398801</v>
      </c>
      <c r="H24" s="1111">
        <v>327.27339786804498</v>
      </c>
      <c r="I24" s="1111">
        <v>0</v>
      </c>
      <c r="J24" s="1111">
        <v>15291.0528142237</v>
      </c>
      <c r="K24" s="1111">
        <v>0</v>
      </c>
      <c r="L24" s="1111">
        <v>0</v>
      </c>
      <c r="M24" s="1111">
        <v>0</v>
      </c>
      <c r="N24" s="1111">
        <v>276.78627286381499</v>
      </c>
      <c r="O24" s="1111">
        <v>0</v>
      </c>
      <c r="P24" s="1111">
        <v>115.887697019885</v>
      </c>
      <c r="Q24" s="1111">
        <v>163.35355477129301</v>
      </c>
      <c r="R24" s="1111">
        <v>0</v>
      </c>
      <c r="S24" s="1111">
        <v>0</v>
      </c>
      <c r="T24" s="1111">
        <v>1476.67605</v>
      </c>
      <c r="U24" s="1111">
        <v>167.24879999999999</v>
      </c>
      <c r="V24" s="1111">
        <v>15.628297625845301</v>
      </c>
      <c r="W24" s="1111">
        <v>0</v>
      </c>
      <c r="X24" s="1111">
        <v>78.117139963966594</v>
      </c>
      <c r="Y24" s="1111">
        <v>367.16206715886801</v>
      </c>
      <c r="Z24" s="1111">
        <v>1953.51705434223</v>
      </c>
      <c r="AA24" s="1111">
        <v>0</v>
      </c>
      <c r="AB24" s="1111">
        <v>940.74149999999997</v>
      </c>
      <c r="AC24" s="1111">
        <v>79.083517256630401</v>
      </c>
      <c r="AD24" s="1111">
        <v>170.68924236114501</v>
      </c>
      <c r="AE24" s="1111">
        <v>0</v>
      </c>
      <c r="AF24" s="1111">
        <v>0</v>
      </c>
      <c r="AG24" s="1111">
        <v>0</v>
      </c>
      <c r="AH24" s="1111">
        <v>0</v>
      </c>
      <c r="AI24" s="1111">
        <v>358.53474426539202</v>
      </c>
      <c r="AJ24" s="1111">
        <v>2926.2071029642402</v>
      </c>
      <c r="AK24" s="1111">
        <v>14.634489677829601</v>
      </c>
      <c r="AL24" s="1111">
        <v>294.22920178216998</v>
      </c>
      <c r="AM24" s="1111">
        <v>13.597993860000001</v>
      </c>
      <c r="AN24" s="1111">
        <v>1263.32559660531</v>
      </c>
      <c r="AO24" s="1111">
        <v>5.6621818181818204</v>
      </c>
      <c r="AP24" s="1111">
        <v>0</v>
      </c>
      <c r="AQ24" s="1111">
        <v>43.762864570606403</v>
      </c>
      <c r="AR24" s="1111">
        <v>0</v>
      </c>
      <c r="AS24" s="1111">
        <v>0</v>
      </c>
      <c r="AT24" s="1111">
        <v>0</v>
      </c>
      <c r="AU24" s="1111">
        <v>382.87990156268</v>
      </c>
      <c r="AV24" s="1111">
        <v>0</v>
      </c>
      <c r="AW24" s="1111">
        <v>0</v>
      </c>
      <c r="AX24" s="1111">
        <v>0</v>
      </c>
      <c r="AY24" s="1111">
        <v>0</v>
      </c>
      <c r="AZ24" s="1111">
        <v>0</v>
      </c>
      <c r="BA24" s="1111">
        <v>0</v>
      </c>
      <c r="BB24" s="1111">
        <v>0</v>
      </c>
      <c r="BC24" s="1111">
        <v>0</v>
      </c>
      <c r="BD24" s="1111">
        <v>0</v>
      </c>
      <c r="BE24" s="1111">
        <v>1137.79080551374</v>
      </c>
      <c r="BF24" s="1111">
        <v>37.404854775396501</v>
      </c>
      <c r="BG24" s="1111">
        <v>0</v>
      </c>
      <c r="BH24" s="1111">
        <v>36.7429610123692</v>
      </c>
      <c r="BI24" s="1111">
        <v>2594.9152619459201</v>
      </c>
      <c r="BJ24" s="1111">
        <v>0</v>
      </c>
      <c r="BK24" s="1111">
        <v>17.677213245121099</v>
      </c>
      <c r="BL24" s="1111">
        <v>109.870904279351</v>
      </c>
      <c r="BM24" s="1111">
        <v>133.76354611095701</v>
      </c>
      <c r="BN24" s="1111">
        <v>6.41090921783423</v>
      </c>
      <c r="BO24" s="1111">
        <v>0</v>
      </c>
      <c r="BP24" s="1111">
        <v>510.262823949248</v>
      </c>
      <c r="BQ24" s="1111">
        <v>0</v>
      </c>
      <c r="BR24" s="1111">
        <v>629.69634394580805</v>
      </c>
      <c r="BS24" s="1111">
        <v>248.484223273851</v>
      </c>
      <c r="BT24" s="1111">
        <v>31.2968011458814</v>
      </c>
      <c r="BU24" s="1111">
        <v>20.748089240009499</v>
      </c>
      <c r="BV24" s="1111">
        <v>1.3675023802349799</v>
      </c>
      <c r="BW24" s="1111">
        <v>172.235826186964</v>
      </c>
      <c r="BX24" s="1111">
        <v>231.08961438776501</v>
      </c>
      <c r="BY24" s="1111">
        <v>81.5468400634864</v>
      </c>
      <c r="BZ24" s="1111">
        <v>6.1134221453145301</v>
      </c>
      <c r="CA24" s="1111">
        <v>2426.7142996583798</v>
      </c>
      <c r="CB24" s="1111">
        <v>102.075170564375</v>
      </c>
      <c r="CC24" s="1111">
        <v>28.5605187081946</v>
      </c>
      <c r="CD24" s="1111">
        <v>1.3875522271632501</v>
      </c>
      <c r="CE24" s="1111">
        <v>791.96309283380594</v>
      </c>
      <c r="CF24" s="1111">
        <v>41.901209700459098</v>
      </c>
      <c r="CG24" s="1111">
        <v>58.095959946839699</v>
      </c>
      <c r="CH24" s="1111">
        <v>14.9701509171959</v>
      </c>
      <c r="CI24" s="1111">
        <v>1491.2244633800301</v>
      </c>
      <c r="CJ24" s="1111">
        <v>29.796752718122701</v>
      </c>
      <c r="CK24" s="1111">
        <v>0</v>
      </c>
      <c r="CL24" s="1111">
        <v>92.459912885917703</v>
      </c>
      <c r="CM24" s="1111">
        <v>0</v>
      </c>
      <c r="CN24" s="1111">
        <v>746.62873489893502</v>
      </c>
      <c r="CO24" s="1111">
        <v>0.879</v>
      </c>
      <c r="CP24" s="1111">
        <v>7.83</v>
      </c>
      <c r="CQ24" s="1111">
        <v>3.85713262336892</v>
      </c>
      <c r="CR24" s="1111">
        <v>260.16787973912602</v>
      </c>
      <c r="CS24" s="1111">
        <v>29.85961888209</v>
      </c>
      <c r="CT24" s="1111">
        <v>0.49014720000000001</v>
      </c>
      <c r="CU24" s="1111">
        <v>4.8734400000000004</v>
      </c>
      <c r="CV24" s="1111">
        <v>51.157440000000001</v>
      </c>
      <c r="CW24" s="1111">
        <v>237.19241055869401</v>
      </c>
      <c r="CX24" s="1111">
        <v>1799.5172956369299</v>
      </c>
      <c r="CY24" s="1111">
        <v>151.20670653553</v>
      </c>
      <c r="CZ24" s="1111">
        <v>1258.5699207814901</v>
      </c>
      <c r="DA24" s="1111">
        <v>237.01873998581499</v>
      </c>
      <c r="DB24" s="1111">
        <v>11.4383203918484</v>
      </c>
      <c r="DC24" s="1111">
        <v>12.8830724101811</v>
      </c>
      <c r="DD24" s="1111">
        <v>3.8182365061603001</v>
      </c>
      <c r="DE24" s="1111">
        <v>253.52425338398101</v>
      </c>
      <c r="DF24" s="1111">
        <v>134.66325071908199</v>
      </c>
      <c r="DG24" s="1111">
        <v>683.17069097652802</v>
      </c>
      <c r="DH24" s="1111">
        <v>2822.1875379590801</v>
      </c>
      <c r="DI24" s="1111">
        <v>54.371877646455303</v>
      </c>
      <c r="DJ24" s="1111">
        <v>63.057091641919698</v>
      </c>
      <c r="DK24" s="1111">
        <v>12.64</v>
      </c>
      <c r="DL24" s="1111">
        <v>0</v>
      </c>
      <c r="DM24" s="1111">
        <v>196.10106039074</v>
      </c>
      <c r="DN24" s="1111">
        <v>18.7303533295057</v>
      </c>
      <c r="DO24" s="1111">
        <v>1146.1080627215099</v>
      </c>
      <c r="DP24" s="1111">
        <v>452.26524576703599</v>
      </c>
      <c r="DQ24" s="1111">
        <v>2.5972411137854401</v>
      </c>
      <c r="DR24" s="1111">
        <v>21.373568928524499</v>
      </c>
      <c r="DS24" s="1111">
        <v>0</v>
      </c>
      <c r="DT24" s="1111">
        <v>1.7294639547691999</v>
      </c>
      <c r="DU24" s="1111">
        <v>0</v>
      </c>
      <c r="DV24" s="1111">
        <v>0.89572793707542198</v>
      </c>
      <c r="DW24" s="1111">
        <v>0</v>
      </c>
      <c r="DX24" s="1111">
        <v>0.96443162535067295</v>
      </c>
      <c r="DY24" s="1111">
        <v>37.494972565724602</v>
      </c>
      <c r="DZ24" s="1111">
        <v>165.66421719502</v>
      </c>
      <c r="EA24" s="1111">
        <v>1.47264355064855</v>
      </c>
      <c r="EB24" s="1111">
        <v>47.199757840522103</v>
      </c>
      <c r="EC24" s="1111">
        <v>0</v>
      </c>
      <c r="ED24" s="1111">
        <v>14.1267458136288</v>
      </c>
      <c r="EE24" s="1111">
        <v>0</v>
      </c>
      <c r="EF24" s="1111">
        <v>11.031652256786201</v>
      </c>
      <c r="EG24" s="1111">
        <v>0</v>
      </c>
      <c r="EH24" s="1111">
        <v>17.469568762228199</v>
      </c>
      <c r="EI24" s="1111">
        <v>0.19880908660717</v>
      </c>
      <c r="EJ24" s="1111">
        <v>446.00033912692402</v>
      </c>
      <c r="EK24" s="1111">
        <v>6022.1257300574398</v>
      </c>
      <c r="EL24" s="1111">
        <v>1960.28116316361</v>
      </c>
      <c r="EM24" s="1111">
        <v>7275.0522441417497</v>
      </c>
      <c r="EN24" s="1111">
        <v>2034.5732611650601</v>
      </c>
      <c r="EO24" s="1111">
        <v>2491.9973724571</v>
      </c>
      <c r="EP24" s="1111">
        <v>1130.2935148205399</v>
      </c>
      <c r="EQ24" s="1111">
        <v>171.463877066717</v>
      </c>
      <c r="ER24" s="1111">
        <v>1519.4967385386501</v>
      </c>
      <c r="ES24" s="1111">
        <v>214.096071385882</v>
      </c>
      <c r="ET24" s="1111">
        <v>1407.42994133614</v>
      </c>
      <c r="EU24" s="1111">
        <v>77.296703504292097</v>
      </c>
      <c r="EV24" s="1111">
        <v>798.31762885416003</v>
      </c>
      <c r="EW24" s="1111">
        <v>291.96208536813202</v>
      </c>
      <c r="EX24" s="1111">
        <v>1162.96534064907</v>
      </c>
      <c r="EY24" s="1111">
        <v>1061.7624979090799</v>
      </c>
      <c r="EZ24" s="1111">
        <v>893.99384973355302</v>
      </c>
      <c r="FA24" s="1111">
        <v>353.00009589179501</v>
      </c>
      <c r="FB24" s="1111">
        <v>768.49452552020898</v>
      </c>
      <c r="FC24" s="1111">
        <v>82.538753450361895</v>
      </c>
      <c r="FD24" s="1111">
        <v>1653.31883217718</v>
      </c>
      <c r="FE24" s="1111">
        <v>610.54254525588999</v>
      </c>
      <c r="FF24" s="1111">
        <v>70.908786120636293</v>
      </c>
      <c r="FG24" s="1111">
        <v>8.1420101070157802</v>
      </c>
      <c r="FH24" s="1111">
        <v>0.26119086766050298</v>
      </c>
      <c r="FI24" s="1111">
        <v>1.40113038092999</v>
      </c>
      <c r="FJ24" s="1111">
        <v>88.467010454535099</v>
      </c>
      <c r="FK24" s="1111">
        <v>17.5751457525852</v>
      </c>
      <c r="FL24" s="1111">
        <v>89.364354240660404</v>
      </c>
      <c r="FM24" s="1111">
        <v>0.762144704366575</v>
      </c>
      <c r="FN24" s="1111">
        <v>0</v>
      </c>
      <c r="FO24" s="1111">
        <v>179.138349367481</v>
      </c>
      <c r="FP24" s="1111">
        <v>160.44223927428601</v>
      </c>
      <c r="FQ24" s="1111">
        <v>158.02708585491601</v>
      </c>
      <c r="FR24" s="1111">
        <v>0</v>
      </c>
      <c r="FS24" s="1111">
        <v>642.08018049468706</v>
      </c>
      <c r="FT24" s="1111">
        <v>1259.1695913097201</v>
      </c>
      <c r="FU24" s="1111">
        <v>1.2750110550215501</v>
      </c>
      <c r="FV24" s="1111">
        <v>0</v>
      </c>
      <c r="FW24" s="1111">
        <v>0</v>
      </c>
      <c r="FX24" s="1111">
        <v>59.342344648875802</v>
      </c>
      <c r="FY24" s="1111">
        <v>29.134713313764902</v>
      </c>
      <c r="FZ24" s="1111">
        <v>36.917223882903102</v>
      </c>
      <c r="GA24" s="1111">
        <v>0</v>
      </c>
      <c r="GB24" s="1111">
        <v>0</v>
      </c>
      <c r="GC24" s="1111">
        <v>23.789662532308501</v>
      </c>
      <c r="GD24" s="1111">
        <v>0</v>
      </c>
      <c r="GE24" s="1111">
        <v>1.44669583381366</v>
      </c>
      <c r="GF24" s="1111">
        <v>0</v>
      </c>
      <c r="GG24" s="1111">
        <v>11.214730005542499</v>
      </c>
      <c r="GH24" s="1111">
        <v>4.1047456733118102</v>
      </c>
      <c r="GI24" s="1111">
        <v>0.81395879334565702</v>
      </c>
      <c r="GJ24" s="1111">
        <v>1.29778891775161</v>
      </c>
      <c r="GK24" s="1111">
        <v>5.3561563563671699</v>
      </c>
      <c r="GL24" s="1111">
        <v>116.630724411762</v>
      </c>
      <c r="GM24" s="1111">
        <v>4.6438261090906998</v>
      </c>
      <c r="GN24" s="1111">
        <v>0</v>
      </c>
      <c r="GO24" s="1111">
        <v>57.54813</v>
      </c>
      <c r="GP24" s="1111">
        <v>66.648663163634794</v>
      </c>
      <c r="GQ24" s="1111">
        <v>3193.62142428484</v>
      </c>
      <c r="GR24" s="1111">
        <v>0</v>
      </c>
      <c r="GS24" s="1111">
        <v>0</v>
      </c>
      <c r="GT24" s="1111">
        <v>10.308</v>
      </c>
      <c r="GU24" s="1111">
        <v>104.90792</v>
      </c>
      <c r="GV24" s="1111">
        <v>0</v>
      </c>
      <c r="GW24" s="1111">
        <v>52.344450000000002</v>
      </c>
      <c r="GX24" s="1111">
        <v>39.2386174773739</v>
      </c>
      <c r="GY24" s="1111">
        <v>2837.2742894029302</v>
      </c>
      <c r="GZ24" s="1111">
        <v>0</v>
      </c>
      <c r="HA24" s="1111">
        <v>10.308</v>
      </c>
      <c r="HB24" s="1111">
        <v>0</v>
      </c>
      <c r="HC24" s="1111">
        <v>0</v>
      </c>
      <c r="HD24" s="1111">
        <v>0</v>
      </c>
      <c r="HE24" s="1111">
        <v>1.3470736667859</v>
      </c>
      <c r="HF24" s="1111">
        <v>8.7904360845030194</v>
      </c>
      <c r="HG24" s="1111">
        <v>489.08801190476203</v>
      </c>
      <c r="HH24" s="1111">
        <v>2105.1341200000002</v>
      </c>
      <c r="HI24" s="1111">
        <v>276.25827814569601</v>
      </c>
      <c r="HJ24" s="1111">
        <v>40.978994340962501</v>
      </c>
      <c r="HK24" s="1111">
        <v>0</v>
      </c>
      <c r="HL24" s="1111">
        <v>140.56165392491499</v>
      </c>
      <c r="HM24" s="1111">
        <v>268.51776669785897</v>
      </c>
      <c r="HN24" s="1111">
        <v>20007.319608344202</v>
      </c>
      <c r="HO24" s="1111">
        <v>138.053333333333</v>
      </c>
      <c r="HP24" s="1111">
        <v>239.37</v>
      </c>
      <c r="HQ24" s="1111">
        <v>0</v>
      </c>
      <c r="HR24" s="1111">
        <v>1.2956453236771099</v>
      </c>
      <c r="HS24" s="1111">
        <v>8.3114812475964897</v>
      </c>
      <c r="HT24" s="1111">
        <v>84.070652174791803</v>
      </c>
      <c r="HU24" s="1111">
        <v>10.308</v>
      </c>
      <c r="HV24" s="1111">
        <v>5.3129273356401399</v>
      </c>
      <c r="HW24" s="1111">
        <v>0</v>
      </c>
      <c r="HX24" s="1111">
        <v>4.6586999999999996</v>
      </c>
      <c r="HY24" s="1111">
        <v>118.839252746874</v>
      </c>
      <c r="HZ24" s="1111">
        <v>0</v>
      </c>
      <c r="IA24" s="1111">
        <v>1103.3681993688101</v>
      </c>
      <c r="IB24" s="1111">
        <v>0.410612235428571</v>
      </c>
      <c r="IC24" s="1111">
        <v>112.503170258463</v>
      </c>
      <c r="ID24" s="1111">
        <v>172.16207553868</v>
      </c>
      <c r="IE24" s="1111">
        <v>0</v>
      </c>
      <c r="IF24" s="1111">
        <v>570.110450209433</v>
      </c>
      <c r="IG24" s="1111">
        <v>263.77253992689498</v>
      </c>
      <c r="IH24" s="1111">
        <v>1490.7986212762</v>
      </c>
      <c r="II24" s="1111">
        <v>0</v>
      </c>
      <c r="IJ24" s="1111">
        <v>31.344982142857098</v>
      </c>
      <c r="IK24" s="1111">
        <v>30.894516127780001</v>
      </c>
      <c r="IL24" s="1111">
        <v>11.5130207971568</v>
      </c>
      <c r="IM24" s="1111">
        <v>65.363648903386306</v>
      </c>
      <c r="IN24" s="1111">
        <v>23.172825272727302</v>
      </c>
      <c r="IO24" s="1111">
        <v>187.529529339802</v>
      </c>
      <c r="IP24" s="1111">
        <v>0.114151868112765</v>
      </c>
      <c r="IQ24" s="1111">
        <v>3.02965569763523</v>
      </c>
      <c r="IR24" s="1111">
        <v>3.9992365085358E-2</v>
      </c>
      <c r="IS24" s="1111">
        <v>0.80775126259636099</v>
      </c>
      <c r="IT24" s="1111">
        <v>0.326814912465139</v>
      </c>
      <c r="IU24" s="1111">
        <v>1043.46466858603</v>
      </c>
      <c r="IV24" s="1111">
        <v>93.1970640005663</v>
      </c>
      <c r="IW24" s="1111">
        <v>2388.0240449624998</v>
      </c>
      <c r="IX24" s="1111">
        <v>1629.98990796</v>
      </c>
      <c r="IY24" s="1111">
        <v>417.15997918286598</v>
      </c>
      <c r="IZ24" s="1111">
        <v>28.899658175681399</v>
      </c>
      <c r="JA24" s="1111">
        <v>33.209319174727298</v>
      </c>
      <c r="JB24" s="1111">
        <v>55.375210433319502</v>
      </c>
      <c r="JC24" s="1111">
        <v>134.31074601311701</v>
      </c>
      <c r="JD24" s="1111">
        <v>89.079224022768202</v>
      </c>
      <c r="JE24" s="1111">
        <v>1750.1505275248001</v>
      </c>
      <c r="JF24" s="1111">
        <v>149.36410072455701</v>
      </c>
      <c r="JG24" s="1111">
        <v>332.34589927544403</v>
      </c>
      <c r="JH24" s="1111">
        <v>0</v>
      </c>
      <c r="JI24" s="1111">
        <v>29.647109751332</v>
      </c>
      <c r="JJ24" s="1111">
        <v>67.303182526581196</v>
      </c>
      <c r="JK24" s="1111">
        <v>0</v>
      </c>
      <c r="JL24" s="1111">
        <v>0</v>
      </c>
      <c r="JM24" s="1111">
        <v>1.5409090909090899</v>
      </c>
      <c r="JN24" s="1111">
        <v>34.013855999999997</v>
      </c>
      <c r="JO24" s="1111">
        <v>105.672818181818</v>
      </c>
      <c r="JP24" s="1111">
        <v>1030.26265197412</v>
      </c>
      <c r="JQ24" s="1111">
        <v>1495.8720865073001</v>
      </c>
      <c r="JR24" s="1111">
        <v>33.358600000000003</v>
      </c>
      <c r="JS24" s="1111">
        <v>6.2541882185763003</v>
      </c>
      <c r="JT24" s="1111">
        <v>6.2414666666666596</v>
      </c>
      <c r="JU24" s="1111">
        <v>1.956955</v>
      </c>
      <c r="JV24" s="1111">
        <v>1.4933799999999999</v>
      </c>
      <c r="JW24" s="1111">
        <v>414.58934804233598</v>
      </c>
      <c r="JX24" s="1111">
        <v>247.43339052715501</v>
      </c>
      <c r="JY24" s="1111">
        <v>0.33410000000000001</v>
      </c>
      <c r="JZ24" s="1111">
        <v>633.16563805251894</v>
      </c>
      <c r="KA24" s="1111">
        <v>151.04501999999999</v>
      </c>
      <c r="KB24" s="1111">
        <v>0</v>
      </c>
      <c r="KC24" s="1111">
        <v>511.67097170963001</v>
      </c>
      <c r="KD24" s="1111">
        <v>93.491086001467394</v>
      </c>
      <c r="KE24" s="1111">
        <v>57.209976678930801</v>
      </c>
      <c r="KF24" s="1111">
        <v>4.67455430007338</v>
      </c>
      <c r="KG24" s="1111">
        <v>2.33727715003669</v>
      </c>
      <c r="KH24" s="1111">
        <v>8.3193083522392008</v>
      </c>
      <c r="KI24" s="1111">
        <v>0</v>
      </c>
      <c r="KJ24" s="1111">
        <v>345.63876922687803</v>
      </c>
      <c r="KK24" s="1111">
        <v>380.41837923179997</v>
      </c>
      <c r="KL24" s="1111">
        <v>313.285596038096</v>
      </c>
      <c r="KM24" s="1111">
        <v>67.132783193705606</v>
      </c>
      <c r="KN24" s="1111">
        <v>62.353237366007001</v>
      </c>
      <c r="KO24" s="1111">
        <v>62.353071971900398</v>
      </c>
      <c r="KP24" s="1111">
        <v>1.6539410622125799E-4</v>
      </c>
      <c r="KQ24" s="1111">
        <v>-5150.2163895304002</v>
      </c>
      <c r="KR24" s="1111">
        <v>-4925.7206833121099</v>
      </c>
      <c r="KS24" s="1111">
        <v>15.481852859983899</v>
      </c>
      <c r="KT24" s="1111">
        <v>-14.3818371672418</v>
      </c>
      <c r="KU24" s="1111">
        <v>-217.53217296519799</v>
      </c>
      <c r="KV24" s="1111">
        <v>-8.0635489458733005</v>
      </c>
      <c r="KW24" s="1111">
        <v>0</v>
      </c>
      <c r="KX24" s="1111">
        <v>3616.8230911927999</v>
      </c>
      <c r="KY24" s="1111">
        <v>5.9951029683475996</v>
      </c>
      <c r="KZ24" s="1111">
        <v>1260.07304225293</v>
      </c>
      <c r="LA24" s="1111">
        <v>0.400305613525616</v>
      </c>
      <c r="LB24" s="1111">
        <v>0.17709870351905799</v>
      </c>
      <c r="LC24" s="1111">
        <v>2365.7632746418099</v>
      </c>
      <c r="LD24" s="1111">
        <v>-15.5857329873465</v>
      </c>
      <c r="LE24" s="1111">
        <v>-2021.1450818220001</v>
      </c>
      <c r="LF24" s="1111">
        <v>48.217500000000001</v>
      </c>
      <c r="LG24" s="1111">
        <v>-916.05805691641604</v>
      </c>
      <c r="LH24" s="1111">
        <v>122.071923614477</v>
      </c>
      <c r="LI24" s="1111">
        <v>55.406036631025401</v>
      </c>
      <c r="LJ24" s="1111">
        <v>-1118.3175977574799</v>
      </c>
      <c r="LK24" s="1111">
        <v>1.7241554012121201</v>
      </c>
      <c r="LL24" s="1111">
        <v>-214.189042794784</v>
      </c>
      <c r="LM24" s="1111">
        <v>105.67891229301</v>
      </c>
      <c r="LN24" s="1111">
        <v>105.567352298603</v>
      </c>
      <c r="LO24" s="1111">
        <v>0.107173561771562</v>
      </c>
      <c r="LP24" s="1111">
        <v>4.3864326305799901E-3</v>
      </c>
      <c r="LQ24" s="1111">
        <v>1784.3450773974</v>
      </c>
      <c r="LR24" s="1111">
        <v>596.614361825988</v>
      </c>
      <c r="LS24" s="1111">
        <v>20.011941644737899</v>
      </c>
      <c r="LT24" s="1111">
        <v>72.124363186506002</v>
      </c>
      <c r="LU24" s="1111">
        <v>164.03497794337301</v>
      </c>
      <c r="LV24" s="1111">
        <v>931.55943279678002</v>
      </c>
      <c r="LW24" s="1111">
        <v>0</v>
      </c>
      <c r="LX24" s="1111">
        <v>0</v>
      </c>
      <c r="LY24" s="1111">
        <v>-667.90633484135003</v>
      </c>
      <c r="LZ24" s="1111">
        <v>-576.54652316168097</v>
      </c>
      <c r="MA24" s="1111">
        <v>-91.359811679668397</v>
      </c>
      <c r="MB24" s="1111">
        <v>125.77003484494</v>
      </c>
      <c r="MC24" s="1111">
        <v>8.13291303631976E-3</v>
      </c>
      <c r="MD24" s="1111">
        <v>81.992294211907094</v>
      </c>
      <c r="ME24" s="1111">
        <v>43.769607720000003</v>
      </c>
      <c r="MF24" s="1111">
        <v>8765.6095884748993</v>
      </c>
      <c r="MG24" s="1111">
        <v>8.0067074777114694E-2</v>
      </c>
      <c r="MH24" s="1111">
        <v>705.11751447721701</v>
      </c>
      <c r="MI24" s="1111">
        <v>0.50084510357928902</v>
      </c>
      <c r="MJ24" s="1111">
        <v>0.37976660845714499</v>
      </c>
      <c r="MK24" s="1111">
        <v>8059.5313952108199</v>
      </c>
      <c r="ML24" s="1111">
        <v>2381.3679994863001</v>
      </c>
      <c r="MM24" s="1111">
        <v>1410.24319063549</v>
      </c>
      <c r="MN24" s="1111">
        <v>971.12480885078503</v>
      </c>
    </row>
    <row r="25" spans="1:352" ht="13.9" x14ac:dyDescent="0.4">
      <c r="A25" s="1096">
        <v>2005</v>
      </c>
      <c r="B25" s="1145">
        <v>147594.10173711</v>
      </c>
      <c r="C25" s="1111">
        <v>126.780008959535</v>
      </c>
      <c r="D25" s="1111">
        <v>13.919663782000001</v>
      </c>
      <c r="E25" s="1111">
        <v>31121.8129454347</v>
      </c>
      <c r="F25" s="1111">
        <v>0</v>
      </c>
      <c r="G25" s="1111">
        <v>584.60284206798895</v>
      </c>
      <c r="H25" s="1111">
        <v>315.90604275143698</v>
      </c>
      <c r="I25" s="1111">
        <v>0</v>
      </c>
      <c r="J25" s="1111">
        <v>14822.156869807201</v>
      </c>
      <c r="K25" s="1111">
        <v>0</v>
      </c>
      <c r="L25" s="1111">
        <v>0</v>
      </c>
      <c r="M25" s="1111">
        <v>78.751004465148398</v>
      </c>
      <c r="N25" s="1111">
        <v>277.652120698045</v>
      </c>
      <c r="O25" s="1111">
        <v>0</v>
      </c>
      <c r="P25" s="1111">
        <v>84.902181818182001</v>
      </c>
      <c r="Q25" s="1111">
        <v>133.97391305728399</v>
      </c>
      <c r="R25" s="1111">
        <v>0</v>
      </c>
      <c r="S25" s="1111">
        <v>0</v>
      </c>
      <c r="T25" s="1111">
        <v>1378.5283433741999</v>
      </c>
      <c r="U25" s="1111">
        <v>178.8372</v>
      </c>
      <c r="V25" s="1111">
        <v>34.038700014857</v>
      </c>
      <c r="W25" s="1111">
        <v>0</v>
      </c>
      <c r="X25" s="1111">
        <v>74.479099963966505</v>
      </c>
      <c r="Y25" s="1111">
        <v>557.98314398532102</v>
      </c>
      <c r="Z25" s="1111">
        <v>1925.8452987083999</v>
      </c>
      <c r="AA25" s="1111">
        <v>0</v>
      </c>
      <c r="AB25" s="1111">
        <v>1272.59807607525</v>
      </c>
      <c r="AC25" s="1111">
        <v>74.724984824213095</v>
      </c>
      <c r="AD25" s="1111">
        <v>170.518421016427</v>
      </c>
      <c r="AE25" s="1111">
        <v>0</v>
      </c>
      <c r="AF25" s="1111">
        <v>0</v>
      </c>
      <c r="AG25" s="1111">
        <v>0</v>
      </c>
      <c r="AH25" s="1111">
        <v>0</v>
      </c>
      <c r="AI25" s="1111">
        <v>399.15377676616799</v>
      </c>
      <c r="AJ25" s="1111">
        <v>2769.93446316777</v>
      </c>
      <c r="AK25" s="1111">
        <v>14.519518443828799</v>
      </c>
      <c r="AL25" s="1111">
        <v>291.91768322889902</v>
      </c>
      <c r="AM25" s="1111">
        <v>14.444223233832</v>
      </c>
      <c r="AN25" s="1111">
        <v>1183.5350754123499</v>
      </c>
      <c r="AO25" s="1111">
        <v>4.0560821678321703</v>
      </c>
      <c r="AP25" s="1111">
        <v>0</v>
      </c>
      <c r="AQ25" s="1111">
        <v>39.038233444628403</v>
      </c>
      <c r="AR25" s="1111">
        <v>0</v>
      </c>
      <c r="AS25" s="1111">
        <v>0</v>
      </c>
      <c r="AT25" s="1111">
        <v>0</v>
      </c>
      <c r="AU25" s="1111">
        <v>429.15942903123999</v>
      </c>
      <c r="AV25" s="1111">
        <v>0</v>
      </c>
      <c r="AW25" s="1111">
        <v>0</v>
      </c>
      <c r="AX25" s="1111">
        <v>0</v>
      </c>
      <c r="AY25" s="1111">
        <v>0</v>
      </c>
      <c r="AZ25" s="1111">
        <v>0</v>
      </c>
      <c r="BA25" s="1111">
        <v>0</v>
      </c>
      <c r="BB25" s="1111">
        <v>0</v>
      </c>
      <c r="BC25" s="1111">
        <v>0</v>
      </c>
      <c r="BD25" s="1111">
        <v>0</v>
      </c>
      <c r="BE25" s="1111">
        <v>1099.21183457809</v>
      </c>
      <c r="BF25" s="1111">
        <v>29.324361064167501</v>
      </c>
      <c r="BG25" s="1111">
        <v>0</v>
      </c>
      <c r="BH25" s="1111">
        <v>47.425228056349198</v>
      </c>
      <c r="BI25" s="1111">
        <v>2575.5471745668101</v>
      </c>
      <c r="BJ25" s="1111">
        <v>0</v>
      </c>
      <c r="BK25" s="1111">
        <v>17.983254978588199</v>
      </c>
      <c r="BL25" s="1111">
        <v>142.01473811107499</v>
      </c>
      <c r="BM25" s="1111">
        <v>114.095754346482</v>
      </c>
      <c r="BN25" s="1111">
        <v>10.042987940933999</v>
      </c>
      <c r="BO25" s="1111">
        <v>0</v>
      </c>
      <c r="BP25" s="1111">
        <v>446.73456056480302</v>
      </c>
      <c r="BQ25" s="1111">
        <v>0</v>
      </c>
      <c r="BR25" s="1111">
        <v>669.88019535233104</v>
      </c>
      <c r="BS25" s="1111">
        <v>207.146980203417</v>
      </c>
      <c r="BT25" s="1111">
        <v>37.096825058864198</v>
      </c>
      <c r="BU25" s="1111">
        <v>20.8449680122486</v>
      </c>
      <c r="BV25" s="1111">
        <v>5.3711094083142203</v>
      </c>
      <c r="BW25" s="1111">
        <v>170.42002862152199</v>
      </c>
      <c r="BX25" s="1111">
        <v>258.75980064474697</v>
      </c>
      <c r="BY25" s="1111">
        <v>88.979825946085597</v>
      </c>
      <c r="BZ25" s="1111">
        <v>21.139415087360099</v>
      </c>
      <c r="CA25" s="1111">
        <v>2113.0235755231402</v>
      </c>
      <c r="CB25" s="1111">
        <v>96.177620159769006</v>
      </c>
      <c r="CC25" s="1111">
        <v>31.268661544679301</v>
      </c>
      <c r="CD25" s="1111">
        <v>10.5115576763941</v>
      </c>
      <c r="CE25" s="1111">
        <v>990.25705946620405</v>
      </c>
      <c r="CF25" s="1111">
        <v>32.422677770254502</v>
      </c>
      <c r="CG25" s="1111">
        <v>45.694866946827503</v>
      </c>
      <c r="CH25" s="1111">
        <v>52.9337627745264</v>
      </c>
      <c r="CI25" s="1111">
        <v>1322.1558189863599</v>
      </c>
      <c r="CJ25" s="1111">
        <v>30.117541738756401</v>
      </c>
      <c r="CK25" s="1111">
        <v>0</v>
      </c>
      <c r="CL25" s="1111">
        <v>95.176022457806994</v>
      </c>
      <c r="CM25" s="1111">
        <v>0</v>
      </c>
      <c r="CN25" s="1111">
        <v>645.60689241025295</v>
      </c>
      <c r="CO25" s="1111">
        <v>0</v>
      </c>
      <c r="CP25" s="1111">
        <v>9.2294132571215197</v>
      </c>
      <c r="CQ25" s="1111">
        <v>0.799936739013554</v>
      </c>
      <c r="CR25" s="1111">
        <v>286.184667713039</v>
      </c>
      <c r="CS25" s="1111">
        <v>36.8693464855074</v>
      </c>
      <c r="CT25" s="1111">
        <v>0.36924422400000001</v>
      </c>
      <c r="CU25" s="1111">
        <v>5.3587534000000003</v>
      </c>
      <c r="CV25" s="1111">
        <v>52.1158608</v>
      </c>
      <c r="CW25" s="1111">
        <v>232.11662240990501</v>
      </c>
      <c r="CX25" s="1111">
        <v>1764.0748249639701</v>
      </c>
      <c r="CY25" s="1111">
        <v>147.26955722406299</v>
      </c>
      <c r="CZ25" s="1111">
        <v>1275.9976862179999</v>
      </c>
      <c r="DA25" s="1111">
        <v>307.71750710648797</v>
      </c>
      <c r="DB25" s="1111">
        <v>0</v>
      </c>
      <c r="DC25" s="1111">
        <v>11.7301257920238</v>
      </c>
      <c r="DD25" s="1111">
        <v>3.0585510533540798</v>
      </c>
      <c r="DE25" s="1111">
        <v>502.74993443114403</v>
      </c>
      <c r="DF25" s="1111">
        <v>470.54109125036399</v>
      </c>
      <c r="DG25" s="1111">
        <v>691.48618837117704</v>
      </c>
      <c r="DH25" s="1111">
        <v>2929.1145279790198</v>
      </c>
      <c r="DI25" s="1111">
        <v>51.027778504770602</v>
      </c>
      <c r="DJ25" s="1111">
        <v>71.912415329197003</v>
      </c>
      <c r="DK25" s="1111">
        <v>0</v>
      </c>
      <c r="DL25" s="1111">
        <v>0</v>
      </c>
      <c r="DM25" s="1111">
        <v>160.84433099024599</v>
      </c>
      <c r="DN25" s="1111">
        <v>18.0309318781222</v>
      </c>
      <c r="DO25" s="1111">
        <v>1163.8120335106501</v>
      </c>
      <c r="DP25" s="1111">
        <v>359.88546898200298</v>
      </c>
      <c r="DQ25" s="1111">
        <v>2.71703434573989</v>
      </c>
      <c r="DR25" s="1111">
        <v>21.314770554275398</v>
      </c>
      <c r="DS25" s="1111">
        <v>0</v>
      </c>
      <c r="DT25" s="1111">
        <v>1.8942105697781599</v>
      </c>
      <c r="DU25" s="1111">
        <v>0</v>
      </c>
      <c r="DV25" s="1111">
        <v>0.972314635346607</v>
      </c>
      <c r="DW25" s="1111">
        <v>0</v>
      </c>
      <c r="DX25" s="1111">
        <v>1.0835693726361999</v>
      </c>
      <c r="DY25" s="1111">
        <v>37.638502058956703</v>
      </c>
      <c r="DZ25" s="1111">
        <v>183.69669263137101</v>
      </c>
      <c r="EA25" s="1111">
        <v>1.7985950681040801</v>
      </c>
      <c r="EB25" s="1111">
        <v>47.472844745464201</v>
      </c>
      <c r="EC25" s="1111">
        <v>0</v>
      </c>
      <c r="ED25" s="1111">
        <v>15.401047141599101</v>
      </c>
      <c r="EE25" s="1111">
        <v>0</v>
      </c>
      <c r="EF25" s="1111">
        <v>11.3123401437092</v>
      </c>
      <c r="EG25" s="1111">
        <v>0</v>
      </c>
      <c r="EH25" s="1111">
        <v>19.616911275442501</v>
      </c>
      <c r="EI25" s="1111">
        <v>0.260070459527244</v>
      </c>
      <c r="EJ25" s="1111">
        <v>495.07619956088098</v>
      </c>
      <c r="EK25" s="1111">
        <v>5868.4685399649297</v>
      </c>
      <c r="EL25" s="1111">
        <v>2164.5215383776499</v>
      </c>
      <c r="EM25" s="1111">
        <v>7012.2233699333301</v>
      </c>
      <c r="EN25" s="1111">
        <v>2221.4182302692702</v>
      </c>
      <c r="EO25" s="1111">
        <v>2400.6995880325098</v>
      </c>
      <c r="EP25" s="1111">
        <v>1250.7304859168701</v>
      </c>
      <c r="EQ25" s="1111">
        <v>149.53179188527201</v>
      </c>
      <c r="ER25" s="1111">
        <v>1595.74676966474</v>
      </c>
      <c r="ES25" s="1111">
        <v>183.81378976345201</v>
      </c>
      <c r="ET25" s="1111">
        <v>1469.53112869701</v>
      </c>
      <c r="EU25" s="1111">
        <v>67.399974366954893</v>
      </c>
      <c r="EV25" s="1111">
        <v>840.71321046170101</v>
      </c>
      <c r="EW25" s="1111">
        <v>278.66390381925203</v>
      </c>
      <c r="EX25" s="1111">
        <v>1176.2080467512999</v>
      </c>
      <c r="EY25" s="1111">
        <v>1093.8876405431499</v>
      </c>
      <c r="EZ25" s="1111">
        <v>904.88115692939198</v>
      </c>
      <c r="FA25" s="1111">
        <v>342.50885853598498</v>
      </c>
      <c r="FB25" s="1111">
        <v>790.90169211958903</v>
      </c>
      <c r="FC25" s="1111">
        <v>83.395371892633307</v>
      </c>
      <c r="FD25" s="1111">
        <v>1664.8732242196199</v>
      </c>
      <c r="FE25" s="1111">
        <v>613.19224963184104</v>
      </c>
      <c r="FF25" s="1111">
        <v>71.801488765529697</v>
      </c>
      <c r="FG25" s="1111">
        <v>8.1276126662183792</v>
      </c>
      <c r="FH25" s="1111">
        <v>0.26481355993343503</v>
      </c>
      <c r="FI25" s="1111">
        <v>1.5065248722207001</v>
      </c>
      <c r="FJ25" s="1111">
        <v>95.136042247197594</v>
      </c>
      <c r="FK25" s="1111">
        <v>18.260441927837999</v>
      </c>
      <c r="FL25" s="1111">
        <v>96.385545323551995</v>
      </c>
      <c r="FM25" s="1111">
        <v>1.1932143855261199</v>
      </c>
      <c r="FN25" s="1111">
        <v>0</v>
      </c>
      <c r="FO25" s="1111">
        <v>181.01414360169599</v>
      </c>
      <c r="FP25" s="1111">
        <v>162.51591030583401</v>
      </c>
      <c r="FQ25" s="1111">
        <v>164.32518955349599</v>
      </c>
      <c r="FR25" s="1111">
        <v>2.9962682025973999</v>
      </c>
      <c r="FS25" s="1111">
        <v>661.19747971214701</v>
      </c>
      <c r="FT25" s="1111">
        <v>1203.0838332097601</v>
      </c>
      <c r="FU25" s="1111">
        <v>1.3524613241132999</v>
      </c>
      <c r="FV25" s="1111">
        <v>0</v>
      </c>
      <c r="FW25" s="1111">
        <v>0</v>
      </c>
      <c r="FX25" s="1111">
        <v>62.947082461531998</v>
      </c>
      <c r="FY25" s="1111">
        <v>29.134713313764902</v>
      </c>
      <c r="FZ25" s="1111">
        <v>38.669974229387897</v>
      </c>
      <c r="GA25" s="1111">
        <v>0</v>
      </c>
      <c r="GB25" s="1111">
        <v>0</v>
      </c>
      <c r="GC25" s="1111">
        <v>25.234760406144598</v>
      </c>
      <c r="GD25" s="1111">
        <v>0</v>
      </c>
      <c r="GE25" s="1111">
        <v>1.8901329071719699</v>
      </c>
      <c r="GF25" s="1111">
        <v>0</v>
      </c>
      <c r="GG25" s="1111">
        <v>12.6536232270272</v>
      </c>
      <c r="GH25" s="1111">
        <v>1.6142783621624599</v>
      </c>
      <c r="GI25" s="1111">
        <v>0</v>
      </c>
      <c r="GJ25" s="1111">
        <v>1.3627403869530901</v>
      </c>
      <c r="GK25" s="1111">
        <v>5.4595841787499104</v>
      </c>
      <c r="GL25" s="1111">
        <v>123.40801526748101</v>
      </c>
      <c r="GM25" s="1111">
        <v>5.7454405090910097</v>
      </c>
      <c r="GN25" s="1111">
        <v>0</v>
      </c>
      <c r="GO25" s="1111">
        <v>46.727640000000001</v>
      </c>
      <c r="GP25" s="1111">
        <v>132.570252346047</v>
      </c>
      <c r="GQ25" s="1111">
        <v>3142.6311450784001</v>
      </c>
      <c r="GR25" s="1111">
        <v>0</v>
      </c>
      <c r="GS25" s="1111">
        <v>0</v>
      </c>
      <c r="GT25" s="1111">
        <v>10.308</v>
      </c>
      <c r="GU25" s="1111">
        <v>120.4894812</v>
      </c>
      <c r="GV25" s="1111">
        <v>0</v>
      </c>
      <c r="GW25" s="1111">
        <v>37.779420000000002</v>
      </c>
      <c r="GX25" s="1111">
        <v>113.070167638347</v>
      </c>
      <c r="GY25" s="1111">
        <v>2756.22017247951</v>
      </c>
      <c r="GZ25" s="1111">
        <v>0</v>
      </c>
      <c r="HA25" s="1111">
        <v>0</v>
      </c>
      <c r="HB25" s="1111">
        <v>0</v>
      </c>
      <c r="HC25" s="1111">
        <v>0</v>
      </c>
      <c r="HD25" s="1111">
        <v>0</v>
      </c>
      <c r="HE25" s="1111">
        <v>1.9242244497251999</v>
      </c>
      <c r="HF25" s="1111">
        <v>9.0032241399756501</v>
      </c>
      <c r="HG25" s="1111">
        <v>273.077020357143</v>
      </c>
      <c r="HH25" s="1111">
        <v>2015.5984884</v>
      </c>
      <c r="HI25" s="1111">
        <v>218.163552317881</v>
      </c>
      <c r="HJ25" s="1111">
        <v>27.7433293607547</v>
      </c>
      <c r="HK25" s="1111">
        <v>0</v>
      </c>
      <c r="HL25" s="1111">
        <v>124.433813651877</v>
      </c>
      <c r="HM25" s="1111">
        <v>242.971205940696</v>
      </c>
      <c r="HN25" s="1111">
        <v>19256.095450455701</v>
      </c>
      <c r="HO25" s="1111">
        <v>129.14666666666699</v>
      </c>
      <c r="HP25" s="1111">
        <v>202.24865603000001</v>
      </c>
      <c r="HQ25" s="1111">
        <v>0</v>
      </c>
      <c r="HR25" s="1111">
        <v>1.5192649004399501</v>
      </c>
      <c r="HS25" s="1111">
        <v>8.3870393093376396</v>
      </c>
      <c r="HT25" s="1111">
        <v>84.834922145259299</v>
      </c>
      <c r="HU25" s="1111">
        <v>10.308</v>
      </c>
      <c r="HV25" s="1111">
        <v>5.9032525951557098</v>
      </c>
      <c r="HW25" s="1111">
        <v>0</v>
      </c>
      <c r="HX25" s="1111">
        <v>4.3949999999999996</v>
      </c>
      <c r="HY25" s="1111">
        <v>113.962671823143</v>
      </c>
      <c r="HZ25" s="1111">
        <v>0</v>
      </c>
      <c r="IA25" s="1111">
        <v>1099.98639978336</v>
      </c>
      <c r="IB25" s="1111">
        <v>0.61460754976656395</v>
      </c>
      <c r="IC25" s="1111">
        <v>112.179810473835</v>
      </c>
      <c r="ID25" s="1111">
        <v>172.12261538270101</v>
      </c>
      <c r="IE25" s="1111">
        <v>1.82309032716927</v>
      </c>
      <c r="IF25" s="1111">
        <v>536.50693472125295</v>
      </c>
      <c r="IG25" s="1111">
        <v>237.07799403246199</v>
      </c>
      <c r="IH25" s="1111">
        <v>1639.7972442421999</v>
      </c>
      <c r="II25" s="1111">
        <v>0</v>
      </c>
      <c r="IJ25" s="1111">
        <v>26.5624059523809</v>
      </c>
      <c r="IK25" s="1111">
        <v>17.416874766791601</v>
      </c>
      <c r="IL25" s="1111">
        <v>17.905038545454499</v>
      </c>
      <c r="IM25" s="1111">
        <v>65.108857014701101</v>
      </c>
      <c r="IN25" s="1111">
        <v>15.070138363636399</v>
      </c>
      <c r="IO25" s="1111">
        <v>214.82400548647399</v>
      </c>
      <c r="IP25" s="1111">
        <v>0.100310243752374</v>
      </c>
      <c r="IQ25" s="1111">
        <v>2.7482500021552601</v>
      </c>
      <c r="IR25" s="1111">
        <v>3.56942271614736E-2</v>
      </c>
      <c r="IS25" s="1111">
        <v>0.58122930425863595</v>
      </c>
      <c r="IT25" s="1111">
        <v>0.30219352792561999</v>
      </c>
      <c r="IU25" s="1111">
        <v>1182.64315657775</v>
      </c>
      <c r="IV25" s="1111">
        <v>96.499090229708401</v>
      </c>
      <c r="IW25" s="1111">
        <v>2375.7995232157</v>
      </c>
      <c r="IX25" s="1111">
        <v>1620.3172236400001</v>
      </c>
      <c r="IY25" s="1111">
        <v>416.37536680717199</v>
      </c>
      <c r="IZ25" s="1111">
        <v>32.240930547669798</v>
      </c>
      <c r="JA25" s="1111">
        <v>34.681807752527803</v>
      </c>
      <c r="JB25" s="1111">
        <v>60.0000352658219</v>
      </c>
      <c r="JC25" s="1111">
        <v>130.198756839532</v>
      </c>
      <c r="JD25" s="1111">
        <v>81.985402362927601</v>
      </c>
      <c r="JE25" s="1111">
        <v>1694.9317361671999</v>
      </c>
      <c r="JF25" s="1111">
        <v>160.86654545454499</v>
      </c>
      <c r="JG25" s="1111">
        <v>324.61009090909198</v>
      </c>
      <c r="JH25" s="1111">
        <v>0</v>
      </c>
      <c r="JI25" s="1111">
        <v>38.0304881140097</v>
      </c>
      <c r="JJ25" s="1111">
        <v>92.896535095033499</v>
      </c>
      <c r="JK25" s="1111">
        <v>0</v>
      </c>
      <c r="JL25" s="1111">
        <v>0</v>
      </c>
      <c r="JM25" s="1111">
        <v>1.5409090909090899</v>
      </c>
      <c r="JN25" s="1111">
        <v>20.176461818181799</v>
      </c>
      <c r="JO25" s="1111">
        <v>83.762727272727602</v>
      </c>
      <c r="JP25" s="1111">
        <v>973.04797841274296</v>
      </c>
      <c r="JQ25" s="1111">
        <v>1595.3941241535999</v>
      </c>
      <c r="JR25" s="1111">
        <v>31.161249999999999</v>
      </c>
      <c r="JS25" s="1111">
        <v>7.1574545454545504</v>
      </c>
      <c r="JT25" s="1111">
        <v>5.4218806666666604</v>
      </c>
      <c r="JU25" s="1111">
        <v>1.690585</v>
      </c>
      <c r="JV25" s="1111">
        <v>1.476958</v>
      </c>
      <c r="JW25" s="1111">
        <v>528.54525824298901</v>
      </c>
      <c r="JX25" s="1111">
        <v>233.43382251531901</v>
      </c>
      <c r="JY25" s="1111">
        <v>0</v>
      </c>
      <c r="JZ25" s="1111">
        <v>630.65517775608396</v>
      </c>
      <c r="KA25" s="1111">
        <v>155.851737427085</v>
      </c>
      <c r="KB25" s="1111">
        <v>0</v>
      </c>
      <c r="KC25" s="1111">
        <v>140.70956663679999</v>
      </c>
      <c r="KD25" s="1111">
        <v>67.521374974231094</v>
      </c>
      <c r="KE25" s="1111">
        <v>57.185092241911697</v>
      </c>
      <c r="KF25" s="1111">
        <v>3.6244078017976999</v>
      </c>
      <c r="KG25" s="1111">
        <v>0.67118662996253597</v>
      </c>
      <c r="KH25" s="1111">
        <v>11.707504988893101</v>
      </c>
      <c r="KI25" s="1111">
        <v>0</v>
      </c>
      <c r="KJ25" s="1111">
        <v>0</v>
      </c>
      <c r="KK25" s="1111">
        <v>383.99891697906997</v>
      </c>
      <c r="KL25" s="1111">
        <v>325.38398626006699</v>
      </c>
      <c r="KM25" s="1111">
        <v>58.6149307190069</v>
      </c>
      <c r="KN25" s="1111">
        <v>55.571761228473001</v>
      </c>
      <c r="KO25" s="1111">
        <v>55.571610636677001</v>
      </c>
      <c r="KP25" s="1111">
        <v>1.5059179557779101E-4</v>
      </c>
      <c r="KQ25" s="1111">
        <v>-5188.7909314133003</v>
      </c>
      <c r="KR25" s="1111">
        <v>-4985.4307886789202</v>
      </c>
      <c r="KS25" s="1111">
        <v>29.025090768533399</v>
      </c>
      <c r="KT25" s="1111">
        <v>-16.093077179909599</v>
      </c>
      <c r="KU25" s="1111">
        <v>-206.83341137090699</v>
      </c>
      <c r="KV25" s="1111">
        <v>-9.4587449521377494</v>
      </c>
      <c r="KW25" s="1111">
        <v>0</v>
      </c>
      <c r="KX25" s="1111">
        <v>3519.9505823727</v>
      </c>
      <c r="KY25" s="1111">
        <v>0.73587429673532401</v>
      </c>
      <c r="KZ25" s="1111">
        <v>1296.02076373253</v>
      </c>
      <c r="LA25" s="1111">
        <v>0.42342407654671599</v>
      </c>
      <c r="LB25" s="1111">
        <v>0.18248522045764101</v>
      </c>
      <c r="LC25" s="1111">
        <v>2237.1134538787801</v>
      </c>
      <c r="LD25" s="1111">
        <v>-14.525418832319399</v>
      </c>
      <c r="LE25" s="1111">
        <v>-2028.1333686359999</v>
      </c>
      <c r="LF25" s="1111">
        <v>48.217500000000001</v>
      </c>
      <c r="LG25" s="1111">
        <v>-979.14850401353999</v>
      </c>
      <c r="LH25" s="1111">
        <v>141.81200682428201</v>
      </c>
      <c r="LI25" s="1111">
        <v>64.311210216570501</v>
      </c>
      <c r="LJ25" s="1111">
        <v>-1087.3861672630901</v>
      </c>
      <c r="LK25" s="1111">
        <v>1.72625790121212</v>
      </c>
      <c r="LL25" s="1111">
        <v>-217.66567230144301</v>
      </c>
      <c r="LM25" s="1111">
        <v>121.05028512513</v>
      </c>
      <c r="LN25" s="1111">
        <v>120.890754095765</v>
      </c>
      <c r="LO25" s="1111">
        <v>0.155144596736597</v>
      </c>
      <c r="LP25" s="1111">
        <v>4.3864326305799901E-3</v>
      </c>
      <c r="LQ25" s="1111">
        <v>1773.5333917398</v>
      </c>
      <c r="LR25" s="1111">
        <v>607.81489346624505</v>
      </c>
      <c r="LS25" s="1111">
        <v>18.046265787799001</v>
      </c>
      <c r="LT25" s="1111">
        <v>73.012243632290904</v>
      </c>
      <c r="LU25" s="1111">
        <v>165.943308509405</v>
      </c>
      <c r="LV25" s="1111">
        <v>908.71668034404104</v>
      </c>
      <c r="LW25" s="1111">
        <v>0</v>
      </c>
      <c r="LX25" s="1111">
        <v>0</v>
      </c>
      <c r="LY25" s="1111">
        <v>-639.39759956641001</v>
      </c>
      <c r="LZ25" s="1111">
        <v>-543.39458240254805</v>
      </c>
      <c r="MA25" s="1111">
        <v>-96.003017163859198</v>
      </c>
      <c r="MB25" s="1111">
        <v>109.69812923003001</v>
      </c>
      <c r="MC25" s="1111">
        <v>7.24380854986649E-3</v>
      </c>
      <c r="MD25" s="1111">
        <v>75.2521516014816</v>
      </c>
      <c r="ME25" s="1111">
        <v>34.438733820000003</v>
      </c>
      <c r="MF25" s="1111">
        <v>9463.2391992833</v>
      </c>
      <c r="MG25" s="1111">
        <v>5.8027239408076803E-2</v>
      </c>
      <c r="MH25" s="1111">
        <v>755.09680365488703</v>
      </c>
      <c r="MI25" s="1111">
        <v>0.67118662996253597</v>
      </c>
      <c r="MJ25" s="1111">
        <v>0.23128050109468601</v>
      </c>
      <c r="MK25" s="1111">
        <v>8707.1819012579599</v>
      </c>
      <c r="ML25" s="1111">
        <v>2408.1120175757001</v>
      </c>
      <c r="MM25" s="1111">
        <v>1594.76269100487</v>
      </c>
      <c r="MN25" s="1111">
        <v>813.34932657080697</v>
      </c>
    </row>
    <row r="26" spans="1:352" ht="13.9" x14ac:dyDescent="0.4">
      <c r="A26" s="1096">
        <v>2006</v>
      </c>
      <c r="B26" s="1145">
        <v>147481.26730812999</v>
      </c>
      <c r="C26" s="1111">
        <v>111.01306510953501</v>
      </c>
      <c r="D26" s="1111">
        <v>15.905079071999999</v>
      </c>
      <c r="E26" s="1111">
        <v>34396.655891067203</v>
      </c>
      <c r="F26" s="1111">
        <v>0</v>
      </c>
      <c r="G26" s="1111">
        <v>770.11715054467697</v>
      </c>
      <c r="H26" s="1111">
        <v>334.31924074773201</v>
      </c>
      <c r="I26" s="1111">
        <v>0</v>
      </c>
      <c r="J26" s="1111">
        <v>13917.80519624</v>
      </c>
      <c r="K26" s="1111">
        <v>0</v>
      </c>
      <c r="L26" s="1111">
        <v>0</v>
      </c>
      <c r="M26" s="1111">
        <v>105.288187200651</v>
      </c>
      <c r="N26" s="1111">
        <v>309.39390516549798</v>
      </c>
      <c r="O26" s="1111">
        <v>0</v>
      </c>
      <c r="P26" s="1111">
        <v>28.774377144008501</v>
      </c>
      <c r="Q26" s="1111">
        <v>0</v>
      </c>
      <c r="R26" s="1111">
        <v>0</v>
      </c>
      <c r="S26" s="1111">
        <v>0</v>
      </c>
      <c r="T26" s="1111">
        <v>871.13563940163601</v>
      </c>
      <c r="U26" s="1111">
        <v>37.844999999999999</v>
      </c>
      <c r="V26" s="1111">
        <v>33.652748604663699</v>
      </c>
      <c r="W26" s="1111">
        <v>0</v>
      </c>
      <c r="X26" s="1111">
        <v>71.7292199639665</v>
      </c>
      <c r="Y26" s="1111">
        <v>579.86227411632001</v>
      </c>
      <c r="Z26" s="1111">
        <v>1977.4640483640601</v>
      </c>
      <c r="AA26" s="1111">
        <v>0</v>
      </c>
      <c r="AB26" s="1111">
        <v>1338.4822614877301</v>
      </c>
      <c r="AC26" s="1111">
        <v>148.65655013899899</v>
      </c>
      <c r="AD26" s="1111">
        <v>168.91738327677899</v>
      </c>
      <c r="AE26" s="1111">
        <v>0</v>
      </c>
      <c r="AF26" s="1111">
        <v>0</v>
      </c>
      <c r="AG26" s="1111">
        <v>0</v>
      </c>
      <c r="AH26" s="1111">
        <v>0</v>
      </c>
      <c r="AI26" s="1111">
        <v>359.43678977109198</v>
      </c>
      <c r="AJ26" s="1111">
        <v>2771.1429130552901</v>
      </c>
      <c r="AK26" s="1111">
        <v>12.2238782046935</v>
      </c>
      <c r="AL26" s="1111">
        <v>245.763399068035</v>
      </c>
      <c r="AM26" s="1111">
        <v>14.315210228908599</v>
      </c>
      <c r="AN26" s="1111">
        <v>1009.92754889012</v>
      </c>
      <c r="AO26" s="1111">
        <v>2.67012587412587</v>
      </c>
      <c r="AP26" s="1111">
        <v>0</v>
      </c>
      <c r="AQ26" s="1111">
        <v>39.6376377218036</v>
      </c>
      <c r="AR26" s="1111">
        <v>0</v>
      </c>
      <c r="AS26" s="1111">
        <v>0</v>
      </c>
      <c r="AT26" s="1111">
        <v>0</v>
      </c>
      <c r="AU26" s="1111">
        <v>387.861283980846</v>
      </c>
      <c r="AV26" s="1111">
        <v>0</v>
      </c>
      <c r="AW26" s="1111">
        <v>0</v>
      </c>
      <c r="AX26" s="1111">
        <v>0</v>
      </c>
      <c r="AY26" s="1111">
        <v>0</v>
      </c>
      <c r="AZ26" s="1111">
        <v>0</v>
      </c>
      <c r="BA26" s="1111">
        <v>0</v>
      </c>
      <c r="BB26" s="1111">
        <v>0</v>
      </c>
      <c r="BC26" s="1111">
        <v>0</v>
      </c>
      <c r="BD26" s="1111">
        <v>0</v>
      </c>
      <c r="BE26" s="1111">
        <v>1190.0712501494299</v>
      </c>
      <c r="BF26" s="1111">
        <v>40.188272750749299</v>
      </c>
      <c r="BG26" s="1111">
        <v>0</v>
      </c>
      <c r="BH26" s="1111">
        <v>30.777120062765199</v>
      </c>
      <c r="BI26" s="1111">
        <v>2813.2023262890498</v>
      </c>
      <c r="BJ26" s="1111">
        <v>0.71213840830449804</v>
      </c>
      <c r="BK26" s="1111">
        <v>21.1995760803477</v>
      </c>
      <c r="BL26" s="1111">
        <v>153.91484534142799</v>
      </c>
      <c r="BM26" s="1111">
        <v>104.09061468473</v>
      </c>
      <c r="BN26" s="1111">
        <v>8.6286340519927407</v>
      </c>
      <c r="BO26" s="1111">
        <v>0</v>
      </c>
      <c r="BP26" s="1111">
        <v>443.321495372171</v>
      </c>
      <c r="BQ26" s="1111">
        <v>0</v>
      </c>
      <c r="BR26" s="1111">
        <v>652.98646988881205</v>
      </c>
      <c r="BS26" s="1111">
        <v>248.202179198816</v>
      </c>
      <c r="BT26" s="1111">
        <v>51.1069916982729</v>
      </c>
      <c r="BU26" s="1111">
        <v>25.234210215339399</v>
      </c>
      <c r="BV26" s="1111">
        <v>2.43392840320685</v>
      </c>
      <c r="BW26" s="1111">
        <v>167.21009516141899</v>
      </c>
      <c r="BX26" s="1111">
        <v>257.324072510919</v>
      </c>
      <c r="BY26" s="1111">
        <v>80.407541325525003</v>
      </c>
      <c r="BZ26" s="1111">
        <v>11.350729916070801</v>
      </c>
      <c r="CA26" s="1111">
        <v>2022.44330224492</v>
      </c>
      <c r="CB26" s="1111">
        <v>95.748222516829301</v>
      </c>
      <c r="CC26" s="1111">
        <v>33.013508569301898</v>
      </c>
      <c r="CD26" s="1111">
        <v>2.4458753967076401</v>
      </c>
      <c r="CE26" s="1111">
        <v>919.91210182909595</v>
      </c>
      <c r="CF26" s="1111">
        <v>31.525283690473898</v>
      </c>
      <c r="CG26" s="1111">
        <v>43.654869173673198</v>
      </c>
      <c r="CH26" s="1111">
        <v>25.907711975102099</v>
      </c>
      <c r="CI26" s="1111">
        <v>1260.6111882983901</v>
      </c>
      <c r="CJ26" s="1111">
        <v>33.904981943671601</v>
      </c>
      <c r="CK26" s="1111">
        <v>0</v>
      </c>
      <c r="CL26" s="1111">
        <v>90.750721380373093</v>
      </c>
      <c r="CM26" s="1111">
        <v>0</v>
      </c>
      <c r="CN26" s="1111">
        <v>577.79875908607198</v>
      </c>
      <c r="CO26" s="1111">
        <v>0</v>
      </c>
      <c r="CP26" s="1111">
        <v>7.7020317612821403</v>
      </c>
      <c r="CQ26" s="1111">
        <v>2.6791893077155402</v>
      </c>
      <c r="CR26" s="1111">
        <v>356.59260016744003</v>
      </c>
      <c r="CS26" s="1111">
        <v>34.9253596392671</v>
      </c>
      <c r="CT26" s="1111">
        <v>0.34800451199999999</v>
      </c>
      <c r="CU26" s="1111">
        <v>14.135088</v>
      </c>
      <c r="CV26" s="1111">
        <v>48.043135079146403</v>
      </c>
      <c r="CW26" s="1111">
        <v>237.691491072443</v>
      </c>
      <c r="CX26" s="1111">
        <v>1793.46955181522</v>
      </c>
      <c r="CY26" s="1111">
        <v>151.23747887057399</v>
      </c>
      <c r="CZ26" s="1111">
        <v>1317.6151109279999</v>
      </c>
      <c r="DA26" s="1111">
        <v>320.42982618388203</v>
      </c>
      <c r="DB26" s="1111">
        <v>10.8827461168522</v>
      </c>
      <c r="DC26" s="1111">
        <v>10.0936060700007</v>
      </c>
      <c r="DD26" s="1111">
        <v>2.6350339079558398</v>
      </c>
      <c r="DE26" s="1111">
        <v>272.200544691951</v>
      </c>
      <c r="DF26" s="1111">
        <v>249.72857934050199</v>
      </c>
      <c r="DG26" s="1111">
        <v>733.47548308001706</v>
      </c>
      <c r="DH26" s="1111">
        <v>2905.00232243038</v>
      </c>
      <c r="DI26" s="1111">
        <v>46.617970240867798</v>
      </c>
      <c r="DJ26" s="1111">
        <v>53.539291273258897</v>
      </c>
      <c r="DK26" s="1111">
        <v>0</v>
      </c>
      <c r="DL26" s="1111">
        <v>0</v>
      </c>
      <c r="DM26" s="1111">
        <v>129.12654121449299</v>
      </c>
      <c r="DN26" s="1111">
        <v>18.571791939914199</v>
      </c>
      <c r="DO26" s="1111">
        <v>979.65556681507496</v>
      </c>
      <c r="DP26" s="1111">
        <v>372.37011448208898</v>
      </c>
      <c r="DQ26" s="1111">
        <v>2.6746086227511601</v>
      </c>
      <c r="DR26" s="1111">
        <v>19.8960400815475</v>
      </c>
      <c r="DS26" s="1111">
        <v>0</v>
      </c>
      <c r="DT26" s="1111">
        <v>1.72480085011486</v>
      </c>
      <c r="DU26" s="1111">
        <v>0</v>
      </c>
      <c r="DV26" s="1111">
        <v>0.99019128260376199</v>
      </c>
      <c r="DW26" s="1111">
        <v>0</v>
      </c>
      <c r="DX26" s="1111">
        <v>1.55347626806474</v>
      </c>
      <c r="DY26" s="1111">
        <v>32.371465951621502</v>
      </c>
      <c r="DZ26" s="1111">
        <v>176.535358965103</v>
      </c>
      <c r="EA26" s="1111">
        <v>1.6762908517059301</v>
      </c>
      <c r="EB26" s="1111">
        <v>43.559998427697003</v>
      </c>
      <c r="EC26" s="1111">
        <v>0</v>
      </c>
      <c r="ED26" s="1111">
        <v>13.8054334136474</v>
      </c>
      <c r="EE26" s="1111">
        <v>0</v>
      </c>
      <c r="EF26" s="1111">
        <v>11.251012350731299</v>
      </c>
      <c r="EG26" s="1111">
        <v>0</v>
      </c>
      <c r="EH26" s="1111">
        <v>28.918686239294399</v>
      </c>
      <c r="EI26" s="1111">
        <v>0.30235297238487202</v>
      </c>
      <c r="EJ26" s="1111">
        <v>475.92759036956301</v>
      </c>
      <c r="EK26" s="1111">
        <v>5680.1213330091696</v>
      </c>
      <c r="EL26" s="1111">
        <v>2387.25750777657</v>
      </c>
      <c r="EM26" s="1111">
        <v>6671.0568246836001</v>
      </c>
      <c r="EN26" s="1111">
        <v>2396.6858708664099</v>
      </c>
      <c r="EO26" s="1111">
        <v>2285.7351492334501</v>
      </c>
      <c r="EP26" s="1111">
        <v>1380.0316441756399</v>
      </c>
      <c r="EQ26" s="1111">
        <v>148.71427328892699</v>
      </c>
      <c r="ER26" s="1111">
        <v>1640.59602519842</v>
      </c>
      <c r="ES26" s="1111">
        <v>181.16958392241699</v>
      </c>
      <c r="ET26" s="1111">
        <v>1495.9069165788801</v>
      </c>
      <c r="EU26" s="1111">
        <v>68.891783247598994</v>
      </c>
      <c r="EV26" s="1111">
        <v>884.77896555446898</v>
      </c>
      <c r="EW26" s="1111">
        <v>288.273722579761</v>
      </c>
      <c r="EX26" s="1111">
        <v>1199.9957477269099</v>
      </c>
      <c r="EY26" s="1111">
        <v>1093.31090770944</v>
      </c>
      <c r="EZ26" s="1111">
        <v>895.69778894976002</v>
      </c>
      <c r="FA26" s="1111">
        <v>331.86137463468498</v>
      </c>
      <c r="FB26" s="1111">
        <v>770.74529442737003</v>
      </c>
      <c r="FC26" s="1111">
        <v>98.2586308585594</v>
      </c>
      <c r="FD26" s="1111">
        <v>1678.08524088526</v>
      </c>
      <c r="FE26" s="1111">
        <v>614.01393896726495</v>
      </c>
      <c r="FF26" s="1111">
        <v>67.435833673432995</v>
      </c>
      <c r="FG26" s="1111">
        <v>6.8613028932129403</v>
      </c>
      <c r="FH26" s="1111">
        <v>0.23315936794678599</v>
      </c>
      <c r="FI26" s="1111">
        <v>1.4023176833072999</v>
      </c>
      <c r="FJ26" s="1111">
        <v>86.728484964882497</v>
      </c>
      <c r="FK26" s="1111">
        <v>18.759332813425502</v>
      </c>
      <c r="FL26" s="1111">
        <v>100.945697747908</v>
      </c>
      <c r="FM26" s="1111">
        <v>6.1338538010953796</v>
      </c>
      <c r="FN26" s="1111">
        <v>0</v>
      </c>
      <c r="FO26" s="1111">
        <v>184.066403905599</v>
      </c>
      <c r="FP26" s="1111">
        <v>161.83620935970399</v>
      </c>
      <c r="FQ26" s="1111">
        <v>159.269069572506</v>
      </c>
      <c r="FR26" s="1111">
        <v>14.082460552207801</v>
      </c>
      <c r="FS26" s="1111">
        <v>616.38819717080401</v>
      </c>
      <c r="FT26" s="1111">
        <v>1115.1625943782001</v>
      </c>
      <c r="FU26" s="1111">
        <v>1.4299115932050499</v>
      </c>
      <c r="FV26" s="1111">
        <v>0</v>
      </c>
      <c r="FW26" s="1111">
        <v>0</v>
      </c>
      <c r="FX26" s="1111">
        <v>66.551820274188202</v>
      </c>
      <c r="FY26" s="1111">
        <v>30.1660305992079</v>
      </c>
      <c r="FZ26" s="1111">
        <v>40.708136545105901</v>
      </c>
      <c r="GA26" s="1111">
        <v>0</v>
      </c>
      <c r="GB26" s="1111">
        <v>0</v>
      </c>
      <c r="GC26" s="1111">
        <v>26.679858279980799</v>
      </c>
      <c r="GD26" s="1111">
        <v>0</v>
      </c>
      <c r="GE26" s="1111">
        <v>1.97998380278367</v>
      </c>
      <c r="GF26" s="1111">
        <v>0</v>
      </c>
      <c r="GG26" s="1111">
        <v>14.334622556407201</v>
      </c>
      <c r="GH26" s="1111">
        <v>0</v>
      </c>
      <c r="GI26" s="1111">
        <v>2.9340003091607398</v>
      </c>
      <c r="GJ26" s="1111">
        <v>1.3701737975169599</v>
      </c>
      <c r="GK26" s="1111">
        <v>5.2007566094775104</v>
      </c>
      <c r="GL26" s="1111">
        <v>126.75399876185</v>
      </c>
      <c r="GM26" s="1111">
        <v>7.9791766312802697</v>
      </c>
      <c r="GN26" s="1111">
        <v>0</v>
      </c>
      <c r="GO26" s="1111">
        <v>51.245699999999999</v>
      </c>
      <c r="GP26" s="1111">
        <v>88.335055405661294</v>
      </c>
      <c r="GQ26" s="1111">
        <v>2871.4402396003202</v>
      </c>
      <c r="GR26" s="1111">
        <v>0</v>
      </c>
      <c r="GS26" s="1111">
        <v>0</v>
      </c>
      <c r="GT26" s="1111">
        <v>10.308</v>
      </c>
      <c r="GU26" s="1111">
        <v>110.440406663247</v>
      </c>
      <c r="GV26" s="1111">
        <v>0</v>
      </c>
      <c r="GW26" s="1111">
        <v>40.574640000000002</v>
      </c>
      <c r="GX26" s="1111">
        <v>64.147846404658395</v>
      </c>
      <c r="GY26" s="1111">
        <v>2522.2464252570198</v>
      </c>
      <c r="GZ26" s="1111">
        <v>0</v>
      </c>
      <c r="HA26" s="1111">
        <v>0</v>
      </c>
      <c r="HB26" s="1111">
        <v>0</v>
      </c>
      <c r="HC26" s="1111">
        <v>0</v>
      </c>
      <c r="HD26" s="1111">
        <v>0</v>
      </c>
      <c r="HE26" s="1111">
        <v>1.20892124632793</v>
      </c>
      <c r="HF26" s="1111">
        <v>8.9233805651349307</v>
      </c>
      <c r="HG26" s="1111">
        <v>183.67329741071401</v>
      </c>
      <c r="HH26" s="1111">
        <v>2098.0298464000002</v>
      </c>
      <c r="HI26" s="1111">
        <v>253.99430463576201</v>
      </c>
      <c r="HJ26" s="1111">
        <v>18.0253295811352</v>
      </c>
      <c r="HK26" s="1111">
        <v>0</v>
      </c>
      <c r="HL26" s="1111">
        <v>150.84132747440299</v>
      </c>
      <c r="HM26" s="1111">
        <v>257.04067447996499</v>
      </c>
      <c r="HN26" s="1111">
        <v>18493.871925063999</v>
      </c>
      <c r="HO26" s="1111">
        <v>120.24</v>
      </c>
      <c r="HP26" s="1111">
        <v>203.04301683</v>
      </c>
      <c r="HQ26" s="1111">
        <v>0</v>
      </c>
      <c r="HR26" s="1111">
        <v>1.4226140509538301</v>
      </c>
      <c r="HS26" s="1111">
        <v>8.4522965561560905</v>
      </c>
      <c r="HT26" s="1111">
        <v>85.494999348795702</v>
      </c>
      <c r="HU26" s="1111">
        <v>10.308</v>
      </c>
      <c r="HV26" s="1111">
        <v>3.2795847750865099</v>
      </c>
      <c r="HW26" s="1111">
        <v>0</v>
      </c>
      <c r="HX26" s="1111">
        <v>8.7899999999999991</v>
      </c>
      <c r="HY26" s="1111">
        <v>101.40381042480099</v>
      </c>
      <c r="HZ26" s="1111">
        <v>0</v>
      </c>
      <c r="IA26" s="1111">
        <v>1046.0538312823701</v>
      </c>
      <c r="IB26" s="1111">
        <v>0.51195449090942102</v>
      </c>
      <c r="IC26" s="1111">
        <v>130.56500723421399</v>
      </c>
      <c r="ID26" s="1111">
        <v>156.236568045616</v>
      </c>
      <c r="IE26" s="1111">
        <v>1.82309032716927</v>
      </c>
      <c r="IF26" s="1111">
        <v>711.34930688206896</v>
      </c>
      <c r="IG26" s="1111">
        <v>231.33320813353501</v>
      </c>
      <c r="IH26" s="1111">
        <v>1402.5652989572</v>
      </c>
      <c r="II26" s="1111">
        <v>0</v>
      </c>
      <c r="IJ26" s="1111">
        <v>33.3208975892857</v>
      </c>
      <c r="IK26" s="1111">
        <v>19.054606114858299</v>
      </c>
      <c r="IL26" s="1111">
        <v>11.0048395246585</v>
      </c>
      <c r="IM26" s="1111">
        <v>57.5240210887061</v>
      </c>
      <c r="IN26" s="1111">
        <v>11.4493177480688</v>
      </c>
      <c r="IO26" s="1111">
        <v>183.685487547534</v>
      </c>
      <c r="IP26" s="1111">
        <v>9.8328566133188897E-2</v>
      </c>
      <c r="IQ26" s="1111">
        <v>2.6455403208408499</v>
      </c>
      <c r="IR26" s="1111">
        <v>3.4849973055667699E-2</v>
      </c>
      <c r="IS26" s="1111">
        <v>0.56744522727272695</v>
      </c>
      <c r="IT26" s="1111">
        <v>0.28164272727272699</v>
      </c>
      <c r="IU26" s="1111">
        <v>990.316956793195</v>
      </c>
      <c r="IV26" s="1111">
        <v>92.581365736363594</v>
      </c>
      <c r="IW26" s="1111">
        <v>2377.1721411926001</v>
      </c>
      <c r="IX26" s="1111">
        <v>1607.1218575600001</v>
      </c>
      <c r="IY26" s="1111">
        <v>417.97816646955698</v>
      </c>
      <c r="IZ26" s="1111">
        <v>31.358517887103101</v>
      </c>
      <c r="JA26" s="1111">
        <v>34.247292888895302</v>
      </c>
      <c r="JB26" s="1111">
        <v>58.710183717047798</v>
      </c>
      <c r="JC26" s="1111">
        <v>142.166122713683</v>
      </c>
      <c r="JD26" s="1111">
        <v>85.589999956363499</v>
      </c>
      <c r="JE26" s="1111">
        <v>1560.4254253106999</v>
      </c>
      <c r="JF26" s="1111">
        <v>126.801272727273</v>
      </c>
      <c r="JG26" s="1111">
        <v>251.053090909091</v>
      </c>
      <c r="JH26" s="1111">
        <v>0</v>
      </c>
      <c r="JI26" s="1111">
        <v>35.7881323636364</v>
      </c>
      <c r="JJ26" s="1111">
        <v>70.001355057447398</v>
      </c>
      <c r="JK26" s="1111">
        <v>0</v>
      </c>
      <c r="JL26" s="1111">
        <v>0</v>
      </c>
      <c r="JM26" s="1111">
        <v>1.5409090909090899</v>
      </c>
      <c r="JN26" s="1111">
        <v>14.9128767272727</v>
      </c>
      <c r="JO26" s="1111">
        <v>83.266909090909394</v>
      </c>
      <c r="JP26" s="1111">
        <v>977.06087934411801</v>
      </c>
      <c r="JQ26" s="1111">
        <v>1472.8411632786001</v>
      </c>
      <c r="JR26" s="1111">
        <v>33.615600000000001</v>
      </c>
      <c r="JS26" s="1111">
        <v>9.8847272727272806</v>
      </c>
      <c r="JT26" s="1111">
        <v>5.4480666666666604</v>
      </c>
      <c r="JU26" s="1111">
        <v>1.6989050000000001</v>
      </c>
      <c r="JV26" s="1111">
        <v>1.5683640000000001</v>
      </c>
      <c r="JW26" s="1111">
        <v>437.31365320752502</v>
      </c>
      <c r="JX26" s="1111">
        <v>242.61131710085601</v>
      </c>
      <c r="JY26" s="1111">
        <v>23.5669</v>
      </c>
      <c r="JZ26" s="1111">
        <v>565.79713003080406</v>
      </c>
      <c r="KA26" s="1111">
        <v>151.3365</v>
      </c>
      <c r="KB26" s="1111">
        <v>0</v>
      </c>
      <c r="KC26" s="1111">
        <v>130.95551922867</v>
      </c>
      <c r="KD26" s="1111">
        <v>60.111650196691699</v>
      </c>
      <c r="KE26" s="1111">
        <v>58.030042366647898</v>
      </c>
      <c r="KF26" s="1111">
        <v>3.62864836920189</v>
      </c>
      <c r="KG26" s="1111">
        <v>0.73977556800664801</v>
      </c>
      <c r="KH26" s="1111">
        <v>7.9555962795143298</v>
      </c>
      <c r="KI26" s="1111">
        <v>0.48980644860668299</v>
      </c>
      <c r="KJ26" s="1111">
        <v>0</v>
      </c>
      <c r="KK26" s="1111">
        <v>380.72822453856003</v>
      </c>
      <c r="KL26" s="1111">
        <v>305.417667096272</v>
      </c>
      <c r="KM26" s="1111">
        <v>75.310557442286395</v>
      </c>
      <c r="KN26" s="1111">
        <v>52.436929122191003</v>
      </c>
      <c r="KO26" s="1111">
        <v>52.436774883869603</v>
      </c>
      <c r="KP26" s="1111">
        <v>1.54238320948054E-4</v>
      </c>
      <c r="KQ26" s="1111">
        <v>-5249.3047936802996</v>
      </c>
      <c r="KR26" s="1111">
        <v>-5060.5531731903802</v>
      </c>
      <c r="KS26" s="1111">
        <v>28.728640213454302</v>
      </c>
      <c r="KT26" s="1111">
        <v>-17.385850680886598</v>
      </c>
      <c r="KU26" s="1111">
        <v>-189.64102944757499</v>
      </c>
      <c r="KV26" s="1111">
        <v>-10.4533805748726</v>
      </c>
      <c r="KW26" s="1111">
        <v>0</v>
      </c>
      <c r="KX26" s="1111">
        <v>3474.3928100563999</v>
      </c>
      <c r="KY26" s="1111">
        <v>0.29989004936172903</v>
      </c>
      <c r="KZ26" s="1111">
        <v>1369.9441661445701</v>
      </c>
      <c r="LA26" s="1111">
        <v>0.21883908599530699</v>
      </c>
      <c r="LB26" s="1111">
        <v>5.8389393571029E-2</v>
      </c>
      <c r="LC26" s="1111">
        <v>2117.3599132978602</v>
      </c>
      <c r="LD26" s="1111">
        <v>-13.4883879149207</v>
      </c>
      <c r="LE26" s="1111">
        <v>-2086.7577256364998</v>
      </c>
      <c r="LF26" s="1111">
        <v>48.217500000000001</v>
      </c>
      <c r="LG26" s="1111">
        <v>-1040.9796078304701</v>
      </c>
      <c r="LH26" s="1111">
        <v>129.352294754094</v>
      </c>
      <c r="LI26" s="1111">
        <v>54.979029903528499</v>
      </c>
      <c r="LJ26" s="1111">
        <v>-1057.4841118941399</v>
      </c>
      <c r="LK26" s="1111">
        <v>0.20725724921212299</v>
      </c>
      <c r="LL26" s="1111">
        <v>-221.050087818734</v>
      </c>
      <c r="LM26" s="1111">
        <v>126.50427764813</v>
      </c>
      <c r="LN26" s="1111">
        <v>126.344705717132</v>
      </c>
      <c r="LO26" s="1111">
        <v>0.15518549836829801</v>
      </c>
      <c r="LP26" s="1111">
        <v>4.3864326305799901E-3</v>
      </c>
      <c r="LQ26" s="1111">
        <v>1729.6033908848001</v>
      </c>
      <c r="LR26" s="1111">
        <v>618.46977112449997</v>
      </c>
      <c r="LS26" s="1111">
        <v>3.5653075827017502</v>
      </c>
      <c r="LT26" s="1111">
        <v>51.724220189875801</v>
      </c>
      <c r="LU26" s="1111">
        <v>167.71938598911001</v>
      </c>
      <c r="LV26" s="1111">
        <v>888.124705998595</v>
      </c>
      <c r="LW26" s="1111">
        <v>0</v>
      </c>
      <c r="LX26" s="1111">
        <v>0</v>
      </c>
      <c r="LY26" s="1111">
        <v>-572.49594558395995</v>
      </c>
      <c r="LZ26" s="1111">
        <v>-493.98062050119103</v>
      </c>
      <c r="MA26" s="1111">
        <v>-78.515325082770502</v>
      </c>
      <c r="MB26" s="1111">
        <v>77.459008150431004</v>
      </c>
      <c r="MC26" s="1111">
        <v>5.9787003737928101E-3</v>
      </c>
      <c r="MD26" s="1111">
        <v>52.315664890057398</v>
      </c>
      <c r="ME26" s="1111">
        <v>25.137364560000002</v>
      </c>
      <c r="MF26" s="1111">
        <v>9607.9358409529996</v>
      </c>
      <c r="MG26" s="1111">
        <v>4.4121040193800497E-2</v>
      </c>
      <c r="MH26" s="1111">
        <v>761.65497528485696</v>
      </c>
      <c r="MI26" s="1111">
        <v>0.71128957947379501</v>
      </c>
      <c r="MJ26" s="1111">
        <v>0.17547023417347901</v>
      </c>
      <c r="MK26" s="1111">
        <v>8845.3499848143292</v>
      </c>
      <c r="ML26" s="1111">
        <v>2654.7177100982999</v>
      </c>
      <c r="MM26" s="1111">
        <v>1713.8325760478101</v>
      </c>
      <c r="MN26" s="1111">
        <v>940.88513405051799</v>
      </c>
    </row>
    <row r="27" spans="1:352" ht="13.9" x14ac:dyDescent="0.4">
      <c r="A27" s="1096">
        <v>2007</v>
      </c>
      <c r="B27" s="1145">
        <v>144737.89154708001</v>
      </c>
      <c r="C27" s="1111">
        <v>136.58708937426201</v>
      </c>
      <c r="D27" s="1111">
        <v>6.1470039999999999</v>
      </c>
      <c r="E27" s="1111">
        <v>31367.586879266899</v>
      </c>
      <c r="F27" s="1111">
        <v>0</v>
      </c>
      <c r="G27" s="1111">
        <v>624.96144276024302</v>
      </c>
      <c r="H27" s="1111">
        <v>249.63811993141999</v>
      </c>
      <c r="I27" s="1111">
        <v>0</v>
      </c>
      <c r="J27" s="1111">
        <v>16022.034078970501</v>
      </c>
      <c r="K27" s="1111">
        <v>0</v>
      </c>
      <c r="L27" s="1111">
        <v>0</v>
      </c>
      <c r="M27" s="1111">
        <v>156.35552918932001</v>
      </c>
      <c r="N27" s="1111">
        <v>314.20184828881003</v>
      </c>
      <c r="O27" s="1111">
        <v>0</v>
      </c>
      <c r="P27" s="1111">
        <v>1.9622727272727301</v>
      </c>
      <c r="Q27" s="1111">
        <v>0</v>
      </c>
      <c r="R27" s="1111">
        <v>0</v>
      </c>
      <c r="S27" s="1111">
        <v>0</v>
      </c>
      <c r="T27" s="1111">
        <v>893.89145464004605</v>
      </c>
      <c r="U27" s="1111">
        <v>0</v>
      </c>
      <c r="V27" s="1111">
        <v>33.771197919044901</v>
      </c>
      <c r="W27" s="1111">
        <v>0</v>
      </c>
      <c r="X27" s="1111">
        <v>71.7292199639665</v>
      </c>
      <c r="Y27" s="1111">
        <v>596.95913753647903</v>
      </c>
      <c r="Z27" s="1111">
        <v>1910.2282829559399</v>
      </c>
      <c r="AA27" s="1111">
        <v>0</v>
      </c>
      <c r="AB27" s="1111">
        <v>1350.17355531818</v>
      </c>
      <c r="AC27" s="1111">
        <v>197.71142842976101</v>
      </c>
      <c r="AD27" s="1111">
        <v>166.092063208409</v>
      </c>
      <c r="AE27" s="1111">
        <v>0</v>
      </c>
      <c r="AF27" s="1111">
        <v>0</v>
      </c>
      <c r="AG27" s="1111">
        <v>0</v>
      </c>
      <c r="AH27" s="1111">
        <v>0</v>
      </c>
      <c r="AI27" s="1111">
        <v>334.95980777180603</v>
      </c>
      <c r="AJ27" s="1111">
        <v>2561.2851814498699</v>
      </c>
      <c r="AK27" s="1111">
        <v>13.393712200439699</v>
      </c>
      <c r="AL27" s="1111">
        <v>269.283134321082</v>
      </c>
      <c r="AM27" s="1111">
        <v>16.868192228194498</v>
      </c>
      <c r="AN27" s="1111">
        <v>989.03548657406498</v>
      </c>
      <c r="AO27" s="1111">
        <v>3.2519197902097901</v>
      </c>
      <c r="AP27" s="1111">
        <v>0</v>
      </c>
      <c r="AQ27" s="1111">
        <v>40.190791200228702</v>
      </c>
      <c r="AR27" s="1111">
        <v>0</v>
      </c>
      <c r="AS27" s="1111">
        <v>0</v>
      </c>
      <c r="AT27" s="1111">
        <v>0</v>
      </c>
      <c r="AU27" s="1111">
        <v>330.35935520744903</v>
      </c>
      <c r="AV27" s="1111">
        <v>0</v>
      </c>
      <c r="AW27" s="1111">
        <v>0</v>
      </c>
      <c r="AX27" s="1111">
        <v>0</v>
      </c>
      <c r="AY27" s="1111">
        <v>0</v>
      </c>
      <c r="AZ27" s="1111">
        <v>0</v>
      </c>
      <c r="BA27" s="1111">
        <v>0</v>
      </c>
      <c r="BB27" s="1111">
        <v>0</v>
      </c>
      <c r="BC27" s="1111">
        <v>0</v>
      </c>
      <c r="BD27" s="1111">
        <v>0</v>
      </c>
      <c r="BE27" s="1111">
        <v>1232.39588773529</v>
      </c>
      <c r="BF27" s="1111">
        <v>36.999811250697398</v>
      </c>
      <c r="BG27" s="1111">
        <v>0</v>
      </c>
      <c r="BH27" s="1111">
        <v>36.2145359423127</v>
      </c>
      <c r="BI27" s="1111">
        <v>2718.0785362766101</v>
      </c>
      <c r="BJ27" s="1111">
        <v>53.410380622837302</v>
      </c>
      <c r="BK27" s="1111">
        <v>19.181209065774201</v>
      </c>
      <c r="BL27" s="1111">
        <v>153.828867514964</v>
      </c>
      <c r="BM27" s="1111">
        <v>139.46900022101499</v>
      </c>
      <c r="BN27" s="1111">
        <v>4.9433466453258497</v>
      </c>
      <c r="BO27" s="1111">
        <v>0</v>
      </c>
      <c r="BP27" s="1111">
        <v>388.71431928470798</v>
      </c>
      <c r="BQ27" s="1111">
        <v>0</v>
      </c>
      <c r="BR27" s="1111">
        <v>567.13527661792295</v>
      </c>
      <c r="BS27" s="1111">
        <v>312.706846243104</v>
      </c>
      <c r="BT27" s="1111">
        <v>34.982375444231899</v>
      </c>
      <c r="BU27" s="1111">
        <v>22.855243073620802</v>
      </c>
      <c r="BV27" s="1111">
        <v>2.1974041060478999</v>
      </c>
      <c r="BW27" s="1111">
        <v>155.00140374008399</v>
      </c>
      <c r="BX27" s="1111">
        <v>273.28408221799498</v>
      </c>
      <c r="BY27" s="1111">
        <v>84.560346789082502</v>
      </c>
      <c r="BZ27" s="1111">
        <v>11.181604749023601</v>
      </c>
      <c r="CA27" s="1111">
        <v>1895.0684772822401</v>
      </c>
      <c r="CB27" s="1111">
        <v>99.904653677765396</v>
      </c>
      <c r="CC27" s="1111">
        <v>31.643936150172902</v>
      </c>
      <c r="CD27" s="1111">
        <v>3.2090270335386402</v>
      </c>
      <c r="CE27" s="1111">
        <v>857.12839341814401</v>
      </c>
      <c r="CF27" s="1111">
        <v>37.985799284230097</v>
      </c>
      <c r="CG27" s="1111">
        <v>54.946025549656198</v>
      </c>
      <c r="CH27" s="1111">
        <v>23.716582186176002</v>
      </c>
      <c r="CI27" s="1111">
        <v>1224.00347677953</v>
      </c>
      <c r="CJ27" s="1111">
        <v>46.191195651895796</v>
      </c>
      <c r="CK27" s="1111">
        <v>0</v>
      </c>
      <c r="CL27" s="1111">
        <v>96.797307512121094</v>
      </c>
      <c r="CM27" s="1111">
        <v>0</v>
      </c>
      <c r="CN27" s="1111">
        <v>744.36136703754096</v>
      </c>
      <c r="CO27" s="1111">
        <v>0</v>
      </c>
      <c r="CP27" s="1111">
        <v>3.5208265887230001</v>
      </c>
      <c r="CQ27" s="1111">
        <v>3.23911676870167</v>
      </c>
      <c r="CR27" s="1111">
        <v>184.91706411787499</v>
      </c>
      <c r="CS27" s="1111">
        <v>50.235355707353399</v>
      </c>
      <c r="CT27" s="1111">
        <v>3.1689511265983099</v>
      </c>
      <c r="CU27" s="1111">
        <v>10.639733</v>
      </c>
      <c r="CV27" s="1111">
        <v>50.881404197150601</v>
      </c>
      <c r="CW27" s="1111">
        <v>244.98285263079899</v>
      </c>
      <c r="CX27" s="1111">
        <v>1834.28301139211</v>
      </c>
      <c r="CY27" s="1111">
        <v>156.60383218742001</v>
      </c>
      <c r="CZ27" s="1111">
        <v>1225.89951600001</v>
      </c>
      <c r="DA27" s="1111">
        <v>204.33725806770099</v>
      </c>
      <c r="DB27" s="1111">
        <v>0</v>
      </c>
      <c r="DC27" s="1111">
        <v>11.106879129391</v>
      </c>
      <c r="DD27" s="1111">
        <v>2.3746405435881002</v>
      </c>
      <c r="DE27" s="1111">
        <v>300.60250729577598</v>
      </c>
      <c r="DF27" s="1111">
        <v>238.56068261135101</v>
      </c>
      <c r="DG27" s="1111">
        <v>737.24783341094906</v>
      </c>
      <c r="DH27" s="1111">
        <v>2676.2040781855999</v>
      </c>
      <c r="DI27" s="1111">
        <v>37.266009376937099</v>
      </c>
      <c r="DJ27" s="1111">
        <v>54.383449130480898</v>
      </c>
      <c r="DK27" s="1111">
        <v>0</v>
      </c>
      <c r="DL27" s="1111">
        <v>0</v>
      </c>
      <c r="DM27" s="1111">
        <v>135.300276063057</v>
      </c>
      <c r="DN27" s="1111">
        <v>20.8987579942373</v>
      </c>
      <c r="DO27" s="1111">
        <v>956.43142845225896</v>
      </c>
      <c r="DP27" s="1111">
        <v>527.35681938646803</v>
      </c>
      <c r="DQ27" s="1111">
        <v>1.98824903116726</v>
      </c>
      <c r="DR27" s="1111">
        <v>21.097717520140499</v>
      </c>
      <c r="DS27" s="1111">
        <v>0</v>
      </c>
      <c r="DT27" s="1111">
        <v>1.4130596627160701</v>
      </c>
      <c r="DU27" s="1111">
        <v>0</v>
      </c>
      <c r="DV27" s="1111">
        <v>1.05915744731872</v>
      </c>
      <c r="DW27" s="1111">
        <v>0</v>
      </c>
      <c r="DX27" s="1111">
        <v>1.5369724066392201</v>
      </c>
      <c r="DY27" s="1111">
        <v>22.381683685440699</v>
      </c>
      <c r="DZ27" s="1111">
        <v>167.644477902484</v>
      </c>
      <c r="EA27" s="1111">
        <v>1.3620171020469101</v>
      </c>
      <c r="EB27" s="1111">
        <v>44.8150698345273</v>
      </c>
      <c r="EC27" s="1111">
        <v>0</v>
      </c>
      <c r="ED27" s="1111">
        <v>11.0363157502735</v>
      </c>
      <c r="EE27" s="1111">
        <v>0</v>
      </c>
      <c r="EF27" s="1111">
        <v>11.233239876591499</v>
      </c>
      <c r="EG27" s="1111">
        <v>0</v>
      </c>
      <c r="EH27" s="1111">
        <v>28.1395440766325</v>
      </c>
      <c r="EI27" s="1111">
        <v>0.22771992040758099</v>
      </c>
      <c r="EJ27" s="1111">
        <v>455.14854543388901</v>
      </c>
      <c r="EK27" s="1111">
        <v>5533.4998914347098</v>
      </c>
      <c r="EL27" s="1111">
        <v>2575.7586568039001</v>
      </c>
      <c r="EM27" s="1111">
        <v>6510.2772004200397</v>
      </c>
      <c r="EN27" s="1111">
        <v>2577.5335937002301</v>
      </c>
      <c r="EO27" s="1111">
        <v>2202.2696574886199</v>
      </c>
      <c r="EP27" s="1111">
        <v>1497.67002838909</v>
      </c>
      <c r="EQ27" s="1111">
        <v>141.003208792148</v>
      </c>
      <c r="ER27" s="1111">
        <v>1755.8097670280999</v>
      </c>
      <c r="ES27" s="1111">
        <v>164.98085635543001</v>
      </c>
      <c r="ET27" s="1111">
        <v>1540.68287291097</v>
      </c>
      <c r="EU27" s="1111">
        <v>63.159883185086898</v>
      </c>
      <c r="EV27" s="1111">
        <v>917.65350590395599</v>
      </c>
      <c r="EW27" s="1111">
        <v>303.41386840857501</v>
      </c>
      <c r="EX27" s="1111">
        <v>1226.2351331929499</v>
      </c>
      <c r="EY27" s="1111">
        <v>1123.26309049418</v>
      </c>
      <c r="EZ27" s="1111">
        <v>935.42894821283198</v>
      </c>
      <c r="FA27" s="1111">
        <v>313.905459273492</v>
      </c>
      <c r="FB27" s="1111">
        <v>740.435530061137</v>
      </c>
      <c r="FC27" s="1111">
        <v>82.152122822231703</v>
      </c>
      <c r="FD27" s="1111">
        <v>1710.86121561044</v>
      </c>
      <c r="FE27" s="1111">
        <v>613.55204414074603</v>
      </c>
      <c r="FF27" s="1111">
        <v>66.8323567779385</v>
      </c>
      <c r="FG27" s="1111">
        <v>7.3052500924571397</v>
      </c>
      <c r="FH27" s="1111">
        <v>0.25288554829302401</v>
      </c>
      <c r="FI27" s="1111">
        <v>1.63215471532199</v>
      </c>
      <c r="FJ27" s="1111">
        <v>98.425213369139797</v>
      </c>
      <c r="FK27" s="1111">
        <v>18.827610071774899</v>
      </c>
      <c r="FL27" s="1111">
        <v>95.336999078572703</v>
      </c>
      <c r="FM27" s="1111">
        <v>12.596925636797399</v>
      </c>
      <c r="FN27" s="1111">
        <v>0</v>
      </c>
      <c r="FO27" s="1111">
        <v>174.19635622211601</v>
      </c>
      <c r="FP27" s="1111">
        <v>190.67158306574299</v>
      </c>
      <c r="FQ27" s="1111">
        <v>164.25839793281699</v>
      </c>
      <c r="FR27" s="1111">
        <v>14.082460552207801</v>
      </c>
      <c r="FS27" s="1111">
        <v>628.28193694031904</v>
      </c>
      <c r="FT27" s="1111">
        <v>1119.8759972865</v>
      </c>
      <c r="FU27" s="1111">
        <v>1.5073618622967999</v>
      </c>
      <c r="FV27" s="1111">
        <v>0</v>
      </c>
      <c r="FW27" s="1111">
        <v>0</v>
      </c>
      <c r="FX27" s="1111">
        <v>70.156558086844299</v>
      </c>
      <c r="FY27" s="1111">
        <v>30.9395185632902</v>
      </c>
      <c r="FZ27" s="1111">
        <v>42.674945868515699</v>
      </c>
      <c r="GA27" s="1111">
        <v>0</v>
      </c>
      <c r="GB27" s="1111">
        <v>0</v>
      </c>
      <c r="GC27" s="1111">
        <v>28.1249561538169</v>
      </c>
      <c r="GD27" s="1111">
        <v>0</v>
      </c>
      <c r="GE27" s="1111">
        <v>1.86983343898082</v>
      </c>
      <c r="GF27" s="1111">
        <v>0</v>
      </c>
      <c r="GG27" s="1111">
        <v>10.325911404814301</v>
      </c>
      <c r="GH27" s="1111">
        <v>0</v>
      </c>
      <c r="GI27" s="1111">
        <v>11.8320892343907</v>
      </c>
      <c r="GJ27" s="1111">
        <v>1.3733594803209701</v>
      </c>
      <c r="GK27" s="1111">
        <v>5.2842555107101798</v>
      </c>
      <c r="GL27" s="1111">
        <v>130.171664479827</v>
      </c>
      <c r="GM27" s="1111">
        <v>5.8536251604299299</v>
      </c>
      <c r="GN27" s="1111">
        <v>0</v>
      </c>
      <c r="GO27" s="1111">
        <v>54.322200000000002</v>
      </c>
      <c r="GP27" s="1111">
        <v>75.369736199194904</v>
      </c>
      <c r="GQ27" s="1111">
        <v>2748.0388103855298</v>
      </c>
      <c r="GR27" s="1111">
        <v>0</v>
      </c>
      <c r="GS27" s="1111">
        <v>0</v>
      </c>
      <c r="GT27" s="1111">
        <v>10.308</v>
      </c>
      <c r="GU27" s="1111">
        <v>104.145446904859</v>
      </c>
      <c r="GV27" s="1111">
        <v>0</v>
      </c>
      <c r="GW27" s="1111">
        <v>39.484679999999997</v>
      </c>
      <c r="GX27" s="1111">
        <v>54.241973593185101</v>
      </c>
      <c r="GY27" s="1111">
        <v>2353.8778318036402</v>
      </c>
      <c r="GZ27" s="1111">
        <v>0</v>
      </c>
      <c r="HA27" s="1111">
        <v>0</v>
      </c>
      <c r="HB27" s="1111">
        <v>0</v>
      </c>
      <c r="HC27" s="1111">
        <v>0</v>
      </c>
      <c r="HD27" s="1111">
        <v>0</v>
      </c>
      <c r="HE27" s="1111">
        <v>1.0441270237609801</v>
      </c>
      <c r="HF27" s="1111">
        <v>8.9235123571173194</v>
      </c>
      <c r="HG27" s="1111">
        <v>160.932422857143</v>
      </c>
      <c r="HH27" s="1111">
        <v>1866.1819668000001</v>
      </c>
      <c r="HI27" s="1111">
        <v>335.93709933774898</v>
      </c>
      <c r="HJ27" s="1111">
        <v>12.4443982605885</v>
      </c>
      <c r="HK27" s="1111">
        <v>0</v>
      </c>
      <c r="HL27" s="1111">
        <v>152.25748259385699</v>
      </c>
      <c r="HM27" s="1111">
        <v>205.18327468696501</v>
      </c>
      <c r="HN27" s="1111">
        <v>17783.446678823198</v>
      </c>
      <c r="HO27" s="1111">
        <v>115.786666666667</v>
      </c>
      <c r="HP27" s="1111">
        <v>185.33620015</v>
      </c>
      <c r="HQ27" s="1111">
        <v>0</v>
      </c>
      <c r="HR27" s="1111">
        <v>0.78777041457022701</v>
      </c>
      <c r="HS27" s="1111">
        <v>8.5202602955091304</v>
      </c>
      <c r="HT27" s="1111">
        <v>86.182452730622103</v>
      </c>
      <c r="HU27" s="1111">
        <v>10.308</v>
      </c>
      <c r="HV27" s="1111">
        <v>2.6236678200691999</v>
      </c>
      <c r="HW27" s="1111">
        <v>0</v>
      </c>
      <c r="HX27" s="1111">
        <v>8.4823500000000003</v>
      </c>
      <c r="HY27" s="1111">
        <v>100.657270109256</v>
      </c>
      <c r="HZ27" s="1111">
        <v>0</v>
      </c>
      <c r="IA27" s="1111">
        <v>994.19495320609406</v>
      </c>
      <c r="IB27" s="1111">
        <v>0.42125431534027902</v>
      </c>
      <c r="IC27" s="1111">
        <v>151.997991712264</v>
      </c>
      <c r="ID27" s="1111">
        <v>160.972281717931</v>
      </c>
      <c r="IE27" s="1111">
        <v>1.82309032716927</v>
      </c>
      <c r="IF27" s="1111">
        <v>781.69459531170799</v>
      </c>
      <c r="IG27" s="1111">
        <v>239.44540217109099</v>
      </c>
      <c r="IH27" s="1111">
        <v>1453.7495971624001</v>
      </c>
      <c r="II27" s="1111">
        <v>0</v>
      </c>
      <c r="IJ27" s="1111">
        <v>49.655072042857199</v>
      </c>
      <c r="IK27" s="1111">
        <v>17.500355227849901</v>
      </c>
      <c r="IL27" s="1111">
        <v>9.6956789550577298</v>
      </c>
      <c r="IM27" s="1111">
        <v>76.827327452342502</v>
      </c>
      <c r="IN27" s="1111">
        <v>10.0872810449423</v>
      </c>
      <c r="IO27" s="1111">
        <v>135.18822663844301</v>
      </c>
      <c r="IP27" s="1111">
        <v>9.6045102340911598E-2</v>
      </c>
      <c r="IQ27" s="1111">
        <v>2.66976712771348</v>
      </c>
      <c r="IR27" s="1111">
        <v>3.4027833987124702E-2</v>
      </c>
      <c r="IS27" s="1111">
        <v>0.53353090909090894</v>
      </c>
      <c r="IT27" s="1111">
        <v>0.30025636363636399</v>
      </c>
      <c r="IU27" s="1111">
        <v>1053.9263939187199</v>
      </c>
      <c r="IV27" s="1111">
        <v>97.235634545454602</v>
      </c>
      <c r="IW27" s="1111">
        <v>2457.1277706689998</v>
      </c>
      <c r="IX27" s="1111">
        <v>1668.2768181818201</v>
      </c>
      <c r="IY27" s="1111">
        <v>431.94592654245901</v>
      </c>
      <c r="IZ27" s="1111">
        <v>33.8515710327923</v>
      </c>
      <c r="JA27" s="1111">
        <v>28.529795216480601</v>
      </c>
      <c r="JB27" s="1111">
        <v>60.419542978363197</v>
      </c>
      <c r="JC27" s="1111">
        <v>139.59910881814599</v>
      </c>
      <c r="JD27" s="1111">
        <v>94.505007898909597</v>
      </c>
      <c r="JE27" s="1111">
        <v>1749.4641687390999</v>
      </c>
      <c r="JF27" s="1111">
        <v>169.221272727273</v>
      </c>
      <c r="JG27" s="1111">
        <v>339.49554545454703</v>
      </c>
      <c r="JH27" s="1111">
        <v>0</v>
      </c>
      <c r="JI27" s="1111">
        <v>36.932862545454597</v>
      </c>
      <c r="JJ27" s="1111">
        <v>88.882923566605498</v>
      </c>
      <c r="JK27" s="1111">
        <v>0</v>
      </c>
      <c r="JL27" s="1111">
        <v>0</v>
      </c>
      <c r="JM27" s="1111">
        <v>1.5409090909090899</v>
      </c>
      <c r="JN27" s="1111">
        <v>17.986363636363699</v>
      </c>
      <c r="JO27" s="1111">
        <v>89.530363636363504</v>
      </c>
      <c r="JP27" s="1111">
        <v>1005.8739280815799</v>
      </c>
      <c r="JQ27" s="1111">
        <v>1648.7866964666</v>
      </c>
      <c r="JR27" s="1111">
        <v>37.367800000000003</v>
      </c>
      <c r="JS27" s="1111">
        <v>10.0720909090909</v>
      </c>
      <c r="JT27" s="1111">
        <v>6.0995790831602399</v>
      </c>
      <c r="JU27" s="1111">
        <v>1.9123650000000001</v>
      </c>
      <c r="JV27" s="1111">
        <v>1.5906659999999999</v>
      </c>
      <c r="JW27" s="1111">
        <v>582.68850012779205</v>
      </c>
      <c r="JX27" s="1111">
        <v>218.05822858778899</v>
      </c>
      <c r="JY27" s="1111">
        <v>23.592600000000001</v>
      </c>
      <c r="JZ27" s="1111">
        <v>614.13172335557704</v>
      </c>
      <c r="KA27" s="1111">
        <v>153.273143403143</v>
      </c>
      <c r="KB27" s="1111">
        <v>0</v>
      </c>
      <c r="KC27" s="1111">
        <v>124.31438965116</v>
      </c>
      <c r="KD27" s="1111">
        <v>53.199542399242802</v>
      </c>
      <c r="KE27" s="1111">
        <v>58.537196818097797</v>
      </c>
      <c r="KF27" s="1111">
        <v>3.1749685522922801</v>
      </c>
      <c r="KG27" s="1111">
        <v>0.66115158574384003</v>
      </c>
      <c r="KH27" s="1111">
        <v>6.4372634146567203</v>
      </c>
      <c r="KI27" s="1111">
        <v>2.30426688112885</v>
      </c>
      <c r="KJ27" s="1111">
        <v>0</v>
      </c>
      <c r="KK27" s="1111">
        <v>369.49870699184999</v>
      </c>
      <c r="KL27" s="1111">
        <v>325.57830241072003</v>
      </c>
      <c r="KM27" s="1111">
        <v>43.920404581128302</v>
      </c>
      <c r="KN27" s="1111">
        <v>68.275299769815007</v>
      </c>
      <c r="KO27" s="1111">
        <v>68.275074682821</v>
      </c>
      <c r="KP27" s="1111">
        <v>2.2508699430852001E-4</v>
      </c>
      <c r="KQ27" s="1111">
        <v>-5221.8900308760003</v>
      </c>
      <c r="KR27" s="1111">
        <v>-5064.5075579640297</v>
      </c>
      <c r="KS27" s="1111">
        <v>25.8104464948157</v>
      </c>
      <c r="KT27" s="1111">
        <v>-16.157319397031898</v>
      </c>
      <c r="KU27" s="1111">
        <v>-156.94700639848199</v>
      </c>
      <c r="KV27" s="1111">
        <v>-10.0885936112824</v>
      </c>
      <c r="KW27" s="1111">
        <v>0</v>
      </c>
      <c r="KX27" s="1111">
        <v>3371.0794538384998</v>
      </c>
      <c r="KY27" s="1111">
        <v>-0.69896893632546198</v>
      </c>
      <c r="KZ27" s="1111">
        <v>1380.4734574244801</v>
      </c>
      <c r="LA27" s="1111">
        <v>0.12870579424463399</v>
      </c>
      <c r="LB27" s="1111">
        <v>0</v>
      </c>
      <c r="LC27" s="1111">
        <v>2003.6502539922801</v>
      </c>
      <c r="LD27" s="1111">
        <v>-12.4739944361661</v>
      </c>
      <c r="LE27" s="1111">
        <v>-2079.6760881714999</v>
      </c>
      <c r="LF27" s="1111">
        <v>48.217500000000001</v>
      </c>
      <c r="LG27" s="1111">
        <v>-1101.58403797603</v>
      </c>
      <c r="LH27" s="1111">
        <v>156.92782674315799</v>
      </c>
      <c r="LI27" s="1111">
        <v>68.614521456240197</v>
      </c>
      <c r="LJ27" s="1111">
        <v>-1027.7780137707</v>
      </c>
      <c r="LK27" s="1111">
        <v>0.27127374921212399</v>
      </c>
      <c r="LL27" s="1111">
        <v>-224.34515837341499</v>
      </c>
      <c r="LM27" s="1111">
        <v>81.740356978620994</v>
      </c>
      <c r="LN27" s="1111">
        <v>81.580744145989996</v>
      </c>
      <c r="LO27" s="1111">
        <v>0.15522639999999999</v>
      </c>
      <c r="LP27" s="1111">
        <v>4.3864326305799901E-3</v>
      </c>
      <c r="LQ27" s="1111">
        <v>1737.7512725803001</v>
      </c>
      <c r="LR27" s="1111">
        <v>628.60751676775703</v>
      </c>
      <c r="LS27" s="1111">
        <v>8.3525855949518792</v>
      </c>
      <c r="LT27" s="1111">
        <v>63.982192030747697</v>
      </c>
      <c r="LU27" s="1111">
        <v>169.37269640263</v>
      </c>
      <c r="LV27" s="1111">
        <v>867.436281784171</v>
      </c>
      <c r="LW27" s="1111">
        <v>0</v>
      </c>
      <c r="LX27" s="1111">
        <v>0</v>
      </c>
      <c r="LY27" s="1111">
        <v>-625.46664028319003</v>
      </c>
      <c r="LZ27" s="1111">
        <v>-550.321601089193</v>
      </c>
      <c r="MA27" s="1111">
        <v>-75.145039194001797</v>
      </c>
      <c r="MB27" s="1111">
        <v>95.149617044126003</v>
      </c>
      <c r="MC27" s="1111">
        <v>5.1419996165431E-3</v>
      </c>
      <c r="MD27" s="1111">
        <v>68.180598884509294</v>
      </c>
      <c r="ME27" s="1111">
        <v>26.963876160000002</v>
      </c>
      <c r="MF27" s="1111">
        <v>9562.6609125206996</v>
      </c>
      <c r="MG27" s="1111">
        <v>4.5551301764123003E-2</v>
      </c>
      <c r="MH27" s="1111">
        <v>758.94453096774305</v>
      </c>
      <c r="MI27" s="1111">
        <v>0.64743121152609895</v>
      </c>
      <c r="MJ27" s="1111">
        <v>0.16714863200414701</v>
      </c>
      <c r="MK27" s="1111">
        <v>8802.8562504076308</v>
      </c>
      <c r="ML27" s="1111">
        <v>2691.3932576048001</v>
      </c>
      <c r="MM27" s="1111">
        <v>1866.75275707688</v>
      </c>
      <c r="MN27" s="1111">
        <v>824.64050052793596</v>
      </c>
    </row>
    <row r="28" spans="1:352" ht="13.9" x14ac:dyDescent="0.4">
      <c r="A28" s="1096">
        <v>2008</v>
      </c>
      <c r="B28" s="1145">
        <v>141503.54466248999</v>
      </c>
      <c r="C28" s="1111">
        <v>152.59348660957701</v>
      </c>
      <c r="D28" s="1111">
        <v>4.0435105699999996</v>
      </c>
      <c r="E28" s="1111">
        <v>28327.005209246901</v>
      </c>
      <c r="F28" s="1111">
        <v>0</v>
      </c>
      <c r="G28" s="1111">
        <v>895.291809500657</v>
      </c>
      <c r="H28" s="1111">
        <v>257.065137860883</v>
      </c>
      <c r="I28" s="1111">
        <v>0</v>
      </c>
      <c r="J28" s="1111">
        <v>17292.9979084609</v>
      </c>
      <c r="K28" s="1111">
        <v>0</v>
      </c>
      <c r="L28" s="1111">
        <v>0</v>
      </c>
      <c r="M28" s="1111">
        <v>263.64317137095901</v>
      </c>
      <c r="N28" s="1111">
        <v>325.64659294833803</v>
      </c>
      <c r="O28" s="1111">
        <v>0</v>
      </c>
      <c r="P28" s="1111">
        <v>0</v>
      </c>
      <c r="Q28" s="1111">
        <v>0</v>
      </c>
      <c r="R28" s="1111">
        <v>0</v>
      </c>
      <c r="S28" s="1111">
        <v>0</v>
      </c>
      <c r="T28" s="1111">
        <v>623.43564763494101</v>
      </c>
      <c r="U28" s="1111">
        <v>0</v>
      </c>
      <c r="V28" s="1111">
        <v>3.8086731892063601</v>
      </c>
      <c r="W28" s="1111">
        <v>0</v>
      </c>
      <c r="X28" s="1111">
        <v>65.945880000000002</v>
      </c>
      <c r="Y28" s="1111">
        <v>428.00622303991901</v>
      </c>
      <c r="Z28" s="1111">
        <v>2305.8550217562201</v>
      </c>
      <c r="AA28" s="1111">
        <v>0</v>
      </c>
      <c r="AB28" s="1111">
        <v>1281.6723611832999</v>
      </c>
      <c r="AC28" s="1111">
        <v>192.624578338487</v>
      </c>
      <c r="AD28" s="1111">
        <v>164.24034586354401</v>
      </c>
      <c r="AE28" s="1111">
        <v>0</v>
      </c>
      <c r="AF28" s="1111">
        <v>0</v>
      </c>
      <c r="AG28" s="1111">
        <v>0</v>
      </c>
      <c r="AH28" s="1111">
        <v>0</v>
      </c>
      <c r="AI28" s="1111">
        <v>385.58100281372498</v>
      </c>
      <c r="AJ28" s="1111">
        <v>2438.9436927117199</v>
      </c>
      <c r="AK28" s="1111">
        <v>13.5241249191143</v>
      </c>
      <c r="AL28" s="1111">
        <v>271.90510686420498</v>
      </c>
      <c r="AM28" s="1111">
        <v>17.228997186275201</v>
      </c>
      <c r="AN28" s="1111">
        <v>1008.8573313796099</v>
      </c>
      <c r="AO28" s="1111">
        <v>3.7131419249171902</v>
      </c>
      <c r="AP28" s="1111">
        <v>0</v>
      </c>
      <c r="AQ28" s="1111">
        <v>43.228924148786703</v>
      </c>
      <c r="AR28" s="1111">
        <v>4.2770998482526297</v>
      </c>
      <c r="AS28" s="1111">
        <v>0</v>
      </c>
      <c r="AT28" s="1111">
        <v>0</v>
      </c>
      <c r="AU28" s="1111">
        <v>357.64785011787097</v>
      </c>
      <c r="AV28" s="1111">
        <v>0</v>
      </c>
      <c r="AW28" s="1111">
        <v>0</v>
      </c>
      <c r="AX28" s="1111">
        <v>0</v>
      </c>
      <c r="AY28" s="1111">
        <v>0</v>
      </c>
      <c r="AZ28" s="1111">
        <v>0</v>
      </c>
      <c r="BA28" s="1111">
        <v>0</v>
      </c>
      <c r="BB28" s="1111">
        <v>0</v>
      </c>
      <c r="BC28" s="1111">
        <v>0</v>
      </c>
      <c r="BD28" s="1111">
        <v>0</v>
      </c>
      <c r="BE28" s="1111">
        <v>1242.9817057795501</v>
      </c>
      <c r="BF28" s="1111">
        <v>29.002832788441701</v>
      </c>
      <c r="BG28" s="1111">
        <v>0.43998331848425598</v>
      </c>
      <c r="BH28" s="1111">
        <v>36.128914012298601</v>
      </c>
      <c r="BI28" s="1111">
        <v>2521.9126823373999</v>
      </c>
      <c r="BJ28" s="1111">
        <v>49.166035709342502</v>
      </c>
      <c r="BK28" s="1111">
        <v>11.194481079227501</v>
      </c>
      <c r="BL28" s="1111">
        <v>144.04939458624901</v>
      </c>
      <c r="BM28" s="1111">
        <v>116.78809519110099</v>
      </c>
      <c r="BN28" s="1111">
        <v>3.1901477883987099</v>
      </c>
      <c r="BO28" s="1111">
        <v>3.4791817245596701</v>
      </c>
      <c r="BP28" s="1111">
        <v>387.430655500265</v>
      </c>
      <c r="BQ28" s="1111">
        <v>0</v>
      </c>
      <c r="BR28" s="1111">
        <v>536.44490817939402</v>
      </c>
      <c r="BS28" s="1111">
        <v>367.61811874265197</v>
      </c>
      <c r="BT28" s="1111">
        <v>32.548523130145497</v>
      </c>
      <c r="BU28" s="1111">
        <v>0.81965218015168795</v>
      </c>
      <c r="BV28" s="1111">
        <v>0.16758127989410601</v>
      </c>
      <c r="BW28" s="1111">
        <v>143.89891496266799</v>
      </c>
      <c r="BX28" s="1111">
        <v>269.52435308933599</v>
      </c>
      <c r="BY28" s="1111">
        <v>111.288471168417</v>
      </c>
      <c r="BZ28" s="1111">
        <v>4.7821257258766803</v>
      </c>
      <c r="CA28" s="1111">
        <v>1913.45771269339</v>
      </c>
      <c r="CB28" s="1111">
        <v>102.25243475088401</v>
      </c>
      <c r="CC28" s="1111">
        <v>3.5727696075601401</v>
      </c>
      <c r="CD28" s="1111">
        <v>1.2681796504245</v>
      </c>
      <c r="CE28" s="1111">
        <v>790.66823709725998</v>
      </c>
      <c r="CF28" s="1111">
        <v>41.072234777049097</v>
      </c>
      <c r="CG28" s="1111">
        <v>66.372180325464399</v>
      </c>
      <c r="CH28" s="1111">
        <v>7.0272841673850497</v>
      </c>
      <c r="CI28" s="1111">
        <v>1177.8586130936601</v>
      </c>
      <c r="CJ28" s="1111">
        <v>50.679572311733601</v>
      </c>
      <c r="CK28" s="1111">
        <v>0</v>
      </c>
      <c r="CL28" s="1111">
        <v>86.560943275693305</v>
      </c>
      <c r="CM28" s="1111">
        <v>0</v>
      </c>
      <c r="CN28" s="1111">
        <v>640.16238314258203</v>
      </c>
      <c r="CO28" s="1111">
        <v>0</v>
      </c>
      <c r="CP28" s="1111">
        <v>8.6041454291393098</v>
      </c>
      <c r="CQ28" s="1111">
        <v>2.85864537676744</v>
      </c>
      <c r="CR28" s="1111">
        <v>60.884369235106</v>
      </c>
      <c r="CS28" s="1111">
        <v>62.054945478252698</v>
      </c>
      <c r="CT28" s="1111">
        <v>0.465272727272727</v>
      </c>
      <c r="CU28" s="1111">
        <v>23.113565999999999</v>
      </c>
      <c r="CV28" s="1111">
        <v>45.016368915165003</v>
      </c>
      <c r="CW28" s="1111">
        <v>232.44086117493501</v>
      </c>
      <c r="CX28" s="1111">
        <v>1734.49293262838</v>
      </c>
      <c r="CY28" s="1111">
        <v>147.779010326459</v>
      </c>
      <c r="CZ28" s="1111">
        <v>1237.25443942999</v>
      </c>
      <c r="DA28" s="1111">
        <v>371.95582507466202</v>
      </c>
      <c r="DB28" s="1111">
        <v>10.0777330175472</v>
      </c>
      <c r="DC28" s="1111">
        <v>10.134892636163601</v>
      </c>
      <c r="DD28" s="1111">
        <v>2.0804317476202501</v>
      </c>
      <c r="DE28" s="1111">
        <v>164.75092380630599</v>
      </c>
      <c r="DF28" s="1111">
        <v>74.702157761750499</v>
      </c>
      <c r="DG28" s="1111">
        <v>568.87088218397196</v>
      </c>
      <c r="DH28" s="1111">
        <v>2579.8404313662099</v>
      </c>
      <c r="DI28" s="1111">
        <v>0</v>
      </c>
      <c r="DJ28" s="1111">
        <v>42.272065654087903</v>
      </c>
      <c r="DK28" s="1111">
        <v>0</v>
      </c>
      <c r="DL28" s="1111">
        <v>0</v>
      </c>
      <c r="DM28" s="1111">
        <v>114.92005258271099</v>
      </c>
      <c r="DN28" s="1111">
        <v>19.053875362363598</v>
      </c>
      <c r="DO28" s="1111">
        <v>774.99687688869994</v>
      </c>
      <c r="DP28" s="1111">
        <v>531.09441355342199</v>
      </c>
      <c r="DQ28" s="1111">
        <v>1.8403530670812001</v>
      </c>
      <c r="DR28" s="1111">
        <v>21.3771681959809</v>
      </c>
      <c r="DS28" s="1111">
        <v>0</v>
      </c>
      <c r="DT28" s="1111">
        <v>1.76266867530423</v>
      </c>
      <c r="DU28" s="1111">
        <v>0</v>
      </c>
      <c r="DV28" s="1111">
        <v>1.1379909818752101</v>
      </c>
      <c r="DW28" s="1111">
        <v>0</v>
      </c>
      <c r="DX28" s="1111">
        <v>1.4846716773586901</v>
      </c>
      <c r="DY28" s="1111">
        <v>20.0994360045222</v>
      </c>
      <c r="DZ28" s="1111">
        <v>156.19123492841899</v>
      </c>
      <c r="EA28" s="1111">
        <v>1.19356702704398</v>
      </c>
      <c r="EB28" s="1111">
        <v>44.129374029109599</v>
      </c>
      <c r="EC28" s="1111">
        <v>0</v>
      </c>
      <c r="ED28" s="1111">
        <v>13.839100862895201</v>
      </c>
      <c r="EE28" s="1111">
        <v>0</v>
      </c>
      <c r="EF28" s="1111">
        <v>11.3308023358247</v>
      </c>
      <c r="EG28" s="1111">
        <v>0</v>
      </c>
      <c r="EH28" s="1111">
        <v>26.997212389391802</v>
      </c>
      <c r="EI28" s="1111">
        <v>0.22003729500875599</v>
      </c>
      <c r="EJ28" s="1111">
        <v>436.98929158195602</v>
      </c>
      <c r="EK28" s="1111">
        <v>5201.4088898983</v>
      </c>
      <c r="EL28" s="1111">
        <v>2734.8628549043201</v>
      </c>
      <c r="EM28" s="1111">
        <v>6126.8869821567996</v>
      </c>
      <c r="EN28" s="1111">
        <v>2632.2172007168101</v>
      </c>
      <c r="EO28" s="1111">
        <v>2053.3429292348701</v>
      </c>
      <c r="EP28" s="1111">
        <v>1567.19302951349</v>
      </c>
      <c r="EQ28" s="1111">
        <v>127.787953357129</v>
      </c>
      <c r="ER28" s="1111">
        <v>1689.0483895508801</v>
      </c>
      <c r="ES28" s="1111">
        <v>149.21645708639599</v>
      </c>
      <c r="ET28" s="1111">
        <v>1455.76742709565</v>
      </c>
      <c r="EU28" s="1111">
        <v>56.3048066785788</v>
      </c>
      <c r="EV28" s="1111">
        <v>864.309327251794</v>
      </c>
      <c r="EW28" s="1111">
        <v>273.42162382765599</v>
      </c>
      <c r="EX28" s="1111">
        <v>1153.1678419842699</v>
      </c>
      <c r="EY28" s="1111">
        <v>1028.3246203285901</v>
      </c>
      <c r="EZ28" s="1111">
        <v>801.69085104806402</v>
      </c>
      <c r="FA28" s="1111">
        <v>283.86475148927099</v>
      </c>
      <c r="FB28" s="1111">
        <v>685.350143104057</v>
      </c>
      <c r="FC28" s="1111">
        <v>76.438926733113206</v>
      </c>
      <c r="FD28" s="1111">
        <v>1581.1812034545201</v>
      </c>
      <c r="FE28" s="1111">
        <v>592.05128459924299</v>
      </c>
      <c r="FF28" s="1111">
        <v>66.516369560486794</v>
      </c>
      <c r="FG28" s="1111">
        <v>5.96649710266301</v>
      </c>
      <c r="FH28" s="1111">
        <v>0.20716949506392801</v>
      </c>
      <c r="FI28" s="1111">
        <v>1.4454543878509201</v>
      </c>
      <c r="FJ28" s="1111">
        <v>83.802416783519803</v>
      </c>
      <c r="FK28" s="1111">
        <v>19.771288543940901</v>
      </c>
      <c r="FL28" s="1111">
        <v>99.650769941396504</v>
      </c>
      <c r="FM28" s="1111">
        <v>32.171535042160698</v>
      </c>
      <c r="FN28" s="1111">
        <v>0</v>
      </c>
      <c r="FO28" s="1111">
        <v>177.320553376818</v>
      </c>
      <c r="FP28" s="1111">
        <v>194.46407533483799</v>
      </c>
      <c r="FQ28" s="1111">
        <v>154.49090909090901</v>
      </c>
      <c r="FR28" s="1111">
        <v>14.082460552207801</v>
      </c>
      <c r="FS28" s="1111">
        <v>595.092717240703</v>
      </c>
      <c r="FT28" s="1111">
        <v>1055.71685111903</v>
      </c>
      <c r="FU28" s="1111">
        <v>1.5848121313885499</v>
      </c>
      <c r="FV28" s="1111">
        <v>0</v>
      </c>
      <c r="FW28" s="1111">
        <v>0</v>
      </c>
      <c r="FX28" s="1111">
        <v>73.761295899500595</v>
      </c>
      <c r="FY28" s="1111">
        <v>31.7130065273724</v>
      </c>
      <c r="FZ28" s="1111">
        <v>44.641755191925398</v>
      </c>
      <c r="GA28" s="1111">
        <v>0</v>
      </c>
      <c r="GB28" s="1111">
        <v>0</v>
      </c>
      <c r="GC28" s="1111">
        <v>29.5700540276531</v>
      </c>
      <c r="GD28" s="1111">
        <v>0</v>
      </c>
      <c r="GE28" s="1111">
        <v>2.0536343272315101</v>
      </c>
      <c r="GF28" s="1111">
        <v>0</v>
      </c>
      <c r="GG28" s="1111">
        <v>15.864466554749299</v>
      </c>
      <c r="GH28" s="1111">
        <v>1.26731534581102</v>
      </c>
      <c r="GI28" s="1111">
        <v>0.628334040490936</v>
      </c>
      <c r="GJ28" s="1111">
        <v>1.3054519172852399</v>
      </c>
      <c r="GK28" s="1111">
        <v>5.10771755210307</v>
      </c>
      <c r="GL28" s="1111">
        <v>127.271714554493</v>
      </c>
      <c r="GM28" s="1111">
        <v>10.213651434570901</v>
      </c>
      <c r="GN28" s="1111">
        <v>0</v>
      </c>
      <c r="GO28" s="1111">
        <v>77.659649999999999</v>
      </c>
      <c r="GP28" s="1111">
        <v>45.764784809330202</v>
      </c>
      <c r="GQ28" s="1111">
        <v>3488.1671502879699</v>
      </c>
      <c r="GR28" s="1111">
        <v>0</v>
      </c>
      <c r="GS28" s="1111">
        <v>0</v>
      </c>
      <c r="GT28" s="1111">
        <v>0</v>
      </c>
      <c r="GU28" s="1111">
        <v>103.474649049641</v>
      </c>
      <c r="GV28" s="1111">
        <v>0</v>
      </c>
      <c r="GW28" s="1111">
        <v>62.426580000000001</v>
      </c>
      <c r="GX28" s="1111">
        <v>21.425389663534698</v>
      </c>
      <c r="GY28" s="1111">
        <v>2461.89256394926</v>
      </c>
      <c r="GZ28" s="1111">
        <v>0</v>
      </c>
      <c r="HA28" s="1111">
        <v>0</v>
      </c>
      <c r="HB28" s="1111">
        <v>0</v>
      </c>
      <c r="HC28" s="1111">
        <v>0</v>
      </c>
      <c r="HD28" s="1111">
        <v>0</v>
      </c>
      <c r="HE28" s="1111">
        <v>1.0657526445410701</v>
      </c>
      <c r="HF28" s="1111">
        <v>8.9733391150286703</v>
      </c>
      <c r="HG28" s="1111">
        <v>145.42995943609</v>
      </c>
      <c r="HH28" s="1111">
        <v>1923.160124</v>
      </c>
      <c r="HI28" s="1111">
        <v>378.16161728825398</v>
      </c>
      <c r="HJ28" s="1111">
        <v>10.305717741252099</v>
      </c>
      <c r="HK28" s="1111">
        <v>0</v>
      </c>
      <c r="HL28" s="1111">
        <v>144.027505290102</v>
      </c>
      <c r="HM28" s="1111">
        <v>268.58083725887701</v>
      </c>
      <c r="HN28" s="1111">
        <v>18102.9854467076</v>
      </c>
      <c r="HO28" s="1111">
        <v>124.693333333333</v>
      </c>
      <c r="HP28" s="1111">
        <v>232.50337913714301</v>
      </c>
      <c r="HQ28" s="1111">
        <v>0</v>
      </c>
      <c r="HR28" s="1111">
        <v>1.25332241458487</v>
      </c>
      <c r="HS28" s="1111">
        <v>8.5950383704858702</v>
      </c>
      <c r="HT28" s="1111">
        <v>86.938833133150794</v>
      </c>
      <c r="HU28" s="1111">
        <v>0</v>
      </c>
      <c r="HV28" s="1111">
        <v>3.2795847750865099</v>
      </c>
      <c r="HW28" s="1111">
        <v>0</v>
      </c>
      <c r="HX28" s="1111">
        <v>21.096</v>
      </c>
      <c r="HY28" s="1111">
        <v>71.114081206352793</v>
      </c>
      <c r="HZ28" s="1111">
        <v>0</v>
      </c>
      <c r="IA28" s="1111">
        <v>969.68355167282004</v>
      </c>
      <c r="IB28" s="1111">
        <v>0.41296959371490899</v>
      </c>
      <c r="IC28" s="1111">
        <v>134.33855107058801</v>
      </c>
      <c r="ID28" s="1111">
        <v>158.30687874695201</v>
      </c>
      <c r="IE28" s="1111">
        <v>1.82309032716927</v>
      </c>
      <c r="IF28" s="1111">
        <v>648.64836500819399</v>
      </c>
      <c r="IG28" s="1111">
        <v>236.936685306165</v>
      </c>
      <c r="IH28" s="1111">
        <v>1261.8858910398999</v>
      </c>
      <c r="II28" s="1111">
        <v>0</v>
      </c>
      <c r="IJ28" s="1111">
        <v>73.041657186322098</v>
      </c>
      <c r="IK28" s="1111">
        <v>15.581972103414801</v>
      </c>
      <c r="IL28" s="1111">
        <v>8.3138945454545503</v>
      </c>
      <c r="IM28" s="1111">
        <v>69.633875454545503</v>
      </c>
      <c r="IN28" s="1111">
        <v>8.6496872727272809</v>
      </c>
      <c r="IO28" s="1111">
        <v>93.38682</v>
      </c>
      <c r="IP28" s="1111">
        <v>8.8271746063084106E-2</v>
      </c>
      <c r="IQ28" s="1111">
        <v>2.39361444656114</v>
      </c>
      <c r="IR28" s="1111">
        <v>3.4828608354944703E-2</v>
      </c>
      <c r="IS28" s="1111">
        <v>0.57334636363636404</v>
      </c>
      <c r="IT28" s="1111">
        <v>5.1810000000000002E-2</v>
      </c>
      <c r="IU28" s="1111">
        <v>901.03485876736795</v>
      </c>
      <c r="IV28" s="1111">
        <v>89.101254545454594</v>
      </c>
      <c r="IW28" s="1111">
        <v>2141.2427180983</v>
      </c>
      <c r="IX28" s="1111">
        <v>1419.5118230200101</v>
      </c>
      <c r="IY28" s="1111">
        <v>384.03807789264602</v>
      </c>
      <c r="IZ28" s="1111">
        <v>37.291604518308098</v>
      </c>
      <c r="JA28" s="1111">
        <v>22.350418365939898</v>
      </c>
      <c r="JB28" s="1111">
        <v>62.727421395001301</v>
      </c>
      <c r="JC28" s="1111">
        <v>108.52531985578899</v>
      </c>
      <c r="JD28" s="1111">
        <v>106.79805305056701</v>
      </c>
      <c r="JE28" s="1111">
        <v>1506.2853490734999</v>
      </c>
      <c r="JF28" s="1111">
        <v>172.94481818181799</v>
      </c>
      <c r="JG28" s="1111">
        <v>286.06363636363602</v>
      </c>
      <c r="JH28" s="1111">
        <v>0</v>
      </c>
      <c r="JI28" s="1111">
        <v>24.215914090909099</v>
      </c>
      <c r="JJ28" s="1111">
        <v>86.6073156065478</v>
      </c>
      <c r="JK28" s="1111">
        <v>0</v>
      </c>
      <c r="JL28" s="1111">
        <v>0</v>
      </c>
      <c r="JM28" s="1111">
        <v>1.5409090909090899</v>
      </c>
      <c r="JN28" s="1111">
        <v>15.669545454545499</v>
      </c>
      <c r="JO28" s="1111">
        <v>66.099272727272705</v>
      </c>
      <c r="JP28" s="1111">
        <v>853.14393755787296</v>
      </c>
      <c r="JQ28" s="1111">
        <v>1629.0727120559</v>
      </c>
      <c r="JR28" s="1111">
        <v>32.600450000000002</v>
      </c>
      <c r="JS28" s="1111">
        <v>7.8892867810036398</v>
      </c>
      <c r="JT28" s="1111">
        <v>6.1031790831602404</v>
      </c>
      <c r="JU28" s="1111">
        <v>1.9202950000000001</v>
      </c>
      <c r="JV28" s="1111">
        <v>1.46692</v>
      </c>
      <c r="JW28" s="1111">
        <v>703.35369929911599</v>
      </c>
      <c r="JX28" s="1111">
        <v>198.94147618869499</v>
      </c>
      <c r="JY28" s="1111">
        <v>21.34385</v>
      </c>
      <c r="JZ28" s="1111">
        <v>518.32602275870704</v>
      </c>
      <c r="KA28" s="1111">
        <v>137.127532945182</v>
      </c>
      <c r="KB28" s="1111">
        <v>0</v>
      </c>
      <c r="KC28" s="1111">
        <v>195.28500845295</v>
      </c>
      <c r="KD28" s="1111">
        <v>27.986396277642999</v>
      </c>
      <c r="KE28" s="1111">
        <v>57.986935390270901</v>
      </c>
      <c r="KF28" s="1111">
        <v>1.47905145676911</v>
      </c>
      <c r="KG28" s="1111">
        <v>0.29581029135382197</v>
      </c>
      <c r="KH28" s="1111">
        <v>7.5233831146847399</v>
      </c>
      <c r="KI28" s="1111">
        <v>4.1625771674988803</v>
      </c>
      <c r="KJ28" s="1111">
        <v>95.850854754729198</v>
      </c>
      <c r="KK28" s="1111">
        <v>379.81592512148001</v>
      </c>
      <c r="KL28" s="1111">
        <v>305.843642373737</v>
      </c>
      <c r="KM28" s="1111">
        <v>73.972282747742597</v>
      </c>
      <c r="KN28" s="1111">
        <v>49.619764972919</v>
      </c>
      <c r="KO28" s="1111">
        <v>49.619632062302202</v>
      </c>
      <c r="KP28" s="1111">
        <v>1.32910616370522E-4</v>
      </c>
      <c r="KQ28" s="1111">
        <v>-5366.0214535368996</v>
      </c>
      <c r="KR28" s="1111">
        <v>-5249.0507789899602</v>
      </c>
      <c r="KS28" s="1111">
        <v>24.028227278934001</v>
      </c>
      <c r="KT28" s="1111">
        <v>-14.051137873230999</v>
      </c>
      <c r="KU28" s="1111">
        <v>-118.01556500710601</v>
      </c>
      <c r="KV28" s="1111">
        <v>-8.9321989455533206</v>
      </c>
      <c r="KW28" s="1111">
        <v>0</v>
      </c>
      <c r="KX28" s="1111">
        <v>3351.5302018788002</v>
      </c>
      <c r="KY28" s="1111">
        <v>-2.97723409410716</v>
      </c>
      <c r="KZ28" s="1111">
        <v>1469.9924629422201</v>
      </c>
      <c r="LA28" s="1111">
        <v>0.14024259529569599</v>
      </c>
      <c r="LB28" s="1111">
        <v>0</v>
      </c>
      <c r="LC28" s="1111">
        <v>1895.8563439157799</v>
      </c>
      <c r="LD28" s="1111">
        <v>-11.481613480393801</v>
      </c>
      <c r="LE28" s="1111">
        <v>-2117.1283797946999</v>
      </c>
      <c r="LF28" s="1111">
        <v>48.217500000000001</v>
      </c>
      <c r="LG28" s="1111">
        <v>-1160.99344605841</v>
      </c>
      <c r="LH28" s="1111">
        <v>155.680585050236</v>
      </c>
      <c r="LI28" s="1111">
        <v>65.923270250155497</v>
      </c>
      <c r="LJ28" s="1111">
        <v>-998.73792562338599</v>
      </c>
      <c r="LK28" s="1111">
        <v>0.33529024921212403</v>
      </c>
      <c r="LL28" s="1111">
        <v>-227.55365366250101</v>
      </c>
      <c r="LM28" s="1111">
        <v>69.982516931180996</v>
      </c>
      <c r="LN28" s="1111">
        <v>69.870693231883294</v>
      </c>
      <c r="LO28" s="1111">
        <v>0.107296266666667</v>
      </c>
      <c r="LP28" s="1111">
        <v>4.5274326305800297E-3</v>
      </c>
      <c r="LQ28" s="1111">
        <v>1734.0433109497999</v>
      </c>
      <c r="LR28" s="1111">
        <v>638.25504497930297</v>
      </c>
      <c r="LS28" s="1111">
        <v>8.5732112715398205</v>
      </c>
      <c r="LT28" s="1111">
        <v>68.024214230090905</v>
      </c>
      <c r="LU28" s="1111">
        <v>170.91200775204101</v>
      </c>
      <c r="LV28" s="1111">
        <v>848.27883271680503</v>
      </c>
      <c r="LW28" s="1111">
        <v>0</v>
      </c>
      <c r="LX28" s="1111">
        <v>0</v>
      </c>
      <c r="LY28" s="1111">
        <v>-528.21587215160002</v>
      </c>
      <c r="LZ28" s="1111">
        <v>-454.659076810572</v>
      </c>
      <c r="MA28" s="1111">
        <v>-73.556795341030707</v>
      </c>
      <c r="MB28" s="1111">
        <v>81.92105490822</v>
      </c>
      <c r="MC28" s="1111">
        <v>4.1771654981643197E-3</v>
      </c>
      <c r="MD28" s="1111">
        <v>54.302939629921703</v>
      </c>
      <c r="ME28" s="1111">
        <v>27.6139381128</v>
      </c>
      <c r="MF28" s="1111">
        <v>9351.0193108301992</v>
      </c>
      <c r="MG28" s="1111">
        <v>4.78265200138899E-2</v>
      </c>
      <c r="MH28" s="1111">
        <v>687.62695122102195</v>
      </c>
      <c r="MI28" s="1111">
        <v>0.39441372180509698</v>
      </c>
      <c r="MJ28" s="1111">
        <v>0.19508975916066801</v>
      </c>
      <c r="MK28" s="1111">
        <v>8662.7550296081808</v>
      </c>
      <c r="ML28" s="1111">
        <v>3645.5111421461002</v>
      </c>
      <c r="MM28" s="1111">
        <v>2711.5598142472199</v>
      </c>
      <c r="MN28" s="1111">
        <v>933.95132789884997</v>
      </c>
    </row>
    <row r="29" spans="1:352" ht="13.9" x14ac:dyDescent="0.4">
      <c r="A29" s="1096">
        <v>2009</v>
      </c>
      <c r="B29" s="1145">
        <v>129262.92465397</v>
      </c>
      <c r="C29" s="1111">
        <v>143.14675843768299</v>
      </c>
      <c r="D29" s="1111">
        <v>3.1815494572727201</v>
      </c>
      <c r="E29" s="1111">
        <v>23239.663434771901</v>
      </c>
      <c r="F29" s="1111">
        <v>0</v>
      </c>
      <c r="G29" s="1111">
        <v>661.59958232239296</v>
      </c>
      <c r="H29" s="1111">
        <v>239.469810828779</v>
      </c>
      <c r="I29" s="1111">
        <v>0</v>
      </c>
      <c r="J29" s="1111">
        <v>16437.6514548185</v>
      </c>
      <c r="K29" s="1111">
        <v>0</v>
      </c>
      <c r="L29" s="1111">
        <v>0</v>
      </c>
      <c r="M29" s="1111">
        <v>432.27197733552401</v>
      </c>
      <c r="N29" s="1111">
        <v>378.92141272845299</v>
      </c>
      <c r="O29" s="1111">
        <v>0</v>
      </c>
      <c r="P29" s="1111">
        <v>12.0740809489628</v>
      </c>
      <c r="Q29" s="1111">
        <v>48.745634768094099</v>
      </c>
      <c r="R29" s="1111">
        <v>0</v>
      </c>
      <c r="S29" s="1111">
        <v>0</v>
      </c>
      <c r="T29" s="1111">
        <v>523.42088001290199</v>
      </c>
      <c r="U29" s="1111">
        <v>0</v>
      </c>
      <c r="V29" s="1111">
        <v>3.7538257424214398</v>
      </c>
      <c r="W29" s="1111">
        <v>0</v>
      </c>
      <c r="X29" s="1111">
        <v>9.0865600000000004</v>
      </c>
      <c r="Y29" s="1111">
        <v>419.51712528553497</v>
      </c>
      <c r="Z29" s="1111">
        <v>2272.5174469746198</v>
      </c>
      <c r="AA29" s="1111">
        <v>0</v>
      </c>
      <c r="AB29" s="1111">
        <v>1263.2628950764199</v>
      </c>
      <c r="AC29" s="1111">
        <v>154.77454551291501</v>
      </c>
      <c r="AD29" s="1111">
        <v>167.530314197959</v>
      </c>
      <c r="AE29" s="1111">
        <v>0</v>
      </c>
      <c r="AF29" s="1111">
        <v>0</v>
      </c>
      <c r="AG29" s="1111">
        <v>0</v>
      </c>
      <c r="AH29" s="1111">
        <v>0</v>
      </c>
      <c r="AI29" s="1111">
        <v>382.16304310082103</v>
      </c>
      <c r="AJ29" s="1111">
        <v>2371.96607202214</v>
      </c>
      <c r="AK29" s="1111">
        <v>13.518139921722501</v>
      </c>
      <c r="AL29" s="1111">
        <v>271.78477735193599</v>
      </c>
      <c r="AM29" s="1111">
        <v>12.408056899178399</v>
      </c>
      <c r="AN29" s="1111">
        <v>955.90503132978199</v>
      </c>
      <c r="AO29" s="1111">
        <v>3.3659234008097201</v>
      </c>
      <c r="AP29" s="1111">
        <v>0</v>
      </c>
      <c r="AQ29" s="1111">
        <v>42.461678227389797</v>
      </c>
      <c r="AR29" s="1111">
        <v>3.9210348701846902</v>
      </c>
      <c r="AS29" s="1111">
        <v>0</v>
      </c>
      <c r="AT29" s="1111">
        <v>0</v>
      </c>
      <c r="AU29" s="1111">
        <v>349.594147753779</v>
      </c>
      <c r="AV29" s="1111">
        <v>0</v>
      </c>
      <c r="AW29" s="1111">
        <v>0</v>
      </c>
      <c r="AX29" s="1111">
        <v>0</v>
      </c>
      <c r="AY29" s="1111">
        <v>0</v>
      </c>
      <c r="AZ29" s="1111">
        <v>0</v>
      </c>
      <c r="BA29" s="1111">
        <v>0</v>
      </c>
      <c r="BB29" s="1111">
        <v>0</v>
      </c>
      <c r="BC29" s="1111">
        <v>0</v>
      </c>
      <c r="BD29" s="1111">
        <v>0</v>
      </c>
      <c r="BE29" s="1111">
        <v>964.10339514154805</v>
      </c>
      <c r="BF29" s="1111">
        <v>25.629852193942501</v>
      </c>
      <c r="BG29" s="1111">
        <v>0</v>
      </c>
      <c r="BH29" s="1111">
        <v>22.637944013977801</v>
      </c>
      <c r="BI29" s="1111">
        <v>2101.3548198417402</v>
      </c>
      <c r="BJ29" s="1111">
        <v>42.671333425605503</v>
      </c>
      <c r="BK29" s="1111">
        <v>5.6695847800815002</v>
      </c>
      <c r="BL29" s="1111">
        <v>156.80187554430799</v>
      </c>
      <c r="BM29" s="1111">
        <v>125.322451665944</v>
      </c>
      <c r="BN29" s="1111">
        <v>2.28699297477245</v>
      </c>
      <c r="BO29" s="1111">
        <v>2.89181568168528</v>
      </c>
      <c r="BP29" s="1111">
        <v>288.58754496969402</v>
      </c>
      <c r="BQ29" s="1111">
        <v>0</v>
      </c>
      <c r="BR29" s="1111">
        <v>445.10427170332201</v>
      </c>
      <c r="BS29" s="1111">
        <v>407.22615233601698</v>
      </c>
      <c r="BT29" s="1111">
        <v>30.335955570784598</v>
      </c>
      <c r="BU29" s="1111">
        <v>0.82210396992204404</v>
      </c>
      <c r="BV29" s="1111">
        <v>3.1260172934242103E-2</v>
      </c>
      <c r="BW29" s="1111">
        <v>113.916284418733</v>
      </c>
      <c r="BX29" s="1111">
        <v>243.215672699072</v>
      </c>
      <c r="BY29" s="1111">
        <v>77.061573384511206</v>
      </c>
      <c r="BZ29" s="1111">
        <v>4.6115208091298499</v>
      </c>
      <c r="CA29" s="1111">
        <v>1540.3819275118601</v>
      </c>
      <c r="CB29" s="1111">
        <v>87.259689932761901</v>
      </c>
      <c r="CC29" s="1111">
        <v>3.5834566772560201</v>
      </c>
      <c r="CD29" s="1111">
        <v>1.07402136021025</v>
      </c>
      <c r="CE29" s="1111">
        <v>661.91439151581096</v>
      </c>
      <c r="CF29" s="1111">
        <v>48.1198938748825</v>
      </c>
      <c r="CG29" s="1111">
        <v>77.811132296065296</v>
      </c>
      <c r="CH29" s="1111">
        <v>4.5278680076518496</v>
      </c>
      <c r="CI29" s="1111">
        <v>1031.1964270639</v>
      </c>
      <c r="CJ29" s="1111">
        <v>39.053927286621096</v>
      </c>
      <c r="CK29" s="1111">
        <v>0</v>
      </c>
      <c r="CL29" s="1111">
        <v>59.287548713232397</v>
      </c>
      <c r="CM29" s="1111">
        <v>0</v>
      </c>
      <c r="CN29" s="1111">
        <v>377.63250791173999</v>
      </c>
      <c r="CO29" s="1111">
        <v>0</v>
      </c>
      <c r="CP29" s="1111">
        <v>6.1658831486334504</v>
      </c>
      <c r="CQ29" s="1111">
        <v>2.9104263726475499</v>
      </c>
      <c r="CR29" s="1111">
        <v>35.655743032456698</v>
      </c>
      <c r="CS29" s="1111">
        <v>50.1537014152469</v>
      </c>
      <c r="CT29" s="1111">
        <v>0.35945454545454503</v>
      </c>
      <c r="CU29" s="1111">
        <v>28.760209824524299</v>
      </c>
      <c r="CV29" s="1111">
        <v>34.565331354918598</v>
      </c>
      <c r="CW29" s="1111">
        <v>206.24209202367899</v>
      </c>
      <c r="CX29" s="1111">
        <v>1341.6390697472</v>
      </c>
      <c r="CY29" s="1111">
        <v>129.79460203152499</v>
      </c>
      <c r="CZ29" s="1111">
        <v>1252.39298054302</v>
      </c>
      <c r="DA29" s="1111">
        <v>469.07701931087502</v>
      </c>
      <c r="DB29" s="1111">
        <v>0</v>
      </c>
      <c r="DC29" s="1111">
        <v>12.544003531347901</v>
      </c>
      <c r="DD29" s="1111">
        <v>1.78294167609398</v>
      </c>
      <c r="DE29" s="1111">
        <v>233.41556595726399</v>
      </c>
      <c r="DF29" s="1111">
        <v>55.270103814919402</v>
      </c>
      <c r="DG29" s="1111">
        <v>534.53854840963697</v>
      </c>
      <c r="DH29" s="1111">
        <v>2147.85058956493</v>
      </c>
      <c r="DI29" s="1111">
        <v>0</v>
      </c>
      <c r="DJ29" s="1111">
        <v>40.2104784666464</v>
      </c>
      <c r="DK29" s="1111">
        <v>0</v>
      </c>
      <c r="DL29" s="1111">
        <v>0</v>
      </c>
      <c r="DM29" s="1111">
        <v>126.445950129655</v>
      </c>
      <c r="DN29" s="1111">
        <v>16.271234532818202</v>
      </c>
      <c r="DO29" s="1111">
        <v>660.980424012752</v>
      </c>
      <c r="DP29" s="1111">
        <v>604.73136734925004</v>
      </c>
      <c r="DQ29" s="1111">
        <v>1.32302947917098</v>
      </c>
      <c r="DR29" s="1111">
        <v>20.080783987120299</v>
      </c>
      <c r="DS29" s="1111">
        <v>0</v>
      </c>
      <c r="DT29" s="1111">
        <v>1.6680657541664301</v>
      </c>
      <c r="DU29" s="1111">
        <v>0</v>
      </c>
      <c r="DV29" s="1111">
        <v>1.1643295447099899</v>
      </c>
      <c r="DW29" s="1111">
        <v>0</v>
      </c>
      <c r="DX29" s="1111">
        <v>1.4445309732988301</v>
      </c>
      <c r="DY29" s="1111">
        <v>14.195029670766299</v>
      </c>
      <c r="DZ29" s="1111">
        <v>137.037982004111</v>
      </c>
      <c r="EA29" s="1111">
        <v>1.0008309249519101</v>
      </c>
      <c r="EB29" s="1111">
        <v>39.702743542336201</v>
      </c>
      <c r="EC29" s="1111">
        <v>0</v>
      </c>
      <c r="ED29" s="1111">
        <v>13.573601521250501</v>
      </c>
      <c r="EE29" s="1111">
        <v>0</v>
      </c>
      <c r="EF29" s="1111">
        <v>11.5313595434161</v>
      </c>
      <c r="EG29" s="1111">
        <v>0</v>
      </c>
      <c r="EH29" s="1111">
        <v>26.228331361304399</v>
      </c>
      <c r="EI29" s="1111">
        <v>0.21501088235881199</v>
      </c>
      <c r="EJ29" s="1111">
        <v>386.850473713383</v>
      </c>
      <c r="EK29" s="1111">
        <v>4897.2847172593001</v>
      </c>
      <c r="EL29" s="1111">
        <v>2787.70804243969</v>
      </c>
      <c r="EM29" s="1111">
        <v>5769.6191384973399</v>
      </c>
      <c r="EN29" s="1111">
        <v>2702.7964305054702</v>
      </c>
      <c r="EO29" s="1111">
        <v>1984.1624465447701</v>
      </c>
      <c r="EP29" s="1111">
        <v>1573.5105156238001</v>
      </c>
      <c r="EQ29" s="1111">
        <v>112.18292136025001</v>
      </c>
      <c r="ER29" s="1111">
        <v>1684.24081001067</v>
      </c>
      <c r="ES29" s="1111">
        <v>130.381249918534</v>
      </c>
      <c r="ET29" s="1111">
        <v>1428.56314410615</v>
      </c>
      <c r="EU29" s="1111">
        <v>49.954075248304598</v>
      </c>
      <c r="EV29" s="1111">
        <v>868.98684297376201</v>
      </c>
      <c r="EW29" s="1111">
        <v>276.66420524648998</v>
      </c>
      <c r="EX29" s="1111">
        <v>1058.92867157606</v>
      </c>
      <c r="EY29" s="1111">
        <v>938.24715458365802</v>
      </c>
      <c r="EZ29" s="1111">
        <v>798.63884010797995</v>
      </c>
      <c r="FA29" s="1111">
        <v>263.422091802757</v>
      </c>
      <c r="FB29" s="1111">
        <v>626.25050892830905</v>
      </c>
      <c r="FC29" s="1111">
        <v>73.043321591030605</v>
      </c>
      <c r="FD29" s="1111">
        <v>1455.4388075782099</v>
      </c>
      <c r="FE29" s="1111">
        <v>560.16818800365797</v>
      </c>
      <c r="FF29" s="1111">
        <v>63.039876009590401</v>
      </c>
      <c r="FG29" s="1111">
        <v>5.6147192116604501</v>
      </c>
      <c r="FH29" s="1111">
        <v>0.20308551928386501</v>
      </c>
      <c r="FI29" s="1111">
        <v>1.4754302744244501</v>
      </c>
      <c r="FJ29" s="1111">
        <v>85.543003956998703</v>
      </c>
      <c r="FK29" s="1111">
        <v>18.3418674406064</v>
      </c>
      <c r="FL29" s="1111">
        <v>85.620111812991098</v>
      </c>
      <c r="FM29" s="1111">
        <v>37.908671088054</v>
      </c>
      <c r="FN29" s="1111">
        <v>0</v>
      </c>
      <c r="FO29" s="1111">
        <v>178.5803662125</v>
      </c>
      <c r="FP29" s="1111">
        <v>195.40195220476099</v>
      </c>
      <c r="FQ29" s="1111">
        <v>150.30702515177799</v>
      </c>
      <c r="FR29" s="1111">
        <v>14.0480045836364</v>
      </c>
      <c r="FS29" s="1111">
        <v>561.60916668220705</v>
      </c>
      <c r="FT29" s="1111">
        <v>1019.84518622378</v>
      </c>
      <c r="FU29" s="1111">
        <v>1.6622624004803099</v>
      </c>
      <c r="FV29" s="1111">
        <v>0</v>
      </c>
      <c r="FW29" s="1111">
        <v>0</v>
      </c>
      <c r="FX29" s="1111">
        <v>77.366033712156806</v>
      </c>
      <c r="FY29" s="1111">
        <v>33.2599824555369</v>
      </c>
      <c r="FZ29" s="1111">
        <v>46.822623492260199</v>
      </c>
      <c r="GA29" s="1111">
        <v>0</v>
      </c>
      <c r="GB29" s="1111">
        <v>0</v>
      </c>
      <c r="GC29" s="1111">
        <v>31.0151519014893</v>
      </c>
      <c r="GD29" s="1111">
        <v>0</v>
      </c>
      <c r="GE29" s="1111">
        <v>1.8199857375866499</v>
      </c>
      <c r="GF29" s="1111">
        <v>0</v>
      </c>
      <c r="GG29" s="1111">
        <v>15.605422142733801</v>
      </c>
      <c r="GH29" s="1111">
        <v>1.6778797975765001</v>
      </c>
      <c r="GI29" s="1111">
        <v>0</v>
      </c>
      <c r="GJ29" s="1111">
        <v>1.18878836320951</v>
      </c>
      <c r="GK29" s="1111">
        <v>5.1269860504492097</v>
      </c>
      <c r="GL29" s="1111">
        <v>119.653908769791</v>
      </c>
      <c r="GM29" s="1111">
        <v>35.079437752911502</v>
      </c>
      <c r="GN29" s="1111">
        <v>0</v>
      </c>
      <c r="GO29" s="1111">
        <v>53.390459999999997</v>
      </c>
      <c r="GP29" s="1111">
        <v>36.834541042862803</v>
      </c>
      <c r="GQ29" s="1111">
        <v>2786.5601463390699</v>
      </c>
      <c r="GR29" s="1111">
        <v>0</v>
      </c>
      <c r="GS29" s="1111">
        <v>0</v>
      </c>
      <c r="GT29" s="1111">
        <v>0</v>
      </c>
      <c r="GU29" s="1111">
        <v>99.881796107057696</v>
      </c>
      <c r="GV29" s="1111">
        <v>0</v>
      </c>
      <c r="GW29" s="1111">
        <v>40.785600000000002</v>
      </c>
      <c r="GX29" s="1111">
        <v>16.8383690438746</v>
      </c>
      <c r="GY29" s="1111">
        <v>2245.9594906124198</v>
      </c>
      <c r="GZ29" s="1111">
        <v>0</v>
      </c>
      <c r="HA29" s="1111">
        <v>0</v>
      </c>
      <c r="HB29" s="1111">
        <v>0</v>
      </c>
      <c r="HC29" s="1111">
        <v>0</v>
      </c>
      <c r="HD29" s="1111">
        <v>0</v>
      </c>
      <c r="HE29" s="1111">
        <v>0.81487147750889499</v>
      </c>
      <c r="HF29" s="1111">
        <v>8.9494105742898604</v>
      </c>
      <c r="HG29" s="1111">
        <v>189.32352464912299</v>
      </c>
      <c r="HH29" s="1111">
        <v>1952.3248920000001</v>
      </c>
      <c r="HI29" s="1111">
        <v>336.749068268862</v>
      </c>
      <c r="HJ29" s="1111">
        <v>8.8000263206996507</v>
      </c>
      <c r="HK29" s="1111">
        <v>0</v>
      </c>
      <c r="HL29" s="1111">
        <v>115.55872986348101</v>
      </c>
      <c r="HM29" s="1111">
        <v>252.850427913001</v>
      </c>
      <c r="HN29" s="1111">
        <v>17364.9553094031</v>
      </c>
      <c r="HO29" s="1111">
        <v>24.457706666666699</v>
      </c>
      <c r="HP29" s="1111">
        <v>212.86030112285701</v>
      </c>
      <c r="HQ29" s="1111">
        <v>0</v>
      </c>
      <c r="HR29" s="1111">
        <v>1.25332241458487</v>
      </c>
      <c r="HS29" s="1111">
        <v>8.6613985253593508</v>
      </c>
      <c r="HT29" s="1111">
        <v>87.610066254233004</v>
      </c>
      <c r="HU29" s="1111">
        <v>0</v>
      </c>
      <c r="HV29" s="1111">
        <v>0</v>
      </c>
      <c r="HW29" s="1111">
        <v>0</v>
      </c>
      <c r="HX29" s="1111">
        <v>7.032</v>
      </c>
      <c r="HY29" s="1111">
        <v>73.787341198758995</v>
      </c>
      <c r="HZ29" s="1111">
        <v>0</v>
      </c>
      <c r="IA29" s="1111">
        <v>991.56777027674104</v>
      </c>
      <c r="IB29" s="1111">
        <v>0.41296959371490899</v>
      </c>
      <c r="IC29" s="1111">
        <v>99.724025647187304</v>
      </c>
      <c r="ID29" s="1111">
        <v>146.28011815671999</v>
      </c>
      <c r="IE29" s="1111">
        <v>1.90726795874822</v>
      </c>
      <c r="IF29" s="1111">
        <v>574.73904130087794</v>
      </c>
      <c r="IG29" s="1111">
        <v>236.469393139842</v>
      </c>
      <c r="IH29" s="1111">
        <v>1314.6331501653999</v>
      </c>
      <c r="II29" s="1111">
        <v>18.667274178884298</v>
      </c>
      <c r="IJ29" s="1111">
        <v>43.336694151388798</v>
      </c>
      <c r="IK29" s="1111">
        <v>3.3467999940300999</v>
      </c>
      <c r="IL29" s="1111">
        <v>28.995201818181801</v>
      </c>
      <c r="IM29" s="1111">
        <v>95.450641054330305</v>
      </c>
      <c r="IN29" s="1111">
        <v>17.471852727272701</v>
      </c>
      <c r="IO29" s="1111">
        <v>90.396979090909099</v>
      </c>
      <c r="IP29" s="1111">
        <v>7.9727346687275505E-2</v>
      </c>
      <c r="IQ29" s="1111">
        <v>2.2094634938712798</v>
      </c>
      <c r="IR29" s="1111">
        <v>2.9886820525588401E-2</v>
      </c>
      <c r="IS29" s="1111">
        <v>0.88108363636363696</v>
      </c>
      <c r="IT29" s="1111">
        <v>0.22564363636363599</v>
      </c>
      <c r="IU29" s="1111">
        <v>913.38640672023701</v>
      </c>
      <c r="IV29" s="1111">
        <v>100.155495496364</v>
      </c>
      <c r="IW29" s="1111">
        <v>1549.3803519313001</v>
      </c>
      <c r="IX29" s="1111">
        <v>1014.87506152229</v>
      </c>
      <c r="IY29" s="1111">
        <v>270.69625013417601</v>
      </c>
      <c r="IZ29" s="1111">
        <v>29.655775269730601</v>
      </c>
      <c r="JA29" s="1111">
        <v>17.716880315587701</v>
      </c>
      <c r="JB29" s="1111">
        <v>50.5937264718115</v>
      </c>
      <c r="JC29" s="1111">
        <v>71.272794392112004</v>
      </c>
      <c r="JD29" s="1111">
        <v>94.569863825605296</v>
      </c>
      <c r="JE29" s="1111">
        <v>1331.8937832045001</v>
      </c>
      <c r="JF29" s="1111">
        <v>125.03400000000001</v>
      </c>
      <c r="JG29" s="1111">
        <v>228.33054545454499</v>
      </c>
      <c r="JH29" s="1111">
        <v>0</v>
      </c>
      <c r="JI29" s="1111">
        <v>24.349582341555799</v>
      </c>
      <c r="JJ29" s="1111">
        <v>83.365523529961493</v>
      </c>
      <c r="JK29" s="1111">
        <v>0</v>
      </c>
      <c r="JL29" s="1111">
        <v>0</v>
      </c>
      <c r="JM29" s="1111">
        <v>1.5409090909090899</v>
      </c>
      <c r="JN29" s="1111">
        <v>13.3527272727273</v>
      </c>
      <c r="JO29" s="1111">
        <v>13.332000000000001</v>
      </c>
      <c r="JP29" s="1111">
        <v>842.58849551475896</v>
      </c>
      <c r="JQ29" s="1111">
        <v>914.34646236084996</v>
      </c>
      <c r="JR29" s="1111">
        <v>28.732600000000001</v>
      </c>
      <c r="JS29" s="1111">
        <v>8.0826036635825496</v>
      </c>
      <c r="JT29" s="1111">
        <v>4.2449124164935803</v>
      </c>
      <c r="JU29" s="1111">
        <v>1.3202799999999999</v>
      </c>
      <c r="JV29" s="1111">
        <v>1.1136999999999999</v>
      </c>
      <c r="JW29" s="1111">
        <v>221.53658583316999</v>
      </c>
      <c r="JX29" s="1111">
        <v>130.81124538072601</v>
      </c>
      <c r="JY29" s="1111">
        <v>18.658200000000001</v>
      </c>
      <c r="JZ29" s="1111">
        <v>392.64116106688198</v>
      </c>
      <c r="KA29" s="1111">
        <v>107.205174</v>
      </c>
      <c r="KB29" s="1111">
        <v>0</v>
      </c>
      <c r="KC29" s="1111">
        <v>110.60046081227</v>
      </c>
      <c r="KD29" s="1111">
        <v>28.544352536056</v>
      </c>
      <c r="KE29" s="1111">
        <v>57.477230222000998</v>
      </c>
      <c r="KF29" s="1111">
        <v>1.6373377261067401</v>
      </c>
      <c r="KG29" s="1111">
        <v>0.28894195166589398</v>
      </c>
      <c r="KH29" s="1111">
        <v>6.3741504780404998</v>
      </c>
      <c r="KI29" s="1111">
        <v>5.6236211801036902</v>
      </c>
      <c r="KJ29" s="1111">
        <v>10.654826718292499</v>
      </c>
      <c r="KK29" s="1111">
        <v>337.40881148122998</v>
      </c>
      <c r="KL29" s="1111">
        <v>283.43281731634301</v>
      </c>
      <c r="KM29" s="1111">
        <v>53.9759941648894</v>
      </c>
      <c r="KN29" s="1111">
        <v>73.394992125192005</v>
      </c>
      <c r="KO29" s="1111">
        <v>73.394802204748999</v>
      </c>
      <c r="KP29" s="1111">
        <v>1.89920443403998E-4</v>
      </c>
      <c r="KQ29" s="1111">
        <v>-5380.9909934102998</v>
      </c>
      <c r="KR29" s="1111">
        <v>-5288.12170703416</v>
      </c>
      <c r="KS29" s="1111">
        <v>21.014210582270699</v>
      </c>
      <c r="KT29" s="1111">
        <v>-11.683410790457801</v>
      </c>
      <c r="KU29" s="1111">
        <v>-94.306151279080794</v>
      </c>
      <c r="KV29" s="1111">
        <v>-7.8939348888820096</v>
      </c>
      <c r="KW29" s="1111">
        <v>0</v>
      </c>
      <c r="KX29" s="1111">
        <v>3351.2608026470002</v>
      </c>
      <c r="KY29" s="1111">
        <v>3.45121353713844</v>
      </c>
      <c r="KZ29" s="1111">
        <v>1565.5975130955601</v>
      </c>
      <c r="LA29" s="1111">
        <v>0.151150093851187</v>
      </c>
      <c r="LB29" s="1111">
        <v>0</v>
      </c>
      <c r="LC29" s="1111">
        <v>1792.57156619228</v>
      </c>
      <c r="LD29" s="1111">
        <v>-10.510640271801501</v>
      </c>
      <c r="LE29" s="1111">
        <v>-2140.3478691268001</v>
      </c>
      <c r="LF29" s="1111">
        <v>48.217500000000001</v>
      </c>
      <c r="LG29" s="1111">
        <v>-1219.2385013875801</v>
      </c>
      <c r="LH29" s="1111">
        <v>162.786037603344</v>
      </c>
      <c r="LI29" s="1111">
        <v>68.108306649171595</v>
      </c>
      <c r="LJ29" s="1111">
        <v>-969.94227096598695</v>
      </c>
      <c r="LK29" s="1111">
        <v>0.399306749212124</v>
      </c>
      <c r="LL29" s="1111">
        <v>-230.67824777495699</v>
      </c>
      <c r="LM29" s="1111">
        <v>80.342899832707005</v>
      </c>
      <c r="LN29" s="1111">
        <v>80.275142317776698</v>
      </c>
      <c r="LO29" s="1111">
        <v>5.9366133333333397E-2</v>
      </c>
      <c r="LP29" s="1111">
        <v>8.3913815966750096E-3</v>
      </c>
      <c r="LQ29" s="1111">
        <v>1731.6929514728999</v>
      </c>
      <c r="LR29" s="1111">
        <v>647.43776056640604</v>
      </c>
      <c r="LS29" s="1111">
        <v>9.1565885051856295</v>
      </c>
      <c r="LT29" s="1111">
        <v>72.502862259311797</v>
      </c>
      <c r="LU29" s="1111">
        <v>172.41532304392601</v>
      </c>
      <c r="LV29" s="1111">
        <v>830.18041709805505</v>
      </c>
      <c r="LW29" s="1111">
        <v>0</v>
      </c>
      <c r="LX29" s="1111">
        <v>0</v>
      </c>
      <c r="LY29" s="1111">
        <v>-485.63056282592999</v>
      </c>
      <c r="LZ29" s="1111">
        <v>-435.553319886015</v>
      </c>
      <c r="MA29" s="1111">
        <v>-50.0772429399129</v>
      </c>
      <c r="MB29" s="1111">
        <v>75.474179618682001</v>
      </c>
      <c r="MC29" s="1111">
        <v>2.9586799598790101E-3</v>
      </c>
      <c r="MD29" s="1111">
        <v>46.106470847522502</v>
      </c>
      <c r="ME29" s="1111">
        <v>29.364750091200001</v>
      </c>
      <c r="MF29" s="1111">
        <v>8860.7089092749993</v>
      </c>
      <c r="MG29" s="1111">
        <v>4.1139035861182401E-2</v>
      </c>
      <c r="MH29" s="1111">
        <v>640.56919571308401</v>
      </c>
      <c r="MI29" s="1111">
        <v>0.28894195166589398</v>
      </c>
      <c r="MJ29" s="1111">
        <v>0.13487204814265999</v>
      </c>
      <c r="MK29" s="1111">
        <v>8219.6747605262099</v>
      </c>
      <c r="ML29" s="1111">
        <v>3587.2810178576001</v>
      </c>
      <c r="MM29" s="1111">
        <v>2630.1409752365098</v>
      </c>
      <c r="MN29" s="1111">
        <v>957.14004262113394</v>
      </c>
    </row>
    <row r="30" spans="1:352" ht="13.9" x14ac:dyDescent="0.4">
      <c r="A30" s="1096">
        <v>2010</v>
      </c>
      <c r="B30" s="1145">
        <v>133736.36102266001</v>
      </c>
      <c r="C30" s="1111">
        <v>137.17869164492001</v>
      </c>
      <c r="D30" s="1111">
        <v>2.2937018</v>
      </c>
      <c r="E30" s="1111">
        <v>24508.908598697901</v>
      </c>
      <c r="F30" s="1111">
        <v>0</v>
      </c>
      <c r="G30" s="1111">
        <v>479.52692614384301</v>
      </c>
      <c r="H30" s="1111">
        <v>235.942080794822</v>
      </c>
      <c r="I30" s="1111">
        <v>0</v>
      </c>
      <c r="J30" s="1111">
        <v>17270.515127680599</v>
      </c>
      <c r="K30" s="1111">
        <v>0</v>
      </c>
      <c r="L30" s="1111">
        <v>0</v>
      </c>
      <c r="M30" s="1111">
        <v>184.493387217296</v>
      </c>
      <c r="N30" s="1111">
        <v>410.10967074049597</v>
      </c>
      <c r="O30" s="1111">
        <v>0</v>
      </c>
      <c r="P30" s="1111">
        <v>0</v>
      </c>
      <c r="Q30" s="1111">
        <v>55.449327693552803</v>
      </c>
      <c r="R30" s="1111">
        <v>0</v>
      </c>
      <c r="S30" s="1111">
        <v>0</v>
      </c>
      <c r="T30" s="1111">
        <v>457.20754714907201</v>
      </c>
      <c r="U30" s="1111">
        <v>0</v>
      </c>
      <c r="V30" s="1111">
        <v>4.3826201290191804</v>
      </c>
      <c r="W30" s="1111">
        <v>0</v>
      </c>
      <c r="X30" s="1111">
        <v>133.07028</v>
      </c>
      <c r="Y30" s="1111">
        <v>513.52298573412702</v>
      </c>
      <c r="Z30" s="1111">
        <v>2248.07732377815</v>
      </c>
      <c r="AA30" s="1111">
        <v>0</v>
      </c>
      <c r="AB30" s="1111">
        <v>1275.4616856078701</v>
      </c>
      <c r="AC30" s="1111">
        <v>202.57534105523601</v>
      </c>
      <c r="AD30" s="1111">
        <v>157.97644110991399</v>
      </c>
      <c r="AE30" s="1111">
        <v>0</v>
      </c>
      <c r="AF30" s="1111">
        <v>0</v>
      </c>
      <c r="AG30" s="1111">
        <v>0</v>
      </c>
      <c r="AH30" s="1111">
        <v>0</v>
      </c>
      <c r="AI30" s="1111">
        <v>403.207104399412</v>
      </c>
      <c r="AJ30" s="1111">
        <v>2324.9090356351899</v>
      </c>
      <c r="AK30" s="1111">
        <v>12.273753733732599</v>
      </c>
      <c r="AL30" s="1111">
        <v>246.76615607703701</v>
      </c>
      <c r="AM30" s="1111">
        <v>25.3548956005877</v>
      </c>
      <c r="AN30" s="1111">
        <v>965.27483325093897</v>
      </c>
      <c r="AO30" s="1111">
        <v>3.4072635075450899</v>
      </c>
      <c r="AP30" s="1111">
        <v>0</v>
      </c>
      <c r="AQ30" s="1111">
        <v>49.621308270099199</v>
      </c>
      <c r="AR30" s="1111">
        <v>3.71723737551851</v>
      </c>
      <c r="AS30" s="1111">
        <v>0</v>
      </c>
      <c r="AT30" s="1111">
        <v>0</v>
      </c>
      <c r="AU30" s="1111">
        <v>499.92548497875498</v>
      </c>
      <c r="AV30" s="1111">
        <v>0</v>
      </c>
      <c r="AW30" s="1111">
        <v>0</v>
      </c>
      <c r="AX30" s="1111">
        <v>0</v>
      </c>
      <c r="AY30" s="1111">
        <v>0</v>
      </c>
      <c r="AZ30" s="1111">
        <v>0</v>
      </c>
      <c r="BA30" s="1111">
        <v>0</v>
      </c>
      <c r="BB30" s="1111">
        <v>0</v>
      </c>
      <c r="BC30" s="1111">
        <v>0</v>
      </c>
      <c r="BD30" s="1111">
        <v>0</v>
      </c>
      <c r="BE30" s="1111">
        <v>814.62689880334005</v>
      </c>
      <c r="BF30" s="1111">
        <v>15.3217900119157</v>
      </c>
      <c r="BG30" s="1111">
        <v>6.3997573597710106E-2</v>
      </c>
      <c r="BH30" s="1111">
        <v>32.212875835118297</v>
      </c>
      <c r="BI30" s="1111">
        <v>1786.98037507403</v>
      </c>
      <c r="BJ30" s="1111">
        <v>45.783378269896197</v>
      </c>
      <c r="BK30" s="1111">
        <v>5.8863403387298998</v>
      </c>
      <c r="BL30" s="1111">
        <v>169.26934653365601</v>
      </c>
      <c r="BM30" s="1111">
        <v>48.417683954194104</v>
      </c>
      <c r="BN30" s="1111">
        <v>2.9704393681408501</v>
      </c>
      <c r="BO30" s="1111">
        <v>1.26228918167653</v>
      </c>
      <c r="BP30" s="1111">
        <v>327.44730308211501</v>
      </c>
      <c r="BQ30" s="1111">
        <v>0</v>
      </c>
      <c r="BR30" s="1111">
        <v>426.51554260918101</v>
      </c>
      <c r="BS30" s="1111">
        <v>333.99664557990798</v>
      </c>
      <c r="BT30" s="1111">
        <v>28.0842609219523</v>
      </c>
      <c r="BU30" s="1111">
        <v>0.87750081562354698</v>
      </c>
      <c r="BV30" s="1111">
        <v>1.8360777535230701E-3</v>
      </c>
      <c r="BW30" s="1111">
        <v>117.507566445146</v>
      </c>
      <c r="BX30" s="1111">
        <v>245.08104963850101</v>
      </c>
      <c r="BY30" s="1111">
        <v>133.998002907623</v>
      </c>
      <c r="BZ30" s="1111">
        <v>6.4655857883508601</v>
      </c>
      <c r="CA30" s="1111">
        <v>1539.76778254595</v>
      </c>
      <c r="CB30" s="1111">
        <v>87.714380621364</v>
      </c>
      <c r="CC30" s="1111">
        <v>3.5950375621778998</v>
      </c>
      <c r="CD30" s="1111">
        <v>1.2140874412498599</v>
      </c>
      <c r="CE30" s="1111">
        <v>630.45958150004105</v>
      </c>
      <c r="CF30" s="1111">
        <v>45.3185246892237</v>
      </c>
      <c r="CG30" s="1111">
        <v>89.2518190255538</v>
      </c>
      <c r="CH30" s="1111">
        <v>3.2577194903205098</v>
      </c>
      <c r="CI30" s="1111">
        <v>1112.80332697013</v>
      </c>
      <c r="CJ30" s="1111">
        <v>55.600050129804004</v>
      </c>
      <c r="CK30" s="1111">
        <v>0</v>
      </c>
      <c r="CL30" s="1111">
        <v>65.175972664972903</v>
      </c>
      <c r="CM30" s="1111">
        <v>0.341332310089073</v>
      </c>
      <c r="CN30" s="1111">
        <v>379.21638217876102</v>
      </c>
      <c r="CO30" s="1111">
        <v>0</v>
      </c>
      <c r="CP30" s="1111">
        <v>5.8417759267508398</v>
      </c>
      <c r="CQ30" s="1111">
        <v>3.54600148393089</v>
      </c>
      <c r="CR30" s="1111">
        <v>23.216233052007102</v>
      </c>
      <c r="CS30" s="1111">
        <v>46.565651672479802</v>
      </c>
      <c r="CT30" s="1111">
        <v>0.27537272727272699</v>
      </c>
      <c r="CU30" s="1111">
        <v>42.143092375844901</v>
      </c>
      <c r="CV30" s="1111">
        <v>43.540592134309001</v>
      </c>
      <c r="CW30" s="1111">
        <v>226.26890642832299</v>
      </c>
      <c r="CX30" s="1111">
        <v>1306.6600751496901</v>
      </c>
      <c r="CY30" s="1111">
        <v>144.838542755585</v>
      </c>
      <c r="CZ30" s="1111">
        <v>1276.4910081999999</v>
      </c>
      <c r="DA30" s="1111">
        <v>660.95648318178098</v>
      </c>
      <c r="DB30" s="1111">
        <v>0</v>
      </c>
      <c r="DC30" s="1111">
        <v>10.6190303020944</v>
      </c>
      <c r="DD30" s="1111">
        <v>1.5429511278015999</v>
      </c>
      <c r="DE30" s="1111">
        <v>353.25545110454999</v>
      </c>
      <c r="DF30" s="1111">
        <v>65.144415405878902</v>
      </c>
      <c r="DG30" s="1111">
        <v>529.96349438114805</v>
      </c>
      <c r="DH30" s="1111">
        <v>2239.49849291893</v>
      </c>
      <c r="DI30" s="1111">
        <v>0</v>
      </c>
      <c r="DJ30" s="1111">
        <v>77.855543252344702</v>
      </c>
      <c r="DK30" s="1111">
        <v>0</v>
      </c>
      <c r="DL30" s="1111">
        <v>0</v>
      </c>
      <c r="DM30" s="1111">
        <v>143.82564513505</v>
      </c>
      <c r="DN30" s="1111">
        <v>20.019672436363599</v>
      </c>
      <c r="DO30" s="1111">
        <v>670.21716682146098</v>
      </c>
      <c r="DP30" s="1111">
        <v>524.83500169547699</v>
      </c>
      <c r="DQ30" s="1111">
        <v>1.42185599386469</v>
      </c>
      <c r="DR30" s="1111">
        <v>21.275500544514198</v>
      </c>
      <c r="DS30" s="1111">
        <v>0</v>
      </c>
      <c r="DT30" s="1111">
        <v>1.4281685804165301</v>
      </c>
      <c r="DU30" s="1111">
        <v>0</v>
      </c>
      <c r="DV30" s="1111">
        <v>0.97746153732462504</v>
      </c>
      <c r="DW30" s="1111">
        <v>0</v>
      </c>
      <c r="DX30" s="1111">
        <v>1.3907795438839301</v>
      </c>
      <c r="DY30" s="1111">
        <v>15.0476873472569</v>
      </c>
      <c r="DZ30" s="1111">
        <v>127.776520383288</v>
      </c>
      <c r="EA30" s="1111">
        <v>0.87037014247386901</v>
      </c>
      <c r="EB30" s="1111">
        <v>42.187633385892802</v>
      </c>
      <c r="EC30" s="1111">
        <v>0</v>
      </c>
      <c r="ED30" s="1111">
        <v>11.895387900305201</v>
      </c>
      <c r="EE30" s="1111">
        <v>0</v>
      </c>
      <c r="EF30" s="1111">
        <v>11.7530008464113</v>
      </c>
      <c r="EG30" s="1111">
        <v>0</v>
      </c>
      <c r="EH30" s="1111">
        <v>26.338826768235599</v>
      </c>
      <c r="EI30" s="1111">
        <v>0.20923303468905999</v>
      </c>
      <c r="EJ30" s="1111">
        <v>355.519609988517</v>
      </c>
      <c r="EK30" s="1111">
        <v>4612.3001255128102</v>
      </c>
      <c r="EL30" s="1111">
        <v>2896.8555306123999</v>
      </c>
      <c r="EM30" s="1111">
        <v>5340.0480563820702</v>
      </c>
      <c r="EN30" s="1111">
        <v>2798.95546164907</v>
      </c>
      <c r="EO30" s="1111">
        <v>1864.2600252587799</v>
      </c>
      <c r="EP30" s="1111">
        <v>1604.4895034721901</v>
      </c>
      <c r="EQ30" s="1111">
        <v>101.383031869516</v>
      </c>
      <c r="ER30" s="1111">
        <v>1737.5393608785701</v>
      </c>
      <c r="ES30" s="1111">
        <v>118.24046992466501</v>
      </c>
      <c r="ET30" s="1111">
        <v>1483.0919140661499</v>
      </c>
      <c r="EU30" s="1111">
        <v>44.195674238203402</v>
      </c>
      <c r="EV30" s="1111">
        <v>881.66968138156005</v>
      </c>
      <c r="EW30" s="1111">
        <v>275.18299269660298</v>
      </c>
      <c r="EX30" s="1111">
        <v>1078.8231133966301</v>
      </c>
      <c r="EY30" s="1111">
        <v>955.86974328322799</v>
      </c>
      <c r="EZ30" s="1111">
        <v>819.58253075832704</v>
      </c>
      <c r="FA30" s="1111">
        <v>260.63368257485502</v>
      </c>
      <c r="FB30" s="1111">
        <v>630.49852145187003</v>
      </c>
      <c r="FC30" s="1111">
        <v>78.290355726660394</v>
      </c>
      <c r="FD30" s="1111">
        <v>1532.5541188596701</v>
      </c>
      <c r="FE30" s="1111">
        <v>584.51772313361698</v>
      </c>
      <c r="FF30" s="1111">
        <v>53.784385074875097</v>
      </c>
      <c r="FG30" s="1111">
        <v>4.8870069858315901</v>
      </c>
      <c r="FH30" s="1111">
        <v>0.18186483397152201</v>
      </c>
      <c r="FI30" s="1111">
        <v>1.3706441496303301</v>
      </c>
      <c r="FJ30" s="1111">
        <v>76.041885432224404</v>
      </c>
      <c r="FK30" s="1111">
        <v>17.289067965845099</v>
      </c>
      <c r="FL30" s="1111">
        <v>85.066114960270099</v>
      </c>
      <c r="FM30" s="1111">
        <v>38.090226026215198</v>
      </c>
      <c r="FN30" s="1111">
        <v>0</v>
      </c>
      <c r="FO30" s="1111">
        <v>180.61234299376099</v>
      </c>
      <c r="FP30" s="1111">
        <v>194.57320080035799</v>
      </c>
      <c r="FQ30" s="1111">
        <v>152.36100109333501</v>
      </c>
      <c r="FR30" s="1111">
        <v>14.183259218181799</v>
      </c>
      <c r="FS30" s="1111">
        <v>489.04753740671799</v>
      </c>
      <c r="FT30" s="1111">
        <v>999.64794084854998</v>
      </c>
      <c r="FU30" s="1111">
        <v>1.6840418880208801</v>
      </c>
      <c r="FV30" s="1111">
        <v>0</v>
      </c>
      <c r="FW30" s="1111">
        <v>0</v>
      </c>
      <c r="FX30" s="1111">
        <v>78.379707947229903</v>
      </c>
      <c r="FY30" s="1111">
        <v>34.291299740979902</v>
      </c>
      <c r="FZ30" s="1111">
        <v>47.600919537697003</v>
      </c>
      <c r="GA30" s="1111">
        <v>0</v>
      </c>
      <c r="GB30" s="1111">
        <v>0</v>
      </c>
      <c r="GC30" s="1111">
        <v>31.421522227986699</v>
      </c>
      <c r="GD30" s="1111">
        <v>0</v>
      </c>
      <c r="GE30" s="1111">
        <v>1.9239259052529001</v>
      </c>
      <c r="GF30" s="1111">
        <v>0</v>
      </c>
      <c r="GG30" s="1111">
        <v>17.043504252706299</v>
      </c>
      <c r="GH30" s="1111">
        <v>0.28057695342347599</v>
      </c>
      <c r="GI30" s="1111">
        <v>0.25802247557057001</v>
      </c>
      <c r="GJ30" s="1111">
        <v>1.23670191163492</v>
      </c>
      <c r="GK30" s="1111">
        <v>4.9439198343457704</v>
      </c>
      <c r="GL30" s="1111">
        <v>115.56763336606301</v>
      </c>
      <c r="GM30" s="1111">
        <v>6.0158006518632998</v>
      </c>
      <c r="GN30" s="1111">
        <v>0</v>
      </c>
      <c r="GO30" s="1111">
        <v>61.617899999999999</v>
      </c>
      <c r="GP30" s="1111">
        <v>37.861609561087597</v>
      </c>
      <c r="GQ30" s="1111">
        <v>3036.1960206314502</v>
      </c>
      <c r="GR30" s="1111">
        <v>0</v>
      </c>
      <c r="GS30" s="1111">
        <v>0</v>
      </c>
      <c r="GT30" s="1111">
        <v>0</v>
      </c>
      <c r="GU30" s="1111">
        <v>99.483867415238606</v>
      </c>
      <c r="GV30" s="1111">
        <v>0</v>
      </c>
      <c r="GW30" s="1111">
        <v>30.932009999999998</v>
      </c>
      <c r="GX30" s="1111">
        <v>19.537856253301701</v>
      </c>
      <c r="GY30" s="1111">
        <v>2424.68435574571</v>
      </c>
      <c r="GZ30" s="1111">
        <v>0</v>
      </c>
      <c r="HA30" s="1111">
        <v>0</v>
      </c>
      <c r="HB30" s="1111">
        <v>0</v>
      </c>
      <c r="HC30" s="1111">
        <v>0</v>
      </c>
      <c r="HD30" s="1111">
        <v>0</v>
      </c>
      <c r="HE30" s="1111">
        <v>0.91223014512724598</v>
      </c>
      <c r="HF30" s="1111">
        <v>9.0917290789978296</v>
      </c>
      <c r="HG30" s="1111">
        <v>189.97929795112799</v>
      </c>
      <c r="HH30" s="1111">
        <v>2169.7151171487899</v>
      </c>
      <c r="HI30" s="1111">
        <v>358.59929207859199</v>
      </c>
      <c r="HJ30" s="1111">
        <v>8.6016096088468608</v>
      </c>
      <c r="HK30" s="1111">
        <v>0</v>
      </c>
      <c r="HL30" s="1111">
        <v>145.60060187713199</v>
      </c>
      <c r="HM30" s="1111">
        <v>319.61022733216703</v>
      </c>
      <c r="HN30" s="1111">
        <v>19582.6836660386</v>
      </c>
      <c r="HO30" s="1111">
        <v>18.036000000000001</v>
      </c>
      <c r="HP30" s="1111">
        <v>245.58363202999999</v>
      </c>
      <c r="HQ30" s="1111">
        <v>0</v>
      </c>
      <c r="HR30" s="1111">
        <v>1.2956453236771099</v>
      </c>
      <c r="HS30" s="1111">
        <v>8.7322062335985802</v>
      </c>
      <c r="HT30" s="1111">
        <v>88.326286387964998</v>
      </c>
      <c r="HU30" s="1111">
        <v>0</v>
      </c>
      <c r="HV30" s="1111">
        <v>0.93140207612456705</v>
      </c>
      <c r="HW30" s="1111">
        <v>0</v>
      </c>
      <c r="HX30" s="1111">
        <v>9.6690000000000005</v>
      </c>
      <c r="HY30" s="1111">
        <v>68.758342530215998</v>
      </c>
      <c r="HZ30" s="1111">
        <v>0</v>
      </c>
      <c r="IA30" s="1111">
        <v>998.36806152230599</v>
      </c>
      <c r="IB30" s="1111">
        <v>0.432382316609418</v>
      </c>
      <c r="IC30" s="1111">
        <v>108.720627102686</v>
      </c>
      <c r="ID30" s="1111">
        <v>153.19974127502999</v>
      </c>
      <c r="IE30" s="1111">
        <v>0.48383179231863399</v>
      </c>
      <c r="IF30" s="1111">
        <v>548.78822625698297</v>
      </c>
      <c r="IG30" s="1111">
        <v>240.31442392260399</v>
      </c>
      <c r="IH30" s="1111">
        <v>1280.3567387459</v>
      </c>
      <c r="II30" s="1111">
        <v>18.988463128638202</v>
      </c>
      <c r="IJ30" s="1111">
        <v>36.649715932543998</v>
      </c>
      <c r="IK30" s="1111">
        <v>25.261672638946301</v>
      </c>
      <c r="IL30" s="1111">
        <v>8.9570727272727293</v>
      </c>
      <c r="IM30" s="1111">
        <v>74.633173636363594</v>
      </c>
      <c r="IN30" s="1111">
        <v>13.63851</v>
      </c>
      <c r="IO30" s="1111">
        <v>44.718747272727299</v>
      </c>
      <c r="IP30" s="1111">
        <v>6.5012243001138004E-2</v>
      </c>
      <c r="IQ30" s="1111">
        <v>1.8464676817874199</v>
      </c>
      <c r="IR30" s="1111">
        <v>2.7648023887849101E-2</v>
      </c>
      <c r="IS30" s="1111">
        <v>0.56003727272727299</v>
      </c>
      <c r="IT30" s="1111">
        <v>0.44647090909090897</v>
      </c>
      <c r="IU30" s="1111">
        <v>949.46372434903606</v>
      </c>
      <c r="IV30" s="1111">
        <v>105.100022929837</v>
      </c>
      <c r="IW30" s="1111">
        <v>1632.0503916749001</v>
      </c>
      <c r="IX30" s="1111">
        <v>1034.18452156946</v>
      </c>
      <c r="IY30" s="1111">
        <v>304.79406275682197</v>
      </c>
      <c r="IZ30" s="1111">
        <v>33.415125608214602</v>
      </c>
      <c r="JA30" s="1111">
        <v>19.203374312989599</v>
      </c>
      <c r="JB30" s="1111">
        <v>55.878675256564598</v>
      </c>
      <c r="JC30" s="1111">
        <v>80.195218355954097</v>
      </c>
      <c r="JD30" s="1111">
        <v>104.379413814907</v>
      </c>
      <c r="JE30" s="1111">
        <v>1425.4687288288001</v>
      </c>
      <c r="JF30" s="1111">
        <v>141.41972727272699</v>
      </c>
      <c r="JG30" s="1111">
        <v>264.37499999999898</v>
      </c>
      <c r="JH30" s="1111">
        <v>0</v>
      </c>
      <c r="JI30" s="1111">
        <v>30.876832445769001</v>
      </c>
      <c r="JJ30" s="1111">
        <v>82.781677641646795</v>
      </c>
      <c r="JK30" s="1111">
        <v>0</v>
      </c>
      <c r="JL30" s="1111">
        <v>0</v>
      </c>
      <c r="JM30" s="1111">
        <v>1.5409090909090899</v>
      </c>
      <c r="JN30" s="1111">
        <v>0</v>
      </c>
      <c r="JO30" s="1111">
        <v>0</v>
      </c>
      <c r="JP30" s="1111">
        <v>904.47458237774401</v>
      </c>
      <c r="JQ30" s="1111">
        <v>974.57046118276003</v>
      </c>
      <c r="JR30" s="1111">
        <v>31.174099999999999</v>
      </c>
      <c r="JS30" s="1111">
        <v>6.7922185950987304</v>
      </c>
      <c r="JT30" s="1111">
        <v>4.77591241649358</v>
      </c>
      <c r="JU30" s="1111">
        <v>1.49292</v>
      </c>
      <c r="JV30" s="1111">
        <v>1.0252060000000001</v>
      </c>
      <c r="JW30" s="1111">
        <v>369.69903090474099</v>
      </c>
      <c r="JX30" s="1111">
        <v>113.806396207492</v>
      </c>
      <c r="JY30" s="1111">
        <v>20.05885</v>
      </c>
      <c r="JZ30" s="1111">
        <v>347.60459689893298</v>
      </c>
      <c r="KA30" s="1111">
        <v>78.141230160000006</v>
      </c>
      <c r="KB30" s="1111">
        <v>0</v>
      </c>
      <c r="KC30" s="1111">
        <v>302.24628888475002</v>
      </c>
      <c r="KD30" s="1111">
        <v>40.4791974104918</v>
      </c>
      <c r="KE30" s="1111">
        <v>56.605757722890402</v>
      </c>
      <c r="KF30" s="1111">
        <v>2.2806211603732298</v>
      </c>
      <c r="KG30" s="1111">
        <v>0.48013077060489201</v>
      </c>
      <c r="KH30" s="1111">
        <v>6.0194815758735398</v>
      </c>
      <c r="KI30" s="1111">
        <v>7.5685855929828296</v>
      </c>
      <c r="KJ30" s="1111">
        <v>188.81251465153099</v>
      </c>
      <c r="KK30" s="1111">
        <v>321.19336143777002</v>
      </c>
      <c r="KL30" s="1111">
        <v>264.40895585073901</v>
      </c>
      <c r="KM30" s="1111">
        <v>56.784405587033298</v>
      </c>
      <c r="KN30" s="1111">
        <v>73.609934835207</v>
      </c>
      <c r="KO30" s="1111">
        <v>73.609729203411007</v>
      </c>
      <c r="KP30" s="1111">
        <v>2.0563179623794801E-4</v>
      </c>
      <c r="KQ30" s="1111">
        <v>-5317.4722555969001</v>
      </c>
      <c r="KR30" s="1111">
        <v>-5237.6337274631696</v>
      </c>
      <c r="KS30" s="1111">
        <v>10.2987177736038</v>
      </c>
      <c r="KT30" s="1111">
        <v>-8.7614099877959504</v>
      </c>
      <c r="KU30" s="1111">
        <v>-74.805968221685603</v>
      </c>
      <c r="KV30" s="1111">
        <v>-6.5698676978573296</v>
      </c>
      <c r="KW30" s="1111">
        <v>0</v>
      </c>
      <c r="KX30" s="1111">
        <v>3281.2091230909</v>
      </c>
      <c r="KY30" s="1111">
        <v>-7.8936408546888304</v>
      </c>
      <c r="KZ30" s="1111">
        <v>1564.7559671316101</v>
      </c>
      <c r="LA30" s="1111">
        <v>0.161768851504457</v>
      </c>
      <c r="LB30" s="1111">
        <v>0</v>
      </c>
      <c r="LC30" s="1111">
        <v>1733.92725305514</v>
      </c>
      <c r="LD30" s="1111">
        <v>-9.7422250926955201</v>
      </c>
      <c r="LE30" s="1111">
        <v>-2162.479088439</v>
      </c>
      <c r="LF30" s="1111">
        <v>48.217500000000001</v>
      </c>
      <c r="LG30" s="1111">
        <v>-1241.5276071603</v>
      </c>
      <c r="LH30" s="1111">
        <v>171.78318073503499</v>
      </c>
      <c r="LI30" s="1111">
        <v>71.486540548713805</v>
      </c>
      <c r="LJ30" s="1111">
        <v>-976.721490834115</v>
      </c>
      <c r="LK30" s="1111">
        <v>0.32688423988811299</v>
      </c>
      <c r="LL30" s="1111">
        <v>-236.04409596825801</v>
      </c>
      <c r="LM30" s="1111">
        <v>87.430318785267005</v>
      </c>
      <c r="LN30" s="1111">
        <v>87.410491403669994</v>
      </c>
      <c r="LO30" s="1111">
        <v>1.1436E-2</v>
      </c>
      <c r="LP30" s="1111">
        <v>8.3913815966750096E-3</v>
      </c>
      <c r="LQ30" s="1111">
        <v>1757.4632358222</v>
      </c>
      <c r="LR30" s="1111">
        <v>642.45679851194302</v>
      </c>
      <c r="LS30" s="1111">
        <v>20.088920165801898</v>
      </c>
      <c r="LT30" s="1111">
        <v>94.838230406967895</v>
      </c>
      <c r="LU30" s="1111">
        <v>176.83269674752199</v>
      </c>
      <c r="LV30" s="1111">
        <v>823.24658999000405</v>
      </c>
      <c r="LW30" s="1111">
        <v>0</v>
      </c>
      <c r="LX30" s="1111">
        <v>0</v>
      </c>
      <c r="LY30" s="1111">
        <v>-568.29100505412998</v>
      </c>
      <c r="LZ30" s="1111">
        <v>-512.25109791421198</v>
      </c>
      <c r="MA30" s="1111">
        <v>-56.039907139916401</v>
      </c>
      <c r="MB30" s="1111">
        <v>73.915202275146001</v>
      </c>
      <c r="MC30" s="1111">
        <v>2.06737390119588E-3</v>
      </c>
      <c r="MD30" s="1111">
        <v>45.971629291644703</v>
      </c>
      <c r="ME30" s="1111">
        <v>27.9415056096</v>
      </c>
      <c r="MF30" s="1111">
        <v>8570.8291599430995</v>
      </c>
      <c r="MG30" s="1111">
        <v>2.31720110528814E-2</v>
      </c>
      <c r="MH30" s="1111">
        <v>611.10551379204696</v>
      </c>
      <c r="MI30" s="1111">
        <v>0.48013077060489201</v>
      </c>
      <c r="MJ30" s="1111">
        <v>9.5689678343994E-2</v>
      </c>
      <c r="MK30" s="1111">
        <v>7959.1246536910103</v>
      </c>
      <c r="ML30" s="1111">
        <v>3154.2142611707</v>
      </c>
      <c r="MM30" s="1111">
        <v>2270.8953708761101</v>
      </c>
      <c r="MN30" s="1111">
        <v>883.31889029463503</v>
      </c>
    </row>
    <row r="31" spans="1:352" ht="13.9" x14ac:dyDescent="0.4">
      <c r="A31" s="1096">
        <v>2011</v>
      </c>
      <c r="B31" s="1145">
        <v>122554.07781856001</v>
      </c>
      <c r="C31" s="1111">
        <v>151.58806475271501</v>
      </c>
      <c r="D31" s="1111">
        <v>2.3726009499999998</v>
      </c>
      <c r="E31" s="1111">
        <v>24711.1602629136</v>
      </c>
      <c r="F31" s="1111">
        <v>0</v>
      </c>
      <c r="G31" s="1111">
        <v>343.24040021357303</v>
      </c>
      <c r="H31" s="1111">
        <v>243.75212052479401</v>
      </c>
      <c r="I31" s="1111">
        <v>0</v>
      </c>
      <c r="J31" s="1111">
        <v>13853.917812209</v>
      </c>
      <c r="K31" s="1111">
        <v>0</v>
      </c>
      <c r="L31" s="1111">
        <v>0</v>
      </c>
      <c r="M31" s="1111">
        <v>41.7835252712593</v>
      </c>
      <c r="N31" s="1111">
        <v>429.54506392258702</v>
      </c>
      <c r="O31" s="1111">
        <v>0</v>
      </c>
      <c r="P31" s="1111">
        <v>0</v>
      </c>
      <c r="Q31" s="1111">
        <v>46.948023041351497</v>
      </c>
      <c r="R31" s="1111">
        <v>0</v>
      </c>
      <c r="S31" s="1111">
        <v>0</v>
      </c>
      <c r="T31" s="1111">
        <v>417.456928925613</v>
      </c>
      <c r="U31" s="1111">
        <v>0.42465956057714699</v>
      </c>
      <c r="V31" s="1111">
        <v>10.147694524083899</v>
      </c>
      <c r="W31" s="1111">
        <v>0</v>
      </c>
      <c r="X31" s="1111">
        <v>78.815659999999994</v>
      </c>
      <c r="Y31" s="1111">
        <v>622.58131880713199</v>
      </c>
      <c r="Z31" s="1111">
        <v>2190.2487579615399</v>
      </c>
      <c r="AA31" s="1111">
        <v>0</v>
      </c>
      <c r="AB31" s="1111">
        <v>1419.2916</v>
      </c>
      <c r="AC31" s="1111">
        <v>179.04410919934099</v>
      </c>
      <c r="AD31" s="1111">
        <v>143.82962159913399</v>
      </c>
      <c r="AE31" s="1111">
        <v>0</v>
      </c>
      <c r="AF31" s="1111">
        <v>0</v>
      </c>
      <c r="AG31" s="1111">
        <v>0</v>
      </c>
      <c r="AH31" s="1111">
        <v>0</v>
      </c>
      <c r="AI31" s="1111">
        <v>429.07992823783502</v>
      </c>
      <c r="AJ31" s="1111">
        <v>2037.44475326722</v>
      </c>
      <c r="AK31" s="1111">
        <v>11.4940844691553</v>
      </c>
      <c r="AL31" s="1111">
        <v>231.090757042235</v>
      </c>
      <c r="AM31" s="1111">
        <v>34.456071762164299</v>
      </c>
      <c r="AN31" s="1111">
        <v>853.07345161937496</v>
      </c>
      <c r="AO31" s="1111">
        <v>2.5939091792418099</v>
      </c>
      <c r="AP31" s="1111">
        <v>0</v>
      </c>
      <c r="AQ31" s="1111">
        <v>41.039657562315597</v>
      </c>
      <c r="AR31" s="1111">
        <v>3.0677572407509199</v>
      </c>
      <c r="AS31" s="1111">
        <v>0</v>
      </c>
      <c r="AT31" s="1111">
        <v>0</v>
      </c>
      <c r="AU31" s="1111">
        <v>440.26726407275203</v>
      </c>
      <c r="AV31" s="1111">
        <v>0</v>
      </c>
      <c r="AW31" s="1111">
        <v>0</v>
      </c>
      <c r="AX31" s="1111">
        <v>0</v>
      </c>
      <c r="AY31" s="1111">
        <v>0</v>
      </c>
      <c r="AZ31" s="1111">
        <v>0</v>
      </c>
      <c r="BA31" s="1111">
        <v>0</v>
      </c>
      <c r="BB31" s="1111">
        <v>0</v>
      </c>
      <c r="BC31" s="1111">
        <v>0</v>
      </c>
      <c r="BD31" s="1111">
        <v>0</v>
      </c>
      <c r="BE31" s="1111">
        <v>738.92336929501198</v>
      </c>
      <c r="BF31" s="1111">
        <v>17.590763039410401</v>
      </c>
      <c r="BG31" s="1111">
        <v>0</v>
      </c>
      <c r="BH31" s="1111">
        <v>22.7223634136366</v>
      </c>
      <c r="BI31" s="1111">
        <v>1690.9145366969401</v>
      </c>
      <c r="BJ31" s="1111">
        <v>37.4727230449827</v>
      </c>
      <c r="BK31" s="1111">
        <v>5.9197761609116704</v>
      </c>
      <c r="BL31" s="1111">
        <v>139.931665278439</v>
      </c>
      <c r="BM31" s="1111">
        <v>25.728607650650101</v>
      </c>
      <c r="BN31" s="1111">
        <v>1.7429414072529501</v>
      </c>
      <c r="BO31" s="1111">
        <v>0</v>
      </c>
      <c r="BP31" s="1111">
        <v>312.38963143141899</v>
      </c>
      <c r="BQ31" s="1111">
        <v>0</v>
      </c>
      <c r="BR31" s="1111">
        <v>428.05499872854898</v>
      </c>
      <c r="BS31" s="1111">
        <v>335.53948301329302</v>
      </c>
      <c r="BT31" s="1111">
        <v>25.803824752359599</v>
      </c>
      <c r="BU31" s="1111">
        <v>0.96564663705408105</v>
      </c>
      <c r="BV31" s="1111">
        <v>1.3947047009946201E-3</v>
      </c>
      <c r="BW31" s="1111">
        <v>118.00101310283701</v>
      </c>
      <c r="BX31" s="1111">
        <v>291.38503215000401</v>
      </c>
      <c r="BY31" s="1111">
        <v>92.6292919445427</v>
      </c>
      <c r="BZ31" s="1111">
        <v>2.8353728458026</v>
      </c>
      <c r="CA31" s="1111">
        <v>1318.4333117634101</v>
      </c>
      <c r="CB31" s="1111">
        <v>84.461004234914697</v>
      </c>
      <c r="CC31" s="1111">
        <v>3.5961090695284001</v>
      </c>
      <c r="CD31" s="1111">
        <v>0.85805368610535704</v>
      </c>
      <c r="CE31" s="1111">
        <v>602.84501129466105</v>
      </c>
      <c r="CF31" s="1111">
        <v>45.2620145793611</v>
      </c>
      <c r="CG31" s="1111">
        <v>86.177398657725803</v>
      </c>
      <c r="CH31" s="1111">
        <v>1.9145081118579701</v>
      </c>
      <c r="CI31" s="1111">
        <v>1114.8055883194399</v>
      </c>
      <c r="CJ31" s="1111">
        <v>51.702404560862902</v>
      </c>
      <c r="CK31" s="1111">
        <v>0</v>
      </c>
      <c r="CL31" s="1111">
        <v>68.5933981240713</v>
      </c>
      <c r="CM31" s="1111">
        <v>4.4954443756038396</v>
      </c>
      <c r="CN31" s="1111">
        <v>390.498135908064</v>
      </c>
      <c r="CO31" s="1111">
        <v>0</v>
      </c>
      <c r="CP31" s="1111">
        <v>4.6002842905041801</v>
      </c>
      <c r="CQ31" s="1111">
        <v>5.1154387425834198</v>
      </c>
      <c r="CR31" s="1111">
        <v>21.115980613465101</v>
      </c>
      <c r="CS31" s="1111">
        <v>53.101365854179903</v>
      </c>
      <c r="CT31" s="1111">
        <v>0.231684545454545</v>
      </c>
      <c r="CU31" s="1111">
        <v>40.213645782939302</v>
      </c>
      <c r="CV31" s="1111">
        <v>40.031062460770897</v>
      </c>
      <c r="CW31" s="1111">
        <v>232.33946193064699</v>
      </c>
      <c r="CX31" s="1111">
        <v>1075.20960541559</v>
      </c>
      <c r="CY31" s="1111">
        <v>148.26111024214899</v>
      </c>
      <c r="CZ31" s="1111">
        <v>1126.5251990500001</v>
      </c>
      <c r="DA31" s="1111">
        <v>582.91160929411899</v>
      </c>
      <c r="DB31" s="1111">
        <v>0</v>
      </c>
      <c r="DC31" s="1111">
        <v>9.8064674086290804</v>
      </c>
      <c r="DD31" s="1111">
        <v>1.31591591285882</v>
      </c>
      <c r="DE31" s="1111">
        <v>138.92410479518</v>
      </c>
      <c r="DF31" s="1111">
        <v>40.458233890642802</v>
      </c>
      <c r="DG31" s="1111">
        <v>592.52446523765605</v>
      </c>
      <c r="DH31" s="1111">
        <v>2192.60258816428</v>
      </c>
      <c r="DI31" s="1111">
        <v>0</v>
      </c>
      <c r="DJ31" s="1111">
        <v>31.2410636959351</v>
      </c>
      <c r="DK31" s="1111">
        <v>0</v>
      </c>
      <c r="DL31" s="1111">
        <v>0</v>
      </c>
      <c r="DM31" s="1111">
        <v>121.77954006169</v>
      </c>
      <c r="DN31" s="1111">
        <v>18.193027530785301</v>
      </c>
      <c r="DO31" s="1111">
        <v>644.28371504580798</v>
      </c>
      <c r="DP31" s="1111">
        <v>505.03469251026502</v>
      </c>
      <c r="DQ31" s="1111">
        <v>1.4404586924404199</v>
      </c>
      <c r="DR31" s="1111">
        <v>20.397664625965501</v>
      </c>
      <c r="DS31" s="1111">
        <v>0</v>
      </c>
      <c r="DT31" s="1111">
        <v>1.7345884471798101</v>
      </c>
      <c r="DU31" s="1111">
        <v>0</v>
      </c>
      <c r="DV31" s="1111">
        <v>0.64808746615177004</v>
      </c>
      <c r="DW31" s="1111">
        <v>0</v>
      </c>
      <c r="DX31" s="1111">
        <v>1.34313329698562</v>
      </c>
      <c r="DY31" s="1111">
        <v>14.722588569357301</v>
      </c>
      <c r="DZ31" s="1111">
        <v>120.85241476613901</v>
      </c>
      <c r="EA31" s="1111">
        <v>0.950321468941421</v>
      </c>
      <c r="EB31" s="1111">
        <v>41.325251047772902</v>
      </c>
      <c r="EC31" s="1111">
        <v>0</v>
      </c>
      <c r="ED31" s="1111">
        <v>14.8511222657835</v>
      </c>
      <c r="EE31" s="1111">
        <v>0</v>
      </c>
      <c r="EF31" s="1111">
        <v>3.7426054347235298</v>
      </c>
      <c r="EG31" s="1111">
        <v>0</v>
      </c>
      <c r="EH31" s="1111">
        <v>25.6511081428566</v>
      </c>
      <c r="EI31" s="1111">
        <v>0.239231617074004</v>
      </c>
      <c r="EJ31" s="1111">
        <v>339.83758352923201</v>
      </c>
      <c r="EK31" s="1111">
        <v>4370.2268236915797</v>
      </c>
      <c r="EL31" s="1111">
        <v>3037.2786241250901</v>
      </c>
      <c r="EM31" s="1111">
        <v>5103.1530487802702</v>
      </c>
      <c r="EN31" s="1111">
        <v>2921.3541301617101</v>
      </c>
      <c r="EO31" s="1111">
        <v>1751.37562097045</v>
      </c>
      <c r="EP31" s="1111">
        <v>1728.9541283107601</v>
      </c>
      <c r="EQ31" s="1111">
        <v>91.887459253961694</v>
      </c>
      <c r="ER31" s="1111">
        <v>1739.3952560878699</v>
      </c>
      <c r="ES31" s="1111">
        <v>108.811180400819</v>
      </c>
      <c r="ET31" s="1111">
        <v>1501.67419326758</v>
      </c>
      <c r="EU31" s="1111">
        <v>41.842341755434703</v>
      </c>
      <c r="EV31" s="1111">
        <v>909.52316373089195</v>
      </c>
      <c r="EW31" s="1111">
        <v>250.243999292599</v>
      </c>
      <c r="EX31" s="1111">
        <v>1051.8548029132301</v>
      </c>
      <c r="EY31" s="1111">
        <v>922.97377212255606</v>
      </c>
      <c r="EZ31" s="1111">
        <v>755.74950291998698</v>
      </c>
      <c r="FA31" s="1111">
        <v>260.38013046452801</v>
      </c>
      <c r="FB31" s="1111">
        <v>617.71267395473296</v>
      </c>
      <c r="FC31" s="1111">
        <v>75.545214182205797</v>
      </c>
      <c r="FD31" s="1111">
        <v>1522.3995994530601</v>
      </c>
      <c r="FE31" s="1111">
        <v>543.36412772524898</v>
      </c>
      <c r="FF31" s="1111">
        <v>56.858423548447099</v>
      </c>
      <c r="FG31" s="1111">
        <v>4.5706356433830502</v>
      </c>
      <c r="FH31" s="1111">
        <v>0.17403731906811601</v>
      </c>
      <c r="FI31" s="1111">
        <v>1.3773444363565901</v>
      </c>
      <c r="FJ31" s="1111">
        <v>72.524058255901096</v>
      </c>
      <c r="FK31" s="1111">
        <v>16.3831052513187</v>
      </c>
      <c r="FL31" s="1111">
        <v>78.646819427862198</v>
      </c>
      <c r="FM31" s="1111">
        <v>33.587663559817898</v>
      </c>
      <c r="FN31" s="1111">
        <v>0</v>
      </c>
      <c r="FO31" s="1111">
        <v>176.66369939728901</v>
      </c>
      <c r="FP31" s="1111">
        <v>192.90909661914901</v>
      </c>
      <c r="FQ31" s="1111">
        <v>152.77140410958901</v>
      </c>
      <c r="FR31" s="1111">
        <v>11.535214545000001</v>
      </c>
      <c r="FS31" s="1111">
        <v>479.144214256076</v>
      </c>
      <c r="FT31" s="1111">
        <v>914.947213444868</v>
      </c>
      <c r="FU31" s="1111">
        <v>1.6693170244048301</v>
      </c>
      <c r="FV31" s="1111">
        <v>0</v>
      </c>
      <c r="FW31" s="1111">
        <v>0</v>
      </c>
      <c r="FX31" s="1111">
        <v>77.694374335282006</v>
      </c>
      <c r="FY31" s="1111">
        <v>35.322617026423003</v>
      </c>
      <c r="FZ31" s="1111">
        <v>47.553098193377899</v>
      </c>
      <c r="GA31" s="1111">
        <v>0</v>
      </c>
      <c r="GB31" s="1111">
        <v>0</v>
      </c>
      <c r="GC31" s="1111">
        <v>31.1467798758475</v>
      </c>
      <c r="GD31" s="1111">
        <v>0</v>
      </c>
      <c r="GE31" s="1111">
        <v>1.9361929142612699</v>
      </c>
      <c r="GF31" s="1111">
        <v>0</v>
      </c>
      <c r="GG31" s="1111">
        <v>16.418607104665501</v>
      </c>
      <c r="GH31" s="1111">
        <v>1.2990081327277601</v>
      </c>
      <c r="GI31" s="1111">
        <v>0</v>
      </c>
      <c r="GJ31" s="1111">
        <v>1.2574085739451</v>
      </c>
      <c r="GK31" s="1111">
        <v>4.8289215668860503</v>
      </c>
      <c r="GL31" s="1111">
        <v>120.27502938844</v>
      </c>
      <c r="GM31" s="1111">
        <v>9.8212007361725409</v>
      </c>
      <c r="GN31" s="1111">
        <v>0</v>
      </c>
      <c r="GO31" s="1111">
        <v>71.533019999999993</v>
      </c>
      <c r="GP31" s="1111">
        <v>24.291905485475201</v>
      </c>
      <c r="GQ31" s="1111">
        <v>2637.9494012666701</v>
      </c>
      <c r="GR31" s="1111">
        <v>0</v>
      </c>
      <c r="GS31" s="1111">
        <v>0</v>
      </c>
      <c r="GT31" s="1111">
        <v>0</v>
      </c>
      <c r="GU31" s="1111">
        <v>101.24229589732001</v>
      </c>
      <c r="GV31" s="1111">
        <v>0</v>
      </c>
      <c r="GW31" s="1111">
        <v>59.429189999999998</v>
      </c>
      <c r="GX31" s="1111">
        <v>9.4331913351313403</v>
      </c>
      <c r="GY31" s="1111">
        <v>1999.78792723109</v>
      </c>
      <c r="GZ31" s="1111">
        <v>0</v>
      </c>
      <c r="HA31" s="1111">
        <v>0</v>
      </c>
      <c r="HB31" s="1111">
        <v>0</v>
      </c>
      <c r="HC31" s="1111">
        <v>0</v>
      </c>
      <c r="HD31" s="1111">
        <v>0</v>
      </c>
      <c r="HE31" s="1111">
        <v>0.72607265194628001</v>
      </c>
      <c r="HF31" s="1111">
        <v>9.1229962343420699</v>
      </c>
      <c r="HG31" s="1111">
        <v>180.45316556391001</v>
      </c>
      <c r="HH31" s="1111">
        <v>1697.2094656311899</v>
      </c>
      <c r="HI31" s="1111">
        <v>360.84526613834299</v>
      </c>
      <c r="HJ31" s="1111">
        <v>7.0500813161619504</v>
      </c>
      <c r="HK31" s="1111">
        <v>0</v>
      </c>
      <c r="HL31" s="1111">
        <v>125.325702837031</v>
      </c>
      <c r="HM31" s="1111">
        <v>233.20397856099899</v>
      </c>
      <c r="HN31" s="1111">
        <v>15498.623948872601</v>
      </c>
      <c r="HO31" s="1111">
        <v>35.012106666666703</v>
      </c>
      <c r="HP31" s="1111">
        <v>212.93236639</v>
      </c>
      <c r="HQ31" s="1111">
        <v>0</v>
      </c>
      <c r="HR31" s="1111">
        <v>1.46493696004607</v>
      </c>
      <c r="HS31" s="1111">
        <v>8.7947868679747803</v>
      </c>
      <c r="HT31" s="1111">
        <v>88.959289650415897</v>
      </c>
      <c r="HU31" s="1111">
        <v>0</v>
      </c>
      <c r="HV31" s="1111">
        <v>0.98732762702604204</v>
      </c>
      <c r="HW31" s="1111">
        <v>0</v>
      </c>
      <c r="HX31" s="1111">
        <v>14.028840000000001</v>
      </c>
      <c r="HY31" s="1111">
        <v>67.727836343737593</v>
      </c>
      <c r="HZ31" s="1111">
        <v>0</v>
      </c>
      <c r="IA31" s="1111">
        <v>1011.0995036289301</v>
      </c>
      <c r="IB31" s="1111">
        <v>0.432382316609418</v>
      </c>
      <c r="IC31" s="1111">
        <v>115.13190765533299</v>
      </c>
      <c r="ID31" s="1111">
        <v>138.18454500603499</v>
      </c>
      <c r="IE31" s="1111">
        <v>9.1002844950213005E-2</v>
      </c>
      <c r="IF31" s="1111">
        <v>530.12228651237001</v>
      </c>
      <c r="IG31" s="1111">
        <v>220.35871416007001</v>
      </c>
      <c r="IH31" s="1111">
        <v>1199.0319219252999</v>
      </c>
      <c r="II31" s="1111">
        <v>19.529781091499299</v>
      </c>
      <c r="IJ31" s="1111">
        <v>55.565877329799903</v>
      </c>
      <c r="IK31" s="1111">
        <v>28.450030439230101</v>
      </c>
      <c r="IL31" s="1111">
        <v>11.570869090909101</v>
      </c>
      <c r="IM31" s="1111">
        <v>39.3086827909531</v>
      </c>
      <c r="IN31" s="1111">
        <v>9.2228263636363703</v>
      </c>
      <c r="IO31" s="1111">
        <v>34.575769687316701</v>
      </c>
      <c r="IP31" s="1111">
        <v>5.5349031686861998E-2</v>
      </c>
      <c r="IQ31" s="1111">
        <v>1.5463285504780999</v>
      </c>
      <c r="IR31" s="1111">
        <v>2.14598509181269E-2</v>
      </c>
      <c r="IS31" s="1111">
        <v>1.64116636363636</v>
      </c>
      <c r="IT31" s="1111">
        <v>0.47140090909090898</v>
      </c>
      <c r="IU31" s="1111">
        <v>921.70820201343702</v>
      </c>
      <c r="IV31" s="1111">
        <v>75.364178412752196</v>
      </c>
      <c r="IW31" s="1111">
        <v>1730.8653094020001</v>
      </c>
      <c r="IX31" s="1111">
        <v>1117.3135668519701</v>
      </c>
      <c r="IY31" s="1111">
        <v>315.14461727880399</v>
      </c>
      <c r="IZ31" s="1111">
        <v>33.703223400060601</v>
      </c>
      <c r="JA31" s="1111">
        <v>21.684939815264201</v>
      </c>
      <c r="JB31" s="1111">
        <v>58.1487509810202</v>
      </c>
      <c r="JC31" s="1111">
        <v>78.526288817205099</v>
      </c>
      <c r="JD31" s="1111">
        <v>106.34392225771001</v>
      </c>
      <c r="JE31" s="1111">
        <v>1259.2204111844001</v>
      </c>
      <c r="JF31" s="1111">
        <v>114.65018181818201</v>
      </c>
      <c r="JG31" s="1111">
        <v>169.78090909090901</v>
      </c>
      <c r="JH31" s="1111">
        <v>0</v>
      </c>
      <c r="JI31" s="1111">
        <v>30.4553494517464</v>
      </c>
      <c r="JJ31" s="1111">
        <v>76.368019654106206</v>
      </c>
      <c r="JK31" s="1111">
        <v>0</v>
      </c>
      <c r="JL31" s="1111">
        <v>0</v>
      </c>
      <c r="JM31" s="1111">
        <v>1.5409090909090899</v>
      </c>
      <c r="JN31" s="1111">
        <v>0</v>
      </c>
      <c r="JO31" s="1111">
        <v>0</v>
      </c>
      <c r="JP31" s="1111">
        <v>866.42504207854597</v>
      </c>
      <c r="JQ31" s="1111">
        <v>845.09349827038</v>
      </c>
      <c r="JR31" s="1111">
        <v>27.820250000000001</v>
      </c>
      <c r="JS31" s="1111">
        <v>6.5738820124770703</v>
      </c>
      <c r="JT31" s="1111">
        <v>5.0695124164935796</v>
      </c>
      <c r="JU31" s="1111">
        <v>1.5882750000000001</v>
      </c>
      <c r="JV31" s="1111">
        <v>0.972468</v>
      </c>
      <c r="JW31" s="1111">
        <v>270.37607072626298</v>
      </c>
      <c r="JX31" s="1111">
        <v>111.96923</v>
      </c>
      <c r="JY31" s="1111">
        <v>16.358049999999999</v>
      </c>
      <c r="JZ31" s="1111">
        <v>314.50102501514499</v>
      </c>
      <c r="KA31" s="1111">
        <v>89.864735100000004</v>
      </c>
      <c r="KB31" s="1111">
        <v>0</v>
      </c>
      <c r="KC31" s="1111">
        <v>206.29757970864</v>
      </c>
      <c r="KD31" s="1111">
        <v>25.4981185382691</v>
      </c>
      <c r="KE31" s="1111">
        <v>56.6669060628914</v>
      </c>
      <c r="KF31" s="1111">
        <v>1.95141632574125</v>
      </c>
      <c r="KG31" s="1111">
        <v>0.410824489629736</v>
      </c>
      <c r="KH31" s="1111">
        <v>4.6098605959004297</v>
      </c>
      <c r="KI31" s="1111">
        <v>9.3977248237045998</v>
      </c>
      <c r="KJ31" s="1111">
        <v>107.762728872502</v>
      </c>
      <c r="KK31" s="1111">
        <v>343.62206499991998</v>
      </c>
      <c r="KL31" s="1111">
        <v>302.45857963421503</v>
      </c>
      <c r="KM31" s="1111">
        <v>41.163485365706599</v>
      </c>
      <c r="KN31" s="1111">
        <v>83.792631185551997</v>
      </c>
      <c r="KO31" s="1111">
        <v>83.792401579054797</v>
      </c>
      <c r="KP31" s="1111">
        <v>2.2960649680150199E-4</v>
      </c>
      <c r="KQ31" s="1111">
        <v>-5216.7382216517999</v>
      </c>
      <c r="KR31" s="1111">
        <v>-5155.9096895427401</v>
      </c>
      <c r="KS31" s="1111">
        <v>14.053132092321301</v>
      </c>
      <c r="KT31" s="1111">
        <v>-8.6046405711618004</v>
      </c>
      <c r="KU31" s="1111">
        <v>-60.114057335876197</v>
      </c>
      <c r="KV31" s="1111">
        <v>-6.1629662942999603</v>
      </c>
      <c r="KW31" s="1111">
        <v>0</v>
      </c>
      <c r="KX31" s="1111">
        <v>3230.4674708731</v>
      </c>
      <c r="KY31" s="1111">
        <v>1.03384380788988</v>
      </c>
      <c r="KZ31" s="1111">
        <v>1560.8893182709701</v>
      </c>
      <c r="LA31" s="1111">
        <v>0.171808358471674</v>
      </c>
      <c r="LB31" s="1111">
        <v>0</v>
      </c>
      <c r="LC31" s="1111">
        <v>1677.35950770764</v>
      </c>
      <c r="LD31" s="1111">
        <v>-8.98700727187674</v>
      </c>
      <c r="LE31" s="1111">
        <v>-2233.89614209</v>
      </c>
      <c r="LF31" s="1111">
        <v>48.217500000000001</v>
      </c>
      <c r="LG31" s="1111">
        <v>-1263.3832055211201</v>
      </c>
      <c r="LH31" s="1111">
        <v>146.962237931484</v>
      </c>
      <c r="LI31" s="1111">
        <v>55.666242242394397</v>
      </c>
      <c r="LJ31" s="1111">
        <v>-981.53358448336701</v>
      </c>
      <c r="LK31" s="1111">
        <v>1.5109214575640999</v>
      </c>
      <c r="LL31" s="1111">
        <v>-241.336253716996</v>
      </c>
      <c r="LM31" s="1111">
        <v>75.561746285267006</v>
      </c>
      <c r="LN31" s="1111">
        <v>75.543979103669997</v>
      </c>
      <c r="LO31" s="1111">
        <v>9.3758000000000001E-3</v>
      </c>
      <c r="LP31" s="1111">
        <v>8.3913815966750096E-3</v>
      </c>
      <c r="LQ31" s="1111">
        <v>1749.5733413943999</v>
      </c>
      <c r="LR31" s="1111">
        <v>637.78141342571496</v>
      </c>
      <c r="LS31" s="1111">
        <v>18.8709498834687</v>
      </c>
      <c r="LT31" s="1111">
        <v>95.7043101307504</v>
      </c>
      <c r="LU31" s="1111">
        <v>181.10525744684099</v>
      </c>
      <c r="LV31" s="1111">
        <v>816.11141050764104</v>
      </c>
      <c r="LW31" s="1111">
        <v>0</v>
      </c>
      <c r="LX31" s="1111">
        <v>0</v>
      </c>
      <c r="LY31" s="1111">
        <v>-647.77703990519001</v>
      </c>
      <c r="LZ31" s="1111">
        <v>-580.88676187334204</v>
      </c>
      <c r="MA31" s="1111">
        <v>-66.890278031846194</v>
      </c>
      <c r="MB31" s="1111">
        <v>72.673588332251995</v>
      </c>
      <c r="MC31" s="1111">
        <v>1.09731373339108E-3</v>
      </c>
      <c r="MD31" s="1111">
        <v>46.842611978518697</v>
      </c>
      <c r="ME31" s="1111">
        <v>25.829879040000002</v>
      </c>
      <c r="MF31" s="1111">
        <v>8973.1960384604008</v>
      </c>
      <c r="MG31" s="1111">
        <v>2.46064423344339E-2</v>
      </c>
      <c r="MH31" s="1111">
        <v>634.00280469348695</v>
      </c>
      <c r="MI31" s="1111">
        <v>0.410824489629736</v>
      </c>
      <c r="MJ31" s="1111">
        <v>0.103590364902178</v>
      </c>
      <c r="MK31" s="1111">
        <v>8338.6542124700209</v>
      </c>
      <c r="ML31" s="1111">
        <v>3381.0829641531</v>
      </c>
      <c r="MM31" s="1111">
        <v>2476.0238950210901</v>
      </c>
      <c r="MN31" s="1111">
        <v>905.05906913199203</v>
      </c>
    </row>
    <row r="32" spans="1:352" ht="13.9" x14ac:dyDescent="0.4">
      <c r="A32" s="1096">
        <v>2012</v>
      </c>
      <c r="B32" s="1145">
        <v>127625.83797799</v>
      </c>
      <c r="C32" s="1111">
        <v>143.29662075849001</v>
      </c>
      <c r="D32" s="1111">
        <v>2.0493077099999999</v>
      </c>
      <c r="E32" s="1111">
        <v>32945.8953979543</v>
      </c>
      <c r="F32" s="1111">
        <v>0</v>
      </c>
      <c r="G32" s="1111">
        <v>386.03377293682303</v>
      </c>
      <c r="H32" s="1111">
        <v>240.31649360018201</v>
      </c>
      <c r="I32" s="1111">
        <v>0</v>
      </c>
      <c r="J32" s="1111">
        <v>9218.9660782630508</v>
      </c>
      <c r="K32" s="1111">
        <v>0</v>
      </c>
      <c r="L32" s="1111">
        <v>0</v>
      </c>
      <c r="M32" s="1111">
        <v>95.951271331423499</v>
      </c>
      <c r="N32" s="1111">
        <v>534.87152142868899</v>
      </c>
      <c r="O32" s="1111">
        <v>0</v>
      </c>
      <c r="P32" s="1111">
        <v>0</v>
      </c>
      <c r="Q32" s="1111">
        <v>39.4024938105049</v>
      </c>
      <c r="R32" s="1111">
        <v>0</v>
      </c>
      <c r="S32" s="1111">
        <v>0</v>
      </c>
      <c r="T32" s="1111">
        <v>306.72861745973</v>
      </c>
      <c r="U32" s="1111">
        <v>3.4799999999999998E-2</v>
      </c>
      <c r="V32" s="1111">
        <v>8.0123358205983397</v>
      </c>
      <c r="W32" s="1111">
        <v>0</v>
      </c>
      <c r="X32" s="1111">
        <v>156.70045999999999</v>
      </c>
      <c r="Y32" s="1111">
        <v>598.77590601620898</v>
      </c>
      <c r="Z32" s="1111">
        <v>1736.7920438625699</v>
      </c>
      <c r="AA32" s="1111">
        <v>0</v>
      </c>
      <c r="AB32" s="1111">
        <v>1493.2080000000001</v>
      </c>
      <c r="AC32" s="1111">
        <v>181.12810278108199</v>
      </c>
      <c r="AD32" s="1111">
        <v>145.48161624760399</v>
      </c>
      <c r="AE32" s="1111">
        <v>0</v>
      </c>
      <c r="AF32" s="1111">
        <v>0</v>
      </c>
      <c r="AG32" s="1111">
        <v>0</v>
      </c>
      <c r="AH32" s="1111">
        <v>0</v>
      </c>
      <c r="AI32" s="1111">
        <v>496.64199958967998</v>
      </c>
      <c r="AJ32" s="1111">
        <v>1845.58920367423</v>
      </c>
      <c r="AK32" s="1111">
        <v>9.9656976562306205</v>
      </c>
      <c r="AL32" s="1111">
        <v>200.362249121491</v>
      </c>
      <c r="AM32" s="1111">
        <v>40.287200410320402</v>
      </c>
      <c r="AN32" s="1111">
        <v>818.56118320634096</v>
      </c>
      <c r="AO32" s="1111">
        <v>2.6282201472211999</v>
      </c>
      <c r="AP32" s="1111">
        <v>0</v>
      </c>
      <c r="AQ32" s="1111">
        <v>32.537359374560403</v>
      </c>
      <c r="AR32" s="1111">
        <v>4.8273963751848799</v>
      </c>
      <c r="AS32" s="1111">
        <v>0</v>
      </c>
      <c r="AT32" s="1111">
        <v>0</v>
      </c>
      <c r="AU32" s="1111">
        <v>319.52075027778</v>
      </c>
      <c r="AV32" s="1111">
        <v>0</v>
      </c>
      <c r="AW32" s="1111">
        <v>0</v>
      </c>
      <c r="AX32" s="1111">
        <v>0</v>
      </c>
      <c r="AY32" s="1111">
        <v>0</v>
      </c>
      <c r="AZ32" s="1111">
        <v>0</v>
      </c>
      <c r="BA32" s="1111">
        <v>0</v>
      </c>
      <c r="BB32" s="1111">
        <v>0</v>
      </c>
      <c r="BC32" s="1111">
        <v>0</v>
      </c>
      <c r="BD32" s="1111">
        <v>0</v>
      </c>
      <c r="BE32" s="1111">
        <v>781.36817012214601</v>
      </c>
      <c r="BF32" s="1111">
        <v>28.629815691904199</v>
      </c>
      <c r="BG32" s="1111">
        <v>0.11999545049570599</v>
      </c>
      <c r="BH32" s="1111">
        <v>13.3218489144631</v>
      </c>
      <c r="BI32" s="1111">
        <v>1982.52033907501</v>
      </c>
      <c r="BJ32" s="1111">
        <v>36.0413248442906</v>
      </c>
      <c r="BK32" s="1111">
        <v>10.3839162347056</v>
      </c>
      <c r="BL32" s="1111">
        <v>128.47976825486899</v>
      </c>
      <c r="BM32" s="1111">
        <v>22.548682888625098</v>
      </c>
      <c r="BN32" s="1111">
        <v>1.8302662703397301</v>
      </c>
      <c r="BO32" s="1111">
        <v>1.7936846100305099</v>
      </c>
      <c r="BP32" s="1111">
        <v>275.05667321537697</v>
      </c>
      <c r="BQ32" s="1111">
        <v>0</v>
      </c>
      <c r="BR32" s="1111">
        <v>343.76379532027403</v>
      </c>
      <c r="BS32" s="1111">
        <v>292.900557477794</v>
      </c>
      <c r="BT32" s="1111">
        <v>24.8831189608979</v>
      </c>
      <c r="BU32" s="1111">
        <v>0.37898308896567601</v>
      </c>
      <c r="BV32" s="1111">
        <v>6.2657603274620397E-4</v>
      </c>
      <c r="BW32" s="1111">
        <v>123.040857932045</v>
      </c>
      <c r="BX32" s="1111">
        <v>224.949719615313</v>
      </c>
      <c r="BY32" s="1111">
        <v>22.2844071205629</v>
      </c>
      <c r="BZ32" s="1111">
        <v>1.8525996769556099</v>
      </c>
      <c r="CA32" s="1111">
        <v>1305.5799040137799</v>
      </c>
      <c r="CB32" s="1111">
        <v>94.822859820113607</v>
      </c>
      <c r="CC32" s="1111">
        <v>0.92640310636054601</v>
      </c>
      <c r="CD32" s="1111">
        <v>0.50016228190337397</v>
      </c>
      <c r="CE32" s="1111">
        <v>585.60318900357902</v>
      </c>
      <c r="CF32" s="1111">
        <v>44.602485423264902</v>
      </c>
      <c r="CG32" s="1111">
        <v>77.709286204023698</v>
      </c>
      <c r="CH32" s="1111">
        <v>1.0599591834364801</v>
      </c>
      <c r="CI32" s="1111">
        <v>1113.09002484076</v>
      </c>
      <c r="CJ32" s="1111">
        <v>27.8448606610539</v>
      </c>
      <c r="CK32" s="1111">
        <v>0</v>
      </c>
      <c r="CL32" s="1111">
        <v>69.1278692773204</v>
      </c>
      <c r="CM32" s="1111">
        <v>9.9963952646532999</v>
      </c>
      <c r="CN32" s="1111">
        <v>328.89464489334102</v>
      </c>
      <c r="CO32" s="1111">
        <v>0</v>
      </c>
      <c r="CP32" s="1111">
        <v>4.8263409643694297</v>
      </c>
      <c r="CQ32" s="1111">
        <v>3.1176403025514801</v>
      </c>
      <c r="CR32" s="1111">
        <v>36.173217266213697</v>
      </c>
      <c r="CS32" s="1111">
        <v>46.9809920218987</v>
      </c>
      <c r="CT32" s="1111">
        <v>0.26100000000000001</v>
      </c>
      <c r="CU32" s="1111">
        <v>44.689986222627198</v>
      </c>
      <c r="CV32" s="1111">
        <v>37.195656189479998</v>
      </c>
      <c r="CW32" s="1111">
        <v>213.81220366881701</v>
      </c>
      <c r="CX32" s="1111">
        <v>1381.9996638175401</v>
      </c>
      <c r="CY32" s="1111">
        <v>133.58099685197601</v>
      </c>
      <c r="CZ32" s="1111">
        <v>1142.43934229</v>
      </c>
      <c r="DA32" s="1111">
        <v>723.711685992556</v>
      </c>
      <c r="DB32" s="1111">
        <v>0</v>
      </c>
      <c r="DC32" s="1111">
        <v>9.8827109634784396</v>
      </c>
      <c r="DD32" s="1111">
        <v>1.14489779834246</v>
      </c>
      <c r="DE32" s="1111">
        <v>36.862429780949597</v>
      </c>
      <c r="DF32" s="1111">
        <v>32.054273656146599</v>
      </c>
      <c r="DG32" s="1111">
        <v>388.38355869057801</v>
      </c>
      <c r="DH32" s="1111">
        <v>2001.5006616870301</v>
      </c>
      <c r="DI32" s="1111">
        <v>0</v>
      </c>
      <c r="DJ32" s="1111">
        <v>93.338545737519794</v>
      </c>
      <c r="DK32" s="1111">
        <v>0</v>
      </c>
      <c r="DL32" s="1111">
        <v>0</v>
      </c>
      <c r="DM32" s="1111">
        <v>102.212459851212</v>
      </c>
      <c r="DN32" s="1111">
        <v>18.042503096727899</v>
      </c>
      <c r="DO32" s="1111">
        <v>643.10896174031302</v>
      </c>
      <c r="DP32" s="1111">
        <v>547.95465949870402</v>
      </c>
      <c r="DQ32" s="1111">
        <v>1.0979966480249099</v>
      </c>
      <c r="DR32" s="1111">
        <v>19.370897022297399</v>
      </c>
      <c r="DS32" s="1111">
        <v>0</v>
      </c>
      <c r="DT32" s="1111">
        <v>1.64172894329528</v>
      </c>
      <c r="DU32" s="1111">
        <v>0</v>
      </c>
      <c r="DV32" s="1111">
        <v>0.53650121517228</v>
      </c>
      <c r="DW32" s="1111">
        <v>0</v>
      </c>
      <c r="DX32" s="1111">
        <v>1.3269612223787</v>
      </c>
      <c r="DY32" s="1111">
        <v>12.323807532654101</v>
      </c>
      <c r="DZ32" s="1111">
        <v>114.694016925494</v>
      </c>
      <c r="EA32" s="1111">
        <v>0.88660518586785197</v>
      </c>
      <c r="EB32" s="1111">
        <v>39.753373883580103</v>
      </c>
      <c r="EC32" s="1111">
        <v>0</v>
      </c>
      <c r="ED32" s="1111">
        <v>14.2214506888518</v>
      </c>
      <c r="EE32" s="1111">
        <v>0</v>
      </c>
      <c r="EF32" s="1111">
        <v>0.984017144093289</v>
      </c>
      <c r="EG32" s="1111">
        <v>0</v>
      </c>
      <c r="EH32" s="1111">
        <v>25.2914305936504</v>
      </c>
      <c r="EI32" s="1111">
        <v>0.261087885423396</v>
      </c>
      <c r="EJ32" s="1111">
        <v>325.73480697042299</v>
      </c>
      <c r="EK32" s="1111">
        <v>4152.5088590265505</v>
      </c>
      <c r="EL32" s="1111">
        <v>3183.9320597364599</v>
      </c>
      <c r="EM32" s="1111">
        <v>4879.7923451626302</v>
      </c>
      <c r="EN32" s="1111">
        <v>3102.2847702792501</v>
      </c>
      <c r="EO32" s="1111">
        <v>1653.9154034379701</v>
      </c>
      <c r="EP32" s="1111">
        <v>1856.0431887544</v>
      </c>
      <c r="EQ32" s="1111">
        <v>82.714375211304599</v>
      </c>
      <c r="ER32" s="1111">
        <v>1746.5933117424199</v>
      </c>
      <c r="ES32" s="1111">
        <v>98.762788233720499</v>
      </c>
      <c r="ET32" s="1111">
        <v>1514.5086082298701</v>
      </c>
      <c r="EU32" s="1111">
        <v>40.165515408816198</v>
      </c>
      <c r="EV32" s="1111">
        <v>955.06340413896896</v>
      </c>
      <c r="EW32" s="1111">
        <v>235.67960016764499</v>
      </c>
      <c r="EX32" s="1111">
        <v>1060.89426328984</v>
      </c>
      <c r="EY32" s="1111">
        <v>908.996831374983</v>
      </c>
      <c r="EZ32" s="1111">
        <v>724.52878460612897</v>
      </c>
      <c r="FA32" s="1111">
        <v>251.49658063507201</v>
      </c>
      <c r="FB32" s="1111">
        <v>611.33065688284296</v>
      </c>
      <c r="FC32" s="1111">
        <v>73.106420489770301</v>
      </c>
      <c r="FD32" s="1111">
        <v>1576.06488208422</v>
      </c>
      <c r="FE32" s="1111">
        <v>515.45253341653199</v>
      </c>
      <c r="FF32" s="1111">
        <v>56.191726291958403</v>
      </c>
      <c r="FG32" s="1111">
        <v>4.1566359430533799</v>
      </c>
      <c r="FH32" s="1111">
        <v>0.16572912879308599</v>
      </c>
      <c r="FI32" s="1111">
        <v>1.3632941012739099</v>
      </c>
      <c r="FJ32" s="1111">
        <v>67.696933764339903</v>
      </c>
      <c r="FK32" s="1111">
        <v>15.0436625538255</v>
      </c>
      <c r="FL32" s="1111">
        <v>74.4653747401413</v>
      </c>
      <c r="FM32" s="1111">
        <v>23.021166158837399</v>
      </c>
      <c r="FN32" s="1111">
        <v>8.8339610345454496</v>
      </c>
      <c r="FO32" s="1111">
        <v>178.44299743039701</v>
      </c>
      <c r="FP32" s="1111">
        <v>193.939888427032</v>
      </c>
      <c r="FQ32" s="1111">
        <v>167.01025641025601</v>
      </c>
      <c r="FR32" s="1111">
        <v>12.0968452227273</v>
      </c>
      <c r="FS32" s="1111">
        <v>440.78358740688998</v>
      </c>
      <c r="FT32" s="1111">
        <v>814.03302799318396</v>
      </c>
      <c r="FU32" s="1111">
        <v>1.69691990433593</v>
      </c>
      <c r="FV32" s="1111">
        <v>0</v>
      </c>
      <c r="FW32" s="1111">
        <v>0</v>
      </c>
      <c r="FX32" s="1111">
        <v>78.979084462085893</v>
      </c>
      <c r="FY32" s="1111">
        <v>35.064787705062201</v>
      </c>
      <c r="FZ32" s="1111">
        <v>48.106416463423798</v>
      </c>
      <c r="GA32" s="1111">
        <v>0</v>
      </c>
      <c r="GB32" s="1111">
        <v>0</v>
      </c>
      <c r="GC32" s="1111">
        <v>31.6618053698575</v>
      </c>
      <c r="GD32" s="1111">
        <v>0</v>
      </c>
      <c r="GE32" s="1111">
        <v>2.03646247608255</v>
      </c>
      <c r="GF32" s="1111">
        <v>0</v>
      </c>
      <c r="GG32" s="1111">
        <v>14.4397993935162</v>
      </c>
      <c r="GH32" s="1111">
        <v>0.87675327014511995</v>
      </c>
      <c r="GI32" s="1111">
        <v>0.22270294255558501</v>
      </c>
      <c r="GJ32" s="1111">
        <v>1.2470219100126401</v>
      </c>
      <c r="GK32" s="1111">
        <v>4.7931367446434097</v>
      </c>
      <c r="GL32" s="1111">
        <v>120.971060349781</v>
      </c>
      <c r="GM32" s="1111">
        <v>8.0285870816407794</v>
      </c>
      <c r="GN32" s="1111">
        <v>0</v>
      </c>
      <c r="GO32" s="1111">
        <v>48.151620000000001</v>
      </c>
      <c r="GP32" s="1111">
        <v>29.343151166974302</v>
      </c>
      <c r="GQ32" s="1111">
        <v>3050.4139590699601</v>
      </c>
      <c r="GR32" s="1111">
        <v>0</v>
      </c>
      <c r="GS32" s="1111">
        <v>0</v>
      </c>
      <c r="GT32" s="1111">
        <v>0</v>
      </c>
      <c r="GU32" s="1111">
        <v>91.855021026593704</v>
      </c>
      <c r="GV32" s="1111">
        <v>0</v>
      </c>
      <c r="GW32" s="1111">
        <v>31.318770000000001</v>
      </c>
      <c r="GX32" s="1111">
        <v>14.8573538778644</v>
      </c>
      <c r="GY32" s="1111">
        <v>2285.9562350392698</v>
      </c>
      <c r="GZ32" s="1111">
        <v>0</v>
      </c>
      <c r="HA32" s="1111">
        <v>0</v>
      </c>
      <c r="HB32" s="1111">
        <v>0</v>
      </c>
      <c r="HC32" s="1111">
        <v>0</v>
      </c>
      <c r="HD32" s="1111">
        <v>0</v>
      </c>
      <c r="HE32" s="1111">
        <v>0.64585920133355401</v>
      </c>
      <c r="HF32" s="1111">
        <v>9.2075050422961802</v>
      </c>
      <c r="HG32" s="1111">
        <v>175.48594962406</v>
      </c>
      <c r="HH32" s="1111">
        <v>1716.8356791015999</v>
      </c>
      <c r="HI32" s="1111">
        <v>341.76680219600399</v>
      </c>
      <c r="HJ32" s="1111">
        <v>5.7468193939390302</v>
      </c>
      <c r="HK32" s="1111">
        <v>0</v>
      </c>
      <c r="HL32" s="1111">
        <v>124.58559413395901</v>
      </c>
      <c r="HM32" s="1111">
        <v>242.645524472163</v>
      </c>
      <c r="HN32" s="1111">
        <v>17221.176143637698</v>
      </c>
      <c r="HO32" s="1111">
        <v>59.282773333333303</v>
      </c>
      <c r="HP32" s="1111">
        <v>199.57435988</v>
      </c>
      <c r="HQ32" s="1111">
        <v>0</v>
      </c>
      <c r="HR32" s="1111">
        <v>1.2109995054926299</v>
      </c>
      <c r="HS32" s="1111">
        <v>8.8736463324284305</v>
      </c>
      <c r="HT32" s="1111">
        <v>89.756953317007699</v>
      </c>
      <c r="HU32" s="1111">
        <v>0</v>
      </c>
      <c r="HV32" s="1111">
        <v>1.0029241486068099</v>
      </c>
      <c r="HW32" s="1111">
        <v>0</v>
      </c>
      <c r="HX32" s="1111">
        <v>12.437849999999999</v>
      </c>
      <c r="HY32" s="1111">
        <v>58.278262607288099</v>
      </c>
      <c r="HZ32" s="1111">
        <v>0</v>
      </c>
      <c r="IA32" s="1111">
        <v>1041.63804459672</v>
      </c>
      <c r="IB32" s="1111">
        <v>0.59890754046778005</v>
      </c>
      <c r="IC32" s="1111">
        <v>119.53581709818801</v>
      </c>
      <c r="ID32" s="1111">
        <v>144.53640707997201</v>
      </c>
      <c r="IE32" s="1111">
        <v>7.5835704125177802E-2</v>
      </c>
      <c r="IF32" s="1111">
        <v>487.70345872585801</v>
      </c>
      <c r="IG32" s="1111">
        <v>200.26257906706201</v>
      </c>
      <c r="IH32" s="1111">
        <v>1014.4400005752</v>
      </c>
      <c r="II32" s="1111">
        <v>10.3586624308056</v>
      </c>
      <c r="IJ32" s="1111">
        <v>22.8464123578757</v>
      </c>
      <c r="IK32" s="1111">
        <v>7.30565143514439</v>
      </c>
      <c r="IL32" s="1111">
        <v>9.6033463636363603</v>
      </c>
      <c r="IM32" s="1111">
        <v>5.8437314538163997E-2</v>
      </c>
      <c r="IN32" s="1111">
        <v>28.0029218181818</v>
      </c>
      <c r="IO32" s="1111">
        <v>38.089070728227298</v>
      </c>
      <c r="IP32" s="1111">
        <v>4.1108647320509402E-2</v>
      </c>
      <c r="IQ32" s="1111">
        <v>1.92163638167049</v>
      </c>
      <c r="IR32" s="1111">
        <v>3.01035422713746E-2</v>
      </c>
      <c r="IS32" s="1111">
        <v>2.32677867763379</v>
      </c>
      <c r="IT32" s="1111">
        <v>0.161994287964355</v>
      </c>
      <c r="IU32" s="1111">
        <v>826.16039300037596</v>
      </c>
      <c r="IV32" s="1111">
        <v>67.533483589581905</v>
      </c>
      <c r="IW32" s="1111">
        <v>1653.4298010038001</v>
      </c>
      <c r="IX32" s="1111">
        <v>1015.62393911369</v>
      </c>
      <c r="IY32" s="1111">
        <v>321.21210879476502</v>
      </c>
      <c r="IZ32" s="1111">
        <v>31.419676806551401</v>
      </c>
      <c r="JA32" s="1111">
        <v>19.504661468311902</v>
      </c>
      <c r="JB32" s="1111">
        <v>52.9902578830213</v>
      </c>
      <c r="JC32" s="1111">
        <v>70.881022029115101</v>
      </c>
      <c r="JD32" s="1111">
        <v>141.7981349083</v>
      </c>
      <c r="JE32" s="1111">
        <v>1434.6481018836</v>
      </c>
      <c r="JF32" s="1111">
        <v>160.124181818181</v>
      </c>
      <c r="JG32" s="1111">
        <v>269.01572727272702</v>
      </c>
      <c r="JH32" s="1111">
        <v>0</v>
      </c>
      <c r="JI32" s="1111">
        <v>29.945402232234599</v>
      </c>
      <c r="JJ32" s="1111">
        <v>80.439151092973503</v>
      </c>
      <c r="JK32" s="1111">
        <v>0</v>
      </c>
      <c r="JL32" s="1111">
        <v>0</v>
      </c>
      <c r="JM32" s="1111">
        <v>1.5409090909090899</v>
      </c>
      <c r="JN32" s="1111">
        <v>0</v>
      </c>
      <c r="JO32" s="1111">
        <v>0</v>
      </c>
      <c r="JP32" s="1111">
        <v>893.58273037655397</v>
      </c>
      <c r="JQ32" s="1111">
        <v>822.89862554091997</v>
      </c>
      <c r="JR32" s="1111">
        <v>22.307600000000001</v>
      </c>
      <c r="JS32" s="1111">
        <v>5.5647124170404396</v>
      </c>
      <c r="JT32" s="1111">
        <v>4.1137124164935797</v>
      </c>
      <c r="JU32" s="1111">
        <v>1.2777050000000001</v>
      </c>
      <c r="JV32" s="1111">
        <v>1.0535140000000001</v>
      </c>
      <c r="JW32" s="1111">
        <v>220.27356232867001</v>
      </c>
      <c r="JX32" s="1111">
        <v>108.972805661802</v>
      </c>
      <c r="JY32" s="1111">
        <v>49.164099999999998</v>
      </c>
      <c r="JZ32" s="1111">
        <v>385.179537796913</v>
      </c>
      <c r="KA32" s="1111">
        <v>24.991375919999999</v>
      </c>
      <c r="KB32" s="1111">
        <v>0</v>
      </c>
      <c r="KC32" s="1111">
        <v>188.18569756872</v>
      </c>
      <c r="KD32" s="1111">
        <v>13.2497745962329</v>
      </c>
      <c r="KE32" s="1111">
        <v>56.452774000827603</v>
      </c>
      <c r="KF32" s="1111">
        <v>1.1406024313143599</v>
      </c>
      <c r="KG32" s="1111">
        <v>0.201282781996652</v>
      </c>
      <c r="KH32" s="1111">
        <v>5.1864846554916699</v>
      </c>
      <c r="KI32" s="1111">
        <v>11.3452462975314</v>
      </c>
      <c r="KJ32" s="1111">
        <v>100.60953280532399</v>
      </c>
      <c r="KK32" s="1111">
        <v>295.71169065192998</v>
      </c>
      <c r="KL32" s="1111">
        <v>242.86286678816799</v>
      </c>
      <c r="KM32" s="1111">
        <v>52.848823863762902</v>
      </c>
      <c r="KN32" s="1111">
        <v>76.562702468962996</v>
      </c>
      <c r="KO32" s="1111">
        <v>76.562511084728001</v>
      </c>
      <c r="KP32" s="1111">
        <v>1.91384234926359E-4</v>
      </c>
      <c r="KQ32" s="1111">
        <v>-4600.8909917012998</v>
      </c>
      <c r="KR32" s="1111">
        <v>-4604.61709148911</v>
      </c>
      <c r="KS32" s="1111">
        <v>65.422348098759301</v>
      </c>
      <c r="KT32" s="1111">
        <v>-8.1039579418284102</v>
      </c>
      <c r="KU32" s="1111">
        <v>-48.078952432571199</v>
      </c>
      <c r="KV32" s="1111">
        <v>-5.5133379365616504</v>
      </c>
      <c r="KW32" s="1111">
        <v>0</v>
      </c>
      <c r="KX32" s="1111">
        <v>3193.7141437671999</v>
      </c>
      <c r="KY32" s="1111">
        <v>-0.15196838914250699</v>
      </c>
      <c r="KZ32" s="1111">
        <v>1577.9817404918499</v>
      </c>
      <c r="LA32" s="1111">
        <v>0.18130313289966701</v>
      </c>
      <c r="LB32" s="1111">
        <v>0</v>
      </c>
      <c r="LC32" s="1111">
        <v>1623.95226329153</v>
      </c>
      <c r="LD32" s="1111">
        <v>-8.2491947599088196</v>
      </c>
      <c r="LE32" s="1111">
        <v>-2263.8712191152999</v>
      </c>
      <c r="LF32" s="1111">
        <v>48.217500000000001</v>
      </c>
      <c r="LG32" s="1111">
        <v>-1284.8158260667799</v>
      </c>
      <c r="LH32" s="1111">
        <v>148.866069243433</v>
      </c>
      <c r="LI32" s="1111">
        <v>55.184087431965402</v>
      </c>
      <c r="LJ32" s="1111">
        <v>-986.19156958167605</v>
      </c>
      <c r="LK32" s="1111">
        <v>1.3873568232400899</v>
      </c>
      <c r="LL32" s="1111">
        <v>-246.518836965448</v>
      </c>
      <c r="LM32" s="1111">
        <v>59.527389785266998</v>
      </c>
      <c r="LN32" s="1111">
        <v>59.510966803670001</v>
      </c>
      <c r="LO32" s="1111">
        <v>7.3156000000000002E-3</v>
      </c>
      <c r="LP32" s="1111">
        <v>9.1073815966750092E-3</v>
      </c>
      <c r="LQ32" s="1111">
        <v>1740.7868708152</v>
      </c>
      <c r="LR32" s="1111">
        <v>633.39140331317503</v>
      </c>
      <c r="LS32" s="1111">
        <v>17.036007704926298</v>
      </c>
      <c r="LT32" s="1111">
        <v>95.326071253057904</v>
      </c>
      <c r="LU32" s="1111">
        <v>185.14414751759301</v>
      </c>
      <c r="LV32" s="1111">
        <v>809.88924102640999</v>
      </c>
      <c r="LW32" s="1111">
        <v>0</v>
      </c>
      <c r="LX32" s="1111">
        <v>0</v>
      </c>
      <c r="LY32" s="1111">
        <v>-1023.1328872932</v>
      </c>
      <c r="LZ32" s="1111">
        <v>-902.95509682634895</v>
      </c>
      <c r="MA32" s="1111">
        <v>-120.177790466812</v>
      </c>
      <c r="MB32" s="1111">
        <v>72.227175085436997</v>
      </c>
      <c r="MC32" s="1111">
        <v>0</v>
      </c>
      <c r="MD32" s="1111">
        <v>46.517752812128002</v>
      </c>
      <c r="ME32" s="1111">
        <v>25.709422273308999</v>
      </c>
      <c r="MF32" s="1111">
        <v>8738.7423521885994</v>
      </c>
      <c r="MG32" s="1111">
        <v>2.2355826190155598E-2</v>
      </c>
      <c r="MH32" s="1111">
        <v>615.82796829271501</v>
      </c>
      <c r="MI32" s="1111">
        <v>0.26837704266220302</v>
      </c>
      <c r="MJ32" s="1111">
        <v>9.7741217714441803E-2</v>
      </c>
      <c r="MK32" s="1111">
        <v>8122.5259098093402</v>
      </c>
      <c r="ML32" s="1111">
        <v>2990.2883479753</v>
      </c>
      <c r="MM32" s="1111">
        <v>1968.8950231992701</v>
      </c>
      <c r="MN32" s="1111">
        <v>1021.39332477604</v>
      </c>
    </row>
    <row r="33" spans="1:352" ht="13.9" x14ac:dyDescent="0.4">
      <c r="A33" s="1096">
        <v>2013</v>
      </c>
      <c r="B33" s="1145">
        <v>124378.88520966</v>
      </c>
      <c r="C33" s="1111">
        <v>153.88465264048199</v>
      </c>
      <c r="D33" s="1111">
        <v>1.425747584</v>
      </c>
      <c r="E33" s="1111">
        <v>30539.318352386901</v>
      </c>
      <c r="F33" s="1111">
        <v>0</v>
      </c>
      <c r="G33" s="1111">
        <v>296.185363541161</v>
      </c>
      <c r="H33" s="1111">
        <v>254.597171577957</v>
      </c>
      <c r="I33" s="1111">
        <v>0</v>
      </c>
      <c r="J33" s="1111">
        <v>8793.9854442530304</v>
      </c>
      <c r="K33" s="1111">
        <v>0</v>
      </c>
      <c r="L33" s="1111">
        <v>0</v>
      </c>
      <c r="M33" s="1111">
        <v>44.932026594603997</v>
      </c>
      <c r="N33" s="1111">
        <v>528.11434560213695</v>
      </c>
      <c r="O33" s="1111">
        <v>0</v>
      </c>
      <c r="P33" s="1111">
        <v>0</v>
      </c>
      <c r="Q33" s="1111">
        <v>41.816910218111801</v>
      </c>
      <c r="R33" s="1111">
        <v>0</v>
      </c>
      <c r="S33" s="1111">
        <v>0</v>
      </c>
      <c r="T33" s="1111">
        <v>300.66718616777598</v>
      </c>
      <c r="U33" s="1111">
        <v>0</v>
      </c>
      <c r="V33" s="1111">
        <v>5.3405410691216701</v>
      </c>
      <c r="W33" s="1111">
        <v>46.503999999999998</v>
      </c>
      <c r="X33" s="1111">
        <v>87.885140000000007</v>
      </c>
      <c r="Y33" s="1111">
        <v>625.44635917808705</v>
      </c>
      <c r="Z33" s="1111">
        <v>1776.7216311495599</v>
      </c>
      <c r="AA33" s="1111">
        <v>0</v>
      </c>
      <c r="AB33" s="1111">
        <v>1159.9026939600001</v>
      </c>
      <c r="AC33" s="1111">
        <v>204.06445387032599</v>
      </c>
      <c r="AD33" s="1111">
        <v>138.76973229930499</v>
      </c>
      <c r="AE33" s="1111">
        <v>0</v>
      </c>
      <c r="AF33" s="1111">
        <v>0</v>
      </c>
      <c r="AG33" s="1111">
        <v>0</v>
      </c>
      <c r="AH33" s="1111">
        <v>0</v>
      </c>
      <c r="AI33" s="1111">
        <v>485.121517105495</v>
      </c>
      <c r="AJ33" s="1111">
        <v>1744.8398045085601</v>
      </c>
      <c r="AK33" s="1111">
        <v>9.2342240443583599</v>
      </c>
      <c r="AL33" s="1111">
        <v>185.65583286210099</v>
      </c>
      <c r="AM33" s="1111">
        <v>53.826082894505603</v>
      </c>
      <c r="AN33" s="1111">
        <v>869.88406878550097</v>
      </c>
      <c r="AO33" s="1111">
        <v>1.7841703349282301</v>
      </c>
      <c r="AP33" s="1111">
        <v>0</v>
      </c>
      <c r="AQ33" s="1111">
        <v>22.454552626527398</v>
      </c>
      <c r="AR33" s="1111">
        <v>3.01621568122339</v>
      </c>
      <c r="AS33" s="1111">
        <v>0</v>
      </c>
      <c r="AT33" s="1111">
        <v>0</v>
      </c>
      <c r="AU33" s="1111">
        <v>306.45911626080601</v>
      </c>
      <c r="AV33" s="1111">
        <v>0</v>
      </c>
      <c r="AW33" s="1111">
        <v>0</v>
      </c>
      <c r="AX33" s="1111">
        <v>0</v>
      </c>
      <c r="AY33" s="1111">
        <v>0</v>
      </c>
      <c r="AZ33" s="1111">
        <v>0</v>
      </c>
      <c r="BA33" s="1111">
        <v>0</v>
      </c>
      <c r="BB33" s="1111">
        <v>0</v>
      </c>
      <c r="BC33" s="1111">
        <v>0</v>
      </c>
      <c r="BD33" s="1111">
        <v>0</v>
      </c>
      <c r="BE33" s="1111">
        <v>1022.5075276145</v>
      </c>
      <c r="BF33" s="1111">
        <v>33.581854676553</v>
      </c>
      <c r="BG33" s="1111">
        <v>0</v>
      </c>
      <c r="BH33" s="1111">
        <v>18.2471244378996</v>
      </c>
      <c r="BI33" s="1111">
        <v>2424.9869317184698</v>
      </c>
      <c r="BJ33" s="1111">
        <v>37.871520553633196</v>
      </c>
      <c r="BK33" s="1111">
        <v>10.788630618159999</v>
      </c>
      <c r="BL33" s="1111">
        <v>132.22105263069301</v>
      </c>
      <c r="BM33" s="1111">
        <v>11.3613335294118</v>
      </c>
      <c r="BN33" s="1111">
        <v>2.1923401033230299</v>
      </c>
      <c r="BO33" s="1111">
        <v>0.59250380676912096</v>
      </c>
      <c r="BP33" s="1111">
        <v>288.245438436847</v>
      </c>
      <c r="BQ33" s="1111">
        <v>0</v>
      </c>
      <c r="BR33" s="1111">
        <v>11.721691519365701</v>
      </c>
      <c r="BS33" s="1111">
        <v>8.0637597812452508</v>
      </c>
      <c r="BT33" s="1111">
        <v>24.837711158233699</v>
      </c>
      <c r="BU33" s="1111">
        <v>0.39555000000000001</v>
      </c>
      <c r="BV33" s="1111">
        <v>8.5999086302521405E-4</v>
      </c>
      <c r="BW33" s="1111">
        <v>120.310251994149</v>
      </c>
      <c r="BX33" s="1111">
        <v>165.776369897775</v>
      </c>
      <c r="BY33" s="1111">
        <v>19.232520000000001</v>
      </c>
      <c r="BZ33" s="1111">
        <v>2.2193497538470699</v>
      </c>
      <c r="CA33" s="1111">
        <v>1417.32170947388</v>
      </c>
      <c r="CB33" s="1111">
        <v>97.5216602235962</v>
      </c>
      <c r="CC33" s="1111">
        <v>0.92295000000000005</v>
      </c>
      <c r="CD33" s="1111">
        <v>0.80208481158151601</v>
      </c>
      <c r="CE33" s="1111">
        <v>631.66313814185298</v>
      </c>
      <c r="CF33" s="1111">
        <v>51.818181195978397</v>
      </c>
      <c r="CG33" s="1111">
        <v>86.168369999999996</v>
      </c>
      <c r="CH33" s="1111">
        <v>1.2371997137544499</v>
      </c>
      <c r="CI33" s="1111">
        <v>1126.2425668231001</v>
      </c>
      <c r="CJ33" s="1111">
        <v>31.984698561818199</v>
      </c>
      <c r="CK33" s="1111">
        <v>0</v>
      </c>
      <c r="CL33" s="1111">
        <v>73.702332185260204</v>
      </c>
      <c r="CM33" s="1111">
        <v>11.687783625020799</v>
      </c>
      <c r="CN33" s="1111">
        <v>336.01941365124202</v>
      </c>
      <c r="CO33" s="1111">
        <v>0.40346100000000001</v>
      </c>
      <c r="CP33" s="1111">
        <v>7.5894915038841999</v>
      </c>
      <c r="CQ33" s="1111">
        <v>2.6663945177246799</v>
      </c>
      <c r="CR33" s="1111">
        <v>38.339318164811601</v>
      </c>
      <c r="CS33" s="1111">
        <v>52.688204491518398</v>
      </c>
      <c r="CT33" s="1111">
        <v>0</v>
      </c>
      <c r="CU33" s="1111">
        <v>52.616578821072103</v>
      </c>
      <c r="CV33" s="1111">
        <v>38.0062427480607</v>
      </c>
      <c r="CW33" s="1111">
        <v>217.329642566545</v>
      </c>
      <c r="CX33" s="1111">
        <v>1038.76635481413</v>
      </c>
      <c r="CY33" s="1111">
        <v>134.96233278061899</v>
      </c>
      <c r="CZ33" s="1111">
        <v>1186.3908624159999</v>
      </c>
      <c r="DA33" s="1111">
        <v>1065.5603395365099</v>
      </c>
      <c r="DB33" s="1111">
        <v>7.9318159943980397</v>
      </c>
      <c r="DC33" s="1111">
        <v>8.9597966808068392</v>
      </c>
      <c r="DD33" s="1111">
        <v>0.805785381334715</v>
      </c>
      <c r="DE33" s="1111">
        <v>16.4728953223687</v>
      </c>
      <c r="DF33" s="1111">
        <v>37.1203589479993</v>
      </c>
      <c r="DG33" s="1111">
        <v>244.45586114145999</v>
      </c>
      <c r="DH33" s="1111">
        <v>2053.1910246397201</v>
      </c>
      <c r="DI33" s="1111">
        <v>0</v>
      </c>
      <c r="DJ33" s="1111">
        <v>129.603868607979</v>
      </c>
      <c r="DK33" s="1111">
        <v>0</v>
      </c>
      <c r="DL33" s="1111">
        <v>0</v>
      </c>
      <c r="DM33" s="1111">
        <v>108.47594308026601</v>
      </c>
      <c r="DN33" s="1111">
        <v>17.187695773636399</v>
      </c>
      <c r="DO33" s="1111">
        <v>633.99059387862098</v>
      </c>
      <c r="DP33" s="1111">
        <v>436.14420701654097</v>
      </c>
      <c r="DQ33" s="1111">
        <v>1.03512928988355</v>
      </c>
      <c r="DR33" s="1111">
        <v>16.896321932207801</v>
      </c>
      <c r="DS33" s="1111">
        <v>0</v>
      </c>
      <c r="DT33" s="1111">
        <v>1.73161659988433</v>
      </c>
      <c r="DU33" s="1111">
        <v>0</v>
      </c>
      <c r="DV33" s="1111">
        <v>0.51669787289195901</v>
      </c>
      <c r="DW33" s="1111">
        <v>0</v>
      </c>
      <c r="DX33" s="1111">
        <v>1.33830267876294</v>
      </c>
      <c r="DY33" s="1111">
        <v>10.666635677525001</v>
      </c>
      <c r="DZ33" s="1111">
        <v>118.384243968132</v>
      </c>
      <c r="EA33" s="1111">
        <v>0.88485319039485599</v>
      </c>
      <c r="EB33" s="1111">
        <v>34.819312777176201</v>
      </c>
      <c r="EC33" s="1111">
        <v>0</v>
      </c>
      <c r="ED33" s="1111">
        <v>14.4115679093784</v>
      </c>
      <c r="EE33" s="1111">
        <v>0</v>
      </c>
      <c r="EF33" s="1111">
        <v>1.04484696280989</v>
      </c>
      <c r="EG33" s="1111">
        <v>0</v>
      </c>
      <c r="EH33" s="1111">
        <v>25.195005759656301</v>
      </c>
      <c r="EI33" s="1111">
        <v>0.26039013476227701</v>
      </c>
      <c r="EJ33" s="1111">
        <v>331.786806591458</v>
      </c>
      <c r="EK33" s="1111">
        <v>3987.3583348003599</v>
      </c>
      <c r="EL33" s="1111">
        <v>3277.8456233176298</v>
      </c>
      <c r="EM33" s="1111">
        <v>4605.6052492642102</v>
      </c>
      <c r="EN33" s="1111">
        <v>3158.8884514860401</v>
      </c>
      <c r="EO33" s="1111">
        <v>1553.1731468229</v>
      </c>
      <c r="EP33" s="1111">
        <v>1931.98806949201</v>
      </c>
      <c r="EQ33" s="1111">
        <v>78.282744223384697</v>
      </c>
      <c r="ER33" s="1111">
        <v>1796.6859305902201</v>
      </c>
      <c r="ES33" s="1111">
        <v>90.517503135779094</v>
      </c>
      <c r="ET33" s="1111">
        <v>1515.6836475483301</v>
      </c>
      <c r="EU33" s="1111">
        <v>38.246896720279601</v>
      </c>
      <c r="EV33" s="1111">
        <v>975.68281888333695</v>
      </c>
      <c r="EW33" s="1111">
        <v>245.484470296474</v>
      </c>
      <c r="EX33" s="1111">
        <v>1062.7106427671899</v>
      </c>
      <c r="EY33" s="1111">
        <v>906.83114691935896</v>
      </c>
      <c r="EZ33" s="1111">
        <v>727.61377297530305</v>
      </c>
      <c r="FA33" s="1111">
        <v>249.596373965255</v>
      </c>
      <c r="FB33" s="1111">
        <v>594.69683560933902</v>
      </c>
      <c r="FC33" s="1111">
        <v>73.776057327584397</v>
      </c>
      <c r="FD33" s="1111">
        <v>1617.82528258862</v>
      </c>
      <c r="FE33" s="1111">
        <v>508.713319567101</v>
      </c>
      <c r="FF33" s="1111">
        <v>55.196923563402201</v>
      </c>
      <c r="FG33" s="1111">
        <v>3.50077637230758</v>
      </c>
      <c r="FH33" s="1111">
        <v>0.14224827350480501</v>
      </c>
      <c r="FI33" s="1111">
        <v>1.27273463820747</v>
      </c>
      <c r="FJ33" s="1111">
        <v>61.613029524113699</v>
      </c>
      <c r="FK33" s="1111">
        <v>15.353575655494801</v>
      </c>
      <c r="FL33" s="1111">
        <v>75.263997076077601</v>
      </c>
      <c r="FM33" s="1111">
        <v>27.814216526292501</v>
      </c>
      <c r="FN33" s="1111">
        <v>5.9796709799999999</v>
      </c>
      <c r="FO33" s="1111">
        <v>174.32163489732699</v>
      </c>
      <c r="FP33" s="1111">
        <v>197.99309018390099</v>
      </c>
      <c r="FQ33" s="1111">
        <v>162.642491467577</v>
      </c>
      <c r="FR33" s="1111">
        <v>10.294708131818201</v>
      </c>
      <c r="FS33" s="1111">
        <v>399.958447320716</v>
      </c>
      <c r="FT33" s="1111">
        <v>749.143011050268</v>
      </c>
      <c r="FU33" s="1111">
        <v>1.71560467477754</v>
      </c>
      <c r="FV33" s="1111">
        <v>0</v>
      </c>
      <c r="FW33" s="1111">
        <v>0</v>
      </c>
      <c r="FX33" s="1111">
        <v>79.8487224804107</v>
      </c>
      <c r="FY33" s="1111">
        <v>36.611763633226701</v>
      </c>
      <c r="FZ33" s="1111">
        <v>48.957383017408702</v>
      </c>
      <c r="GA33" s="1111">
        <v>0</v>
      </c>
      <c r="GB33" s="1111">
        <v>0</v>
      </c>
      <c r="GC33" s="1111">
        <v>32.010433235905403</v>
      </c>
      <c r="GD33" s="1111">
        <v>0</v>
      </c>
      <c r="GE33" s="1111">
        <v>2.9231087389930002</v>
      </c>
      <c r="GF33" s="1111">
        <v>0</v>
      </c>
      <c r="GG33" s="1111">
        <v>12.4985404640847</v>
      </c>
      <c r="GH33" s="1111">
        <v>0</v>
      </c>
      <c r="GI33" s="1111">
        <v>0</v>
      </c>
      <c r="GJ33" s="1111">
        <v>1.1831976154261801</v>
      </c>
      <c r="GK33" s="1111">
        <v>4.6946020033467901</v>
      </c>
      <c r="GL33" s="1111">
        <v>125.168670857611</v>
      </c>
      <c r="GM33" s="1111">
        <v>8.2544242106050305</v>
      </c>
      <c r="GN33" s="1111">
        <v>0</v>
      </c>
      <c r="GO33" s="1111">
        <v>50.234850000000002</v>
      </c>
      <c r="GP33" s="1111">
        <v>30.686523689490102</v>
      </c>
      <c r="GQ33" s="1111">
        <v>3166.698145758</v>
      </c>
      <c r="GR33" s="1111">
        <v>0</v>
      </c>
      <c r="GS33" s="1111">
        <v>0</v>
      </c>
      <c r="GT33" s="1111">
        <v>0</v>
      </c>
      <c r="GU33" s="1111">
        <v>99.733934629471406</v>
      </c>
      <c r="GV33" s="1111">
        <v>0</v>
      </c>
      <c r="GW33" s="1111">
        <v>16.586729999999999</v>
      </c>
      <c r="GX33" s="1111">
        <v>17.351723548591199</v>
      </c>
      <c r="GY33" s="1111">
        <v>2341.43659716928</v>
      </c>
      <c r="GZ33" s="1111">
        <v>0</v>
      </c>
      <c r="HA33" s="1111">
        <v>0</v>
      </c>
      <c r="HB33" s="1111">
        <v>0</v>
      </c>
      <c r="HC33" s="1111">
        <v>0</v>
      </c>
      <c r="HD33" s="1111">
        <v>0</v>
      </c>
      <c r="HE33" s="1111">
        <v>0.51686443078807298</v>
      </c>
      <c r="HF33" s="1111">
        <v>9.2381159280795995</v>
      </c>
      <c r="HG33" s="1111">
        <v>222.625473466165</v>
      </c>
      <c r="HH33" s="1111">
        <v>1827.2469822784001</v>
      </c>
      <c r="HI33" s="1111">
        <v>277.50912912430499</v>
      </c>
      <c r="HJ33" s="1111">
        <v>4.8829626491046403</v>
      </c>
      <c r="HK33" s="1111">
        <v>0</v>
      </c>
      <c r="HL33" s="1111">
        <v>117.927308946246</v>
      </c>
      <c r="HM33" s="1111">
        <v>244.87040551027599</v>
      </c>
      <c r="HN33" s="1111">
        <v>17333.9588988254</v>
      </c>
      <c r="HO33" s="1111">
        <v>43.687199999999997</v>
      </c>
      <c r="HP33" s="1111">
        <v>240.273279247787</v>
      </c>
      <c r="HQ33" s="1111">
        <v>0</v>
      </c>
      <c r="HR33" s="1111">
        <v>1.38029114186159</v>
      </c>
      <c r="HS33" s="1111">
        <v>8.9499549394449591</v>
      </c>
      <c r="HT33" s="1111">
        <v>90.528815054684699</v>
      </c>
      <c r="HU33" s="1111">
        <v>0</v>
      </c>
      <c r="HV33" s="1111">
        <v>0</v>
      </c>
      <c r="HW33" s="1111">
        <v>0</v>
      </c>
      <c r="HX33" s="1111">
        <v>12.701549999999999</v>
      </c>
      <c r="HY33" s="1111">
        <v>55.129524423200998</v>
      </c>
      <c r="HZ33" s="1111">
        <v>0</v>
      </c>
      <c r="IA33" s="1111">
        <v>1029.1787952669299</v>
      </c>
      <c r="IB33" s="1111">
        <v>0.59722844303987899</v>
      </c>
      <c r="IC33" s="1111">
        <v>109.220175932448</v>
      </c>
      <c r="ID33" s="1111">
        <v>137.26553808631701</v>
      </c>
      <c r="IE33" s="1111">
        <v>0.333002767069702</v>
      </c>
      <c r="IF33" s="1111">
        <v>440.99408688016001</v>
      </c>
      <c r="IG33" s="1111">
        <v>182.86324763302599</v>
      </c>
      <c r="IH33" s="1111">
        <v>1124.7424262365</v>
      </c>
      <c r="II33" s="1111">
        <v>18.3337947937144</v>
      </c>
      <c r="IJ33" s="1111">
        <v>42.765084205617804</v>
      </c>
      <c r="IK33" s="1111">
        <v>14.820723776984099</v>
      </c>
      <c r="IL33" s="1111">
        <v>11.1537545454545</v>
      </c>
      <c r="IM33" s="1111">
        <v>6.8754545454545499E-2</v>
      </c>
      <c r="IN33" s="1111">
        <v>27.770700000000001</v>
      </c>
      <c r="IO33" s="1111">
        <v>64.207750317272698</v>
      </c>
      <c r="IP33" s="1111">
        <v>4.1896539940795001E-2</v>
      </c>
      <c r="IQ33" s="1111">
        <v>1.9316294523758299</v>
      </c>
      <c r="IR33" s="1111">
        <v>3.2467103480828999E-2</v>
      </c>
      <c r="IS33" s="1111">
        <v>0.70919454545454497</v>
      </c>
      <c r="IT33" s="1111">
        <v>9.0518181818181803E-2</v>
      </c>
      <c r="IU33" s="1111">
        <v>880.85517018951396</v>
      </c>
      <c r="IV33" s="1111">
        <v>61.960988039467203</v>
      </c>
      <c r="IW33" s="1111">
        <v>1753.656297405</v>
      </c>
      <c r="IX33" s="1111">
        <v>1098.8480779663601</v>
      </c>
      <c r="IY33" s="1111">
        <v>337.94983375291099</v>
      </c>
      <c r="IZ33" s="1111">
        <v>33.725707856150898</v>
      </c>
      <c r="JA33" s="1111">
        <v>18.520151734956901</v>
      </c>
      <c r="JB33" s="1111">
        <v>53.203503436620501</v>
      </c>
      <c r="JC33" s="1111">
        <v>75.324507605741601</v>
      </c>
      <c r="JD33" s="1111">
        <v>136.084515052282</v>
      </c>
      <c r="JE33" s="1111">
        <v>1309.6313134819</v>
      </c>
      <c r="JF33" s="1111">
        <v>142.67072727272699</v>
      </c>
      <c r="JG33" s="1111">
        <v>235.211070760908</v>
      </c>
      <c r="JH33" s="1111">
        <v>0</v>
      </c>
      <c r="JI33" s="1111">
        <v>33.6618759709092</v>
      </c>
      <c r="JJ33" s="1111">
        <v>77.800378208181797</v>
      </c>
      <c r="JK33" s="1111">
        <v>0</v>
      </c>
      <c r="JL33" s="1111">
        <v>0</v>
      </c>
      <c r="JM33" s="1111">
        <v>1.5409090909090899</v>
      </c>
      <c r="JN33" s="1111">
        <v>0</v>
      </c>
      <c r="JO33" s="1111">
        <v>0</v>
      </c>
      <c r="JP33" s="1111">
        <v>818.74635217823004</v>
      </c>
      <c r="JQ33" s="1111">
        <v>1362.0430237078001</v>
      </c>
      <c r="JR33" s="1111">
        <v>27.845949999999998</v>
      </c>
      <c r="JS33" s="1111">
        <v>3.5859612292886598</v>
      </c>
      <c r="JT33" s="1111">
        <v>3.8905124164935798</v>
      </c>
      <c r="JU33" s="1111">
        <v>1.205165</v>
      </c>
      <c r="JV33" s="1111">
        <v>1.3881140000000001</v>
      </c>
      <c r="JW33" s="1111">
        <v>573.47123384744202</v>
      </c>
      <c r="JX33" s="1111">
        <v>137.083053590388</v>
      </c>
      <c r="JY33" s="1111">
        <v>69.724100000000007</v>
      </c>
      <c r="JZ33" s="1111">
        <v>525.26579926422903</v>
      </c>
      <c r="KA33" s="1111">
        <v>18.583134359999999</v>
      </c>
      <c r="KB33" s="1111">
        <v>0</v>
      </c>
      <c r="KC33" s="1111">
        <v>174.67443221509001</v>
      </c>
      <c r="KD33" s="1111">
        <v>16.918286969803798</v>
      </c>
      <c r="KE33" s="1111">
        <v>56.735650254724497</v>
      </c>
      <c r="KF33" s="1111">
        <v>1.30111232068159</v>
      </c>
      <c r="KG33" s="1111">
        <v>0.229608056590869</v>
      </c>
      <c r="KH33" s="1111">
        <v>6.9354002843097398</v>
      </c>
      <c r="KI33" s="1111">
        <v>13.1445258355698</v>
      </c>
      <c r="KJ33" s="1111">
        <v>79.409848493410095</v>
      </c>
      <c r="KK33" s="1111">
        <v>253.99830413667999</v>
      </c>
      <c r="KL33" s="1111">
        <v>213.808366201063</v>
      </c>
      <c r="KM33" s="1111">
        <v>40.189937935615298</v>
      </c>
      <c r="KN33" s="1111">
        <v>59.969229627823999</v>
      </c>
      <c r="KO33" s="1111">
        <v>59.969078655318803</v>
      </c>
      <c r="KP33" s="1111">
        <v>1.5097250544604001E-4</v>
      </c>
      <c r="KQ33" s="1111">
        <v>-4917.1588086741003</v>
      </c>
      <c r="KR33" s="1111">
        <v>-4879.6359942214003</v>
      </c>
      <c r="KS33" s="1111">
        <v>16.234305399835598</v>
      </c>
      <c r="KT33" s="1111">
        <v>-7.3263901707563699</v>
      </c>
      <c r="KU33" s="1111">
        <v>-41.440719784827898</v>
      </c>
      <c r="KV33" s="1111">
        <v>-4.9900098969284299</v>
      </c>
      <c r="KW33" s="1111">
        <v>0</v>
      </c>
      <c r="KX33" s="1111">
        <v>3137.1314668637001</v>
      </c>
      <c r="KY33" s="1111">
        <v>3.53322317808124</v>
      </c>
      <c r="KZ33" s="1111">
        <v>1565.2640063278</v>
      </c>
      <c r="LA33" s="1111">
        <v>0.190285459267621</v>
      </c>
      <c r="LB33" s="1111">
        <v>0</v>
      </c>
      <c r="LC33" s="1111">
        <v>1575.6722758487199</v>
      </c>
      <c r="LD33" s="1111">
        <v>-7.5283239501708596</v>
      </c>
      <c r="LE33" s="1111">
        <v>-2308.0582126477998</v>
      </c>
      <c r="LF33" s="1111">
        <v>48.217500000000001</v>
      </c>
      <c r="LG33" s="1111">
        <v>-1305.83569563791</v>
      </c>
      <c r="LH33" s="1111">
        <v>142.69089549609799</v>
      </c>
      <c r="LI33" s="1111">
        <v>50.1775368337671</v>
      </c>
      <c r="LJ33" s="1111">
        <v>-992.97761081065801</v>
      </c>
      <c r="LK33" s="1111">
        <v>1.2637921889160799</v>
      </c>
      <c r="LL33" s="1111">
        <v>-251.59463071805101</v>
      </c>
      <c r="LM33" s="1111">
        <v>103.29750771419</v>
      </c>
      <c r="LN33" s="1111">
        <v>103.28325450366999</v>
      </c>
      <c r="LO33" s="1111">
        <v>5.2554000000000003E-3</v>
      </c>
      <c r="LP33" s="1111">
        <v>8.9978105242666598E-3</v>
      </c>
      <c r="LQ33" s="1111">
        <v>1736.6143743872999</v>
      </c>
      <c r="LR33" s="1111">
        <v>629.26799674953395</v>
      </c>
      <c r="LS33" s="1111">
        <v>17.068289964659801</v>
      </c>
      <c r="LT33" s="1111">
        <v>98.067305362510396</v>
      </c>
      <c r="LU33" s="1111">
        <v>188.96278703441001</v>
      </c>
      <c r="LV33" s="1111">
        <v>803.24799527619905</v>
      </c>
      <c r="LW33" s="1111">
        <v>0</v>
      </c>
      <c r="LX33" s="1111">
        <v>0</v>
      </c>
      <c r="LY33" s="1111">
        <v>-714.67601152120994</v>
      </c>
      <c r="LZ33" s="1111">
        <v>-651.07451563898996</v>
      </c>
      <c r="MA33" s="1111">
        <v>-63.601495882222999</v>
      </c>
      <c r="MB33" s="1111">
        <v>71.313268659331001</v>
      </c>
      <c r="MC33" s="1111">
        <v>0</v>
      </c>
      <c r="MD33" s="1111">
        <v>46.825269317352202</v>
      </c>
      <c r="ME33" s="1111">
        <v>24.487999341978501</v>
      </c>
      <c r="MF33" s="1111">
        <v>8817.5522880162007</v>
      </c>
      <c r="MG33" s="1111">
        <v>2.02715996526984E-2</v>
      </c>
      <c r="MH33" s="1111">
        <v>630.37119459316898</v>
      </c>
      <c r="MI33" s="1111">
        <v>0.38268009431811401</v>
      </c>
      <c r="MJ33" s="1111">
        <v>8.0927340711904203E-2</v>
      </c>
      <c r="MK33" s="1111">
        <v>8186.6972143883104</v>
      </c>
      <c r="ML33" s="1111">
        <v>2990.4763999881998</v>
      </c>
      <c r="MM33" s="1111">
        <v>1784.8261679228401</v>
      </c>
      <c r="MN33" s="1111">
        <v>1205.6502320653501</v>
      </c>
    </row>
    <row r="34" spans="1:352" ht="13.9" x14ac:dyDescent="0.4">
      <c r="A34" s="1096">
        <v>2014</v>
      </c>
      <c r="B34" s="1145">
        <v>113736.52376181001</v>
      </c>
      <c r="C34" s="1111">
        <v>157.57497879548001</v>
      </c>
      <c r="D34" s="1111">
        <v>1.45063695438</v>
      </c>
      <c r="E34" s="1111">
        <v>23397.828236253401</v>
      </c>
      <c r="F34" s="1111">
        <v>0</v>
      </c>
      <c r="G34" s="1111">
        <v>251.232019227097</v>
      </c>
      <c r="H34" s="1111">
        <v>262.44732301054103</v>
      </c>
      <c r="I34" s="1111">
        <v>0</v>
      </c>
      <c r="J34" s="1111">
        <v>9517.3181422485595</v>
      </c>
      <c r="K34" s="1111">
        <v>0</v>
      </c>
      <c r="L34" s="1111">
        <v>0</v>
      </c>
      <c r="M34" s="1111">
        <v>0</v>
      </c>
      <c r="N34" s="1111">
        <v>702.25502149889701</v>
      </c>
      <c r="O34" s="1111">
        <v>0</v>
      </c>
      <c r="P34" s="1111">
        <v>0</v>
      </c>
      <c r="Q34" s="1111">
        <v>41.626004096967399</v>
      </c>
      <c r="R34" s="1111">
        <v>0</v>
      </c>
      <c r="S34" s="1111">
        <v>0</v>
      </c>
      <c r="T34" s="1111">
        <v>122.633064759089</v>
      </c>
      <c r="U34" s="1111">
        <v>0</v>
      </c>
      <c r="V34" s="1111">
        <v>8.5848970217840304</v>
      </c>
      <c r="W34" s="1111">
        <v>0</v>
      </c>
      <c r="X34" s="1111">
        <v>144.55658</v>
      </c>
      <c r="Y34" s="1111">
        <v>702.95296881246304</v>
      </c>
      <c r="Z34" s="1111">
        <v>1638.7242395912001</v>
      </c>
      <c r="AA34" s="1111">
        <v>0</v>
      </c>
      <c r="AB34" s="1111">
        <v>1060.0884000000001</v>
      </c>
      <c r="AC34" s="1111">
        <v>195.53630238784899</v>
      </c>
      <c r="AD34" s="1111">
        <v>140.04899217003401</v>
      </c>
      <c r="AE34" s="1111">
        <v>0</v>
      </c>
      <c r="AF34" s="1111">
        <v>0</v>
      </c>
      <c r="AG34" s="1111">
        <v>0</v>
      </c>
      <c r="AH34" s="1111">
        <v>0</v>
      </c>
      <c r="AI34" s="1111">
        <v>518.19038772710906</v>
      </c>
      <c r="AJ34" s="1111">
        <v>1673.2052316038</v>
      </c>
      <c r="AK34" s="1111">
        <v>8.7166735595275693</v>
      </c>
      <c r="AL34" s="1111">
        <v>175.25038180873</v>
      </c>
      <c r="AM34" s="1111">
        <v>44.569112272890798</v>
      </c>
      <c r="AN34" s="1111">
        <v>850.90009781794197</v>
      </c>
      <c r="AO34" s="1111">
        <v>0.41859380934854601</v>
      </c>
      <c r="AP34" s="1111">
        <v>0</v>
      </c>
      <c r="AQ34" s="1111">
        <v>20.305791609634799</v>
      </c>
      <c r="AR34" s="1111">
        <v>5.0174118962669398</v>
      </c>
      <c r="AS34" s="1111">
        <v>0</v>
      </c>
      <c r="AT34" s="1111">
        <v>0</v>
      </c>
      <c r="AU34" s="1111">
        <v>298.864834558844</v>
      </c>
      <c r="AV34" s="1111">
        <v>0</v>
      </c>
      <c r="AW34" s="1111">
        <v>0</v>
      </c>
      <c r="AX34" s="1111">
        <v>0</v>
      </c>
      <c r="AY34" s="1111">
        <v>0</v>
      </c>
      <c r="AZ34" s="1111">
        <v>0</v>
      </c>
      <c r="BA34" s="1111">
        <v>0</v>
      </c>
      <c r="BB34" s="1111">
        <v>0</v>
      </c>
      <c r="BC34" s="1111">
        <v>0</v>
      </c>
      <c r="BD34" s="1111">
        <v>0</v>
      </c>
      <c r="BE34" s="1111">
        <v>1105.90929161085</v>
      </c>
      <c r="BF34" s="1111">
        <v>32.851839834280199</v>
      </c>
      <c r="BG34" s="1111">
        <v>0</v>
      </c>
      <c r="BH34" s="1111">
        <v>16.9545433920396</v>
      </c>
      <c r="BI34" s="1111">
        <v>2432.87421918574</v>
      </c>
      <c r="BJ34" s="1111">
        <v>38.626387266435998</v>
      </c>
      <c r="BK34" s="1111">
        <v>11.9224692169263</v>
      </c>
      <c r="BL34" s="1111">
        <v>119.967341742138</v>
      </c>
      <c r="BM34" s="1111">
        <v>9.7983198759305008</v>
      </c>
      <c r="BN34" s="1111">
        <v>2.56301546512704</v>
      </c>
      <c r="BO34" s="1111">
        <v>2.3704566403433498</v>
      </c>
      <c r="BP34" s="1111">
        <v>293.72575061154998</v>
      </c>
      <c r="BQ34" s="1111">
        <v>0</v>
      </c>
      <c r="BR34" s="1111">
        <v>6.6711289363761201</v>
      </c>
      <c r="BS34" s="1111">
        <v>4.5348433303442297</v>
      </c>
      <c r="BT34" s="1111">
        <v>27.350917581176802</v>
      </c>
      <c r="BU34" s="1111">
        <v>0.40433999999999998</v>
      </c>
      <c r="BV34" s="1111">
        <v>9.6425732032371205E-4</v>
      </c>
      <c r="BW34" s="1111">
        <v>114.81240541971199</v>
      </c>
      <c r="BX34" s="1111">
        <v>122.154407616122</v>
      </c>
      <c r="BY34" s="1111">
        <v>20.35764</v>
      </c>
      <c r="BZ34" s="1111">
        <v>2.5681386631288299</v>
      </c>
      <c r="CA34" s="1111">
        <v>1277.4282477351901</v>
      </c>
      <c r="CB34" s="1111">
        <v>112.65321981827999</v>
      </c>
      <c r="CC34" s="1111">
        <v>0.92295000000000005</v>
      </c>
      <c r="CD34" s="1111">
        <v>0.91218742502623196</v>
      </c>
      <c r="CE34" s="1111">
        <v>596.153504359772</v>
      </c>
      <c r="CF34" s="1111">
        <v>56.095429534346898</v>
      </c>
      <c r="CG34" s="1111">
        <v>88.981170000000006</v>
      </c>
      <c r="CH34" s="1111">
        <v>1.0608217515235701</v>
      </c>
      <c r="CI34" s="1111">
        <v>1089.7456055227799</v>
      </c>
      <c r="CJ34" s="1111">
        <v>43.048763465454499</v>
      </c>
      <c r="CK34" s="1111">
        <v>0</v>
      </c>
      <c r="CL34" s="1111">
        <v>75.801070999449394</v>
      </c>
      <c r="CM34" s="1111">
        <v>6.78231738044847</v>
      </c>
      <c r="CN34" s="1111">
        <v>357.06213698573498</v>
      </c>
      <c r="CO34" s="1111">
        <v>0</v>
      </c>
      <c r="CP34" s="1111">
        <v>5.4143617074752504</v>
      </c>
      <c r="CQ34" s="1111">
        <v>2.9844812383372599</v>
      </c>
      <c r="CR34" s="1111">
        <v>25.9879616191247</v>
      </c>
      <c r="CS34" s="1111">
        <v>56.303921487182699</v>
      </c>
      <c r="CT34" s="1111">
        <v>0.33078660301082702</v>
      </c>
      <c r="CU34" s="1111">
        <v>60.801178756495403</v>
      </c>
      <c r="CV34" s="1111">
        <v>29.056083346286801</v>
      </c>
      <c r="CW34" s="1111">
        <v>238.165521319872</v>
      </c>
      <c r="CX34" s="1111">
        <v>1097.2832641483801</v>
      </c>
      <c r="CY34" s="1111">
        <v>148.89365268472099</v>
      </c>
      <c r="CZ34" s="1111">
        <v>1096.01635304563</v>
      </c>
      <c r="DA34" s="1111">
        <v>987.631710766011</v>
      </c>
      <c r="DB34" s="1111">
        <v>8.6878329789680198</v>
      </c>
      <c r="DC34" s="1111">
        <v>8.4990710377380196</v>
      </c>
      <c r="DD34" s="1111">
        <v>0.68491757413450804</v>
      </c>
      <c r="DE34" s="1111">
        <v>107.675575214793</v>
      </c>
      <c r="DF34" s="1111">
        <v>40.684266278205001</v>
      </c>
      <c r="DG34" s="1111">
        <v>483.044606865643</v>
      </c>
      <c r="DH34" s="1111">
        <v>1990.41885807158</v>
      </c>
      <c r="DI34" s="1111">
        <v>0</v>
      </c>
      <c r="DJ34" s="1111">
        <v>118.441344826175</v>
      </c>
      <c r="DK34" s="1111">
        <v>0</v>
      </c>
      <c r="DL34" s="1111">
        <v>0</v>
      </c>
      <c r="DM34" s="1111">
        <v>107.983602116561</v>
      </c>
      <c r="DN34" s="1111">
        <v>16.573605690000001</v>
      </c>
      <c r="DO34" s="1111">
        <v>568.86408431330699</v>
      </c>
      <c r="DP34" s="1111">
        <v>386.69759245005798</v>
      </c>
      <c r="DQ34" s="1111">
        <v>1.2089403536610901</v>
      </c>
      <c r="DR34" s="1111">
        <v>16.548130681630699</v>
      </c>
      <c r="DS34" s="1111">
        <v>0</v>
      </c>
      <c r="DT34" s="1111">
        <v>1.8391927205118199</v>
      </c>
      <c r="DU34" s="1111">
        <v>0</v>
      </c>
      <c r="DV34" s="1111">
        <v>0.51798237947828996</v>
      </c>
      <c r="DW34" s="1111">
        <v>0</v>
      </c>
      <c r="DX34" s="1111">
        <v>1.2990212952059299</v>
      </c>
      <c r="DY34" s="1111">
        <v>12.9627847071433</v>
      </c>
      <c r="DZ34" s="1111">
        <v>108.49462491352899</v>
      </c>
      <c r="EA34" s="1111">
        <v>0.72188217110460295</v>
      </c>
      <c r="EB34" s="1111">
        <v>35.5801705757777</v>
      </c>
      <c r="EC34" s="1111">
        <v>0</v>
      </c>
      <c r="ED34" s="1111">
        <v>15.2347676131208</v>
      </c>
      <c r="EE34" s="1111">
        <v>0</v>
      </c>
      <c r="EF34" s="1111">
        <v>0.96238354580975705</v>
      </c>
      <c r="EG34" s="1111">
        <v>0</v>
      </c>
      <c r="EH34" s="1111">
        <v>24.708429208896799</v>
      </c>
      <c r="EI34" s="1111">
        <v>0.2347691927053</v>
      </c>
      <c r="EJ34" s="1111">
        <v>303.765567284626</v>
      </c>
      <c r="EK34" s="1111">
        <v>3864.6585764839601</v>
      </c>
      <c r="EL34" s="1111">
        <v>3483.91592199051</v>
      </c>
      <c r="EM34" s="1111">
        <v>4564.5607520854001</v>
      </c>
      <c r="EN34" s="1111">
        <v>3179.8785394187498</v>
      </c>
      <c r="EO34" s="1111">
        <v>1494.4369458620899</v>
      </c>
      <c r="EP34" s="1111">
        <v>1994.5711995530401</v>
      </c>
      <c r="EQ34" s="1111">
        <v>74.655153280014702</v>
      </c>
      <c r="ER34" s="1111">
        <v>1896.5632359830199</v>
      </c>
      <c r="ES34" s="1111">
        <v>85.620230212429902</v>
      </c>
      <c r="ET34" s="1111">
        <v>1595.6925819338301</v>
      </c>
      <c r="EU34" s="1111">
        <v>36.048895582277197</v>
      </c>
      <c r="EV34" s="1111">
        <v>1002.22753677618</v>
      </c>
      <c r="EW34" s="1111">
        <v>249.02579891391201</v>
      </c>
      <c r="EX34" s="1111">
        <v>1081.70894964634</v>
      </c>
      <c r="EY34" s="1111">
        <v>913.95716247753398</v>
      </c>
      <c r="EZ34" s="1111">
        <v>721.96218646725504</v>
      </c>
      <c r="FA34" s="1111">
        <v>254.25900469864499</v>
      </c>
      <c r="FB34" s="1111">
        <v>612.27841792618506</v>
      </c>
      <c r="FC34" s="1111">
        <v>70.981466344010002</v>
      </c>
      <c r="FD34" s="1111">
        <v>1678.3137966634499</v>
      </c>
      <c r="FE34" s="1111">
        <v>533.48242745952905</v>
      </c>
      <c r="FF34" s="1111">
        <v>57.0150223247947</v>
      </c>
      <c r="FG34" s="1111">
        <v>3.27915352064131</v>
      </c>
      <c r="FH34" s="1111">
        <v>0.13717769740512001</v>
      </c>
      <c r="FI34" s="1111">
        <v>1.32811528820481</v>
      </c>
      <c r="FJ34" s="1111">
        <v>64.0431617850424</v>
      </c>
      <c r="FK34" s="1111">
        <v>15.0889316558264</v>
      </c>
      <c r="FL34" s="1111">
        <v>70.473035253450902</v>
      </c>
      <c r="FM34" s="1111">
        <v>34.6406822011527</v>
      </c>
      <c r="FN34" s="1111">
        <v>0</v>
      </c>
      <c r="FO34" s="1111">
        <v>178.71810016129501</v>
      </c>
      <c r="FP34" s="1111">
        <v>202.96106179501899</v>
      </c>
      <c r="FQ34" s="1111">
        <v>161.15784982935099</v>
      </c>
      <c r="FR34" s="1111">
        <v>9.7615759090909204</v>
      </c>
      <c r="FS34" s="1111">
        <v>420.10367288002601</v>
      </c>
      <c r="FT34" s="1111">
        <v>764.22562943571097</v>
      </c>
      <c r="FU34" s="1111">
        <v>1.77079379637578</v>
      </c>
      <c r="FV34" s="1111">
        <v>0</v>
      </c>
      <c r="FW34" s="1111">
        <v>0</v>
      </c>
      <c r="FX34" s="1111">
        <v>82.417368345756302</v>
      </c>
      <c r="FY34" s="1111">
        <v>38.158739561391201</v>
      </c>
      <c r="FZ34" s="1111">
        <v>50.634466961149499</v>
      </c>
      <c r="GA34" s="1111">
        <v>0</v>
      </c>
      <c r="GB34" s="1111">
        <v>0</v>
      </c>
      <c r="GC34" s="1111">
        <v>33.040173780589797</v>
      </c>
      <c r="GD34" s="1111">
        <v>0</v>
      </c>
      <c r="GE34" s="1111">
        <v>2.7584514623841199</v>
      </c>
      <c r="GF34" s="1111">
        <v>0</v>
      </c>
      <c r="GG34" s="1111">
        <v>15.456010740408299</v>
      </c>
      <c r="GH34" s="1111">
        <v>0.51891362303703303</v>
      </c>
      <c r="GI34" s="1111">
        <v>0</v>
      </c>
      <c r="GJ34" s="1111">
        <v>1.21612578268949</v>
      </c>
      <c r="GK34" s="1111">
        <v>4.7329823887904299</v>
      </c>
      <c r="GL34" s="1111">
        <v>130.597776165239</v>
      </c>
      <c r="GM34" s="1111">
        <v>7.9618449502208497</v>
      </c>
      <c r="GN34" s="1111">
        <v>0</v>
      </c>
      <c r="GO34" s="1111">
        <v>61.776119999999999</v>
      </c>
      <c r="GP34" s="1111">
        <v>29.736002793454499</v>
      </c>
      <c r="GQ34" s="1111">
        <v>2715.6974152882999</v>
      </c>
      <c r="GR34" s="1111">
        <v>0</v>
      </c>
      <c r="GS34" s="1111">
        <v>0</v>
      </c>
      <c r="GT34" s="1111">
        <v>0</v>
      </c>
      <c r="GU34" s="1111">
        <v>100.18546659629899</v>
      </c>
      <c r="GV34" s="1111">
        <v>0</v>
      </c>
      <c r="GW34" s="1111">
        <v>22.458449999999999</v>
      </c>
      <c r="GX34" s="1111">
        <v>16.4342338260691</v>
      </c>
      <c r="GY34" s="1111">
        <v>1971.92171955957</v>
      </c>
      <c r="GZ34" s="1111">
        <v>0</v>
      </c>
      <c r="HA34" s="1111">
        <v>0</v>
      </c>
      <c r="HB34" s="1111">
        <v>0</v>
      </c>
      <c r="HC34" s="1111">
        <v>0</v>
      </c>
      <c r="HD34" s="1111">
        <v>0</v>
      </c>
      <c r="HE34" s="1111">
        <v>0.484616402752237</v>
      </c>
      <c r="HF34" s="1111">
        <v>9.2450343042146699</v>
      </c>
      <c r="HG34" s="1111">
        <v>177.17357703101499</v>
      </c>
      <c r="HH34" s="1111">
        <v>1642.1983345927999</v>
      </c>
      <c r="HI34" s="1111">
        <v>249.006610676999</v>
      </c>
      <c r="HJ34" s="1111">
        <v>5.0578798298814096</v>
      </c>
      <c r="HK34" s="1111">
        <v>0</v>
      </c>
      <c r="HL34" s="1111">
        <v>121.70445254692901</v>
      </c>
      <c r="HM34" s="1111">
        <v>175.492825510714</v>
      </c>
      <c r="HN34" s="1111">
        <v>14259.927129358501</v>
      </c>
      <c r="HO34" s="1111">
        <v>70.148906666666704</v>
      </c>
      <c r="HP34" s="1111">
        <v>197.36536267</v>
      </c>
      <c r="HQ34" s="1111">
        <v>0</v>
      </c>
      <c r="HR34" s="1111">
        <v>1.7188744145995101</v>
      </c>
      <c r="HS34" s="1111">
        <v>9.0396345762219106</v>
      </c>
      <c r="HT34" s="1111">
        <v>91.435924789524407</v>
      </c>
      <c r="HU34" s="1111">
        <v>0</v>
      </c>
      <c r="HV34" s="1111">
        <v>0</v>
      </c>
      <c r="HW34" s="1111">
        <v>0</v>
      </c>
      <c r="HX34" s="1111">
        <v>13.95852</v>
      </c>
      <c r="HY34" s="1111">
        <v>53.908929519424198</v>
      </c>
      <c r="HZ34" s="1111">
        <v>0</v>
      </c>
      <c r="IA34" s="1111">
        <v>1037.8092337686501</v>
      </c>
      <c r="IB34" s="1111">
        <v>0.74232854170003704</v>
      </c>
      <c r="IC34" s="1111">
        <v>130.95486932385001</v>
      </c>
      <c r="ID34" s="1111">
        <v>153.894314265964</v>
      </c>
      <c r="IE34" s="1111">
        <v>0.11759357290184901</v>
      </c>
      <c r="IF34" s="1111">
        <v>395.53568993138902</v>
      </c>
      <c r="IG34" s="1111">
        <v>155.832664504327</v>
      </c>
      <c r="IH34" s="1111">
        <v>1185.6308172577999</v>
      </c>
      <c r="II34" s="1111">
        <v>24.265156640739001</v>
      </c>
      <c r="IJ34" s="1111">
        <v>68.862089094547798</v>
      </c>
      <c r="IK34" s="1111">
        <v>25.640730397635899</v>
      </c>
      <c r="IL34" s="1111">
        <v>28.971875454545501</v>
      </c>
      <c r="IM34" s="1111">
        <v>16.775688473472801</v>
      </c>
      <c r="IN34" s="1111">
        <v>35.823908181818197</v>
      </c>
      <c r="IO34" s="1111">
        <v>83.045478978294994</v>
      </c>
      <c r="IP34" s="1111">
        <v>3.5009850035352799E-2</v>
      </c>
      <c r="IQ34" s="1111">
        <v>1.6636459555985099</v>
      </c>
      <c r="IR34" s="1111">
        <v>2.5545652919969401E-2</v>
      </c>
      <c r="IS34" s="1111">
        <v>0.57600818181818203</v>
      </c>
      <c r="IT34" s="1111">
        <v>5.58654545454546E-2</v>
      </c>
      <c r="IU34" s="1111">
        <v>839.42289615004097</v>
      </c>
      <c r="IV34" s="1111">
        <v>60.466918791818301</v>
      </c>
      <c r="IW34" s="1111">
        <v>1789.7536706163</v>
      </c>
      <c r="IX34" s="1111">
        <v>1149.4947546654601</v>
      </c>
      <c r="IY34" s="1111">
        <v>350.10071531701601</v>
      </c>
      <c r="IZ34" s="1111">
        <v>31.477315179787201</v>
      </c>
      <c r="JA34" s="1111">
        <v>18.428333301320599</v>
      </c>
      <c r="JB34" s="1111">
        <v>49.126124141165903</v>
      </c>
      <c r="JC34" s="1111">
        <v>86.254058723827796</v>
      </c>
      <c r="JD34" s="1111">
        <v>104.872369287737</v>
      </c>
      <c r="JE34" s="1111">
        <v>1145.3138970350999</v>
      </c>
      <c r="JF34" s="1111">
        <v>147.859090909092</v>
      </c>
      <c r="JG34" s="1111">
        <v>256.41981818181898</v>
      </c>
      <c r="JH34" s="1111">
        <v>0</v>
      </c>
      <c r="JI34" s="1111">
        <v>42.262691683636397</v>
      </c>
      <c r="JJ34" s="1111">
        <v>43.027417813636497</v>
      </c>
      <c r="JK34" s="1111">
        <v>0</v>
      </c>
      <c r="JL34" s="1111">
        <v>0</v>
      </c>
      <c r="JM34" s="1111">
        <v>1.5409090909090899</v>
      </c>
      <c r="JN34" s="1111">
        <v>0</v>
      </c>
      <c r="JO34" s="1111">
        <v>0</v>
      </c>
      <c r="JP34" s="1111">
        <v>654.20396935603196</v>
      </c>
      <c r="JQ34" s="1111">
        <v>1324.8095603265999</v>
      </c>
      <c r="JR34" s="1111">
        <v>32.240650000000002</v>
      </c>
      <c r="JS34" s="1111">
        <v>3.3304851396811999</v>
      </c>
      <c r="JT34" s="1111">
        <v>3.9153124164935802</v>
      </c>
      <c r="JU34" s="1111">
        <v>1.21329</v>
      </c>
      <c r="JV34" s="1111">
        <v>1.4110039999999999</v>
      </c>
      <c r="JW34" s="1111">
        <v>504.75794124472401</v>
      </c>
      <c r="JX34" s="1111">
        <v>149.99511515306199</v>
      </c>
      <c r="JY34" s="1111">
        <v>69.685550000000006</v>
      </c>
      <c r="JZ34" s="1111">
        <v>540.683915452664</v>
      </c>
      <c r="KA34" s="1111">
        <v>17.576296920000001</v>
      </c>
      <c r="KB34" s="1111">
        <v>0</v>
      </c>
      <c r="KC34" s="1111">
        <v>220.28316682529001</v>
      </c>
      <c r="KD34" s="1111">
        <v>15.885940708315101</v>
      </c>
      <c r="KE34" s="1111">
        <v>58.149396263104101</v>
      </c>
      <c r="KF34" s="1111">
        <v>1.12355097290387</v>
      </c>
      <c r="KG34" s="1111">
        <v>0.16050728184341001</v>
      </c>
      <c r="KH34" s="1111">
        <v>6.9354149009031101</v>
      </c>
      <c r="KI34" s="1111">
        <v>14.481436289706499</v>
      </c>
      <c r="KJ34" s="1111">
        <v>123.546920408514</v>
      </c>
      <c r="KK34" s="1111">
        <v>323.82261358797001</v>
      </c>
      <c r="KL34" s="1111">
        <v>277.092505537676</v>
      </c>
      <c r="KM34" s="1111">
        <v>46.730108050296103</v>
      </c>
      <c r="KN34" s="1111">
        <v>86.748056631946994</v>
      </c>
      <c r="KO34" s="1111">
        <v>86.7476231817854</v>
      </c>
      <c r="KP34" s="1111">
        <v>4.3345016179085902E-4</v>
      </c>
      <c r="KQ34" s="1111">
        <v>-4965.6370119904996</v>
      </c>
      <c r="KR34" s="1111">
        <v>-4937.1867449718802</v>
      </c>
      <c r="KS34" s="1111">
        <v>17.439743129148901</v>
      </c>
      <c r="KT34" s="1111">
        <v>-6.87661165268762</v>
      </c>
      <c r="KU34" s="1111">
        <v>-34.5507461203104</v>
      </c>
      <c r="KV34" s="1111">
        <v>-4.4626523747960398</v>
      </c>
      <c r="KW34" s="1111">
        <v>0</v>
      </c>
      <c r="KX34" s="1111">
        <v>3073.5801188517999</v>
      </c>
      <c r="KY34" s="1111">
        <v>-1.23668413376432</v>
      </c>
      <c r="KZ34" s="1111">
        <v>1555.1233661056499</v>
      </c>
      <c r="LA34" s="1111">
        <v>0.19878554344626001</v>
      </c>
      <c r="LB34" s="1111">
        <v>0</v>
      </c>
      <c r="LC34" s="1111">
        <v>1526.3185671122801</v>
      </c>
      <c r="LD34" s="1111">
        <v>-6.8239157758039202</v>
      </c>
      <c r="LE34" s="1111">
        <v>-2300.1448104405999</v>
      </c>
      <c r="LF34" s="1111">
        <v>48.217500000000001</v>
      </c>
      <c r="LG34" s="1111">
        <v>-1326.45274818026</v>
      </c>
      <c r="LH34" s="1111">
        <v>167.67110219449299</v>
      </c>
      <c r="LI34" s="1111">
        <v>63.026539840831603</v>
      </c>
      <c r="LJ34" s="1111">
        <v>-997.18085319595605</v>
      </c>
      <c r="LK34" s="1111">
        <v>1.1402275545920699</v>
      </c>
      <c r="LL34" s="1111">
        <v>-256.56657865425899</v>
      </c>
      <c r="LM34" s="1111">
        <v>73.288635214194002</v>
      </c>
      <c r="LN34" s="1111">
        <v>73.276442203670001</v>
      </c>
      <c r="LO34" s="1111">
        <v>3.1952E-3</v>
      </c>
      <c r="LP34" s="1111">
        <v>8.9978105242666598E-3</v>
      </c>
      <c r="LQ34" s="1111">
        <v>1721.7505760880999</v>
      </c>
      <c r="LR34" s="1111">
        <v>625.39374552332299</v>
      </c>
      <c r="LS34" s="1111">
        <v>12.877583992799901</v>
      </c>
      <c r="LT34" s="1111">
        <v>93.262728310589495</v>
      </c>
      <c r="LU34" s="1111">
        <v>192.574364996828</v>
      </c>
      <c r="LV34" s="1111">
        <v>797.64215326459305</v>
      </c>
      <c r="LW34" s="1111">
        <v>0</v>
      </c>
      <c r="LX34" s="1111">
        <v>0</v>
      </c>
      <c r="LY34" s="1111">
        <v>-623.50825350587002</v>
      </c>
      <c r="LZ34" s="1111">
        <v>-571.84080329304902</v>
      </c>
      <c r="MA34" s="1111">
        <v>-51.667450212824399</v>
      </c>
      <c r="MB34" s="1111">
        <v>72.593427763055004</v>
      </c>
      <c r="MC34" s="1111">
        <v>0</v>
      </c>
      <c r="MD34" s="1111">
        <v>47.456054922171198</v>
      </c>
      <c r="ME34" s="1111">
        <v>25.137372840884101</v>
      </c>
      <c r="MF34" s="1111">
        <v>8882.7976423528999</v>
      </c>
      <c r="MG34" s="1111">
        <v>1.7748229905614199E-2</v>
      </c>
      <c r="MH34" s="1111">
        <v>635.48341175344501</v>
      </c>
      <c r="MI34" s="1111">
        <v>5.3502427281136598E-2</v>
      </c>
      <c r="MJ34" s="1111">
        <v>6.4691772578215706E-2</v>
      </c>
      <c r="MK34" s="1111">
        <v>8247.17828816972</v>
      </c>
      <c r="ML34" s="1111">
        <v>3145.4085773545999</v>
      </c>
      <c r="MM34" s="1111">
        <v>1640.7506006276799</v>
      </c>
      <c r="MN34" s="1111">
        <v>1504.65797672696</v>
      </c>
    </row>
    <row r="35" spans="1:352" ht="13.9" x14ac:dyDescent="0.4">
      <c r="A35" s="1096">
        <v>2015</v>
      </c>
      <c r="B35" s="1145">
        <v>109359.73484601</v>
      </c>
      <c r="C35" s="1111">
        <v>136.70527488889101</v>
      </c>
      <c r="D35" s="1111">
        <v>1.6325758859999999</v>
      </c>
      <c r="E35" s="1111">
        <v>17837.216518627301</v>
      </c>
      <c r="F35" s="1111">
        <v>0</v>
      </c>
      <c r="G35" s="1111">
        <v>244.55611113790999</v>
      </c>
      <c r="H35" s="1111">
        <v>255.013521094232</v>
      </c>
      <c r="I35" s="1111">
        <v>0</v>
      </c>
      <c r="J35" s="1111">
        <v>9320.6880782859607</v>
      </c>
      <c r="K35" s="1111">
        <v>0</v>
      </c>
      <c r="L35" s="1111">
        <v>0</v>
      </c>
      <c r="M35" s="1111">
        <v>29.561232</v>
      </c>
      <c r="N35" s="1111">
        <v>924.13892686691202</v>
      </c>
      <c r="O35" s="1111">
        <v>0</v>
      </c>
      <c r="P35" s="1111">
        <v>0</v>
      </c>
      <c r="Q35" s="1111">
        <v>39.1874574951635</v>
      </c>
      <c r="R35" s="1111">
        <v>0</v>
      </c>
      <c r="S35" s="1111">
        <v>0</v>
      </c>
      <c r="T35" s="1111">
        <v>241.68081168551001</v>
      </c>
      <c r="U35" s="1111">
        <v>0</v>
      </c>
      <c r="V35" s="1111">
        <v>7.0863410103809796</v>
      </c>
      <c r="W35" s="1111">
        <v>44.536000000000001</v>
      </c>
      <c r="X35" s="1111">
        <v>104.39296</v>
      </c>
      <c r="Y35" s="1111">
        <v>632.91183703886895</v>
      </c>
      <c r="Z35" s="1111">
        <v>1557.0857308843299</v>
      </c>
      <c r="AA35" s="1111">
        <v>0</v>
      </c>
      <c r="AB35" s="1111">
        <v>1094.5299121963601</v>
      </c>
      <c r="AC35" s="1111">
        <v>174.985435785823</v>
      </c>
      <c r="AD35" s="1111">
        <v>122.409399720716</v>
      </c>
      <c r="AE35" s="1111">
        <v>0</v>
      </c>
      <c r="AF35" s="1111">
        <v>0</v>
      </c>
      <c r="AG35" s="1111">
        <v>0</v>
      </c>
      <c r="AH35" s="1111">
        <v>0</v>
      </c>
      <c r="AI35" s="1111">
        <v>480.81453982862598</v>
      </c>
      <c r="AJ35" s="1111">
        <v>1842.4984826586201</v>
      </c>
      <c r="AK35" s="1111">
        <v>9.1089835502865206</v>
      </c>
      <c r="AL35" s="1111">
        <v>183.137848879552</v>
      </c>
      <c r="AM35" s="1111">
        <v>70.330460171374398</v>
      </c>
      <c r="AN35" s="1111">
        <v>850.56050770228705</v>
      </c>
      <c r="AO35" s="1111">
        <v>0</v>
      </c>
      <c r="AP35" s="1111">
        <v>0</v>
      </c>
      <c r="AQ35" s="1111">
        <v>18.425625719853901</v>
      </c>
      <c r="AR35" s="1111">
        <v>3.9655010177592001</v>
      </c>
      <c r="AS35" s="1111">
        <v>0</v>
      </c>
      <c r="AT35" s="1111">
        <v>0</v>
      </c>
      <c r="AU35" s="1111">
        <v>342.10598826271098</v>
      </c>
      <c r="AV35" s="1111">
        <v>0</v>
      </c>
      <c r="AW35" s="1111">
        <v>0</v>
      </c>
      <c r="AX35" s="1111">
        <v>0</v>
      </c>
      <c r="AY35" s="1111">
        <v>0</v>
      </c>
      <c r="AZ35" s="1111">
        <v>0</v>
      </c>
      <c r="BA35" s="1111">
        <v>0</v>
      </c>
      <c r="BB35" s="1111">
        <v>0</v>
      </c>
      <c r="BC35" s="1111">
        <v>0</v>
      </c>
      <c r="BD35" s="1111">
        <v>0</v>
      </c>
      <c r="BE35" s="1111">
        <v>1039.69307994575</v>
      </c>
      <c r="BF35" s="1111">
        <v>26.6744971086436</v>
      </c>
      <c r="BG35" s="1111">
        <v>0</v>
      </c>
      <c r="BH35" s="1111">
        <v>16.1795049746849</v>
      </c>
      <c r="BI35" s="1111">
        <v>2120.1530267940998</v>
      </c>
      <c r="BJ35" s="1111">
        <v>31.6260667128028</v>
      </c>
      <c r="BK35" s="1111">
        <v>12.1693020383453</v>
      </c>
      <c r="BL35" s="1111">
        <v>106.29850220779301</v>
      </c>
      <c r="BM35" s="1111">
        <v>19.538105785380999</v>
      </c>
      <c r="BN35" s="1111">
        <v>2.9592457081018901</v>
      </c>
      <c r="BO35" s="1111">
        <v>1.77759062633285</v>
      </c>
      <c r="BP35" s="1111">
        <v>289.37172801221999</v>
      </c>
      <c r="BQ35" s="1111">
        <v>0</v>
      </c>
      <c r="BR35" s="1111">
        <v>6.4222824302208101</v>
      </c>
      <c r="BS35" s="1111">
        <v>5.13668095435143</v>
      </c>
      <c r="BT35" s="1111">
        <v>24.7804909101521</v>
      </c>
      <c r="BU35" s="1111">
        <v>0.29006999999999999</v>
      </c>
      <c r="BV35" s="1111">
        <v>0.21761690606923501</v>
      </c>
      <c r="BW35" s="1111">
        <v>165.39690438996999</v>
      </c>
      <c r="BX35" s="1111">
        <v>61.7816765481003</v>
      </c>
      <c r="BY35" s="1111">
        <v>24.207660000000001</v>
      </c>
      <c r="BZ35" s="1111">
        <v>2.76754793383216</v>
      </c>
      <c r="CA35" s="1111">
        <v>1224.9942250363799</v>
      </c>
      <c r="CB35" s="1111">
        <v>91.2965454584551</v>
      </c>
      <c r="CC35" s="1111">
        <v>0.62409000000000003</v>
      </c>
      <c r="CD35" s="1111">
        <v>0.93522673378696797</v>
      </c>
      <c r="CE35" s="1111">
        <v>314.50796858950201</v>
      </c>
      <c r="CF35" s="1111">
        <v>50.6956674567164</v>
      </c>
      <c r="CG35" s="1111">
        <v>62.347470000000001</v>
      </c>
      <c r="CH35" s="1111">
        <v>0.97721842778854395</v>
      </c>
      <c r="CI35" s="1111">
        <v>988.41592532206801</v>
      </c>
      <c r="CJ35" s="1111">
        <v>40.451974339597797</v>
      </c>
      <c r="CK35" s="1111">
        <v>0</v>
      </c>
      <c r="CL35" s="1111">
        <v>73.096661246155904</v>
      </c>
      <c r="CM35" s="1111">
        <v>5.82567208540938</v>
      </c>
      <c r="CN35" s="1111">
        <v>382.68004090909</v>
      </c>
      <c r="CO35" s="1111">
        <v>0</v>
      </c>
      <c r="CP35" s="1111">
        <v>8.9285646769754905</v>
      </c>
      <c r="CQ35" s="1111">
        <v>3.4975824127522701</v>
      </c>
      <c r="CR35" s="1111">
        <v>38.554606363636402</v>
      </c>
      <c r="CS35" s="1111">
        <v>44.997389855789301</v>
      </c>
      <c r="CT35" s="1111">
        <v>0.39830015498181798</v>
      </c>
      <c r="CU35" s="1111">
        <v>67.369592728289206</v>
      </c>
      <c r="CV35" s="1111">
        <v>39.838540909090902</v>
      </c>
      <c r="CW35" s="1111">
        <v>245.91715822368801</v>
      </c>
      <c r="CX35" s="1111">
        <v>1254.6155974087401</v>
      </c>
      <c r="CY35" s="1111">
        <v>160.26744963182901</v>
      </c>
      <c r="CZ35" s="1111">
        <v>1087.3389041139901</v>
      </c>
      <c r="DA35" s="1111">
        <v>741.509807878743</v>
      </c>
      <c r="DB35" s="1111">
        <v>0</v>
      </c>
      <c r="DC35" s="1111">
        <v>5.3424160262041498E-2</v>
      </c>
      <c r="DD35" s="1111">
        <v>0.58231423557788797</v>
      </c>
      <c r="DE35" s="1111">
        <v>101.728976027976</v>
      </c>
      <c r="DF35" s="1111">
        <v>47.312939662738501</v>
      </c>
      <c r="DG35" s="1111">
        <v>640.86145661791102</v>
      </c>
      <c r="DH35" s="1111">
        <v>2260.2449049099</v>
      </c>
      <c r="DI35" s="1111">
        <v>0</v>
      </c>
      <c r="DJ35" s="1111">
        <v>25.4527981288416</v>
      </c>
      <c r="DK35" s="1111">
        <v>0</v>
      </c>
      <c r="DL35" s="1111">
        <v>0</v>
      </c>
      <c r="DM35" s="1111">
        <v>101.658907912627</v>
      </c>
      <c r="DN35" s="1111">
        <v>15.197789079322799</v>
      </c>
      <c r="DO35" s="1111">
        <v>523.04957738156099</v>
      </c>
      <c r="DP35" s="1111">
        <v>418.34641056498299</v>
      </c>
      <c r="DQ35" s="1111">
        <v>0.75130195499152996</v>
      </c>
      <c r="DR35" s="1111">
        <v>16.397811317896998</v>
      </c>
      <c r="DS35" s="1111">
        <v>0</v>
      </c>
      <c r="DT35" s="1111">
        <v>1.8517903833787499</v>
      </c>
      <c r="DU35" s="1111">
        <v>0</v>
      </c>
      <c r="DV35" s="1111">
        <v>0.497828420115635</v>
      </c>
      <c r="DW35" s="1111">
        <v>0</v>
      </c>
      <c r="DX35" s="1111">
        <v>1.28715396165147</v>
      </c>
      <c r="DY35" s="1111">
        <v>8.1589304856737606</v>
      </c>
      <c r="DZ35" s="1111">
        <v>110.470998868363</v>
      </c>
      <c r="EA35" s="1111">
        <v>0.46223383615212599</v>
      </c>
      <c r="EB35" s="1111">
        <v>34.084105090244798</v>
      </c>
      <c r="EC35" s="1111">
        <v>0</v>
      </c>
      <c r="ED35" s="1111">
        <v>15.379890319686</v>
      </c>
      <c r="EE35" s="1111">
        <v>0</v>
      </c>
      <c r="EF35" s="1111">
        <v>0.92641960068307705</v>
      </c>
      <c r="EG35" s="1111">
        <v>0</v>
      </c>
      <c r="EH35" s="1111">
        <v>24.789192834490301</v>
      </c>
      <c r="EI35" s="1111">
        <v>0.22653137186059799</v>
      </c>
      <c r="EJ35" s="1111">
        <v>310.50420916495</v>
      </c>
      <c r="EK35" s="1111">
        <v>3747.8251991039101</v>
      </c>
      <c r="EL35" s="1111">
        <v>3717.2561517357899</v>
      </c>
      <c r="EM35" s="1111">
        <v>4506.9460891159997</v>
      </c>
      <c r="EN35" s="1111">
        <v>3205.82575350352</v>
      </c>
      <c r="EO35" s="1111">
        <v>1453.12529813929</v>
      </c>
      <c r="EP35" s="1111">
        <v>2094.2596855807801</v>
      </c>
      <c r="EQ35" s="1111">
        <v>71.379861805155002</v>
      </c>
      <c r="ER35" s="1111">
        <v>2029.17297300517</v>
      </c>
      <c r="ES35" s="1111">
        <v>78.915752052563903</v>
      </c>
      <c r="ET35" s="1111">
        <v>1655.2402784707101</v>
      </c>
      <c r="EU35" s="1111">
        <v>34.381926599348098</v>
      </c>
      <c r="EV35" s="1111">
        <v>1052.84651836833</v>
      </c>
      <c r="EW35" s="1111">
        <v>240.90533207083001</v>
      </c>
      <c r="EX35" s="1111">
        <v>1154.3415529598699</v>
      </c>
      <c r="EY35" s="1111">
        <v>954.18280151027795</v>
      </c>
      <c r="EZ35" s="1111">
        <v>697.752095421283</v>
      </c>
      <c r="FA35" s="1111">
        <v>267.71418611835799</v>
      </c>
      <c r="FB35" s="1111">
        <v>601.54883028415304</v>
      </c>
      <c r="FC35" s="1111">
        <v>68.865111199539498</v>
      </c>
      <c r="FD35" s="1111">
        <v>1778.62454579577</v>
      </c>
      <c r="FE35" s="1111">
        <v>586.17117449917998</v>
      </c>
      <c r="FF35" s="1111">
        <v>56.111351892711099</v>
      </c>
      <c r="FG35" s="1111">
        <v>3.0209106348010901</v>
      </c>
      <c r="FH35" s="1111">
        <v>0.12938175833919499</v>
      </c>
      <c r="FI35" s="1111">
        <v>1.3770523046354699</v>
      </c>
      <c r="FJ35" s="1111">
        <v>66.237868396278003</v>
      </c>
      <c r="FK35" s="1111">
        <v>15.4109681247824</v>
      </c>
      <c r="FL35" s="1111">
        <v>65.658752864546898</v>
      </c>
      <c r="FM35" s="1111">
        <v>24.328361713597801</v>
      </c>
      <c r="FN35" s="1111">
        <v>1.6150731736363599</v>
      </c>
      <c r="FO35" s="1111">
        <v>178.44006042759801</v>
      </c>
      <c r="FP35" s="1111">
        <v>202.661670695807</v>
      </c>
      <c r="FQ35" s="1111">
        <v>158.969361702128</v>
      </c>
      <c r="FR35" s="1111">
        <v>9.7615759090909204</v>
      </c>
      <c r="FS35" s="1111">
        <v>155.10983910972601</v>
      </c>
      <c r="FT35" s="1111">
        <v>1114.3866084441599</v>
      </c>
      <c r="FU35" s="1111">
        <v>1.84877733961693</v>
      </c>
      <c r="FV35" s="1111">
        <v>0</v>
      </c>
      <c r="FW35" s="1111">
        <v>0</v>
      </c>
      <c r="FX35" s="1111">
        <v>86.046926130162504</v>
      </c>
      <c r="FY35" s="1111">
        <v>38.674398204112698</v>
      </c>
      <c r="FZ35" s="1111">
        <v>52.5419916357326</v>
      </c>
      <c r="GA35" s="1111">
        <v>0</v>
      </c>
      <c r="GB35" s="1111">
        <v>0</v>
      </c>
      <c r="GC35" s="1111">
        <v>34.495221695252397</v>
      </c>
      <c r="GD35" s="1111">
        <v>0</v>
      </c>
      <c r="GE35" s="1111">
        <v>1.9897622145646601</v>
      </c>
      <c r="GF35" s="1111">
        <v>0</v>
      </c>
      <c r="GG35" s="1111">
        <v>15.895119754710899</v>
      </c>
      <c r="GH35" s="1111">
        <v>0.77837043455555099</v>
      </c>
      <c r="GI35" s="1111">
        <v>0.70096803259049401</v>
      </c>
      <c r="GJ35" s="1111">
        <v>0.202132301845038</v>
      </c>
      <c r="GK35" s="1111">
        <v>5.6572687363984402</v>
      </c>
      <c r="GL35" s="1111">
        <v>137.735643985547</v>
      </c>
      <c r="GM35" s="1111">
        <v>7.79299668863443</v>
      </c>
      <c r="GN35" s="1111">
        <v>0</v>
      </c>
      <c r="GO35" s="1111">
        <v>66.382080000000002</v>
      </c>
      <c r="GP35" s="1111">
        <v>36.4918730363501</v>
      </c>
      <c r="GQ35" s="1111">
        <v>2956.98924140291</v>
      </c>
      <c r="GR35" s="1111">
        <v>0</v>
      </c>
      <c r="GS35" s="1111">
        <v>0</v>
      </c>
      <c r="GT35" s="1111">
        <v>0</v>
      </c>
      <c r="GU35" s="1111">
        <v>18.923993625566499</v>
      </c>
      <c r="GV35" s="1111">
        <v>0</v>
      </c>
      <c r="GW35" s="1111">
        <v>24.849329999999998</v>
      </c>
      <c r="GX35" s="1111">
        <v>20.602961345754402</v>
      </c>
      <c r="GY35" s="1111">
        <v>2103.73590851173</v>
      </c>
      <c r="GZ35" s="1111">
        <v>0</v>
      </c>
      <c r="HA35" s="1111">
        <v>0</v>
      </c>
      <c r="HB35" s="1111">
        <v>0</v>
      </c>
      <c r="HC35" s="1111">
        <v>0</v>
      </c>
      <c r="HD35" s="1111">
        <v>0</v>
      </c>
      <c r="HE35" s="1111">
        <v>0.35963372498524399</v>
      </c>
      <c r="HF35" s="1111">
        <v>9.32337217794176</v>
      </c>
      <c r="HG35" s="1111">
        <v>179.796673199248</v>
      </c>
      <c r="HH35" s="1111">
        <v>1652.4894054208</v>
      </c>
      <c r="HI35" s="1111">
        <v>249.37070119797099</v>
      </c>
      <c r="HJ35" s="1111">
        <v>2.1769471522132</v>
      </c>
      <c r="HK35" s="1111">
        <v>0</v>
      </c>
      <c r="HL35" s="1111">
        <v>126.65443891638201</v>
      </c>
      <c r="HM35" s="1111">
        <v>168.76026111735499</v>
      </c>
      <c r="HN35" s="1111">
        <v>14939.5339406536</v>
      </c>
      <c r="HO35" s="1111">
        <v>81.451466666666704</v>
      </c>
      <c r="HP35" s="1111">
        <v>183.26413916999999</v>
      </c>
      <c r="HQ35" s="1111">
        <v>0</v>
      </c>
      <c r="HR35" s="1111">
        <v>1.3180072813533901</v>
      </c>
      <c r="HS35" s="1111">
        <v>9.1293534086443096</v>
      </c>
      <c r="HT35" s="1111">
        <v>92.343430988409594</v>
      </c>
      <c r="HU35" s="1111">
        <v>0</v>
      </c>
      <c r="HV35" s="1111">
        <v>0</v>
      </c>
      <c r="HW35" s="1111">
        <v>0</v>
      </c>
      <c r="HX35" s="1111">
        <v>14.767200000000001</v>
      </c>
      <c r="HY35" s="1111">
        <v>49.281356690725602</v>
      </c>
      <c r="HZ35" s="1111">
        <v>0</v>
      </c>
      <c r="IA35" s="1111">
        <v>1081.1532978676901</v>
      </c>
      <c r="IB35" s="1111">
        <v>0.94518456266042705</v>
      </c>
      <c r="IC35" s="1111">
        <v>139.57614435403201</v>
      </c>
      <c r="ID35" s="1111">
        <v>144.83880439664699</v>
      </c>
      <c r="IE35" s="1111">
        <v>3.8827880512091102E-3</v>
      </c>
      <c r="IF35" s="1111">
        <v>329.71855537250599</v>
      </c>
      <c r="IG35" s="1111">
        <v>123.576010700211</v>
      </c>
      <c r="IH35" s="1111">
        <v>1256.3023319008</v>
      </c>
      <c r="II35" s="1111">
        <v>25.095033010325299</v>
      </c>
      <c r="IJ35" s="1111">
        <v>68.623126174374804</v>
      </c>
      <c r="IK35" s="1111">
        <v>29.523091842488999</v>
      </c>
      <c r="IL35" s="1111">
        <v>18.280609090909099</v>
      </c>
      <c r="IM35" s="1111">
        <v>28.5834990025586</v>
      </c>
      <c r="IN35" s="1111">
        <v>14.458734545454501</v>
      </c>
      <c r="IO35" s="1111">
        <v>67.281872468741696</v>
      </c>
      <c r="IP35" s="1111">
        <v>3.6497568988161297E-2</v>
      </c>
      <c r="IQ35" s="1111">
        <v>1.6437294908414599</v>
      </c>
      <c r="IR35" s="1111">
        <v>2.75645417845179E-2</v>
      </c>
      <c r="IS35" s="1111">
        <v>2.61078818181818</v>
      </c>
      <c r="IT35" s="1111">
        <v>0.21341258181818501</v>
      </c>
      <c r="IU35" s="1111">
        <v>926.454043997996</v>
      </c>
      <c r="IV35" s="1111">
        <v>73.470329402727302</v>
      </c>
      <c r="IW35" s="1111">
        <v>1807.5951579924999</v>
      </c>
      <c r="IX35" s="1111">
        <v>1213.8752567352701</v>
      </c>
      <c r="IY35" s="1111">
        <v>332.66726968332199</v>
      </c>
      <c r="IZ35" s="1111">
        <v>30.552538027059999</v>
      </c>
      <c r="JA35" s="1111">
        <v>16.886904108593299</v>
      </c>
      <c r="JB35" s="1111">
        <v>48.325650202075003</v>
      </c>
      <c r="JC35" s="1111">
        <v>88.551397227559704</v>
      </c>
      <c r="JD35" s="1111">
        <v>76.736142008618103</v>
      </c>
      <c r="JE35" s="1111">
        <v>1258.242979073</v>
      </c>
      <c r="JF35" s="1111">
        <v>156.83372727272601</v>
      </c>
      <c r="JG35" s="1111">
        <v>280.14333751636298</v>
      </c>
      <c r="JH35" s="1111">
        <v>0</v>
      </c>
      <c r="JI35" s="1111">
        <v>50.566522197272803</v>
      </c>
      <c r="JJ35" s="1111">
        <v>38.361877726363502</v>
      </c>
      <c r="JK35" s="1111">
        <v>0</v>
      </c>
      <c r="JL35" s="1111">
        <v>0</v>
      </c>
      <c r="JM35" s="1111">
        <v>1.5409090909090899</v>
      </c>
      <c r="JN35" s="1111">
        <v>0</v>
      </c>
      <c r="JO35" s="1111">
        <v>0</v>
      </c>
      <c r="JP35" s="1111">
        <v>730.79660526933003</v>
      </c>
      <c r="JQ35" s="1111">
        <v>1206.3210968392</v>
      </c>
      <c r="JR35" s="1111">
        <v>47.262300000000003</v>
      </c>
      <c r="JS35" s="1111">
        <v>2.68297170818408</v>
      </c>
      <c r="JT35" s="1111">
        <v>3.7175124164935802</v>
      </c>
      <c r="JU35" s="1111">
        <v>1.1489400000000001</v>
      </c>
      <c r="JV35" s="1111">
        <v>1.267112</v>
      </c>
      <c r="JW35" s="1111">
        <v>512.38669409581701</v>
      </c>
      <c r="JX35" s="1111">
        <v>124.410104278875</v>
      </c>
      <c r="JY35" s="1111">
        <v>54.252699999999997</v>
      </c>
      <c r="JZ35" s="1111">
        <v>439.20963777983502</v>
      </c>
      <c r="KA35" s="1111">
        <v>19.98312456</v>
      </c>
      <c r="KB35" s="1111">
        <v>0</v>
      </c>
      <c r="KC35" s="1111">
        <v>94.239024583363005</v>
      </c>
      <c r="KD35" s="1111">
        <v>10.983197393375301</v>
      </c>
      <c r="KE35" s="1111">
        <v>59.113873993505003</v>
      </c>
      <c r="KF35" s="1111">
        <v>0.73600220796230698</v>
      </c>
      <c r="KG35" s="1111">
        <v>0.12266703466038401</v>
      </c>
      <c r="KH35" s="1111">
        <v>7.3762008156469099</v>
      </c>
      <c r="KI35" s="1111">
        <v>15.9070831382128</v>
      </c>
      <c r="KJ35" s="1111">
        <v>0</v>
      </c>
      <c r="KK35" s="1111">
        <v>250.43527758906001</v>
      </c>
      <c r="KL35" s="1111">
        <v>206.403564782915</v>
      </c>
      <c r="KM35" s="1111">
        <v>44.031712806143702</v>
      </c>
      <c r="KN35" s="1111">
        <v>96.215609138985997</v>
      </c>
      <c r="KO35" s="1111">
        <v>96.215010327802602</v>
      </c>
      <c r="KP35" s="1111">
        <v>5.9881118300548705E-4</v>
      </c>
      <c r="KQ35" s="1111">
        <v>-4960.9950574313998</v>
      </c>
      <c r="KR35" s="1111">
        <v>-4911.5890107813502</v>
      </c>
      <c r="KS35" s="1111">
        <v>0</v>
      </c>
      <c r="KT35" s="1111">
        <v>-7.6437078973381496</v>
      </c>
      <c r="KU35" s="1111">
        <v>-36.733557228869202</v>
      </c>
      <c r="KV35" s="1111">
        <v>-5.0287815238043896</v>
      </c>
      <c r="KW35" s="1111">
        <v>0</v>
      </c>
      <c r="KX35" s="1111">
        <v>3054.7105220697999</v>
      </c>
      <c r="KY35" s="1111">
        <v>-9.2060307507358292</v>
      </c>
      <c r="KZ35" s="1111">
        <v>1582.1736022682901</v>
      </c>
      <c r="LA35" s="1111">
        <v>0.20683165637192</v>
      </c>
      <c r="LB35" s="1111">
        <v>0</v>
      </c>
      <c r="LC35" s="1111">
        <v>1487.6716254079499</v>
      </c>
      <c r="LD35" s="1111">
        <v>-6.1355065121097896</v>
      </c>
      <c r="LE35" s="1111">
        <v>-2364.5753117893</v>
      </c>
      <c r="LF35" s="1111">
        <v>48.217500000000001</v>
      </c>
      <c r="LG35" s="1111">
        <v>-1346.6766342541</v>
      </c>
      <c r="LH35" s="1111">
        <v>147.70173748723599</v>
      </c>
      <c r="LI35" s="1111">
        <v>50.305037200701598</v>
      </c>
      <c r="LJ35" s="1111">
        <v>-1004.0183852937801</v>
      </c>
      <c r="LK35" s="1111">
        <v>1.3329605652680601</v>
      </c>
      <c r="LL35" s="1111">
        <v>-261.437527494579</v>
      </c>
      <c r="LM35" s="1111">
        <v>87.247796996773005</v>
      </c>
      <c r="LN35" s="1111">
        <v>87.237891186248405</v>
      </c>
      <c r="LO35" s="1111">
        <v>9.0799999999999995E-4</v>
      </c>
      <c r="LP35" s="1111">
        <v>8.9978105242666598E-3</v>
      </c>
      <c r="LQ35" s="1111">
        <v>1728.4108865426999</v>
      </c>
      <c r="LR35" s="1111">
        <v>621.75242571482704</v>
      </c>
      <c r="LS35" s="1111">
        <v>16.515610958253198</v>
      </c>
      <c r="LT35" s="1111">
        <v>102.04399230860101</v>
      </c>
      <c r="LU35" s="1111">
        <v>195.99121354772399</v>
      </c>
      <c r="LV35" s="1111">
        <v>792.10764401324604</v>
      </c>
      <c r="LW35" s="1111">
        <v>0</v>
      </c>
      <c r="LX35" s="1111">
        <v>0</v>
      </c>
      <c r="LY35" s="1111">
        <v>-593.30757164894999</v>
      </c>
      <c r="LZ35" s="1111">
        <v>-551.50335200175198</v>
      </c>
      <c r="MA35" s="1111">
        <v>-41.804219647201002</v>
      </c>
      <c r="MB35" s="1111">
        <v>67.837006573439993</v>
      </c>
      <c r="MC35" s="1111">
        <v>0</v>
      </c>
      <c r="MD35" s="1111">
        <v>44.720943988136497</v>
      </c>
      <c r="ME35" s="1111">
        <v>23.116062585303801</v>
      </c>
      <c r="MF35" s="1111">
        <v>9032.4004305240996</v>
      </c>
      <c r="MG35" s="1111">
        <v>1.4689406708163001E-2</v>
      </c>
      <c r="MH35" s="1111">
        <v>646.84121539266198</v>
      </c>
      <c r="MI35" s="1111">
        <v>4.0889011553461599E-2</v>
      </c>
      <c r="MJ35" s="1111">
        <v>5.5450156562608099E-2</v>
      </c>
      <c r="MK35" s="1111">
        <v>8385.4481865565995</v>
      </c>
      <c r="ML35" s="1111">
        <v>2906.7670326037</v>
      </c>
      <c r="MM35" s="1111">
        <v>1401.64986558857</v>
      </c>
      <c r="MN35" s="1111">
        <v>1505.11716701516</v>
      </c>
    </row>
    <row r="36" spans="1:352" ht="13.9" x14ac:dyDescent="0.4">
      <c r="A36" s="1096">
        <v>2016</v>
      </c>
      <c r="B36" s="1145">
        <v>103800.94615692001</v>
      </c>
      <c r="C36" s="1111">
        <v>143.24062856727301</v>
      </c>
      <c r="D36" s="1111">
        <v>3.9766319224000002</v>
      </c>
      <c r="E36" s="1111">
        <v>7406.4846143210298</v>
      </c>
      <c r="F36" s="1111">
        <v>0</v>
      </c>
      <c r="G36" s="1111">
        <v>264.79987560104303</v>
      </c>
      <c r="H36" s="1111">
        <v>242.98378488329701</v>
      </c>
      <c r="I36" s="1111">
        <v>0</v>
      </c>
      <c r="J36" s="1111">
        <v>13596.363293796099</v>
      </c>
      <c r="K36" s="1111">
        <v>0</v>
      </c>
      <c r="L36" s="1111">
        <v>0</v>
      </c>
      <c r="M36" s="1111">
        <v>0</v>
      </c>
      <c r="N36" s="1111">
        <v>1136.19217485697</v>
      </c>
      <c r="O36" s="1111">
        <v>0</v>
      </c>
      <c r="P36" s="1111">
        <v>0</v>
      </c>
      <c r="Q36" s="1111">
        <v>38.9451554844035</v>
      </c>
      <c r="R36" s="1111">
        <v>0</v>
      </c>
      <c r="S36" s="1111">
        <v>0</v>
      </c>
      <c r="T36" s="1111">
        <v>203.412806726479</v>
      </c>
      <c r="U36" s="1111">
        <v>8.6999999999999994E-3</v>
      </c>
      <c r="V36" s="1111">
        <v>6.63191937707139</v>
      </c>
      <c r="W36" s="1111">
        <v>0</v>
      </c>
      <c r="X36" s="1111">
        <v>80.523660000000007</v>
      </c>
      <c r="Y36" s="1111">
        <v>624.66071418243905</v>
      </c>
      <c r="Z36" s="1111">
        <v>1663.2083115867299</v>
      </c>
      <c r="AA36" s="1111">
        <v>0</v>
      </c>
      <c r="AB36" s="1111">
        <v>1129.1129353690901</v>
      </c>
      <c r="AC36" s="1111">
        <v>173.92500205166701</v>
      </c>
      <c r="AD36" s="1111">
        <v>60.081022668813503</v>
      </c>
      <c r="AE36" s="1111">
        <v>0</v>
      </c>
      <c r="AF36" s="1111">
        <v>0</v>
      </c>
      <c r="AG36" s="1111">
        <v>0</v>
      </c>
      <c r="AH36" s="1111">
        <v>0</v>
      </c>
      <c r="AI36" s="1111">
        <v>470.24283625248597</v>
      </c>
      <c r="AJ36" s="1111">
        <v>1845.8417686602199</v>
      </c>
      <c r="AK36" s="1111">
        <v>12.4792731663682</v>
      </c>
      <c r="AL36" s="1111">
        <v>250.898163406729</v>
      </c>
      <c r="AM36" s="1111">
        <v>50.486963747514601</v>
      </c>
      <c r="AN36" s="1111">
        <v>769.31934841032103</v>
      </c>
      <c r="AO36" s="1111">
        <v>0</v>
      </c>
      <c r="AP36" s="1111">
        <v>0</v>
      </c>
      <c r="AQ36" s="1111">
        <v>23.314057033284399</v>
      </c>
      <c r="AR36" s="1111">
        <v>3.7143238122217599</v>
      </c>
      <c r="AS36" s="1111">
        <v>0</v>
      </c>
      <c r="AT36" s="1111">
        <v>0</v>
      </c>
      <c r="AU36" s="1111">
        <v>348.01261068539998</v>
      </c>
      <c r="AV36" s="1111">
        <v>0</v>
      </c>
      <c r="AW36" s="1111">
        <v>0</v>
      </c>
      <c r="AX36" s="1111">
        <v>0</v>
      </c>
      <c r="AY36" s="1111">
        <v>0</v>
      </c>
      <c r="AZ36" s="1111">
        <v>0</v>
      </c>
      <c r="BA36" s="1111">
        <v>0</v>
      </c>
      <c r="BB36" s="1111">
        <v>0</v>
      </c>
      <c r="BC36" s="1111">
        <v>0</v>
      </c>
      <c r="BD36" s="1111">
        <v>0</v>
      </c>
      <c r="BE36" s="1111">
        <v>791.25241079964906</v>
      </c>
      <c r="BF36" s="1111">
        <v>14.1162718940849</v>
      </c>
      <c r="BG36" s="1111">
        <v>0</v>
      </c>
      <c r="BH36" s="1111">
        <v>14.562332767371799</v>
      </c>
      <c r="BI36" s="1111">
        <v>1552.7007594381901</v>
      </c>
      <c r="BJ36" s="1111">
        <v>24.675595847750898</v>
      </c>
      <c r="BK36" s="1111">
        <v>9.9364848131163601</v>
      </c>
      <c r="BL36" s="1111">
        <v>67.881088030041298</v>
      </c>
      <c r="BM36" s="1111">
        <v>10.577390479631999</v>
      </c>
      <c r="BN36" s="1111">
        <v>1.98645156817899</v>
      </c>
      <c r="BO36" s="1111">
        <v>0.48799406755290198</v>
      </c>
      <c r="BP36" s="1111">
        <v>227.84825087397601</v>
      </c>
      <c r="BQ36" s="1111">
        <v>0</v>
      </c>
      <c r="BR36" s="1111">
        <v>5.37599714647562</v>
      </c>
      <c r="BS36" s="1111">
        <v>4.2624552409704703</v>
      </c>
      <c r="BT36" s="1111">
        <v>22.4543360893509</v>
      </c>
      <c r="BU36" s="1111">
        <v>0.29006999999999999</v>
      </c>
      <c r="BV36" s="1111">
        <v>0.22108069716332701</v>
      </c>
      <c r="BW36" s="1111">
        <v>161.462662695528</v>
      </c>
      <c r="BX36" s="1111">
        <v>57.060047679808598</v>
      </c>
      <c r="BY36" s="1111">
        <v>21.087209999999999</v>
      </c>
      <c r="BZ36" s="1111">
        <v>2.3562077535951298</v>
      </c>
      <c r="CA36" s="1111">
        <v>1260.65312008466</v>
      </c>
      <c r="CB36" s="1111">
        <v>89.166494035973301</v>
      </c>
      <c r="CC36" s="1111">
        <v>0.62409000000000003</v>
      </c>
      <c r="CD36" s="1111">
        <v>0.83992787776740996</v>
      </c>
      <c r="CE36" s="1111">
        <v>309.67054277518798</v>
      </c>
      <c r="CF36" s="1111">
        <v>44.283855870128598</v>
      </c>
      <c r="CG36" s="1111">
        <v>45.189390000000003</v>
      </c>
      <c r="CH36" s="1111">
        <v>1.0413140683108499</v>
      </c>
      <c r="CI36" s="1111">
        <v>1000.08606831119</v>
      </c>
      <c r="CJ36" s="1111">
        <v>22.345722089535901</v>
      </c>
      <c r="CK36" s="1111">
        <v>0</v>
      </c>
      <c r="CL36" s="1111">
        <v>68.797657274978704</v>
      </c>
      <c r="CM36" s="1111">
        <v>1.5660118805318699</v>
      </c>
      <c r="CN36" s="1111">
        <v>416.30917906517197</v>
      </c>
      <c r="CO36" s="1111">
        <v>0.103492581</v>
      </c>
      <c r="CP36" s="1111">
        <v>7.0845351365941296</v>
      </c>
      <c r="CQ36" s="1111">
        <v>3.7093396175336499</v>
      </c>
      <c r="CR36" s="1111">
        <v>31.806222227961499</v>
      </c>
      <c r="CS36" s="1111">
        <v>48.9939902040528</v>
      </c>
      <c r="CT36" s="1111">
        <v>0.20039435454545401</v>
      </c>
      <c r="CU36" s="1111">
        <v>63.396749093449898</v>
      </c>
      <c r="CV36" s="1111">
        <v>44.6233307097338</v>
      </c>
      <c r="CW36" s="1111">
        <v>265.86786048410698</v>
      </c>
      <c r="CX36" s="1111">
        <v>1249.6681233751499</v>
      </c>
      <c r="CY36" s="1111">
        <v>169.60343416935501</v>
      </c>
      <c r="CZ36" s="1111">
        <v>1155.8451680776</v>
      </c>
      <c r="DA36" s="1111">
        <v>481.38599684587001</v>
      </c>
      <c r="DB36" s="1111">
        <v>0</v>
      </c>
      <c r="DC36" s="1111">
        <v>5.3240178066253203E-2</v>
      </c>
      <c r="DD36" s="1111">
        <v>0.49475222413951497</v>
      </c>
      <c r="DE36" s="1111">
        <v>130.56597982324001</v>
      </c>
      <c r="DF36" s="1111">
        <v>41.654642460275703</v>
      </c>
      <c r="DG36" s="1111">
        <v>662.11995073907303</v>
      </c>
      <c r="DH36" s="1111">
        <v>2310.2177255102001</v>
      </c>
      <c r="DI36" s="1111">
        <v>0</v>
      </c>
      <c r="DJ36" s="1111">
        <v>17.420667742368199</v>
      </c>
      <c r="DK36" s="1111">
        <v>0</v>
      </c>
      <c r="DL36" s="1111">
        <v>0</v>
      </c>
      <c r="DM36" s="1111">
        <v>101.02658719327</v>
      </c>
      <c r="DN36" s="1111">
        <v>8.6248771254545407</v>
      </c>
      <c r="DO36" s="1111">
        <v>535.27319825413304</v>
      </c>
      <c r="DP36" s="1111">
        <v>424.40090407137001</v>
      </c>
      <c r="DQ36" s="1111">
        <v>0.67622355908810805</v>
      </c>
      <c r="DR36" s="1111">
        <v>15.2251289255285</v>
      </c>
      <c r="DS36" s="1111">
        <v>0</v>
      </c>
      <c r="DT36" s="1111">
        <v>2.38732624537738</v>
      </c>
      <c r="DU36" s="1111">
        <v>0</v>
      </c>
      <c r="DV36" s="1111">
        <v>0.45127382068446897</v>
      </c>
      <c r="DW36" s="1111">
        <v>0</v>
      </c>
      <c r="DX36" s="1111">
        <v>1.2831993028198201</v>
      </c>
      <c r="DY36" s="1111">
        <v>8.7579524569640004</v>
      </c>
      <c r="DZ36" s="1111">
        <v>104.29414930470401</v>
      </c>
      <c r="EA36" s="1111">
        <v>0.37345715162072901</v>
      </c>
      <c r="EB36" s="1111">
        <v>33.437951472347301</v>
      </c>
      <c r="EC36" s="1111">
        <v>0</v>
      </c>
      <c r="ED36" s="1111">
        <v>19.710841690089701</v>
      </c>
      <c r="EE36" s="1111">
        <v>0</v>
      </c>
      <c r="EF36" s="1111">
        <v>0.92917434466584903</v>
      </c>
      <c r="EG36" s="1111">
        <v>0</v>
      </c>
      <c r="EH36" s="1111">
        <v>24.788788266156999</v>
      </c>
      <c r="EI36" s="1111">
        <v>0.24400881889773501</v>
      </c>
      <c r="EJ36" s="1111">
        <v>293.19657894281403</v>
      </c>
      <c r="EK36" s="1111">
        <v>3783.4741305788898</v>
      </c>
      <c r="EL36" s="1111">
        <v>3928.6726451414602</v>
      </c>
      <c r="EM36" s="1111">
        <v>4365.6700587900796</v>
      </c>
      <c r="EN36" s="1111">
        <v>3315.4228625095002</v>
      </c>
      <c r="EO36" s="1111">
        <v>1443.01300631556</v>
      </c>
      <c r="EP36" s="1111">
        <v>2155.9919006144601</v>
      </c>
      <c r="EQ36" s="1111">
        <v>68.769314504883695</v>
      </c>
      <c r="ER36" s="1111">
        <v>2195.80471198032</v>
      </c>
      <c r="ES36" s="1111">
        <v>73.740036032953498</v>
      </c>
      <c r="ET36" s="1111">
        <v>1746.14756445683</v>
      </c>
      <c r="EU36" s="1111">
        <v>32.649275689333201</v>
      </c>
      <c r="EV36" s="1111">
        <v>1110.25395981099</v>
      </c>
      <c r="EW36" s="1111">
        <v>226.64656927939899</v>
      </c>
      <c r="EX36" s="1111">
        <v>1205.85464798156</v>
      </c>
      <c r="EY36" s="1111">
        <v>1001.92020754948</v>
      </c>
      <c r="EZ36" s="1111">
        <v>664.99120041738195</v>
      </c>
      <c r="FA36" s="1111">
        <v>281.26417689077499</v>
      </c>
      <c r="FB36" s="1111">
        <v>585.20763651806897</v>
      </c>
      <c r="FC36" s="1111">
        <v>65.324528910125494</v>
      </c>
      <c r="FD36" s="1111">
        <v>1841.64797400611</v>
      </c>
      <c r="FE36" s="1111">
        <v>611.18651274797696</v>
      </c>
      <c r="FF36" s="1111">
        <v>54.112456087871699</v>
      </c>
      <c r="FG36" s="1111">
        <v>2.86439864053414</v>
      </c>
      <c r="FH36" s="1111">
        <v>0.12554058495148501</v>
      </c>
      <c r="FI36" s="1111">
        <v>1.4753455658999399</v>
      </c>
      <c r="FJ36" s="1111">
        <v>70.327063632390093</v>
      </c>
      <c r="FK36" s="1111">
        <v>15.4914318188134</v>
      </c>
      <c r="FL36" s="1111">
        <v>56.799309502059003</v>
      </c>
      <c r="FM36" s="1111">
        <v>25.671868255990599</v>
      </c>
      <c r="FN36" s="1111">
        <v>1.58529484636364</v>
      </c>
      <c r="FO36" s="1111">
        <v>179.37155824639399</v>
      </c>
      <c r="FP36" s="1111">
        <v>203.23944455838901</v>
      </c>
      <c r="FQ36" s="1111">
        <v>151.48847139197301</v>
      </c>
      <c r="FR36" s="1111">
        <v>11.2633568181818</v>
      </c>
      <c r="FS36" s="1111">
        <v>146.88580460916901</v>
      </c>
      <c r="FT36" s="1111">
        <v>1094.0628446660401</v>
      </c>
      <c r="FU36" s="1111">
        <v>1.9820165575122199</v>
      </c>
      <c r="FV36" s="1111">
        <v>0</v>
      </c>
      <c r="FW36" s="1111">
        <v>0</v>
      </c>
      <c r="FX36" s="1111">
        <v>92.248227332962898</v>
      </c>
      <c r="FY36" s="1111">
        <v>39.447886168194998</v>
      </c>
      <c r="FZ36" s="1111">
        <v>55.771341431785203</v>
      </c>
      <c r="GA36" s="1111">
        <v>0</v>
      </c>
      <c r="GB36" s="1111">
        <v>0</v>
      </c>
      <c r="GC36" s="1111">
        <v>36.981251927942303</v>
      </c>
      <c r="GD36" s="1111">
        <v>0</v>
      </c>
      <c r="GE36" s="1111">
        <v>1.8889542884399899</v>
      </c>
      <c r="GF36" s="1111">
        <v>0</v>
      </c>
      <c r="GG36" s="1111">
        <v>13.8024734208974</v>
      </c>
      <c r="GH36" s="1111">
        <v>8.8416776953862808</v>
      </c>
      <c r="GI36" s="1111">
        <v>1.0328057157673101</v>
      </c>
      <c r="GJ36" s="1111">
        <v>0.206159261181071</v>
      </c>
      <c r="GK36" s="1111">
        <v>5.6606703190743097</v>
      </c>
      <c r="GL36" s="1111">
        <v>149.287746332701</v>
      </c>
      <c r="GM36" s="1111">
        <v>7.7936461050249601</v>
      </c>
      <c r="GN36" s="1111">
        <v>0</v>
      </c>
      <c r="GO36" s="1111">
        <v>65.283330000000007</v>
      </c>
      <c r="GP36" s="1111">
        <v>34.219409974308903</v>
      </c>
      <c r="GQ36" s="1111">
        <v>3091.6815506473599</v>
      </c>
      <c r="GR36" s="1111">
        <v>0</v>
      </c>
      <c r="GS36" s="1111">
        <v>0</v>
      </c>
      <c r="GT36" s="1111">
        <v>0</v>
      </c>
      <c r="GU36" s="1111">
        <v>23.567320819211002</v>
      </c>
      <c r="GV36" s="1111">
        <v>0</v>
      </c>
      <c r="GW36" s="1111">
        <v>24.357089999999999</v>
      </c>
      <c r="GX36" s="1111">
        <v>18.417935121011801</v>
      </c>
      <c r="GY36" s="1111">
        <v>2151.3621925550601</v>
      </c>
      <c r="GZ36" s="1111">
        <v>0</v>
      </c>
      <c r="HA36" s="1111">
        <v>0</v>
      </c>
      <c r="HB36" s="1111">
        <v>0</v>
      </c>
      <c r="HC36" s="1111">
        <v>0</v>
      </c>
      <c r="HD36" s="1111">
        <v>0</v>
      </c>
      <c r="HE36" s="1111">
        <v>0.69008200259425501</v>
      </c>
      <c r="HF36" s="1111">
        <v>9.5320096870316107</v>
      </c>
      <c r="HG36" s="1111">
        <v>164.99653754323299</v>
      </c>
      <c r="HH36" s="1111">
        <v>1667.5276758391899</v>
      </c>
      <c r="HI36" s="1111">
        <v>249.45030261488699</v>
      </c>
      <c r="HJ36" s="1111">
        <v>3.9322553285651801E-15</v>
      </c>
      <c r="HK36" s="1111">
        <v>0</v>
      </c>
      <c r="HL36" s="1111">
        <v>133.073455917236</v>
      </c>
      <c r="HM36" s="1111">
        <v>176.70702488415199</v>
      </c>
      <c r="HN36" s="1111">
        <v>15606.828496665499</v>
      </c>
      <c r="HO36" s="1111">
        <v>75.973866666666694</v>
      </c>
      <c r="HP36" s="1111">
        <v>186.04811971000001</v>
      </c>
      <c r="HQ36" s="1111">
        <v>0</v>
      </c>
      <c r="HR36" s="1111">
        <v>1.3180072813533901</v>
      </c>
      <c r="HS36" s="1111">
        <v>9.2215691365481298</v>
      </c>
      <c r="HT36" s="1111">
        <v>93.276193290904004</v>
      </c>
      <c r="HU36" s="1111">
        <v>0</v>
      </c>
      <c r="HV36" s="1111">
        <v>0</v>
      </c>
      <c r="HW36" s="1111">
        <v>0</v>
      </c>
      <c r="HX36" s="1111">
        <v>15.9978</v>
      </c>
      <c r="HY36" s="1111">
        <v>57.393989951612703</v>
      </c>
      <c r="HZ36" s="1111">
        <v>0</v>
      </c>
      <c r="IA36" s="1111">
        <v>1082.6487616884399</v>
      </c>
      <c r="IB36" s="1111">
        <v>0.94518456266042705</v>
      </c>
      <c r="IC36" s="1111">
        <v>90.323909114722198</v>
      </c>
      <c r="ID36" s="1111">
        <v>154.888069728782</v>
      </c>
      <c r="IE36" s="1111">
        <v>0</v>
      </c>
      <c r="IF36" s="1111">
        <v>302.450437948922</v>
      </c>
      <c r="IG36" s="1111">
        <v>119.477602770448</v>
      </c>
      <c r="IH36" s="1111">
        <v>1233.3535918333</v>
      </c>
      <c r="II36" s="1111">
        <v>26.082192647936001</v>
      </c>
      <c r="IJ36" s="1111">
        <v>61.311054966811398</v>
      </c>
      <c r="IK36" s="1111">
        <v>7.7915572712864796</v>
      </c>
      <c r="IL36" s="1111">
        <v>24.3619390909091</v>
      </c>
      <c r="IM36" s="1111">
        <v>34.429484877921901</v>
      </c>
      <c r="IN36" s="1111">
        <v>36.4302245454545</v>
      </c>
      <c r="IO36" s="1111">
        <v>59.295520699650702</v>
      </c>
      <c r="IP36" s="1111">
        <v>4.6336813908012899E-2</v>
      </c>
      <c r="IQ36" s="1111">
        <v>1.6800892116492401</v>
      </c>
      <c r="IR36" s="1111">
        <v>3.0410646097407901E-2</v>
      </c>
      <c r="IS36" s="1111">
        <v>2.1849136363636399</v>
      </c>
      <c r="IT36" s="1111">
        <v>0.145581204545458</v>
      </c>
      <c r="IU36" s="1111">
        <v>898.009823684445</v>
      </c>
      <c r="IV36" s="1111">
        <v>81.554462536363701</v>
      </c>
      <c r="IW36" s="1111">
        <v>1725.3705346357999</v>
      </c>
      <c r="IX36" s="1111">
        <v>1241.8147735672101</v>
      </c>
      <c r="IY36" s="1111">
        <v>278.50987491835002</v>
      </c>
      <c r="IZ36" s="1111">
        <v>30.780730676150899</v>
      </c>
      <c r="JA36" s="1111">
        <v>17.478952540411601</v>
      </c>
      <c r="JB36" s="1111">
        <v>50.084099596620497</v>
      </c>
      <c r="JC36" s="1111">
        <v>86.549666700287204</v>
      </c>
      <c r="JD36" s="1111">
        <v>20.152436636754501</v>
      </c>
      <c r="JE36" s="1111">
        <v>1237.4314905817</v>
      </c>
      <c r="JF36" s="1111">
        <v>144.17890909091</v>
      </c>
      <c r="JG36" s="1111">
        <v>249.171433936364</v>
      </c>
      <c r="JH36" s="1111">
        <v>0</v>
      </c>
      <c r="JI36" s="1111">
        <v>46.223050500000099</v>
      </c>
      <c r="JJ36" s="1111">
        <v>39.138291299999999</v>
      </c>
      <c r="JK36" s="1111">
        <v>0</v>
      </c>
      <c r="JL36" s="1111">
        <v>0</v>
      </c>
      <c r="JM36" s="1111">
        <v>1.5409090909090899</v>
      </c>
      <c r="JN36" s="1111">
        <v>0</v>
      </c>
      <c r="JO36" s="1111">
        <v>0</v>
      </c>
      <c r="JP36" s="1111">
        <v>757.17889666355495</v>
      </c>
      <c r="JQ36" s="1111">
        <v>676.59933515052001</v>
      </c>
      <c r="JR36" s="1111">
        <v>24.543500000000002</v>
      </c>
      <c r="JS36" s="1111">
        <v>3.7646704713108399</v>
      </c>
      <c r="JT36" s="1111">
        <v>2.9703124164935799</v>
      </c>
      <c r="JU36" s="1111">
        <v>0.90603500000000003</v>
      </c>
      <c r="JV36" s="1111">
        <v>0.86137799999999998</v>
      </c>
      <c r="JW36" s="1111">
        <v>250.953110583388</v>
      </c>
      <c r="JX36" s="1111">
        <v>81.345987844845695</v>
      </c>
      <c r="JY36" s="1111">
        <v>38.974049999999998</v>
      </c>
      <c r="JZ36" s="1111">
        <v>252.29380207448099</v>
      </c>
      <c r="KA36" s="1111">
        <v>19.98648876</v>
      </c>
      <c r="KB36" s="1111">
        <v>0</v>
      </c>
      <c r="KC36" s="1111">
        <v>142.58978699926999</v>
      </c>
      <c r="KD36" s="1111">
        <v>9.2799789318311507</v>
      </c>
      <c r="KE36" s="1111">
        <v>60.284705676019897</v>
      </c>
      <c r="KF36" s="1111">
        <v>0.73109077719257998</v>
      </c>
      <c r="KG36" s="1111">
        <v>0.10444153959893999</v>
      </c>
      <c r="KH36" s="1111">
        <v>6.4722208421264904</v>
      </c>
      <c r="KI36" s="1111">
        <v>16.914761737077999</v>
      </c>
      <c r="KJ36" s="1111">
        <v>48.802587495423097</v>
      </c>
      <c r="KK36" s="1111">
        <v>253.28838416107999</v>
      </c>
      <c r="KL36" s="1111">
        <v>210.38328956682199</v>
      </c>
      <c r="KM36" s="1111">
        <v>42.905094594261897</v>
      </c>
      <c r="KN36" s="1111">
        <v>99.573998567204995</v>
      </c>
      <c r="KO36" s="1111">
        <v>99.573437731591397</v>
      </c>
      <c r="KP36" s="1111">
        <v>5.6083561407260795E-4</v>
      </c>
      <c r="KQ36" s="1111">
        <v>-5004.5814856896004</v>
      </c>
      <c r="KR36" s="1111">
        <v>-4952.2383053751801</v>
      </c>
      <c r="KS36" s="1111">
        <v>1.36651604092548</v>
      </c>
      <c r="KT36" s="1111">
        <v>-8.3431208902074303</v>
      </c>
      <c r="KU36" s="1111">
        <v>-39.765270025446299</v>
      </c>
      <c r="KV36" s="1111">
        <v>-5.6013054396614503</v>
      </c>
      <c r="KW36" s="1111">
        <v>0</v>
      </c>
      <c r="KX36" s="1111">
        <v>3016.2905685526998</v>
      </c>
      <c r="KY36" s="1111">
        <v>3.4546163374551302</v>
      </c>
      <c r="KZ36" s="1111">
        <v>1578.07099402778</v>
      </c>
      <c r="LA36" s="1111">
        <v>0.21445026720831201</v>
      </c>
      <c r="LB36" s="1111">
        <v>0</v>
      </c>
      <c r="LC36" s="1111">
        <v>1440.0131553557401</v>
      </c>
      <c r="LD36" s="1111">
        <v>-5.4626474355178898</v>
      </c>
      <c r="LE36" s="1111">
        <v>-2360.3254435383001</v>
      </c>
      <c r="LF36" s="1111">
        <v>48.217500000000001</v>
      </c>
      <c r="LG36" s="1111">
        <v>-1366.5167302050399</v>
      </c>
      <c r="LH36" s="1111">
        <v>170.87188666781</v>
      </c>
      <c r="LI36" s="1111">
        <v>62.267434673447497</v>
      </c>
      <c r="LJ36" s="1111">
        <v>-1008.76195408107</v>
      </c>
      <c r="LK36" s="1111">
        <v>-0.193351624055944</v>
      </c>
      <c r="LL36" s="1111">
        <v>-266.210228969355</v>
      </c>
      <c r="LM36" s="1111">
        <v>85.271003676310997</v>
      </c>
      <c r="LN36" s="1111">
        <v>85.270322676311395</v>
      </c>
      <c r="LO36" s="1111">
        <v>6.8099999999999996E-4</v>
      </c>
      <c r="LP36" s="1111">
        <v>0</v>
      </c>
      <c r="LQ36" s="1111">
        <v>1781.5912662769999</v>
      </c>
      <c r="LR36" s="1111">
        <v>618.32894652322204</v>
      </c>
      <c r="LS36" s="1111">
        <v>36.974207893004099</v>
      </c>
      <c r="LT36" s="1111">
        <v>140.17911579936899</v>
      </c>
      <c r="LU36" s="1111">
        <v>199.22486382508899</v>
      </c>
      <c r="LV36" s="1111">
        <v>786.88413223628004</v>
      </c>
      <c r="LW36" s="1111">
        <v>0</v>
      </c>
      <c r="LX36" s="1111">
        <v>0</v>
      </c>
      <c r="LY36" s="1111">
        <v>-590.84222505159005</v>
      </c>
      <c r="LZ36" s="1111">
        <v>-547.15192574095897</v>
      </c>
      <c r="MA36" s="1111">
        <v>-43.690299310636</v>
      </c>
      <c r="MB36" s="1111">
        <v>72.873429410691003</v>
      </c>
      <c r="MC36" s="1111">
        <v>0</v>
      </c>
      <c r="MD36" s="1111">
        <v>49.989913130690702</v>
      </c>
      <c r="ME36" s="1111">
        <v>22.883516279999998</v>
      </c>
      <c r="MF36" s="1111">
        <v>9111.5826421680995</v>
      </c>
      <c r="MG36" s="1111">
        <v>1.5238008710601899E-2</v>
      </c>
      <c r="MH36" s="1111">
        <v>671.82248648164602</v>
      </c>
      <c r="MI36" s="1111">
        <v>6.9627693065960103E-2</v>
      </c>
      <c r="MJ36" s="1111">
        <v>0.32266000471882</v>
      </c>
      <c r="MK36" s="1111">
        <v>8439.3526299799596</v>
      </c>
      <c r="ML36" s="1111">
        <v>3076.3943569850999</v>
      </c>
      <c r="MM36" s="1111">
        <v>1483.5577277484099</v>
      </c>
      <c r="MN36" s="1111">
        <v>1592.83662923673</v>
      </c>
    </row>
    <row r="37" spans="1:352" ht="13.9" x14ac:dyDescent="0.4">
      <c r="A37" s="1096">
        <v>2017</v>
      </c>
      <c r="B37" s="1145">
        <v>100280.67483803999</v>
      </c>
      <c r="C37" s="1111">
        <v>167.62137722132701</v>
      </c>
      <c r="D37" s="1111">
        <v>1.8153396466</v>
      </c>
      <c r="E37" s="1111">
        <v>5342.4318094153896</v>
      </c>
      <c r="F37" s="1111">
        <v>0</v>
      </c>
      <c r="G37" s="1111">
        <v>200.91918720936101</v>
      </c>
      <c r="H37" s="1111">
        <v>234.417181129032</v>
      </c>
      <c r="I37" s="1111">
        <v>0</v>
      </c>
      <c r="J37" s="1111">
        <v>12933.9880265066</v>
      </c>
      <c r="K37" s="1111">
        <v>0</v>
      </c>
      <c r="L37" s="1111">
        <v>0</v>
      </c>
      <c r="M37" s="1111">
        <v>0</v>
      </c>
      <c r="N37" s="1111">
        <v>1201.9148692604099</v>
      </c>
      <c r="O37" s="1111">
        <v>0</v>
      </c>
      <c r="P37" s="1111">
        <v>0</v>
      </c>
      <c r="Q37" s="1111">
        <v>40.274902369089702</v>
      </c>
      <c r="R37" s="1111">
        <v>0</v>
      </c>
      <c r="S37" s="1111">
        <v>0</v>
      </c>
      <c r="T37" s="1111">
        <v>179.804269668811</v>
      </c>
      <c r="U37" s="1111">
        <v>1.7399999999999999E-2</v>
      </c>
      <c r="V37" s="1111">
        <v>11.3343128899941</v>
      </c>
      <c r="W37" s="1111">
        <v>0</v>
      </c>
      <c r="X37" s="1111">
        <v>79.703819999999993</v>
      </c>
      <c r="Y37" s="1111">
        <v>665.08793156036302</v>
      </c>
      <c r="Z37" s="1111">
        <v>1651.0939011062901</v>
      </c>
      <c r="AA37" s="1111">
        <v>0</v>
      </c>
      <c r="AB37" s="1111">
        <v>1111.2132936</v>
      </c>
      <c r="AC37" s="1111">
        <v>154.07311892088501</v>
      </c>
      <c r="AD37" s="1111">
        <v>57.235907083553599</v>
      </c>
      <c r="AE37" s="1111">
        <v>0</v>
      </c>
      <c r="AF37" s="1111">
        <v>0</v>
      </c>
      <c r="AG37" s="1111">
        <v>0</v>
      </c>
      <c r="AH37" s="1111">
        <v>0</v>
      </c>
      <c r="AI37" s="1111">
        <v>469.15438024291501</v>
      </c>
      <c r="AJ37" s="1111">
        <v>1958.84296066864</v>
      </c>
      <c r="AK37" s="1111">
        <v>12.7398623430482</v>
      </c>
      <c r="AL37" s="1111">
        <v>256.137358427229</v>
      </c>
      <c r="AM37" s="1111">
        <v>51.575419757084902</v>
      </c>
      <c r="AN37" s="1111">
        <v>823.44997564585196</v>
      </c>
      <c r="AO37" s="1111">
        <v>0</v>
      </c>
      <c r="AP37" s="1111">
        <v>0</v>
      </c>
      <c r="AQ37" s="1111">
        <v>25.886661160759001</v>
      </c>
      <c r="AR37" s="1111">
        <v>3.6232905000807798</v>
      </c>
      <c r="AS37" s="1111">
        <v>0</v>
      </c>
      <c r="AT37" s="1111">
        <v>0</v>
      </c>
      <c r="AU37" s="1111">
        <v>355.39952225989902</v>
      </c>
      <c r="AV37" s="1111">
        <v>0</v>
      </c>
      <c r="AW37" s="1111">
        <v>0</v>
      </c>
      <c r="AX37" s="1111">
        <v>0</v>
      </c>
      <c r="AY37" s="1111">
        <v>0</v>
      </c>
      <c r="AZ37" s="1111">
        <v>0</v>
      </c>
      <c r="BA37" s="1111">
        <v>0</v>
      </c>
      <c r="BB37" s="1111">
        <v>0</v>
      </c>
      <c r="BC37" s="1111">
        <v>0</v>
      </c>
      <c r="BD37" s="1111">
        <v>0</v>
      </c>
      <c r="BE37" s="1111">
        <v>762.25014915021598</v>
      </c>
      <c r="BF37" s="1111">
        <v>14.611540214156699</v>
      </c>
      <c r="BG37" s="1111">
        <v>0</v>
      </c>
      <c r="BH37" s="1111">
        <v>14.7004360457885</v>
      </c>
      <c r="BI37" s="1111">
        <v>1424.08547822265</v>
      </c>
      <c r="BJ37" s="1111">
        <v>23.272683183390999</v>
      </c>
      <c r="BK37" s="1111">
        <v>5.8686151846540202</v>
      </c>
      <c r="BL37" s="1111">
        <v>68.741766523886994</v>
      </c>
      <c r="BM37" s="1111">
        <v>9.4891116279069703</v>
      </c>
      <c r="BN37" s="1111">
        <v>1.78309280745957</v>
      </c>
      <c r="BO37" s="1111">
        <v>0.59991070342241304</v>
      </c>
      <c r="BP37" s="1111">
        <v>216.26643466980701</v>
      </c>
      <c r="BQ37" s="1111">
        <v>0</v>
      </c>
      <c r="BR37" s="1111">
        <v>7.5721155678097798</v>
      </c>
      <c r="BS37" s="1111">
        <v>5.7099231039036002</v>
      </c>
      <c r="BT37" s="1111">
        <v>21.164965948863198</v>
      </c>
      <c r="BU37" s="1111">
        <v>0.29006999999999999</v>
      </c>
      <c r="BV37" s="1111">
        <v>0.205355672128507</v>
      </c>
      <c r="BW37" s="1111">
        <v>164.77735886363001</v>
      </c>
      <c r="BX37" s="1111">
        <v>44.843678622729797</v>
      </c>
      <c r="BY37" s="1111">
        <v>23.064959999999999</v>
      </c>
      <c r="BZ37" s="1111">
        <v>2.2920525501570799</v>
      </c>
      <c r="CA37" s="1111">
        <v>1377.8467073023801</v>
      </c>
      <c r="CB37" s="1111">
        <v>72.286499086886494</v>
      </c>
      <c r="CC37" s="1111">
        <v>0.62409000000000003</v>
      </c>
      <c r="CD37" s="1111">
        <v>0.81887344568760501</v>
      </c>
      <c r="CE37" s="1111">
        <v>311.99850594394599</v>
      </c>
      <c r="CF37" s="1111">
        <v>50.561475577530302</v>
      </c>
      <c r="CG37" s="1111">
        <v>45.998069999999998</v>
      </c>
      <c r="CH37" s="1111">
        <v>1.0515031872685601</v>
      </c>
      <c r="CI37" s="1111">
        <v>1023.20181683489</v>
      </c>
      <c r="CJ37" s="1111">
        <v>34.382587581189199</v>
      </c>
      <c r="CK37" s="1111">
        <v>0</v>
      </c>
      <c r="CL37" s="1111">
        <v>68.921589432282303</v>
      </c>
      <c r="CM37" s="1111">
        <v>2.2023642212146202</v>
      </c>
      <c r="CN37" s="1111">
        <v>396.41697500746398</v>
      </c>
      <c r="CO37" s="1111">
        <v>0</v>
      </c>
      <c r="CP37" s="1111">
        <v>6.8387491752898502</v>
      </c>
      <c r="CQ37" s="1111">
        <v>3.7276843471146801</v>
      </c>
      <c r="CR37" s="1111">
        <v>17.456908049443399</v>
      </c>
      <c r="CS37" s="1111">
        <v>49.232540754812803</v>
      </c>
      <c r="CT37" s="1111">
        <v>6.3545454545454599E-2</v>
      </c>
      <c r="CU37" s="1111">
        <v>63.0356997453719</v>
      </c>
      <c r="CV37" s="1111">
        <v>49.925213844017499</v>
      </c>
      <c r="CW37" s="1111">
        <v>281.61640840426497</v>
      </c>
      <c r="CX37" s="1111">
        <v>1327.98658439221</v>
      </c>
      <c r="CY37" s="1111">
        <v>179.163869574221</v>
      </c>
      <c r="CZ37" s="1111">
        <v>1092.4504300000001</v>
      </c>
      <c r="DA37" s="1111">
        <v>377.42835353035002</v>
      </c>
      <c r="DB37" s="1111">
        <v>0</v>
      </c>
      <c r="DC37" s="1111">
        <v>5.1468567537671199E-2</v>
      </c>
      <c r="DD37" s="1111">
        <v>0.420619969056721</v>
      </c>
      <c r="DE37" s="1111">
        <v>180.38589998091101</v>
      </c>
      <c r="DF37" s="1111">
        <v>41.128634013897397</v>
      </c>
      <c r="DG37" s="1111">
        <v>648.97540015298705</v>
      </c>
      <c r="DH37" s="1111">
        <v>2262.90111792266</v>
      </c>
      <c r="DI37" s="1111">
        <v>0</v>
      </c>
      <c r="DJ37" s="1111">
        <v>35.980055208132597</v>
      </c>
      <c r="DK37" s="1111">
        <v>0</v>
      </c>
      <c r="DL37" s="1111">
        <v>0</v>
      </c>
      <c r="DM37" s="1111">
        <v>104.475051440813</v>
      </c>
      <c r="DN37" s="1111">
        <v>10.5597234300126</v>
      </c>
      <c r="DO37" s="1111">
        <v>584.50450442905105</v>
      </c>
      <c r="DP37" s="1111">
        <v>440.75869475147402</v>
      </c>
      <c r="DQ37" s="1111">
        <v>0.494447968910672</v>
      </c>
      <c r="DR37" s="1111">
        <v>15.425178284217299</v>
      </c>
      <c r="DS37" s="1111">
        <v>0</v>
      </c>
      <c r="DT37" s="1111">
        <v>2.37944404697995</v>
      </c>
      <c r="DU37" s="1111">
        <v>0</v>
      </c>
      <c r="DV37" s="1111">
        <v>0.49792506810078302</v>
      </c>
      <c r="DW37" s="1111">
        <v>0</v>
      </c>
      <c r="DX37" s="1111">
        <v>1.28272788954922</v>
      </c>
      <c r="DY37" s="1111">
        <v>8.1349898520420201</v>
      </c>
      <c r="DZ37" s="1111">
        <v>106.87946784740799</v>
      </c>
      <c r="EA37" s="1111">
        <v>0.13538786159006699</v>
      </c>
      <c r="EB37" s="1111">
        <v>34.819804384594903</v>
      </c>
      <c r="EC37" s="1111">
        <v>0</v>
      </c>
      <c r="ED37" s="1111">
        <v>19.6116078377283</v>
      </c>
      <c r="EE37" s="1111">
        <v>0</v>
      </c>
      <c r="EF37" s="1111">
        <v>1.0286239407790601</v>
      </c>
      <c r="EG37" s="1111">
        <v>0</v>
      </c>
      <c r="EH37" s="1111">
        <v>24.792820920994501</v>
      </c>
      <c r="EI37" s="1111">
        <v>0.29330102662813801</v>
      </c>
      <c r="EJ37" s="1111">
        <v>301.96667288868599</v>
      </c>
      <c r="EK37" s="1111">
        <v>3759.7567965415501</v>
      </c>
      <c r="EL37" s="1111">
        <v>4027.4164877100998</v>
      </c>
      <c r="EM37" s="1111">
        <v>4229.0023516130695</v>
      </c>
      <c r="EN37" s="1111">
        <v>3355.8073081992302</v>
      </c>
      <c r="EO37" s="1111">
        <v>1422.7917634784601</v>
      </c>
      <c r="EP37" s="1111">
        <v>2156.1921824023302</v>
      </c>
      <c r="EQ37" s="1111">
        <v>65.559335940966506</v>
      </c>
      <c r="ER37" s="1111">
        <v>2241.0504294935099</v>
      </c>
      <c r="ES37" s="1111">
        <v>67.966908406936895</v>
      </c>
      <c r="ET37" s="1111">
        <v>1736.4952769880699</v>
      </c>
      <c r="EU37" s="1111">
        <v>31.389846880841201</v>
      </c>
      <c r="EV37" s="1111">
        <v>1131.98071304667</v>
      </c>
      <c r="EW37" s="1111">
        <v>226.385520750414</v>
      </c>
      <c r="EX37" s="1111">
        <v>1250.8857335837799</v>
      </c>
      <c r="EY37" s="1111">
        <v>998.25795509719001</v>
      </c>
      <c r="EZ37" s="1111">
        <v>620.90247894088702</v>
      </c>
      <c r="FA37" s="1111">
        <v>291.21075624645101</v>
      </c>
      <c r="FB37" s="1111">
        <v>548.83396650359396</v>
      </c>
      <c r="FC37" s="1111">
        <v>63.6920567228116</v>
      </c>
      <c r="FD37" s="1111">
        <v>1873.71353429142</v>
      </c>
      <c r="FE37" s="1111">
        <v>619.30126643285405</v>
      </c>
      <c r="FF37" s="1111">
        <v>55.246278203508801</v>
      </c>
      <c r="FG37" s="1111">
        <v>2.6422098451444098</v>
      </c>
      <c r="FH37" s="1111">
        <v>0.116648461806951</v>
      </c>
      <c r="FI37" s="1111">
        <v>1.4342940629860601</v>
      </c>
      <c r="FJ37" s="1111">
        <v>70.391316573722705</v>
      </c>
      <c r="FK37" s="1111">
        <v>15.078507733154099</v>
      </c>
      <c r="FL37" s="1111">
        <v>54.127943067459597</v>
      </c>
      <c r="FM37" s="1111">
        <v>25.308758379668198</v>
      </c>
      <c r="FN37" s="1111">
        <v>0</v>
      </c>
      <c r="FO37" s="1111">
        <v>179.13051372580901</v>
      </c>
      <c r="FP37" s="1111">
        <v>203.27214002709499</v>
      </c>
      <c r="FQ37" s="1111">
        <v>146.43663203119601</v>
      </c>
      <c r="FR37" s="1111">
        <v>11.2240431818182</v>
      </c>
      <c r="FS37" s="1111">
        <v>141.47224762172101</v>
      </c>
      <c r="FT37" s="1111">
        <v>1064.2236081567701</v>
      </c>
      <c r="FU37" s="1111">
        <v>2.08410894525016</v>
      </c>
      <c r="FV37" s="1111">
        <v>0</v>
      </c>
      <c r="FW37" s="1111">
        <v>0</v>
      </c>
      <c r="FX37" s="1111">
        <v>96.999873709133894</v>
      </c>
      <c r="FY37" s="1111">
        <v>39.963544810916503</v>
      </c>
      <c r="FZ37" s="1111">
        <v>58.224465057032099</v>
      </c>
      <c r="GA37" s="1111">
        <v>0</v>
      </c>
      <c r="GB37" s="1111">
        <v>0</v>
      </c>
      <c r="GC37" s="1111">
        <v>38.8861322361074</v>
      </c>
      <c r="GD37" s="1111">
        <v>0</v>
      </c>
      <c r="GE37" s="1111">
        <v>1.8889542884399899</v>
      </c>
      <c r="GF37" s="1111">
        <v>0</v>
      </c>
      <c r="GG37" s="1111">
        <v>12.8939244656983</v>
      </c>
      <c r="GH37" s="1111">
        <v>21.237873345097999</v>
      </c>
      <c r="GI37" s="1111">
        <v>0.893736646182689</v>
      </c>
      <c r="GJ37" s="1111">
        <v>0.21577310763885699</v>
      </c>
      <c r="GK37" s="1111">
        <v>5.6690449233275997</v>
      </c>
      <c r="GL37" s="1111">
        <v>154.23431047812301</v>
      </c>
      <c r="GM37" s="1111">
        <v>7.7878013575082203</v>
      </c>
      <c r="GN37" s="1111">
        <v>0</v>
      </c>
      <c r="GO37" s="1111">
        <v>66.012900000000002</v>
      </c>
      <c r="GP37" s="1111">
        <v>32.155751940719803</v>
      </c>
      <c r="GQ37" s="1111">
        <v>3006.39938318635</v>
      </c>
      <c r="GR37" s="1111">
        <v>0</v>
      </c>
      <c r="GS37" s="1111">
        <v>0</v>
      </c>
      <c r="GT37" s="1111">
        <v>0</v>
      </c>
      <c r="GU37" s="1111">
        <v>19.339620115627</v>
      </c>
      <c r="GV37" s="1111">
        <v>0</v>
      </c>
      <c r="GW37" s="1111">
        <v>22.344180000000001</v>
      </c>
      <c r="GX37" s="1111">
        <v>16.741407789638799</v>
      </c>
      <c r="GY37" s="1111">
        <v>2067.86350664269</v>
      </c>
      <c r="GZ37" s="1111">
        <v>0</v>
      </c>
      <c r="HA37" s="1111">
        <v>0</v>
      </c>
      <c r="HB37" s="1111">
        <v>0</v>
      </c>
      <c r="HC37" s="1111">
        <v>0</v>
      </c>
      <c r="HD37" s="1111">
        <v>0</v>
      </c>
      <c r="HE37" s="1111">
        <v>0.55823806930911601</v>
      </c>
      <c r="HF37" s="1111">
        <v>9.8949215837708895</v>
      </c>
      <c r="HG37" s="1111">
        <v>168.57695880200501</v>
      </c>
      <c r="HH37" s="1111">
        <v>1622.08990119999</v>
      </c>
      <c r="HI37" s="1111">
        <v>233.88952609373601</v>
      </c>
      <c r="HJ37" s="1111">
        <v>0</v>
      </c>
      <c r="HK37" s="1111">
        <v>0</v>
      </c>
      <c r="HL37" s="1111">
        <v>127.23874709897601</v>
      </c>
      <c r="HM37" s="1111">
        <v>165.05518063391401</v>
      </c>
      <c r="HN37" s="1111">
        <v>14885.296293325</v>
      </c>
      <c r="HO37" s="1111">
        <v>95.933706666666694</v>
      </c>
      <c r="HP37" s="1111">
        <v>191.35670009</v>
      </c>
      <c r="HQ37" s="1111">
        <v>0</v>
      </c>
      <c r="HR37" s="1111">
        <v>1.3180072813533901</v>
      </c>
      <c r="HS37" s="1111">
        <v>9.31056783202704</v>
      </c>
      <c r="HT37" s="1111">
        <v>94.176415302929399</v>
      </c>
      <c r="HU37" s="1111">
        <v>0</v>
      </c>
      <c r="HV37" s="1111">
        <v>0</v>
      </c>
      <c r="HW37" s="1111">
        <v>0</v>
      </c>
      <c r="HX37" s="1111">
        <v>15.35613</v>
      </c>
      <c r="HY37" s="1111">
        <v>64.007126431232294</v>
      </c>
      <c r="HZ37" s="1111">
        <v>0</v>
      </c>
      <c r="IA37" s="1111">
        <v>1087.41435973392</v>
      </c>
      <c r="IB37" s="1111">
        <v>0.96527481609601995</v>
      </c>
      <c r="IC37" s="1111">
        <v>104.934280357663</v>
      </c>
      <c r="ID37" s="1111">
        <v>153.33918903149501</v>
      </c>
      <c r="IE37" s="1111">
        <v>0.93869434566144805</v>
      </c>
      <c r="IF37" s="1111">
        <v>304.54652134876301</v>
      </c>
      <c r="IG37" s="1111">
        <v>119.477602770448</v>
      </c>
      <c r="IH37" s="1111">
        <v>1251.8677325608001</v>
      </c>
      <c r="II37" s="1111">
        <v>24.860908852488901</v>
      </c>
      <c r="IJ37" s="1111">
        <v>66.493040212013199</v>
      </c>
      <c r="IK37" s="1111">
        <v>6.70185972308761</v>
      </c>
      <c r="IL37" s="1111">
        <v>23.875273531975001</v>
      </c>
      <c r="IM37" s="1111">
        <v>35.2806812752859</v>
      </c>
      <c r="IN37" s="1111">
        <v>36.878008659934302</v>
      </c>
      <c r="IO37" s="1111">
        <v>21.177068086247299</v>
      </c>
      <c r="IP37" s="1111">
        <v>5.3771703731739597E-2</v>
      </c>
      <c r="IQ37" s="1111">
        <v>1.7874214627260301</v>
      </c>
      <c r="IR37" s="1111">
        <v>3.2266696367262003E-2</v>
      </c>
      <c r="IS37" s="1111">
        <v>2.64714545454546</v>
      </c>
      <c r="IT37" s="1111">
        <v>4.0684456615854101</v>
      </c>
      <c r="IU37" s="1111">
        <v>934.13513751176095</v>
      </c>
      <c r="IV37" s="1111">
        <v>93.876703729090906</v>
      </c>
      <c r="IW37" s="1111">
        <v>1704.4031391589001</v>
      </c>
      <c r="IX37" s="1111">
        <v>1202.66996487653</v>
      </c>
      <c r="IY37" s="1111">
        <v>286.925471650943</v>
      </c>
      <c r="IZ37" s="1111">
        <v>30.069088807060002</v>
      </c>
      <c r="JA37" s="1111">
        <v>19.7384351149569</v>
      </c>
      <c r="JB37" s="1111">
        <v>50.549445294802297</v>
      </c>
      <c r="JC37" s="1111">
        <v>85.193138612440293</v>
      </c>
      <c r="JD37" s="1111">
        <v>29.257594802209098</v>
      </c>
      <c r="JE37" s="1111">
        <v>1344.9704356120001</v>
      </c>
      <c r="JF37" s="1111">
        <v>173.06181818181801</v>
      </c>
      <c r="JG37" s="1111">
        <v>307.98954545454501</v>
      </c>
      <c r="JH37" s="1111">
        <v>0</v>
      </c>
      <c r="JI37" s="1111">
        <v>49.368506727272802</v>
      </c>
      <c r="JJ37" s="1111">
        <v>38.230044272727497</v>
      </c>
      <c r="JK37" s="1111">
        <v>0</v>
      </c>
      <c r="JL37" s="1111">
        <v>0</v>
      </c>
      <c r="JM37" s="1111">
        <v>1.5409090909090899</v>
      </c>
      <c r="JN37" s="1111">
        <v>0</v>
      </c>
      <c r="JO37" s="1111">
        <v>0</v>
      </c>
      <c r="JP37" s="1111">
        <v>774.77961188471704</v>
      </c>
      <c r="JQ37" s="1111">
        <v>701.68854644394003</v>
      </c>
      <c r="JR37" s="1111">
        <v>23.399850000000001</v>
      </c>
      <c r="JS37" s="1111">
        <v>3.9931035917009101</v>
      </c>
      <c r="JT37" s="1111">
        <v>2.99351241649358</v>
      </c>
      <c r="JU37" s="1111">
        <v>0.91370499999999999</v>
      </c>
      <c r="JV37" s="1111">
        <v>0.83957999999999999</v>
      </c>
      <c r="JW37" s="1111">
        <v>295.54366469551098</v>
      </c>
      <c r="JX37" s="1111">
        <v>78.106016841619095</v>
      </c>
      <c r="JY37" s="1111">
        <v>34.502249999999997</v>
      </c>
      <c r="JZ37" s="1111">
        <v>241.86435229861999</v>
      </c>
      <c r="KA37" s="1111">
        <v>19.532511599999999</v>
      </c>
      <c r="KB37" s="1111">
        <v>0</v>
      </c>
      <c r="KC37" s="1111">
        <v>141.60510209405001</v>
      </c>
      <c r="KD37" s="1111">
        <v>10.7042065498337</v>
      </c>
      <c r="KE37" s="1111">
        <v>61.073887219189402</v>
      </c>
      <c r="KF37" s="1111">
        <v>0.80540429074348896</v>
      </c>
      <c r="KG37" s="1111">
        <v>0.115057755820498</v>
      </c>
      <c r="KH37" s="1111">
        <v>6.6064782991467004</v>
      </c>
      <c r="KI37" s="1111">
        <v>17.342058769417399</v>
      </c>
      <c r="KJ37" s="1111">
        <v>44.958009209900801</v>
      </c>
      <c r="KK37" s="1111">
        <v>256.12731694167002</v>
      </c>
      <c r="KL37" s="1111">
        <v>219.06416795261299</v>
      </c>
      <c r="KM37" s="1111">
        <v>37.063148989058703</v>
      </c>
      <c r="KN37" s="1111">
        <v>93.805681885783002</v>
      </c>
      <c r="KO37" s="1111">
        <v>93.805153265734205</v>
      </c>
      <c r="KP37" s="1111">
        <v>5.2862004910390903E-4</v>
      </c>
      <c r="KQ37" s="1111">
        <v>-4966.8462444492998</v>
      </c>
      <c r="KR37" s="1111">
        <v>-4921.4718119783802</v>
      </c>
      <c r="KS37" s="1111">
        <v>8.0946869604398497</v>
      </c>
      <c r="KT37" s="1111">
        <v>-8.1025513679415795</v>
      </c>
      <c r="KU37" s="1111">
        <v>-39.768720837122899</v>
      </c>
      <c r="KV37" s="1111">
        <v>-5.5978472262562704</v>
      </c>
      <c r="KW37" s="1111">
        <v>0</v>
      </c>
      <c r="KX37" s="1111">
        <v>2992.1538494012998</v>
      </c>
      <c r="KY37" s="1111">
        <v>8.07912181861081</v>
      </c>
      <c r="KZ37" s="1111">
        <v>1589.07365385503</v>
      </c>
      <c r="LA37" s="1111">
        <v>0.22166616679965301</v>
      </c>
      <c r="LB37" s="1111">
        <v>0</v>
      </c>
      <c r="LC37" s="1111">
        <v>1399.58431185426</v>
      </c>
      <c r="LD37" s="1111">
        <v>-4.8049042934167403</v>
      </c>
      <c r="LE37" s="1111">
        <v>-2416.8556141559998</v>
      </c>
      <c r="LF37" s="1111">
        <v>48.217500000000001</v>
      </c>
      <c r="LG37" s="1111">
        <v>-1385.9821470092099</v>
      </c>
      <c r="LH37" s="1111">
        <v>153.61317965116899</v>
      </c>
      <c r="LI37" s="1111">
        <v>51.230039661193103</v>
      </c>
      <c r="LJ37" s="1111">
        <v>-1014.15489933162</v>
      </c>
      <c r="LK37" s="1111">
        <v>1.1080562466200501</v>
      </c>
      <c r="LL37" s="1111">
        <v>-270.88734337411501</v>
      </c>
      <c r="LM37" s="1111">
        <v>91.848731496211002</v>
      </c>
      <c r="LN37" s="1111">
        <v>91.823637496211404</v>
      </c>
      <c r="LO37" s="1111">
        <v>2.5094000000000002E-2</v>
      </c>
      <c r="LP37" s="1111">
        <v>0</v>
      </c>
      <c r="LQ37" s="1111">
        <v>1759.4576098719999</v>
      </c>
      <c r="LR37" s="1111">
        <v>615.10926621350802</v>
      </c>
      <c r="LS37" s="1111">
        <v>30.047534777785401</v>
      </c>
      <c r="LT37" s="1111">
        <v>130.19557430526899</v>
      </c>
      <c r="LU37" s="1111">
        <v>202.286101936249</v>
      </c>
      <c r="LV37" s="1111">
        <v>781.81913263918102</v>
      </c>
      <c r="LW37" s="1111">
        <v>0</v>
      </c>
      <c r="LX37" s="1111">
        <v>0</v>
      </c>
      <c r="LY37" s="1111">
        <v>-549.71034848037004</v>
      </c>
      <c r="LZ37" s="1111">
        <v>-503.481399657005</v>
      </c>
      <c r="MA37" s="1111">
        <v>-46.228948823367801</v>
      </c>
      <c r="MB37" s="1111">
        <v>70.610776825830996</v>
      </c>
      <c r="MC37" s="1111">
        <v>0</v>
      </c>
      <c r="MD37" s="1111">
        <v>47.578455745831199</v>
      </c>
      <c r="ME37" s="1111">
        <v>23.032321079999999</v>
      </c>
      <c r="MF37" s="1111">
        <v>9440.2146046360995</v>
      </c>
      <c r="MG37" s="1111">
        <v>2.9642321105452399E-3</v>
      </c>
      <c r="MH37" s="1111">
        <v>698.23035681725696</v>
      </c>
      <c r="MI37" s="1111">
        <v>0.115057755820498</v>
      </c>
      <c r="MJ37" s="1111">
        <v>5.7084713057112102E-2</v>
      </c>
      <c r="MK37" s="1111">
        <v>8741.8091411178502</v>
      </c>
      <c r="ML37" s="1111">
        <v>2877.6917933650998</v>
      </c>
      <c r="MM37" s="1111">
        <v>1387.5837205283301</v>
      </c>
      <c r="MN37" s="1111">
        <v>1490.1080728367299</v>
      </c>
    </row>
  </sheetData>
  <hyperlinks>
    <hyperlink ref="D2" r:id="rId1" xr:uid="{00000000-0004-0000-1E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B2267"/>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53125" defaultRowHeight="12.75" x14ac:dyDescent="0.45"/>
  <cols>
    <col min="1" max="1" width="5.46484375" style="881" customWidth="1"/>
    <col min="2" max="2" width="11.796875" style="881" customWidth="1"/>
    <col min="3" max="3" width="11.265625" style="881" customWidth="1"/>
    <col min="4" max="8" width="6.46484375" style="881" customWidth="1"/>
    <col min="9" max="9" width="9" style="881" customWidth="1"/>
    <col min="10" max="10" width="8.73046875" style="881" customWidth="1"/>
    <col min="11" max="11" width="8.265625" style="881" bestFit="1" customWidth="1"/>
    <col min="12" max="12" width="13.46484375" style="881" bestFit="1" customWidth="1"/>
    <col min="13" max="213" width="9.53125" style="881"/>
    <col min="214" max="214" width="5.46484375" style="881" customWidth="1"/>
    <col min="215" max="215" width="6.265625" style="881" customWidth="1"/>
    <col min="216" max="216" width="8.265625" style="881" customWidth="1"/>
    <col min="217" max="217" width="9.46484375" style="881" customWidth="1"/>
    <col min="218" max="218" width="8" style="881" customWidth="1"/>
    <col min="219" max="219" width="7.19921875" style="881" customWidth="1"/>
    <col min="220" max="220" width="1.265625" style="881" customWidth="1"/>
    <col min="221" max="221" width="6.265625" style="881" customWidth="1"/>
    <col min="222" max="222" width="8" style="881" customWidth="1"/>
    <col min="223" max="223" width="7.46484375" style="881" customWidth="1"/>
    <col min="224" max="224" width="5.46484375" style="881" customWidth="1"/>
    <col min="225" max="225" width="7.19921875" style="881" customWidth="1"/>
    <col min="226" max="226" width="0.796875" style="881" customWidth="1"/>
    <col min="227" max="227" width="5.46484375" style="881" customWidth="1"/>
    <col min="228" max="228" width="7.796875" style="881" customWidth="1"/>
    <col min="229" max="229" width="7.46484375" style="881" customWidth="1"/>
    <col min="230" max="230" width="0.46484375" style="881" customWidth="1"/>
    <col min="231" max="231" width="0.19921875" style="881" customWidth="1"/>
    <col min="232" max="232" width="5.265625" style="881" customWidth="1"/>
    <col min="233" max="233" width="6.265625" style="881" customWidth="1"/>
    <col min="234" max="234" width="7.19921875" style="881" customWidth="1"/>
    <col min="235" max="235" width="6.796875" style="881" customWidth="1"/>
    <col min="236" max="236" width="6.265625" style="881" customWidth="1"/>
    <col min="237" max="237" width="6.19921875" style="881" customWidth="1"/>
    <col min="238" max="239" width="6.46484375" style="881" customWidth="1"/>
    <col min="240" max="240" width="8.265625" style="881" customWidth="1"/>
    <col min="241" max="241" width="7.19921875" style="881" bestFit="1" customWidth="1"/>
    <col min="242" max="242" width="6.46484375" style="881" customWidth="1"/>
    <col min="243" max="243" width="7.19921875" style="881" customWidth="1"/>
    <col min="244" max="244" width="6.46484375" style="881" customWidth="1"/>
    <col min="245" max="245" width="7.46484375" style="881" customWidth="1"/>
    <col min="246" max="246" width="8.265625" style="881" bestFit="1" customWidth="1"/>
    <col min="247" max="247" width="13.46484375" style="881" bestFit="1" customWidth="1"/>
    <col min="248" max="469" width="9.53125" style="881"/>
    <col min="470" max="470" width="5.46484375" style="881" customWidth="1"/>
    <col min="471" max="471" width="6.265625" style="881" customWidth="1"/>
    <col min="472" max="472" width="8.265625" style="881" customWidth="1"/>
    <col min="473" max="473" width="9.46484375" style="881" customWidth="1"/>
    <col min="474" max="474" width="8" style="881" customWidth="1"/>
    <col min="475" max="475" width="7.19921875" style="881" customWidth="1"/>
    <col min="476" max="476" width="1.265625" style="881" customWidth="1"/>
    <col min="477" max="477" width="6.265625" style="881" customWidth="1"/>
    <col min="478" max="478" width="8" style="881" customWidth="1"/>
    <col min="479" max="479" width="7.46484375" style="881" customWidth="1"/>
    <col min="480" max="480" width="5.46484375" style="881" customWidth="1"/>
    <col min="481" max="481" width="7.19921875" style="881" customWidth="1"/>
    <col min="482" max="482" width="0.796875" style="881" customWidth="1"/>
    <col min="483" max="483" width="5.46484375" style="881" customWidth="1"/>
    <col min="484" max="484" width="7.796875" style="881" customWidth="1"/>
    <col min="485" max="485" width="7.46484375" style="881" customWidth="1"/>
    <col min="486" max="486" width="0.46484375" style="881" customWidth="1"/>
    <col min="487" max="487" width="0.19921875" style="881" customWidth="1"/>
    <col min="488" max="488" width="5.265625" style="881" customWidth="1"/>
    <col min="489" max="489" width="6.265625" style="881" customWidth="1"/>
    <col min="490" max="490" width="7.19921875" style="881" customWidth="1"/>
    <col min="491" max="491" width="6.796875" style="881" customWidth="1"/>
    <col min="492" max="492" width="6.265625" style="881" customWidth="1"/>
    <col min="493" max="493" width="6.19921875" style="881" customWidth="1"/>
    <col min="494" max="495" width="6.46484375" style="881" customWidth="1"/>
    <col min="496" max="496" width="8.265625" style="881" customWidth="1"/>
    <col min="497" max="497" width="7.19921875" style="881" bestFit="1" customWidth="1"/>
    <col min="498" max="498" width="6.46484375" style="881" customWidth="1"/>
    <col min="499" max="499" width="7.19921875" style="881" customWidth="1"/>
    <col min="500" max="500" width="6.46484375" style="881" customWidth="1"/>
    <col min="501" max="501" width="7.46484375" style="881" customWidth="1"/>
    <col min="502" max="502" width="8.265625" style="881" bestFit="1" customWidth="1"/>
    <col min="503" max="503" width="13.46484375" style="881" bestFit="1" customWidth="1"/>
    <col min="504" max="725" width="9.53125" style="881"/>
    <col min="726" max="726" width="5.46484375" style="881" customWidth="1"/>
    <col min="727" max="727" width="6.265625" style="881" customWidth="1"/>
    <col min="728" max="728" width="8.265625" style="881" customWidth="1"/>
    <col min="729" max="729" width="9.46484375" style="881" customWidth="1"/>
    <col min="730" max="730" width="8" style="881" customWidth="1"/>
    <col min="731" max="731" width="7.19921875" style="881" customWidth="1"/>
    <col min="732" max="732" width="1.265625" style="881" customWidth="1"/>
    <col min="733" max="733" width="6.265625" style="881" customWidth="1"/>
    <col min="734" max="734" width="8" style="881" customWidth="1"/>
    <col min="735" max="735" width="7.46484375" style="881" customWidth="1"/>
    <col min="736" max="736" width="5.46484375" style="881" customWidth="1"/>
    <col min="737" max="737" width="7.19921875" style="881" customWidth="1"/>
    <col min="738" max="738" width="0.796875" style="881" customWidth="1"/>
    <col min="739" max="739" width="5.46484375" style="881" customWidth="1"/>
    <col min="740" max="740" width="7.796875" style="881" customWidth="1"/>
    <col min="741" max="741" width="7.46484375" style="881" customWidth="1"/>
    <col min="742" max="742" width="0.46484375" style="881" customWidth="1"/>
    <col min="743" max="743" width="0.19921875" style="881" customWidth="1"/>
    <col min="744" max="744" width="5.265625" style="881" customWidth="1"/>
    <col min="745" max="745" width="6.265625" style="881" customWidth="1"/>
    <col min="746" max="746" width="7.19921875" style="881" customWidth="1"/>
    <col min="747" max="747" width="6.796875" style="881" customWidth="1"/>
    <col min="748" max="748" width="6.265625" style="881" customWidth="1"/>
    <col min="749" max="749" width="6.19921875" style="881" customWidth="1"/>
    <col min="750" max="751" width="6.46484375" style="881" customWidth="1"/>
    <col min="752" max="752" width="8.265625" style="881" customWidth="1"/>
    <col min="753" max="753" width="7.19921875" style="881" bestFit="1" customWidth="1"/>
    <col min="754" max="754" width="6.46484375" style="881" customWidth="1"/>
    <col min="755" max="755" width="7.19921875" style="881" customWidth="1"/>
    <col min="756" max="756" width="6.46484375" style="881" customWidth="1"/>
    <col min="757" max="757" width="7.46484375" style="881" customWidth="1"/>
    <col min="758" max="758" width="8.265625" style="881" bestFit="1" customWidth="1"/>
    <col min="759" max="759" width="13.46484375" style="881" bestFit="1" customWidth="1"/>
    <col min="760" max="981" width="9.53125" style="881"/>
    <col min="982" max="982" width="5.46484375" style="881" customWidth="1"/>
    <col min="983" max="983" width="6.265625" style="881" customWidth="1"/>
    <col min="984" max="984" width="8.265625" style="881" customWidth="1"/>
    <col min="985" max="985" width="9.46484375" style="881" customWidth="1"/>
    <col min="986" max="986" width="8" style="881" customWidth="1"/>
    <col min="987" max="987" width="7.19921875" style="881" customWidth="1"/>
    <col min="988" max="988" width="1.265625" style="881" customWidth="1"/>
    <col min="989" max="989" width="6.265625" style="881" customWidth="1"/>
    <col min="990" max="990" width="8" style="881" customWidth="1"/>
    <col min="991" max="991" width="7.46484375" style="881" customWidth="1"/>
    <col min="992" max="992" width="5.46484375" style="881" customWidth="1"/>
    <col min="993" max="993" width="7.19921875" style="881" customWidth="1"/>
    <col min="994" max="994" width="0.796875" style="881" customWidth="1"/>
    <col min="995" max="995" width="5.46484375" style="881" customWidth="1"/>
    <col min="996" max="996" width="7.796875" style="881" customWidth="1"/>
    <col min="997" max="997" width="7.46484375" style="881" customWidth="1"/>
    <col min="998" max="998" width="0.46484375" style="881" customWidth="1"/>
    <col min="999" max="999" width="0.19921875" style="881" customWidth="1"/>
    <col min="1000" max="1000" width="5.265625" style="881" customWidth="1"/>
    <col min="1001" max="1001" width="6.265625" style="881" customWidth="1"/>
    <col min="1002" max="1002" width="7.19921875" style="881" customWidth="1"/>
    <col min="1003" max="1003" width="6.796875" style="881" customWidth="1"/>
    <col min="1004" max="1004" width="6.265625" style="881" customWidth="1"/>
    <col min="1005" max="1005" width="6.19921875" style="881" customWidth="1"/>
    <col min="1006" max="1007" width="6.46484375" style="881" customWidth="1"/>
    <col min="1008" max="1008" width="8.265625" style="881" customWidth="1"/>
    <col min="1009" max="1009" width="7.19921875" style="881" bestFit="1" customWidth="1"/>
    <col min="1010" max="1010" width="6.46484375" style="881" customWidth="1"/>
    <col min="1011" max="1011" width="7.19921875" style="881" customWidth="1"/>
    <col min="1012" max="1012" width="6.46484375" style="881" customWidth="1"/>
    <col min="1013" max="1013" width="7.46484375" style="881" customWidth="1"/>
    <col min="1014" max="1014" width="8.265625" style="881" bestFit="1" customWidth="1"/>
    <col min="1015" max="1015" width="13.46484375" style="881" bestFit="1" customWidth="1"/>
    <col min="1016" max="1237" width="9.53125" style="881"/>
    <col min="1238" max="1238" width="5.46484375" style="881" customWidth="1"/>
    <col min="1239" max="1239" width="6.265625" style="881" customWidth="1"/>
    <col min="1240" max="1240" width="8.265625" style="881" customWidth="1"/>
    <col min="1241" max="1241" width="9.46484375" style="881" customWidth="1"/>
    <col min="1242" max="1242" width="8" style="881" customWidth="1"/>
    <col min="1243" max="1243" width="7.19921875" style="881" customWidth="1"/>
    <col min="1244" max="1244" width="1.265625" style="881" customWidth="1"/>
    <col min="1245" max="1245" width="6.265625" style="881" customWidth="1"/>
    <col min="1246" max="1246" width="8" style="881" customWidth="1"/>
    <col min="1247" max="1247" width="7.46484375" style="881" customWidth="1"/>
    <col min="1248" max="1248" width="5.46484375" style="881" customWidth="1"/>
    <col min="1249" max="1249" width="7.19921875" style="881" customWidth="1"/>
    <col min="1250" max="1250" width="0.796875" style="881" customWidth="1"/>
    <col min="1251" max="1251" width="5.46484375" style="881" customWidth="1"/>
    <col min="1252" max="1252" width="7.796875" style="881" customWidth="1"/>
    <col min="1253" max="1253" width="7.46484375" style="881" customWidth="1"/>
    <col min="1254" max="1254" width="0.46484375" style="881" customWidth="1"/>
    <col min="1255" max="1255" width="0.19921875" style="881" customWidth="1"/>
    <col min="1256" max="1256" width="5.265625" style="881" customWidth="1"/>
    <col min="1257" max="1257" width="6.265625" style="881" customWidth="1"/>
    <col min="1258" max="1258" width="7.19921875" style="881" customWidth="1"/>
    <col min="1259" max="1259" width="6.796875" style="881" customWidth="1"/>
    <col min="1260" max="1260" width="6.265625" style="881" customWidth="1"/>
    <col min="1261" max="1261" width="6.19921875" style="881" customWidth="1"/>
    <col min="1262" max="1263" width="6.46484375" style="881" customWidth="1"/>
    <col min="1264" max="1264" width="8.265625" style="881" customWidth="1"/>
    <col min="1265" max="1265" width="7.19921875" style="881" bestFit="1" customWidth="1"/>
    <col min="1266" max="1266" width="6.46484375" style="881" customWidth="1"/>
    <col min="1267" max="1267" width="7.19921875" style="881" customWidth="1"/>
    <col min="1268" max="1268" width="6.46484375" style="881" customWidth="1"/>
    <col min="1269" max="1269" width="7.46484375" style="881" customWidth="1"/>
    <col min="1270" max="1270" width="8.265625" style="881" bestFit="1" customWidth="1"/>
    <col min="1271" max="1271" width="13.46484375" style="881" bestFit="1" customWidth="1"/>
    <col min="1272" max="1493" width="9.53125" style="881"/>
    <col min="1494" max="1494" width="5.46484375" style="881" customWidth="1"/>
    <col min="1495" max="1495" width="6.265625" style="881" customWidth="1"/>
    <col min="1496" max="1496" width="8.265625" style="881" customWidth="1"/>
    <col min="1497" max="1497" width="9.46484375" style="881" customWidth="1"/>
    <col min="1498" max="1498" width="8" style="881" customWidth="1"/>
    <col min="1499" max="1499" width="7.19921875" style="881" customWidth="1"/>
    <col min="1500" max="1500" width="1.265625" style="881" customWidth="1"/>
    <col min="1501" max="1501" width="6.265625" style="881" customWidth="1"/>
    <col min="1502" max="1502" width="8" style="881" customWidth="1"/>
    <col min="1503" max="1503" width="7.46484375" style="881" customWidth="1"/>
    <col min="1504" max="1504" width="5.46484375" style="881" customWidth="1"/>
    <col min="1505" max="1505" width="7.19921875" style="881" customWidth="1"/>
    <col min="1506" max="1506" width="0.796875" style="881" customWidth="1"/>
    <col min="1507" max="1507" width="5.46484375" style="881" customWidth="1"/>
    <col min="1508" max="1508" width="7.796875" style="881" customWidth="1"/>
    <col min="1509" max="1509" width="7.46484375" style="881" customWidth="1"/>
    <col min="1510" max="1510" width="0.46484375" style="881" customWidth="1"/>
    <col min="1511" max="1511" width="0.19921875" style="881" customWidth="1"/>
    <col min="1512" max="1512" width="5.265625" style="881" customWidth="1"/>
    <col min="1513" max="1513" width="6.265625" style="881" customWidth="1"/>
    <col min="1514" max="1514" width="7.19921875" style="881" customWidth="1"/>
    <col min="1515" max="1515" width="6.796875" style="881" customWidth="1"/>
    <col min="1516" max="1516" width="6.265625" style="881" customWidth="1"/>
    <col min="1517" max="1517" width="6.19921875" style="881" customWidth="1"/>
    <col min="1518" max="1519" width="6.46484375" style="881" customWidth="1"/>
    <col min="1520" max="1520" width="8.265625" style="881" customWidth="1"/>
    <col min="1521" max="1521" width="7.19921875" style="881" bestFit="1" customWidth="1"/>
    <col min="1522" max="1522" width="6.46484375" style="881" customWidth="1"/>
    <col min="1523" max="1523" width="7.19921875" style="881" customWidth="1"/>
    <col min="1524" max="1524" width="6.46484375" style="881" customWidth="1"/>
    <col min="1525" max="1525" width="7.46484375" style="881" customWidth="1"/>
    <col min="1526" max="1526" width="8.265625" style="881" bestFit="1" customWidth="1"/>
    <col min="1527" max="1527" width="13.46484375" style="881" bestFit="1" customWidth="1"/>
    <col min="1528" max="1749" width="9.53125" style="881"/>
    <col min="1750" max="1750" width="5.46484375" style="881" customWidth="1"/>
    <col min="1751" max="1751" width="6.265625" style="881" customWidth="1"/>
    <col min="1752" max="1752" width="8.265625" style="881" customWidth="1"/>
    <col min="1753" max="1753" width="9.46484375" style="881" customWidth="1"/>
    <col min="1754" max="1754" width="8" style="881" customWidth="1"/>
    <col min="1755" max="1755" width="7.19921875" style="881" customWidth="1"/>
    <col min="1756" max="1756" width="1.265625" style="881" customWidth="1"/>
    <col min="1757" max="1757" width="6.265625" style="881" customWidth="1"/>
    <col min="1758" max="1758" width="8" style="881" customWidth="1"/>
    <col min="1759" max="1759" width="7.46484375" style="881" customWidth="1"/>
    <col min="1760" max="1760" width="5.46484375" style="881" customWidth="1"/>
    <col min="1761" max="1761" width="7.19921875" style="881" customWidth="1"/>
    <col min="1762" max="1762" width="0.796875" style="881" customWidth="1"/>
    <col min="1763" max="1763" width="5.46484375" style="881" customWidth="1"/>
    <col min="1764" max="1764" width="7.796875" style="881" customWidth="1"/>
    <col min="1765" max="1765" width="7.46484375" style="881" customWidth="1"/>
    <col min="1766" max="1766" width="0.46484375" style="881" customWidth="1"/>
    <col min="1767" max="1767" width="0.19921875" style="881" customWidth="1"/>
    <col min="1768" max="1768" width="5.265625" style="881" customWidth="1"/>
    <col min="1769" max="1769" width="6.265625" style="881" customWidth="1"/>
    <col min="1770" max="1770" width="7.19921875" style="881" customWidth="1"/>
    <col min="1771" max="1771" width="6.796875" style="881" customWidth="1"/>
    <col min="1772" max="1772" width="6.265625" style="881" customWidth="1"/>
    <col min="1773" max="1773" width="6.19921875" style="881" customWidth="1"/>
    <col min="1774" max="1775" width="6.46484375" style="881" customWidth="1"/>
    <col min="1776" max="1776" width="8.265625" style="881" customWidth="1"/>
    <col min="1777" max="1777" width="7.19921875" style="881" bestFit="1" customWidth="1"/>
    <col min="1778" max="1778" width="6.46484375" style="881" customWidth="1"/>
    <col min="1779" max="1779" width="7.19921875" style="881" customWidth="1"/>
    <col min="1780" max="1780" width="6.46484375" style="881" customWidth="1"/>
    <col min="1781" max="1781" width="7.46484375" style="881" customWidth="1"/>
    <col min="1782" max="1782" width="8.265625" style="881" bestFit="1" customWidth="1"/>
    <col min="1783" max="1783" width="13.46484375" style="881" bestFit="1" customWidth="1"/>
    <col min="1784" max="2005" width="9.53125" style="881"/>
    <col min="2006" max="2006" width="5.46484375" style="881" customWidth="1"/>
    <col min="2007" max="2007" width="6.265625" style="881" customWidth="1"/>
    <col min="2008" max="2008" width="8.265625" style="881" customWidth="1"/>
    <col min="2009" max="2009" width="9.46484375" style="881" customWidth="1"/>
    <col min="2010" max="2010" width="8" style="881" customWidth="1"/>
    <col min="2011" max="2011" width="7.19921875" style="881" customWidth="1"/>
    <col min="2012" max="2012" width="1.265625" style="881" customWidth="1"/>
    <col min="2013" max="2013" width="6.265625" style="881" customWidth="1"/>
    <col min="2014" max="2014" width="8" style="881" customWidth="1"/>
    <col min="2015" max="2015" width="7.46484375" style="881" customWidth="1"/>
    <col min="2016" max="2016" width="5.46484375" style="881" customWidth="1"/>
    <col min="2017" max="2017" width="7.19921875" style="881" customWidth="1"/>
    <col min="2018" max="2018" width="0.796875" style="881" customWidth="1"/>
    <col min="2019" max="2019" width="5.46484375" style="881" customWidth="1"/>
    <col min="2020" max="2020" width="7.796875" style="881" customWidth="1"/>
    <col min="2021" max="2021" width="7.46484375" style="881" customWidth="1"/>
    <col min="2022" max="2022" width="0.46484375" style="881" customWidth="1"/>
    <col min="2023" max="2023" width="0.19921875" style="881" customWidth="1"/>
    <col min="2024" max="2024" width="5.265625" style="881" customWidth="1"/>
    <col min="2025" max="2025" width="6.265625" style="881" customWidth="1"/>
    <col min="2026" max="2026" width="7.19921875" style="881" customWidth="1"/>
    <col min="2027" max="2027" width="6.796875" style="881" customWidth="1"/>
    <col min="2028" max="2028" width="6.265625" style="881" customWidth="1"/>
    <col min="2029" max="2029" width="6.19921875" style="881" customWidth="1"/>
    <col min="2030" max="2031" width="6.46484375" style="881" customWidth="1"/>
    <col min="2032" max="2032" width="8.265625" style="881" customWidth="1"/>
    <col min="2033" max="2033" width="7.19921875" style="881" bestFit="1" customWidth="1"/>
    <col min="2034" max="2034" width="6.46484375" style="881" customWidth="1"/>
    <col min="2035" max="2035" width="7.19921875" style="881" customWidth="1"/>
    <col min="2036" max="2036" width="6.46484375" style="881" customWidth="1"/>
    <col min="2037" max="2037" width="7.46484375" style="881" customWidth="1"/>
    <col min="2038" max="2038" width="8.265625" style="881" bestFit="1" customWidth="1"/>
    <col min="2039" max="2039" width="13.46484375" style="881" bestFit="1" customWidth="1"/>
    <col min="2040" max="2261" width="9.53125" style="881"/>
    <col min="2262" max="2262" width="5.46484375" style="881" customWidth="1"/>
    <col min="2263" max="2263" width="6.265625" style="881" customWidth="1"/>
    <col min="2264" max="2264" width="8.265625" style="881" customWidth="1"/>
    <col min="2265" max="2265" width="9.46484375" style="881" customWidth="1"/>
    <col min="2266" max="2266" width="8" style="881" customWidth="1"/>
    <col min="2267" max="2267" width="7.19921875" style="881" customWidth="1"/>
    <col min="2268" max="2268" width="1.265625" style="881" customWidth="1"/>
    <col min="2269" max="2269" width="6.265625" style="881" customWidth="1"/>
    <col min="2270" max="2270" width="8" style="881" customWidth="1"/>
    <col min="2271" max="2271" width="7.46484375" style="881" customWidth="1"/>
    <col min="2272" max="2272" width="5.46484375" style="881" customWidth="1"/>
    <col min="2273" max="2273" width="7.19921875" style="881" customWidth="1"/>
    <col min="2274" max="2274" width="0.796875" style="881" customWidth="1"/>
    <col min="2275" max="2275" width="5.46484375" style="881" customWidth="1"/>
    <col min="2276" max="2276" width="7.796875" style="881" customWidth="1"/>
    <col min="2277" max="2277" width="7.46484375" style="881" customWidth="1"/>
    <col min="2278" max="2278" width="0.46484375" style="881" customWidth="1"/>
    <col min="2279" max="2279" width="0.19921875" style="881" customWidth="1"/>
    <col min="2280" max="2280" width="5.265625" style="881" customWidth="1"/>
    <col min="2281" max="2281" width="6.265625" style="881" customWidth="1"/>
    <col min="2282" max="2282" width="7.19921875" style="881" customWidth="1"/>
    <col min="2283" max="2283" width="6.796875" style="881" customWidth="1"/>
    <col min="2284" max="2284" width="6.265625" style="881" customWidth="1"/>
    <col min="2285" max="2285" width="6.19921875" style="881" customWidth="1"/>
    <col min="2286" max="2287" width="6.46484375" style="881" customWidth="1"/>
    <col min="2288" max="2288" width="8.265625" style="881" customWidth="1"/>
    <col min="2289" max="2289" width="7.19921875" style="881" bestFit="1" customWidth="1"/>
    <col min="2290" max="2290" width="6.46484375" style="881" customWidth="1"/>
    <col min="2291" max="2291" width="7.19921875" style="881" customWidth="1"/>
    <col min="2292" max="2292" width="6.46484375" style="881" customWidth="1"/>
    <col min="2293" max="2293" width="7.46484375" style="881" customWidth="1"/>
    <col min="2294" max="2294" width="8.265625" style="881" bestFit="1" customWidth="1"/>
    <col min="2295" max="2295" width="13.46484375" style="881" bestFit="1" customWidth="1"/>
    <col min="2296" max="2517" width="9.53125" style="881"/>
    <col min="2518" max="2518" width="5.46484375" style="881" customWidth="1"/>
    <col min="2519" max="2519" width="6.265625" style="881" customWidth="1"/>
    <col min="2520" max="2520" width="8.265625" style="881" customWidth="1"/>
    <col min="2521" max="2521" width="9.46484375" style="881" customWidth="1"/>
    <col min="2522" max="2522" width="8" style="881" customWidth="1"/>
    <col min="2523" max="2523" width="7.19921875" style="881" customWidth="1"/>
    <col min="2524" max="2524" width="1.265625" style="881" customWidth="1"/>
    <col min="2525" max="2525" width="6.265625" style="881" customWidth="1"/>
    <col min="2526" max="2526" width="8" style="881" customWidth="1"/>
    <col min="2527" max="2527" width="7.46484375" style="881" customWidth="1"/>
    <col min="2528" max="2528" width="5.46484375" style="881" customWidth="1"/>
    <col min="2529" max="2529" width="7.19921875" style="881" customWidth="1"/>
    <col min="2530" max="2530" width="0.796875" style="881" customWidth="1"/>
    <col min="2531" max="2531" width="5.46484375" style="881" customWidth="1"/>
    <col min="2532" max="2532" width="7.796875" style="881" customWidth="1"/>
    <col min="2533" max="2533" width="7.46484375" style="881" customWidth="1"/>
    <col min="2534" max="2534" width="0.46484375" style="881" customWidth="1"/>
    <col min="2535" max="2535" width="0.19921875" style="881" customWidth="1"/>
    <col min="2536" max="2536" width="5.265625" style="881" customWidth="1"/>
    <col min="2537" max="2537" width="6.265625" style="881" customWidth="1"/>
    <col min="2538" max="2538" width="7.19921875" style="881" customWidth="1"/>
    <col min="2539" max="2539" width="6.796875" style="881" customWidth="1"/>
    <col min="2540" max="2540" width="6.265625" style="881" customWidth="1"/>
    <col min="2541" max="2541" width="6.19921875" style="881" customWidth="1"/>
    <col min="2542" max="2543" width="6.46484375" style="881" customWidth="1"/>
    <col min="2544" max="2544" width="8.265625" style="881" customWidth="1"/>
    <col min="2545" max="2545" width="7.19921875" style="881" bestFit="1" customWidth="1"/>
    <col min="2546" max="2546" width="6.46484375" style="881" customWidth="1"/>
    <col min="2547" max="2547" width="7.19921875" style="881" customWidth="1"/>
    <col min="2548" max="2548" width="6.46484375" style="881" customWidth="1"/>
    <col min="2549" max="2549" width="7.46484375" style="881" customWidth="1"/>
    <col min="2550" max="2550" width="8.265625" style="881" bestFit="1" customWidth="1"/>
    <col min="2551" max="2551" width="13.46484375" style="881" bestFit="1" customWidth="1"/>
    <col min="2552" max="2773" width="9.53125" style="881"/>
    <col min="2774" max="2774" width="5.46484375" style="881" customWidth="1"/>
    <col min="2775" max="2775" width="6.265625" style="881" customWidth="1"/>
    <col min="2776" max="2776" width="8.265625" style="881" customWidth="1"/>
    <col min="2777" max="2777" width="9.46484375" style="881" customWidth="1"/>
    <col min="2778" max="2778" width="8" style="881" customWidth="1"/>
    <col min="2779" max="2779" width="7.19921875" style="881" customWidth="1"/>
    <col min="2780" max="2780" width="1.265625" style="881" customWidth="1"/>
    <col min="2781" max="2781" width="6.265625" style="881" customWidth="1"/>
    <col min="2782" max="2782" width="8" style="881" customWidth="1"/>
    <col min="2783" max="2783" width="7.46484375" style="881" customWidth="1"/>
    <col min="2784" max="2784" width="5.46484375" style="881" customWidth="1"/>
    <col min="2785" max="2785" width="7.19921875" style="881" customWidth="1"/>
    <col min="2786" max="2786" width="0.796875" style="881" customWidth="1"/>
    <col min="2787" max="2787" width="5.46484375" style="881" customWidth="1"/>
    <col min="2788" max="2788" width="7.796875" style="881" customWidth="1"/>
    <col min="2789" max="2789" width="7.46484375" style="881" customWidth="1"/>
    <col min="2790" max="2790" width="0.46484375" style="881" customWidth="1"/>
    <col min="2791" max="2791" width="0.19921875" style="881" customWidth="1"/>
    <col min="2792" max="2792" width="5.265625" style="881" customWidth="1"/>
    <col min="2793" max="2793" width="6.265625" style="881" customWidth="1"/>
    <col min="2794" max="2794" width="7.19921875" style="881" customWidth="1"/>
    <col min="2795" max="2795" width="6.796875" style="881" customWidth="1"/>
    <col min="2796" max="2796" width="6.265625" style="881" customWidth="1"/>
    <col min="2797" max="2797" width="6.19921875" style="881" customWidth="1"/>
    <col min="2798" max="2799" width="6.46484375" style="881" customWidth="1"/>
    <col min="2800" max="2800" width="8.265625" style="881" customWidth="1"/>
    <col min="2801" max="2801" width="7.19921875" style="881" bestFit="1" customWidth="1"/>
    <col min="2802" max="2802" width="6.46484375" style="881" customWidth="1"/>
    <col min="2803" max="2803" width="7.19921875" style="881" customWidth="1"/>
    <col min="2804" max="2804" width="6.46484375" style="881" customWidth="1"/>
    <col min="2805" max="2805" width="7.46484375" style="881" customWidth="1"/>
    <col min="2806" max="2806" width="8.265625" style="881" bestFit="1" customWidth="1"/>
    <col min="2807" max="2807" width="13.46484375" style="881" bestFit="1" customWidth="1"/>
    <col min="2808" max="3029" width="9.53125" style="881"/>
    <col min="3030" max="3030" width="5.46484375" style="881" customWidth="1"/>
    <col min="3031" max="3031" width="6.265625" style="881" customWidth="1"/>
    <col min="3032" max="3032" width="8.265625" style="881" customWidth="1"/>
    <col min="3033" max="3033" width="9.46484375" style="881" customWidth="1"/>
    <col min="3034" max="3034" width="8" style="881" customWidth="1"/>
    <col min="3035" max="3035" width="7.19921875" style="881" customWidth="1"/>
    <col min="3036" max="3036" width="1.265625" style="881" customWidth="1"/>
    <col min="3037" max="3037" width="6.265625" style="881" customWidth="1"/>
    <col min="3038" max="3038" width="8" style="881" customWidth="1"/>
    <col min="3039" max="3039" width="7.46484375" style="881" customWidth="1"/>
    <col min="3040" max="3040" width="5.46484375" style="881" customWidth="1"/>
    <col min="3041" max="3041" width="7.19921875" style="881" customWidth="1"/>
    <col min="3042" max="3042" width="0.796875" style="881" customWidth="1"/>
    <col min="3043" max="3043" width="5.46484375" style="881" customWidth="1"/>
    <col min="3044" max="3044" width="7.796875" style="881" customWidth="1"/>
    <col min="3045" max="3045" width="7.46484375" style="881" customWidth="1"/>
    <col min="3046" max="3046" width="0.46484375" style="881" customWidth="1"/>
    <col min="3047" max="3047" width="0.19921875" style="881" customWidth="1"/>
    <col min="3048" max="3048" width="5.265625" style="881" customWidth="1"/>
    <col min="3049" max="3049" width="6.265625" style="881" customWidth="1"/>
    <col min="3050" max="3050" width="7.19921875" style="881" customWidth="1"/>
    <col min="3051" max="3051" width="6.796875" style="881" customWidth="1"/>
    <col min="3052" max="3052" width="6.265625" style="881" customWidth="1"/>
    <col min="3053" max="3053" width="6.19921875" style="881" customWidth="1"/>
    <col min="3054" max="3055" width="6.46484375" style="881" customWidth="1"/>
    <col min="3056" max="3056" width="8.265625" style="881" customWidth="1"/>
    <col min="3057" max="3057" width="7.19921875" style="881" bestFit="1" customWidth="1"/>
    <col min="3058" max="3058" width="6.46484375" style="881" customWidth="1"/>
    <col min="3059" max="3059" width="7.19921875" style="881" customWidth="1"/>
    <col min="3060" max="3060" width="6.46484375" style="881" customWidth="1"/>
    <col min="3061" max="3061" width="7.46484375" style="881" customWidth="1"/>
    <col min="3062" max="3062" width="8.265625" style="881" bestFit="1" customWidth="1"/>
    <col min="3063" max="3063" width="13.46484375" style="881" bestFit="1" customWidth="1"/>
    <col min="3064" max="3285" width="9.53125" style="881"/>
    <col min="3286" max="3286" width="5.46484375" style="881" customWidth="1"/>
    <col min="3287" max="3287" width="6.265625" style="881" customWidth="1"/>
    <col min="3288" max="3288" width="8.265625" style="881" customWidth="1"/>
    <col min="3289" max="3289" width="9.46484375" style="881" customWidth="1"/>
    <col min="3290" max="3290" width="8" style="881" customWidth="1"/>
    <col min="3291" max="3291" width="7.19921875" style="881" customWidth="1"/>
    <col min="3292" max="3292" width="1.265625" style="881" customWidth="1"/>
    <col min="3293" max="3293" width="6.265625" style="881" customWidth="1"/>
    <col min="3294" max="3294" width="8" style="881" customWidth="1"/>
    <col min="3295" max="3295" width="7.46484375" style="881" customWidth="1"/>
    <col min="3296" max="3296" width="5.46484375" style="881" customWidth="1"/>
    <col min="3297" max="3297" width="7.19921875" style="881" customWidth="1"/>
    <col min="3298" max="3298" width="0.796875" style="881" customWidth="1"/>
    <col min="3299" max="3299" width="5.46484375" style="881" customWidth="1"/>
    <col min="3300" max="3300" width="7.796875" style="881" customWidth="1"/>
    <col min="3301" max="3301" width="7.46484375" style="881" customWidth="1"/>
    <col min="3302" max="3302" width="0.46484375" style="881" customWidth="1"/>
    <col min="3303" max="3303" width="0.19921875" style="881" customWidth="1"/>
    <col min="3304" max="3304" width="5.265625" style="881" customWidth="1"/>
    <col min="3305" max="3305" width="6.265625" style="881" customWidth="1"/>
    <col min="3306" max="3306" width="7.19921875" style="881" customWidth="1"/>
    <col min="3307" max="3307" width="6.796875" style="881" customWidth="1"/>
    <col min="3308" max="3308" width="6.265625" style="881" customWidth="1"/>
    <col min="3309" max="3309" width="6.19921875" style="881" customWidth="1"/>
    <col min="3310" max="3311" width="6.46484375" style="881" customWidth="1"/>
    <col min="3312" max="3312" width="8.265625" style="881" customWidth="1"/>
    <col min="3313" max="3313" width="7.19921875" style="881" bestFit="1" customWidth="1"/>
    <col min="3314" max="3314" width="6.46484375" style="881" customWidth="1"/>
    <col min="3315" max="3315" width="7.19921875" style="881" customWidth="1"/>
    <col min="3316" max="3316" width="6.46484375" style="881" customWidth="1"/>
    <col min="3317" max="3317" width="7.46484375" style="881" customWidth="1"/>
    <col min="3318" max="3318" width="8.265625" style="881" bestFit="1" customWidth="1"/>
    <col min="3319" max="3319" width="13.46484375" style="881" bestFit="1" customWidth="1"/>
    <col min="3320" max="3541" width="9.53125" style="881"/>
    <col min="3542" max="3542" width="5.46484375" style="881" customWidth="1"/>
    <col min="3543" max="3543" width="6.265625" style="881" customWidth="1"/>
    <col min="3544" max="3544" width="8.265625" style="881" customWidth="1"/>
    <col min="3545" max="3545" width="9.46484375" style="881" customWidth="1"/>
    <col min="3546" max="3546" width="8" style="881" customWidth="1"/>
    <col min="3547" max="3547" width="7.19921875" style="881" customWidth="1"/>
    <col min="3548" max="3548" width="1.265625" style="881" customWidth="1"/>
    <col min="3549" max="3549" width="6.265625" style="881" customWidth="1"/>
    <col min="3550" max="3550" width="8" style="881" customWidth="1"/>
    <col min="3551" max="3551" width="7.46484375" style="881" customWidth="1"/>
    <col min="3552" max="3552" width="5.46484375" style="881" customWidth="1"/>
    <col min="3553" max="3553" width="7.19921875" style="881" customWidth="1"/>
    <col min="3554" max="3554" width="0.796875" style="881" customWidth="1"/>
    <col min="3555" max="3555" width="5.46484375" style="881" customWidth="1"/>
    <col min="3556" max="3556" width="7.796875" style="881" customWidth="1"/>
    <col min="3557" max="3557" width="7.46484375" style="881" customWidth="1"/>
    <col min="3558" max="3558" width="0.46484375" style="881" customWidth="1"/>
    <col min="3559" max="3559" width="0.19921875" style="881" customWidth="1"/>
    <col min="3560" max="3560" width="5.265625" style="881" customWidth="1"/>
    <col min="3561" max="3561" width="6.265625" style="881" customWidth="1"/>
    <col min="3562" max="3562" width="7.19921875" style="881" customWidth="1"/>
    <col min="3563" max="3563" width="6.796875" style="881" customWidth="1"/>
    <col min="3564" max="3564" width="6.265625" style="881" customWidth="1"/>
    <col min="3565" max="3565" width="6.19921875" style="881" customWidth="1"/>
    <col min="3566" max="3567" width="6.46484375" style="881" customWidth="1"/>
    <col min="3568" max="3568" width="8.265625" style="881" customWidth="1"/>
    <col min="3569" max="3569" width="7.19921875" style="881" bestFit="1" customWidth="1"/>
    <col min="3570" max="3570" width="6.46484375" style="881" customWidth="1"/>
    <col min="3571" max="3571" width="7.19921875" style="881" customWidth="1"/>
    <col min="3572" max="3572" width="6.46484375" style="881" customWidth="1"/>
    <col min="3573" max="3573" width="7.46484375" style="881" customWidth="1"/>
    <col min="3574" max="3574" width="8.265625" style="881" bestFit="1" customWidth="1"/>
    <col min="3575" max="3575" width="13.46484375" style="881" bestFit="1" customWidth="1"/>
    <col min="3576" max="3797" width="9.53125" style="881"/>
    <col min="3798" max="3798" width="5.46484375" style="881" customWidth="1"/>
    <col min="3799" max="3799" width="6.265625" style="881" customWidth="1"/>
    <col min="3800" max="3800" width="8.265625" style="881" customWidth="1"/>
    <col min="3801" max="3801" width="9.46484375" style="881" customWidth="1"/>
    <col min="3802" max="3802" width="8" style="881" customWidth="1"/>
    <col min="3803" max="3803" width="7.19921875" style="881" customWidth="1"/>
    <col min="3804" max="3804" width="1.265625" style="881" customWidth="1"/>
    <col min="3805" max="3805" width="6.265625" style="881" customWidth="1"/>
    <col min="3806" max="3806" width="8" style="881" customWidth="1"/>
    <col min="3807" max="3807" width="7.46484375" style="881" customWidth="1"/>
    <col min="3808" max="3808" width="5.46484375" style="881" customWidth="1"/>
    <col min="3809" max="3809" width="7.19921875" style="881" customWidth="1"/>
    <col min="3810" max="3810" width="0.796875" style="881" customWidth="1"/>
    <col min="3811" max="3811" width="5.46484375" style="881" customWidth="1"/>
    <col min="3812" max="3812" width="7.796875" style="881" customWidth="1"/>
    <col min="3813" max="3813" width="7.46484375" style="881" customWidth="1"/>
    <col min="3814" max="3814" width="0.46484375" style="881" customWidth="1"/>
    <col min="3815" max="3815" width="0.19921875" style="881" customWidth="1"/>
    <col min="3816" max="3816" width="5.265625" style="881" customWidth="1"/>
    <col min="3817" max="3817" width="6.265625" style="881" customWidth="1"/>
    <col min="3818" max="3818" width="7.19921875" style="881" customWidth="1"/>
    <col min="3819" max="3819" width="6.796875" style="881" customWidth="1"/>
    <col min="3820" max="3820" width="6.265625" style="881" customWidth="1"/>
    <col min="3821" max="3821" width="6.19921875" style="881" customWidth="1"/>
    <col min="3822" max="3823" width="6.46484375" style="881" customWidth="1"/>
    <col min="3824" max="3824" width="8.265625" style="881" customWidth="1"/>
    <col min="3825" max="3825" width="7.19921875" style="881" bestFit="1" customWidth="1"/>
    <col min="3826" max="3826" width="6.46484375" style="881" customWidth="1"/>
    <col min="3827" max="3827" width="7.19921875" style="881" customWidth="1"/>
    <col min="3828" max="3828" width="6.46484375" style="881" customWidth="1"/>
    <col min="3829" max="3829" width="7.46484375" style="881" customWidth="1"/>
    <col min="3830" max="3830" width="8.265625" style="881" bestFit="1" customWidth="1"/>
    <col min="3831" max="3831" width="13.46484375" style="881" bestFit="1" customWidth="1"/>
    <col min="3832" max="4053" width="9.53125" style="881"/>
    <col min="4054" max="4054" width="5.46484375" style="881" customWidth="1"/>
    <col min="4055" max="4055" width="6.265625" style="881" customWidth="1"/>
    <col min="4056" max="4056" width="8.265625" style="881" customWidth="1"/>
    <col min="4057" max="4057" width="9.46484375" style="881" customWidth="1"/>
    <col min="4058" max="4058" width="8" style="881" customWidth="1"/>
    <col min="4059" max="4059" width="7.19921875" style="881" customWidth="1"/>
    <col min="4060" max="4060" width="1.265625" style="881" customWidth="1"/>
    <col min="4061" max="4061" width="6.265625" style="881" customWidth="1"/>
    <col min="4062" max="4062" width="8" style="881" customWidth="1"/>
    <col min="4063" max="4063" width="7.46484375" style="881" customWidth="1"/>
    <col min="4064" max="4064" width="5.46484375" style="881" customWidth="1"/>
    <col min="4065" max="4065" width="7.19921875" style="881" customWidth="1"/>
    <col min="4066" max="4066" width="0.796875" style="881" customWidth="1"/>
    <col min="4067" max="4067" width="5.46484375" style="881" customWidth="1"/>
    <col min="4068" max="4068" width="7.796875" style="881" customWidth="1"/>
    <col min="4069" max="4069" width="7.46484375" style="881" customWidth="1"/>
    <col min="4070" max="4070" width="0.46484375" style="881" customWidth="1"/>
    <col min="4071" max="4071" width="0.19921875" style="881" customWidth="1"/>
    <col min="4072" max="4072" width="5.265625" style="881" customWidth="1"/>
    <col min="4073" max="4073" width="6.265625" style="881" customWidth="1"/>
    <col min="4074" max="4074" width="7.19921875" style="881" customWidth="1"/>
    <col min="4075" max="4075" width="6.796875" style="881" customWidth="1"/>
    <col min="4076" max="4076" width="6.265625" style="881" customWidth="1"/>
    <col min="4077" max="4077" width="6.19921875" style="881" customWidth="1"/>
    <col min="4078" max="4079" width="6.46484375" style="881" customWidth="1"/>
    <col min="4080" max="4080" width="8.265625" style="881" customWidth="1"/>
    <col min="4081" max="4081" width="7.19921875" style="881" bestFit="1" customWidth="1"/>
    <col min="4082" max="4082" width="6.46484375" style="881" customWidth="1"/>
    <col min="4083" max="4083" width="7.19921875" style="881" customWidth="1"/>
    <col min="4084" max="4084" width="6.46484375" style="881" customWidth="1"/>
    <col min="4085" max="4085" width="7.46484375" style="881" customWidth="1"/>
    <col min="4086" max="4086" width="8.265625" style="881" bestFit="1" customWidth="1"/>
    <col min="4087" max="4087" width="13.46484375" style="881" bestFit="1" customWidth="1"/>
    <col min="4088" max="4309" width="9.53125" style="881"/>
    <col min="4310" max="4310" width="5.46484375" style="881" customWidth="1"/>
    <col min="4311" max="4311" width="6.265625" style="881" customWidth="1"/>
    <col min="4312" max="4312" width="8.265625" style="881" customWidth="1"/>
    <col min="4313" max="4313" width="9.46484375" style="881" customWidth="1"/>
    <col min="4314" max="4314" width="8" style="881" customWidth="1"/>
    <col min="4315" max="4315" width="7.19921875" style="881" customWidth="1"/>
    <col min="4316" max="4316" width="1.265625" style="881" customWidth="1"/>
    <col min="4317" max="4317" width="6.265625" style="881" customWidth="1"/>
    <col min="4318" max="4318" width="8" style="881" customWidth="1"/>
    <col min="4319" max="4319" width="7.46484375" style="881" customWidth="1"/>
    <col min="4320" max="4320" width="5.46484375" style="881" customWidth="1"/>
    <col min="4321" max="4321" width="7.19921875" style="881" customWidth="1"/>
    <col min="4322" max="4322" width="0.796875" style="881" customWidth="1"/>
    <col min="4323" max="4323" width="5.46484375" style="881" customWidth="1"/>
    <col min="4324" max="4324" width="7.796875" style="881" customWidth="1"/>
    <col min="4325" max="4325" width="7.46484375" style="881" customWidth="1"/>
    <col min="4326" max="4326" width="0.46484375" style="881" customWidth="1"/>
    <col min="4327" max="4327" width="0.19921875" style="881" customWidth="1"/>
    <col min="4328" max="4328" width="5.265625" style="881" customWidth="1"/>
    <col min="4329" max="4329" width="6.265625" style="881" customWidth="1"/>
    <col min="4330" max="4330" width="7.19921875" style="881" customWidth="1"/>
    <col min="4331" max="4331" width="6.796875" style="881" customWidth="1"/>
    <col min="4332" max="4332" width="6.265625" style="881" customWidth="1"/>
    <col min="4333" max="4333" width="6.19921875" style="881" customWidth="1"/>
    <col min="4334" max="4335" width="6.46484375" style="881" customWidth="1"/>
    <col min="4336" max="4336" width="8.265625" style="881" customWidth="1"/>
    <col min="4337" max="4337" width="7.19921875" style="881" bestFit="1" customWidth="1"/>
    <col min="4338" max="4338" width="6.46484375" style="881" customWidth="1"/>
    <col min="4339" max="4339" width="7.19921875" style="881" customWidth="1"/>
    <col min="4340" max="4340" width="6.46484375" style="881" customWidth="1"/>
    <col min="4341" max="4341" width="7.46484375" style="881" customWidth="1"/>
    <col min="4342" max="4342" width="8.265625" style="881" bestFit="1" customWidth="1"/>
    <col min="4343" max="4343" width="13.46484375" style="881" bestFit="1" customWidth="1"/>
    <col min="4344" max="4565" width="9.53125" style="881"/>
    <col min="4566" max="4566" width="5.46484375" style="881" customWidth="1"/>
    <col min="4567" max="4567" width="6.265625" style="881" customWidth="1"/>
    <col min="4568" max="4568" width="8.265625" style="881" customWidth="1"/>
    <col min="4569" max="4569" width="9.46484375" style="881" customWidth="1"/>
    <col min="4570" max="4570" width="8" style="881" customWidth="1"/>
    <col min="4571" max="4571" width="7.19921875" style="881" customWidth="1"/>
    <col min="4572" max="4572" width="1.265625" style="881" customWidth="1"/>
    <col min="4573" max="4573" width="6.265625" style="881" customWidth="1"/>
    <col min="4574" max="4574" width="8" style="881" customWidth="1"/>
    <col min="4575" max="4575" width="7.46484375" style="881" customWidth="1"/>
    <col min="4576" max="4576" width="5.46484375" style="881" customWidth="1"/>
    <col min="4577" max="4577" width="7.19921875" style="881" customWidth="1"/>
    <col min="4578" max="4578" width="0.796875" style="881" customWidth="1"/>
    <col min="4579" max="4579" width="5.46484375" style="881" customWidth="1"/>
    <col min="4580" max="4580" width="7.796875" style="881" customWidth="1"/>
    <col min="4581" max="4581" width="7.46484375" style="881" customWidth="1"/>
    <col min="4582" max="4582" width="0.46484375" style="881" customWidth="1"/>
    <col min="4583" max="4583" width="0.19921875" style="881" customWidth="1"/>
    <col min="4584" max="4584" width="5.265625" style="881" customWidth="1"/>
    <col min="4585" max="4585" width="6.265625" style="881" customWidth="1"/>
    <col min="4586" max="4586" width="7.19921875" style="881" customWidth="1"/>
    <col min="4587" max="4587" width="6.796875" style="881" customWidth="1"/>
    <col min="4588" max="4588" width="6.265625" style="881" customWidth="1"/>
    <col min="4589" max="4589" width="6.19921875" style="881" customWidth="1"/>
    <col min="4590" max="4591" width="6.46484375" style="881" customWidth="1"/>
    <col min="4592" max="4592" width="8.265625" style="881" customWidth="1"/>
    <col min="4593" max="4593" width="7.19921875" style="881" bestFit="1" customWidth="1"/>
    <col min="4594" max="4594" width="6.46484375" style="881" customWidth="1"/>
    <col min="4595" max="4595" width="7.19921875" style="881" customWidth="1"/>
    <col min="4596" max="4596" width="6.46484375" style="881" customWidth="1"/>
    <col min="4597" max="4597" width="7.46484375" style="881" customWidth="1"/>
    <col min="4598" max="4598" width="8.265625" style="881" bestFit="1" customWidth="1"/>
    <col min="4599" max="4599" width="13.46484375" style="881" bestFit="1" customWidth="1"/>
    <col min="4600" max="4821" width="9.53125" style="881"/>
    <col min="4822" max="4822" width="5.46484375" style="881" customWidth="1"/>
    <col min="4823" max="4823" width="6.265625" style="881" customWidth="1"/>
    <col min="4824" max="4824" width="8.265625" style="881" customWidth="1"/>
    <col min="4825" max="4825" width="9.46484375" style="881" customWidth="1"/>
    <col min="4826" max="4826" width="8" style="881" customWidth="1"/>
    <col min="4827" max="4827" width="7.19921875" style="881" customWidth="1"/>
    <col min="4828" max="4828" width="1.265625" style="881" customWidth="1"/>
    <col min="4829" max="4829" width="6.265625" style="881" customWidth="1"/>
    <col min="4830" max="4830" width="8" style="881" customWidth="1"/>
    <col min="4831" max="4831" width="7.46484375" style="881" customWidth="1"/>
    <col min="4832" max="4832" width="5.46484375" style="881" customWidth="1"/>
    <col min="4833" max="4833" width="7.19921875" style="881" customWidth="1"/>
    <col min="4834" max="4834" width="0.796875" style="881" customWidth="1"/>
    <col min="4835" max="4835" width="5.46484375" style="881" customWidth="1"/>
    <col min="4836" max="4836" width="7.796875" style="881" customWidth="1"/>
    <col min="4837" max="4837" width="7.46484375" style="881" customWidth="1"/>
    <col min="4838" max="4838" width="0.46484375" style="881" customWidth="1"/>
    <col min="4839" max="4839" width="0.19921875" style="881" customWidth="1"/>
    <col min="4840" max="4840" width="5.265625" style="881" customWidth="1"/>
    <col min="4841" max="4841" width="6.265625" style="881" customWidth="1"/>
    <col min="4842" max="4842" width="7.19921875" style="881" customWidth="1"/>
    <col min="4843" max="4843" width="6.796875" style="881" customWidth="1"/>
    <col min="4844" max="4844" width="6.265625" style="881" customWidth="1"/>
    <col min="4845" max="4845" width="6.19921875" style="881" customWidth="1"/>
    <col min="4846" max="4847" width="6.46484375" style="881" customWidth="1"/>
    <col min="4848" max="4848" width="8.265625" style="881" customWidth="1"/>
    <col min="4849" max="4849" width="7.19921875" style="881" bestFit="1" customWidth="1"/>
    <col min="4850" max="4850" width="6.46484375" style="881" customWidth="1"/>
    <col min="4851" max="4851" width="7.19921875" style="881" customWidth="1"/>
    <col min="4852" max="4852" width="6.46484375" style="881" customWidth="1"/>
    <col min="4853" max="4853" width="7.46484375" style="881" customWidth="1"/>
    <col min="4854" max="4854" width="8.265625" style="881" bestFit="1" customWidth="1"/>
    <col min="4855" max="4855" width="13.46484375" style="881" bestFit="1" customWidth="1"/>
    <col min="4856" max="5077" width="9.53125" style="881"/>
    <col min="5078" max="5078" width="5.46484375" style="881" customWidth="1"/>
    <col min="5079" max="5079" width="6.265625" style="881" customWidth="1"/>
    <col min="5080" max="5080" width="8.265625" style="881" customWidth="1"/>
    <col min="5081" max="5081" width="9.46484375" style="881" customWidth="1"/>
    <col min="5082" max="5082" width="8" style="881" customWidth="1"/>
    <col min="5083" max="5083" width="7.19921875" style="881" customWidth="1"/>
    <col min="5084" max="5084" width="1.265625" style="881" customWidth="1"/>
    <col min="5085" max="5085" width="6.265625" style="881" customWidth="1"/>
    <col min="5086" max="5086" width="8" style="881" customWidth="1"/>
    <col min="5087" max="5087" width="7.46484375" style="881" customWidth="1"/>
    <col min="5088" max="5088" width="5.46484375" style="881" customWidth="1"/>
    <col min="5089" max="5089" width="7.19921875" style="881" customWidth="1"/>
    <col min="5090" max="5090" width="0.796875" style="881" customWidth="1"/>
    <col min="5091" max="5091" width="5.46484375" style="881" customWidth="1"/>
    <col min="5092" max="5092" width="7.796875" style="881" customWidth="1"/>
    <col min="5093" max="5093" width="7.46484375" style="881" customWidth="1"/>
    <col min="5094" max="5094" width="0.46484375" style="881" customWidth="1"/>
    <col min="5095" max="5095" width="0.19921875" style="881" customWidth="1"/>
    <col min="5096" max="5096" width="5.265625" style="881" customWidth="1"/>
    <col min="5097" max="5097" width="6.265625" style="881" customWidth="1"/>
    <col min="5098" max="5098" width="7.19921875" style="881" customWidth="1"/>
    <col min="5099" max="5099" width="6.796875" style="881" customWidth="1"/>
    <col min="5100" max="5100" width="6.265625" style="881" customWidth="1"/>
    <col min="5101" max="5101" width="6.19921875" style="881" customWidth="1"/>
    <col min="5102" max="5103" width="6.46484375" style="881" customWidth="1"/>
    <col min="5104" max="5104" width="8.265625" style="881" customWidth="1"/>
    <col min="5105" max="5105" width="7.19921875" style="881" bestFit="1" customWidth="1"/>
    <col min="5106" max="5106" width="6.46484375" style="881" customWidth="1"/>
    <col min="5107" max="5107" width="7.19921875" style="881" customWidth="1"/>
    <col min="5108" max="5108" width="6.46484375" style="881" customWidth="1"/>
    <col min="5109" max="5109" width="7.46484375" style="881" customWidth="1"/>
    <col min="5110" max="5110" width="8.265625" style="881" bestFit="1" customWidth="1"/>
    <col min="5111" max="5111" width="13.46484375" style="881" bestFit="1" customWidth="1"/>
    <col min="5112" max="5333" width="9.53125" style="881"/>
    <col min="5334" max="5334" width="5.46484375" style="881" customWidth="1"/>
    <col min="5335" max="5335" width="6.265625" style="881" customWidth="1"/>
    <col min="5336" max="5336" width="8.265625" style="881" customWidth="1"/>
    <col min="5337" max="5337" width="9.46484375" style="881" customWidth="1"/>
    <col min="5338" max="5338" width="8" style="881" customWidth="1"/>
    <col min="5339" max="5339" width="7.19921875" style="881" customWidth="1"/>
    <col min="5340" max="5340" width="1.265625" style="881" customWidth="1"/>
    <col min="5341" max="5341" width="6.265625" style="881" customWidth="1"/>
    <col min="5342" max="5342" width="8" style="881" customWidth="1"/>
    <col min="5343" max="5343" width="7.46484375" style="881" customWidth="1"/>
    <col min="5344" max="5344" width="5.46484375" style="881" customWidth="1"/>
    <col min="5345" max="5345" width="7.19921875" style="881" customWidth="1"/>
    <col min="5346" max="5346" width="0.796875" style="881" customWidth="1"/>
    <col min="5347" max="5347" width="5.46484375" style="881" customWidth="1"/>
    <col min="5348" max="5348" width="7.796875" style="881" customWidth="1"/>
    <col min="5349" max="5349" width="7.46484375" style="881" customWidth="1"/>
    <col min="5350" max="5350" width="0.46484375" style="881" customWidth="1"/>
    <col min="5351" max="5351" width="0.19921875" style="881" customWidth="1"/>
    <col min="5352" max="5352" width="5.265625" style="881" customWidth="1"/>
    <col min="5353" max="5353" width="6.265625" style="881" customWidth="1"/>
    <col min="5354" max="5354" width="7.19921875" style="881" customWidth="1"/>
    <col min="5355" max="5355" width="6.796875" style="881" customWidth="1"/>
    <col min="5356" max="5356" width="6.265625" style="881" customWidth="1"/>
    <col min="5357" max="5357" width="6.19921875" style="881" customWidth="1"/>
    <col min="5358" max="5359" width="6.46484375" style="881" customWidth="1"/>
    <col min="5360" max="5360" width="8.265625" style="881" customWidth="1"/>
    <col min="5361" max="5361" width="7.19921875" style="881" bestFit="1" customWidth="1"/>
    <col min="5362" max="5362" width="6.46484375" style="881" customWidth="1"/>
    <col min="5363" max="5363" width="7.19921875" style="881" customWidth="1"/>
    <col min="5364" max="5364" width="6.46484375" style="881" customWidth="1"/>
    <col min="5365" max="5365" width="7.46484375" style="881" customWidth="1"/>
    <col min="5366" max="5366" width="8.265625" style="881" bestFit="1" customWidth="1"/>
    <col min="5367" max="5367" width="13.46484375" style="881" bestFit="1" customWidth="1"/>
    <col min="5368" max="5589" width="9.53125" style="881"/>
    <col min="5590" max="5590" width="5.46484375" style="881" customWidth="1"/>
    <col min="5591" max="5591" width="6.265625" style="881" customWidth="1"/>
    <col min="5592" max="5592" width="8.265625" style="881" customWidth="1"/>
    <col min="5593" max="5593" width="9.46484375" style="881" customWidth="1"/>
    <col min="5594" max="5594" width="8" style="881" customWidth="1"/>
    <col min="5595" max="5595" width="7.19921875" style="881" customWidth="1"/>
    <col min="5596" max="5596" width="1.265625" style="881" customWidth="1"/>
    <col min="5597" max="5597" width="6.265625" style="881" customWidth="1"/>
    <col min="5598" max="5598" width="8" style="881" customWidth="1"/>
    <col min="5599" max="5599" width="7.46484375" style="881" customWidth="1"/>
    <col min="5600" max="5600" width="5.46484375" style="881" customWidth="1"/>
    <col min="5601" max="5601" width="7.19921875" style="881" customWidth="1"/>
    <col min="5602" max="5602" width="0.796875" style="881" customWidth="1"/>
    <col min="5603" max="5603" width="5.46484375" style="881" customWidth="1"/>
    <col min="5604" max="5604" width="7.796875" style="881" customWidth="1"/>
    <col min="5605" max="5605" width="7.46484375" style="881" customWidth="1"/>
    <col min="5606" max="5606" width="0.46484375" style="881" customWidth="1"/>
    <col min="5607" max="5607" width="0.19921875" style="881" customWidth="1"/>
    <col min="5608" max="5608" width="5.265625" style="881" customWidth="1"/>
    <col min="5609" max="5609" width="6.265625" style="881" customWidth="1"/>
    <col min="5610" max="5610" width="7.19921875" style="881" customWidth="1"/>
    <col min="5611" max="5611" width="6.796875" style="881" customWidth="1"/>
    <col min="5612" max="5612" width="6.265625" style="881" customWidth="1"/>
    <col min="5613" max="5613" width="6.19921875" style="881" customWidth="1"/>
    <col min="5614" max="5615" width="6.46484375" style="881" customWidth="1"/>
    <col min="5616" max="5616" width="8.265625" style="881" customWidth="1"/>
    <col min="5617" max="5617" width="7.19921875" style="881" bestFit="1" customWidth="1"/>
    <col min="5618" max="5618" width="6.46484375" style="881" customWidth="1"/>
    <col min="5619" max="5619" width="7.19921875" style="881" customWidth="1"/>
    <col min="5620" max="5620" width="6.46484375" style="881" customWidth="1"/>
    <col min="5621" max="5621" width="7.46484375" style="881" customWidth="1"/>
    <col min="5622" max="5622" width="8.265625" style="881" bestFit="1" customWidth="1"/>
    <col min="5623" max="5623" width="13.46484375" style="881" bestFit="1" customWidth="1"/>
    <col min="5624" max="5845" width="9.53125" style="881"/>
    <col min="5846" max="5846" width="5.46484375" style="881" customWidth="1"/>
    <col min="5847" max="5847" width="6.265625" style="881" customWidth="1"/>
    <col min="5848" max="5848" width="8.265625" style="881" customWidth="1"/>
    <col min="5849" max="5849" width="9.46484375" style="881" customWidth="1"/>
    <col min="5850" max="5850" width="8" style="881" customWidth="1"/>
    <col min="5851" max="5851" width="7.19921875" style="881" customWidth="1"/>
    <col min="5852" max="5852" width="1.265625" style="881" customWidth="1"/>
    <col min="5853" max="5853" width="6.265625" style="881" customWidth="1"/>
    <col min="5854" max="5854" width="8" style="881" customWidth="1"/>
    <col min="5855" max="5855" width="7.46484375" style="881" customWidth="1"/>
    <col min="5856" max="5856" width="5.46484375" style="881" customWidth="1"/>
    <col min="5857" max="5857" width="7.19921875" style="881" customWidth="1"/>
    <col min="5858" max="5858" width="0.796875" style="881" customWidth="1"/>
    <col min="5859" max="5859" width="5.46484375" style="881" customWidth="1"/>
    <col min="5860" max="5860" width="7.796875" style="881" customWidth="1"/>
    <col min="5861" max="5861" width="7.46484375" style="881" customWidth="1"/>
    <col min="5862" max="5862" width="0.46484375" style="881" customWidth="1"/>
    <col min="5863" max="5863" width="0.19921875" style="881" customWidth="1"/>
    <col min="5864" max="5864" width="5.265625" style="881" customWidth="1"/>
    <col min="5865" max="5865" width="6.265625" style="881" customWidth="1"/>
    <col min="5866" max="5866" width="7.19921875" style="881" customWidth="1"/>
    <col min="5867" max="5867" width="6.796875" style="881" customWidth="1"/>
    <col min="5868" max="5868" width="6.265625" style="881" customWidth="1"/>
    <col min="5869" max="5869" width="6.19921875" style="881" customWidth="1"/>
    <col min="5870" max="5871" width="6.46484375" style="881" customWidth="1"/>
    <col min="5872" max="5872" width="8.265625" style="881" customWidth="1"/>
    <col min="5873" max="5873" width="7.19921875" style="881" bestFit="1" customWidth="1"/>
    <col min="5874" max="5874" width="6.46484375" style="881" customWidth="1"/>
    <col min="5875" max="5875" width="7.19921875" style="881" customWidth="1"/>
    <col min="5876" max="5876" width="6.46484375" style="881" customWidth="1"/>
    <col min="5877" max="5877" width="7.46484375" style="881" customWidth="1"/>
    <col min="5878" max="5878" width="8.265625" style="881" bestFit="1" customWidth="1"/>
    <col min="5879" max="5879" width="13.46484375" style="881" bestFit="1" customWidth="1"/>
    <col min="5880" max="6101" width="9.53125" style="881"/>
    <col min="6102" max="6102" width="5.46484375" style="881" customWidth="1"/>
    <col min="6103" max="6103" width="6.265625" style="881" customWidth="1"/>
    <col min="6104" max="6104" width="8.265625" style="881" customWidth="1"/>
    <col min="6105" max="6105" width="9.46484375" style="881" customWidth="1"/>
    <col min="6106" max="6106" width="8" style="881" customWidth="1"/>
    <col min="6107" max="6107" width="7.19921875" style="881" customWidth="1"/>
    <col min="6108" max="6108" width="1.265625" style="881" customWidth="1"/>
    <col min="6109" max="6109" width="6.265625" style="881" customWidth="1"/>
    <col min="6110" max="6110" width="8" style="881" customWidth="1"/>
    <col min="6111" max="6111" width="7.46484375" style="881" customWidth="1"/>
    <col min="6112" max="6112" width="5.46484375" style="881" customWidth="1"/>
    <col min="6113" max="6113" width="7.19921875" style="881" customWidth="1"/>
    <col min="6114" max="6114" width="0.796875" style="881" customWidth="1"/>
    <col min="6115" max="6115" width="5.46484375" style="881" customWidth="1"/>
    <col min="6116" max="6116" width="7.796875" style="881" customWidth="1"/>
    <col min="6117" max="6117" width="7.46484375" style="881" customWidth="1"/>
    <col min="6118" max="6118" width="0.46484375" style="881" customWidth="1"/>
    <col min="6119" max="6119" width="0.19921875" style="881" customWidth="1"/>
    <col min="6120" max="6120" width="5.265625" style="881" customWidth="1"/>
    <col min="6121" max="6121" width="6.265625" style="881" customWidth="1"/>
    <col min="6122" max="6122" width="7.19921875" style="881" customWidth="1"/>
    <col min="6123" max="6123" width="6.796875" style="881" customWidth="1"/>
    <col min="6124" max="6124" width="6.265625" style="881" customWidth="1"/>
    <col min="6125" max="6125" width="6.19921875" style="881" customWidth="1"/>
    <col min="6126" max="6127" width="6.46484375" style="881" customWidth="1"/>
    <col min="6128" max="6128" width="8.265625" style="881" customWidth="1"/>
    <col min="6129" max="6129" width="7.19921875" style="881" bestFit="1" customWidth="1"/>
    <col min="6130" max="6130" width="6.46484375" style="881" customWidth="1"/>
    <col min="6131" max="6131" width="7.19921875" style="881" customWidth="1"/>
    <col min="6132" max="6132" width="6.46484375" style="881" customWidth="1"/>
    <col min="6133" max="6133" width="7.46484375" style="881" customWidth="1"/>
    <col min="6134" max="6134" width="8.265625" style="881" bestFit="1" customWidth="1"/>
    <col min="6135" max="6135" width="13.46484375" style="881" bestFit="1" customWidth="1"/>
    <col min="6136" max="6357" width="9.53125" style="881"/>
    <col min="6358" max="6358" width="5.46484375" style="881" customWidth="1"/>
    <col min="6359" max="6359" width="6.265625" style="881" customWidth="1"/>
    <col min="6360" max="6360" width="8.265625" style="881" customWidth="1"/>
    <col min="6361" max="6361" width="9.46484375" style="881" customWidth="1"/>
    <col min="6362" max="6362" width="8" style="881" customWidth="1"/>
    <col min="6363" max="6363" width="7.19921875" style="881" customWidth="1"/>
    <col min="6364" max="6364" width="1.265625" style="881" customWidth="1"/>
    <col min="6365" max="6365" width="6.265625" style="881" customWidth="1"/>
    <col min="6366" max="6366" width="8" style="881" customWidth="1"/>
    <col min="6367" max="6367" width="7.46484375" style="881" customWidth="1"/>
    <col min="6368" max="6368" width="5.46484375" style="881" customWidth="1"/>
    <col min="6369" max="6369" width="7.19921875" style="881" customWidth="1"/>
    <col min="6370" max="6370" width="0.796875" style="881" customWidth="1"/>
    <col min="6371" max="6371" width="5.46484375" style="881" customWidth="1"/>
    <col min="6372" max="6372" width="7.796875" style="881" customWidth="1"/>
    <col min="6373" max="6373" width="7.46484375" style="881" customWidth="1"/>
    <col min="6374" max="6374" width="0.46484375" style="881" customWidth="1"/>
    <col min="6375" max="6375" width="0.19921875" style="881" customWidth="1"/>
    <col min="6376" max="6376" width="5.265625" style="881" customWidth="1"/>
    <col min="6377" max="6377" width="6.265625" style="881" customWidth="1"/>
    <col min="6378" max="6378" width="7.19921875" style="881" customWidth="1"/>
    <col min="6379" max="6379" width="6.796875" style="881" customWidth="1"/>
    <col min="6380" max="6380" width="6.265625" style="881" customWidth="1"/>
    <col min="6381" max="6381" width="6.19921875" style="881" customWidth="1"/>
    <col min="6382" max="6383" width="6.46484375" style="881" customWidth="1"/>
    <col min="6384" max="6384" width="8.265625" style="881" customWidth="1"/>
    <col min="6385" max="6385" width="7.19921875" style="881" bestFit="1" customWidth="1"/>
    <col min="6386" max="6386" width="6.46484375" style="881" customWidth="1"/>
    <col min="6387" max="6387" width="7.19921875" style="881" customWidth="1"/>
    <col min="6388" max="6388" width="6.46484375" style="881" customWidth="1"/>
    <col min="6389" max="6389" width="7.46484375" style="881" customWidth="1"/>
    <col min="6390" max="6390" width="8.265625" style="881" bestFit="1" customWidth="1"/>
    <col min="6391" max="6391" width="13.46484375" style="881" bestFit="1" customWidth="1"/>
    <col min="6392" max="6613" width="9.53125" style="881"/>
    <col min="6614" max="6614" width="5.46484375" style="881" customWidth="1"/>
    <col min="6615" max="6615" width="6.265625" style="881" customWidth="1"/>
    <col min="6616" max="6616" width="8.265625" style="881" customWidth="1"/>
    <col min="6617" max="6617" width="9.46484375" style="881" customWidth="1"/>
    <col min="6618" max="6618" width="8" style="881" customWidth="1"/>
    <col min="6619" max="6619" width="7.19921875" style="881" customWidth="1"/>
    <col min="6620" max="6620" width="1.265625" style="881" customWidth="1"/>
    <col min="6621" max="6621" width="6.265625" style="881" customWidth="1"/>
    <col min="6622" max="6622" width="8" style="881" customWidth="1"/>
    <col min="6623" max="6623" width="7.46484375" style="881" customWidth="1"/>
    <col min="6624" max="6624" width="5.46484375" style="881" customWidth="1"/>
    <col min="6625" max="6625" width="7.19921875" style="881" customWidth="1"/>
    <col min="6626" max="6626" width="0.796875" style="881" customWidth="1"/>
    <col min="6627" max="6627" width="5.46484375" style="881" customWidth="1"/>
    <col min="6628" max="6628" width="7.796875" style="881" customWidth="1"/>
    <col min="6629" max="6629" width="7.46484375" style="881" customWidth="1"/>
    <col min="6630" max="6630" width="0.46484375" style="881" customWidth="1"/>
    <col min="6631" max="6631" width="0.19921875" style="881" customWidth="1"/>
    <col min="6632" max="6632" width="5.265625" style="881" customWidth="1"/>
    <col min="6633" max="6633" width="6.265625" style="881" customWidth="1"/>
    <col min="6634" max="6634" width="7.19921875" style="881" customWidth="1"/>
    <col min="6635" max="6635" width="6.796875" style="881" customWidth="1"/>
    <col min="6636" max="6636" width="6.265625" style="881" customWidth="1"/>
    <col min="6637" max="6637" width="6.19921875" style="881" customWidth="1"/>
    <col min="6638" max="6639" width="6.46484375" style="881" customWidth="1"/>
    <col min="6640" max="6640" width="8.265625" style="881" customWidth="1"/>
    <col min="6641" max="6641" width="7.19921875" style="881" bestFit="1" customWidth="1"/>
    <col min="6642" max="6642" width="6.46484375" style="881" customWidth="1"/>
    <col min="6643" max="6643" width="7.19921875" style="881" customWidth="1"/>
    <col min="6644" max="6644" width="6.46484375" style="881" customWidth="1"/>
    <col min="6645" max="6645" width="7.46484375" style="881" customWidth="1"/>
    <col min="6646" max="6646" width="8.265625" style="881" bestFit="1" customWidth="1"/>
    <col min="6647" max="6647" width="13.46484375" style="881" bestFit="1" customWidth="1"/>
    <col min="6648" max="6869" width="9.53125" style="881"/>
    <col min="6870" max="6870" width="5.46484375" style="881" customWidth="1"/>
    <col min="6871" max="6871" width="6.265625" style="881" customWidth="1"/>
    <col min="6872" max="6872" width="8.265625" style="881" customWidth="1"/>
    <col min="6873" max="6873" width="9.46484375" style="881" customWidth="1"/>
    <col min="6874" max="6874" width="8" style="881" customWidth="1"/>
    <col min="6875" max="6875" width="7.19921875" style="881" customWidth="1"/>
    <col min="6876" max="6876" width="1.265625" style="881" customWidth="1"/>
    <col min="6877" max="6877" width="6.265625" style="881" customWidth="1"/>
    <col min="6878" max="6878" width="8" style="881" customWidth="1"/>
    <col min="6879" max="6879" width="7.46484375" style="881" customWidth="1"/>
    <col min="6880" max="6880" width="5.46484375" style="881" customWidth="1"/>
    <col min="6881" max="6881" width="7.19921875" style="881" customWidth="1"/>
    <col min="6882" max="6882" width="0.796875" style="881" customWidth="1"/>
    <col min="6883" max="6883" width="5.46484375" style="881" customWidth="1"/>
    <col min="6884" max="6884" width="7.796875" style="881" customWidth="1"/>
    <col min="6885" max="6885" width="7.46484375" style="881" customWidth="1"/>
    <col min="6886" max="6886" width="0.46484375" style="881" customWidth="1"/>
    <col min="6887" max="6887" width="0.19921875" style="881" customWidth="1"/>
    <col min="6888" max="6888" width="5.265625" style="881" customWidth="1"/>
    <col min="6889" max="6889" width="6.265625" style="881" customWidth="1"/>
    <col min="6890" max="6890" width="7.19921875" style="881" customWidth="1"/>
    <col min="6891" max="6891" width="6.796875" style="881" customWidth="1"/>
    <col min="6892" max="6892" width="6.265625" style="881" customWidth="1"/>
    <col min="6893" max="6893" width="6.19921875" style="881" customWidth="1"/>
    <col min="6894" max="6895" width="6.46484375" style="881" customWidth="1"/>
    <col min="6896" max="6896" width="8.265625" style="881" customWidth="1"/>
    <col min="6897" max="6897" width="7.19921875" style="881" bestFit="1" customWidth="1"/>
    <col min="6898" max="6898" width="6.46484375" style="881" customWidth="1"/>
    <col min="6899" max="6899" width="7.19921875" style="881" customWidth="1"/>
    <col min="6900" max="6900" width="6.46484375" style="881" customWidth="1"/>
    <col min="6901" max="6901" width="7.46484375" style="881" customWidth="1"/>
    <col min="6902" max="6902" width="8.265625" style="881" bestFit="1" customWidth="1"/>
    <col min="6903" max="6903" width="13.46484375" style="881" bestFit="1" customWidth="1"/>
    <col min="6904" max="7125" width="9.53125" style="881"/>
    <col min="7126" max="7126" width="5.46484375" style="881" customWidth="1"/>
    <col min="7127" max="7127" width="6.265625" style="881" customWidth="1"/>
    <col min="7128" max="7128" width="8.265625" style="881" customWidth="1"/>
    <col min="7129" max="7129" width="9.46484375" style="881" customWidth="1"/>
    <col min="7130" max="7130" width="8" style="881" customWidth="1"/>
    <col min="7131" max="7131" width="7.19921875" style="881" customWidth="1"/>
    <col min="7132" max="7132" width="1.265625" style="881" customWidth="1"/>
    <col min="7133" max="7133" width="6.265625" style="881" customWidth="1"/>
    <col min="7134" max="7134" width="8" style="881" customWidth="1"/>
    <col min="7135" max="7135" width="7.46484375" style="881" customWidth="1"/>
    <col min="7136" max="7136" width="5.46484375" style="881" customWidth="1"/>
    <col min="7137" max="7137" width="7.19921875" style="881" customWidth="1"/>
    <col min="7138" max="7138" width="0.796875" style="881" customWidth="1"/>
    <col min="7139" max="7139" width="5.46484375" style="881" customWidth="1"/>
    <col min="7140" max="7140" width="7.796875" style="881" customWidth="1"/>
    <col min="7141" max="7141" width="7.46484375" style="881" customWidth="1"/>
    <col min="7142" max="7142" width="0.46484375" style="881" customWidth="1"/>
    <col min="7143" max="7143" width="0.19921875" style="881" customWidth="1"/>
    <col min="7144" max="7144" width="5.265625" style="881" customWidth="1"/>
    <col min="7145" max="7145" width="6.265625" style="881" customWidth="1"/>
    <col min="7146" max="7146" width="7.19921875" style="881" customWidth="1"/>
    <col min="7147" max="7147" width="6.796875" style="881" customWidth="1"/>
    <col min="7148" max="7148" width="6.265625" style="881" customWidth="1"/>
    <col min="7149" max="7149" width="6.19921875" style="881" customWidth="1"/>
    <col min="7150" max="7151" width="6.46484375" style="881" customWidth="1"/>
    <col min="7152" max="7152" width="8.265625" style="881" customWidth="1"/>
    <col min="7153" max="7153" width="7.19921875" style="881" bestFit="1" customWidth="1"/>
    <col min="7154" max="7154" width="6.46484375" style="881" customWidth="1"/>
    <col min="7155" max="7155" width="7.19921875" style="881" customWidth="1"/>
    <col min="7156" max="7156" width="6.46484375" style="881" customWidth="1"/>
    <col min="7157" max="7157" width="7.46484375" style="881" customWidth="1"/>
    <col min="7158" max="7158" width="8.265625" style="881" bestFit="1" customWidth="1"/>
    <col min="7159" max="7159" width="13.46484375" style="881" bestFit="1" customWidth="1"/>
    <col min="7160" max="7381" width="9.53125" style="881"/>
    <col min="7382" max="7382" width="5.46484375" style="881" customWidth="1"/>
    <col min="7383" max="7383" width="6.265625" style="881" customWidth="1"/>
    <col min="7384" max="7384" width="8.265625" style="881" customWidth="1"/>
    <col min="7385" max="7385" width="9.46484375" style="881" customWidth="1"/>
    <col min="7386" max="7386" width="8" style="881" customWidth="1"/>
    <col min="7387" max="7387" width="7.19921875" style="881" customWidth="1"/>
    <col min="7388" max="7388" width="1.265625" style="881" customWidth="1"/>
    <col min="7389" max="7389" width="6.265625" style="881" customWidth="1"/>
    <col min="7390" max="7390" width="8" style="881" customWidth="1"/>
    <col min="7391" max="7391" width="7.46484375" style="881" customWidth="1"/>
    <col min="7392" max="7392" width="5.46484375" style="881" customWidth="1"/>
    <col min="7393" max="7393" width="7.19921875" style="881" customWidth="1"/>
    <col min="7394" max="7394" width="0.796875" style="881" customWidth="1"/>
    <col min="7395" max="7395" width="5.46484375" style="881" customWidth="1"/>
    <col min="7396" max="7396" width="7.796875" style="881" customWidth="1"/>
    <col min="7397" max="7397" width="7.46484375" style="881" customWidth="1"/>
    <col min="7398" max="7398" width="0.46484375" style="881" customWidth="1"/>
    <col min="7399" max="7399" width="0.19921875" style="881" customWidth="1"/>
    <col min="7400" max="7400" width="5.265625" style="881" customWidth="1"/>
    <col min="7401" max="7401" width="6.265625" style="881" customWidth="1"/>
    <col min="7402" max="7402" width="7.19921875" style="881" customWidth="1"/>
    <col min="7403" max="7403" width="6.796875" style="881" customWidth="1"/>
    <col min="7404" max="7404" width="6.265625" style="881" customWidth="1"/>
    <col min="7405" max="7405" width="6.19921875" style="881" customWidth="1"/>
    <col min="7406" max="7407" width="6.46484375" style="881" customWidth="1"/>
    <col min="7408" max="7408" width="8.265625" style="881" customWidth="1"/>
    <col min="7409" max="7409" width="7.19921875" style="881" bestFit="1" customWidth="1"/>
    <col min="7410" max="7410" width="6.46484375" style="881" customWidth="1"/>
    <col min="7411" max="7411" width="7.19921875" style="881" customWidth="1"/>
    <col min="7412" max="7412" width="6.46484375" style="881" customWidth="1"/>
    <col min="7413" max="7413" width="7.46484375" style="881" customWidth="1"/>
    <col min="7414" max="7414" width="8.265625" style="881" bestFit="1" customWidth="1"/>
    <col min="7415" max="7415" width="13.46484375" style="881" bestFit="1" customWidth="1"/>
    <col min="7416" max="7637" width="9.53125" style="881"/>
    <col min="7638" max="7638" width="5.46484375" style="881" customWidth="1"/>
    <col min="7639" max="7639" width="6.265625" style="881" customWidth="1"/>
    <col min="7640" max="7640" width="8.265625" style="881" customWidth="1"/>
    <col min="7641" max="7641" width="9.46484375" style="881" customWidth="1"/>
    <col min="7642" max="7642" width="8" style="881" customWidth="1"/>
    <col min="7643" max="7643" width="7.19921875" style="881" customWidth="1"/>
    <col min="7644" max="7644" width="1.265625" style="881" customWidth="1"/>
    <col min="7645" max="7645" width="6.265625" style="881" customWidth="1"/>
    <col min="7646" max="7646" width="8" style="881" customWidth="1"/>
    <col min="7647" max="7647" width="7.46484375" style="881" customWidth="1"/>
    <col min="7648" max="7648" width="5.46484375" style="881" customWidth="1"/>
    <col min="7649" max="7649" width="7.19921875" style="881" customWidth="1"/>
    <col min="7650" max="7650" width="0.796875" style="881" customWidth="1"/>
    <col min="7651" max="7651" width="5.46484375" style="881" customWidth="1"/>
    <col min="7652" max="7652" width="7.796875" style="881" customWidth="1"/>
    <col min="7653" max="7653" width="7.46484375" style="881" customWidth="1"/>
    <col min="7654" max="7654" width="0.46484375" style="881" customWidth="1"/>
    <col min="7655" max="7655" width="0.19921875" style="881" customWidth="1"/>
    <col min="7656" max="7656" width="5.265625" style="881" customWidth="1"/>
    <col min="7657" max="7657" width="6.265625" style="881" customWidth="1"/>
    <col min="7658" max="7658" width="7.19921875" style="881" customWidth="1"/>
    <col min="7659" max="7659" width="6.796875" style="881" customWidth="1"/>
    <col min="7660" max="7660" width="6.265625" style="881" customWidth="1"/>
    <col min="7661" max="7661" width="6.19921875" style="881" customWidth="1"/>
    <col min="7662" max="7663" width="6.46484375" style="881" customWidth="1"/>
    <col min="7664" max="7664" width="8.265625" style="881" customWidth="1"/>
    <col min="7665" max="7665" width="7.19921875" style="881" bestFit="1" customWidth="1"/>
    <col min="7666" max="7666" width="6.46484375" style="881" customWidth="1"/>
    <col min="7667" max="7667" width="7.19921875" style="881" customWidth="1"/>
    <col min="7668" max="7668" width="6.46484375" style="881" customWidth="1"/>
    <col min="7669" max="7669" width="7.46484375" style="881" customWidth="1"/>
    <col min="7670" max="7670" width="8.265625" style="881" bestFit="1" customWidth="1"/>
    <col min="7671" max="7671" width="13.46484375" style="881" bestFit="1" customWidth="1"/>
    <col min="7672" max="7893" width="9.53125" style="881"/>
    <col min="7894" max="7894" width="5.46484375" style="881" customWidth="1"/>
    <col min="7895" max="7895" width="6.265625" style="881" customWidth="1"/>
    <col min="7896" max="7896" width="8.265625" style="881" customWidth="1"/>
    <col min="7897" max="7897" width="9.46484375" style="881" customWidth="1"/>
    <col min="7898" max="7898" width="8" style="881" customWidth="1"/>
    <col min="7899" max="7899" width="7.19921875" style="881" customWidth="1"/>
    <col min="7900" max="7900" width="1.265625" style="881" customWidth="1"/>
    <col min="7901" max="7901" width="6.265625" style="881" customWidth="1"/>
    <col min="7902" max="7902" width="8" style="881" customWidth="1"/>
    <col min="7903" max="7903" width="7.46484375" style="881" customWidth="1"/>
    <col min="7904" max="7904" width="5.46484375" style="881" customWidth="1"/>
    <col min="7905" max="7905" width="7.19921875" style="881" customWidth="1"/>
    <col min="7906" max="7906" width="0.796875" style="881" customWidth="1"/>
    <col min="7907" max="7907" width="5.46484375" style="881" customWidth="1"/>
    <col min="7908" max="7908" width="7.796875" style="881" customWidth="1"/>
    <col min="7909" max="7909" width="7.46484375" style="881" customWidth="1"/>
    <col min="7910" max="7910" width="0.46484375" style="881" customWidth="1"/>
    <col min="7911" max="7911" width="0.19921875" style="881" customWidth="1"/>
    <col min="7912" max="7912" width="5.265625" style="881" customWidth="1"/>
    <col min="7913" max="7913" width="6.265625" style="881" customWidth="1"/>
    <col min="7914" max="7914" width="7.19921875" style="881" customWidth="1"/>
    <col min="7915" max="7915" width="6.796875" style="881" customWidth="1"/>
    <col min="7916" max="7916" width="6.265625" style="881" customWidth="1"/>
    <col min="7917" max="7917" width="6.19921875" style="881" customWidth="1"/>
    <col min="7918" max="7919" width="6.46484375" style="881" customWidth="1"/>
    <col min="7920" max="7920" width="8.265625" style="881" customWidth="1"/>
    <col min="7921" max="7921" width="7.19921875" style="881" bestFit="1" customWidth="1"/>
    <col min="7922" max="7922" width="6.46484375" style="881" customWidth="1"/>
    <col min="7923" max="7923" width="7.19921875" style="881" customWidth="1"/>
    <col min="7924" max="7924" width="6.46484375" style="881" customWidth="1"/>
    <col min="7925" max="7925" width="7.46484375" style="881" customWidth="1"/>
    <col min="7926" max="7926" width="8.265625" style="881" bestFit="1" customWidth="1"/>
    <col min="7927" max="7927" width="13.46484375" style="881" bestFit="1" customWidth="1"/>
    <col min="7928" max="8149" width="9.53125" style="881"/>
    <col min="8150" max="8150" width="5.46484375" style="881" customWidth="1"/>
    <col min="8151" max="8151" width="6.265625" style="881" customWidth="1"/>
    <col min="8152" max="8152" width="8.265625" style="881" customWidth="1"/>
    <col min="8153" max="8153" width="9.46484375" style="881" customWidth="1"/>
    <col min="8154" max="8154" width="8" style="881" customWidth="1"/>
    <col min="8155" max="8155" width="7.19921875" style="881" customWidth="1"/>
    <col min="8156" max="8156" width="1.265625" style="881" customWidth="1"/>
    <col min="8157" max="8157" width="6.265625" style="881" customWidth="1"/>
    <col min="8158" max="8158" width="8" style="881" customWidth="1"/>
    <col min="8159" max="8159" width="7.46484375" style="881" customWidth="1"/>
    <col min="8160" max="8160" width="5.46484375" style="881" customWidth="1"/>
    <col min="8161" max="8161" width="7.19921875" style="881" customWidth="1"/>
    <col min="8162" max="8162" width="0.796875" style="881" customWidth="1"/>
    <col min="8163" max="8163" width="5.46484375" style="881" customWidth="1"/>
    <col min="8164" max="8164" width="7.796875" style="881" customWidth="1"/>
    <col min="8165" max="8165" width="7.46484375" style="881" customWidth="1"/>
    <col min="8166" max="8166" width="0.46484375" style="881" customWidth="1"/>
    <col min="8167" max="8167" width="0.19921875" style="881" customWidth="1"/>
    <col min="8168" max="8168" width="5.265625" style="881" customWidth="1"/>
    <col min="8169" max="8169" width="6.265625" style="881" customWidth="1"/>
    <col min="8170" max="8170" width="7.19921875" style="881" customWidth="1"/>
    <col min="8171" max="8171" width="6.796875" style="881" customWidth="1"/>
    <col min="8172" max="8172" width="6.265625" style="881" customWidth="1"/>
    <col min="8173" max="8173" width="6.19921875" style="881" customWidth="1"/>
    <col min="8174" max="8175" width="6.46484375" style="881" customWidth="1"/>
    <col min="8176" max="8176" width="8.265625" style="881" customWidth="1"/>
    <col min="8177" max="8177" width="7.19921875" style="881" bestFit="1" customWidth="1"/>
    <col min="8178" max="8178" width="6.46484375" style="881" customWidth="1"/>
    <col min="8179" max="8179" width="7.19921875" style="881" customWidth="1"/>
    <col min="8180" max="8180" width="6.46484375" style="881" customWidth="1"/>
    <col min="8181" max="8181" width="7.46484375" style="881" customWidth="1"/>
    <col min="8182" max="8182" width="8.265625" style="881" bestFit="1" customWidth="1"/>
    <col min="8183" max="8183" width="13.46484375" style="881" bestFit="1" customWidth="1"/>
    <col min="8184" max="8405" width="9.53125" style="881"/>
    <col min="8406" max="8406" width="5.46484375" style="881" customWidth="1"/>
    <col min="8407" max="8407" width="6.265625" style="881" customWidth="1"/>
    <col min="8408" max="8408" width="8.265625" style="881" customWidth="1"/>
    <col min="8409" max="8409" width="9.46484375" style="881" customWidth="1"/>
    <col min="8410" max="8410" width="8" style="881" customWidth="1"/>
    <col min="8411" max="8411" width="7.19921875" style="881" customWidth="1"/>
    <col min="8412" max="8412" width="1.265625" style="881" customWidth="1"/>
    <col min="8413" max="8413" width="6.265625" style="881" customWidth="1"/>
    <col min="8414" max="8414" width="8" style="881" customWidth="1"/>
    <col min="8415" max="8415" width="7.46484375" style="881" customWidth="1"/>
    <col min="8416" max="8416" width="5.46484375" style="881" customWidth="1"/>
    <col min="8417" max="8417" width="7.19921875" style="881" customWidth="1"/>
    <col min="8418" max="8418" width="0.796875" style="881" customWidth="1"/>
    <col min="8419" max="8419" width="5.46484375" style="881" customWidth="1"/>
    <col min="8420" max="8420" width="7.796875" style="881" customWidth="1"/>
    <col min="8421" max="8421" width="7.46484375" style="881" customWidth="1"/>
    <col min="8422" max="8422" width="0.46484375" style="881" customWidth="1"/>
    <col min="8423" max="8423" width="0.19921875" style="881" customWidth="1"/>
    <col min="8424" max="8424" width="5.265625" style="881" customWidth="1"/>
    <col min="8425" max="8425" width="6.265625" style="881" customWidth="1"/>
    <col min="8426" max="8426" width="7.19921875" style="881" customWidth="1"/>
    <col min="8427" max="8427" width="6.796875" style="881" customWidth="1"/>
    <col min="8428" max="8428" width="6.265625" style="881" customWidth="1"/>
    <col min="8429" max="8429" width="6.19921875" style="881" customWidth="1"/>
    <col min="8430" max="8431" width="6.46484375" style="881" customWidth="1"/>
    <col min="8432" max="8432" width="8.265625" style="881" customWidth="1"/>
    <col min="8433" max="8433" width="7.19921875" style="881" bestFit="1" customWidth="1"/>
    <col min="8434" max="8434" width="6.46484375" style="881" customWidth="1"/>
    <col min="8435" max="8435" width="7.19921875" style="881" customWidth="1"/>
    <col min="8436" max="8436" width="6.46484375" style="881" customWidth="1"/>
    <col min="8437" max="8437" width="7.46484375" style="881" customWidth="1"/>
    <col min="8438" max="8438" width="8.265625" style="881" bestFit="1" customWidth="1"/>
    <col min="8439" max="8439" width="13.46484375" style="881" bestFit="1" customWidth="1"/>
    <col min="8440" max="8661" width="9.53125" style="881"/>
    <col min="8662" max="8662" width="5.46484375" style="881" customWidth="1"/>
    <col min="8663" max="8663" width="6.265625" style="881" customWidth="1"/>
    <col min="8664" max="8664" width="8.265625" style="881" customWidth="1"/>
    <col min="8665" max="8665" width="9.46484375" style="881" customWidth="1"/>
    <col min="8666" max="8666" width="8" style="881" customWidth="1"/>
    <col min="8667" max="8667" width="7.19921875" style="881" customWidth="1"/>
    <col min="8668" max="8668" width="1.265625" style="881" customWidth="1"/>
    <col min="8669" max="8669" width="6.265625" style="881" customWidth="1"/>
    <col min="8670" max="8670" width="8" style="881" customWidth="1"/>
    <col min="8671" max="8671" width="7.46484375" style="881" customWidth="1"/>
    <col min="8672" max="8672" width="5.46484375" style="881" customWidth="1"/>
    <col min="8673" max="8673" width="7.19921875" style="881" customWidth="1"/>
    <col min="8674" max="8674" width="0.796875" style="881" customWidth="1"/>
    <col min="8675" max="8675" width="5.46484375" style="881" customWidth="1"/>
    <col min="8676" max="8676" width="7.796875" style="881" customWidth="1"/>
    <col min="8677" max="8677" width="7.46484375" style="881" customWidth="1"/>
    <col min="8678" max="8678" width="0.46484375" style="881" customWidth="1"/>
    <col min="8679" max="8679" width="0.19921875" style="881" customWidth="1"/>
    <col min="8680" max="8680" width="5.265625" style="881" customWidth="1"/>
    <col min="8681" max="8681" width="6.265625" style="881" customWidth="1"/>
    <col min="8682" max="8682" width="7.19921875" style="881" customWidth="1"/>
    <col min="8683" max="8683" width="6.796875" style="881" customWidth="1"/>
    <col min="8684" max="8684" width="6.265625" style="881" customWidth="1"/>
    <col min="8685" max="8685" width="6.19921875" style="881" customWidth="1"/>
    <col min="8686" max="8687" width="6.46484375" style="881" customWidth="1"/>
    <col min="8688" max="8688" width="8.265625" style="881" customWidth="1"/>
    <col min="8689" max="8689" width="7.19921875" style="881" bestFit="1" customWidth="1"/>
    <col min="8690" max="8690" width="6.46484375" style="881" customWidth="1"/>
    <col min="8691" max="8691" width="7.19921875" style="881" customWidth="1"/>
    <col min="8692" max="8692" width="6.46484375" style="881" customWidth="1"/>
    <col min="8693" max="8693" width="7.46484375" style="881" customWidth="1"/>
    <col min="8694" max="8694" width="8.265625" style="881" bestFit="1" customWidth="1"/>
    <col min="8695" max="8695" width="13.46484375" style="881" bestFit="1" customWidth="1"/>
    <col min="8696" max="8917" width="9.53125" style="881"/>
    <col min="8918" max="8918" width="5.46484375" style="881" customWidth="1"/>
    <col min="8919" max="8919" width="6.265625" style="881" customWidth="1"/>
    <col min="8920" max="8920" width="8.265625" style="881" customWidth="1"/>
    <col min="8921" max="8921" width="9.46484375" style="881" customWidth="1"/>
    <col min="8922" max="8922" width="8" style="881" customWidth="1"/>
    <col min="8923" max="8923" width="7.19921875" style="881" customWidth="1"/>
    <col min="8924" max="8924" width="1.265625" style="881" customWidth="1"/>
    <col min="8925" max="8925" width="6.265625" style="881" customWidth="1"/>
    <col min="8926" max="8926" width="8" style="881" customWidth="1"/>
    <col min="8927" max="8927" width="7.46484375" style="881" customWidth="1"/>
    <col min="8928" max="8928" width="5.46484375" style="881" customWidth="1"/>
    <col min="8929" max="8929" width="7.19921875" style="881" customWidth="1"/>
    <col min="8930" max="8930" width="0.796875" style="881" customWidth="1"/>
    <col min="8931" max="8931" width="5.46484375" style="881" customWidth="1"/>
    <col min="8932" max="8932" width="7.796875" style="881" customWidth="1"/>
    <col min="8933" max="8933" width="7.46484375" style="881" customWidth="1"/>
    <col min="8934" max="8934" width="0.46484375" style="881" customWidth="1"/>
    <col min="8935" max="8935" width="0.19921875" style="881" customWidth="1"/>
    <col min="8936" max="8936" width="5.265625" style="881" customWidth="1"/>
    <col min="8937" max="8937" width="6.265625" style="881" customWidth="1"/>
    <col min="8938" max="8938" width="7.19921875" style="881" customWidth="1"/>
    <col min="8939" max="8939" width="6.796875" style="881" customWidth="1"/>
    <col min="8940" max="8940" width="6.265625" style="881" customWidth="1"/>
    <col min="8941" max="8941" width="6.19921875" style="881" customWidth="1"/>
    <col min="8942" max="8943" width="6.46484375" style="881" customWidth="1"/>
    <col min="8944" max="8944" width="8.265625" style="881" customWidth="1"/>
    <col min="8945" max="8945" width="7.19921875" style="881" bestFit="1" customWidth="1"/>
    <col min="8946" max="8946" width="6.46484375" style="881" customWidth="1"/>
    <col min="8947" max="8947" width="7.19921875" style="881" customWidth="1"/>
    <col min="8948" max="8948" width="6.46484375" style="881" customWidth="1"/>
    <col min="8949" max="8949" width="7.46484375" style="881" customWidth="1"/>
    <col min="8950" max="8950" width="8.265625" style="881" bestFit="1" customWidth="1"/>
    <col min="8951" max="8951" width="13.46484375" style="881" bestFit="1" customWidth="1"/>
    <col min="8952" max="9173" width="9.53125" style="881"/>
    <col min="9174" max="9174" width="5.46484375" style="881" customWidth="1"/>
    <col min="9175" max="9175" width="6.265625" style="881" customWidth="1"/>
    <col min="9176" max="9176" width="8.265625" style="881" customWidth="1"/>
    <col min="9177" max="9177" width="9.46484375" style="881" customWidth="1"/>
    <col min="9178" max="9178" width="8" style="881" customWidth="1"/>
    <col min="9179" max="9179" width="7.19921875" style="881" customWidth="1"/>
    <col min="9180" max="9180" width="1.265625" style="881" customWidth="1"/>
    <col min="9181" max="9181" width="6.265625" style="881" customWidth="1"/>
    <col min="9182" max="9182" width="8" style="881" customWidth="1"/>
    <col min="9183" max="9183" width="7.46484375" style="881" customWidth="1"/>
    <col min="9184" max="9184" width="5.46484375" style="881" customWidth="1"/>
    <col min="9185" max="9185" width="7.19921875" style="881" customWidth="1"/>
    <col min="9186" max="9186" width="0.796875" style="881" customWidth="1"/>
    <col min="9187" max="9187" width="5.46484375" style="881" customWidth="1"/>
    <col min="9188" max="9188" width="7.796875" style="881" customWidth="1"/>
    <col min="9189" max="9189" width="7.46484375" style="881" customWidth="1"/>
    <col min="9190" max="9190" width="0.46484375" style="881" customWidth="1"/>
    <col min="9191" max="9191" width="0.19921875" style="881" customWidth="1"/>
    <col min="9192" max="9192" width="5.265625" style="881" customWidth="1"/>
    <col min="9193" max="9193" width="6.265625" style="881" customWidth="1"/>
    <col min="9194" max="9194" width="7.19921875" style="881" customWidth="1"/>
    <col min="9195" max="9195" width="6.796875" style="881" customWidth="1"/>
    <col min="9196" max="9196" width="6.265625" style="881" customWidth="1"/>
    <col min="9197" max="9197" width="6.19921875" style="881" customWidth="1"/>
    <col min="9198" max="9199" width="6.46484375" style="881" customWidth="1"/>
    <col min="9200" max="9200" width="8.265625" style="881" customWidth="1"/>
    <col min="9201" max="9201" width="7.19921875" style="881" bestFit="1" customWidth="1"/>
    <col min="9202" max="9202" width="6.46484375" style="881" customWidth="1"/>
    <col min="9203" max="9203" width="7.19921875" style="881" customWidth="1"/>
    <col min="9204" max="9204" width="6.46484375" style="881" customWidth="1"/>
    <col min="9205" max="9205" width="7.46484375" style="881" customWidth="1"/>
    <col min="9206" max="9206" width="8.265625" style="881" bestFit="1" customWidth="1"/>
    <col min="9207" max="9207" width="13.46484375" style="881" bestFit="1" customWidth="1"/>
    <col min="9208" max="9429" width="9.53125" style="881"/>
    <col min="9430" max="9430" width="5.46484375" style="881" customWidth="1"/>
    <col min="9431" max="9431" width="6.265625" style="881" customWidth="1"/>
    <col min="9432" max="9432" width="8.265625" style="881" customWidth="1"/>
    <col min="9433" max="9433" width="9.46484375" style="881" customWidth="1"/>
    <col min="9434" max="9434" width="8" style="881" customWidth="1"/>
    <col min="9435" max="9435" width="7.19921875" style="881" customWidth="1"/>
    <col min="9436" max="9436" width="1.265625" style="881" customWidth="1"/>
    <col min="9437" max="9437" width="6.265625" style="881" customWidth="1"/>
    <col min="9438" max="9438" width="8" style="881" customWidth="1"/>
    <col min="9439" max="9439" width="7.46484375" style="881" customWidth="1"/>
    <col min="9440" max="9440" width="5.46484375" style="881" customWidth="1"/>
    <col min="9441" max="9441" width="7.19921875" style="881" customWidth="1"/>
    <col min="9442" max="9442" width="0.796875" style="881" customWidth="1"/>
    <col min="9443" max="9443" width="5.46484375" style="881" customWidth="1"/>
    <col min="9444" max="9444" width="7.796875" style="881" customWidth="1"/>
    <col min="9445" max="9445" width="7.46484375" style="881" customWidth="1"/>
    <col min="9446" max="9446" width="0.46484375" style="881" customWidth="1"/>
    <col min="9447" max="9447" width="0.19921875" style="881" customWidth="1"/>
    <col min="9448" max="9448" width="5.265625" style="881" customWidth="1"/>
    <col min="9449" max="9449" width="6.265625" style="881" customWidth="1"/>
    <col min="9450" max="9450" width="7.19921875" style="881" customWidth="1"/>
    <col min="9451" max="9451" width="6.796875" style="881" customWidth="1"/>
    <col min="9452" max="9452" width="6.265625" style="881" customWidth="1"/>
    <col min="9453" max="9453" width="6.19921875" style="881" customWidth="1"/>
    <col min="9454" max="9455" width="6.46484375" style="881" customWidth="1"/>
    <col min="9456" max="9456" width="8.265625" style="881" customWidth="1"/>
    <col min="9457" max="9457" width="7.19921875" style="881" bestFit="1" customWidth="1"/>
    <col min="9458" max="9458" width="6.46484375" style="881" customWidth="1"/>
    <col min="9459" max="9459" width="7.19921875" style="881" customWidth="1"/>
    <col min="9460" max="9460" width="6.46484375" style="881" customWidth="1"/>
    <col min="9461" max="9461" width="7.46484375" style="881" customWidth="1"/>
    <col min="9462" max="9462" width="8.265625" style="881" bestFit="1" customWidth="1"/>
    <col min="9463" max="9463" width="13.46484375" style="881" bestFit="1" customWidth="1"/>
    <col min="9464" max="9685" width="9.53125" style="881"/>
    <col min="9686" max="9686" width="5.46484375" style="881" customWidth="1"/>
    <col min="9687" max="9687" width="6.265625" style="881" customWidth="1"/>
    <col min="9688" max="9688" width="8.265625" style="881" customWidth="1"/>
    <col min="9689" max="9689" width="9.46484375" style="881" customWidth="1"/>
    <col min="9690" max="9690" width="8" style="881" customWidth="1"/>
    <col min="9691" max="9691" width="7.19921875" style="881" customWidth="1"/>
    <col min="9692" max="9692" width="1.265625" style="881" customWidth="1"/>
    <col min="9693" max="9693" width="6.265625" style="881" customWidth="1"/>
    <col min="9694" max="9694" width="8" style="881" customWidth="1"/>
    <col min="9695" max="9695" width="7.46484375" style="881" customWidth="1"/>
    <col min="9696" max="9696" width="5.46484375" style="881" customWidth="1"/>
    <col min="9697" max="9697" width="7.19921875" style="881" customWidth="1"/>
    <col min="9698" max="9698" width="0.796875" style="881" customWidth="1"/>
    <col min="9699" max="9699" width="5.46484375" style="881" customWidth="1"/>
    <col min="9700" max="9700" width="7.796875" style="881" customWidth="1"/>
    <col min="9701" max="9701" width="7.46484375" style="881" customWidth="1"/>
    <col min="9702" max="9702" width="0.46484375" style="881" customWidth="1"/>
    <col min="9703" max="9703" width="0.19921875" style="881" customWidth="1"/>
    <col min="9704" max="9704" width="5.265625" style="881" customWidth="1"/>
    <col min="9705" max="9705" width="6.265625" style="881" customWidth="1"/>
    <col min="9706" max="9706" width="7.19921875" style="881" customWidth="1"/>
    <col min="9707" max="9707" width="6.796875" style="881" customWidth="1"/>
    <col min="9708" max="9708" width="6.265625" style="881" customWidth="1"/>
    <col min="9709" max="9709" width="6.19921875" style="881" customWidth="1"/>
    <col min="9710" max="9711" width="6.46484375" style="881" customWidth="1"/>
    <col min="9712" max="9712" width="8.265625" style="881" customWidth="1"/>
    <col min="9713" max="9713" width="7.19921875" style="881" bestFit="1" customWidth="1"/>
    <col min="9714" max="9714" width="6.46484375" style="881" customWidth="1"/>
    <col min="9715" max="9715" width="7.19921875" style="881" customWidth="1"/>
    <col min="9716" max="9716" width="6.46484375" style="881" customWidth="1"/>
    <col min="9717" max="9717" width="7.46484375" style="881" customWidth="1"/>
    <col min="9718" max="9718" width="8.265625" style="881" bestFit="1" customWidth="1"/>
    <col min="9719" max="9719" width="13.46484375" style="881" bestFit="1" customWidth="1"/>
    <col min="9720" max="9941" width="9.53125" style="881"/>
    <col min="9942" max="9942" width="5.46484375" style="881" customWidth="1"/>
    <col min="9943" max="9943" width="6.265625" style="881" customWidth="1"/>
    <col min="9944" max="9944" width="8.265625" style="881" customWidth="1"/>
    <col min="9945" max="9945" width="9.46484375" style="881" customWidth="1"/>
    <col min="9946" max="9946" width="8" style="881" customWidth="1"/>
    <col min="9947" max="9947" width="7.19921875" style="881" customWidth="1"/>
    <col min="9948" max="9948" width="1.265625" style="881" customWidth="1"/>
    <col min="9949" max="9949" width="6.265625" style="881" customWidth="1"/>
    <col min="9950" max="9950" width="8" style="881" customWidth="1"/>
    <col min="9951" max="9951" width="7.46484375" style="881" customWidth="1"/>
    <col min="9952" max="9952" width="5.46484375" style="881" customWidth="1"/>
    <col min="9953" max="9953" width="7.19921875" style="881" customWidth="1"/>
    <col min="9954" max="9954" width="0.796875" style="881" customWidth="1"/>
    <col min="9955" max="9955" width="5.46484375" style="881" customWidth="1"/>
    <col min="9956" max="9956" width="7.796875" style="881" customWidth="1"/>
    <col min="9957" max="9957" width="7.46484375" style="881" customWidth="1"/>
    <col min="9958" max="9958" width="0.46484375" style="881" customWidth="1"/>
    <col min="9959" max="9959" width="0.19921875" style="881" customWidth="1"/>
    <col min="9960" max="9960" width="5.265625" style="881" customWidth="1"/>
    <col min="9961" max="9961" width="6.265625" style="881" customWidth="1"/>
    <col min="9962" max="9962" width="7.19921875" style="881" customWidth="1"/>
    <col min="9963" max="9963" width="6.796875" style="881" customWidth="1"/>
    <col min="9964" max="9964" width="6.265625" style="881" customWidth="1"/>
    <col min="9965" max="9965" width="6.19921875" style="881" customWidth="1"/>
    <col min="9966" max="9967" width="6.46484375" style="881" customWidth="1"/>
    <col min="9968" max="9968" width="8.265625" style="881" customWidth="1"/>
    <col min="9969" max="9969" width="7.19921875" style="881" bestFit="1" customWidth="1"/>
    <col min="9970" max="9970" width="6.46484375" style="881" customWidth="1"/>
    <col min="9971" max="9971" width="7.19921875" style="881" customWidth="1"/>
    <col min="9972" max="9972" width="6.46484375" style="881" customWidth="1"/>
    <col min="9973" max="9973" width="7.46484375" style="881" customWidth="1"/>
    <col min="9974" max="9974" width="8.265625" style="881" bestFit="1" customWidth="1"/>
    <col min="9975" max="9975" width="13.46484375" style="881" bestFit="1" customWidth="1"/>
    <col min="9976" max="10197" width="9.53125" style="881"/>
    <col min="10198" max="10198" width="5.46484375" style="881" customWidth="1"/>
    <col min="10199" max="10199" width="6.265625" style="881" customWidth="1"/>
    <col min="10200" max="10200" width="8.265625" style="881" customWidth="1"/>
    <col min="10201" max="10201" width="9.46484375" style="881" customWidth="1"/>
    <col min="10202" max="10202" width="8" style="881" customWidth="1"/>
    <col min="10203" max="10203" width="7.19921875" style="881" customWidth="1"/>
    <col min="10204" max="10204" width="1.265625" style="881" customWidth="1"/>
    <col min="10205" max="10205" width="6.265625" style="881" customWidth="1"/>
    <col min="10206" max="10206" width="8" style="881" customWidth="1"/>
    <col min="10207" max="10207" width="7.46484375" style="881" customWidth="1"/>
    <col min="10208" max="10208" width="5.46484375" style="881" customWidth="1"/>
    <col min="10209" max="10209" width="7.19921875" style="881" customWidth="1"/>
    <col min="10210" max="10210" width="0.796875" style="881" customWidth="1"/>
    <col min="10211" max="10211" width="5.46484375" style="881" customWidth="1"/>
    <col min="10212" max="10212" width="7.796875" style="881" customWidth="1"/>
    <col min="10213" max="10213" width="7.46484375" style="881" customWidth="1"/>
    <col min="10214" max="10214" width="0.46484375" style="881" customWidth="1"/>
    <col min="10215" max="10215" width="0.19921875" style="881" customWidth="1"/>
    <col min="10216" max="10216" width="5.265625" style="881" customWidth="1"/>
    <col min="10217" max="10217" width="6.265625" style="881" customWidth="1"/>
    <col min="10218" max="10218" width="7.19921875" style="881" customWidth="1"/>
    <col min="10219" max="10219" width="6.796875" style="881" customWidth="1"/>
    <col min="10220" max="10220" width="6.265625" style="881" customWidth="1"/>
    <col min="10221" max="10221" width="6.19921875" style="881" customWidth="1"/>
    <col min="10222" max="10223" width="6.46484375" style="881" customWidth="1"/>
    <col min="10224" max="10224" width="8.265625" style="881" customWidth="1"/>
    <col min="10225" max="10225" width="7.19921875" style="881" bestFit="1" customWidth="1"/>
    <col min="10226" max="10226" width="6.46484375" style="881" customWidth="1"/>
    <col min="10227" max="10227" width="7.19921875" style="881" customWidth="1"/>
    <col min="10228" max="10228" width="6.46484375" style="881" customWidth="1"/>
    <col min="10229" max="10229" width="7.46484375" style="881" customWidth="1"/>
    <col min="10230" max="10230" width="8.265625" style="881" bestFit="1" customWidth="1"/>
    <col min="10231" max="10231" width="13.46484375" style="881" bestFit="1" customWidth="1"/>
    <col min="10232" max="10453" width="9.53125" style="881"/>
    <col min="10454" max="10454" width="5.46484375" style="881" customWidth="1"/>
    <col min="10455" max="10455" width="6.265625" style="881" customWidth="1"/>
    <col min="10456" max="10456" width="8.265625" style="881" customWidth="1"/>
    <col min="10457" max="10457" width="9.46484375" style="881" customWidth="1"/>
    <col min="10458" max="10458" width="8" style="881" customWidth="1"/>
    <col min="10459" max="10459" width="7.19921875" style="881" customWidth="1"/>
    <col min="10460" max="10460" width="1.265625" style="881" customWidth="1"/>
    <col min="10461" max="10461" width="6.265625" style="881" customWidth="1"/>
    <col min="10462" max="10462" width="8" style="881" customWidth="1"/>
    <col min="10463" max="10463" width="7.46484375" style="881" customWidth="1"/>
    <col min="10464" max="10464" width="5.46484375" style="881" customWidth="1"/>
    <col min="10465" max="10465" width="7.19921875" style="881" customWidth="1"/>
    <col min="10466" max="10466" width="0.796875" style="881" customWidth="1"/>
    <col min="10467" max="10467" width="5.46484375" style="881" customWidth="1"/>
    <col min="10468" max="10468" width="7.796875" style="881" customWidth="1"/>
    <col min="10469" max="10469" width="7.46484375" style="881" customWidth="1"/>
    <col min="10470" max="10470" width="0.46484375" style="881" customWidth="1"/>
    <col min="10471" max="10471" width="0.19921875" style="881" customWidth="1"/>
    <col min="10472" max="10472" width="5.265625" style="881" customWidth="1"/>
    <col min="10473" max="10473" width="6.265625" style="881" customWidth="1"/>
    <col min="10474" max="10474" width="7.19921875" style="881" customWidth="1"/>
    <col min="10475" max="10475" width="6.796875" style="881" customWidth="1"/>
    <col min="10476" max="10476" width="6.265625" style="881" customWidth="1"/>
    <col min="10477" max="10477" width="6.19921875" style="881" customWidth="1"/>
    <col min="10478" max="10479" width="6.46484375" style="881" customWidth="1"/>
    <col min="10480" max="10480" width="8.265625" style="881" customWidth="1"/>
    <col min="10481" max="10481" width="7.19921875" style="881" bestFit="1" customWidth="1"/>
    <col min="10482" max="10482" width="6.46484375" style="881" customWidth="1"/>
    <col min="10483" max="10483" width="7.19921875" style="881" customWidth="1"/>
    <col min="10484" max="10484" width="6.46484375" style="881" customWidth="1"/>
    <col min="10485" max="10485" width="7.46484375" style="881" customWidth="1"/>
    <col min="10486" max="10486" width="8.265625" style="881" bestFit="1" customWidth="1"/>
    <col min="10487" max="10487" width="13.46484375" style="881" bestFit="1" customWidth="1"/>
    <col min="10488" max="10709" width="9.53125" style="881"/>
    <col min="10710" max="10710" width="5.46484375" style="881" customWidth="1"/>
    <col min="10711" max="10711" width="6.265625" style="881" customWidth="1"/>
    <col min="10712" max="10712" width="8.265625" style="881" customWidth="1"/>
    <col min="10713" max="10713" width="9.46484375" style="881" customWidth="1"/>
    <col min="10714" max="10714" width="8" style="881" customWidth="1"/>
    <col min="10715" max="10715" width="7.19921875" style="881" customWidth="1"/>
    <col min="10716" max="10716" width="1.265625" style="881" customWidth="1"/>
    <col min="10717" max="10717" width="6.265625" style="881" customWidth="1"/>
    <col min="10718" max="10718" width="8" style="881" customWidth="1"/>
    <col min="10719" max="10719" width="7.46484375" style="881" customWidth="1"/>
    <col min="10720" max="10720" width="5.46484375" style="881" customWidth="1"/>
    <col min="10721" max="10721" width="7.19921875" style="881" customWidth="1"/>
    <col min="10722" max="10722" width="0.796875" style="881" customWidth="1"/>
    <col min="10723" max="10723" width="5.46484375" style="881" customWidth="1"/>
    <col min="10724" max="10724" width="7.796875" style="881" customWidth="1"/>
    <col min="10725" max="10725" width="7.46484375" style="881" customWidth="1"/>
    <col min="10726" max="10726" width="0.46484375" style="881" customWidth="1"/>
    <col min="10727" max="10727" width="0.19921875" style="881" customWidth="1"/>
    <col min="10728" max="10728" width="5.265625" style="881" customWidth="1"/>
    <col min="10729" max="10729" width="6.265625" style="881" customWidth="1"/>
    <col min="10730" max="10730" width="7.19921875" style="881" customWidth="1"/>
    <col min="10731" max="10731" width="6.796875" style="881" customWidth="1"/>
    <col min="10732" max="10732" width="6.265625" style="881" customWidth="1"/>
    <col min="10733" max="10733" width="6.19921875" style="881" customWidth="1"/>
    <col min="10734" max="10735" width="6.46484375" style="881" customWidth="1"/>
    <col min="10736" max="10736" width="8.265625" style="881" customWidth="1"/>
    <col min="10737" max="10737" width="7.19921875" style="881" bestFit="1" customWidth="1"/>
    <col min="10738" max="10738" width="6.46484375" style="881" customWidth="1"/>
    <col min="10739" max="10739" width="7.19921875" style="881" customWidth="1"/>
    <col min="10740" max="10740" width="6.46484375" style="881" customWidth="1"/>
    <col min="10741" max="10741" width="7.46484375" style="881" customWidth="1"/>
    <col min="10742" max="10742" width="8.265625" style="881" bestFit="1" customWidth="1"/>
    <col min="10743" max="10743" width="13.46484375" style="881" bestFit="1" customWidth="1"/>
    <col min="10744" max="10965" width="9.53125" style="881"/>
    <col min="10966" max="10966" width="5.46484375" style="881" customWidth="1"/>
    <col min="10967" max="10967" width="6.265625" style="881" customWidth="1"/>
    <col min="10968" max="10968" width="8.265625" style="881" customWidth="1"/>
    <col min="10969" max="10969" width="9.46484375" style="881" customWidth="1"/>
    <col min="10970" max="10970" width="8" style="881" customWidth="1"/>
    <col min="10971" max="10971" width="7.19921875" style="881" customWidth="1"/>
    <col min="10972" max="10972" width="1.265625" style="881" customWidth="1"/>
    <col min="10973" max="10973" width="6.265625" style="881" customWidth="1"/>
    <col min="10974" max="10974" width="8" style="881" customWidth="1"/>
    <col min="10975" max="10975" width="7.46484375" style="881" customWidth="1"/>
    <col min="10976" max="10976" width="5.46484375" style="881" customWidth="1"/>
    <col min="10977" max="10977" width="7.19921875" style="881" customWidth="1"/>
    <col min="10978" max="10978" width="0.796875" style="881" customWidth="1"/>
    <col min="10979" max="10979" width="5.46484375" style="881" customWidth="1"/>
    <col min="10980" max="10980" width="7.796875" style="881" customWidth="1"/>
    <col min="10981" max="10981" width="7.46484375" style="881" customWidth="1"/>
    <col min="10982" max="10982" width="0.46484375" style="881" customWidth="1"/>
    <col min="10983" max="10983" width="0.19921875" style="881" customWidth="1"/>
    <col min="10984" max="10984" width="5.265625" style="881" customWidth="1"/>
    <col min="10985" max="10985" width="6.265625" style="881" customWidth="1"/>
    <col min="10986" max="10986" width="7.19921875" style="881" customWidth="1"/>
    <col min="10987" max="10987" width="6.796875" style="881" customWidth="1"/>
    <col min="10988" max="10988" width="6.265625" style="881" customWidth="1"/>
    <col min="10989" max="10989" width="6.19921875" style="881" customWidth="1"/>
    <col min="10990" max="10991" width="6.46484375" style="881" customWidth="1"/>
    <col min="10992" max="10992" width="8.265625" style="881" customWidth="1"/>
    <col min="10993" max="10993" width="7.19921875" style="881" bestFit="1" customWidth="1"/>
    <col min="10994" max="10994" width="6.46484375" style="881" customWidth="1"/>
    <col min="10995" max="10995" width="7.19921875" style="881" customWidth="1"/>
    <col min="10996" max="10996" width="6.46484375" style="881" customWidth="1"/>
    <col min="10997" max="10997" width="7.46484375" style="881" customWidth="1"/>
    <col min="10998" max="10998" width="8.265625" style="881" bestFit="1" customWidth="1"/>
    <col min="10999" max="10999" width="13.46484375" style="881" bestFit="1" customWidth="1"/>
    <col min="11000" max="11221" width="9.53125" style="881"/>
    <col min="11222" max="11222" width="5.46484375" style="881" customWidth="1"/>
    <col min="11223" max="11223" width="6.265625" style="881" customWidth="1"/>
    <col min="11224" max="11224" width="8.265625" style="881" customWidth="1"/>
    <col min="11225" max="11225" width="9.46484375" style="881" customWidth="1"/>
    <col min="11226" max="11226" width="8" style="881" customWidth="1"/>
    <col min="11227" max="11227" width="7.19921875" style="881" customWidth="1"/>
    <col min="11228" max="11228" width="1.265625" style="881" customWidth="1"/>
    <col min="11229" max="11229" width="6.265625" style="881" customWidth="1"/>
    <col min="11230" max="11230" width="8" style="881" customWidth="1"/>
    <col min="11231" max="11231" width="7.46484375" style="881" customWidth="1"/>
    <col min="11232" max="11232" width="5.46484375" style="881" customWidth="1"/>
    <col min="11233" max="11233" width="7.19921875" style="881" customWidth="1"/>
    <col min="11234" max="11234" width="0.796875" style="881" customWidth="1"/>
    <col min="11235" max="11235" width="5.46484375" style="881" customWidth="1"/>
    <col min="11236" max="11236" width="7.796875" style="881" customWidth="1"/>
    <col min="11237" max="11237" width="7.46484375" style="881" customWidth="1"/>
    <col min="11238" max="11238" width="0.46484375" style="881" customWidth="1"/>
    <col min="11239" max="11239" width="0.19921875" style="881" customWidth="1"/>
    <col min="11240" max="11240" width="5.265625" style="881" customWidth="1"/>
    <col min="11241" max="11241" width="6.265625" style="881" customWidth="1"/>
    <col min="11242" max="11242" width="7.19921875" style="881" customWidth="1"/>
    <col min="11243" max="11243" width="6.796875" style="881" customWidth="1"/>
    <col min="11244" max="11244" width="6.265625" style="881" customWidth="1"/>
    <col min="11245" max="11245" width="6.19921875" style="881" customWidth="1"/>
    <col min="11246" max="11247" width="6.46484375" style="881" customWidth="1"/>
    <col min="11248" max="11248" width="8.265625" style="881" customWidth="1"/>
    <col min="11249" max="11249" width="7.19921875" style="881" bestFit="1" customWidth="1"/>
    <col min="11250" max="11250" width="6.46484375" style="881" customWidth="1"/>
    <col min="11251" max="11251" width="7.19921875" style="881" customWidth="1"/>
    <col min="11252" max="11252" width="6.46484375" style="881" customWidth="1"/>
    <col min="11253" max="11253" width="7.46484375" style="881" customWidth="1"/>
    <col min="11254" max="11254" width="8.265625" style="881" bestFit="1" customWidth="1"/>
    <col min="11255" max="11255" width="13.46484375" style="881" bestFit="1" customWidth="1"/>
    <col min="11256" max="11477" width="9.53125" style="881"/>
    <col min="11478" max="11478" width="5.46484375" style="881" customWidth="1"/>
    <col min="11479" max="11479" width="6.265625" style="881" customWidth="1"/>
    <col min="11480" max="11480" width="8.265625" style="881" customWidth="1"/>
    <col min="11481" max="11481" width="9.46484375" style="881" customWidth="1"/>
    <col min="11482" max="11482" width="8" style="881" customWidth="1"/>
    <col min="11483" max="11483" width="7.19921875" style="881" customWidth="1"/>
    <col min="11484" max="11484" width="1.265625" style="881" customWidth="1"/>
    <col min="11485" max="11485" width="6.265625" style="881" customWidth="1"/>
    <col min="11486" max="11486" width="8" style="881" customWidth="1"/>
    <col min="11487" max="11487" width="7.46484375" style="881" customWidth="1"/>
    <col min="11488" max="11488" width="5.46484375" style="881" customWidth="1"/>
    <col min="11489" max="11489" width="7.19921875" style="881" customWidth="1"/>
    <col min="11490" max="11490" width="0.796875" style="881" customWidth="1"/>
    <col min="11491" max="11491" width="5.46484375" style="881" customWidth="1"/>
    <col min="11492" max="11492" width="7.796875" style="881" customWidth="1"/>
    <col min="11493" max="11493" width="7.46484375" style="881" customWidth="1"/>
    <col min="11494" max="11494" width="0.46484375" style="881" customWidth="1"/>
    <col min="11495" max="11495" width="0.19921875" style="881" customWidth="1"/>
    <col min="11496" max="11496" width="5.265625" style="881" customWidth="1"/>
    <col min="11497" max="11497" width="6.265625" style="881" customWidth="1"/>
    <col min="11498" max="11498" width="7.19921875" style="881" customWidth="1"/>
    <col min="11499" max="11499" width="6.796875" style="881" customWidth="1"/>
    <col min="11500" max="11500" width="6.265625" style="881" customWidth="1"/>
    <col min="11501" max="11501" width="6.19921875" style="881" customWidth="1"/>
    <col min="11502" max="11503" width="6.46484375" style="881" customWidth="1"/>
    <col min="11504" max="11504" width="8.265625" style="881" customWidth="1"/>
    <col min="11505" max="11505" width="7.19921875" style="881" bestFit="1" customWidth="1"/>
    <col min="11506" max="11506" width="6.46484375" style="881" customWidth="1"/>
    <col min="11507" max="11507" width="7.19921875" style="881" customWidth="1"/>
    <col min="11508" max="11508" width="6.46484375" style="881" customWidth="1"/>
    <col min="11509" max="11509" width="7.46484375" style="881" customWidth="1"/>
    <col min="11510" max="11510" width="8.265625" style="881" bestFit="1" customWidth="1"/>
    <col min="11511" max="11511" width="13.46484375" style="881" bestFit="1" customWidth="1"/>
    <col min="11512" max="11733" width="9.53125" style="881"/>
    <col min="11734" max="11734" width="5.46484375" style="881" customWidth="1"/>
    <col min="11735" max="11735" width="6.265625" style="881" customWidth="1"/>
    <col min="11736" max="11736" width="8.265625" style="881" customWidth="1"/>
    <col min="11737" max="11737" width="9.46484375" style="881" customWidth="1"/>
    <col min="11738" max="11738" width="8" style="881" customWidth="1"/>
    <col min="11739" max="11739" width="7.19921875" style="881" customWidth="1"/>
    <col min="11740" max="11740" width="1.265625" style="881" customWidth="1"/>
    <col min="11741" max="11741" width="6.265625" style="881" customWidth="1"/>
    <col min="11742" max="11742" width="8" style="881" customWidth="1"/>
    <col min="11743" max="11743" width="7.46484375" style="881" customWidth="1"/>
    <col min="11744" max="11744" width="5.46484375" style="881" customWidth="1"/>
    <col min="11745" max="11745" width="7.19921875" style="881" customWidth="1"/>
    <col min="11746" max="11746" width="0.796875" style="881" customWidth="1"/>
    <col min="11747" max="11747" width="5.46484375" style="881" customWidth="1"/>
    <col min="11748" max="11748" width="7.796875" style="881" customWidth="1"/>
    <col min="11749" max="11749" width="7.46484375" style="881" customWidth="1"/>
    <col min="11750" max="11750" width="0.46484375" style="881" customWidth="1"/>
    <col min="11751" max="11751" width="0.19921875" style="881" customWidth="1"/>
    <col min="11752" max="11752" width="5.265625" style="881" customWidth="1"/>
    <col min="11753" max="11753" width="6.265625" style="881" customWidth="1"/>
    <col min="11754" max="11754" width="7.19921875" style="881" customWidth="1"/>
    <col min="11755" max="11755" width="6.796875" style="881" customWidth="1"/>
    <col min="11756" max="11756" width="6.265625" style="881" customWidth="1"/>
    <col min="11757" max="11757" width="6.19921875" style="881" customWidth="1"/>
    <col min="11758" max="11759" width="6.46484375" style="881" customWidth="1"/>
    <col min="11760" max="11760" width="8.265625" style="881" customWidth="1"/>
    <col min="11761" max="11761" width="7.19921875" style="881" bestFit="1" customWidth="1"/>
    <col min="11762" max="11762" width="6.46484375" style="881" customWidth="1"/>
    <col min="11763" max="11763" width="7.19921875" style="881" customWidth="1"/>
    <col min="11764" max="11764" width="6.46484375" style="881" customWidth="1"/>
    <col min="11765" max="11765" width="7.46484375" style="881" customWidth="1"/>
    <col min="11766" max="11766" width="8.265625" style="881" bestFit="1" customWidth="1"/>
    <col min="11767" max="11767" width="13.46484375" style="881" bestFit="1" customWidth="1"/>
    <col min="11768" max="11989" width="9.53125" style="881"/>
    <col min="11990" max="11990" width="5.46484375" style="881" customWidth="1"/>
    <col min="11991" max="11991" width="6.265625" style="881" customWidth="1"/>
    <col min="11992" max="11992" width="8.265625" style="881" customWidth="1"/>
    <col min="11993" max="11993" width="9.46484375" style="881" customWidth="1"/>
    <col min="11994" max="11994" width="8" style="881" customWidth="1"/>
    <col min="11995" max="11995" width="7.19921875" style="881" customWidth="1"/>
    <col min="11996" max="11996" width="1.265625" style="881" customWidth="1"/>
    <col min="11997" max="11997" width="6.265625" style="881" customWidth="1"/>
    <col min="11998" max="11998" width="8" style="881" customWidth="1"/>
    <col min="11999" max="11999" width="7.46484375" style="881" customWidth="1"/>
    <col min="12000" max="12000" width="5.46484375" style="881" customWidth="1"/>
    <col min="12001" max="12001" width="7.19921875" style="881" customWidth="1"/>
    <col min="12002" max="12002" width="0.796875" style="881" customWidth="1"/>
    <col min="12003" max="12003" width="5.46484375" style="881" customWidth="1"/>
    <col min="12004" max="12004" width="7.796875" style="881" customWidth="1"/>
    <col min="12005" max="12005" width="7.46484375" style="881" customWidth="1"/>
    <col min="12006" max="12006" width="0.46484375" style="881" customWidth="1"/>
    <col min="12007" max="12007" width="0.19921875" style="881" customWidth="1"/>
    <col min="12008" max="12008" width="5.265625" style="881" customWidth="1"/>
    <col min="12009" max="12009" width="6.265625" style="881" customWidth="1"/>
    <col min="12010" max="12010" width="7.19921875" style="881" customWidth="1"/>
    <col min="12011" max="12011" width="6.796875" style="881" customWidth="1"/>
    <col min="12012" max="12012" width="6.265625" style="881" customWidth="1"/>
    <col min="12013" max="12013" width="6.19921875" style="881" customWidth="1"/>
    <col min="12014" max="12015" width="6.46484375" style="881" customWidth="1"/>
    <col min="12016" max="12016" width="8.265625" style="881" customWidth="1"/>
    <col min="12017" max="12017" width="7.19921875" style="881" bestFit="1" customWidth="1"/>
    <col min="12018" max="12018" width="6.46484375" style="881" customWidth="1"/>
    <col min="12019" max="12019" width="7.19921875" style="881" customWidth="1"/>
    <col min="12020" max="12020" width="6.46484375" style="881" customWidth="1"/>
    <col min="12021" max="12021" width="7.46484375" style="881" customWidth="1"/>
    <col min="12022" max="12022" width="8.265625" style="881" bestFit="1" customWidth="1"/>
    <col min="12023" max="12023" width="13.46484375" style="881" bestFit="1" customWidth="1"/>
    <col min="12024" max="12245" width="9.53125" style="881"/>
    <col min="12246" max="12246" width="5.46484375" style="881" customWidth="1"/>
    <col min="12247" max="12247" width="6.265625" style="881" customWidth="1"/>
    <col min="12248" max="12248" width="8.265625" style="881" customWidth="1"/>
    <col min="12249" max="12249" width="9.46484375" style="881" customWidth="1"/>
    <col min="12250" max="12250" width="8" style="881" customWidth="1"/>
    <col min="12251" max="12251" width="7.19921875" style="881" customWidth="1"/>
    <col min="12252" max="12252" width="1.265625" style="881" customWidth="1"/>
    <col min="12253" max="12253" width="6.265625" style="881" customWidth="1"/>
    <col min="12254" max="12254" width="8" style="881" customWidth="1"/>
    <col min="12255" max="12255" width="7.46484375" style="881" customWidth="1"/>
    <col min="12256" max="12256" width="5.46484375" style="881" customWidth="1"/>
    <col min="12257" max="12257" width="7.19921875" style="881" customWidth="1"/>
    <col min="12258" max="12258" width="0.796875" style="881" customWidth="1"/>
    <col min="12259" max="12259" width="5.46484375" style="881" customWidth="1"/>
    <col min="12260" max="12260" width="7.796875" style="881" customWidth="1"/>
    <col min="12261" max="12261" width="7.46484375" style="881" customWidth="1"/>
    <col min="12262" max="12262" width="0.46484375" style="881" customWidth="1"/>
    <col min="12263" max="12263" width="0.19921875" style="881" customWidth="1"/>
    <col min="12264" max="12264" width="5.265625" style="881" customWidth="1"/>
    <col min="12265" max="12265" width="6.265625" style="881" customWidth="1"/>
    <col min="12266" max="12266" width="7.19921875" style="881" customWidth="1"/>
    <col min="12267" max="12267" width="6.796875" style="881" customWidth="1"/>
    <col min="12268" max="12268" width="6.265625" style="881" customWidth="1"/>
    <col min="12269" max="12269" width="6.19921875" style="881" customWidth="1"/>
    <col min="12270" max="12271" width="6.46484375" style="881" customWidth="1"/>
    <col min="12272" max="12272" width="8.265625" style="881" customWidth="1"/>
    <col min="12273" max="12273" width="7.19921875" style="881" bestFit="1" customWidth="1"/>
    <col min="12274" max="12274" width="6.46484375" style="881" customWidth="1"/>
    <col min="12275" max="12275" width="7.19921875" style="881" customWidth="1"/>
    <col min="12276" max="12276" width="6.46484375" style="881" customWidth="1"/>
    <col min="12277" max="12277" width="7.46484375" style="881" customWidth="1"/>
    <col min="12278" max="12278" width="8.265625" style="881" bestFit="1" customWidth="1"/>
    <col min="12279" max="12279" width="13.46484375" style="881" bestFit="1" customWidth="1"/>
    <col min="12280" max="12501" width="9.53125" style="881"/>
    <col min="12502" max="12502" width="5.46484375" style="881" customWidth="1"/>
    <col min="12503" max="12503" width="6.265625" style="881" customWidth="1"/>
    <col min="12504" max="12504" width="8.265625" style="881" customWidth="1"/>
    <col min="12505" max="12505" width="9.46484375" style="881" customWidth="1"/>
    <col min="12506" max="12506" width="8" style="881" customWidth="1"/>
    <col min="12507" max="12507" width="7.19921875" style="881" customWidth="1"/>
    <col min="12508" max="12508" width="1.265625" style="881" customWidth="1"/>
    <col min="12509" max="12509" width="6.265625" style="881" customWidth="1"/>
    <col min="12510" max="12510" width="8" style="881" customWidth="1"/>
    <col min="12511" max="12511" width="7.46484375" style="881" customWidth="1"/>
    <col min="12512" max="12512" width="5.46484375" style="881" customWidth="1"/>
    <col min="12513" max="12513" width="7.19921875" style="881" customWidth="1"/>
    <col min="12514" max="12514" width="0.796875" style="881" customWidth="1"/>
    <col min="12515" max="12515" width="5.46484375" style="881" customWidth="1"/>
    <col min="12516" max="12516" width="7.796875" style="881" customWidth="1"/>
    <col min="12517" max="12517" width="7.46484375" style="881" customWidth="1"/>
    <col min="12518" max="12518" width="0.46484375" style="881" customWidth="1"/>
    <col min="12519" max="12519" width="0.19921875" style="881" customWidth="1"/>
    <col min="12520" max="12520" width="5.265625" style="881" customWidth="1"/>
    <col min="12521" max="12521" width="6.265625" style="881" customWidth="1"/>
    <col min="12522" max="12522" width="7.19921875" style="881" customWidth="1"/>
    <col min="12523" max="12523" width="6.796875" style="881" customWidth="1"/>
    <col min="12524" max="12524" width="6.265625" style="881" customWidth="1"/>
    <col min="12525" max="12525" width="6.19921875" style="881" customWidth="1"/>
    <col min="12526" max="12527" width="6.46484375" style="881" customWidth="1"/>
    <col min="12528" max="12528" width="8.265625" style="881" customWidth="1"/>
    <col min="12529" max="12529" width="7.19921875" style="881" bestFit="1" customWidth="1"/>
    <col min="12530" max="12530" width="6.46484375" style="881" customWidth="1"/>
    <col min="12531" max="12531" width="7.19921875" style="881" customWidth="1"/>
    <col min="12532" max="12532" width="6.46484375" style="881" customWidth="1"/>
    <col min="12533" max="12533" width="7.46484375" style="881" customWidth="1"/>
    <col min="12534" max="12534" width="8.265625" style="881" bestFit="1" customWidth="1"/>
    <col min="12535" max="12535" width="13.46484375" style="881" bestFit="1" customWidth="1"/>
    <col min="12536" max="12757" width="9.53125" style="881"/>
    <col min="12758" max="12758" width="5.46484375" style="881" customWidth="1"/>
    <col min="12759" max="12759" width="6.265625" style="881" customWidth="1"/>
    <col min="12760" max="12760" width="8.265625" style="881" customWidth="1"/>
    <col min="12761" max="12761" width="9.46484375" style="881" customWidth="1"/>
    <col min="12762" max="12762" width="8" style="881" customWidth="1"/>
    <col min="12763" max="12763" width="7.19921875" style="881" customWidth="1"/>
    <col min="12764" max="12764" width="1.265625" style="881" customWidth="1"/>
    <col min="12765" max="12765" width="6.265625" style="881" customWidth="1"/>
    <col min="12766" max="12766" width="8" style="881" customWidth="1"/>
    <col min="12767" max="12767" width="7.46484375" style="881" customWidth="1"/>
    <col min="12768" max="12768" width="5.46484375" style="881" customWidth="1"/>
    <col min="12769" max="12769" width="7.19921875" style="881" customWidth="1"/>
    <col min="12770" max="12770" width="0.796875" style="881" customWidth="1"/>
    <col min="12771" max="12771" width="5.46484375" style="881" customWidth="1"/>
    <col min="12772" max="12772" width="7.796875" style="881" customWidth="1"/>
    <col min="12773" max="12773" width="7.46484375" style="881" customWidth="1"/>
    <col min="12774" max="12774" width="0.46484375" style="881" customWidth="1"/>
    <col min="12775" max="12775" width="0.19921875" style="881" customWidth="1"/>
    <col min="12776" max="12776" width="5.265625" style="881" customWidth="1"/>
    <col min="12777" max="12777" width="6.265625" style="881" customWidth="1"/>
    <col min="12778" max="12778" width="7.19921875" style="881" customWidth="1"/>
    <col min="12779" max="12779" width="6.796875" style="881" customWidth="1"/>
    <col min="12780" max="12780" width="6.265625" style="881" customWidth="1"/>
    <col min="12781" max="12781" width="6.19921875" style="881" customWidth="1"/>
    <col min="12782" max="12783" width="6.46484375" style="881" customWidth="1"/>
    <col min="12784" max="12784" width="8.265625" style="881" customWidth="1"/>
    <col min="12785" max="12785" width="7.19921875" style="881" bestFit="1" customWidth="1"/>
    <col min="12786" max="12786" width="6.46484375" style="881" customWidth="1"/>
    <col min="12787" max="12787" width="7.19921875" style="881" customWidth="1"/>
    <col min="12788" max="12788" width="6.46484375" style="881" customWidth="1"/>
    <col min="12789" max="12789" width="7.46484375" style="881" customWidth="1"/>
    <col min="12790" max="12790" width="8.265625" style="881" bestFit="1" customWidth="1"/>
    <col min="12791" max="12791" width="13.46484375" style="881" bestFit="1" customWidth="1"/>
    <col min="12792" max="13013" width="9.53125" style="881"/>
    <col min="13014" max="13014" width="5.46484375" style="881" customWidth="1"/>
    <col min="13015" max="13015" width="6.265625" style="881" customWidth="1"/>
    <col min="13016" max="13016" width="8.265625" style="881" customWidth="1"/>
    <col min="13017" max="13017" width="9.46484375" style="881" customWidth="1"/>
    <col min="13018" max="13018" width="8" style="881" customWidth="1"/>
    <col min="13019" max="13019" width="7.19921875" style="881" customWidth="1"/>
    <col min="13020" max="13020" width="1.265625" style="881" customWidth="1"/>
    <col min="13021" max="13021" width="6.265625" style="881" customWidth="1"/>
    <col min="13022" max="13022" width="8" style="881" customWidth="1"/>
    <col min="13023" max="13023" width="7.46484375" style="881" customWidth="1"/>
    <col min="13024" max="13024" width="5.46484375" style="881" customWidth="1"/>
    <col min="13025" max="13025" width="7.19921875" style="881" customWidth="1"/>
    <col min="13026" max="13026" width="0.796875" style="881" customWidth="1"/>
    <col min="13027" max="13027" width="5.46484375" style="881" customWidth="1"/>
    <col min="13028" max="13028" width="7.796875" style="881" customWidth="1"/>
    <col min="13029" max="13029" width="7.46484375" style="881" customWidth="1"/>
    <col min="13030" max="13030" width="0.46484375" style="881" customWidth="1"/>
    <col min="13031" max="13031" width="0.19921875" style="881" customWidth="1"/>
    <col min="13032" max="13032" width="5.265625" style="881" customWidth="1"/>
    <col min="13033" max="13033" width="6.265625" style="881" customWidth="1"/>
    <col min="13034" max="13034" width="7.19921875" style="881" customWidth="1"/>
    <col min="13035" max="13035" width="6.796875" style="881" customWidth="1"/>
    <col min="13036" max="13036" width="6.265625" style="881" customWidth="1"/>
    <col min="13037" max="13037" width="6.19921875" style="881" customWidth="1"/>
    <col min="13038" max="13039" width="6.46484375" style="881" customWidth="1"/>
    <col min="13040" max="13040" width="8.265625" style="881" customWidth="1"/>
    <col min="13041" max="13041" width="7.19921875" style="881" bestFit="1" customWidth="1"/>
    <col min="13042" max="13042" width="6.46484375" style="881" customWidth="1"/>
    <col min="13043" max="13043" width="7.19921875" style="881" customWidth="1"/>
    <col min="13044" max="13044" width="6.46484375" style="881" customWidth="1"/>
    <col min="13045" max="13045" width="7.46484375" style="881" customWidth="1"/>
    <col min="13046" max="13046" width="8.265625" style="881" bestFit="1" customWidth="1"/>
    <col min="13047" max="13047" width="13.46484375" style="881" bestFit="1" customWidth="1"/>
    <col min="13048" max="13269" width="9.53125" style="881"/>
    <col min="13270" max="13270" width="5.46484375" style="881" customWidth="1"/>
    <col min="13271" max="13271" width="6.265625" style="881" customWidth="1"/>
    <col min="13272" max="13272" width="8.265625" style="881" customWidth="1"/>
    <col min="13273" max="13273" width="9.46484375" style="881" customWidth="1"/>
    <col min="13274" max="13274" width="8" style="881" customWidth="1"/>
    <col min="13275" max="13275" width="7.19921875" style="881" customWidth="1"/>
    <col min="13276" max="13276" width="1.265625" style="881" customWidth="1"/>
    <col min="13277" max="13277" width="6.265625" style="881" customWidth="1"/>
    <col min="13278" max="13278" width="8" style="881" customWidth="1"/>
    <col min="13279" max="13279" width="7.46484375" style="881" customWidth="1"/>
    <col min="13280" max="13280" width="5.46484375" style="881" customWidth="1"/>
    <col min="13281" max="13281" width="7.19921875" style="881" customWidth="1"/>
    <col min="13282" max="13282" width="0.796875" style="881" customWidth="1"/>
    <col min="13283" max="13283" width="5.46484375" style="881" customWidth="1"/>
    <col min="13284" max="13284" width="7.796875" style="881" customWidth="1"/>
    <col min="13285" max="13285" width="7.46484375" style="881" customWidth="1"/>
    <col min="13286" max="13286" width="0.46484375" style="881" customWidth="1"/>
    <col min="13287" max="13287" width="0.19921875" style="881" customWidth="1"/>
    <col min="13288" max="13288" width="5.265625" style="881" customWidth="1"/>
    <col min="13289" max="13289" width="6.265625" style="881" customWidth="1"/>
    <col min="13290" max="13290" width="7.19921875" style="881" customWidth="1"/>
    <col min="13291" max="13291" width="6.796875" style="881" customWidth="1"/>
    <col min="13292" max="13292" width="6.265625" style="881" customWidth="1"/>
    <col min="13293" max="13293" width="6.19921875" style="881" customWidth="1"/>
    <col min="13294" max="13295" width="6.46484375" style="881" customWidth="1"/>
    <col min="13296" max="13296" width="8.265625" style="881" customWidth="1"/>
    <col min="13297" max="13297" width="7.19921875" style="881" bestFit="1" customWidth="1"/>
    <col min="13298" max="13298" width="6.46484375" style="881" customWidth="1"/>
    <col min="13299" max="13299" width="7.19921875" style="881" customWidth="1"/>
    <col min="13300" max="13300" width="6.46484375" style="881" customWidth="1"/>
    <col min="13301" max="13301" width="7.46484375" style="881" customWidth="1"/>
    <col min="13302" max="13302" width="8.265625" style="881" bestFit="1" customWidth="1"/>
    <col min="13303" max="13303" width="13.46484375" style="881" bestFit="1" customWidth="1"/>
    <col min="13304" max="13525" width="9.53125" style="881"/>
    <col min="13526" max="13526" width="5.46484375" style="881" customWidth="1"/>
    <col min="13527" max="13527" width="6.265625" style="881" customWidth="1"/>
    <col min="13528" max="13528" width="8.265625" style="881" customWidth="1"/>
    <col min="13529" max="13529" width="9.46484375" style="881" customWidth="1"/>
    <col min="13530" max="13530" width="8" style="881" customWidth="1"/>
    <col min="13531" max="13531" width="7.19921875" style="881" customWidth="1"/>
    <col min="13532" max="13532" width="1.265625" style="881" customWidth="1"/>
    <col min="13533" max="13533" width="6.265625" style="881" customWidth="1"/>
    <col min="13534" max="13534" width="8" style="881" customWidth="1"/>
    <col min="13535" max="13535" width="7.46484375" style="881" customWidth="1"/>
    <col min="13536" max="13536" width="5.46484375" style="881" customWidth="1"/>
    <col min="13537" max="13537" width="7.19921875" style="881" customWidth="1"/>
    <col min="13538" max="13538" width="0.796875" style="881" customWidth="1"/>
    <col min="13539" max="13539" width="5.46484375" style="881" customWidth="1"/>
    <col min="13540" max="13540" width="7.796875" style="881" customWidth="1"/>
    <col min="13541" max="13541" width="7.46484375" style="881" customWidth="1"/>
    <col min="13542" max="13542" width="0.46484375" style="881" customWidth="1"/>
    <col min="13543" max="13543" width="0.19921875" style="881" customWidth="1"/>
    <col min="13544" max="13544" width="5.265625" style="881" customWidth="1"/>
    <col min="13545" max="13545" width="6.265625" style="881" customWidth="1"/>
    <col min="13546" max="13546" width="7.19921875" style="881" customWidth="1"/>
    <col min="13547" max="13547" width="6.796875" style="881" customWidth="1"/>
    <col min="13548" max="13548" width="6.265625" style="881" customWidth="1"/>
    <col min="13549" max="13549" width="6.19921875" style="881" customWidth="1"/>
    <col min="13550" max="13551" width="6.46484375" style="881" customWidth="1"/>
    <col min="13552" max="13552" width="8.265625" style="881" customWidth="1"/>
    <col min="13553" max="13553" width="7.19921875" style="881" bestFit="1" customWidth="1"/>
    <col min="13554" max="13554" width="6.46484375" style="881" customWidth="1"/>
    <col min="13555" max="13555" width="7.19921875" style="881" customWidth="1"/>
    <col min="13556" max="13556" width="6.46484375" style="881" customWidth="1"/>
    <col min="13557" max="13557" width="7.46484375" style="881" customWidth="1"/>
    <col min="13558" max="13558" width="8.265625" style="881" bestFit="1" customWidth="1"/>
    <col min="13559" max="13559" width="13.46484375" style="881" bestFit="1" customWidth="1"/>
    <col min="13560" max="13781" width="9.53125" style="881"/>
    <col min="13782" max="13782" width="5.46484375" style="881" customWidth="1"/>
    <col min="13783" max="13783" width="6.265625" style="881" customWidth="1"/>
    <col min="13784" max="13784" width="8.265625" style="881" customWidth="1"/>
    <col min="13785" max="13785" width="9.46484375" style="881" customWidth="1"/>
    <col min="13786" max="13786" width="8" style="881" customWidth="1"/>
    <col min="13787" max="13787" width="7.19921875" style="881" customWidth="1"/>
    <col min="13788" max="13788" width="1.265625" style="881" customWidth="1"/>
    <col min="13789" max="13789" width="6.265625" style="881" customWidth="1"/>
    <col min="13790" max="13790" width="8" style="881" customWidth="1"/>
    <col min="13791" max="13791" width="7.46484375" style="881" customWidth="1"/>
    <col min="13792" max="13792" width="5.46484375" style="881" customWidth="1"/>
    <col min="13793" max="13793" width="7.19921875" style="881" customWidth="1"/>
    <col min="13794" max="13794" width="0.796875" style="881" customWidth="1"/>
    <col min="13795" max="13795" width="5.46484375" style="881" customWidth="1"/>
    <col min="13796" max="13796" width="7.796875" style="881" customWidth="1"/>
    <col min="13797" max="13797" width="7.46484375" style="881" customWidth="1"/>
    <col min="13798" max="13798" width="0.46484375" style="881" customWidth="1"/>
    <col min="13799" max="13799" width="0.19921875" style="881" customWidth="1"/>
    <col min="13800" max="13800" width="5.265625" style="881" customWidth="1"/>
    <col min="13801" max="13801" width="6.265625" style="881" customWidth="1"/>
    <col min="13802" max="13802" width="7.19921875" style="881" customWidth="1"/>
    <col min="13803" max="13803" width="6.796875" style="881" customWidth="1"/>
    <col min="13804" max="13804" width="6.265625" style="881" customWidth="1"/>
    <col min="13805" max="13805" width="6.19921875" style="881" customWidth="1"/>
    <col min="13806" max="13807" width="6.46484375" style="881" customWidth="1"/>
    <col min="13808" max="13808" width="8.265625" style="881" customWidth="1"/>
    <col min="13809" max="13809" width="7.19921875" style="881" bestFit="1" customWidth="1"/>
    <col min="13810" max="13810" width="6.46484375" style="881" customWidth="1"/>
    <col min="13811" max="13811" width="7.19921875" style="881" customWidth="1"/>
    <col min="13812" max="13812" width="6.46484375" style="881" customWidth="1"/>
    <col min="13813" max="13813" width="7.46484375" style="881" customWidth="1"/>
    <col min="13814" max="13814" width="8.265625" style="881" bestFit="1" customWidth="1"/>
    <col min="13815" max="13815" width="13.46484375" style="881" bestFit="1" customWidth="1"/>
    <col min="13816" max="14037" width="9.53125" style="881"/>
    <col min="14038" max="14038" width="5.46484375" style="881" customWidth="1"/>
    <col min="14039" max="14039" width="6.265625" style="881" customWidth="1"/>
    <col min="14040" max="14040" width="8.265625" style="881" customWidth="1"/>
    <col min="14041" max="14041" width="9.46484375" style="881" customWidth="1"/>
    <col min="14042" max="14042" width="8" style="881" customWidth="1"/>
    <col min="14043" max="14043" width="7.19921875" style="881" customWidth="1"/>
    <col min="14044" max="14044" width="1.265625" style="881" customWidth="1"/>
    <col min="14045" max="14045" width="6.265625" style="881" customWidth="1"/>
    <col min="14046" max="14046" width="8" style="881" customWidth="1"/>
    <col min="14047" max="14047" width="7.46484375" style="881" customWidth="1"/>
    <col min="14048" max="14048" width="5.46484375" style="881" customWidth="1"/>
    <col min="14049" max="14049" width="7.19921875" style="881" customWidth="1"/>
    <col min="14050" max="14050" width="0.796875" style="881" customWidth="1"/>
    <col min="14051" max="14051" width="5.46484375" style="881" customWidth="1"/>
    <col min="14052" max="14052" width="7.796875" style="881" customWidth="1"/>
    <col min="14053" max="14053" width="7.46484375" style="881" customWidth="1"/>
    <col min="14054" max="14054" width="0.46484375" style="881" customWidth="1"/>
    <col min="14055" max="14055" width="0.19921875" style="881" customWidth="1"/>
    <col min="14056" max="14056" width="5.265625" style="881" customWidth="1"/>
    <col min="14057" max="14057" width="6.265625" style="881" customWidth="1"/>
    <col min="14058" max="14058" width="7.19921875" style="881" customWidth="1"/>
    <col min="14059" max="14059" width="6.796875" style="881" customWidth="1"/>
    <col min="14060" max="14060" width="6.265625" style="881" customWidth="1"/>
    <col min="14061" max="14061" width="6.19921875" style="881" customWidth="1"/>
    <col min="14062" max="14063" width="6.46484375" style="881" customWidth="1"/>
    <col min="14064" max="14064" width="8.265625" style="881" customWidth="1"/>
    <col min="14065" max="14065" width="7.19921875" style="881" bestFit="1" customWidth="1"/>
    <col min="14066" max="14066" width="6.46484375" style="881" customWidth="1"/>
    <col min="14067" max="14067" width="7.19921875" style="881" customWidth="1"/>
    <col min="14068" max="14068" width="6.46484375" style="881" customWidth="1"/>
    <col min="14069" max="14069" width="7.46484375" style="881" customWidth="1"/>
    <col min="14070" max="14070" width="8.265625" style="881" bestFit="1" customWidth="1"/>
    <col min="14071" max="14071" width="13.46484375" style="881" bestFit="1" customWidth="1"/>
    <col min="14072" max="14293" width="9.53125" style="881"/>
    <col min="14294" max="14294" width="5.46484375" style="881" customWidth="1"/>
    <col min="14295" max="14295" width="6.265625" style="881" customWidth="1"/>
    <col min="14296" max="14296" width="8.265625" style="881" customWidth="1"/>
    <col min="14297" max="14297" width="9.46484375" style="881" customWidth="1"/>
    <col min="14298" max="14298" width="8" style="881" customWidth="1"/>
    <col min="14299" max="14299" width="7.19921875" style="881" customWidth="1"/>
    <col min="14300" max="14300" width="1.265625" style="881" customWidth="1"/>
    <col min="14301" max="14301" width="6.265625" style="881" customWidth="1"/>
    <col min="14302" max="14302" width="8" style="881" customWidth="1"/>
    <col min="14303" max="14303" width="7.46484375" style="881" customWidth="1"/>
    <col min="14304" max="14304" width="5.46484375" style="881" customWidth="1"/>
    <col min="14305" max="14305" width="7.19921875" style="881" customWidth="1"/>
    <col min="14306" max="14306" width="0.796875" style="881" customWidth="1"/>
    <col min="14307" max="14307" width="5.46484375" style="881" customWidth="1"/>
    <col min="14308" max="14308" width="7.796875" style="881" customWidth="1"/>
    <col min="14309" max="14309" width="7.46484375" style="881" customWidth="1"/>
    <col min="14310" max="14310" width="0.46484375" style="881" customWidth="1"/>
    <col min="14311" max="14311" width="0.19921875" style="881" customWidth="1"/>
    <col min="14312" max="14312" width="5.265625" style="881" customWidth="1"/>
    <col min="14313" max="14313" width="6.265625" style="881" customWidth="1"/>
    <col min="14314" max="14314" width="7.19921875" style="881" customWidth="1"/>
    <col min="14315" max="14315" width="6.796875" style="881" customWidth="1"/>
    <col min="14316" max="14316" width="6.265625" style="881" customWidth="1"/>
    <col min="14317" max="14317" width="6.19921875" style="881" customWidth="1"/>
    <col min="14318" max="14319" width="6.46484375" style="881" customWidth="1"/>
    <col min="14320" max="14320" width="8.265625" style="881" customWidth="1"/>
    <col min="14321" max="14321" width="7.19921875" style="881" bestFit="1" customWidth="1"/>
    <col min="14322" max="14322" width="6.46484375" style="881" customWidth="1"/>
    <col min="14323" max="14323" width="7.19921875" style="881" customWidth="1"/>
    <col min="14324" max="14324" width="6.46484375" style="881" customWidth="1"/>
    <col min="14325" max="14325" width="7.46484375" style="881" customWidth="1"/>
    <col min="14326" max="14326" width="8.265625" style="881" bestFit="1" customWidth="1"/>
    <col min="14327" max="14327" width="13.46484375" style="881" bestFit="1" customWidth="1"/>
    <col min="14328" max="14549" width="9.53125" style="881"/>
    <col min="14550" max="14550" width="5.46484375" style="881" customWidth="1"/>
    <col min="14551" max="14551" width="6.265625" style="881" customWidth="1"/>
    <col min="14552" max="14552" width="8.265625" style="881" customWidth="1"/>
    <col min="14553" max="14553" width="9.46484375" style="881" customWidth="1"/>
    <col min="14554" max="14554" width="8" style="881" customWidth="1"/>
    <col min="14555" max="14555" width="7.19921875" style="881" customWidth="1"/>
    <col min="14556" max="14556" width="1.265625" style="881" customWidth="1"/>
    <col min="14557" max="14557" width="6.265625" style="881" customWidth="1"/>
    <col min="14558" max="14558" width="8" style="881" customWidth="1"/>
    <col min="14559" max="14559" width="7.46484375" style="881" customWidth="1"/>
    <col min="14560" max="14560" width="5.46484375" style="881" customWidth="1"/>
    <col min="14561" max="14561" width="7.19921875" style="881" customWidth="1"/>
    <col min="14562" max="14562" width="0.796875" style="881" customWidth="1"/>
    <col min="14563" max="14563" width="5.46484375" style="881" customWidth="1"/>
    <col min="14564" max="14564" width="7.796875" style="881" customWidth="1"/>
    <col min="14565" max="14565" width="7.46484375" style="881" customWidth="1"/>
    <col min="14566" max="14566" width="0.46484375" style="881" customWidth="1"/>
    <col min="14567" max="14567" width="0.19921875" style="881" customWidth="1"/>
    <col min="14568" max="14568" width="5.265625" style="881" customWidth="1"/>
    <col min="14569" max="14569" width="6.265625" style="881" customWidth="1"/>
    <col min="14570" max="14570" width="7.19921875" style="881" customWidth="1"/>
    <col min="14571" max="14571" width="6.796875" style="881" customWidth="1"/>
    <col min="14572" max="14572" width="6.265625" style="881" customWidth="1"/>
    <col min="14573" max="14573" width="6.19921875" style="881" customWidth="1"/>
    <col min="14574" max="14575" width="6.46484375" style="881" customWidth="1"/>
    <col min="14576" max="14576" width="8.265625" style="881" customWidth="1"/>
    <col min="14577" max="14577" width="7.19921875" style="881" bestFit="1" customWidth="1"/>
    <col min="14578" max="14578" width="6.46484375" style="881" customWidth="1"/>
    <col min="14579" max="14579" width="7.19921875" style="881" customWidth="1"/>
    <col min="14580" max="14580" width="6.46484375" style="881" customWidth="1"/>
    <col min="14581" max="14581" width="7.46484375" style="881" customWidth="1"/>
    <col min="14582" max="14582" width="8.265625" style="881" bestFit="1" customWidth="1"/>
    <col min="14583" max="14583" width="13.46484375" style="881" bestFit="1" customWidth="1"/>
    <col min="14584" max="14805" width="9.53125" style="881"/>
    <col min="14806" max="14806" width="5.46484375" style="881" customWidth="1"/>
    <col min="14807" max="14807" width="6.265625" style="881" customWidth="1"/>
    <col min="14808" max="14808" width="8.265625" style="881" customWidth="1"/>
    <col min="14809" max="14809" width="9.46484375" style="881" customWidth="1"/>
    <col min="14810" max="14810" width="8" style="881" customWidth="1"/>
    <col min="14811" max="14811" width="7.19921875" style="881" customWidth="1"/>
    <col min="14812" max="14812" width="1.265625" style="881" customWidth="1"/>
    <col min="14813" max="14813" width="6.265625" style="881" customWidth="1"/>
    <col min="14814" max="14814" width="8" style="881" customWidth="1"/>
    <col min="14815" max="14815" width="7.46484375" style="881" customWidth="1"/>
    <col min="14816" max="14816" width="5.46484375" style="881" customWidth="1"/>
    <col min="14817" max="14817" width="7.19921875" style="881" customWidth="1"/>
    <col min="14818" max="14818" width="0.796875" style="881" customWidth="1"/>
    <col min="14819" max="14819" width="5.46484375" style="881" customWidth="1"/>
    <col min="14820" max="14820" width="7.796875" style="881" customWidth="1"/>
    <col min="14821" max="14821" width="7.46484375" style="881" customWidth="1"/>
    <col min="14822" max="14822" width="0.46484375" style="881" customWidth="1"/>
    <col min="14823" max="14823" width="0.19921875" style="881" customWidth="1"/>
    <col min="14824" max="14824" width="5.265625" style="881" customWidth="1"/>
    <col min="14825" max="14825" width="6.265625" style="881" customWidth="1"/>
    <col min="14826" max="14826" width="7.19921875" style="881" customWidth="1"/>
    <col min="14827" max="14827" width="6.796875" style="881" customWidth="1"/>
    <col min="14828" max="14828" width="6.265625" style="881" customWidth="1"/>
    <col min="14829" max="14829" width="6.19921875" style="881" customWidth="1"/>
    <col min="14830" max="14831" width="6.46484375" style="881" customWidth="1"/>
    <col min="14832" max="14832" width="8.265625" style="881" customWidth="1"/>
    <col min="14833" max="14833" width="7.19921875" style="881" bestFit="1" customWidth="1"/>
    <col min="14834" max="14834" width="6.46484375" style="881" customWidth="1"/>
    <col min="14835" max="14835" width="7.19921875" style="881" customWidth="1"/>
    <col min="14836" max="14836" width="6.46484375" style="881" customWidth="1"/>
    <col min="14837" max="14837" width="7.46484375" style="881" customWidth="1"/>
    <col min="14838" max="14838" width="8.265625" style="881" bestFit="1" customWidth="1"/>
    <col min="14839" max="14839" width="13.46484375" style="881" bestFit="1" customWidth="1"/>
    <col min="14840" max="15061" width="9.53125" style="881"/>
    <col min="15062" max="15062" width="5.46484375" style="881" customWidth="1"/>
    <col min="15063" max="15063" width="6.265625" style="881" customWidth="1"/>
    <col min="15064" max="15064" width="8.265625" style="881" customWidth="1"/>
    <col min="15065" max="15065" width="9.46484375" style="881" customWidth="1"/>
    <col min="15066" max="15066" width="8" style="881" customWidth="1"/>
    <col min="15067" max="15067" width="7.19921875" style="881" customWidth="1"/>
    <col min="15068" max="15068" width="1.265625" style="881" customWidth="1"/>
    <col min="15069" max="15069" width="6.265625" style="881" customWidth="1"/>
    <col min="15070" max="15070" width="8" style="881" customWidth="1"/>
    <col min="15071" max="15071" width="7.46484375" style="881" customWidth="1"/>
    <col min="15072" max="15072" width="5.46484375" style="881" customWidth="1"/>
    <col min="15073" max="15073" width="7.19921875" style="881" customWidth="1"/>
    <col min="15074" max="15074" width="0.796875" style="881" customWidth="1"/>
    <col min="15075" max="15075" width="5.46484375" style="881" customWidth="1"/>
    <col min="15076" max="15076" width="7.796875" style="881" customWidth="1"/>
    <col min="15077" max="15077" width="7.46484375" style="881" customWidth="1"/>
    <col min="15078" max="15078" width="0.46484375" style="881" customWidth="1"/>
    <col min="15079" max="15079" width="0.19921875" style="881" customWidth="1"/>
    <col min="15080" max="15080" width="5.265625" style="881" customWidth="1"/>
    <col min="15081" max="15081" width="6.265625" style="881" customWidth="1"/>
    <col min="15082" max="15082" width="7.19921875" style="881" customWidth="1"/>
    <col min="15083" max="15083" width="6.796875" style="881" customWidth="1"/>
    <col min="15084" max="15084" width="6.265625" style="881" customWidth="1"/>
    <col min="15085" max="15085" width="6.19921875" style="881" customWidth="1"/>
    <col min="15086" max="15087" width="6.46484375" style="881" customWidth="1"/>
    <col min="15088" max="15088" width="8.265625" style="881" customWidth="1"/>
    <col min="15089" max="15089" width="7.19921875" style="881" bestFit="1" customWidth="1"/>
    <col min="15090" max="15090" width="6.46484375" style="881" customWidth="1"/>
    <col min="15091" max="15091" width="7.19921875" style="881" customWidth="1"/>
    <col min="15092" max="15092" width="6.46484375" style="881" customWidth="1"/>
    <col min="15093" max="15093" width="7.46484375" style="881" customWidth="1"/>
    <col min="15094" max="15094" width="8.265625" style="881" bestFit="1" customWidth="1"/>
    <col min="15095" max="15095" width="13.46484375" style="881" bestFit="1" customWidth="1"/>
    <col min="15096" max="15317" width="9.53125" style="881"/>
    <col min="15318" max="15318" width="5.46484375" style="881" customWidth="1"/>
    <col min="15319" max="15319" width="6.265625" style="881" customWidth="1"/>
    <col min="15320" max="15320" width="8.265625" style="881" customWidth="1"/>
    <col min="15321" max="15321" width="9.46484375" style="881" customWidth="1"/>
    <col min="15322" max="15322" width="8" style="881" customWidth="1"/>
    <col min="15323" max="15323" width="7.19921875" style="881" customWidth="1"/>
    <col min="15324" max="15324" width="1.265625" style="881" customWidth="1"/>
    <col min="15325" max="15325" width="6.265625" style="881" customWidth="1"/>
    <col min="15326" max="15326" width="8" style="881" customWidth="1"/>
    <col min="15327" max="15327" width="7.46484375" style="881" customWidth="1"/>
    <col min="15328" max="15328" width="5.46484375" style="881" customWidth="1"/>
    <col min="15329" max="15329" width="7.19921875" style="881" customWidth="1"/>
    <col min="15330" max="15330" width="0.796875" style="881" customWidth="1"/>
    <col min="15331" max="15331" width="5.46484375" style="881" customWidth="1"/>
    <col min="15332" max="15332" width="7.796875" style="881" customWidth="1"/>
    <col min="15333" max="15333" width="7.46484375" style="881" customWidth="1"/>
    <col min="15334" max="15334" width="0.46484375" style="881" customWidth="1"/>
    <col min="15335" max="15335" width="0.19921875" style="881" customWidth="1"/>
    <col min="15336" max="15336" width="5.265625" style="881" customWidth="1"/>
    <col min="15337" max="15337" width="6.265625" style="881" customWidth="1"/>
    <col min="15338" max="15338" width="7.19921875" style="881" customWidth="1"/>
    <col min="15339" max="15339" width="6.796875" style="881" customWidth="1"/>
    <col min="15340" max="15340" width="6.265625" style="881" customWidth="1"/>
    <col min="15341" max="15341" width="6.19921875" style="881" customWidth="1"/>
    <col min="15342" max="15343" width="6.46484375" style="881" customWidth="1"/>
    <col min="15344" max="15344" width="8.265625" style="881" customWidth="1"/>
    <col min="15345" max="15345" width="7.19921875" style="881" bestFit="1" customWidth="1"/>
    <col min="15346" max="15346" width="6.46484375" style="881" customWidth="1"/>
    <col min="15347" max="15347" width="7.19921875" style="881" customWidth="1"/>
    <col min="15348" max="15348" width="6.46484375" style="881" customWidth="1"/>
    <col min="15349" max="15349" width="7.46484375" style="881" customWidth="1"/>
    <col min="15350" max="15350" width="8.265625" style="881" bestFit="1" customWidth="1"/>
    <col min="15351" max="15351" width="13.46484375" style="881" bestFit="1" customWidth="1"/>
    <col min="15352" max="15573" width="9.53125" style="881"/>
    <col min="15574" max="15574" width="5.46484375" style="881" customWidth="1"/>
    <col min="15575" max="15575" width="6.265625" style="881" customWidth="1"/>
    <col min="15576" max="15576" width="8.265625" style="881" customWidth="1"/>
    <col min="15577" max="15577" width="9.46484375" style="881" customWidth="1"/>
    <col min="15578" max="15578" width="8" style="881" customWidth="1"/>
    <col min="15579" max="15579" width="7.19921875" style="881" customWidth="1"/>
    <col min="15580" max="15580" width="1.265625" style="881" customWidth="1"/>
    <col min="15581" max="15581" width="6.265625" style="881" customWidth="1"/>
    <col min="15582" max="15582" width="8" style="881" customWidth="1"/>
    <col min="15583" max="15583" width="7.46484375" style="881" customWidth="1"/>
    <col min="15584" max="15584" width="5.46484375" style="881" customWidth="1"/>
    <col min="15585" max="15585" width="7.19921875" style="881" customWidth="1"/>
    <col min="15586" max="15586" width="0.796875" style="881" customWidth="1"/>
    <col min="15587" max="15587" width="5.46484375" style="881" customWidth="1"/>
    <col min="15588" max="15588" width="7.796875" style="881" customWidth="1"/>
    <col min="15589" max="15589" width="7.46484375" style="881" customWidth="1"/>
    <col min="15590" max="15590" width="0.46484375" style="881" customWidth="1"/>
    <col min="15591" max="15591" width="0.19921875" style="881" customWidth="1"/>
    <col min="15592" max="15592" width="5.265625" style="881" customWidth="1"/>
    <col min="15593" max="15593" width="6.265625" style="881" customWidth="1"/>
    <col min="15594" max="15594" width="7.19921875" style="881" customWidth="1"/>
    <col min="15595" max="15595" width="6.796875" style="881" customWidth="1"/>
    <col min="15596" max="15596" width="6.265625" style="881" customWidth="1"/>
    <col min="15597" max="15597" width="6.19921875" style="881" customWidth="1"/>
    <col min="15598" max="15599" width="6.46484375" style="881" customWidth="1"/>
    <col min="15600" max="15600" width="8.265625" style="881" customWidth="1"/>
    <col min="15601" max="15601" width="7.19921875" style="881" bestFit="1" customWidth="1"/>
    <col min="15602" max="15602" width="6.46484375" style="881" customWidth="1"/>
    <col min="15603" max="15603" width="7.19921875" style="881" customWidth="1"/>
    <col min="15604" max="15604" width="6.46484375" style="881" customWidth="1"/>
    <col min="15605" max="15605" width="7.46484375" style="881" customWidth="1"/>
    <col min="15606" max="15606" width="8.265625" style="881" bestFit="1" customWidth="1"/>
    <col min="15607" max="15607" width="13.46484375" style="881" bestFit="1" customWidth="1"/>
    <col min="15608" max="15829" width="9.53125" style="881"/>
    <col min="15830" max="15830" width="5.46484375" style="881" customWidth="1"/>
    <col min="15831" max="15831" width="6.265625" style="881" customWidth="1"/>
    <col min="15832" max="15832" width="8.265625" style="881" customWidth="1"/>
    <col min="15833" max="15833" width="9.46484375" style="881" customWidth="1"/>
    <col min="15834" max="15834" width="8" style="881" customWidth="1"/>
    <col min="15835" max="15835" width="7.19921875" style="881" customWidth="1"/>
    <col min="15836" max="15836" width="1.265625" style="881" customWidth="1"/>
    <col min="15837" max="15837" width="6.265625" style="881" customWidth="1"/>
    <col min="15838" max="15838" width="8" style="881" customWidth="1"/>
    <col min="15839" max="15839" width="7.46484375" style="881" customWidth="1"/>
    <col min="15840" max="15840" width="5.46484375" style="881" customWidth="1"/>
    <col min="15841" max="15841" width="7.19921875" style="881" customWidth="1"/>
    <col min="15842" max="15842" width="0.796875" style="881" customWidth="1"/>
    <col min="15843" max="15843" width="5.46484375" style="881" customWidth="1"/>
    <col min="15844" max="15844" width="7.796875" style="881" customWidth="1"/>
    <col min="15845" max="15845" width="7.46484375" style="881" customWidth="1"/>
    <col min="15846" max="15846" width="0.46484375" style="881" customWidth="1"/>
    <col min="15847" max="15847" width="0.19921875" style="881" customWidth="1"/>
    <col min="15848" max="15848" width="5.265625" style="881" customWidth="1"/>
    <col min="15849" max="15849" width="6.265625" style="881" customWidth="1"/>
    <col min="15850" max="15850" width="7.19921875" style="881" customWidth="1"/>
    <col min="15851" max="15851" width="6.796875" style="881" customWidth="1"/>
    <col min="15852" max="15852" width="6.265625" style="881" customWidth="1"/>
    <col min="15853" max="15853" width="6.19921875" style="881" customWidth="1"/>
    <col min="15854" max="15855" width="6.46484375" style="881" customWidth="1"/>
    <col min="15856" max="15856" width="8.265625" style="881" customWidth="1"/>
    <col min="15857" max="15857" width="7.19921875" style="881" bestFit="1" customWidth="1"/>
    <col min="15858" max="15858" width="6.46484375" style="881" customWidth="1"/>
    <col min="15859" max="15859" width="7.19921875" style="881" customWidth="1"/>
    <col min="15860" max="15860" width="6.46484375" style="881" customWidth="1"/>
    <col min="15861" max="15861" width="7.46484375" style="881" customWidth="1"/>
    <col min="15862" max="15862" width="8.265625" style="881" bestFit="1" customWidth="1"/>
    <col min="15863" max="15863" width="13.46484375" style="881" bestFit="1" customWidth="1"/>
    <col min="15864" max="16085" width="9.53125" style="881"/>
    <col min="16086" max="16086" width="5.46484375" style="881" customWidth="1"/>
    <col min="16087" max="16087" width="6.265625" style="881" customWidth="1"/>
    <col min="16088" max="16088" width="8.265625" style="881" customWidth="1"/>
    <col min="16089" max="16089" width="9.46484375" style="881" customWidth="1"/>
    <col min="16090" max="16090" width="8" style="881" customWidth="1"/>
    <col min="16091" max="16091" width="7.19921875" style="881" customWidth="1"/>
    <col min="16092" max="16092" width="1.265625" style="881" customWidth="1"/>
    <col min="16093" max="16093" width="6.265625" style="881" customWidth="1"/>
    <col min="16094" max="16094" width="8" style="881" customWidth="1"/>
    <col min="16095" max="16095" width="7.46484375" style="881" customWidth="1"/>
    <col min="16096" max="16096" width="5.46484375" style="881" customWidth="1"/>
    <col min="16097" max="16097" width="7.19921875" style="881" customWidth="1"/>
    <col min="16098" max="16098" width="0.796875" style="881" customWidth="1"/>
    <col min="16099" max="16099" width="5.46484375" style="881" customWidth="1"/>
    <col min="16100" max="16100" width="7.796875" style="881" customWidth="1"/>
    <col min="16101" max="16101" width="7.46484375" style="881" customWidth="1"/>
    <col min="16102" max="16102" width="0.46484375" style="881" customWidth="1"/>
    <col min="16103" max="16103" width="0.19921875" style="881" customWidth="1"/>
    <col min="16104" max="16104" width="5.265625" style="881" customWidth="1"/>
    <col min="16105" max="16105" width="6.265625" style="881" customWidth="1"/>
    <col min="16106" max="16106" width="7.19921875" style="881" customWidth="1"/>
    <col min="16107" max="16107" width="6.796875" style="881" customWidth="1"/>
    <col min="16108" max="16108" width="6.265625" style="881" customWidth="1"/>
    <col min="16109" max="16109" width="6.19921875" style="881" customWidth="1"/>
    <col min="16110" max="16111" width="6.46484375" style="881" customWidth="1"/>
    <col min="16112" max="16112" width="8.265625" style="881" customWidth="1"/>
    <col min="16113" max="16113" width="7.19921875" style="881" bestFit="1" customWidth="1"/>
    <col min="16114" max="16114" width="6.46484375" style="881" customWidth="1"/>
    <col min="16115" max="16115" width="7.19921875" style="881" customWidth="1"/>
    <col min="16116" max="16116" width="6.46484375" style="881" customWidth="1"/>
    <col min="16117" max="16117" width="7.46484375" style="881" customWidth="1"/>
    <col min="16118" max="16118" width="8.265625" style="881" bestFit="1" customWidth="1"/>
    <col min="16119" max="16119" width="13.46484375" style="881" bestFit="1" customWidth="1"/>
    <col min="16120" max="16384" width="9.53125" style="881"/>
  </cols>
  <sheetData>
    <row r="1" spans="1:11" s="879" customFormat="1" ht="22.5" x14ac:dyDescent="0.45">
      <c r="A1" s="1089" t="s">
        <v>2497</v>
      </c>
    </row>
    <row r="2" spans="1:11" s="879" customFormat="1" ht="14.25" customHeight="1" x14ac:dyDescent="0.45"/>
    <row r="3" spans="1:11" s="880" customFormat="1" ht="14.25" customHeight="1" x14ac:dyDescent="0.45">
      <c r="B3" s="1163" t="s">
        <v>2341</v>
      </c>
      <c r="C3" s="1164" t="s">
        <v>2460</v>
      </c>
    </row>
    <row r="4" spans="1:11" ht="15" customHeight="1" thickBot="1" x14ac:dyDescent="0.5">
      <c r="B4" s="882" t="s">
        <v>1169</v>
      </c>
      <c r="C4" s="883"/>
      <c r="D4" s="883"/>
      <c r="E4" s="883"/>
      <c r="F4" s="883"/>
      <c r="G4" s="883"/>
      <c r="H4" s="883"/>
      <c r="I4" s="883"/>
      <c r="J4" s="883"/>
    </row>
    <row r="5" spans="1:11" s="885" customFormat="1" ht="9" customHeight="1" thickTop="1" x14ac:dyDescent="0.45">
      <c r="A5" s="884"/>
      <c r="B5" s="886"/>
      <c r="C5" s="886"/>
      <c r="D5" s="886"/>
      <c r="E5" s="886"/>
      <c r="F5" s="886"/>
      <c r="G5" s="886"/>
      <c r="H5" s="886"/>
      <c r="I5" s="886"/>
      <c r="J5" s="886"/>
      <c r="K5" s="886"/>
    </row>
    <row r="6" spans="1:11" s="887" customFormat="1" ht="10.9" x14ac:dyDescent="0.45">
      <c r="B6" s="1367" t="s">
        <v>1170</v>
      </c>
      <c r="C6" s="1367"/>
      <c r="D6" s="1367"/>
      <c r="E6" s="1367"/>
      <c r="F6" s="1367"/>
      <c r="G6" s="1367"/>
      <c r="H6" s="1367"/>
      <c r="I6" s="1367"/>
      <c r="J6" s="1367"/>
      <c r="K6" s="1367"/>
    </row>
    <row r="7" spans="1:11" s="890" customFormat="1" ht="10.9" x14ac:dyDescent="0.45">
      <c r="B7" s="889" t="s">
        <v>496</v>
      </c>
      <c r="C7" s="889" t="s">
        <v>168</v>
      </c>
      <c r="D7" s="889" t="s">
        <v>741</v>
      </c>
      <c r="E7" s="889" t="s">
        <v>744</v>
      </c>
      <c r="F7" s="889" t="s">
        <v>1089</v>
      </c>
      <c r="G7" s="889" t="s">
        <v>746</v>
      </c>
      <c r="H7" s="889" t="s">
        <v>1038</v>
      </c>
      <c r="I7" s="889" t="s">
        <v>2290</v>
      </c>
      <c r="J7" s="889" t="s">
        <v>1044</v>
      </c>
      <c r="K7" s="889"/>
    </row>
    <row r="8" spans="1:11" s="890" customFormat="1" ht="41.25" customHeight="1" x14ac:dyDescent="0.45">
      <c r="B8" s="889"/>
      <c r="C8" s="889"/>
      <c r="D8" s="889" t="s">
        <v>1063</v>
      </c>
      <c r="E8" s="889"/>
      <c r="F8" s="889"/>
      <c r="G8" s="889"/>
      <c r="H8" s="889"/>
      <c r="I8" s="1073" t="s">
        <v>2291</v>
      </c>
      <c r="J8" s="889"/>
      <c r="K8" s="889" t="s">
        <v>211</v>
      </c>
    </row>
    <row r="9" spans="1:11" s="887" customFormat="1" ht="11.25" x14ac:dyDescent="0.45">
      <c r="B9" s="891" t="s">
        <v>31</v>
      </c>
      <c r="C9" s="891" t="s">
        <v>1172</v>
      </c>
      <c r="D9" s="891" t="s">
        <v>1173</v>
      </c>
      <c r="E9" s="891"/>
      <c r="F9" s="891"/>
      <c r="G9" s="891"/>
      <c r="H9" s="891"/>
      <c r="I9" s="891"/>
      <c r="J9" s="891"/>
      <c r="K9" s="891" t="s">
        <v>30</v>
      </c>
    </row>
    <row r="10" spans="1:11" s="887" customFormat="1" ht="11.25" x14ac:dyDescent="0.45">
      <c r="A10" s="892">
        <v>1700</v>
      </c>
      <c r="B10" s="918">
        <f>'1.3.1 CoalLR'!R10*Units!C$20*1000</f>
        <v>1742.61244811752</v>
      </c>
      <c r="C10" s="915"/>
      <c r="D10" s="915"/>
      <c r="E10" s="915"/>
      <c r="F10" s="897">
        <f>'1.8.3 RenPTLR'!E10</f>
        <v>12.123817712811691</v>
      </c>
      <c r="G10" s="897">
        <f>+'1.8.3 RenPTLR'!B10+'1.8.3 RenPTLR'!C10</f>
        <v>108.87872087267394</v>
      </c>
      <c r="H10" s="915"/>
      <c r="I10" s="915"/>
      <c r="J10" s="897">
        <f>'1.8.2 RenHLR'!H10+'1.8.2 RenHLR'!I10</f>
        <v>585.83071530211657</v>
      </c>
      <c r="K10" s="919">
        <f t="shared" ref="K10:K73" si="0">SUM(B10:J10)</f>
        <v>2449.4457020051223</v>
      </c>
    </row>
    <row r="11" spans="1:11" s="887" customFormat="1" ht="11.25" x14ac:dyDescent="0.45">
      <c r="A11" s="892">
        <v>1701</v>
      </c>
      <c r="B11" s="1196">
        <f>'1.3.1 CoalLR'!R11*Units!C$20*1000</f>
        <v>1765.231214075794</v>
      </c>
      <c r="C11" s="915"/>
      <c r="D11" s="915"/>
      <c r="E11" s="915"/>
      <c r="F11" s="897">
        <f>'1.8.3 RenPTLR'!E11</f>
        <v>12.162510748065348</v>
      </c>
      <c r="G11" s="897">
        <f>+'1.8.3 RenPTLR'!B11+'1.8.3 RenPTLR'!C11</f>
        <v>108.63942780053971</v>
      </c>
      <c r="H11" s="915"/>
      <c r="I11" s="915"/>
      <c r="J11" s="897">
        <f>'1.8.2 RenHLR'!H11+'1.8.2 RenHLR'!I11</f>
        <v>584.78896876549618</v>
      </c>
      <c r="K11" s="919">
        <f t="shared" si="0"/>
        <v>2470.8221213898955</v>
      </c>
    </row>
    <row r="12" spans="1:11" s="887" customFormat="1" ht="11.25" x14ac:dyDescent="0.45">
      <c r="A12" s="892">
        <v>1702</v>
      </c>
      <c r="B12" s="1196">
        <f>'1.3.1 CoalLR'!R12*Units!C$20*1000</f>
        <v>1803.9571129358699</v>
      </c>
      <c r="C12" s="915"/>
      <c r="D12" s="915"/>
      <c r="E12" s="915"/>
      <c r="F12" s="897">
        <f>'1.8.3 RenPTLR'!E12</f>
        <v>12.201203783319002</v>
      </c>
      <c r="G12" s="897">
        <f>+'1.8.3 RenPTLR'!B12+'1.8.3 RenPTLR'!C12</f>
        <v>108.39973939158818</v>
      </c>
      <c r="H12" s="915"/>
      <c r="I12" s="915"/>
      <c r="J12" s="897">
        <f>'1.8.2 RenHLR'!H12+'1.8.2 RenHLR'!I12</f>
        <v>584.70389180228256</v>
      </c>
      <c r="K12" s="919">
        <f t="shared" si="0"/>
        <v>2509.2619479130594</v>
      </c>
    </row>
    <row r="13" spans="1:11" s="887" customFormat="1" ht="11.25" x14ac:dyDescent="0.45">
      <c r="A13" s="892">
        <v>1703</v>
      </c>
      <c r="B13" s="1196">
        <f>'1.3.1 CoalLR'!R13*Units!C$20*1000</f>
        <v>1836.0879329730619</v>
      </c>
      <c r="C13" s="915"/>
      <c r="D13" s="915"/>
      <c r="E13" s="915"/>
      <c r="F13" s="897">
        <f>'1.8.3 RenPTLR'!E13</f>
        <v>12.239896818572657</v>
      </c>
      <c r="G13" s="897">
        <f>+'1.8.3 RenPTLR'!B13+'1.8.3 RenPTLR'!C13</f>
        <v>109.07704026729486</v>
      </c>
      <c r="H13" s="915"/>
      <c r="I13" s="915"/>
      <c r="J13" s="897">
        <f>'1.8.2 RenHLR'!H13+'1.8.2 RenHLR'!I13</f>
        <v>584.22629735282601</v>
      </c>
      <c r="K13" s="919">
        <f t="shared" si="0"/>
        <v>2541.6311674117555</v>
      </c>
    </row>
    <row r="14" spans="1:11" s="887" customFormat="1" ht="11.25" x14ac:dyDescent="0.45">
      <c r="A14" s="892">
        <v>1704</v>
      </c>
      <c r="B14" s="1196">
        <f>'1.3.1 CoalLR'!R14*Units!C$20*1000</f>
        <v>1860.4281285742907</v>
      </c>
      <c r="C14" s="915"/>
      <c r="D14" s="915"/>
      <c r="E14" s="915"/>
      <c r="F14" s="897">
        <f>'1.8.3 RenPTLR'!E14</f>
        <v>12.278589853826311</v>
      </c>
      <c r="G14" s="897">
        <f>+'1.8.3 RenPTLR'!B14+'1.8.3 RenPTLR'!C14</f>
        <v>109.75562478297334</v>
      </c>
      <c r="H14" s="915"/>
      <c r="I14" s="915"/>
      <c r="J14" s="897">
        <f>'1.8.2 RenHLR'!H14+'1.8.2 RenHLR'!I14</f>
        <v>584.14111600960632</v>
      </c>
      <c r="K14" s="919">
        <f t="shared" si="0"/>
        <v>2566.603459220697</v>
      </c>
    </row>
    <row r="15" spans="1:11" s="887" customFormat="1" ht="11.25" x14ac:dyDescent="0.45">
      <c r="A15" s="892">
        <v>1705</v>
      </c>
      <c r="B15" s="1196">
        <f>'1.3.1 CoalLR'!R15*Units!C$20*1000</f>
        <v>1887.1328835611248</v>
      </c>
      <c r="C15" s="915"/>
      <c r="D15" s="915"/>
      <c r="E15" s="915"/>
      <c r="F15" s="897">
        <f>'1.8.3 RenPTLR'!E15</f>
        <v>12.317282889079962</v>
      </c>
      <c r="G15" s="897">
        <f>+'1.8.3 RenPTLR'!B15+'1.8.3 RenPTLR'!C15</f>
        <v>110.43549732476707</v>
      </c>
      <c r="H15" s="915"/>
      <c r="I15" s="915"/>
      <c r="J15" s="897">
        <f>'1.8.2 RenHLR'!H15+'1.8.2 RenHLR'!I15</f>
        <v>583.09683474312965</v>
      </c>
      <c r="K15" s="919">
        <f t="shared" si="0"/>
        <v>2592.9824985181012</v>
      </c>
    </row>
    <row r="16" spans="1:11" s="887" customFormat="1" ht="11.25" x14ac:dyDescent="0.45">
      <c r="A16" s="892">
        <v>1706</v>
      </c>
      <c r="B16" s="1196">
        <f>'1.3.1 CoalLR'!R16*Units!C$20*1000</f>
        <v>1915.6040144918811</v>
      </c>
      <c r="C16" s="915"/>
      <c r="D16" s="915"/>
      <c r="E16" s="915"/>
      <c r="F16" s="897">
        <f>'1.8.3 RenPTLR'!E16</f>
        <v>12.355975924333618</v>
      </c>
      <c r="G16" s="897">
        <f>+'1.8.3 RenPTLR'!B16+'1.8.3 RenPTLR'!C16</f>
        <v>111.11666229583641</v>
      </c>
      <c r="H16" s="915"/>
      <c r="I16" s="915"/>
      <c r="J16" s="897">
        <f>'1.8.2 RenHLR'!H16+'1.8.2 RenHLR'!I16</f>
        <v>582.65988576753421</v>
      </c>
      <c r="K16" s="919">
        <f t="shared" si="0"/>
        <v>2621.7365384795853</v>
      </c>
    </row>
    <row r="17" spans="1:11" s="887" customFormat="1" ht="11.25" x14ac:dyDescent="0.45">
      <c r="A17" s="892">
        <v>1707</v>
      </c>
      <c r="B17" s="1196">
        <f>'1.3.1 CoalLR'!R17*Units!C$20*1000</f>
        <v>1936.2821939421458</v>
      </c>
      <c r="C17" s="915"/>
      <c r="D17" s="915"/>
      <c r="E17" s="915"/>
      <c r="F17" s="897">
        <f>'1.8.3 RenPTLR'!E17</f>
        <v>12.394668959587273</v>
      </c>
      <c r="G17" s="897">
        <f>+'1.8.3 RenPTLR'!B17+'1.8.3 RenPTLR'!C17</f>
        <v>111.79912411641686</v>
      </c>
      <c r="H17" s="915"/>
      <c r="I17" s="915"/>
      <c r="J17" s="897">
        <f>'1.8.2 RenHLR'!H17+'1.8.2 RenHLR'!I17</f>
        <v>581.78403967229031</v>
      </c>
      <c r="K17" s="919">
        <f t="shared" si="0"/>
        <v>2642.2600266904406</v>
      </c>
    </row>
    <row r="18" spans="1:11" s="887" customFormat="1" ht="11.25" x14ac:dyDescent="0.45">
      <c r="A18" s="892">
        <v>1708</v>
      </c>
      <c r="B18" s="1196">
        <f>'1.3.1 CoalLR'!R18*Units!C$20*1000</f>
        <v>1961.1147577630368</v>
      </c>
      <c r="C18" s="915"/>
      <c r="D18" s="915"/>
      <c r="E18" s="915"/>
      <c r="F18" s="897">
        <f>'1.8.3 RenPTLR'!E18</f>
        <v>12.433361994840929</v>
      </c>
      <c r="G18" s="897">
        <f>+'1.8.3 RenPTLR'!B18+'1.8.3 RenPTLR'!C18</f>
        <v>112.48288722387755</v>
      </c>
      <c r="H18" s="915"/>
      <c r="I18" s="915"/>
      <c r="J18" s="897">
        <f>'1.8.2 RenHLR'!H18+'1.8.2 RenHLR'!I18</f>
        <v>580.50062888172181</v>
      </c>
      <c r="K18" s="919">
        <f t="shared" si="0"/>
        <v>2666.5316358634768</v>
      </c>
    </row>
    <row r="19" spans="1:11" s="887" customFormat="1" ht="11.25" x14ac:dyDescent="0.45">
      <c r="A19" s="892">
        <v>1709</v>
      </c>
      <c r="B19" s="1196">
        <f>'1.3.1 CoalLR'!R19*Units!C$20*1000</f>
        <v>1982.3345523165328</v>
      </c>
      <c r="C19" s="915"/>
      <c r="D19" s="915"/>
      <c r="E19" s="915"/>
      <c r="F19" s="897">
        <f>'1.8.3 RenPTLR'!E19</f>
        <v>12.472055030094582</v>
      </c>
      <c r="G19" s="897">
        <f>+'1.8.3 RenPTLR'!B19+'1.8.3 RenPTLR'!C19</f>
        <v>113.16795607277955</v>
      </c>
      <c r="H19" s="915"/>
      <c r="I19" s="915"/>
      <c r="J19" s="897">
        <f>'1.8.2 RenHLR'!H19+'1.8.2 RenHLR'!I19</f>
        <v>579.48444206265685</v>
      </c>
      <c r="K19" s="919">
        <f t="shared" si="0"/>
        <v>2687.4590054820637</v>
      </c>
    </row>
    <row r="20" spans="1:11" s="887" customFormat="1" ht="11.25" x14ac:dyDescent="0.45">
      <c r="A20" s="892">
        <v>1710</v>
      </c>
      <c r="B20" s="1196">
        <f>'1.3.1 CoalLR'!R20*Units!C$20*1000</f>
        <v>2011.8888616871473</v>
      </c>
      <c r="C20" s="915"/>
      <c r="D20" s="915"/>
      <c r="E20" s="915"/>
      <c r="F20" s="897">
        <f>'1.8.3 RenPTLR'!E20</f>
        <v>12.510748065348237</v>
      </c>
      <c r="G20" s="897">
        <f>+'1.8.3 RenPTLR'!B20+'1.8.3 RenPTLR'!C20</f>
        <v>113.8543351349347</v>
      </c>
      <c r="H20" s="915"/>
      <c r="I20" s="915"/>
      <c r="J20" s="897">
        <f>'1.8.2 RenHLR'!H20+'1.8.2 RenHLR'!I20</f>
        <v>579.13373856280009</v>
      </c>
      <c r="K20" s="919">
        <f t="shared" si="0"/>
        <v>2717.3876834502307</v>
      </c>
    </row>
    <row r="21" spans="1:11" s="887" customFormat="1" ht="11.25" x14ac:dyDescent="0.45">
      <c r="A21" s="892">
        <v>1711</v>
      </c>
      <c r="B21" s="1196">
        <f>'1.3.1 CoalLR'!R21*Units!C$20*1000</f>
        <v>2036.6338068692239</v>
      </c>
      <c r="C21" s="915"/>
      <c r="D21" s="915"/>
      <c r="E21" s="915"/>
      <c r="F21" s="897">
        <f>'1.8.3 RenPTLR'!E21</f>
        <v>12.549441100601891</v>
      </c>
      <c r="G21" s="897">
        <f>+'1.8.3 RenPTLR'!B21+'1.8.3 RenPTLR'!C21</f>
        <v>114.54202889946468</v>
      </c>
      <c r="H21" s="915"/>
      <c r="I21" s="915"/>
      <c r="J21" s="897">
        <f>'1.8.2 RenHLR'!H21+'1.8.2 RenHLR'!I21</f>
        <v>579.02535561449463</v>
      </c>
      <c r="K21" s="919">
        <f t="shared" si="0"/>
        <v>2742.750632483785</v>
      </c>
    </row>
    <row r="22" spans="1:11" s="887" customFormat="1" ht="11.25" x14ac:dyDescent="0.45">
      <c r="A22" s="892">
        <v>1712</v>
      </c>
      <c r="B22" s="1196">
        <f>'1.3.1 CoalLR'!R22*Units!C$20*1000</f>
        <v>2043.4254809290974</v>
      </c>
      <c r="C22" s="915"/>
      <c r="D22" s="915"/>
      <c r="E22" s="915"/>
      <c r="F22" s="897">
        <f>'1.8.3 RenPTLR'!E22</f>
        <v>12.588134135855544</v>
      </c>
      <c r="G22" s="897">
        <f>+'1.8.3 RenPTLR'!B22+'1.8.3 RenPTLR'!C22</f>
        <v>115.23104187285975</v>
      </c>
      <c r="H22" s="915"/>
      <c r="I22" s="915"/>
      <c r="J22" s="897">
        <f>'1.8.2 RenHLR'!H22+'1.8.2 RenHLR'!I22</f>
        <v>578.54355533684952</v>
      </c>
      <c r="K22" s="919">
        <f t="shared" si="0"/>
        <v>2749.7882122746623</v>
      </c>
    </row>
    <row r="23" spans="1:11" s="887" customFormat="1" ht="11.25" x14ac:dyDescent="0.45">
      <c r="A23" s="892">
        <v>1713</v>
      </c>
      <c r="B23" s="1196">
        <f>'1.3.1 CoalLR'!R23*Units!C$20*1000</f>
        <v>2081.2503801413372</v>
      </c>
      <c r="C23" s="915"/>
      <c r="D23" s="915"/>
      <c r="E23" s="915"/>
      <c r="F23" s="897">
        <f>'1.8.3 RenPTLR'!E23</f>
        <v>12.626827171109198</v>
      </c>
      <c r="G23" s="897">
        <f>+'1.8.3 RenPTLR'!B23+'1.8.3 RenPTLR'!C23</f>
        <v>115.92137857903833</v>
      </c>
      <c r="H23" s="915"/>
      <c r="I23" s="915"/>
      <c r="J23" s="897">
        <f>'1.8.2 RenHLR'!H23+'1.8.2 RenHLR'!I23</f>
        <v>577.60210258533641</v>
      </c>
      <c r="K23" s="919">
        <f t="shared" si="0"/>
        <v>2787.4006884768214</v>
      </c>
    </row>
    <row r="24" spans="1:11" s="887" customFormat="1" ht="11.25" x14ac:dyDescent="0.45">
      <c r="A24" s="892">
        <v>1714</v>
      </c>
      <c r="B24" s="1196">
        <f>'1.3.1 CoalLR'!R24*Units!C$20*1000</f>
        <v>2094.5485710982862</v>
      </c>
      <c r="C24" s="915"/>
      <c r="D24" s="915"/>
      <c r="E24" s="915"/>
      <c r="F24" s="897">
        <f>'1.8.3 RenPTLR'!E24</f>
        <v>12.665520206362855</v>
      </c>
      <c r="G24" s="897">
        <f>+'1.8.3 RenPTLR'!B24+'1.8.3 RenPTLR'!C24</f>
        <v>116.61304355940621</v>
      </c>
      <c r="H24" s="915"/>
      <c r="I24" s="915"/>
      <c r="J24" s="897">
        <f>'1.8.2 RenHLR'!H24+'1.8.2 RenHLR'!I24</f>
        <v>577.0962928675583</v>
      </c>
      <c r="K24" s="919">
        <f t="shared" si="0"/>
        <v>2800.9234277316136</v>
      </c>
    </row>
    <row r="25" spans="1:11" s="887" customFormat="1" ht="11.25" x14ac:dyDescent="0.45">
      <c r="A25" s="892">
        <v>1715</v>
      </c>
      <c r="B25" s="1196">
        <f>'1.3.1 CoalLR'!R25*Units!C$20*1000</f>
        <v>2123.9427777920473</v>
      </c>
      <c r="C25" s="915"/>
      <c r="D25" s="915"/>
      <c r="E25" s="915"/>
      <c r="F25" s="897">
        <f>'1.8.3 RenPTLR'!E25</f>
        <v>12.704213241616507</v>
      </c>
      <c r="G25" s="897">
        <f>+'1.8.3 RenPTLR'!B25+'1.8.3 RenPTLR'!C25</f>
        <v>117.30604137291628</v>
      </c>
      <c r="H25" s="915"/>
      <c r="I25" s="915"/>
      <c r="J25" s="897">
        <f>'1.8.2 RenHLR'!H25+'1.8.2 RenHLR'!I25</f>
        <v>576.29621361070292</v>
      </c>
      <c r="K25" s="919">
        <f t="shared" si="0"/>
        <v>2830.249246017283</v>
      </c>
    </row>
    <row r="26" spans="1:11" s="887" customFormat="1" ht="11.25" x14ac:dyDescent="0.45">
      <c r="A26" s="892">
        <v>1716</v>
      </c>
      <c r="B26" s="1196">
        <f>'1.3.1 CoalLR'!R26*Units!C$20*1000</f>
        <v>2149.12007666809</v>
      </c>
      <c r="C26" s="915"/>
      <c r="D26" s="915"/>
      <c r="E26" s="915"/>
      <c r="F26" s="897">
        <f>'1.8.3 RenPTLR'!E26</f>
        <v>12.742906276870162</v>
      </c>
      <c r="G26" s="897">
        <f>+'1.8.3 RenPTLR'!B26+'1.8.3 RenPTLR'!C26</f>
        <v>118.00037659612831</v>
      </c>
      <c r="H26" s="915"/>
      <c r="I26" s="915"/>
      <c r="J26" s="897">
        <f>'1.8.2 RenHLR'!H26+'1.8.2 RenHLR'!I26</f>
        <v>576.97745032274679</v>
      </c>
      <c r="K26" s="919">
        <f t="shared" si="0"/>
        <v>2856.8408098638351</v>
      </c>
    </row>
    <row r="27" spans="1:11" s="887" customFormat="1" ht="11.25" x14ac:dyDescent="0.45">
      <c r="A27" s="892">
        <v>1717</v>
      </c>
      <c r="B27" s="1196">
        <f>'1.3.1 CoalLR'!R27*Units!C$20*1000</f>
        <v>2183.2223596495769</v>
      </c>
      <c r="C27" s="915"/>
      <c r="D27" s="915"/>
      <c r="E27" s="915"/>
      <c r="F27" s="897">
        <f>'1.8.3 RenPTLR'!E27</f>
        <v>12.781599312123818</v>
      </c>
      <c r="G27" s="897">
        <f>+'1.8.3 RenPTLR'!B27+'1.8.3 RenPTLR'!C27</f>
        <v>118.69605382326891</v>
      </c>
      <c r="H27" s="915"/>
      <c r="I27" s="915"/>
      <c r="J27" s="897">
        <f>'1.8.2 RenHLR'!H27+'1.8.2 RenHLR'!I27</f>
        <v>577.4596254894094</v>
      </c>
      <c r="K27" s="919">
        <f t="shared" si="0"/>
        <v>2892.1596382743792</v>
      </c>
    </row>
    <row r="28" spans="1:11" s="887" customFormat="1" ht="11.25" x14ac:dyDescent="0.45">
      <c r="A28" s="892">
        <v>1718</v>
      </c>
      <c r="B28" s="1196">
        <f>'1.3.1 CoalLR'!R28*Units!C$20*1000</f>
        <v>2204.7418211315235</v>
      </c>
      <c r="C28" s="915"/>
      <c r="D28" s="915"/>
      <c r="E28" s="915"/>
      <c r="F28" s="897">
        <f>'1.8.3 RenPTLR'!E28</f>
        <v>12.820292347377469</v>
      </c>
      <c r="G28" s="897">
        <f>+'1.8.3 RenPTLR'!B28+'1.8.3 RenPTLR'!C28</f>
        <v>119.3930776662917</v>
      </c>
      <c r="H28" s="915"/>
      <c r="I28" s="915"/>
      <c r="J28" s="897">
        <f>'1.8.2 RenHLR'!H28+'1.8.2 RenHLR'!I28</f>
        <v>578.84430568139021</v>
      </c>
      <c r="K28" s="919">
        <f t="shared" si="0"/>
        <v>2915.799496826583</v>
      </c>
    </row>
    <row r="29" spans="1:11" s="887" customFormat="1" ht="11.25" x14ac:dyDescent="0.45">
      <c r="A29" s="892">
        <v>1719</v>
      </c>
      <c r="B29" s="1196">
        <f>'1.3.1 CoalLR'!R29*Units!C$20*1000</f>
        <v>2226.2228769438384</v>
      </c>
      <c r="C29" s="915"/>
      <c r="D29" s="915"/>
      <c r="E29" s="915"/>
      <c r="F29" s="897">
        <f>'1.8.3 RenPTLR'!E29</f>
        <v>12.858985382631126</v>
      </c>
      <c r="G29" s="897">
        <f>+'1.8.3 RenPTLR'!B29+'1.8.3 RenPTLR'!C29</f>
        <v>120.09145275493779</v>
      </c>
      <c r="H29" s="915"/>
      <c r="I29" s="915"/>
      <c r="J29" s="897">
        <f>'1.8.2 RenHLR'!H29+'1.8.2 RenHLR'!I29</f>
        <v>577.66281798393231</v>
      </c>
      <c r="K29" s="919">
        <f t="shared" si="0"/>
        <v>2936.8361330653393</v>
      </c>
    </row>
    <row r="30" spans="1:11" s="887" customFormat="1" ht="11.25" x14ac:dyDescent="0.45">
      <c r="A30" s="892">
        <v>1720</v>
      </c>
      <c r="B30" s="1196">
        <f>'1.3.1 CoalLR'!R30*Units!C$20*1000</f>
        <v>2259.0150912823078</v>
      </c>
      <c r="C30" s="915"/>
      <c r="D30" s="915"/>
      <c r="E30" s="915"/>
      <c r="F30" s="897">
        <f>'1.8.3 RenPTLR'!E30</f>
        <v>12.89767841788478</v>
      </c>
      <c r="G30" s="897">
        <f>+'1.8.3 RenPTLR'!B30+'1.8.3 RenPTLR'!C30</f>
        <v>120.79118373679603</v>
      </c>
      <c r="H30" s="915"/>
      <c r="I30" s="915"/>
      <c r="J30" s="897">
        <f>'1.8.2 RenHLR'!H30+'1.8.2 RenHLR'!I30</f>
        <v>577.94879766470717</v>
      </c>
      <c r="K30" s="919">
        <f t="shared" si="0"/>
        <v>2970.6527511016957</v>
      </c>
    </row>
    <row r="31" spans="1:11" s="887" customFormat="1" ht="11.25" x14ac:dyDescent="0.45">
      <c r="A31" s="892">
        <v>1721</v>
      </c>
      <c r="B31" s="1196">
        <f>'1.3.1 CoalLR'!R31*Units!C$20*1000</f>
        <v>2278.0261036065026</v>
      </c>
      <c r="C31" s="915"/>
      <c r="D31" s="915"/>
      <c r="E31" s="915"/>
      <c r="F31" s="897">
        <f>'1.8.3 RenPTLR'!E31</f>
        <v>12.936371453138435</v>
      </c>
      <c r="G31" s="897">
        <f>+'1.8.3 RenPTLR'!B31+'1.8.3 RenPTLR'!C31</f>
        <v>121.49227527736402</v>
      </c>
      <c r="H31" s="915"/>
      <c r="I31" s="915"/>
      <c r="J31" s="897">
        <f>'1.8.2 RenHLR'!H31+'1.8.2 RenHLR'!I31</f>
        <v>575.18839248047107</v>
      </c>
      <c r="K31" s="919">
        <f t="shared" si="0"/>
        <v>2987.643142817476</v>
      </c>
    </row>
    <row r="32" spans="1:11" s="887" customFormat="1" ht="11.25" x14ac:dyDescent="0.45">
      <c r="A32" s="892">
        <v>1722</v>
      </c>
      <c r="B32" s="1196">
        <f>'1.3.1 CoalLR'!R32*Units!C$20*1000</f>
        <v>2303.5665235036113</v>
      </c>
      <c r="C32" s="915"/>
      <c r="D32" s="915"/>
      <c r="E32" s="915"/>
      <c r="F32" s="897">
        <f>'1.8.3 RenPTLR'!E32</f>
        <v>12.975064488392089</v>
      </c>
      <c r="G32" s="897">
        <f>+'1.8.3 RenPTLR'!B32+'1.8.3 RenPTLR'!C32</f>
        <v>122.19473206010865</v>
      </c>
      <c r="H32" s="915"/>
      <c r="I32" s="915"/>
      <c r="J32" s="897">
        <f>'1.8.2 RenHLR'!H32+'1.8.2 RenHLR'!I32</f>
        <v>572.5787528957361</v>
      </c>
      <c r="K32" s="919">
        <f t="shared" si="0"/>
        <v>3011.315072947848</v>
      </c>
    </row>
    <row r="33" spans="1:11" s="887" customFormat="1" ht="11.25" x14ac:dyDescent="0.45">
      <c r="A33" s="892">
        <v>1723</v>
      </c>
      <c r="B33" s="1196">
        <f>'1.3.1 CoalLR'!R33*Units!C$20*1000</f>
        <v>2328.4661535171244</v>
      </c>
      <c r="C33" s="915"/>
      <c r="D33" s="915"/>
      <c r="E33" s="915"/>
      <c r="F33" s="897">
        <f>'1.8.3 RenPTLR'!E33</f>
        <v>13.013757523645742</v>
      </c>
      <c r="G33" s="897">
        <f>+'1.8.3 RenPTLR'!B33+'1.8.3 RenPTLR'!C33</f>
        <v>122.89855878652769</v>
      </c>
      <c r="H33" s="915"/>
      <c r="I33" s="915"/>
      <c r="J33" s="897">
        <f>'1.8.2 RenHLR'!H33+'1.8.2 RenHLR'!I33</f>
        <v>571.17205328825116</v>
      </c>
      <c r="K33" s="919">
        <f t="shared" si="0"/>
        <v>3035.5505231155494</v>
      </c>
    </row>
    <row r="34" spans="1:11" s="887" customFormat="1" ht="11.25" x14ac:dyDescent="0.45">
      <c r="A34" s="892">
        <v>1724</v>
      </c>
      <c r="B34" s="1196">
        <f>'1.3.1 CoalLR'!R34*Units!C$20*1000</f>
        <v>2319.8662119393039</v>
      </c>
      <c r="C34" s="915"/>
      <c r="D34" s="915"/>
      <c r="E34" s="915"/>
      <c r="F34" s="897">
        <f>'1.8.3 RenPTLR'!E34</f>
        <v>13.0524505588994</v>
      </c>
      <c r="G34" s="897">
        <f>+'1.8.3 RenPTLR'!B34+'1.8.3 RenPTLR'!C34</f>
        <v>123.60376017621056</v>
      </c>
      <c r="H34" s="915"/>
      <c r="I34" s="915"/>
      <c r="J34" s="897">
        <f>'1.8.2 RenHLR'!H34+'1.8.2 RenHLR'!I34</f>
        <v>569.56466484579073</v>
      </c>
      <c r="K34" s="919">
        <f t="shared" si="0"/>
        <v>3026.0870875202045</v>
      </c>
    </row>
    <row r="35" spans="1:11" s="887" customFormat="1" ht="11.25" x14ac:dyDescent="0.45">
      <c r="A35" s="892">
        <v>1725</v>
      </c>
      <c r="B35" s="1196">
        <f>'1.3.1 CoalLR'!R35*Units!C$20*1000</f>
        <v>2384.701347566293</v>
      </c>
      <c r="C35" s="915"/>
      <c r="D35" s="915"/>
      <c r="E35" s="915"/>
      <c r="F35" s="897">
        <f>'1.8.3 RenPTLR'!E35</f>
        <v>13.091143594153051</v>
      </c>
      <c r="G35" s="897">
        <f>+'1.8.3 RenPTLR'!B35+'1.8.3 RenPTLR'!C35</f>
        <v>124.3103409669002</v>
      </c>
      <c r="H35" s="915"/>
      <c r="I35" s="915"/>
      <c r="J35" s="897">
        <f>'1.8.2 RenHLR'!H35+'1.8.2 RenHLR'!I35</f>
        <v>568.28411768136345</v>
      </c>
      <c r="K35" s="919">
        <f t="shared" si="0"/>
        <v>3090.3869498087097</v>
      </c>
    </row>
    <row r="36" spans="1:11" s="887" customFormat="1" ht="11.25" x14ac:dyDescent="0.45">
      <c r="A36" s="892">
        <v>1726</v>
      </c>
      <c r="B36" s="1196">
        <f>'1.3.1 CoalLR'!R36*Units!C$20*1000</f>
        <v>2397.5144544147342</v>
      </c>
      <c r="C36" s="915"/>
      <c r="D36" s="915"/>
      <c r="E36" s="915"/>
      <c r="F36" s="897">
        <f>'1.8.3 RenPTLR'!E36</f>
        <v>13.129836629406705</v>
      </c>
      <c r="G36" s="897">
        <f>+'1.8.3 RenPTLR'!B36+'1.8.3 RenPTLR'!C36</f>
        <v>125.01830591455418</v>
      </c>
      <c r="H36" s="915"/>
      <c r="I36" s="915"/>
      <c r="J36" s="897">
        <f>'1.8.2 RenHLR'!H36+'1.8.2 RenHLR'!I36</f>
        <v>566.20406593538792</v>
      </c>
      <c r="K36" s="919">
        <f t="shared" si="0"/>
        <v>3101.8666628940832</v>
      </c>
    </row>
    <row r="37" spans="1:11" s="887" customFormat="1" ht="11.25" x14ac:dyDescent="0.45">
      <c r="A37" s="892">
        <v>1727</v>
      </c>
      <c r="B37" s="1196">
        <f>'1.3.1 CoalLR'!R37*Units!C$20*1000</f>
        <v>2417.4474543986958</v>
      </c>
      <c r="C37" s="915"/>
      <c r="D37" s="915"/>
      <c r="E37" s="915"/>
      <c r="F37" s="897">
        <f>'1.8.3 RenPTLR'!E37</f>
        <v>13.168529664660362</v>
      </c>
      <c r="G37" s="897">
        <f>+'1.8.3 RenPTLR'!B37+'1.8.3 RenPTLR'!C37</f>
        <v>125.72765979340714</v>
      </c>
      <c r="H37" s="915"/>
      <c r="I37" s="915"/>
      <c r="J37" s="897">
        <f>'1.8.2 RenHLR'!H37+'1.8.2 RenHLR'!I37</f>
        <v>564.68721819401912</v>
      </c>
      <c r="K37" s="919">
        <f t="shared" si="0"/>
        <v>3121.0308620507822</v>
      </c>
    </row>
    <row r="38" spans="1:11" s="887" customFormat="1" ht="11.25" x14ac:dyDescent="0.45">
      <c r="A38" s="892">
        <v>1728</v>
      </c>
      <c r="B38" s="1196">
        <f>'1.3.1 CoalLR'!R38*Units!C$20*1000</f>
        <v>2463.0184799656654</v>
      </c>
      <c r="C38" s="915"/>
      <c r="D38" s="915"/>
      <c r="E38" s="915"/>
      <c r="F38" s="897">
        <f>'1.8.3 RenPTLR'!E38</f>
        <v>13.207222699914013</v>
      </c>
      <c r="G38" s="897">
        <f>+'1.8.3 RenPTLR'!B38+'1.8.3 RenPTLR'!C38</f>
        <v>126.43840739603242</v>
      </c>
      <c r="H38" s="915"/>
      <c r="I38" s="915"/>
      <c r="J38" s="897">
        <f>'1.8.2 RenHLR'!H38+'1.8.2 RenHLR'!I38</f>
        <v>562.47323855388743</v>
      </c>
      <c r="K38" s="919">
        <f t="shared" si="0"/>
        <v>3165.1373486154989</v>
      </c>
    </row>
    <row r="39" spans="1:11" s="887" customFormat="1" ht="11.25" x14ac:dyDescent="0.45">
      <c r="A39" s="892">
        <v>1729</v>
      </c>
      <c r="B39" s="1196">
        <f>'1.3.1 CoalLR'!R39*Units!C$20*1000</f>
        <v>2472.0955366903763</v>
      </c>
      <c r="C39" s="915"/>
      <c r="D39" s="915"/>
      <c r="E39" s="915"/>
      <c r="F39" s="897">
        <f>'1.8.3 RenPTLR'!E39</f>
        <v>13.245915735167671</v>
      </c>
      <c r="G39" s="897">
        <f>+'1.8.3 RenPTLR'!B39+'1.8.3 RenPTLR'!C39</f>
        <v>127.15055353340431</v>
      </c>
      <c r="H39" s="915"/>
      <c r="I39" s="915"/>
      <c r="J39" s="897">
        <f>'1.8.2 RenHLR'!H39+'1.8.2 RenHLR'!I39</f>
        <v>560.45446423115527</v>
      </c>
      <c r="K39" s="919">
        <f t="shared" si="0"/>
        <v>3172.9464701901038</v>
      </c>
    </row>
    <row r="40" spans="1:11" s="887" customFormat="1" ht="11.25" x14ac:dyDescent="0.45">
      <c r="A40" s="892">
        <v>1730</v>
      </c>
      <c r="B40" s="1196">
        <f>'1.3.1 CoalLR'!R40*Units!C$20*1000</f>
        <v>2520.547829825131</v>
      </c>
      <c r="C40" s="915"/>
      <c r="D40" s="915"/>
      <c r="E40" s="915"/>
      <c r="F40" s="897">
        <f>'1.8.3 RenPTLR'!E40</f>
        <v>13.284608770421324</v>
      </c>
      <c r="G40" s="897">
        <f>+'1.8.3 RenPTLR'!B40+'1.8.3 RenPTLR'!C40</f>
        <v>127.86410303496061</v>
      </c>
      <c r="H40" s="915"/>
      <c r="I40" s="915"/>
      <c r="J40" s="897">
        <f>'1.8.2 RenHLR'!H40+'1.8.2 RenHLR'!I40</f>
        <v>558.15716023046105</v>
      </c>
      <c r="K40" s="919">
        <f t="shared" si="0"/>
        <v>3219.8537018609741</v>
      </c>
    </row>
    <row r="41" spans="1:11" s="887" customFormat="1" ht="11.25" x14ac:dyDescent="0.45">
      <c r="A41" s="892">
        <v>1731</v>
      </c>
      <c r="B41" s="1196">
        <f>'1.3.1 CoalLR'!R41*Units!C$20*1000</f>
        <v>2527.7236188052898</v>
      </c>
      <c r="C41" s="915"/>
      <c r="D41" s="915"/>
      <c r="E41" s="915"/>
      <c r="F41" s="897">
        <f>'1.8.3 RenPTLR'!E41</f>
        <v>13.323301805674976</v>
      </c>
      <c r="G41" s="897">
        <f>+'1.8.3 RenPTLR'!B41+'1.8.3 RenPTLR'!C41</f>
        <v>128.57906074866489</v>
      </c>
      <c r="H41" s="915"/>
      <c r="I41" s="915"/>
      <c r="J41" s="897">
        <f>'1.8.2 RenHLR'!H41+'1.8.2 RenHLR'!I41</f>
        <v>556.33098795852175</v>
      </c>
      <c r="K41" s="919">
        <f t="shared" si="0"/>
        <v>3225.9569693181511</v>
      </c>
    </row>
    <row r="42" spans="1:11" s="887" customFormat="1" ht="11.25" x14ac:dyDescent="0.45">
      <c r="A42" s="892">
        <v>1732</v>
      </c>
      <c r="B42" s="1196">
        <f>'1.3.1 CoalLR'!R42*Units!C$20*1000</f>
        <v>2546.7905037085457</v>
      </c>
      <c r="C42" s="915"/>
      <c r="D42" s="915"/>
      <c r="E42" s="915"/>
      <c r="F42" s="897">
        <f>'1.8.3 RenPTLR'!E42</f>
        <v>13.361994840928633</v>
      </c>
      <c r="G42" s="897">
        <f>+'1.8.3 RenPTLR'!B42+'1.8.3 RenPTLR'!C42</f>
        <v>129.29543154106969</v>
      </c>
      <c r="H42" s="915"/>
      <c r="I42" s="915"/>
      <c r="J42" s="897">
        <f>'1.8.2 RenHLR'!H42+'1.8.2 RenHLR'!I42</f>
        <v>552.49389844729069</v>
      </c>
      <c r="K42" s="919">
        <f t="shared" si="0"/>
        <v>3241.9418285378347</v>
      </c>
    </row>
    <row r="43" spans="1:11" s="887" customFormat="1" ht="11.25" x14ac:dyDescent="0.45">
      <c r="A43" s="892">
        <v>1733</v>
      </c>
      <c r="B43" s="1196">
        <f>'1.3.1 CoalLR'!R43*Units!C$20*1000</f>
        <v>2576.5519036665428</v>
      </c>
      <c r="C43" s="915"/>
      <c r="D43" s="915"/>
      <c r="E43" s="915"/>
      <c r="F43" s="897">
        <f>'1.8.3 RenPTLR'!E43</f>
        <v>13.400687876182285</v>
      </c>
      <c r="G43" s="897">
        <f>+'1.8.3 RenPTLR'!B43+'1.8.3 RenPTLR'!C43</f>
        <v>130.01322029737898</v>
      </c>
      <c r="H43" s="915"/>
      <c r="I43" s="915"/>
      <c r="J43" s="897">
        <f>'1.8.2 RenHLR'!H43+'1.8.2 RenHLR'!I43</f>
        <v>550.08608290086772</v>
      </c>
      <c r="K43" s="919">
        <f t="shared" si="0"/>
        <v>3270.0518947409719</v>
      </c>
    </row>
    <row r="44" spans="1:11" s="887" customFormat="1" ht="11.25" x14ac:dyDescent="0.45">
      <c r="A44" s="892">
        <v>1734</v>
      </c>
      <c r="B44" s="1196">
        <f>'1.3.1 CoalLR'!R44*Units!C$20*1000</f>
        <v>2594.9019032273632</v>
      </c>
      <c r="C44" s="915"/>
      <c r="D44" s="915"/>
      <c r="E44" s="915"/>
      <c r="F44" s="897">
        <f>'1.8.3 RenPTLR'!E44</f>
        <v>13.439380911435943</v>
      </c>
      <c r="G44" s="897">
        <f>+'1.8.3 RenPTLR'!B44+'1.8.3 RenPTLR'!C44</f>
        <v>130.73243192151182</v>
      </c>
      <c r="H44" s="915"/>
      <c r="I44" s="915"/>
      <c r="J44" s="897">
        <f>'1.8.2 RenHLR'!H44+'1.8.2 RenHLR'!I44</f>
        <v>547.12074932299913</v>
      </c>
      <c r="K44" s="919">
        <f t="shared" si="0"/>
        <v>3286.1944653833098</v>
      </c>
    </row>
    <row r="45" spans="1:11" s="887" customFormat="1" ht="11.25" x14ac:dyDescent="0.45">
      <c r="A45" s="892">
        <v>1735</v>
      </c>
      <c r="B45" s="1196">
        <f>'1.3.1 CoalLR'!R45*Units!C$20*1000</f>
        <v>2619.1634586673849</v>
      </c>
      <c r="C45" s="915"/>
      <c r="D45" s="915"/>
      <c r="E45" s="915"/>
      <c r="F45" s="897">
        <f>'1.8.3 RenPTLR'!E45</f>
        <v>13.478073946689594</v>
      </c>
      <c r="G45" s="897">
        <f>+'1.8.3 RenPTLR'!B45+'1.8.3 RenPTLR'!C45</f>
        <v>131.45307133616527</v>
      </c>
      <c r="H45" s="915"/>
      <c r="I45" s="915"/>
      <c r="J45" s="897">
        <f>'1.8.2 RenHLR'!H45+'1.8.2 RenHLR'!I45</f>
        <v>545.2946812121146</v>
      </c>
      <c r="K45" s="919">
        <f t="shared" si="0"/>
        <v>3309.3892851623541</v>
      </c>
    </row>
    <row r="46" spans="1:11" s="887" customFormat="1" ht="11.25" x14ac:dyDescent="0.45">
      <c r="A46" s="892">
        <v>1736</v>
      </c>
      <c r="B46" s="1196">
        <f>'1.3.1 CoalLR'!R46*Units!C$20*1000</f>
        <v>2640.3735162509124</v>
      </c>
      <c r="C46" s="915"/>
      <c r="D46" s="915"/>
      <c r="E46" s="915"/>
      <c r="F46" s="897">
        <f>'1.8.3 RenPTLR'!E46</f>
        <v>13.516766981943247</v>
      </c>
      <c r="G46" s="897">
        <f>+'1.8.3 RenPTLR'!B46+'1.8.3 RenPTLR'!C46</f>
        <v>132.17514348287807</v>
      </c>
      <c r="H46" s="915"/>
      <c r="I46" s="915"/>
      <c r="J46" s="897">
        <f>'1.8.2 RenHLR'!H46+'1.8.2 RenHLR'!I46</f>
        <v>541.72641353899189</v>
      </c>
      <c r="K46" s="919">
        <f t="shared" si="0"/>
        <v>3327.7918402547257</v>
      </c>
    </row>
    <row r="47" spans="1:11" s="887" customFormat="1" ht="11.25" x14ac:dyDescent="0.45">
      <c r="A47" s="892">
        <v>1737</v>
      </c>
      <c r="B47" s="1196">
        <f>'1.3.1 CoalLR'!R47*Units!C$20*1000</f>
        <v>2671.6730584359916</v>
      </c>
      <c r="C47" s="915"/>
      <c r="D47" s="915"/>
      <c r="E47" s="915"/>
      <c r="F47" s="897">
        <f>'1.8.3 RenPTLR'!E47</f>
        <v>13.555460017196905</v>
      </c>
      <c r="G47" s="897">
        <f>+'1.8.3 RenPTLR'!B47+'1.8.3 RenPTLR'!C47</f>
        <v>135.78781722973807</v>
      </c>
      <c r="H47" s="915"/>
      <c r="I47" s="915"/>
      <c r="J47" s="897">
        <f>'1.8.2 RenHLR'!H47+'1.8.2 RenHLR'!I47</f>
        <v>539.41746276495712</v>
      </c>
      <c r="K47" s="919">
        <f t="shared" si="0"/>
        <v>3360.4337984478839</v>
      </c>
    </row>
    <row r="48" spans="1:11" s="887" customFormat="1" ht="11.25" x14ac:dyDescent="0.45">
      <c r="A48" s="892">
        <v>1738</v>
      </c>
      <c r="B48" s="1196">
        <f>'1.3.1 CoalLR'!R48*Units!C$20*1000</f>
        <v>2696.9300140247337</v>
      </c>
      <c r="C48" s="915"/>
      <c r="D48" s="915"/>
      <c r="E48" s="915"/>
      <c r="F48" s="897">
        <f>'1.8.3 RenPTLR'!E48</f>
        <v>13.594153052450558</v>
      </c>
      <c r="G48" s="897">
        <f>+'1.8.3 RenPTLR'!B48+'1.8.3 RenPTLR'!C48</f>
        <v>139.40749189232031</v>
      </c>
      <c r="H48" s="915"/>
      <c r="I48" s="915"/>
      <c r="J48" s="897">
        <f>'1.8.2 RenHLR'!H48+'1.8.2 RenHLR'!I48</f>
        <v>537.86737511444142</v>
      </c>
      <c r="K48" s="919">
        <f t="shared" si="0"/>
        <v>3387.799034083946</v>
      </c>
    </row>
    <row r="49" spans="1:11" s="887" customFormat="1" ht="11.25" x14ac:dyDescent="0.45">
      <c r="A49" s="892">
        <v>1739</v>
      </c>
      <c r="B49" s="1196">
        <f>'1.3.1 CoalLR'!R49*Units!C$20*1000</f>
        <v>2709.5707762564266</v>
      </c>
      <c r="C49" s="915"/>
      <c r="D49" s="915"/>
      <c r="E49" s="915"/>
      <c r="F49" s="897">
        <f>'1.8.3 RenPTLR'!E49</f>
        <v>13.632846087704214</v>
      </c>
      <c r="G49" s="897">
        <f>+'1.8.3 RenPTLR'!B49+'1.8.3 RenPTLR'!C49</f>
        <v>143.03419235142309</v>
      </c>
      <c r="H49" s="915"/>
      <c r="I49" s="915"/>
      <c r="J49" s="897">
        <f>'1.8.2 RenHLR'!H49+'1.8.2 RenHLR'!I49</f>
        <v>537.36500730222792</v>
      </c>
      <c r="K49" s="919">
        <f t="shared" si="0"/>
        <v>3403.6028219977816</v>
      </c>
    </row>
    <row r="50" spans="1:11" s="887" customFormat="1" ht="11.25" x14ac:dyDescent="0.45">
      <c r="A50" s="892">
        <v>1740</v>
      </c>
      <c r="B50" s="1196">
        <f>'1.3.1 CoalLR'!R50*Units!C$20*1000</f>
        <v>2720.943912841677</v>
      </c>
      <c r="C50" s="915"/>
      <c r="D50" s="915"/>
      <c r="E50" s="915"/>
      <c r="F50" s="897">
        <f>'1.8.3 RenPTLR'!E50</f>
        <v>13.671539122957865</v>
      </c>
      <c r="G50" s="897">
        <f>+'1.8.3 RenPTLR'!B50+'1.8.3 RenPTLR'!C50</f>
        <v>146.66794358742237</v>
      </c>
      <c r="H50" s="915"/>
      <c r="I50" s="915"/>
      <c r="J50" s="897">
        <f>'1.8.2 RenHLR'!H50+'1.8.2 RenHLR'!I50</f>
        <v>535.95919395259295</v>
      </c>
      <c r="K50" s="919">
        <f t="shared" si="0"/>
        <v>3417.2425895046504</v>
      </c>
    </row>
    <row r="51" spans="1:11" s="887" customFormat="1" ht="11.25" x14ac:dyDescent="0.45">
      <c r="A51" s="892">
        <v>1741</v>
      </c>
      <c r="B51" s="1196">
        <f>'1.3.1 CoalLR'!R51*Units!C$20*1000</f>
        <v>2768.0864679357501</v>
      </c>
      <c r="C51" s="915"/>
      <c r="D51" s="915"/>
      <c r="E51" s="915"/>
      <c r="F51" s="897">
        <f>'1.8.3 RenPTLR'!E51</f>
        <v>13.71023215821152</v>
      </c>
      <c r="G51" s="897">
        <f>+'1.8.3 RenPTLR'!B51+'1.8.3 RenPTLR'!C51</f>
        <v>150.30877068061812</v>
      </c>
      <c r="H51" s="915"/>
      <c r="I51" s="915"/>
      <c r="J51" s="897">
        <f>'1.8.2 RenHLR'!H51+'1.8.2 RenHLR'!I51</f>
        <v>533.63878664204458</v>
      </c>
      <c r="K51" s="919">
        <f t="shared" si="0"/>
        <v>3465.7442574166244</v>
      </c>
    </row>
    <row r="52" spans="1:11" s="887" customFormat="1" ht="11.25" x14ac:dyDescent="0.45">
      <c r="A52" s="892">
        <v>1742</v>
      </c>
      <c r="B52" s="1196">
        <f>'1.3.1 CoalLR'!R52*Units!C$20*1000</f>
        <v>2799.6190320492265</v>
      </c>
      <c r="C52" s="915"/>
      <c r="D52" s="915"/>
      <c r="E52" s="915"/>
      <c r="F52" s="897">
        <f>'1.8.3 RenPTLR'!E52</f>
        <v>13.748925193465176</v>
      </c>
      <c r="G52" s="897">
        <f>+'1.8.3 RenPTLR'!B52+'1.8.3 RenPTLR'!C52</f>
        <v>153.9566988115817</v>
      </c>
      <c r="H52" s="915"/>
      <c r="I52" s="915"/>
      <c r="J52" s="897">
        <f>'1.8.2 RenHLR'!H52+'1.8.2 RenHLR'!I52</f>
        <v>532.34155167890526</v>
      </c>
      <c r="K52" s="919">
        <f t="shared" si="0"/>
        <v>3499.6662077331785</v>
      </c>
    </row>
    <row r="53" spans="1:11" s="887" customFormat="1" ht="11.25" x14ac:dyDescent="0.45">
      <c r="A53" s="892">
        <v>1743</v>
      </c>
      <c r="B53" s="1196">
        <f>'1.3.1 CoalLR'!R53*Units!C$20*1000</f>
        <v>2812.5521718940477</v>
      </c>
      <c r="C53" s="915"/>
      <c r="D53" s="915"/>
      <c r="E53" s="915"/>
      <c r="F53" s="897">
        <f>'1.8.3 RenPTLR'!E53</f>
        <v>13.787618228718829</v>
      </c>
      <c r="G53" s="897">
        <f>+'1.8.3 RenPTLR'!B53+'1.8.3 RenPTLR'!C53</f>
        <v>157.6117532615043</v>
      </c>
      <c r="H53" s="915"/>
      <c r="I53" s="915"/>
      <c r="J53" s="897">
        <f>'1.8.2 RenHLR'!H53+'1.8.2 RenHLR'!I53</f>
        <v>529.65577433929866</v>
      </c>
      <c r="K53" s="919">
        <f t="shared" si="0"/>
        <v>3513.6073177235694</v>
      </c>
    </row>
    <row r="54" spans="1:11" s="887" customFormat="1" ht="11.25" x14ac:dyDescent="0.45">
      <c r="A54" s="892">
        <v>1744</v>
      </c>
      <c r="B54" s="1196">
        <f>'1.3.1 CoalLR'!R54*Units!C$20*1000</f>
        <v>2846.3123481629359</v>
      </c>
      <c r="C54" s="915"/>
      <c r="D54" s="915"/>
      <c r="E54" s="915"/>
      <c r="F54" s="897">
        <f>'1.8.3 RenPTLR'!E54</f>
        <v>13.826311263972483</v>
      </c>
      <c r="G54" s="897">
        <f>+'1.8.3 RenPTLR'!B54+'1.8.3 RenPTLR'!C54</f>
        <v>161.27395941254636</v>
      </c>
      <c r="H54" s="915"/>
      <c r="I54" s="915"/>
      <c r="J54" s="897">
        <f>'1.8.2 RenHLR'!H54+'1.8.2 RenHLR'!I54</f>
        <v>527.26678314813944</v>
      </c>
      <c r="K54" s="919">
        <f t="shared" si="0"/>
        <v>3548.6794019875942</v>
      </c>
    </row>
    <row r="55" spans="1:11" s="887" customFormat="1" ht="11.25" x14ac:dyDescent="0.45">
      <c r="A55" s="892">
        <v>1745</v>
      </c>
      <c r="B55" s="1196">
        <f>'1.3.1 CoalLR'!R55*Units!C$20*1000</f>
        <v>2869.23439324014</v>
      </c>
      <c r="C55" s="915"/>
      <c r="D55" s="915"/>
      <c r="E55" s="915"/>
      <c r="F55" s="897">
        <f>'1.8.3 RenPTLR'!E55</f>
        <v>13.86500429922614</v>
      </c>
      <c r="G55" s="897">
        <f>+'1.8.3 RenPTLR'!B55+'1.8.3 RenPTLR'!C55</f>
        <v>164.94334274818814</v>
      </c>
      <c r="H55" s="915"/>
      <c r="I55" s="915"/>
      <c r="J55" s="897">
        <f>'1.8.2 RenHLR'!H55+'1.8.2 RenHLR'!I55</f>
        <v>525.13586440579252</v>
      </c>
      <c r="K55" s="919">
        <f t="shared" si="0"/>
        <v>3573.1786046933466</v>
      </c>
    </row>
    <row r="56" spans="1:11" s="887" customFormat="1" ht="11.25" x14ac:dyDescent="0.45">
      <c r="A56" s="892">
        <v>1746</v>
      </c>
      <c r="B56" s="1196">
        <f>'1.3.1 CoalLR'!R56*Units!C$20*1000</f>
        <v>2889.0819888413812</v>
      </c>
      <c r="C56" s="915"/>
      <c r="D56" s="915"/>
      <c r="E56" s="915"/>
      <c r="F56" s="897">
        <f>'1.8.3 RenPTLR'!E56</f>
        <v>13.903697334479791</v>
      </c>
      <c r="G56" s="897">
        <f>+'1.8.3 RenPTLR'!B56+'1.8.3 RenPTLR'!C56</f>
        <v>168.61992885358126</v>
      </c>
      <c r="H56" s="915"/>
      <c r="I56" s="915"/>
      <c r="J56" s="897">
        <f>'1.8.2 RenHLR'!H56+'1.8.2 RenHLR'!I56</f>
        <v>524.00113380106313</v>
      </c>
      <c r="K56" s="919">
        <f t="shared" si="0"/>
        <v>3595.6067488305052</v>
      </c>
    </row>
    <row r="57" spans="1:11" s="887" customFormat="1" ht="11.25" x14ac:dyDescent="0.45">
      <c r="A57" s="892">
        <v>1747</v>
      </c>
      <c r="B57" s="1196">
        <f>'1.3.1 CoalLR'!R57*Units!C$20*1000</f>
        <v>2926.1643035808052</v>
      </c>
      <c r="C57" s="915"/>
      <c r="D57" s="915"/>
      <c r="E57" s="915"/>
      <c r="F57" s="897">
        <f>'1.8.3 RenPTLR'!E57</f>
        <v>13.942390369733447</v>
      </c>
      <c r="G57" s="897">
        <f>+'1.8.3 RenPTLR'!B57+'1.8.3 RenPTLR'!C57</f>
        <v>172.30374341590161</v>
      </c>
      <c r="H57" s="915"/>
      <c r="I57" s="915"/>
      <c r="J57" s="897">
        <f>'1.8.2 RenHLR'!H57+'1.8.2 RenHLR'!I57</f>
        <v>522.38122209599703</v>
      </c>
      <c r="K57" s="919">
        <f t="shared" si="0"/>
        <v>3634.7916594624371</v>
      </c>
    </row>
    <row r="58" spans="1:11" s="887" customFormat="1" ht="11.25" x14ac:dyDescent="0.45">
      <c r="A58" s="892">
        <v>1748</v>
      </c>
      <c r="B58" s="1196">
        <f>'1.3.1 CoalLR'!R58*Units!C$20*1000</f>
        <v>2935.672950462686</v>
      </c>
      <c r="C58" s="915"/>
      <c r="D58" s="915"/>
      <c r="E58" s="915"/>
      <c r="F58" s="897">
        <f>'1.8.3 RenPTLR'!E58</f>
        <v>13.981083404987102</v>
      </c>
      <c r="G58" s="897">
        <f>+'1.8.3 RenPTLR'!B58+'1.8.3 RenPTLR'!C58</f>
        <v>175.99481222470303</v>
      </c>
      <c r="H58" s="915"/>
      <c r="I58" s="915"/>
      <c r="J58" s="897">
        <f>'1.8.2 RenHLR'!H58+'1.8.2 RenHLR'!I58</f>
        <v>521.33129977910141</v>
      </c>
      <c r="K58" s="919">
        <f t="shared" si="0"/>
        <v>3646.9801458714774</v>
      </c>
    </row>
    <row r="59" spans="1:11" s="887" customFormat="1" ht="11.25" x14ac:dyDescent="0.45">
      <c r="A59" s="892">
        <v>1749</v>
      </c>
      <c r="B59" s="1196">
        <f>'1.3.1 CoalLR'!R59*Units!C$20*1000</f>
        <v>2945.6832322955524</v>
      </c>
      <c r="C59" s="915"/>
      <c r="D59" s="915"/>
      <c r="E59" s="915"/>
      <c r="F59" s="897">
        <f>'1.8.3 RenPTLR'!E59</f>
        <v>14.019776440240756</v>
      </c>
      <c r="G59" s="897">
        <f>+'1.8.3 RenPTLR'!B59+'1.8.3 RenPTLR'!C59</f>
        <v>179.69316117227203</v>
      </c>
      <c r="H59" s="915"/>
      <c r="I59" s="915"/>
      <c r="J59" s="897">
        <f>'1.8.2 RenHLR'!H59+'1.8.2 RenHLR'!I59</f>
        <v>518.91704769495982</v>
      </c>
      <c r="K59" s="919">
        <f t="shared" si="0"/>
        <v>3658.3132176030249</v>
      </c>
    </row>
    <row r="60" spans="1:11" s="887" customFormat="1" ht="11.25" x14ac:dyDescent="0.45">
      <c r="A60" s="892">
        <v>1750</v>
      </c>
      <c r="B60" s="918">
        <f>'1.3.1 CoalLR'!R60*Units!C$20*1000</f>
        <v>2976.5040590263388</v>
      </c>
      <c r="C60" s="915"/>
      <c r="D60" s="915"/>
      <c r="E60" s="915"/>
      <c r="F60" s="897">
        <f>'1.8.3 RenPTLR'!E60</f>
        <v>14.058469475494411</v>
      </c>
      <c r="G60" s="897">
        <f>+'1.8.3 RenPTLR'!B60+'1.8.3 RenPTLR'!C60</f>
        <v>183.39881625398411</v>
      </c>
      <c r="H60" s="915"/>
      <c r="I60" s="915"/>
      <c r="J60" s="897">
        <f>'1.8.2 RenHLR'!H60+'1.8.2 RenHLR'!I60</f>
        <v>516.29523921824102</v>
      </c>
      <c r="K60" s="919">
        <f t="shared" si="0"/>
        <v>3690.2565839740582</v>
      </c>
    </row>
    <row r="61" spans="1:11" s="887" customFormat="1" ht="11.25" x14ac:dyDescent="0.45">
      <c r="A61" s="892">
        <v>1751</v>
      </c>
      <c r="B61" s="1196">
        <f>'1.3.1 CoalLR'!R61*Units!C$20*1000</f>
        <v>3030.7012313921009</v>
      </c>
      <c r="C61" s="915"/>
      <c r="D61" s="915"/>
      <c r="E61" s="915"/>
      <c r="F61" s="897">
        <f>'1.8.3 RenPTLR'!E61</f>
        <v>14.097162510748063</v>
      </c>
      <c r="G61" s="897">
        <f>+'1.8.3 RenPTLR'!B61+'1.8.3 RenPTLR'!C61</f>
        <v>187.11180356866063</v>
      </c>
      <c r="H61" s="915"/>
      <c r="I61" s="915"/>
      <c r="J61" s="897">
        <f>'1.8.2 RenHLR'!H61+'1.8.2 RenHLR'!I61</f>
        <v>522.91029911285636</v>
      </c>
      <c r="K61" s="919">
        <f t="shared" si="0"/>
        <v>3754.8204965843661</v>
      </c>
    </row>
    <row r="62" spans="1:11" s="887" customFormat="1" ht="11.25" x14ac:dyDescent="0.45">
      <c r="A62" s="892">
        <v>1752</v>
      </c>
      <c r="B62" s="1196">
        <f>'1.3.1 CoalLR'!R62*Units!C$20*1000</f>
        <v>3124.8198028867027</v>
      </c>
      <c r="C62" s="915"/>
      <c r="D62" s="915"/>
      <c r="E62" s="915"/>
      <c r="F62" s="897">
        <f>'1.8.3 RenPTLR'!E62</f>
        <v>14.13585554600172</v>
      </c>
      <c r="G62" s="897">
        <f>+'1.8.3 RenPTLR'!B62+'1.8.3 RenPTLR'!C62</f>
        <v>190.83214931892684</v>
      </c>
      <c r="H62" s="915"/>
      <c r="I62" s="915"/>
      <c r="J62" s="897">
        <f>'1.8.2 RenHLR'!H62+'1.8.2 RenHLR'!I62</f>
        <v>528.32139535233546</v>
      </c>
      <c r="K62" s="919">
        <f t="shared" si="0"/>
        <v>3858.1092031039666</v>
      </c>
    </row>
    <row r="63" spans="1:11" s="887" customFormat="1" ht="11.25" x14ac:dyDescent="0.45">
      <c r="A63" s="892">
        <v>1753</v>
      </c>
      <c r="B63" s="1196">
        <f>'1.3.1 CoalLR'!R63*Units!C$20*1000</f>
        <v>3207.4794400399001</v>
      </c>
      <c r="C63" s="915"/>
      <c r="D63" s="915"/>
      <c r="E63" s="915"/>
      <c r="F63" s="897">
        <f>'1.8.3 RenPTLR'!E63</f>
        <v>14.174548581255372</v>
      </c>
      <c r="G63" s="897">
        <f>+'1.8.3 RenPTLR'!B63+'1.8.3 RenPTLR'!C63</f>
        <v>194.55987981157131</v>
      </c>
      <c r="H63" s="915"/>
      <c r="I63" s="915"/>
      <c r="J63" s="897">
        <f>'1.8.2 RenHLR'!H63+'1.8.2 RenHLR'!I63</f>
        <v>533.16994087426053</v>
      </c>
      <c r="K63" s="919">
        <f t="shared" si="0"/>
        <v>3949.3838093069871</v>
      </c>
    </row>
    <row r="64" spans="1:11" s="887" customFormat="1" ht="11.25" x14ac:dyDescent="0.45">
      <c r="A64" s="892">
        <v>1754</v>
      </c>
      <c r="B64" s="1196">
        <f>'1.3.1 CoalLR'!R64*Units!C$20*1000</f>
        <v>3301.378301006082</v>
      </c>
      <c r="C64" s="915"/>
      <c r="D64" s="915"/>
      <c r="E64" s="915"/>
      <c r="F64" s="897">
        <f>'1.8.3 RenPTLR'!E64</f>
        <v>14.213241616509027</v>
      </c>
      <c r="G64" s="897">
        <f>+'1.8.3 RenPTLR'!B64+'1.8.3 RenPTLR'!C64</f>
        <v>198.29502145790627</v>
      </c>
      <c r="H64" s="915"/>
      <c r="I64" s="915"/>
      <c r="J64" s="897">
        <f>'1.8.2 RenHLR'!H64+'1.8.2 RenHLR'!I64</f>
        <v>538.56462950925425</v>
      </c>
      <c r="K64" s="919">
        <f t="shared" si="0"/>
        <v>4052.4511935897517</v>
      </c>
    </row>
    <row r="65" spans="1:11" s="887" customFormat="1" ht="11.25" x14ac:dyDescent="0.45">
      <c r="A65" s="892">
        <v>1755</v>
      </c>
      <c r="B65" s="1196">
        <f>'1.3.1 CoalLR'!R65*Units!C$20*1000</f>
        <v>3390.9803284598784</v>
      </c>
      <c r="C65" s="915"/>
      <c r="D65" s="915"/>
      <c r="E65" s="915"/>
      <c r="F65" s="897">
        <f>'1.8.3 RenPTLR'!E65</f>
        <v>14.251934651762683</v>
      </c>
      <c r="G65" s="897">
        <f>+'1.8.3 RenPTLR'!B65+'1.8.3 RenPTLR'!C65</f>
        <v>202.03760077412909</v>
      </c>
      <c r="H65" s="915"/>
      <c r="I65" s="915"/>
      <c r="J65" s="897">
        <f>'1.8.2 RenHLR'!H65+'1.8.2 RenHLR'!I65</f>
        <v>544.7522292593228</v>
      </c>
      <c r="K65" s="919">
        <f t="shared" si="0"/>
        <v>4152.0220931450931</v>
      </c>
    </row>
    <row r="66" spans="1:11" s="887" customFormat="1" ht="11.25" x14ac:dyDescent="0.45">
      <c r="A66" s="892">
        <v>1756</v>
      </c>
      <c r="B66" s="1196">
        <f>'1.3.1 CoalLR'!R66*Units!C$20*1000</f>
        <v>3476.2819663957507</v>
      </c>
      <c r="C66" s="915"/>
      <c r="D66" s="915"/>
      <c r="E66" s="915"/>
      <c r="F66" s="897">
        <f>'1.8.3 RenPTLR'!E66</f>
        <v>14.290627687016334</v>
      </c>
      <c r="G66" s="897">
        <f>+'1.8.3 RenPTLR'!B66+'1.8.3 RenPTLR'!C66</f>
        <v>205.78764438168463</v>
      </c>
      <c r="H66" s="915"/>
      <c r="I66" s="915"/>
      <c r="J66" s="897">
        <f>'1.8.2 RenHLR'!H66+'1.8.2 RenHLR'!I66</f>
        <v>549.34931250231125</v>
      </c>
      <c r="K66" s="919">
        <f t="shared" si="0"/>
        <v>4245.7095509667624</v>
      </c>
    </row>
    <row r="67" spans="1:11" s="887" customFormat="1" ht="11.25" x14ac:dyDescent="0.45">
      <c r="A67" s="892">
        <v>1757</v>
      </c>
      <c r="B67" s="1196">
        <f>'1.3.1 CoalLR'!R67*Units!C$20*1000</f>
        <v>3575.7991968286087</v>
      </c>
      <c r="C67" s="915"/>
      <c r="D67" s="915"/>
      <c r="E67" s="915"/>
      <c r="F67" s="897">
        <f>'1.8.3 RenPTLR'!E67</f>
        <v>14.329320722269991</v>
      </c>
      <c r="G67" s="897">
        <f>+'1.8.3 RenPTLR'!B67+'1.8.3 RenPTLR'!C67</f>
        <v>209.54517900762926</v>
      </c>
      <c r="H67" s="915"/>
      <c r="I67" s="915"/>
      <c r="J67" s="897">
        <f>'1.8.2 RenHLR'!H67+'1.8.2 RenHLR'!I67</f>
        <v>555.12634877046855</v>
      </c>
      <c r="K67" s="919">
        <f t="shared" si="0"/>
        <v>4354.800045328976</v>
      </c>
    </row>
    <row r="68" spans="1:11" s="887" customFormat="1" ht="11.25" x14ac:dyDescent="0.45">
      <c r="A68" s="892">
        <v>1758</v>
      </c>
      <c r="B68" s="1196">
        <f>'1.3.1 CoalLR'!R68*Units!C$20*1000</f>
        <v>3659.0604323923803</v>
      </c>
      <c r="C68" s="915"/>
      <c r="D68" s="915"/>
      <c r="E68" s="915"/>
      <c r="F68" s="897">
        <f>'1.8.3 RenPTLR'!E68</f>
        <v>14.368013757523645</v>
      </c>
      <c r="G68" s="897">
        <f>+'1.8.3 RenPTLR'!B68+'1.8.3 RenPTLR'!C68</f>
        <v>213.31023148499543</v>
      </c>
      <c r="H68" s="915"/>
      <c r="I68" s="915"/>
      <c r="J68" s="897">
        <f>'1.8.2 RenHLR'!H68+'1.8.2 RenHLR'!I68</f>
        <v>559.64000618110958</v>
      </c>
      <c r="K68" s="919">
        <f t="shared" si="0"/>
        <v>4446.3786838160086</v>
      </c>
    </row>
    <row r="69" spans="1:11" s="887" customFormat="1" ht="11.25" x14ac:dyDescent="0.45">
      <c r="A69" s="892">
        <v>1759</v>
      </c>
      <c r="B69" s="1196">
        <f>'1.3.1 CoalLR'!R69*Units!C$20*1000</f>
        <v>3748.1658728333823</v>
      </c>
      <c r="C69" s="915"/>
      <c r="D69" s="915"/>
      <c r="E69" s="915"/>
      <c r="F69" s="897">
        <f>'1.8.3 RenPTLR'!E69</f>
        <v>14.406706792777298</v>
      </c>
      <c r="G69" s="897">
        <f>+'1.8.3 RenPTLR'!B69+'1.8.3 RenPTLR'!C69</f>
        <v>217.08282875315746</v>
      </c>
      <c r="H69" s="915"/>
      <c r="I69" s="915"/>
      <c r="J69" s="897">
        <f>'1.8.2 RenHLR'!H69+'1.8.2 RenHLR'!I69</f>
        <v>565.16520377855147</v>
      </c>
      <c r="K69" s="919">
        <f t="shared" si="0"/>
        <v>4544.8206121578687</v>
      </c>
    </row>
    <row r="70" spans="1:11" s="887" customFormat="1" ht="11.25" x14ac:dyDescent="0.45">
      <c r="A70" s="892">
        <v>1760</v>
      </c>
      <c r="B70" s="1196">
        <f>'1.3.1 CoalLR'!R70*Units!C$20*1000</f>
        <v>3832.3581573952392</v>
      </c>
      <c r="C70" s="915"/>
      <c r="D70" s="915"/>
      <c r="E70" s="915"/>
      <c r="F70" s="897">
        <f>'1.8.3 RenPTLR'!E70</f>
        <v>14.445399828030954</v>
      </c>
      <c r="G70" s="897">
        <f>+'1.8.3 RenPTLR'!B70+'1.8.3 RenPTLR'!C70</f>
        <v>220.86299785819674</v>
      </c>
      <c r="H70" s="915"/>
      <c r="I70" s="915"/>
      <c r="J70" s="897">
        <f>'1.8.2 RenHLR'!H70+'1.8.2 RenHLR'!I70</f>
        <v>569.13764706536335</v>
      </c>
      <c r="K70" s="919">
        <f t="shared" si="0"/>
        <v>4636.80420214683</v>
      </c>
    </row>
    <row r="71" spans="1:11" s="887" customFormat="1" ht="11.25" x14ac:dyDescent="0.45">
      <c r="A71" s="892">
        <v>1761</v>
      </c>
      <c r="B71" s="1196">
        <f>'1.3.1 CoalLR'!R71*Units!C$20*1000</f>
        <v>3893.1134970919998</v>
      </c>
      <c r="C71" s="915"/>
      <c r="D71" s="915"/>
      <c r="E71" s="915"/>
      <c r="F71" s="897">
        <f>'1.8.3 RenPTLR'!E71</f>
        <v>14.70335339638865</v>
      </c>
      <c r="G71" s="897">
        <f>+'1.8.3 RenPTLR'!B71+'1.8.3 RenPTLR'!C71</f>
        <v>223.99534560312131</v>
      </c>
      <c r="H71" s="915"/>
      <c r="I71" s="915"/>
      <c r="J71" s="897">
        <f>'1.8.2 RenHLR'!H71+'1.8.2 RenHLR'!I71</f>
        <v>570.54874916111987</v>
      </c>
      <c r="K71" s="919">
        <f t="shared" si="0"/>
        <v>4702.3609452526298</v>
      </c>
    </row>
    <row r="72" spans="1:11" s="887" customFormat="1" ht="11.25" x14ac:dyDescent="0.45">
      <c r="A72" s="892">
        <v>1762</v>
      </c>
      <c r="B72" s="1196">
        <f>'1.3.1 CoalLR'!R72*Units!C$20*1000</f>
        <v>3977.0254468659782</v>
      </c>
      <c r="C72" s="915"/>
      <c r="D72" s="915"/>
      <c r="E72" s="915"/>
      <c r="F72" s="897">
        <f>'1.8.3 RenPTLR'!E72</f>
        <v>14.961306964746344</v>
      </c>
      <c r="G72" s="897">
        <f>+'1.8.3 RenPTLR'!B72+'1.8.3 RenPTLR'!C72</f>
        <v>227.11320445235833</v>
      </c>
      <c r="H72" s="915"/>
      <c r="I72" s="915"/>
      <c r="J72" s="897">
        <f>'1.8.2 RenHLR'!H72+'1.8.2 RenHLR'!I72</f>
        <v>574.03281423066585</v>
      </c>
      <c r="K72" s="919">
        <f t="shared" si="0"/>
        <v>4793.1327725137489</v>
      </c>
    </row>
    <row r="73" spans="1:11" s="887" customFormat="1" ht="11.25" x14ac:dyDescent="0.45">
      <c r="A73" s="892">
        <v>1763</v>
      </c>
      <c r="B73" s="1196">
        <f>'1.3.1 CoalLR'!R73*Units!C$20*1000</f>
        <v>4052.426981626782</v>
      </c>
      <c r="C73" s="915"/>
      <c r="D73" s="915"/>
      <c r="E73" s="915"/>
      <c r="F73" s="897">
        <f>'1.8.3 RenPTLR'!E73</f>
        <v>15.219260533104039</v>
      </c>
      <c r="G73" s="897">
        <f>+'1.8.3 RenPTLR'!B73+'1.8.3 RenPTLR'!C73</f>
        <v>230.21654415488325</v>
      </c>
      <c r="H73" s="915"/>
      <c r="I73" s="915"/>
      <c r="J73" s="897">
        <f>'1.8.2 RenHLR'!H73+'1.8.2 RenHLR'!I73</f>
        <v>576.07129876327997</v>
      </c>
      <c r="K73" s="919">
        <f t="shared" si="0"/>
        <v>4873.9340850780491</v>
      </c>
    </row>
    <row r="74" spans="1:11" s="887" customFormat="1" ht="11.25" x14ac:dyDescent="0.45">
      <c r="A74" s="892">
        <v>1764</v>
      </c>
      <c r="B74" s="1196">
        <f>'1.3.1 CoalLR'!R74*Units!C$20*1000</f>
        <v>4127.6772761678158</v>
      </c>
      <c r="C74" s="915"/>
      <c r="D74" s="915"/>
      <c r="E74" s="915"/>
      <c r="F74" s="897">
        <f>'1.8.3 RenPTLR'!E74</f>
        <v>15.477214101461737</v>
      </c>
      <c r="G74" s="897">
        <f>+'1.8.3 RenPTLR'!B74+'1.8.3 RenPTLR'!C74</f>
        <v>233.3053344808342</v>
      </c>
      <c r="H74" s="915"/>
      <c r="I74" s="915"/>
      <c r="J74" s="897">
        <f>'1.8.2 RenHLR'!H74+'1.8.2 RenHLR'!I74</f>
        <v>579.2066142689971</v>
      </c>
      <c r="K74" s="919">
        <f t="shared" ref="K74:K137" si="1">SUM(B74:J74)</f>
        <v>4955.666439019109</v>
      </c>
    </row>
    <row r="75" spans="1:11" s="887" customFormat="1" ht="11.25" x14ac:dyDescent="0.45">
      <c r="A75" s="892">
        <v>1765</v>
      </c>
      <c r="B75" s="1196">
        <f>'1.3.1 CoalLR'!R75*Units!C$20*1000</f>
        <v>4154.3816049565121</v>
      </c>
      <c r="C75" s="915"/>
      <c r="D75" s="915"/>
      <c r="E75" s="915"/>
      <c r="F75" s="897">
        <f>'1.8.3 RenPTLR'!E75</f>
        <v>15.735167669819431</v>
      </c>
      <c r="G75" s="897">
        <f>+'1.8.3 RenPTLR'!B75+'1.8.3 RenPTLR'!C75</f>
        <v>236.37954522183017</v>
      </c>
      <c r="H75" s="915"/>
      <c r="I75" s="915"/>
      <c r="J75" s="897">
        <f>'1.8.2 RenHLR'!H75+'1.8.2 RenHLR'!I75</f>
        <v>582.12766046661693</v>
      </c>
      <c r="K75" s="919">
        <f t="shared" si="1"/>
        <v>4988.6239783147785</v>
      </c>
    </row>
    <row r="76" spans="1:11" s="887" customFormat="1" ht="11.25" x14ac:dyDescent="0.45">
      <c r="A76" s="892">
        <v>1766</v>
      </c>
      <c r="B76" s="1196">
        <f>'1.3.1 CoalLR'!R76*Units!C$20*1000</f>
        <v>4136.7170017943427</v>
      </c>
      <c r="C76" s="915"/>
      <c r="D76" s="915"/>
      <c r="E76" s="915"/>
      <c r="F76" s="897">
        <f>'1.8.3 RenPTLR'!E76</f>
        <v>15.993121238177126</v>
      </c>
      <c r="G76" s="897">
        <f>+'1.8.3 RenPTLR'!B76+'1.8.3 RenPTLR'!C76</f>
        <v>239.43914619129023</v>
      </c>
      <c r="H76" s="915"/>
      <c r="I76" s="915"/>
      <c r="J76" s="897">
        <f>'1.8.2 RenHLR'!H76+'1.8.2 RenHLR'!I76</f>
        <v>581.92392460594181</v>
      </c>
      <c r="K76" s="919">
        <f t="shared" si="1"/>
        <v>4974.0731938297513</v>
      </c>
    </row>
    <row r="77" spans="1:11" s="887" customFormat="1" ht="11.25" x14ac:dyDescent="0.45">
      <c r="A77" s="892">
        <v>1767</v>
      </c>
      <c r="B77" s="1196">
        <f>'1.3.1 CoalLR'!R77*Units!C$20*1000</f>
        <v>4230.0045753426211</v>
      </c>
      <c r="C77" s="915"/>
      <c r="D77" s="915"/>
      <c r="E77" s="915"/>
      <c r="F77" s="897">
        <f>'1.8.3 RenPTLR'!E77</f>
        <v>16.251074806534824</v>
      </c>
      <c r="G77" s="897">
        <f>+'1.8.3 RenPTLR'!B77+'1.8.3 RenPTLR'!C77</f>
        <v>242.4841072247541</v>
      </c>
      <c r="H77" s="915"/>
      <c r="I77" s="915"/>
      <c r="J77" s="897">
        <f>'1.8.2 RenHLR'!H77+'1.8.2 RenHLR'!I77</f>
        <v>583.44930718893511</v>
      </c>
      <c r="K77" s="919">
        <f t="shared" si="1"/>
        <v>5072.1890645628464</v>
      </c>
    </row>
    <row r="78" spans="1:11" s="887" customFormat="1" ht="11.25" x14ac:dyDescent="0.45">
      <c r="A78" s="892">
        <v>1768</v>
      </c>
      <c r="B78" s="1196">
        <f>'1.3.1 CoalLR'!R78*Units!C$20*1000</f>
        <v>4371.5113605099186</v>
      </c>
      <c r="C78" s="915"/>
      <c r="D78" s="915"/>
      <c r="E78" s="915"/>
      <c r="F78" s="897">
        <f>'1.8.3 RenPTLR'!E78</f>
        <v>16.50902837489252</v>
      </c>
      <c r="G78" s="897">
        <f>+'1.8.3 RenPTLR'!B78+'1.8.3 RenPTLR'!C78</f>
        <v>245.51439818020472</v>
      </c>
      <c r="H78" s="915"/>
      <c r="I78" s="915"/>
      <c r="J78" s="897">
        <f>'1.8.2 RenHLR'!H78+'1.8.2 RenHLR'!I78</f>
        <v>584.79972793132129</v>
      </c>
      <c r="K78" s="919">
        <f t="shared" si="1"/>
        <v>5218.334514996337</v>
      </c>
    </row>
    <row r="79" spans="1:11" s="887" customFormat="1" ht="11.25" x14ac:dyDescent="0.45">
      <c r="A79" s="892">
        <v>1769</v>
      </c>
      <c r="B79" s="1196">
        <f>'1.3.1 CoalLR'!R79*Units!C$20*1000</f>
        <v>4470.4260576968227</v>
      </c>
      <c r="C79" s="915"/>
      <c r="D79" s="915"/>
      <c r="E79" s="915"/>
      <c r="F79" s="897">
        <f>'1.8.3 RenPTLR'!E79</f>
        <v>16.766981943250215</v>
      </c>
      <c r="G79" s="897">
        <f>+'1.8.3 RenPTLR'!B79+'1.8.3 RenPTLR'!C79</f>
        <v>248.52998893839117</v>
      </c>
      <c r="H79" s="915"/>
      <c r="I79" s="915"/>
      <c r="J79" s="897">
        <f>'1.8.2 RenHLR'!H79+'1.8.2 RenHLR'!I79</f>
        <v>586.14684565050607</v>
      </c>
      <c r="K79" s="919">
        <f t="shared" si="1"/>
        <v>5321.8698742289707</v>
      </c>
    </row>
    <row r="80" spans="1:11" s="887" customFormat="1" ht="11.25" x14ac:dyDescent="0.45">
      <c r="A80" s="892">
        <v>1770</v>
      </c>
      <c r="B80" s="1196">
        <f>'1.3.1 CoalLR'!R80*Units!C$20*1000</f>
        <v>4582.8995718936321</v>
      </c>
      <c r="C80" s="915"/>
      <c r="D80" s="915"/>
      <c r="E80" s="915"/>
      <c r="F80" s="897">
        <f>'1.8.3 RenPTLR'!E80</f>
        <v>17.024935511607911</v>
      </c>
      <c r="G80" s="897">
        <f>+'1.8.3 RenPTLR'!B80+'1.8.3 RenPTLR'!C80</f>
        <v>251.53084940315355</v>
      </c>
      <c r="H80" s="915"/>
      <c r="I80" s="915"/>
      <c r="J80" s="897">
        <f>'1.8.2 RenHLR'!H80+'1.8.2 RenHLR'!I80</f>
        <v>587.31229013237669</v>
      </c>
      <c r="K80" s="919">
        <f t="shared" si="1"/>
        <v>5438.7676469407697</v>
      </c>
    </row>
    <row r="81" spans="1:11" s="887" customFormat="1" ht="11.25" x14ac:dyDescent="0.45">
      <c r="A81" s="892">
        <v>1771</v>
      </c>
      <c r="B81" s="1196">
        <f>'1.3.1 CoalLR'!R81*Units!C$20*1000</f>
        <v>4614.5358236264246</v>
      </c>
      <c r="C81" s="915"/>
      <c r="D81" s="915"/>
      <c r="E81" s="915"/>
      <c r="F81" s="897">
        <f>'1.8.3 RenPTLR'!E81</f>
        <v>17.282889079965607</v>
      </c>
      <c r="G81" s="897">
        <f>+'1.8.3 RenPTLR'!B81+'1.8.3 RenPTLR'!C81</f>
        <v>254.516949501749</v>
      </c>
      <c r="H81" s="915"/>
      <c r="I81" s="915"/>
      <c r="J81" s="897">
        <f>'1.8.2 RenHLR'!H81+'1.8.2 RenHLR'!I81</f>
        <v>588.02561002988705</v>
      </c>
      <c r="K81" s="919">
        <f t="shared" si="1"/>
        <v>5474.3612722380258</v>
      </c>
    </row>
    <row r="82" spans="1:11" s="887" customFormat="1" ht="11.25" x14ac:dyDescent="0.45">
      <c r="A82" s="892">
        <v>1772</v>
      </c>
      <c r="B82" s="1196">
        <f>'1.3.1 CoalLR'!R82*Units!C$20*1000</f>
        <v>4699.1484157468312</v>
      </c>
      <c r="C82" s="915"/>
      <c r="D82" s="915"/>
      <c r="E82" s="915"/>
      <c r="F82" s="897">
        <f>'1.8.3 RenPTLR'!E82</f>
        <v>17.540842648323299</v>
      </c>
      <c r="G82" s="897">
        <f>+'1.8.3 RenPTLR'!B82+'1.8.3 RenPTLR'!C82</f>
        <v>257.4882591851794</v>
      </c>
      <c r="H82" s="915"/>
      <c r="I82" s="915"/>
      <c r="J82" s="897">
        <f>'1.8.2 RenHLR'!H82+'1.8.2 RenHLR'!I82</f>
        <v>587.25985940517057</v>
      </c>
      <c r="K82" s="919">
        <f t="shared" si="1"/>
        <v>5561.4373769855047</v>
      </c>
    </row>
    <row r="83" spans="1:11" s="887" customFormat="1" ht="11.25" x14ac:dyDescent="0.45">
      <c r="A83" s="892">
        <v>1773</v>
      </c>
      <c r="B83" s="1196">
        <f>'1.3.1 CoalLR'!R83*Units!C$20*1000</f>
        <v>4794.9128200606501</v>
      </c>
      <c r="C83" s="915"/>
      <c r="D83" s="915"/>
      <c r="E83" s="915"/>
      <c r="F83" s="897">
        <f>'1.8.3 RenPTLR'!E83</f>
        <v>17.798796216680994</v>
      </c>
      <c r="G83" s="897">
        <f>+'1.8.3 RenPTLR'!B83+'1.8.3 RenPTLR'!C83</f>
        <v>260.44474842851952</v>
      </c>
      <c r="H83" s="915"/>
      <c r="I83" s="915"/>
      <c r="J83" s="897">
        <f>'1.8.2 RenHLR'!H83+'1.8.2 RenHLR'!I83</f>
        <v>586.22053304040708</v>
      </c>
      <c r="K83" s="919">
        <f t="shared" si="1"/>
        <v>5659.3768977462569</v>
      </c>
    </row>
    <row r="84" spans="1:11" s="887" customFormat="1" ht="11.25" x14ac:dyDescent="0.45">
      <c r="A84" s="892">
        <v>1774</v>
      </c>
      <c r="B84" s="1196">
        <f>'1.3.1 CoalLR'!R84*Units!C$20*1000</f>
        <v>4847.4587557903596</v>
      </c>
      <c r="C84" s="915"/>
      <c r="D84" s="915"/>
      <c r="E84" s="915"/>
      <c r="F84" s="897">
        <f>'1.8.3 RenPTLR'!E84</f>
        <v>18.05674978503869</v>
      </c>
      <c r="G84" s="897">
        <f>+'1.8.3 RenPTLR'!B84+'1.8.3 RenPTLR'!C84</f>
        <v>263.38638723124819</v>
      </c>
      <c r="H84" s="915"/>
      <c r="I84" s="915"/>
      <c r="J84" s="897">
        <f>'1.8.2 RenHLR'!H84+'1.8.2 RenHLR'!I84</f>
        <v>585.82677357898115</v>
      </c>
      <c r="K84" s="919">
        <f t="shared" si="1"/>
        <v>5714.7286663856285</v>
      </c>
    </row>
    <row r="85" spans="1:11" s="887" customFormat="1" ht="11.25" x14ac:dyDescent="0.45">
      <c r="A85" s="892">
        <v>1775</v>
      </c>
      <c r="B85" s="918">
        <f>'1.3.1 CoalLR'!R85*Units!C$20*1000</f>
        <v>4931.4558798663493</v>
      </c>
      <c r="C85" s="915"/>
      <c r="D85" s="915"/>
      <c r="E85" s="915"/>
      <c r="F85" s="897">
        <f>'1.8.3 RenPTLR'!E85</f>
        <v>18.314703353396386</v>
      </c>
      <c r="G85" s="897">
        <f>+'1.8.3 RenPTLR'!B85+'1.8.3 RenPTLR'!C85</f>
        <v>266.31314561757858</v>
      </c>
      <c r="H85" s="915"/>
      <c r="I85" s="915"/>
      <c r="J85" s="897">
        <f>'1.8.2 RenHLR'!H85+'1.8.2 RenHLR'!I85</f>
        <v>585.22516963168312</v>
      </c>
      <c r="K85" s="919">
        <f t="shared" si="1"/>
        <v>5801.3088984690075</v>
      </c>
    </row>
    <row r="86" spans="1:11" s="887" customFormat="1" ht="11.25" x14ac:dyDescent="0.45">
      <c r="A86" s="892">
        <v>1776</v>
      </c>
      <c r="B86" s="1196">
        <f>'1.3.1 CoalLR'!R86*Units!C$20*1000</f>
        <v>5063.5055954415984</v>
      </c>
      <c r="C86" s="915"/>
      <c r="D86" s="915"/>
      <c r="E86" s="915"/>
      <c r="F86" s="897">
        <f>'1.8.3 RenPTLR'!E86</f>
        <v>18.572656921754081</v>
      </c>
      <c r="G86" s="897">
        <f>+'1.8.3 RenPTLR'!B86+'1.8.3 RenPTLR'!C86</f>
        <v>269.22499363679259</v>
      </c>
      <c r="H86" s="915"/>
      <c r="I86" s="915"/>
      <c r="J86" s="897">
        <f>'1.8.2 RenHLR'!H86+'1.8.2 RenHLR'!I86</f>
        <v>584.73508837547183</v>
      </c>
      <c r="K86" s="919">
        <f t="shared" si="1"/>
        <v>5936.0383343756166</v>
      </c>
    </row>
    <row r="87" spans="1:11" s="887" customFormat="1" ht="11.25" x14ac:dyDescent="0.45">
      <c r="A87" s="892">
        <v>1777</v>
      </c>
      <c r="B87" s="1196">
        <f>'1.3.1 CoalLR'!R87*Units!C$20*1000</f>
        <v>5203.0968986243261</v>
      </c>
      <c r="C87" s="915"/>
      <c r="D87" s="915"/>
      <c r="E87" s="915"/>
      <c r="F87" s="897">
        <f>'1.8.3 RenPTLR'!E87</f>
        <v>18.830610490111777</v>
      </c>
      <c r="G87" s="897">
        <f>+'1.8.3 RenPTLR'!B87+'1.8.3 RenPTLR'!C87</f>
        <v>269.59962398480224</v>
      </c>
      <c r="H87" s="915"/>
      <c r="I87" s="915"/>
      <c r="J87" s="897">
        <f>'1.8.2 RenHLR'!H87+'1.8.2 RenHLR'!I87</f>
        <v>584.95401961510754</v>
      </c>
      <c r="K87" s="919">
        <f t="shared" si="1"/>
        <v>6076.4811527143474</v>
      </c>
    </row>
    <row r="88" spans="1:11" s="887" customFormat="1" ht="11.25" x14ac:dyDescent="0.45">
      <c r="A88" s="892">
        <v>1778</v>
      </c>
      <c r="B88" s="1196">
        <f>'1.3.1 CoalLR'!R88*Units!C$20*1000</f>
        <v>5383.6776874230172</v>
      </c>
      <c r="C88" s="915"/>
      <c r="D88" s="915"/>
      <c r="E88" s="915"/>
      <c r="F88" s="897">
        <f>'1.8.3 RenPTLR'!E88</f>
        <v>19.088564058469476</v>
      </c>
      <c r="G88" s="897">
        <f>+'1.8.3 RenPTLR'!B88+'1.8.3 RenPTLR'!C88</f>
        <v>269.96967570134552</v>
      </c>
      <c r="H88" s="915"/>
      <c r="I88" s="915"/>
      <c r="J88" s="897">
        <f>'1.8.2 RenHLR'!H88+'1.8.2 RenHLR'!I88</f>
        <v>583.61814035332407</v>
      </c>
      <c r="K88" s="919">
        <f t="shared" si="1"/>
        <v>6256.3540675361555</v>
      </c>
    </row>
    <row r="89" spans="1:11" s="887" customFormat="1" ht="11.25" x14ac:dyDescent="0.45">
      <c r="A89" s="892">
        <v>1779</v>
      </c>
      <c r="B89" s="1196">
        <f>'1.3.1 CoalLR'!R89*Units!C$20*1000</f>
        <v>5546.6948128979566</v>
      </c>
      <c r="C89" s="915"/>
      <c r="D89" s="915"/>
      <c r="E89" s="915"/>
      <c r="F89" s="897">
        <f>'1.8.3 RenPTLR'!E89</f>
        <v>19.346517626827172</v>
      </c>
      <c r="G89" s="897">
        <f>+'1.8.3 RenPTLR'!B89+'1.8.3 RenPTLR'!C89</f>
        <v>270.33514109710103</v>
      </c>
      <c r="H89" s="915"/>
      <c r="I89" s="915"/>
      <c r="J89" s="897">
        <f>'1.8.2 RenHLR'!H89+'1.8.2 RenHLR'!I89</f>
        <v>581.74649924898824</v>
      </c>
      <c r="K89" s="919">
        <f t="shared" si="1"/>
        <v>6418.1229708708734</v>
      </c>
    </row>
    <row r="90" spans="1:11" s="887" customFormat="1" ht="11.25" x14ac:dyDescent="0.45">
      <c r="A90" s="892">
        <v>1780</v>
      </c>
      <c r="B90" s="1196">
        <f>'1.3.1 CoalLR'!R90*Units!C$20*1000</f>
        <v>5685.5694005133555</v>
      </c>
      <c r="C90" s="915"/>
      <c r="D90" s="915"/>
      <c r="E90" s="915"/>
      <c r="F90" s="897">
        <f>'1.8.3 RenPTLR'!E90</f>
        <v>19.604471195184868</v>
      </c>
      <c r="G90" s="897">
        <f>+'1.8.3 RenPTLR'!B90+'1.8.3 RenPTLR'!C90</f>
        <v>270.69601249346715</v>
      </c>
      <c r="H90" s="915"/>
      <c r="I90" s="915"/>
      <c r="J90" s="897">
        <f>'1.8.2 RenHLR'!H90+'1.8.2 RenHLR'!I90</f>
        <v>579.3549232034037</v>
      </c>
      <c r="K90" s="919">
        <f t="shared" si="1"/>
        <v>6555.2248074054114</v>
      </c>
    </row>
    <row r="91" spans="1:11" s="887" customFormat="1" ht="11.25" x14ac:dyDescent="0.45">
      <c r="A91" s="892">
        <v>1781</v>
      </c>
      <c r="B91" s="1196">
        <f>'1.3.1 CoalLR'!R91*Units!C$20*1000</f>
        <v>5874.3724272838735</v>
      </c>
      <c r="C91" s="915"/>
      <c r="D91" s="915"/>
      <c r="E91" s="915"/>
      <c r="F91" s="897">
        <f>'1.8.3 RenPTLR'!E91</f>
        <v>19.862424763542563</v>
      </c>
      <c r="G91" s="897">
        <f>+'1.8.3 RenPTLR'!B91+'1.8.3 RenPTLR'!C91</f>
        <v>271.0522822226655</v>
      </c>
      <c r="H91" s="915"/>
      <c r="I91" s="915"/>
      <c r="J91" s="897">
        <f>'1.8.2 RenHLR'!H91+'1.8.2 RenHLR'!I91</f>
        <v>575.4223247587986</v>
      </c>
      <c r="K91" s="919">
        <f t="shared" si="1"/>
        <v>6740.7094590288807</v>
      </c>
    </row>
    <row r="92" spans="1:11" s="887" customFormat="1" ht="11.25" x14ac:dyDescent="0.45">
      <c r="A92" s="892">
        <v>1782</v>
      </c>
      <c r="B92" s="1196">
        <f>'1.3.1 CoalLR'!R92*Units!C$20*1000</f>
        <v>6013.3289067091482</v>
      </c>
      <c r="C92" s="915"/>
      <c r="D92" s="915"/>
      <c r="E92" s="915"/>
      <c r="F92" s="897">
        <f>'1.8.3 RenPTLR'!E92</f>
        <v>20.120378331900259</v>
      </c>
      <c r="G92" s="897">
        <f>+'1.8.3 RenPTLR'!B92+'1.8.3 RenPTLR'!C92</f>
        <v>271.40394262784559</v>
      </c>
      <c r="H92" s="915"/>
      <c r="I92" s="915"/>
      <c r="J92" s="897">
        <f>'1.8.2 RenHLR'!H92+'1.8.2 RenHLR'!I92</f>
        <v>573.93810880680348</v>
      </c>
      <c r="K92" s="919">
        <f t="shared" si="1"/>
        <v>6878.7913364756987</v>
      </c>
    </row>
    <row r="93" spans="1:11" s="887" customFormat="1" ht="11.25" x14ac:dyDescent="0.45">
      <c r="A93" s="892">
        <v>1783</v>
      </c>
      <c r="B93" s="1196">
        <f>'1.3.1 CoalLR'!R93*Units!C$20*1000</f>
        <v>6071.9629374898414</v>
      </c>
      <c r="C93" s="915"/>
      <c r="D93" s="915"/>
      <c r="E93" s="915"/>
      <c r="F93" s="897">
        <f>'1.8.3 RenPTLR'!E93</f>
        <v>20.378331900257951</v>
      </c>
      <c r="G93" s="897">
        <f>+'1.8.3 RenPTLR'!B93+'1.8.3 RenPTLR'!C93</f>
        <v>271.75098606318841</v>
      </c>
      <c r="H93" s="915"/>
      <c r="I93" s="915"/>
      <c r="J93" s="897">
        <f>'1.8.2 RenHLR'!H93+'1.8.2 RenHLR'!I93</f>
        <v>572.69560697608392</v>
      </c>
      <c r="K93" s="919">
        <f t="shared" si="1"/>
        <v>6936.7878624293708</v>
      </c>
    </row>
    <row r="94" spans="1:11" s="887" customFormat="1" ht="11.25" x14ac:dyDescent="0.45">
      <c r="A94" s="892">
        <v>1784</v>
      </c>
      <c r="B94" s="1196">
        <f>'1.3.1 CoalLR'!R94*Units!C$20*1000</f>
        <v>6218.7352320183954</v>
      </c>
      <c r="C94" s="915"/>
      <c r="D94" s="915"/>
      <c r="E94" s="915"/>
      <c r="F94" s="897">
        <f>'1.8.3 RenPTLR'!E94</f>
        <v>20.636285468615647</v>
      </c>
      <c r="G94" s="897">
        <f>+'1.8.3 RenPTLR'!B94+'1.8.3 RenPTLR'!C94</f>
        <v>272.09340489401171</v>
      </c>
      <c r="H94" s="915"/>
      <c r="I94" s="915"/>
      <c r="J94" s="897">
        <f>'1.8.2 RenHLR'!H94+'1.8.2 RenHLR'!I94</f>
        <v>569.14188064924667</v>
      </c>
      <c r="K94" s="919">
        <f t="shared" si="1"/>
        <v>7080.6068030302695</v>
      </c>
    </row>
    <row r="95" spans="1:11" s="887" customFormat="1" ht="11.25" x14ac:dyDescent="0.45">
      <c r="A95" s="892">
        <v>1785</v>
      </c>
      <c r="B95" s="1196">
        <f>'1.3.1 CoalLR'!R95*Units!C$20*1000</f>
        <v>6284.5707246375196</v>
      </c>
      <c r="C95" s="915"/>
      <c r="D95" s="915"/>
      <c r="E95" s="915"/>
      <c r="F95" s="897">
        <f>'1.8.3 RenPTLR'!E95</f>
        <v>20.894239036973342</v>
      </c>
      <c r="G95" s="897">
        <f>+'1.8.3 RenPTLR'!B95+'1.8.3 RenPTLR'!C95</f>
        <v>272.43119149687539</v>
      </c>
      <c r="H95" s="915"/>
      <c r="I95" s="915"/>
      <c r="J95" s="897">
        <f>'1.8.2 RenHLR'!H95+'1.8.2 RenHLR'!I95</f>
        <v>566.0996677306149</v>
      </c>
      <c r="K95" s="919">
        <f t="shared" si="1"/>
        <v>7143.995822901983</v>
      </c>
    </row>
    <row r="96" spans="1:11" s="887" customFormat="1" ht="11.25" x14ac:dyDescent="0.45">
      <c r="A96" s="892">
        <v>1786</v>
      </c>
      <c r="B96" s="1196">
        <f>'1.3.1 CoalLR'!R96*Units!C$20*1000</f>
        <v>6452.267395659298</v>
      </c>
      <c r="C96" s="915"/>
      <c r="D96" s="915"/>
      <c r="E96" s="915"/>
      <c r="F96" s="897">
        <f>'1.8.3 RenPTLR'!E96</f>
        <v>21.152192605331038</v>
      </c>
      <c r="G96" s="897">
        <f>+'1.8.3 RenPTLR'!B96+'1.8.3 RenPTLR'!C96</f>
        <v>272.76433825968707</v>
      </c>
      <c r="H96" s="915"/>
      <c r="I96" s="915"/>
      <c r="J96" s="897">
        <f>'1.8.2 RenHLR'!H96+'1.8.2 RenHLR'!I96</f>
        <v>562.92645269899958</v>
      </c>
      <c r="K96" s="919">
        <f t="shared" si="1"/>
        <v>7309.1103792233152</v>
      </c>
    </row>
    <row r="97" spans="1:11" s="887" customFormat="1" ht="11.25" x14ac:dyDescent="0.45">
      <c r="A97" s="892">
        <v>1787</v>
      </c>
      <c r="B97" s="1196">
        <f>'1.3.1 CoalLR'!R97*Units!C$20*1000</f>
        <v>6625.6334151374213</v>
      </c>
      <c r="C97" s="915"/>
      <c r="D97" s="915"/>
      <c r="E97" s="915"/>
      <c r="F97" s="897">
        <f>'1.8.3 RenPTLR'!E97</f>
        <v>21.410146173688734</v>
      </c>
      <c r="G97" s="897">
        <f>+'1.8.3 RenPTLR'!B97+'1.8.3 RenPTLR'!C97</f>
        <v>273.09283758180771</v>
      </c>
      <c r="H97" s="915"/>
      <c r="I97" s="915"/>
      <c r="J97" s="897">
        <f>'1.8.2 RenHLR'!H97+'1.8.2 RenHLR'!I97</f>
        <v>559.44145002297819</v>
      </c>
      <c r="K97" s="919">
        <f t="shared" si="1"/>
        <v>7479.5778489158965</v>
      </c>
    </row>
    <row r="98" spans="1:11" s="887" customFormat="1" ht="11.25" x14ac:dyDescent="0.45">
      <c r="A98" s="892">
        <v>1788</v>
      </c>
      <c r="B98" s="1196">
        <f>'1.3.1 CoalLR'!R98*Units!C$20*1000</f>
        <v>6675.6192303849712</v>
      </c>
      <c r="C98" s="915"/>
      <c r="D98" s="915"/>
      <c r="E98" s="915"/>
      <c r="F98" s="897">
        <f>'1.8.3 RenPTLR'!E98</f>
        <v>21.668099742046429</v>
      </c>
      <c r="G98" s="897">
        <f>+'1.8.3 RenPTLR'!B98+'1.8.3 RenPTLR'!C98</f>
        <v>273.416681874159</v>
      </c>
      <c r="H98" s="915"/>
      <c r="I98" s="915"/>
      <c r="J98" s="897">
        <f>'1.8.2 RenHLR'!H98+'1.8.2 RenHLR'!I98</f>
        <v>555.9469841611824</v>
      </c>
      <c r="K98" s="919">
        <f t="shared" si="1"/>
        <v>7526.6509961623588</v>
      </c>
    </row>
    <row r="99" spans="1:11" s="887" customFormat="1" ht="11.25" x14ac:dyDescent="0.45">
      <c r="A99" s="892">
        <v>1789</v>
      </c>
      <c r="B99" s="1196">
        <f>'1.3.1 CoalLR'!R99*Units!C$20*1000</f>
        <v>6834.606837229866</v>
      </c>
      <c r="C99" s="915"/>
      <c r="D99" s="915"/>
      <c r="E99" s="915"/>
      <c r="F99" s="897">
        <f>'1.8.3 RenPTLR'!E99</f>
        <v>21.926053310404129</v>
      </c>
      <c r="G99" s="897">
        <f>+'1.8.3 RenPTLR'!B99+'1.8.3 RenPTLR'!C99</f>
        <v>279.21094389703984</v>
      </c>
      <c r="H99" s="915"/>
      <c r="I99" s="915"/>
      <c r="J99" s="897">
        <f>'1.8.2 RenHLR'!H99+'1.8.2 RenHLR'!I99</f>
        <v>551.39405642750864</v>
      </c>
      <c r="K99" s="919">
        <f t="shared" si="1"/>
        <v>7687.1378908648194</v>
      </c>
    </row>
    <row r="100" spans="1:11" s="887" customFormat="1" ht="11.25" x14ac:dyDescent="0.45">
      <c r="A100" s="892">
        <v>1790</v>
      </c>
      <c r="B100" s="1196">
        <f>'1.3.1 CoalLR'!R100*Units!C$20*1000</f>
        <v>6963.9875629998623</v>
      </c>
      <c r="C100" s="915"/>
      <c r="D100" s="915"/>
      <c r="E100" s="915"/>
      <c r="F100" s="897">
        <f>'1.8.3 RenPTLR'!E100</f>
        <v>22.184006878761824</v>
      </c>
      <c r="G100" s="897">
        <f>+'1.8.3 RenPTLR'!B100+'1.8.3 RenPTLR'!C100</f>
        <v>294.51613331179828</v>
      </c>
      <c r="H100" s="915"/>
      <c r="I100" s="915"/>
      <c r="J100" s="897">
        <f>'1.8.2 RenHLR'!H100+'1.8.2 RenHLR'!I100</f>
        <v>546.68763162438381</v>
      </c>
      <c r="K100" s="919">
        <f t="shared" si="1"/>
        <v>7827.3753348148057</v>
      </c>
    </row>
    <row r="101" spans="1:11" s="887" customFormat="1" ht="11.25" x14ac:dyDescent="0.45">
      <c r="A101" s="892">
        <v>1791</v>
      </c>
      <c r="B101" s="1196">
        <f>'1.3.1 CoalLR'!R101*Units!C$20*1000</f>
        <v>7089.4396252287224</v>
      </c>
      <c r="C101" s="915"/>
      <c r="D101" s="915"/>
      <c r="E101" s="915"/>
      <c r="F101" s="897">
        <f>'1.8.3 RenPTLR'!E101</f>
        <v>22.44196044711952</v>
      </c>
      <c r="G101" s="897">
        <f>+'1.8.3 RenPTLR'!B101+'1.8.3 RenPTLR'!C101</f>
        <v>300.65642324122337</v>
      </c>
      <c r="H101" s="915"/>
      <c r="I101" s="915"/>
      <c r="J101" s="897">
        <f>'1.8.2 RenHLR'!H101+'1.8.2 RenHLR'!I101</f>
        <v>542.58080556333232</v>
      </c>
      <c r="K101" s="919">
        <f t="shared" si="1"/>
        <v>7955.1188144803973</v>
      </c>
    </row>
    <row r="102" spans="1:11" s="887" customFormat="1" ht="11.25" x14ac:dyDescent="0.45">
      <c r="A102" s="892">
        <v>1792</v>
      </c>
      <c r="B102" s="1196">
        <f>'1.3.1 CoalLR'!R102*Units!C$20*1000</f>
        <v>7209.7575620749731</v>
      </c>
      <c r="C102" s="915"/>
      <c r="D102" s="915"/>
      <c r="E102" s="915"/>
      <c r="F102" s="897">
        <f>'1.8.3 RenPTLR'!E102</f>
        <v>22.699914015477216</v>
      </c>
      <c r="G102" s="897">
        <f>+'1.8.3 RenPTLR'!B102+'1.8.3 RenPTLR'!C102</f>
        <v>304.65588568643477</v>
      </c>
      <c r="H102" s="915"/>
      <c r="I102" s="915"/>
      <c r="J102" s="897">
        <f>'1.8.2 RenHLR'!H102+'1.8.2 RenHLR'!I102</f>
        <v>538.99529499867378</v>
      </c>
      <c r="K102" s="919">
        <f t="shared" si="1"/>
        <v>8076.1086567755592</v>
      </c>
    </row>
    <row r="103" spans="1:11" s="887" customFormat="1" ht="11.25" x14ac:dyDescent="0.45">
      <c r="A103" s="892">
        <v>1793</v>
      </c>
      <c r="B103" s="1196">
        <f>'1.3.1 CoalLR'!R103*Units!C$20*1000</f>
        <v>7337.4759664443018</v>
      </c>
      <c r="C103" s="915"/>
      <c r="D103" s="915"/>
      <c r="E103" s="915"/>
      <c r="F103" s="897">
        <f>'1.8.3 RenPTLR'!E103</f>
        <v>22.957867583834911</v>
      </c>
      <c r="G103" s="897">
        <f>+'1.8.3 RenPTLR'!B103+'1.8.3 RenPTLR'!C103</f>
        <v>307.3706401837909</v>
      </c>
      <c r="H103" s="915"/>
      <c r="I103" s="915"/>
      <c r="J103" s="897">
        <f>'1.8.2 RenHLR'!H103+'1.8.2 RenHLR'!I103</f>
        <v>535.55398956156557</v>
      </c>
      <c r="K103" s="919">
        <f t="shared" si="1"/>
        <v>8203.358463773493</v>
      </c>
    </row>
    <row r="104" spans="1:11" s="887" customFormat="1" ht="11.25" x14ac:dyDescent="0.45">
      <c r="A104" s="892">
        <v>1794</v>
      </c>
      <c r="B104" s="1196">
        <f>'1.3.1 CoalLR'!R104*Units!C$20*1000</f>
        <v>7528.1424678064968</v>
      </c>
      <c r="C104" s="915"/>
      <c r="D104" s="915"/>
      <c r="E104" s="915"/>
      <c r="F104" s="897">
        <f>'1.8.3 RenPTLR'!E104</f>
        <v>23.215821152192607</v>
      </c>
      <c r="G104" s="897">
        <f>+'1.8.3 RenPTLR'!B104+'1.8.3 RenPTLR'!C104</f>
        <v>307.33786760112343</v>
      </c>
      <c r="H104" s="915"/>
      <c r="I104" s="915"/>
      <c r="J104" s="897">
        <f>'1.8.2 RenHLR'!H104+'1.8.2 RenHLR'!I104</f>
        <v>531.51301790301818</v>
      </c>
      <c r="K104" s="919">
        <f t="shared" si="1"/>
        <v>8390.2091744628306</v>
      </c>
    </row>
    <row r="105" spans="1:11" s="887" customFormat="1" ht="11.25" x14ac:dyDescent="0.45">
      <c r="A105" s="892">
        <v>1795</v>
      </c>
      <c r="B105" s="1196">
        <f>'1.3.1 CoalLR'!R105*Units!C$20*1000</f>
        <v>7722.6020096974189</v>
      </c>
      <c r="C105" s="915"/>
      <c r="D105" s="915"/>
      <c r="E105" s="915"/>
      <c r="F105" s="897">
        <f>'1.8.3 RenPTLR'!E105</f>
        <v>23.473774720550303</v>
      </c>
      <c r="G105" s="897">
        <f>+'1.8.3 RenPTLR'!B105+'1.8.3 RenPTLR'!C105</f>
        <v>300.38168508452742</v>
      </c>
      <c r="H105" s="915"/>
      <c r="I105" s="915"/>
      <c r="J105" s="897">
        <f>'1.8.2 RenHLR'!H105+'1.8.2 RenHLR'!I105</f>
        <v>526.93164106327617</v>
      </c>
      <c r="K105" s="919">
        <f t="shared" si="1"/>
        <v>8573.3891105657731</v>
      </c>
    </row>
    <row r="106" spans="1:11" s="887" customFormat="1" ht="11.25" x14ac:dyDescent="0.45">
      <c r="A106" s="892">
        <v>1796</v>
      </c>
      <c r="B106" s="1196">
        <f>'1.3.1 CoalLR'!R106*Units!C$20*1000</f>
        <v>7816.8935748963077</v>
      </c>
      <c r="C106" s="915"/>
      <c r="D106" s="915"/>
      <c r="E106" s="915"/>
      <c r="F106" s="897">
        <f>'1.8.3 RenPTLR'!E106</f>
        <v>23.731728288907995</v>
      </c>
      <c r="G106" s="897">
        <f>+'1.8.3 RenPTLR'!B106+'1.8.3 RenPTLR'!C106</f>
        <v>286.12919334312539</v>
      </c>
      <c r="H106" s="915"/>
      <c r="I106" s="915"/>
      <c r="J106" s="897">
        <f>'1.8.2 RenHLR'!H106+'1.8.2 RenHLR'!I106</f>
        <v>522.16702663909632</v>
      </c>
      <c r="K106" s="919">
        <f t="shared" si="1"/>
        <v>8648.921523167437</v>
      </c>
    </row>
    <row r="107" spans="1:11" s="887" customFormat="1" ht="11.25" x14ac:dyDescent="0.45">
      <c r="A107" s="892">
        <v>1797</v>
      </c>
      <c r="B107" s="1196">
        <f>'1.3.1 CoalLR'!R107*Units!C$20*1000</f>
        <v>8002.1753262683596</v>
      </c>
      <c r="C107" s="915"/>
      <c r="D107" s="915"/>
      <c r="E107" s="915"/>
      <c r="F107" s="897">
        <f>'1.8.3 RenPTLR'!E107</f>
        <v>23.98968185726569</v>
      </c>
      <c r="G107" s="897">
        <f>+'1.8.3 RenPTLR'!B107+'1.8.3 RenPTLR'!C107</f>
        <v>304.92102146778592</v>
      </c>
      <c r="H107" s="915"/>
      <c r="I107" s="915"/>
      <c r="J107" s="897">
        <f>'1.8.2 RenHLR'!H107+'1.8.2 RenHLR'!I107</f>
        <v>516.17530443273279</v>
      </c>
      <c r="K107" s="919">
        <f t="shared" si="1"/>
        <v>8847.2613340261432</v>
      </c>
    </row>
    <row r="108" spans="1:11" s="887" customFormat="1" ht="11.25" x14ac:dyDescent="0.45">
      <c r="A108" s="892">
        <v>1798</v>
      </c>
      <c r="B108" s="1196">
        <f>'1.3.1 CoalLR'!R108*Units!C$20*1000</f>
        <v>8141.6280512622252</v>
      </c>
      <c r="C108" s="915"/>
      <c r="D108" s="915"/>
      <c r="E108" s="915"/>
      <c r="F108" s="897">
        <f>'1.8.3 RenPTLR'!E108</f>
        <v>24.247635425623383</v>
      </c>
      <c r="G108" s="897">
        <f>+'1.8.3 RenPTLR'!B108+'1.8.3 RenPTLR'!C108</f>
        <v>312.5859188095846</v>
      </c>
      <c r="H108" s="915"/>
      <c r="I108" s="915"/>
      <c r="J108" s="897">
        <f>'1.8.2 RenHLR'!H108+'1.8.2 RenHLR'!I108</f>
        <v>509.7794070237145</v>
      </c>
      <c r="K108" s="919">
        <f t="shared" si="1"/>
        <v>8988.2410125211463</v>
      </c>
    </row>
    <row r="109" spans="1:11" s="887" customFormat="1" ht="11.25" x14ac:dyDescent="0.45">
      <c r="A109" s="892">
        <v>1799</v>
      </c>
      <c r="B109" s="1196">
        <f>'1.3.1 CoalLR'!R109*Units!C$20*1000</f>
        <v>8271.0830540517782</v>
      </c>
      <c r="C109" s="915"/>
      <c r="D109" s="915"/>
      <c r="E109" s="915"/>
      <c r="F109" s="897">
        <f>'1.8.3 RenPTLR'!E109</f>
        <v>24.505588993981078</v>
      </c>
      <c r="G109" s="897">
        <f>+'1.8.3 RenPTLR'!B109+'1.8.3 RenPTLR'!C109</f>
        <v>323.74627877619099</v>
      </c>
      <c r="H109" s="915"/>
      <c r="I109" s="915"/>
      <c r="J109" s="897">
        <f>'1.8.2 RenHLR'!H109+'1.8.2 RenHLR'!I109</f>
        <v>505.0977651852574</v>
      </c>
      <c r="K109" s="919">
        <f t="shared" si="1"/>
        <v>9124.4326870072073</v>
      </c>
    </row>
    <row r="110" spans="1:11" s="887" customFormat="1" ht="11.25" x14ac:dyDescent="0.45">
      <c r="A110" s="892">
        <v>1800</v>
      </c>
      <c r="B110" s="918">
        <f>'1.3.1 CoalLR'!R110*Units!C$20*1000</f>
        <v>8377.9811833111144</v>
      </c>
      <c r="C110" s="915"/>
      <c r="D110" s="915"/>
      <c r="E110" s="915"/>
      <c r="F110" s="897">
        <f>'1.8.3 RenPTLR'!E110</f>
        <v>24.763542562338777</v>
      </c>
      <c r="G110" s="897">
        <f>+'1.8.3 RenPTLR'!B110+'1.8.3 RenPTLR'!C110</f>
        <v>353.72464863740242</v>
      </c>
      <c r="H110" s="915"/>
      <c r="I110" s="915"/>
      <c r="J110" s="897">
        <f>'1.8.2 RenHLR'!H110+'1.8.2 RenHLR'!I110</f>
        <v>500.36414838020016</v>
      </c>
      <c r="K110" s="919">
        <f t="shared" si="1"/>
        <v>9256.8335228910564</v>
      </c>
    </row>
    <row r="111" spans="1:11" s="887" customFormat="1" ht="11.25" x14ac:dyDescent="0.45">
      <c r="A111" s="892">
        <v>1801</v>
      </c>
      <c r="B111" s="1196">
        <f>'1.3.1 CoalLR'!R111*Units!C$20*1000</f>
        <v>8712.9011780114579</v>
      </c>
      <c r="C111" s="915"/>
      <c r="D111" s="915"/>
      <c r="E111" s="915"/>
      <c r="F111" s="897">
        <f>'1.8.3 RenPTLR'!E111</f>
        <v>24.783662940670677</v>
      </c>
      <c r="G111" s="897">
        <f>+'1.8.3 RenPTLR'!B111+'1.8.3 RenPTLR'!C111</f>
        <v>373.23068902224139</v>
      </c>
      <c r="H111" s="915"/>
      <c r="I111" s="915"/>
      <c r="J111" s="897">
        <f>'1.8.2 RenHLR'!H111+'1.8.2 RenHLR'!I111</f>
        <v>511.88742299191438</v>
      </c>
      <c r="K111" s="919">
        <f t="shared" si="1"/>
        <v>9622.8029529662836</v>
      </c>
    </row>
    <row r="112" spans="1:11" s="887" customFormat="1" ht="11.25" x14ac:dyDescent="0.45">
      <c r="A112" s="892">
        <v>1802</v>
      </c>
      <c r="B112" s="1196">
        <f>'1.3.1 CoalLR'!R112*Units!C$20*1000</f>
        <v>8964.3002432283101</v>
      </c>
      <c r="C112" s="915"/>
      <c r="D112" s="915"/>
      <c r="E112" s="915"/>
      <c r="F112" s="897">
        <f>'1.8.3 RenPTLR'!E112</f>
        <v>24.803783319002576</v>
      </c>
      <c r="G112" s="897">
        <f>+'1.8.3 RenPTLR'!B112+'1.8.3 RenPTLR'!C112</f>
        <v>393.88343544710392</v>
      </c>
      <c r="H112" s="915"/>
      <c r="I112" s="915"/>
      <c r="J112" s="897">
        <f>'1.8.2 RenHLR'!H112+'1.8.2 RenHLR'!I112</f>
        <v>521.95225229072958</v>
      </c>
      <c r="K112" s="919">
        <f t="shared" si="1"/>
        <v>9904.9397142851467</v>
      </c>
    </row>
    <row r="113" spans="1:11" s="887" customFormat="1" ht="11.25" x14ac:dyDescent="0.45">
      <c r="A113" s="892">
        <v>1803</v>
      </c>
      <c r="B113" s="1196">
        <f>'1.3.1 CoalLR'!R113*Units!C$20*1000</f>
        <v>9260.606215946711</v>
      </c>
      <c r="C113" s="915"/>
      <c r="D113" s="915"/>
      <c r="E113" s="915"/>
      <c r="F113" s="897">
        <f>'1.8.3 RenPTLR'!E113</f>
        <v>24.82390369733448</v>
      </c>
      <c r="G113" s="897">
        <f>+'1.8.3 RenPTLR'!B113+'1.8.3 RenPTLR'!C113</f>
        <v>410.52460652536843</v>
      </c>
      <c r="H113" s="915"/>
      <c r="I113" s="915"/>
      <c r="J113" s="897">
        <f>'1.8.2 RenHLR'!H113+'1.8.2 RenHLR'!I113</f>
        <v>531.57205393933668</v>
      </c>
      <c r="K113" s="919">
        <f t="shared" si="1"/>
        <v>10227.52678010875</v>
      </c>
    </row>
    <row r="114" spans="1:11" s="887" customFormat="1" ht="11.25" x14ac:dyDescent="0.45">
      <c r="A114" s="892">
        <v>1804</v>
      </c>
      <c r="B114" s="1196">
        <f>'1.3.1 CoalLR'!R114*Units!C$20*1000</f>
        <v>9556.9981528522767</v>
      </c>
      <c r="C114" s="915"/>
      <c r="D114" s="915"/>
      <c r="E114" s="915"/>
      <c r="F114" s="897">
        <f>'1.8.3 RenPTLR'!E114</f>
        <v>24.844024075666372</v>
      </c>
      <c r="G114" s="897">
        <f>+'1.8.3 RenPTLR'!B114+'1.8.3 RenPTLR'!C114</f>
        <v>428.31862907923585</v>
      </c>
      <c r="H114" s="915"/>
      <c r="I114" s="915"/>
      <c r="J114" s="897">
        <f>'1.8.2 RenHLR'!H114+'1.8.2 RenHLR'!I114</f>
        <v>540.79439708434882</v>
      </c>
      <c r="K114" s="919">
        <f t="shared" si="1"/>
        <v>10550.955203091527</v>
      </c>
    </row>
    <row r="115" spans="1:11" s="887" customFormat="1" ht="11.25" x14ac:dyDescent="0.45">
      <c r="A115" s="892">
        <v>1805</v>
      </c>
      <c r="B115" s="1196">
        <f>'1.3.1 CoalLR'!R115*Units!C$20*1000</f>
        <v>9855.8498680951325</v>
      </c>
      <c r="C115" s="915"/>
      <c r="D115" s="915"/>
      <c r="E115" s="915"/>
      <c r="F115" s="897">
        <f>'1.8.3 RenPTLR'!E115</f>
        <v>24.864144453998279</v>
      </c>
      <c r="G115" s="897">
        <f>+'1.8.3 RenPTLR'!B115+'1.8.3 RenPTLR'!C115</f>
        <v>430.64724698794686</v>
      </c>
      <c r="H115" s="915"/>
      <c r="I115" s="915"/>
      <c r="J115" s="897">
        <f>'1.8.2 RenHLR'!H115+'1.8.2 RenHLR'!I115</f>
        <v>548.63791902432752</v>
      </c>
      <c r="K115" s="919">
        <f t="shared" si="1"/>
        <v>10859.999178561406</v>
      </c>
    </row>
    <row r="116" spans="1:11" s="887" customFormat="1" ht="11.25" x14ac:dyDescent="0.45">
      <c r="A116" s="892">
        <v>1806</v>
      </c>
      <c r="B116" s="1196">
        <f>'1.3.1 CoalLR'!R116*Units!C$20*1000</f>
        <v>10126.677246613535</v>
      </c>
      <c r="C116" s="915"/>
      <c r="D116" s="915"/>
      <c r="E116" s="915"/>
      <c r="F116" s="897">
        <f>'1.8.3 RenPTLR'!E116</f>
        <v>24.884264832330174</v>
      </c>
      <c r="G116" s="897">
        <f>+'1.8.3 RenPTLR'!B116+'1.8.3 RenPTLR'!C116</f>
        <v>427.02647429059857</v>
      </c>
      <c r="H116" s="915"/>
      <c r="I116" s="915"/>
      <c r="J116" s="897">
        <f>'1.8.2 RenHLR'!H116+'1.8.2 RenHLR'!I116</f>
        <v>555.4303416209724</v>
      </c>
      <c r="K116" s="919">
        <f t="shared" si="1"/>
        <v>11134.018327357437</v>
      </c>
    </row>
    <row r="117" spans="1:11" s="887" customFormat="1" ht="11.25" x14ac:dyDescent="0.45">
      <c r="A117" s="892">
        <v>1807</v>
      </c>
      <c r="B117" s="1196">
        <f>'1.3.1 CoalLR'!R117*Units!C$20*1000</f>
        <v>10476.996917003646</v>
      </c>
      <c r="C117" s="915"/>
      <c r="D117" s="915"/>
      <c r="E117" s="915"/>
      <c r="F117" s="897">
        <f>'1.8.3 RenPTLR'!E117</f>
        <v>24.90438521066207</v>
      </c>
      <c r="G117" s="897">
        <f>+'1.8.3 RenPTLR'!B117+'1.8.3 RenPTLR'!C117</f>
        <v>429.54026784036432</v>
      </c>
      <c r="H117" s="915"/>
      <c r="I117" s="915"/>
      <c r="J117" s="897">
        <f>'1.8.2 RenHLR'!H117+'1.8.2 RenHLR'!I117</f>
        <v>561.41137332565313</v>
      </c>
      <c r="K117" s="919">
        <f t="shared" si="1"/>
        <v>11492.852943380325</v>
      </c>
    </row>
    <row r="118" spans="1:11" s="887" customFormat="1" ht="11.25" x14ac:dyDescent="0.45">
      <c r="A118" s="892">
        <v>1808</v>
      </c>
      <c r="B118" s="1196">
        <f>'1.3.1 CoalLR'!R118*Units!C$20*1000</f>
        <v>10735.932859921284</v>
      </c>
      <c r="C118" s="915"/>
      <c r="D118" s="915"/>
      <c r="E118" s="915"/>
      <c r="F118" s="897">
        <f>'1.8.3 RenPTLR'!E118</f>
        <v>24.924505588993974</v>
      </c>
      <c r="G118" s="897">
        <f>+'1.8.3 RenPTLR'!B118+'1.8.3 RenPTLR'!C118</f>
        <v>435.29535870453799</v>
      </c>
      <c r="H118" s="915"/>
      <c r="I118" s="915"/>
      <c r="J118" s="897">
        <f>'1.8.2 RenHLR'!H118+'1.8.2 RenHLR'!I118</f>
        <v>565.95878386295044</v>
      </c>
      <c r="K118" s="919">
        <f t="shared" si="1"/>
        <v>11762.111508077765</v>
      </c>
    </row>
    <row r="119" spans="1:11" s="887" customFormat="1" ht="11.25" x14ac:dyDescent="0.45">
      <c r="A119" s="892">
        <v>1809</v>
      </c>
      <c r="B119" s="1196">
        <f>'1.3.1 CoalLR'!R119*Units!C$20*1000</f>
        <v>11010.129428001323</v>
      </c>
      <c r="C119" s="915"/>
      <c r="D119" s="915"/>
      <c r="E119" s="915"/>
      <c r="F119" s="897">
        <f>'1.8.3 RenPTLR'!E119</f>
        <v>24.944625967325873</v>
      </c>
      <c r="G119" s="897">
        <f>+'1.8.3 RenPTLR'!B119+'1.8.3 RenPTLR'!C119</f>
        <v>441.8309729026343</v>
      </c>
      <c r="H119" s="915"/>
      <c r="I119" s="915"/>
      <c r="J119" s="897">
        <f>'1.8.2 RenHLR'!H119+'1.8.2 RenHLR'!I119</f>
        <v>569.59657508280486</v>
      </c>
      <c r="K119" s="919">
        <f t="shared" si="1"/>
        <v>12046.501601954089</v>
      </c>
    </row>
    <row r="120" spans="1:11" s="887" customFormat="1" ht="11.25" x14ac:dyDescent="0.45">
      <c r="A120" s="892">
        <v>1810</v>
      </c>
      <c r="B120" s="1196">
        <f>'1.3.1 CoalLR'!R120*Units!C$20*1000</f>
        <v>11283.711997279714</v>
      </c>
      <c r="C120" s="915"/>
      <c r="D120" s="915"/>
      <c r="E120" s="915"/>
      <c r="F120" s="897">
        <f>'1.8.3 RenPTLR'!E120</f>
        <v>24.964746345657773</v>
      </c>
      <c r="G120" s="897">
        <f>+'1.8.3 RenPTLR'!B120+'1.8.3 RenPTLR'!C120</f>
        <v>449.74957854604179</v>
      </c>
      <c r="H120" s="915"/>
      <c r="I120" s="915"/>
      <c r="J120" s="897">
        <f>'1.8.2 RenHLR'!H120+'1.8.2 RenHLR'!I120</f>
        <v>573.27208002561122</v>
      </c>
      <c r="K120" s="919">
        <f t="shared" si="1"/>
        <v>12331.698402197026</v>
      </c>
    </row>
    <row r="121" spans="1:11" s="887" customFormat="1" ht="11.25" x14ac:dyDescent="0.45">
      <c r="A121" s="892">
        <v>1811</v>
      </c>
      <c r="B121" s="1196">
        <f>'1.3.1 CoalLR'!R121*Units!C$20*1000</f>
        <v>11556.661578102796</v>
      </c>
      <c r="C121" s="915"/>
      <c r="D121" s="915"/>
      <c r="E121" s="915"/>
      <c r="F121" s="897">
        <f>'1.8.3 RenPTLR'!E121</f>
        <v>24.984866723989672</v>
      </c>
      <c r="G121" s="897">
        <f>+'1.8.3 RenPTLR'!B121+'1.8.3 RenPTLR'!C121</f>
        <v>456.00750100878304</v>
      </c>
      <c r="H121" s="915"/>
      <c r="I121" s="915"/>
      <c r="J121" s="897">
        <f>'1.8.2 RenHLR'!H121+'1.8.2 RenHLR'!I121</f>
        <v>575.92403893675703</v>
      </c>
      <c r="K121" s="919">
        <f t="shared" si="1"/>
        <v>12613.577984772326</v>
      </c>
    </row>
    <row r="122" spans="1:11" s="887" customFormat="1" ht="11.25" x14ac:dyDescent="0.45">
      <c r="A122" s="892">
        <v>1812</v>
      </c>
      <c r="B122" s="1196">
        <f>'1.3.1 CoalLR'!R122*Units!C$20*1000</f>
        <v>11828.958593508039</v>
      </c>
      <c r="C122" s="915"/>
      <c r="D122" s="915"/>
      <c r="E122" s="915"/>
      <c r="F122" s="897">
        <f>'1.8.3 RenPTLR'!E122</f>
        <v>25.004987102321572</v>
      </c>
      <c r="G122" s="897">
        <f>+'1.8.3 RenPTLR'!B122+'1.8.3 RenPTLR'!C122</f>
        <v>458.19459480939867</v>
      </c>
      <c r="H122" s="915"/>
      <c r="I122" s="915"/>
      <c r="J122" s="897">
        <f>'1.8.2 RenHLR'!H122+'1.8.2 RenHLR'!I122</f>
        <v>577.32061273838053</v>
      </c>
      <c r="K122" s="919">
        <f t="shared" si="1"/>
        <v>12889.47878815814</v>
      </c>
    </row>
    <row r="123" spans="1:11" s="887" customFormat="1" ht="11.25" x14ac:dyDescent="0.45">
      <c r="A123" s="892">
        <v>1813</v>
      </c>
      <c r="B123" s="1196">
        <f>'1.3.1 CoalLR'!R123*Units!C$20*1000</f>
        <v>12100.582861059833</v>
      </c>
      <c r="C123" s="915"/>
      <c r="D123" s="915"/>
      <c r="E123" s="915"/>
      <c r="F123" s="897">
        <f>'1.8.3 RenPTLR'!E123</f>
        <v>25.025107480653471</v>
      </c>
      <c r="G123" s="897">
        <f>+'1.8.3 RenPTLR'!B123+'1.8.3 RenPTLR'!C123</f>
        <v>474.45679852597925</v>
      </c>
      <c r="H123" s="915"/>
      <c r="I123" s="915"/>
      <c r="J123" s="897">
        <f>'1.8.2 RenHLR'!H123+'1.8.2 RenHLR'!I123</f>
        <v>576.9057684226068</v>
      </c>
      <c r="K123" s="919">
        <f t="shared" si="1"/>
        <v>13176.970535489072</v>
      </c>
    </row>
    <row r="124" spans="1:11" s="887" customFormat="1" ht="11.25" x14ac:dyDescent="0.45">
      <c r="A124" s="892">
        <v>1814</v>
      </c>
      <c r="B124" s="1196">
        <f>'1.3.1 CoalLR'!R124*Units!C$20*1000</f>
        <v>12371.513574123539</v>
      </c>
      <c r="C124" s="915"/>
      <c r="D124" s="915"/>
      <c r="E124" s="915"/>
      <c r="F124" s="897">
        <f>'1.8.3 RenPTLR'!E124</f>
        <v>25.045227858985374</v>
      </c>
      <c r="G124" s="897">
        <f>+'1.8.3 RenPTLR'!B124+'1.8.3 RenPTLR'!C124</f>
        <v>486.41891150776598</v>
      </c>
      <c r="H124" s="915"/>
      <c r="I124" s="915"/>
      <c r="J124" s="897">
        <f>'1.8.2 RenHLR'!H124+'1.8.2 RenHLR'!I124</f>
        <v>576.07176475368578</v>
      </c>
      <c r="K124" s="919">
        <f t="shared" si="1"/>
        <v>13459.049478243976</v>
      </c>
    </row>
    <row r="125" spans="1:11" s="887" customFormat="1" ht="11.25" x14ac:dyDescent="0.45">
      <c r="A125" s="892">
        <v>1815</v>
      </c>
      <c r="B125" s="1196">
        <f>'1.3.1 CoalLR'!R125*Units!C$20*1000</f>
        <v>12641.729282560349</v>
      </c>
      <c r="C125" s="915"/>
      <c r="D125" s="915"/>
      <c r="E125" s="915"/>
      <c r="F125" s="897">
        <f>'1.8.3 RenPTLR'!E125</f>
        <v>25.06534823731727</v>
      </c>
      <c r="G125" s="897">
        <f>+'1.8.3 RenPTLR'!B125+'1.8.3 RenPTLR'!C125</f>
        <v>497.91744823103971</v>
      </c>
      <c r="H125" s="915"/>
      <c r="I125" s="915"/>
      <c r="J125" s="897">
        <f>'1.8.2 RenHLR'!H125+'1.8.2 RenHLR'!I125</f>
        <v>574.80199936701615</v>
      </c>
      <c r="K125" s="919">
        <f t="shared" si="1"/>
        <v>13739.514078395723</v>
      </c>
    </row>
    <row r="126" spans="1:11" s="887" customFormat="1" ht="11.25" x14ac:dyDescent="0.45">
      <c r="A126" s="892">
        <v>1816</v>
      </c>
      <c r="B126" s="1196">
        <f>'1.3.1 CoalLR'!R126*Units!C$20*1000</f>
        <v>12911.207872825104</v>
      </c>
      <c r="C126" s="915"/>
      <c r="D126" s="915"/>
      <c r="E126" s="915"/>
      <c r="F126" s="897">
        <f>'1.8.3 RenPTLR'!E126</f>
        <v>25.085468615649166</v>
      </c>
      <c r="G126" s="897">
        <f>+'1.8.3 RenPTLR'!B126+'1.8.3 RenPTLR'!C126</f>
        <v>501.95891080967453</v>
      </c>
      <c r="H126" s="915"/>
      <c r="I126" s="915"/>
      <c r="J126" s="897">
        <f>'1.8.2 RenHLR'!H126+'1.8.2 RenHLR'!I126</f>
        <v>572.17210353301277</v>
      </c>
      <c r="K126" s="919">
        <f t="shared" si="1"/>
        <v>14010.42435578344</v>
      </c>
    </row>
    <row r="127" spans="1:11" s="887" customFormat="1" ht="11.25" x14ac:dyDescent="0.45">
      <c r="A127" s="892">
        <v>1817</v>
      </c>
      <c r="B127" s="1196">
        <f>'1.3.1 CoalLR'!R127*Units!C$20*1000</f>
        <v>13182.191719448558</v>
      </c>
      <c r="C127" s="915"/>
      <c r="D127" s="915"/>
      <c r="E127" s="915"/>
      <c r="F127" s="897">
        <f>'1.8.3 RenPTLR'!E127</f>
        <v>25.105588993981073</v>
      </c>
      <c r="G127" s="897">
        <f>+'1.8.3 RenPTLR'!B127+'1.8.3 RenPTLR'!C127</f>
        <v>484.2376050299161</v>
      </c>
      <c r="H127" s="915"/>
      <c r="I127" s="915"/>
      <c r="J127" s="897">
        <f>'1.8.2 RenHLR'!H127+'1.8.2 RenHLR'!I127</f>
        <v>564.95467591043837</v>
      </c>
      <c r="K127" s="919">
        <f t="shared" si="1"/>
        <v>14256.489589382893</v>
      </c>
    </row>
    <row r="128" spans="1:11" s="887" customFormat="1" ht="11.25" x14ac:dyDescent="0.45">
      <c r="A128" s="892">
        <v>1818</v>
      </c>
      <c r="B128" s="1196">
        <f>'1.3.1 CoalLR'!R128*Units!C$20*1000</f>
        <v>13450.002515885109</v>
      </c>
      <c r="C128" s="915"/>
      <c r="D128" s="915"/>
      <c r="E128" s="915"/>
      <c r="F128" s="897">
        <f>'1.8.3 RenPTLR'!E128</f>
        <v>25.125709372312965</v>
      </c>
      <c r="G128" s="897">
        <f>+'1.8.3 RenPTLR'!B128+'1.8.3 RenPTLR'!C128</f>
        <v>489.07414711855813</v>
      </c>
      <c r="H128" s="915"/>
      <c r="I128" s="915"/>
      <c r="J128" s="897">
        <f>'1.8.2 RenHLR'!H128+'1.8.2 RenHLR'!I128</f>
        <v>557.89801774544435</v>
      </c>
      <c r="K128" s="919">
        <f t="shared" si="1"/>
        <v>14522.100390121424</v>
      </c>
    </row>
    <row r="129" spans="1:11" s="887" customFormat="1" ht="11.25" x14ac:dyDescent="0.45">
      <c r="A129" s="892">
        <v>1819</v>
      </c>
      <c r="B129" s="1196">
        <f>'1.3.1 CoalLR'!R129*Units!C$20*1000</f>
        <v>13748.668288706298</v>
      </c>
      <c r="C129" s="915"/>
      <c r="D129" s="915"/>
      <c r="E129" s="915"/>
      <c r="F129" s="897">
        <f>'1.8.3 RenPTLR'!E129</f>
        <v>25.145829750644868</v>
      </c>
      <c r="G129" s="897">
        <f>+'1.8.3 RenPTLR'!B129+'1.8.3 RenPTLR'!C129</f>
        <v>487.72814326281406</v>
      </c>
      <c r="H129" s="915"/>
      <c r="I129" s="915"/>
      <c r="J129" s="897">
        <f>'1.8.2 RenHLR'!H129+'1.8.2 RenHLR'!I129</f>
        <v>549.72401634850496</v>
      </c>
      <c r="K129" s="919">
        <f t="shared" si="1"/>
        <v>14811.266278068262</v>
      </c>
    </row>
    <row r="130" spans="1:11" s="887" customFormat="1" ht="11.25" x14ac:dyDescent="0.45">
      <c r="A130" s="892">
        <v>1820</v>
      </c>
      <c r="B130" s="1196">
        <f>'1.3.1 CoalLR'!R130*Units!C$20*1000</f>
        <v>14018.423259119896</v>
      </c>
      <c r="C130" s="915"/>
      <c r="D130" s="915"/>
      <c r="E130" s="915"/>
      <c r="F130" s="897">
        <f>'1.8.3 RenPTLR'!E130</f>
        <v>25.165950128976768</v>
      </c>
      <c r="G130" s="897">
        <f>+'1.8.3 RenPTLR'!B130+'1.8.3 RenPTLR'!C130</f>
        <v>484.00563424528002</v>
      </c>
      <c r="H130" s="915"/>
      <c r="I130" s="915"/>
      <c r="J130" s="897">
        <f>'1.8.2 RenHLR'!H130+'1.8.2 RenHLR'!I130</f>
        <v>541.71411917585613</v>
      </c>
      <c r="K130" s="919">
        <f t="shared" si="1"/>
        <v>15069.308962670009</v>
      </c>
    </row>
    <row r="131" spans="1:11" s="887" customFormat="1" ht="11.25" x14ac:dyDescent="0.45">
      <c r="A131" s="892">
        <v>1821</v>
      </c>
      <c r="B131" s="1196">
        <f>'1.3.1 CoalLR'!R131*Units!C$20*1000</f>
        <v>14287.917259793707</v>
      </c>
      <c r="C131" s="915"/>
      <c r="D131" s="915"/>
      <c r="E131" s="915"/>
      <c r="F131" s="897">
        <f>'1.8.3 RenPTLR'!E131</f>
        <v>25.186070507308667</v>
      </c>
      <c r="G131" s="897">
        <f>+'1.8.3 RenPTLR'!B131+'1.8.3 RenPTLR'!C131</f>
        <v>465.87512364453335</v>
      </c>
      <c r="H131" s="915"/>
      <c r="I131" s="915"/>
      <c r="J131" s="897">
        <f>'1.8.2 RenHLR'!H131+'1.8.2 RenHLR'!I131</f>
        <v>533.08116632462293</v>
      </c>
      <c r="K131" s="919">
        <f t="shared" si="1"/>
        <v>15312.059620270171</v>
      </c>
    </row>
    <row r="132" spans="1:11" s="887" customFormat="1" ht="11.25" x14ac:dyDescent="0.45">
      <c r="A132" s="892">
        <v>1822</v>
      </c>
      <c r="B132" s="1196">
        <f>'1.3.1 CoalLR'!R132*Units!C$20*1000</f>
        <v>14549.357438962586</v>
      </c>
      <c r="C132" s="915"/>
      <c r="D132" s="915"/>
      <c r="E132" s="915"/>
      <c r="F132" s="897">
        <f>'1.8.3 RenPTLR'!E132</f>
        <v>25.206190885640563</v>
      </c>
      <c r="G132" s="897">
        <f>+'1.8.3 RenPTLR'!B132+'1.8.3 RenPTLR'!C132</f>
        <v>456.29787083931757</v>
      </c>
      <c r="H132" s="915"/>
      <c r="I132" s="915"/>
      <c r="J132" s="897">
        <f>'1.8.2 RenHLR'!H132+'1.8.2 RenHLR'!I132</f>
        <v>523.66133029416505</v>
      </c>
      <c r="K132" s="919">
        <f t="shared" si="1"/>
        <v>15554.52283098171</v>
      </c>
    </row>
    <row r="133" spans="1:11" s="887" customFormat="1" ht="11.25" x14ac:dyDescent="0.45">
      <c r="A133" s="892">
        <v>1823</v>
      </c>
      <c r="B133" s="1196">
        <f>'1.3.1 CoalLR'!R133*Units!C$20*1000</f>
        <v>14843.93757979648</v>
      </c>
      <c r="C133" s="915"/>
      <c r="D133" s="915"/>
      <c r="E133" s="915"/>
      <c r="F133" s="897">
        <f>'1.8.3 RenPTLR'!E133</f>
        <v>25.226311263972466</v>
      </c>
      <c r="G133" s="897">
        <f>+'1.8.3 RenPTLR'!B133+'1.8.3 RenPTLR'!C133</f>
        <v>452.46057755886807</v>
      </c>
      <c r="H133" s="915"/>
      <c r="I133" s="915"/>
      <c r="J133" s="897">
        <f>'1.8.2 RenHLR'!H133+'1.8.2 RenHLR'!I133</f>
        <v>513.64752467724861</v>
      </c>
      <c r="K133" s="919">
        <f t="shared" si="1"/>
        <v>15835.271993296568</v>
      </c>
    </row>
    <row r="134" spans="1:11" s="887" customFormat="1" ht="11.25" x14ac:dyDescent="0.45">
      <c r="A134" s="892">
        <v>1824</v>
      </c>
      <c r="B134" s="1196">
        <f>'1.3.1 CoalLR'!R134*Units!C$20*1000</f>
        <v>15101.13532300668</v>
      </c>
      <c r="C134" s="915"/>
      <c r="D134" s="915"/>
      <c r="E134" s="915"/>
      <c r="F134" s="897">
        <f>'1.8.3 RenPTLR'!E134</f>
        <v>25.246431642304369</v>
      </c>
      <c r="G134" s="897">
        <f>+'1.8.3 RenPTLR'!B134+'1.8.3 RenPTLR'!C134</f>
        <v>460.20437421934503</v>
      </c>
      <c r="H134" s="915"/>
      <c r="I134" s="915"/>
      <c r="J134" s="897">
        <f>'1.8.2 RenHLR'!H134+'1.8.2 RenHLR'!I134</f>
        <v>503.01135300744653</v>
      </c>
      <c r="K134" s="919">
        <f t="shared" si="1"/>
        <v>16089.597481875777</v>
      </c>
    </row>
    <row r="135" spans="1:11" s="887" customFormat="1" ht="11.25" x14ac:dyDescent="0.45">
      <c r="A135" s="892">
        <v>1825</v>
      </c>
      <c r="B135" s="1196">
        <f>'1.3.1 CoalLR'!R135*Units!C$20*1000</f>
        <v>15355.571244666678</v>
      </c>
      <c r="C135" s="915"/>
      <c r="D135" s="915"/>
      <c r="E135" s="915"/>
      <c r="F135" s="897">
        <f>'1.8.3 RenPTLR'!E135</f>
        <v>25.266552020636265</v>
      </c>
      <c r="G135" s="897">
        <f>+'1.8.3 RenPTLR'!B135+'1.8.3 RenPTLR'!C135</f>
        <v>454.211084847221</v>
      </c>
      <c r="H135" s="915"/>
      <c r="I135" s="915"/>
      <c r="J135" s="897">
        <f>'1.8.2 RenHLR'!H135+'1.8.2 RenHLR'!I135</f>
        <v>491.68679743012638</v>
      </c>
      <c r="K135" s="919">
        <f t="shared" si="1"/>
        <v>16326.73567896466</v>
      </c>
    </row>
    <row r="136" spans="1:11" s="887" customFormat="1" ht="11.25" x14ac:dyDescent="0.45">
      <c r="A136" s="892">
        <v>1826</v>
      </c>
      <c r="B136" s="1196">
        <f>'1.3.1 CoalLR'!R136*Units!C$20*1000</f>
        <v>15606.617949223382</v>
      </c>
      <c r="C136" s="915"/>
      <c r="D136" s="915"/>
      <c r="E136" s="915"/>
      <c r="F136" s="897">
        <f>'1.8.3 RenPTLR'!E136</f>
        <v>25.286672398968168</v>
      </c>
      <c r="G136" s="897">
        <f>+'1.8.3 RenPTLR'!B136+'1.8.3 RenPTLR'!C136</f>
        <v>467.55814712886098</v>
      </c>
      <c r="H136" s="915"/>
      <c r="I136" s="915"/>
      <c r="J136" s="897">
        <f>'1.8.2 RenHLR'!H136+'1.8.2 RenHLR'!I136</f>
        <v>480.15746417279769</v>
      </c>
      <c r="K136" s="919">
        <f t="shared" si="1"/>
        <v>16579.620232924008</v>
      </c>
    </row>
    <row r="137" spans="1:11" s="887" customFormat="1" ht="11.25" x14ac:dyDescent="0.45">
      <c r="A137" s="892">
        <v>1827</v>
      </c>
      <c r="B137" s="1196">
        <f>'1.3.1 CoalLR'!R137*Units!C$20*1000</f>
        <v>15864.997865673591</v>
      </c>
      <c r="C137" s="915"/>
      <c r="D137" s="915"/>
      <c r="E137" s="915"/>
      <c r="F137" s="897">
        <f>'1.8.3 RenPTLR'!E137</f>
        <v>25.306792777300064</v>
      </c>
      <c r="G137" s="897">
        <f>+'1.8.3 RenPTLR'!B137+'1.8.3 RenPTLR'!C137</f>
        <v>421.0752000621269</v>
      </c>
      <c r="H137" s="915"/>
      <c r="I137" s="915"/>
      <c r="J137" s="897">
        <f>'1.8.2 RenHLR'!H137+'1.8.2 RenHLR'!I137</f>
        <v>466.46735421643069</v>
      </c>
      <c r="K137" s="919">
        <f t="shared" si="1"/>
        <v>16777.847212729448</v>
      </c>
    </row>
    <row r="138" spans="1:11" s="887" customFormat="1" ht="11.25" x14ac:dyDescent="0.45">
      <c r="A138" s="892">
        <v>1828</v>
      </c>
      <c r="B138" s="1196">
        <f>'1.3.1 CoalLR'!R138*Units!C$20*1000</f>
        <v>16141.432466879987</v>
      </c>
      <c r="C138" s="915"/>
      <c r="D138" s="915"/>
      <c r="E138" s="915"/>
      <c r="F138" s="897">
        <f>'1.8.3 RenPTLR'!E138</f>
        <v>25.326913155631967</v>
      </c>
      <c r="G138" s="897">
        <f>+'1.8.3 RenPTLR'!B138+'1.8.3 RenPTLR'!C138</f>
        <v>422.19202931275407</v>
      </c>
      <c r="H138" s="915"/>
      <c r="I138" s="915"/>
      <c r="J138" s="897">
        <f>'1.8.2 RenHLR'!H138+'1.8.2 RenHLR'!I138</f>
        <v>453.52941699452208</v>
      </c>
      <c r="K138" s="919">
        <f t="shared" ref="K138:K201" si="2">SUM(B138:J138)</f>
        <v>17042.480826342897</v>
      </c>
    </row>
    <row r="139" spans="1:11" s="887" customFormat="1" ht="11.25" x14ac:dyDescent="0.45">
      <c r="A139" s="892">
        <v>1829</v>
      </c>
      <c r="B139" s="1196">
        <f>'1.3.1 CoalLR'!R139*Units!C$20*1000</f>
        <v>16402.434047999988</v>
      </c>
      <c r="C139" s="915"/>
      <c r="D139" s="915"/>
      <c r="E139" s="915"/>
      <c r="F139" s="897">
        <f>'1.8.3 RenPTLR'!E139</f>
        <v>25.347033533963863</v>
      </c>
      <c r="G139" s="897">
        <f>+'1.8.3 RenPTLR'!B139+'1.8.3 RenPTLR'!C139</f>
        <v>422.13481752592759</v>
      </c>
      <c r="H139" s="915"/>
      <c r="I139" s="915"/>
      <c r="J139" s="897">
        <f>'1.8.2 RenHLR'!H139+'1.8.2 RenHLR'!I139</f>
        <v>439.94102822303392</v>
      </c>
      <c r="K139" s="919">
        <f t="shared" si="2"/>
        <v>17289.856927282912</v>
      </c>
    </row>
    <row r="140" spans="1:11" s="887" customFormat="1" ht="11.25" x14ac:dyDescent="0.45">
      <c r="A140" s="892">
        <v>1830</v>
      </c>
      <c r="B140" s="918">
        <f>'1.3.1 CoalLR'!R140*Units!C$20*1000</f>
        <v>15398.644688574797</v>
      </c>
      <c r="C140" s="915"/>
      <c r="D140" s="915"/>
      <c r="E140" s="915"/>
      <c r="F140" s="897">
        <f>'1.8.3 RenPTLR'!E140</f>
        <v>25.367153912295784</v>
      </c>
      <c r="G140" s="897">
        <f>+'1.8.3 RenPTLR'!B140+'1.8.3 RenPTLR'!C140</f>
        <v>420.7190042760007</v>
      </c>
      <c r="H140" s="915"/>
      <c r="I140" s="915"/>
      <c r="J140" s="897">
        <f>'1.8.2 RenHLR'!H140+'1.8.2 RenHLR'!I140</f>
        <v>409.84381144570926</v>
      </c>
      <c r="K140" s="919">
        <f t="shared" si="2"/>
        <v>16254.574658208803</v>
      </c>
    </row>
    <row r="141" spans="1:11" s="887" customFormat="1" ht="11.25" x14ac:dyDescent="0.45">
      <c r="A141" s="892">
        <v>1831</v>
      </c>
      <c r="B141" s="918">
        <f>'1.3.1 CoalLR'!R141*Units!C$20*1000</f>
        <v>15829.419119428014</v>
      </c>
      <c r="C141" s="915"/>
      <c r="D141" s="915"/>
      <c r="E141" s="915"/>
      <c r="F141" s="897">
        <f>'1.8.3 RenPTLR'!E141</f>
        <v>25.616981943250213</v>
      </c>
      <c r="G141" s="897">
        <f>+'1.8.3 RenPTLR'!B141+'1.8.3 RenPTLR'!C141</f>
        <v>424.78833247862161</v>
      </c>
      <c r="H141" s="915"/>
      <c r="I141" s="915"/>
      <c r="J141" s="897">
        <f>'1.8.2 RenHLR'!H141+'1.8.2 RenHLR'!I141</f>
        <v>408.76595292366073</v>
      </c>
      <c r="K141" s="919">
        <f t="shared" si="2"/>
        <v>16688.590386773547</v>
      </c>
    </row>
    <row r="142" spans="1:11" s="887" customFormat="1" ht="11.25" x14ac:dyDescent="0.45">
      <c r="A142" s="892">
        <v>1832</v>
      </c>
      <c r="B142" s="918">
        <f>'1.3.1 CoalLR'!R142*Units!C$20*1000</f>
        <v>16315.283425839742</v>
      </c>
      <c r="C142" s="915"/>
      <c r="D142" s="915"/>
      <c r="E142" s="915"/>
      <c r="F142" s="897">
        <f>'1.8.3 RenPTLR'!E142</f>
        <v>25.866809974204639</v>
      </c>
      <c r="G142" s="897">
        <f>+'1.8.3 RenPTLR'!B142+'1.8.3 RenPTLR'!C142</f>
        <v>430.77536326127847</v>
      </c>
      <c r="H142" s="915"/>
      <c r="I142" s="915"/>
      <c r="J142" s="897">
        <f>'1.8.2 RenHLR'!H142+'1.8.2 RenHLR'!I142</f>
        <v>410.8842322383374</v>
      </c>
      <c r="K142" s="919">
        <f t="shared" si="2"/>
        <v>17182.809831313563</v>
      </c>
    </row>
    <row r="143" spans="1:11" s="887" customFormat="1" ht="11.25" x14ac:dyDescent="0.45">
      <c r="A143" s="892">
        <v>1833</v>
      </c>
      <c r="B143" s="918">
        <f>'1.3.1 CoalLR'!R143*Units!C$20*1000</f>
        <v>16778.196083511433</v>
      </c>
      <c r="C143" s="915"/>
      <c r="D143" s="915"/>
      <c r="E143" s="915"/>
      <c r="F143" s="897">
        <f>'1.8.3 RenPTLR'!E143</f>
        <v>26.116638005159061</v>
      </c>
      <c r="G143" s="897">
        <f>+'1.8.3 RenPTLR'!B143+'1.8.3 RenPTLR'!C143</f>
        <v>431.55157829869324</v>
      </c>
      <c r="H143" s="915"/>
      <c r="I143" s="915"/>
      <c r="J143" s="897">
        <f>'1.8.2 RenHLR'!H143+'1.8.2 RenHLR'!I143</f>
        <v>411.93805084105276</v>
      </c>
      <c r="K143" s="919">
        <f t="shared" si="2"/>
        <v>17647.80235065634</v>
      </c>
    </row>
    <row r="144" spans="1:11" s="887" customFormat="1" ht="11.25" x14ac:dyDescent="0.45">
      <c r="A144" s="892">
        <v>1834</v>
      </c>
      <c r="B144" s="918">
        <f>'1.3.1 CoalLR'!R144*Units!C$20*1000</f>
        <v>17274.78849815809</v>
      </c>
      <c r="C144" s="915"/>
      <c r="D144" s="915"/>
      <c r="E144" s="915"/>
      <c r="F144" s="897">
        <f>'1.8.3 RenPTLR'!E144</f>
        <v>26.36646603611349</v>
      </c>
      <c r="G144" s="897">
        <f>+'1.8.3 RenPTLR'!B144+'1.8.3 RenPTLR'!C144</f>
        <v>437.70909347497587</v>
      </c>
      <c r="H144" s="915"/>
      <c r="I144" s="915"/>
      <c r="J144" s="897">
        <f>'1.8.2 RenHLR'!H144+'1.8.2 RenHLR'!I144</f>
        <v>414.55579123823259</v>
      </c>
      <c r="K144" s="919">
        <f t="shared" si="2"/>
        <v>18153.419848907412</v>
      </c>
    </row>
    <row r="145" spans="1:11" s="887" customFormat="1" ht="11.25" x14ac:dyDescent="0.45">
      <c r="A145" s="892">
        <v>1835</v>
      </c>
      <c r="B145" s="918">
        <f>'1.3.1 CoalLR'!R145*Units!C$20*1000</f>
        <v>17851.792660691546</v>
      </c>
      <c r="C145" s="915"/>
      <c r="D145" s="915"/>
      <c r="E145" s="915"/>
      <c r="F145" s="897">
        <f>'1.8.3 RenPTLR'!E145</f>
        <v>26.616294067067923</v>
      </c>
      <c r="G145" s="897">
        <f>+'1.8.3 RenPTLR'!B145+'1.8.3 RenPTLR'!C145</f>
        <v>444.62002052984917</v>
      </c>
      <c r="H145" s="915"/>
      <c r="I145" s="915"/>
      <c r="J145" s="897">
        <f>'1.8.2 RenHLR'!H145+'1.8.2 RenHLR'!I145</f>
        <v>421.18949044120632</v>
      </c>
      <c r="K145" s="919">
        <f t="shared" si="2"/>
        <v>18744.218465729671</v>
      </c>
    </row>
    <row r="146" spans="1:11" s="887" customFormat="1" ht="11.25" x14ac:dyDescent="0.45">
      <c r="A146" s="892">
        <v>1836</v>
      </c>
      <c r="B146" s="918">
        <f>'1.3.1 CoalLR'!R146*Units!C$20*1000</f>
        <v>18402.411274238977</v>
      </c>
      <c r="C146" s="915"/>
      <c r="D146" s="915"/>
      <c r="E146" s="915"/>
      <c r="F146" s="897">
        <f>'1.8.3 RenPTLR'!E146</f>
        <v>26.866122098022345</v>
      </c>
      <c r="G146" s="897">
        <f>+'1.8.3 RenPTLR'!B146+'1.8.3 RenPTLR'!C146</f>
        <v>440.58580630955112</v>
      </c>
      <c r="H146" s="915"/>
      <c r="I146" s="915"/>
      <c r="J146" s="897">
        <f>'1.8.2 RenHLR'!H146+'1.8.2 RenHLR'!I146</f>
        <v>426.5939522728255</v>
      </c>
      <c r="K146" s="919">
        <f t="shared" si="2"/>
        <v>19296.457154919375</v>
      </c>
    </row>
    <row r="147" spans="1:11" s="887" customFormat="1" ht="11.25" x14ac:dyDescent="0.45">
      <c r="A147" s="892">
        <v>1837</v>
      </c>
      <c r="B147" s="918">
        <f>'1.3.1 CoalLR'!R147*Units!C$20*1000</f>
        <v>18894.01427884127</v>
      </c>
      <c r="C147" s="915"/>
      <c r="D147" s="915"/>
      <c r="E147" s="915"/>
      <c r="F147" s="897">
        <f>'1.8.3 RenPTLR'!E147</f>
        <v>27.11595012897677</v>
      </c>
      <c r="G147" s="897">
        <f>+'1.8.3 RenPTLR'!B147+'1.8.3 RenPTLR'!C147</f>
        <v>435.22253419630914</v>
      </c>
      <c r="H147" s="915"/>
      <c r="I147" s="915"/>
      <c r="J147" s="897">
        <f>'1.8.2 RenHLR'!H147+'1.8.2 RenHLR'!I147</f>
        <v>429.19736888473699</v>
      </c>
      <c r="K147" s="919">
        <f t="shared" si="2"/>
        <v>19785.550132051292</v>
      </c>
    </row>
    <row r="148" spans="1:11" s="887" customFormat="1" ht="11.25" x14ac:dyDescent="0.45">
      <c r="A148" s="892">
        <v>1838</v>
      </c>
      <c r="B148" s="918">
        <f>'1.3.1 CoalLR'!R148*Units!C$20*1000</f>
        <v>19442.930081572878</v>
      </c>
      <c r="C148" s="915"/>
      <c r="D148" s="915"/>
      <c r="E148" s="915"/>
      <c r="F148" s="897">
        <f>'1.8.3 RenPTLR'!E148</f>
        <v>27.3657781599312</v>
      </c>
      <c r="G148" s="897">
        <f>+'1.8.3 RenPTLR'!B148+'1.8.3 RenPTLR'!C148</f>
        <v>450.33795068024784</v>
      </c>
      <c r="H148" s="915"/>
      <c r="I148" s="915"/>
      <c r="J148" s="897">
        <f>'1.8.2 RenHLR'!H148+'1.8.2 RenHLR'!I148</f>
        <v>434.27546360950373</v>
      </c>
      <c r="K148" s="919">
        <f t="shared" si="2"/>
        <v>20354.909274022564</v>
      </c>
    </row>
    <row r="149" spans="1:11" s="887" customFormat="1" ht="11.25" x14ac:dyDescent="0.45">
      <c r="A149" s="892">
        <v>1839</v>
      </c>
      <c r="B149" s="918">
        <f>'1.3.1 CoalLR'!R149*Units!C$20*1000</f>
        <v>19995.899930414063</v>
      </c>
      <c r="C149" s="915"/>
      <c r="D149" s="915"/>
      <c r="E149" s="915"/>
      <c r="F149" s="897">
        <f>'1.8.3 RenPTLR'!E149</f>
        <v>27.615606190885625</v>
      </c>
      <c r="G149" s="897">
        <f>+'1.8.3 RenPTLR'!B149+'1.8.3 RenPTLR'!C149</f>
        <v>477.45063350722057</v>
      </c>
      <c r="H149" s="915"/>
      <c r="I149" s="915"/>
      <c r="J149" s="897">
        <f>'1.8.2 RenHLR'!H149+'1.8.2 RenHLR'!I149</f>
        <v>439.92043232668561</v>
      </c>
      <c r="K149" s="919">
        <f t="shared" si="2"/>
        <v>20940.886602438855</v>
      </c>
    </row>
    <row r="150" spans="1:11" s="887" customFormat="1" ht="11.25" x14ac:dyDescent="0.45">
      <c r="A150" s="892">
        <v>1840</v>
      </c>
      <c r="B150" s="918">
        <f>'1.3.1 CoalLR'!R150*Units!C$20*1000</f>
        <v>20595.466358068159</v>
      </c>
      <c r="C150" s="915"/>
      <c r="D150" s="915"/>
      <c r="E150" s="915"/>
      <c r="F150" s="897">
        <f>'1.8.3 RenPTLR'!E150</f>
        <v>27.865434221840058</v>
      </c>
      <c r="G150" s="897">
        <f>+'1.8.3 RenPTLR'!B150+'1.8.3 RenPTLR'!C150</f>
        <v>506.49878637488325</v>
      </c>
      <c r="H150" s="915"/>
      <c r="I150" s="915"/>
      <c r="J150" s="897">
        <f>'1.8.2 RenHLR'!H150+'1.8.2 RenHLR'!I150</f>
        <v>447.33642328749033</v>
      </c>
      <c r="K150" s="919">
        <f t="shared" si="2"/>
        <v>21577.167001952374</v>
      </c>
    </row>
    <row r="151" spans="1:11" s="887" customFormat="1" ht="11.25" x14ac:dyDescent="0.45">
      <c r="A151" s="892">
        <v>1841</v>
      </c>
      <c r="B151" s="918">
        <f>'1.3.1 CoalLR'!R151*Units!C$20*1000</f>
        <v>21482.173385060083</v>
      </c>
      <c r="C151" s="915"/>
      <c r="D151" s="915"/>
      <c r="E151" s="915"/>
      <c r="F151" s="897">
        <f>'1.8.3 RenPTLR'!E151</f>
        <v>28.11526225279448</v>
      </c>
      <c r="G151" s="897">
        <f>+'1.8.3 RenPTLR'!B151+'1.8.3 RenPTLR'!C151</f>
        <v>529.12462282013666</v>
      </c>
      <c r="H151" s="915"/>
      <c r="I151" s="915"/>
      <c r="J151" s="897">
        <f>'1.8.2 RenHLR'!H151+'1.8.2 RenHLR'!I151</f>
        <v>448.20059558583137</v>
      </c>
      <c r="K151" s="919">
        <f t="shared" si="2"/>
        <v>22487.613865718849</v>
      </c>
    </row>
    <row r="152" spans="1:11" s="887" customFormat="1" ht="11.25" x14ac:dyDescent="0.45">
      <c r="A152" s="892">
        <v>1842</v>
      </c>
      <c r="B152" s="918">
        <f>'1.3.1 CoalLR'!R152*Units!C$20*1000</f>
        <v>22215.124416456587</v>
      </c>
      <c r="C152" s="915"/>
      <c r="D152" s="915"/>
      <c r="E152" s="915"/>
      <c r="F152" s="897">
        <f>'1.8.3 RenPTLR'!E152</f>
        <v>28.365090283748909</v>
      </c>
      <c r="G152" s="897">
        <f>+'1.8.3 RenPTLR'!B152+'1.8.3 RenPTLR'!C152</f>
        <v>540.08157181473166</v>
      </c>
      <c r="H152" s="915"/>
      <c r="I152" s="915"/>
      <c r="J152" s="897">
        <f>'1.8.2 RenHLR'!H152+'1.8.2 RenHLR'!I152</f>
        <v>441.75398730020197</v>
      </c>
      <c r="K152" s="919">
        <f t="shared" si="2"/>
        <v>23225.325065855268</v>
      </c>
    </row>
    <row r="153" spans="1:11" s="887" customFormat="1" ht="11.25" x14ac:dyDescent="0.45">
      <c r="A153" s="892">
        <v>1843</v>
      </c>
      <c r="B153" s="918">
        <f>'1.3.1 CoalLR'!R153*Units!C$20*1000</f>
        <v>23294.404340249024</v>
      </c>
      <c r="C153" s="915"/>
      <c r="D153" s="915"/>
      <c r="E153" s="915"/>
      <c r="F153" s="897">
        <f>'1.8.3 RenPTLR'!E153</f>
        <v>28.614918314703331</v>
      </c>
      <c r="G153" s="897">
        <f>+'1.8.3 RenPTLR'!B153+'1.8.3 RenPTLR'!C153</f>
        <v>526.25148103171091</v>
      </c>
      <c r="H153" s="915"/>
      <c r="I153" s="915"/>
      <c r="J153" s="897">
        <f>'1.8.2 RenHLR'!H153+'1.8.2 RenHLR'!I153</f>
        <v>452.08845531860868</v>
      </c>
      <c r="K153" s="919">
        <f t="shared" si="2"/>
        <v>24301.359194914046</v>
      </c>
    </row>
    <row r="154" spans="1:11" s="887" customFormat="1" ht="11.25" x14ac:dyDescent="0.45">
      <c r="A154" s="892">
        <v>1844</v>
      </c>
      <c r="B154" s="918">
        <f>'1.3.1 CoalLR'!R154*Units!C$20*1000</f>
        <v>24312.203915987171</v>
      </c>
      <c r="C154" s="915"/>
      <c r="D154" s="915"/>
      <c r="E154" s="915"/>
      <c r="F154" s="897">
        <f>'1.8.3 RenPTLR'!E154</f>
        <v>28.864746345657768</v>
      </c>
      <c r="G154" s="897">
        <f>+'1.8.3 RenPTLR'!B154+'1.8.3 RenPTLR'!C154</f>
        <v>524.64298966716785</v>
      </c>
      <c r="H154" s="915"/>
      <c r="I154" s="915"/>
      <c r="J154" s="897">
        <f>'1.8.2 RenHLR'!H154+'1.8.2 RenHLR'!I154</f>
        <v>459.55585826185472</v>
      </c>
      <c r="K154" s="919">
        <f t="shared" si="2"/>
        <v>25325.267510261852</v>
      </c>
    </row>
    <row r="155" spans="1:11" s="887" customFormat="1" ht="11.25" x14ac:dyDescent="0.45">
      <c r="A155" s="892">
        <v>1845</v>
      </c>
      <c r="B155" s="918">
        <f>'1.3.1 CoalLR'!R155*Units!C$20*1000</f>
        <v>25521.958097374209</v>
      </c>
      <c r="C155" s="915"/>
      <c r="D155" s="915"/>
      <c r="E155" s="915"/>
      <c r="F155" s="897">
        <f>'1.8.3 RenPTLR'!E155</f>
        <v>29.11457437661219</v>
      </c>
      <c r="G155" s="897">
        <f>+'1.8.3 RenPTLR'!B155+'1.8.3 RenPTLR'!C155</f>
        <v>529.79656212333509</v>
      </c>
      <c r="H155" s="915"/>
      <c r="I155" s="915"/>
      <c r="J155" s="897">
        <f>'1.8.2 RenHLR'!H155+'1.8.2 RenHLR'!I155</f>
        <v>476.36520459863573</v>
      </c>
      <c r="K155" s="919">
        <f t="shared" si="2"/>
        <v>26557.234438472791</v>
      </c>
    </row>
    <row r="156" spans="1:11" s="887" customFormat="1" ht="11.25" x14ac:dyDescent="0.45">
      <c r="A156" s="892">
        <v>1846</v>
      </c>
      <c r="B156" s="918">
        <f>'1.3.1 CoalLR'!R156*Units!C$20*1000</f>
        <v>26572.706883275525</v>
      </c>
      <c r="C156" s="915"/>
      <c r="D156" s="915"/>
      <c r="E156" s="915"/>
      <c r="F156" s="897">
        <f>'1.8.3 RenPTLR'!E156</f>
        <v>29.364402407566615</v>
      </c>
      <c r="G156" s="897">
        <f>+'1.8.3 RenPTLR'!B156+'1.8.3 RenPTLR'!C156</f>
        <v>527.40214709081897</v>
      </c>
      <c r="H156" s="915"/>
      <c r="I156" s="915"/>
      <c r="J156" s="897">
        <f>'1.8.2 RenHLR'!H156+'1.8.2 RenHLR'!I156</f>
        <v>485.60732808262219</v>
      </c>
      <c r="K156" s="919">
        <f t="shared" si="2"/>
        <v>27615.08076085653</v>
      </c>
    </row>
    <row r="157" spans="1:11" s="887" customFormat="1" ht="11.25" x14ac:dyDescent="0.45">
      <c r="A157" s="892">
        <v>1847</v>
      </c>
      <c r="B157" s="918">
        <f>'1.3.1 CoalLR'!R157*Units!C$20*1000</f>
        <v>27465.723775392467</v>
      </c>
      <c r="C157" s="915"/>
      <c r="D157" s="915"/>
      <c r="E157" s="915"/>
      <c r="F157" s="897">
        <f>'1.8.3 RenPTLR'!E157</f>
        <v>29.614230438521044</v>
      </c>
      <c r="G157" s="897">
        <f>+'1.8.3 RenPTLR'!B157+'1.8.3 RenPTLR'!C157</f>
        <v>557.32750758908992</v>
      </c>
      <c r="H157" s="915"/>
      <c r="I157" s="915"/>
      <c r="J157" s="897">
        <f>'1.8.2 RenHLR'!H157+'1.8.2 RenHLR'!I157</f>
        <v>487.34284621436399</v>
      </c>
      <c r="K157" s="919">
        <f t="shared" si="2"/>
        <v>28540.008359634441</v>
      </c>
    </row>
    <row r="158" spans="1:11" s="887" customFormat="1" ht="11.25" x14ac:dyDescent="0.45">
      <c r="A158" s="892">
        <v>1848</v>
      </c>
      <c r="B158" s="918">
        <f>'1.3.1 CoalLR'!R158*Units!C$20*1000</f>
        <v>28458.052450480121</v>
      </c>
      <c r="C158" s="915"/>
      <c r="D158" s="915"/>
      <c r="E158" s="915"/>
      <c r="F158" s="897">
        <f>'1.8.3 RenPTLR'!E158</f>
        <v>29.864058469475466</v>
      </c>
      <c r="G158" s="897">
        <f>+'1.8.3 RenPTLR'!B158+'1.8.3 RenPTLR'!C158</f>
        <v>558.07877687136022</v>
      </c>
      <c r="H158" s="915"/>
      <c r="I158" s="915"/>
      <c r="J158" s="897">
        <f>'1.8.2 RenHLR'!H158+'1.8.2 RenHLR'!I158</f>
        <v>493.95479633461173</v>
      </c>
      <c r="K158" s="919">
        <f t="shared" si="2"/>
        <v>29539.95008215557</v>
      </c>
    </row>
    <row r="159" spans="1:11" s="887" customFormat="1" ht="10.9" x14ac:dyDescent="0.45">
      <c r="A159" s="892">
        <v>1849</v>
      </c>
      <c r="B159" s="918">
        <f>'1.3.1 CoalLR'!R159*Units!C$20*1000</f>
        <v>29576.687536967231</v>
      </c>
      <c r="F159" s="897">
        <f>'1.8.3 RenPTLR'!E159</f>
        <v>30.113886500429896</v>
      </c>
      <c r="G159" s="897">
        <f>+'1.8.3 RenPTLR'!B159+'1.8.3 RenPTLR'!C159</f>
        <v>590.09427712420279</v>
      </c>
      <c r="J159" s="897">
        <f>'1.8.2 RenHLR'!H159+'1.8.2 RenHLR'!I159</f>
        <v>506.74308077275163</v>
      </c>
      <c r="K159" s="919">
        <f t="shared" si="2"/>
        <v>30703.638781364614</v>
      </c>
    </row>
    <row r="160" spans="1:11" s="887" customFormat="1" ht="10.9" x14ac:dyDescent="0.45">
      <c r="A160" s="892">
        <v>1850</v>
      </c>
      <c r="B160" s="918">
        <f>'1.3.1 CoalLR'!R160*Units!C$20*1000</f>
        <v>30684.79735027624</v>
      </c>
      <c r="F160" s="897">
        <f>'1.8.3 RenPTLR'!E160</f>
        <v>30.363714531384325</v>
      </c>
      <c r="G160" s="897">
        <f>+'1.8.3 RenPTLR'!B160+'1.8.3 RenPTLR'!C160</f>
        <v>580.91320831538678</v>
      </c>
      <c r="J160" s="897">
        <f>'1.8.2 RenHLR'!H160+'1.8.2 RenHLR'!I160</f>
        <v>518.18669362484877</v>
      </c>
      <c r="K160" s="919">
        <f t="shared" si="2"/>
        <v>31814.260966747857</v>
      </c>
    </row>
    <row r="161" spans="1:11" s="887" customFormat="1" ht="10.9" x14ac:dyDescent="0.45">
      <c r="A161" s="892">
        <v>1851</v>
      </c>
      <c r="B161" s="918">
        <f>'1.3.1 CoalLR'!R161*Units!C$20*1000</f>
        <v>31748.875971665166</v>
      </c>
      <c r="F161" s="897">
        <f>'1.8.3 RenPTLR'!E161</f>
        <v>30.613542562338754</v>
      </c>
      <c r="G161" s="897">
        <f>+'1.8.3 RenPTLR'!B161+'1.8.3 RenPTLR'!C161</f>
        <v>643.04881130486797</v>
      </c>
      <c r="J161" s="897">
        <f>'1.8.2 RenHLR'!H161+'1.8.2 RenHLR'!I161</f>
        <v>527.83113903848039</v>
      </c>
      <c r="K161" s="919">
        <f t="shared" si="2"/>
        <v>32950.369464570853</v>
      </c>
    </row>
    <row r="162" spans="1:11" s="887" customFormat="1" ht="10.9" x14ac:dyDescent="0.45">
      <c r="A162" s="892">
        <v>1852</v>
      </c>
      <c r="B162" s="918">
        <f>'1.3.1 CoalLR'!R162*Units!C$20*1000</f>
        <v>32846.262617916676</v>
      </c>
      <c r="F162" s="897">
        <f>'1.8.3 RenPTLR'!E162</f>
        <v>30.863370593293173</v>
      </c>
      <c r="G162" s="897">
        <f>+'1.8.3 RenPTLR'!B162+'1.8.3 RenPTLR'!C162</f>
        <v>651.46129392584601</v>
      </c>
      <c r="J162" s="897">
        <f>'1.8.2 RenHLR'!H162+'1.8.2 RenHLR'!I162</f>
        <v>539.35320511152918</v>
      </c>
      <c r="K162" s="919">
        <f t="shared" si="2"/>
        <v>34067.940487547348</v>
      </c>
    </row>
    <row r="163" spans="1:11" s="887" customFormat="1" ht="10.9" x14ac:dyDescent="0.45">
      <c r="A163" s="892">
        <v>1853</v>
      </c>
      <c r="B163" s="918">
        <f>'1.3.1 CoalLR'!R163*Units!C$20*1000</f>
        <v>33871.21943901456</v>
      </c>
      <c r="F163" s="897">
        <f>'1.8.3 RenPTLR'!E163</f>
        <v>31.113198624247598</v>
      </c>
      <c r="G163" s="897">
        <f>+'1.8.3 RenPTLR'!B163+'1.8.3 RenPTLR'!C163</f>
        <v>703.35559489329978</v>
      </c>
      <c r="J163" s="897">
        <f>'1.8.2 RenHLR'!H163+'1.8.2 RenHLR'!I163</f>
        <v>547.61939099496863</v>
      </c>
      <c r="K163" s="919">
        <f t="shared" si="2"/>
        <v>35153.307623527071</v>
      </c>
    </row>
    <row r="164" spans="1:11" s="887" customFormat="1" ht="10.9" x14ac:dyDescent="0.45">
      <c r="A164" s="892">
        <v>1854</v>
      </c>
      <c r="B164" s="918">
        <f>'1.3.1 CoalLR'!R164*Units!C$20*1000</f>
        <v>35022.649675875255</v>
      </c>
      <c r="F164" s="897">
        <f>'1.8.3 RenPTLR'!E164</f>
        <v>31.363026655202034</v>
      </c>
      <c r="G164" s="897">
        <f>+'1.8.3 RenPTLR'!B164+'1.8.3 RenPTLR'!C164</f>
        <v>697.78719546421632</v>
      </c>
      <c r="J164" s="897">
        <f>'1.8.2 RenHLR'!H164+'1.8.2 RenHLR'!I164</f>
        <v>562.18096507057999</v>
      </c>
      <c r="K164" s="919">
        <f t="shared" si="2"/>
        <v>36313.980863065255</v>
      </c>
    </row>
    <row r="165" spans="1:11" s="887" customFormat="1" ht="10.9" x14ac:dyDescent="0.45">
      <c r="A165" s="892">
        <v>1855</v>
      </c>
      <c r="B165" s="918">
        <f>'1.3.1 CoalLR'!R165*Units!C$20*1000</f>
        <v>35696.957945139315</v>
      </c>
      <c r="F165" s="897">
        <f>'1.8.3 RenPTLR'!E165</f>
        <v>31.612854686156453</v>
      </c>
      <c r="G165" s="897">
        <f>+'1.8.3 RenPTLR'!B165+'1.8.3 RenPTLR'!C165</f>
        <v>692.6761259069234</v>
      </c>
      <c r="J165" s="897">
        <f>'1.8.2 RenHLR'!H165+'1.8.2 RenHLR'!I165</f>
        <v>553.93316457483218</v>
      </c>
      <c r="K165" s="919">
        <f t="shared" si="2"/>
        <v>36975.180090307229</v>
      </c>
    </row>
    <row r="166" spans="1:11" s="887" customFormat="1" ht="10.9" x14ac:dyDescent="0.45">
      <c r="A166" s="892">
        <v>1856</v>
      </c>
      <c r="B166" s="918">
        <f>'1.3.1 CoalLR'!R166*Units!C$20*1000</f>
        <v>36720.428442677425</v>
      </c>
      <c r="F166" s="897">
        <f>'1.8.3 RenPTLR'!E166</f>
        <v>31.862682717110882</v>
      </c>
      <c r="G166" s="897">
        <f>+'1.8.3 RenPTLR'!B166+'1.8.3 RenPTLR'!C166</f>
        <v>727.10501201184945</v>
      </c>
      <c r="J166" s="897">
        <f>'1.8.2 RenHLR'!H166+'1.8.2 RenHLR'!I166</f>
        <v>562.22335054953589</v>
      </c>
      <c r="K166" s="919">
        <f t="shared" si="2"/>
        <v>38041.619487955926</v>
      </c>
    </row>
    <row r="167" spans="1:11" s="887" customFormat="1" ht="10.9" x14ac:dyDescent="0.45">
      <c r="A167" s="892">
        <v>1857</v>
      </c>
      <c r="B167" s="918">
        <f>'1.3.1 CoalLR'!R167*Units!C$20*1000</f>
        <v>37702.895009082436</v>
      </c>
      <c r="F167" s="897">
        <f>'1.8.3 RenPTLR'!E167</f>
        <v>32.112510748065311</v>
      </c>
      <c r="G167" s="897">
        <f>+'1.8.3 RenPTLR'!B167+'1.8.3 RenPTLR'!C167</f>
        <v>745.59087513458815</v>
      </c>
      <c r="J167" s="897">
        <f>'1.8.2 RenHLR'!H167+'1.8.2 RenHLR'!I167</f>
        <v>568.68058451186596</v>
      </c>
      <c r="K167" s="919">
        <f t="shared" si="2"/>
        <v>39049.278979476949</v>
      </c>
    </row>
    <row r="168" spans="1:11" s="887" customFormat="1" ht="10.9" x14ac:dyDescent="0.45">
      <c r="A168" s="892">
        <v>1858</v>
      </c>
      <c r="B168" s="918">
        <f>'1.3.1 CoalLR'!R168*Units!C$20*1000</f>
        <v>38263.454749782184</v>
      </c>
      <c r="F168" s="897">
        <f>'1.8.3 RenPTLR'!E168</f>
        <v>32.362338779019737</v>
      </c>
      <c r="G168" s="897">
        <f>+'1.8.3 RenPTLR'!B168+'1.8.3 RenPTLR'!C168</f>
        <v>750.69613880856252</v>
      </c>
      <c r="J168" s="897">
        <f>'1.8.2 RenHLR'!H168+'1.8.2 RenHLR'!I168</f>
        <v>554.94125222302216</v>
      </c>
      <c r="K168" s="919">
        <f t="shared" si="2"/>
        <v>39601.454479592787</v>
      </c>
    </row>
    <row r="169" spans="1:11" s="887" customFormat="1" ht="10.9" x14ac:dyDescent="0.45">
      <c r="A169" s="892">
        <v>1859</v>
      </c>
      <c r="B169" s="918">
        <f>'1.3.1 CoalLR'!R169*Units!C$20*1000</f>
        <v>39314.373694358423</v>
      </c>
      <c r="F169" s="897">
        <f>'1.8.3 RenPTLR'!E169</f>
        <v>32.612166809974163</v>
      </c>
      <c r="G169" s="897">
        <f>+'1.8.3 RenPTLR'!B169+'1.8.3 RenPTLR'!C169</f>
        <v>758.3749792496294</v>
      </c>
      <c r="J169" s="897">
        <f>'1.8.2 RenHLR'!H169+'1.8.2 RenHLR'!I169</f>
        <v>564.94597683764823</v>
      </c>
      <c r="K169" s="919">
        <f t="shared" si="2"/>
        <v>40670.306817255674</v>
      </c>
    </row>
    <row r="170" spans="1:11" s="887" customFormat="1" ht="10.9" x14ac:dyDescent="0.45">
      <c r="A170" s="892">
        <v>1860</v>
      </c>
      <c r="B170" s="918">
        <f>'1.3.1 CoalLR'!R170*Units!C$20*1000</f>
        <v>40782.231170498322</v>
      </c>
      <c r="F170" s="897">
        <f>'1.8.3 RenPTLR'!E170</f>
        <v>32.861994840928588</v>
      </c>
      <c r="G170" s="897">
        <f>+'1.8.3 RenPTLR'!B170+'1.8.3 RenPTLR'!C170</f>
        <v>783.9956940557513</v>
      </c>
      <c r="J170" s="897">
        <f>'1.8.2 RenHLR'!H170+'1.8.2 RenHLR'!I170</f>
        <v>594.61799358405801</v>
      </c>
      <c r="K170" s="919">
        <f t="shared" si="2"/>
        <v>42193.706852979056</v>
      </c>
    </row>
    <row r="171" spans="1:11" s="887" customFormat="1" ht="10.9" x14ac:dyDescent="0.45">
      <c r="A171" s="892">
        <v>1861</v>
      </c>
      <c r="B171" s="918">
        <f>'1.3.1 CoalLR'!R171*Units!C$20*1000</f>
        <v>41641.561007420918</v>
      </c>
      <c r="F171" s="897">
        <f>'1.8.3 RenPTLR'!E171</f>
        <v>33.111822871883014</v>
      </c>
      <c r="G171" s="897">
        <f>+'1.8.3 RenPTLR'!B171+'1.8.3 RenPTLR'!C171</f>
        <v>804.46924115992272</v>
      </c>
      <c r="J171" s="897">
        <f>'1.8.2 RenHLR'!H171+'1.8.2 RenHLR'!I171</f>
        <v>595.71601225677239</v>
      </c>
      <c r="K171" s="919">
        <f t="shared" si="2"/>
        <v>43074.8580837095</v>
      </c>
    </row>
    <row r="172" spans="1:11" s="887" customFormat="1" ht="10.9" x14ac:dyDescent="0.45">
      <c r="A172" s="892">
        <v>1862</v>
      </c>
      <c r="B172" s="918">
        <f>'1.3.1 CoalLR'!R172*Units!C$20*1000</f>
        <v>42587.872310586412</v>
      </c>
      <c r="F172" s="897">
        <f>'1.8.3 RenPTLR'!E172</f>
        <v>33.361650902837447</v>
      </c>
      <c r="G172" s="897">
        <f>+'1.8.3 RenPTLR'!B172+'1.8.3 RenPTLR'!C172</f>
        <v>810.28272737954569</v>
      </c>
      <c r="J172" s="897">
        <f>'1.8.2 RenHLR'!H172+'1.8.2 RenHLR'!I172</f>
        <v>601.08380391714036</v>
      </c>
      <c r="K172" s="919">
        <f t="shared" si="2"/>
        <v>44032.600492785939</v>
      </c>
    </row>
    <row r="173" spans="1:11" s="887" customFormat="1" ht="10.9" x14ac:dyDescent="0.45">
      <c r="A173" s="892">
        <v>1863</v>
      </c>
      <c r="B173" s="918">
        <f>'1.3.1 CoalLR'!R173*Units!C$20*1000</f>
        <v>44017.225127366532</v>
      </c>
      <c r="F173" s="897">
        <f>'1.8.3 RenPTLR'!E173</f>
        <v>33.611478933791872</v>
      </c>
      <c r="G173" s="897">
        <f>+'1.8.3 RenPTLR'!B173+'1.8.3 RenPTLR'!C173</f>
        <v>823.70788496731484</v>
      </c>
      <c r="J173" s="897">
        <f>'1.8.2 RenHLR'!H173+'1.8.2 RenHLR'!I173</f>
        <v>629.80288265801869</v>
      </c>
      <c r="K173" s="919">
        <f t="shared" si="2"/>
        <v>45504.347373925659</v>
      </c>
    </row>
    <row r="174" spans="1:11" s="887" customFormat="1" ht="10.9" x14ac:dyDescent="0.45">
      <c r="A174" s="892">
        <v>1864</v>
      </c>
      <c r="B174" s="918">
        <f>'1.3.1 CoalLR'!R174*Units!C$20*1000</f>
        <v>45158.224715005199</v>
      </c>
      <c r="F174" s="897">
        <f>'1.8.3 RenPTLR'!E174</f>
        <v>33.861306964746298</v>
      </c>
      <c r="G174" s="897">
        <f>+'1.8.3 RenPTLR'!B174+'1.8.3 RenPTLR'!C174</f>
        <v>823.01870731927409</v>
      </c>
      <c r="J174" s="897">
        <f>'1.8.2 RenHLR'!H174+'1.8.2 RenHLR'!I174</f>
        <v>644.70972217224914</v>
      </c>
      <c r="K174" s="919">
        <f t="shared" si="2"/>
        <v>46659.814451461469</v>
      </c>
    </row>
    <row r="175" spans="1:11" s="887" customFormat="1" ht="10.9" x14ac:dyDescent="0.45">
      <c r="A175" s="892">
        <v>1865</v>
      </c>
      <c r="B175" s="918">
        <f>'1.3.1 CoalLR'!R175*Units!C$20*1000</f>
        <v>46292.919509128762</v>
      </c>
      <c r="F175" s="897">
        <f>'1.8.3 RenPTLR'!E175</f>
        <v>34.111134995700723</v>
      </c>
      <c r="G175" s="897">
        <f>+'1.8.3 RenPTLR'!B175+'1.8.3 RenPTLR'!C175</f>
        <v>831.72763432372449</v>
      </c>
      <c r="J175" s="897">
        <f>'1.8.2 RenHLR'!H175+'1.8.2 RenHLR'!I175</f>
        <v>659.39305297288536</v>
      </c>
      <c r="K175" s="919">
        <f t="shared" si="2"/>
        <v>47818.151331421068</v>
      </c>
    </row>
    <row r="176" spans="1:11" s="887" customFormat="1" ht="10.9" x14ac:dyDescent="0.45">
      <c r="A176" s="892">
        <v>1866</v>
      </c>
      <c r="B176" s="918">
        <f>'1.3.1 CoalLR'!R176*Units!C$20*1000</f>
        <v>47277.081297388744</v>
      </c>
      <c r="F176" s="897">
        <f>'1.8.3 RenPTLR'!E176</f>
        <v>34.360963026655149</v>
      </c>
      <c r="G176" s="897">
        <f>+'1.8.3 RenPTLR'!B176+'1.8.3 RenPTLR'!C176</f>
        <v>854.06680430295933</v>
      </c>
      <c r="J176" s="897">
        <f>'1.8.2 RenHLR'!H176+'1.8.2 RenHLR'!I176</f>
        <v>666.90467035111669</v>
      </c>
      <c r="K176" s="919">
        <f t="shared" si="2"/>
        <v>48832.41373506948</v>
      </c>
    </row>
    <row r="177" spans="1:11" s="887" customFormat="1" ht="10.9" x14ac:dyDescent="0.45">
      <c r="A177" s="892">
        <v>1867</v>
      </c>
      <c r="B177" s="918">
        <f>'1.3.1 CoalLR'!R177*Units!C$20*1000</f>
        <v>48142.508555157525</v>
      </c>
      <c r="F177" s="897">
        <f>'1.8.3 RenPTLR'!E177</f>
        <v>34.610791057609582</v>
      </c>
      <c r="G177" s="897">
        <f>+'1.8.3 RenPTLR'!B177+'1.8.3 RenPTLR'!C177</f>
        <v>848.71505989126433</v>
      </c>
      <c r="J177" s="897">
        <f>'1.8.2 RenHLR'!H177+'1.8.2 RenHLR'!I177</f>
        <v>668.7768994136153</v>
      </c>
      <c r="K177" s="919">
        <f t="shared" si="2"/>
        <v>49694.611305520011</v>
      </c>
    </row>
    <row r="178" spans="1:11" s="887" customFormat="1" ht="10.9" x14ac:dyDescent="0.45">
      <c r="A178" s="892">
        <v>1868</v>
      </c>
      <c r="B178" s="918">
        <f>'1.3.1 CoalLR'!R178*Units!C$20*1000</f>
        <v>49062.275137253237</v>
      </c>
      <c r="F178" s="897">
        <f>'1.8.3 RenPTLR'!E178</f>
        <v>34.860619088564007</v>
      </c>
      <c r="G178" s="897">
        <f>+'1.8.3 RenPTLR'!B178+'1.8.3 RenPTLR'!C178</f>
        <v>899.71245044650789</v>
      </c>
      <c r="J178" s="897">
        <f>'1.8.2 RenHLR'!H178+'1.8.2 RenHLR'!I178</f>
        <v>673.34836423717934</v>
      </c>
      <c r="K178" s="919">
        <f t="shared" si="2"/>
        <v>50670.196571025488</v>
      </c>
    </row>
    <row r="179" spans="1:11" s="887" customFormat="1" ht="10.9" x14ac:dyDescent="0.45">
      <c r="A179" s="892">
        <v>1869</v>
      </c>
      <c r="B179" s="918">
        <f>'1.3.1 CoalLR'!R179*Units!C$20*1000</f>
        <v>50204.392899232327</v>
      </c>
      <c r="F179" s="897">
        <f>'1.8.3 RenPTLR'!E179</f>
        <v>35.110447119518433</v>
      </c>
      <c r="G179" s="897">
        <f>+'1.8.3 RenPTLR'!B179+'1.8.3 RenPTLR'!C179</f>
        <v>875.310249372454</v>
      </c>
      <c r="J179" s="897">
        <f>'1.8.2 RenHLR'!H179+'1.8.2 RenHLR'!I179</f>
        <v>688.71381985652363</v>
      </c>
      <c r="K179" s="919">
        <f t="shared" si="2"/>
        <v>51803.527415580822</v>
      </c>
    </row>
    <row r="180" spans="1:11" s="887" customFormat="1" ht="10.9" x14ac:dyDescent="0.45">
      <c r="A180" s="892">
        <v>1870</v>
      </c>
      <c r="B180" s="918">
        <f>'1.3.1 CoalLR'!R180*Units!C$20*1000</f>
        <v>51408.548727012079</v>
      </c>
      <c r="C180" s="917">
        <f>'1.5.1 OilLR'!AH10</f>
        <v>28.449313480000001</v>
      </c>
      <c r="F180" s="897">
        <f>'1.8.3 RenPTLR'!E180</f>
        <v>35.360275150472916</v>
      </c>
      <c r="G180" s="897">
        <f>+'1.8.3 RenPTLR'!B180+'1.8.3 RenPTLR'!C180</f>
        <v>865.7356443106388</v>
      </c>
      <c r="J180" s="897">
        <f>'1.8.2 RenHLR'!H180+'1.8.2 RenHLR'!I180</f>
        <v>712.83854059432952</v>
      </c>
      <c r="K180" s="919">
        <f t="shared" si="2"/>
        <v>53050.932500547518</v>
      </c>
    </row>
    <row r="181" spans="1:11" s="887" customFormat="1" ht="10.9" x14ac:dyDescent="0.45">
      <c r="A181" s="892">
        <v>1871</v>
      </c>
      <c r="B181" s="918">
        <f>'1.3.1 CoalLR'!R181*Units!C$20*1000</f>
        <v>52784.073982003094</v>
      </c>
      <c r="C181" s="917">
        <f>'1.5.1 OilLR'!AH11</f>
        <v>36.577688760000001</v>
      </c>
      <c r="F181" s="897">
        <f>'1.8.3 RenPTLR'!E181</f>
        <v>35.144207664242053</v>
      </c>
      <c r="G181" s="897">
        <f>+'1.8.3 RenPTLR'!B181+'1.8.3 RenPTLR'!C181</f>
        <v>857.00657585029637</v>
      </c>
      <c r="J181" s="897">
        <f>'1.8.2 RenHLR'!H181+'1.8.2 RenHLR'!I181</f>
        <v>745.30876436907488</v>
      </c>
      <c r="K181" s="919">
        <f t="shared" si="2"/>
        <v>54458.111218646707</v>
      </c>
    </row>
    <row r="182" spans="1:11" s="887" customFormat="1" ht="10.9" x14ac:dyDescent="0.45">
      <c r="A182" s="892">
        <v>1872</v>
      </c>
      <c r="B182" s="918">
        <f>'1.3.1 CoalLR'!R182*Units!C$20*1000</f>
        <v>53948.284751373685</v>
      </c>
      <c r="C182" s="917">
        <f>'1.5.1 OilLR'!AH12</f>
        <v>26.417219660000001</v>
      </c>
      <c r="F182" s="897">
        <f>'1.8.3 RenPTLR'!E182</f>
        <v>34.928140178011198</v>
      </c>
      <c r="G182" s="897">
        <f>+'1.8.3 RenPTLR'!B182+'1.8.3 RenPTLR'!C182</f>
        <v>848.97970727849759</v>
      </c>
      <c r="J182" s="897">
        <f>'1.8.2 RenHLR'!H182+'1.8.2 RenHLR'!I182</f>
        <v>767.68812115872083</v>
      </c>
      <c r="K182" s="919">
        <f t="shared" si="2"/>
        <v>55626.297939648917</v>
      </c>
    </row>
    <row r="183" spans="1:11" s="887" customFormat="1" ht="10.9" x14ac:dyDescent="0.45">
      <c r="A183" s="892">
        <v>1873</v>
      </c>
      <c r="B183" s="918">
        <f>'1.3.1 CoalLR'!R183*Units!C$20*1000</f>
        <v>55390.801186801204</v>
      </c>
      <c r="C183" s="917">
        <f>'1.5.1 OilLR'!AH13</f>
        <v>69.091189880000002</v>
      </c>
      <c r="F183" s="897">
        <f>'1.8.3 RenPTLR'!E183</f>
        <v>34.712072691780349</v>
      </c>
      <c r="G183" s="897">
        <f>+'1.8.3 RenPTLR'!B183+'1.8.3 RenPTLR'!C183</f>
        <v>841.55047304017012</v>
      </c>
      <c r="J183" s="897">
        <f>'1.8.2 RenHLR'!H183+'1.8.2 RenHLR'!I183</f>
        <v>803.56566994724665</v>
      </c>
      <c r="K183" s="919">
        <f t="shared" si="2"/>
        <v>57139.720592360398</v>
      </c>
    </row>
    <row r="184" spans="1:11" s="887" customFormat="1" ht="10.9" x14ac:dyDescent="0.45">
      <c r="A184" s="892">
        <v>1874</v>
      </c>
      <c r="B184" s="918">
        <f>'1.3.1 CoalLR'!R184*Units!C$20*1000</f>
        <v>55850.931376685839</v>
      </c>
      <c r="C184" s="917">
        <f>'1.5.1 OilLR'!AH14</f>
        <v>88.396081170000002</v>
      </c>
      <c r="F184" s="897">
        <f>'1.8.3 RenPTLR'!E184</f>
        <v>34.496005205549494</v>
      </c>
      <c r="G184" s="897">
        <f>+'1.8.3 RenPTLR'!B184+'1.8.3 RenPTLR'!C184</f>
        <v>865.4790747616712</v>
      </c>
      <c r="J184" s="897">
        <f>'1.8.2 RenHLR'!H184+'1.8.2 RenHLR'!I184</f>
        <v>792.2048277117749</v>
      </c>
      <c r="K184" s="919">
        <f t="shared" si="2"/>
        <v>57631.507365534831</v>
      </c>
    </row>
    <row r="185" spans="1:11" s="887" customFormat="1" ht="10.9" x14ac:dyDescent="0.45">
      <c r="A185" s="892">
        <v>1875</v>
      </c>
      <c r="B185" s="918">
        <f>'1.3.1 CoalLR'!R185*Units!C$20*1000</f>
        <v>57355.360882133435</v>
      </c>
      <c r="C185" s="917">
        <f>'1.5.1 OilLR'!AH15</f>
        <v>80.267705890000002</v>
      </c>
      <c r="F185" s="897">
        <f>'1.8.3 RenPTLR'!E185</f>
        <v>34.279937719318639</v>
      </c>
      <c r="G185" s="897">
        <f>+'1.8.3 RenPTLR'!B185+'1.8.3 RenPTLR'!C185</f>
        <v>844.17735172322364</v>
      </c>
      <c r="J185" s="897">
        <f>'1.8.2 RenHLR'!H185+'1.8.2 RenHLR'!I185</f>
        <v>831.24662371097838</v>
      </c>
      <c r="K185" s="919">
        <f t="shared" si="2"/>
        <v>59145.332501176948</v>
      </c>
    </row>
    <row r="186" spans="1:11" s="887" customFormat="1" ht="10.9" x14ac:dyDescent="0.45">
      <c r="A186" s="892">
        <v>1876</v>
      </c>
      <c r="B186" s="918">
        <f>'1.3.1 CoalLR'!R186*Units!C$20*1000</f>
        <v>57898.580425374836</v>
      </c>
      <c r="C186" s="917">
        <f>'1.5.1 OilLR'!AH16</f>
        <v>104.65283173</v>
      </c>
      <c r="F186" s="897">
        <f>'1.8.3 RenPTLR'!E186</f>
        <v>34.06387023308779</v>
      </c>
      <c r="G186" s="897">
        <f>+'1.8.3 RenPTLR'!B186+'1.8.3 RenPTLR'!C186</f>
        <v>903.0580694923151</v>
      </c>
      <c r="J186" s="897">
        <f>'1.8.2 RenHLR'!H186+'1.8.2 RenHLR'!I186</f>
        <v>824.07105308828056</v>
      </c>
      <c r="K186" s="919">
        <f t="shared" si="2"/>
        <v>59764.426249918521</v>
      </c>
    </row>
    <row r="187" spans="1:11" s="887" customFormat="1" ht="10.9" x14ac:dyDescent="0.45">
      <c r="A187" s="892">
        <v>1877</v>
      </c>
      <c r="B187" s="918">
        <f>'1.3.1 CoalLR'!R187*Units!C$20*1000</f>
        <v>58742.187528296912</v>
      </c>
      <c r="C187" s="917">
        <f>'1.5.1 OilLR'!AH17</f>
        <v>139.19842667</v>
      </c>
      <c r="F187" s="897">
        <f>'1.8.3 RenPTLR'!E187</f>
        <v>33.847802746856935</v>
      </c>
      <c r="G187" s="897">
        <f>+'1.8.3 RenPTLR'!B187+'1.8.3 RenPTLR'!C187</f>
        <v>879.44994659302426</v>
      </c>
      <c r="J187" s="897">
        <f>'1.8.2 RenHLR'!H187+'1.8.2 RenHLR'!I187</f>
        <v>831.45913323053344</v>
      </c>
      <c r="K187" s="919">
        <f t="shared" si="2"/>
        <v>60626.142837537336</v>
      </c>
    </row>
    <row r="188" spans="1:11" s="887" customFormat="1" ht="10.9" x14ac:dyDescent="0.45">
      <c r="A188" s="892">
        <v>1878</v>
      </c>
      <c r="B188" s="918">
        <f>'1.3.1 CoalLR'!R188*Units!C$20*1000</f>
        <v>59194.23189080396</v>
      </c>
      <c r="C188" s="917">
        <f>'1.5.1 OilLR'!AH18</f>
        <v>124.97376993</v>
      </c>
      <c r="F188" s="897">
        <f>'1.8.3 RenPTLR'!E188</f>
        <v>33.63173526062608</v>
      </c>
      <c r="G188" s="897">
        <f>+'1.8.3 RenPTLR'!B188+'1.8.3 RenPTLR'!C188</f>
        <v>804.6812296143604</v>
      </c>
      <c r="J188" s="897">
        <f>'1.8.2 RenHLR'!H188+'1.8.2 RenHLR'!I188</f>
        <v>820.07485045747023</v>
      </c>
      <c r="K188" s="919">
        <f t="shared" si="2"/>
        <v>60977.593476066424</v>
      </c>
    </row>
    <row r="189" spans="1:11" s="887" customFormat="1" ht="10.9" x14ac:dyDescent="0.45">
      <c r="A189" s="892">
        <v>1879</v>
      </c>
      <c r="B189" s="918">
        <f>'1.3.1 CoalLR'!R189*Units!C$20*1000</f>
        <v>59889.835836035498</v>
      </c>
      <c r="C189" s="917">
        <f>'1.5.1 OilLR'!AH19</f>
        <v>178.82425616</v>
      </c>
      <c r="F189" s="897">
        <f>'1.8.3 RenPTLR'!E189</f>
        <v>33.415667774395224</v>
      </c>
      <c r="G189" s="897">
        <f>+'1.8.3 RenPTLR'!B189+'1.8.3 RenPTLR'!C189</f>
        <v>767.91779188855844</v>
      </c>
      <c r="J189" s="897">
        <f>'1.8.2 RenHLR'!H189+'1.8.2 RenHLR'!I189</f>
        <v>820.51722985101333</v>
      </c>
      <c r="K189" s="919">
        <f t="shared" si="2"/>
        <v>61690.510781709469</v>
      </c>
    </row>
    <row r="190" spans="1:11" s="887" customFormat="1" ht="10.9" x14ac:dyDescent="0.45">
      <c r="A190" s="892">
        <v>1880</v>
      </c>
      <c r="B190" s="918">
        <f>'1.3.1 CoalLR'!R190*Units!C$20*1000</f>
        <v>62125.898841716167</v>
      </c>
      <c r="C190" s="917">
        <f>'1.5.1 OilLR'!AH20</f>
        <v>157.48727105</v>
      </c>
      <c r="F190" s="897">
        <f>'1.8.3 RenPTLR'!E190</f>
        <v>33.199600288164362</v>
      </c>
      <c r="G190" s="897">
        <f>+'1.8.3 RenPTLR'!B190+'1.8.3 RenPTLR'!C190</f>
        <v>828.7565758806129</v>
      </c>
      <c r="J190" s="897">
        <f>'1.8.2 RenHLR'!H190+'1.8.2 RenHLR'!I190</f>
        <v>895.26806732165232</v>
      </c>
      <c r="K190" s="919">
        <f t="shared" si="2"/>
        <v>64040.610356256599</v>
      </c>
    </row>
    <row r="191" spans="1:11" s="887" customFormat="1" ht="10.9" x14ac:dyDescent="0.45">
      <c r="A191" s="892">
        <v>1881</v>
      </c>
      <c r="B191" s="918">
        <f>'1.3.1 CoalLR'!R191*Units!C$20*1000</f>
        <v>63741.438212645095</v>
      </c>
      <c r="C191" s="917">
        <f>'1.5.1 OilLR'!AH21</f>
        <v>243.85125840000001</v>
      </c>
      <c r="F191" s="897">
        <f>'1.8.3 RenPTLR'!E191</f>
        <v>32.983532801933521</v>
      </c>
      <c r="G191" s="897">
        <f>+'1.8.3 RenPTLR'!B191+'1.8.3 RenPTLR'!C191</f>
        <v>744.34308098216138</v>
      </c>
      <c r="J191" s="897">
        <f>'1.8.2 RenHLR'!H191+'1.8.2 RenHLR'!I191</f>
        <v>940.21706978122768</v>
      </c>
      <c r="K191" s="919">
        <f t="shared" si="2"/>
        <v>65702.833154610416</v>
      </c>
    </row>
    <row r="192" spans="1:11" s="887" customFormat="1" ht="10.9" x14ac:dyDescent="0.45">
      <c r="A192" s="892">
        <v>1882</v>
      </c>
      <c r="B192" s="918">
        <f>'1.3.1 CoalLR'!R192*Units!C$20*1000</f>
        <v>64541.084830569969</v>
      </c>
      <c r="C192" s="917">
        <f>'1.5.1 OilLR'!AH22</f>
        <v>248.93149295000001</v>
      </c>
      <c r="F192" s="897">
        <f>'1.8.3 RenPTLR'!E192</f>
        <v>32.767465315702665</v>
      </c>
      <c r="G192" s="897">
        <f>+'1.8.3 RenPTLR'!B192+'1.8.3 RenPTLR'!C192</f>
        <v>727.00612827103544</v>
      </c>
      <c r="J192" s="897">
        <f>'1.8.2 RenHLR'!H192+'1.8.2 RenHLR'!I192</f>
        <v>945.95228575132523</v>
      </c>
      <c r="K192" s="919">
        <f t="shared" si="2"/>
        <v>66495.742202858033</v>
      </c>
    </row>
    <row r="193" spans="1:11" s="887" customFormat="1" ht="10.9" x14ac:dyDescent="0.45">
      <c r="A193" s="892">
        <v>1883</v>
      </c>
      <c r="B193" s="918">
        <f>'1.3.1 CoalLR'!R193*Units!C$20*1000</f>
        <v>65941.024812778458</v>
      </c>
      <c r="C193" s="917">
        <f>'1.5.1 OilLR'!AH23</f>
        <v>288.55732244000001</v>
      </c>
      <c r="F193" s="897">
        <f>'1.8.3 RenPTLR'!E193</f>
        <v>32.55139782947181</v>
      </c>
      <c r="G193" s="897">
        <f>+'1.8.3 RenPTLR'!B193+'1.8.3 RenPTLR'!C193</f>
        <v>652.54004243630743</v>
      </c>
      <c r="J193" s="897">
        <f>'1.8.2 RenHLR'!H193+'1.8.2 RenHLR'!I193</f>
        <v>980.70246206697857</v>
      </c>
      <c r="K193" s="919">
        <f t="shared" si="2"/>
        <v>67895.376037551221</v>
      </c>
    </row>
    <row r="194" spans="1:11" s="887" customFormat="1" ht="10.9" x14ac:dyDescent="0.45">
      <c r="A194" s="892">
        <v>1884</v>
      </c>
      <c r="B194" s="918">
        <f>'1.3.1 CoalLR'!R194*Units!C$20*1000</f>
        <v>66122.198099174886</v>
      </c>
      <c r="C194" s="917">
        <f>'1.5.1 OilLR'!AH24</f>
        <v>217.43403874000001</v>
      </c>
      <c r="F194" s="897">
        <f>'1.8.3 RenPTLR'!E194</f>
        <v>32.335330343240955</v>
      </c>
      <c r="G194" s="897">
        <f>+'1.8.3 RenPTLR'!B194+'1.8.3 RenPTLR'!C194</f>
        <v>579.54044658095404</v>
      </c>
      <c r="J194" s="897">
        <f>'1.8.2 RenHLR'!H194+'1.8.2 RenHLR'!I194</f>
        <v>956.83030105747093</v>
      </c>
      <c r="K194" s="919">
        <f t="shared" si="2"/>
        <v>67908.338215896554</v>
      </c>
    </row>
    <row r="195" spans="1:11" s="887" customFormat="1" ht="10.9" x14ac:dyDescent="0.45">
      <c r="A195" s="892">
        <v>1885</v>
      </c>
      <c r="B195" s="918">
        <f>'1.3.1 CoalLR'!R195*Units!C$20*1000</f>
        <v>66549.585434388297</v>
      </c>
      <c r="C195" s="917">
        <f>'1.5.1 OilLR'!AH25</f>
        <v>304.81407300000001</v>
      </c>
      <c r="F195" s="897">
        <f>'1.8.3 RenPTLR'!E195</f>
        <v>32.119262857010106</v>
      </c>
      <c r="G195" s="897">
        <f>+'1.8.3 RenPTLR'!B195+'1.8.3 RenPTLR'!C195</f>
        <v>597.48175360751964</v>
      </c>
      <c r="J195" s="897">
        <f>'1.8.2 RenHLR'!H195+'1.8.2 RenHLR'!I195</f>
        <v>944.91536598095558</v>
      </c>
      <c r="K195" s="919">
        <f t="shared" si="2"/>
        <v>68428.915889833777</v>
      </c>
    </row>
    <row r="196" spans="1:11" s="887" customFormat="1" ht="10.9" x14ac:dyDescent="0.45">
      <c r="A196" s="892">
        <v>1886</v>
      </c>
      <c r="B196" s="918">
        <f>'1.3.1 CoalLR'!R196*Units!C$20*1000</f>
        <v>67047.755928014187</v>
      </c>
      <c r="C196" s="917">
        <f>'1.5.1 OilLR'!AH26</f>
        <v>297.70174463000001</v>
      </c>
      <c r="F196" s="897">
        <f>'1.8.3 RenPTLR'!E196</f>
        <v>31.903195370779251</v>
      </c>
      <c r="G196" s="897">
        <f>+'1.8.3 RenPTLR'!B196+'1.8.3 RenPTLR'!C196</f>
        <v>558.83899895790603</v>
      </c>
      <c r="J196" s="897">
        <f>'1.8.2 RenHLR'!H196+'1.8.2 RenHLR'!I196</f>
        <v>936.50630637804841</v>
      </c>
      <c r="K196" s="919">
        <f t="shared" si="2"/>
        <v>68872.706173350918</v>
      </c>
    </row>
    <row r="197" spans="1:11" s="887" customFormat="1" ht="10.9" x14ac:dyDescent="0.45">
      <c r="A197" s="892">
        <v>1887</v>
      </c>
      <c r="B197" s="918">
        <f>'1.3.1 CoalLR'!R197*Units!C$20*1000</f>
        <v>68255.01970569558</v>
      </c>
      <c r="C197" s="917">
        <f>'1.5.1 OilLR'!AH27</f>
        <v>328.18315193000001</v>
      </c>
      <c r="F197" s="897">
        <f>'1.8.3 RenPTLR'!E197</f>
        <v>31.687127884548396</v>
      </c>
      <c r="G197" s="897">
        <f>+'1.8.3 RenPTLR'!B197+'1.8.3 RenPTLR'!C197</f>
        <v>544.90135483598135</v>
      </c>
      <c r="J197" s="897">
        <f>'1.8.2 RenHLR'!H197+'1.8.2 RenHLR'!I197</f>
        <v>962.35578124336439</v>
      </c>
      <c r="K197" s="919">
        <f t="shared" si="2"/>
        <v>70122.147121589471</v>
      </c>
    </row>
    <row r="198" spans="1:11" s="887" customFormat="1" ht="10.9" x14ac:dyDescent="0.45">
      <c r="A198" s="892">
        <v>1888</v>
      </c>
      <c r="B198" s="918">
        <f>'1.3.1 CoalLR'!R198*Units!C$20*1000</f>
        <v>69072.947359103608</v>
      </c>
      <c r="C198" s="917">
        <f>'1.5.1 OilLR'!AH28</f>
        <v>396.25829490000001</v>
      </c>
      <c r="F198" s="897">
        <f>'1.8.3 RenPTLR'!E198</f>
        <v>31.471060398317533</v>
      </c>
      <c r="G198" s="897">
        <f>+'1.8.3 RenPTLR'!B198+'1.8.3 RenPTLR'!C198</f>
        <v>535.6974215664585</v>
      </c>
      <c r="J198" s="897">
        <f>'1.8.2 RenHLR'!H198+'1.8.2 RenHLR'!I198</f>
        <v>996.23310224294778</v>
      </c>
      <c r="K198" s="919">
        <f t="shared" si="2"/>
        <v>71032.60723821132</v>
      </c>
    </row>
    <row r="199" spans="1:11" s="887" customFormat="1" ht="10.9" x14ac:dyDescent="0.45">
      <c r="A199" s="892">
        <v>1889</v>
      </c>
      <c r="B199" s="918">
        <f>'1.3.1 CoalLR'!R199*Units!C$20*1000</f>
        <v>69890.875012511635</v>
      </c>
      <c r="C199" s="917">
        <f>'1.5.1 OilLR'!AH29</f>
        <v>426.73970220000001</v>
      </c>
      <c r="F199" s="897">
        <f>'1.8.3 RenPTLR'!E199</f>
        <v>31.254992912086685</v>
      </c>
      <c r="G199" s="897">
        <f>+'1.8.3 RenPTLR'!B199+'1.8.3 RenPTLR'!C199</f>
        <v>528.61909261867083</v>
      </c>
      <c r="J199" s="897">
        <f>'1.8.2 RenHLR'!H199+'1.8.2 RenHLR'!I199</f>
        <v>1030.1436863282352</v>
      </c>
      <c r="K199" s="919">
        <f t="shared" si="2"/>
        <v>71907.632486570612</v>
      </c>
    </row>
    <row r="200" spans="1:11" s="887" customFormat="1" ht="10.9" x14ac:dyDescent="0.45">
      <c r="A200" s="892">
        <v>1890</v>
      </c>
      <c r="B200" s="918">
        <f>'1.3.1 CoalLR'!R200*Units!C$20*1000</f>
        <v>70708.802665919662</v>
      </c>
      <c r="C200" s="917">
        <f>'1.5.1 OilLR'!AH30</f>
        <v>445.02854658000001</v>
      </c>
      <c r="F200" s="897">
        <f>'1.8.3 RenPTLR'!E200</f>
        <v>31.038925425855837</v>
      </c>
      <c r="G200" s="897">
        <f>+'1.8.3 RenPTLR'!B200+'1.8.3 RenPTLR'!C200</f>
        <v>500.38624048050951</v>
      </c>
      <c r="J200" s="897">
        <f>'1.8.2 RenHLR'!H200+'1.8.2 RenHLR'!I200</f>
        <v>1064.0880324455118</v>
      </c>
      <c r="K200" s="919">
        <f t="shared" si="2"/>
        <v>72749.34441085154</v>
      </c>
    </row>
    <row r="201" spans="1:11" s="887" customFormat="1" ht="10.9" x14ac:dyDescent="0.45">
      <c r="A201" s="892">
        <v>1891</v>
      </c>
      <c r="B201" s="918">
        <f>'1.3.1 CoalLR'!R201*Units!C$20*1000</f>
        <v>71526.730319327704</v>
      </c>
      <c r="C201" s="917">
        <f>'1.5.1 OilLR'!AH31</f>
        <v>553.74556595000001</v>
      </c>
      <c r="F201" s="897">
        <f>'1.8.3 RenPTLR'!E201</f>
        <v>30.822857939624974</v>
      </c>
      <c r="G201" s="897">
        <f>+'1.8.3 RenPTLR'!B201+'1.8.3 RenPTLR'!C201</f>
        <v>468.98349431803069</v>
      </c>
      <c r="J201" s="897">
        <f>'1.8.2 RenHLR'!H201+'1.8.2 RenHLR'!I201</f>
        <v>1098.0666470252577</v>
      </c>
      <c r="K201" s="919">
        <f t="shared" si="2"/>
        <v>73678.348884560619</v>
      </c>
    </row>
    <row r="202" spans="1:11" s="887" customFormat="1" ht="10.9" x14ac:dyDescent="0.45">
      <c r="A202" s="892">
        <v>1892</v>
      </c>
      <c r="B202" s="918">
        <f>'1.3.1 CoalLR'!R202*Units!C$20*1000</f>
        <v>72344.657972735731</v>
      </c>
      <c r="C202" s="917">
        <f>'1.5.1 OilLR'!AH32</f>
        <v>546.63323758000001</v>
      </c>
      <c r="F202" s="897">
        <f>'1.8.3 RenPTLR'!E202</f>
        <v>30.606790453394119</v>
      </c>
      <c r="G202" s="897">
        <f>+'1.8.3 RenPTLR'!B202+'1.8.3 RenPTLR'!C202</f>
        <v>465.78748039069103</v>
      </c>
      <c r="J202" s="897">
        <f>'1.8.2 RenHLR'!H202+'1.8.2 RenHLR'!I202</f>
        <v>1132.0800440944097</v>
      </c>
      <c r="K202" s="919">
        <f t="shared" ref="K202:K265" si="3">SUM(B202:J202)</f>
        <v>74519.765525254232</v>
      </c>
    </row>
    <row r="203" spans="1:11" s="887" customFormat="1" ht="10.9" x14ac:dyDescent="0.45">
      <c r="A203" s="892">
        <v>1893</v>
      </c>
      <c r="B203" s="918">
        <f>'1.3.1 CoalLR'!R203*Units!C$20*1000</f>
        <v>73162.585626143773</v>
      </c>
      <c r="C203" s="917">
        <f>'1.5.1 OilLR'!AH33</f>
        <v>660.43049150000002</v>
      </c>
      <c r="F203" s="897">
        <f>'1.8.3 RenPTLR'!E203</f>
        <v>30.390722967163271</v>
      </c>
      <c r="G203" s="897">
        <f>+'1.8.3 RenPTLR'!B203+'1.8.3 RenPTLR'!C203</f>
        <v>435.56016277725212</v>
      </c>
      <c r="J203" s="897">
        <f>'1.8.2 RenHLR'!H203+'1.8.2 RenHLR'!I203</f>
        <v>1166.1287453903089</v>
      </c>
      <c r="K203" s="919">
        <f t="shared" si="3"/>
        <v>75455.095748778491</v>
      </c>
    </row>
    <row r="204" spans="1:11" s="887" customFormat="1" ht="10.9" x14ac:dyDescent="0.45">
      <c r="A204" s="892">
        <v>1894</v>
      </c>
      <c r="B204" s="918">
        <f>'1.3.1 CoalLR'!R204*Units!C$20*1000</f>
        <v>73980.5132795518</v>
      </c>
      <c r="C204" s="917">
        <f>'1.5.1 OilLR'!AH34</f>
        <v>684.81561734000002</v>
      </c>
      <c r="F204" s="897">
        <f>'1.8.3 RenPTLR'!E204</f>
        <v>30.174655480932415</v>
      </c>
      <c r="G204" s="897">
        <f>+'1.8.3 RenPTLR'!B204+'1.8.3 RenPTLR'!C204</f>
        <v>439.18836694629175</v>
      </c>
      <c r="J204" s="897">
        <f>'1.8.2 RenHLR'!H204+'1.8.2 RenHLR'!I204</f>
        <v>1200.2132804763564</v>
      </c>
      <c r="K204" s="919">
        <f t="shared" si="3"/>
        <v>76334.905199795394</v>
      </c>
    </row>
    <row r="205" spans="1:11" s="887" customFormat="1" ht="10.9" x14ac:dyDescent="0.45">
      <c r="A205" s="892">
        <v>1895</v>
      </c>
      <c r="B205" s="918">
        <f>'1.3.1 CoalLR'!R205*Units!C$20*1000</f>
        <v>74857.240932959845</v>
      </c>
      <c r="C205" s="917">
        <f>'1.5.1 OilLR'!AH35</f>
        <v>748.82657267000002</v>
      </c>
      <c r="F205" s="897">
        <f>'1.8.3 RenPTLR'!E205</f>
        <v>29.958587994701556</v>
      </c>
      <c r="G205" s="897">
        <f>+'1.8.3 RenPTLR'!B205+'1.8.3 RenPTLR'!C205</f>
        <v>406.70604864257359</v>
      </c>
      <c r="J205" s="897">
        <f>'1.8.2 RenHLR'!H205+'1.8.2 RenHLR'!I205</f>
        <v>1234.334186859405</v>
      </c>
      <c r="K205" s="919">
        <f t="shared" si="3"/>
        <v>77277.066329126523</v>
      </c>
    </row>
    <row r="206" spans="1:11" s="887" customFormat="1" ht="10.9" x14ac:dyDescent="0.45">
      <c r="A206" s="892">
        <v>1896</v>
      </c>
      <c r="B206" s="918">
        <f>'1.3.1 CoalLR'!R206*Units!C$20*1000</f>
        <v>75888.318586367866</v>
      </c>
      <c r="C206" s="917">
        <f>'1.5.1 OilLR'!AH36</f>
        <v>797.59682435000002</v>
      </c>
      <c r="F206" s="897">
        <f>'1.8.3 RenPTLR'!E206</f>
        <v>29.742520508470712</v>
      </c>
      <c r="G206" s="897">
        <f>+'1.8.3 RenPTLR'!B206+'1.8.3 RenPTLR'!C206</f>
        <v>375.67035185979762</v>
      </c>
      <c r="J206" s="897">
        <f>'1.8.2 RenHLR'!H206+'1.8.2 RenHLR'!I206</f>
        <v>1268.4920101089094</v>
      </c>
      <c r="K206" s="919">
        <f t="shared" si="3"/>
        <v>78359.820293195036</v>
      </c>
    </row>
    <row r="207" spans="1:11" s="887" customFormat="1" ht="10.9" x14ac:dyDescent="0.45">
      <c r="A207" s="892">
        <v>1897</v>
      </c>
      <c r="B207" s="918">
        <f>'1.3.1 CoalLR'!R207*Units!C$20*1000</f>
        <v>76919.396239775902</v>
      </c>
      <c r="C207" s="917">
        <f>'1.5.1 OilLR'!AH37</f>
        <v>786.42030834000002</v>
      </c>
      <c r="F207" s="897">
        <f>'1.8.3 RenPTLR'!E207</f>
        <v>29.526453022239856</v>
      </c>
      <c r="G207" s="897">
        <f>+'1.8.3 RenPTLR'!B207+'1.8.3 RenPTLR'!C207</f>
        <v>351.02044147400858</v>
      </c>
      <c r="J207" s="897">
        <f>'1.8.2 RenHLR'!H207+'1.8.2 RenHLR'!I207</f>
        <v>1302.6873039778659</v>
      </c>
      <c r="K207" s="919">
        <f t="shared" si="3"/>
        <v>79389.05074659003</v>
      </c>
    </row>
    <row r="208" spans="1:11" s="887" customFormat="1" ht="10.9" x14ac:dyDescent="0.45">
      <c r="A208" s="892">
        <v>1898</v>
      </c>
      <c r="B208" s="918">
        <f>'1.3.1 CoalLR'!R208*Units!C$20*1000</f>
        <v>77950.473893183938</v>
      </c>
      <c r="C208" s="917">
        <f>'1.5.1 OilLR'!AH38</f>
        <v>932.73106338000002</v>
      </c>
      <c r="F208" s="897">
        <f>'1.8.3 RenPTLR'!E208</f>
        <v>29.310385536008994</v>
      </c>
      <c r="G208" s="897">
        <f>+'1.8.3 RenPTLR'!B208+'1.8.3 RenPTLR'!C208</f>
        <v>328.17808385581958</v>
      </c>
      <c r="J208" s="897">
        <f>'1.8.2 RenHLR'!H208+'1.8.2 RenHLR'!I208</f>
        <v>1336.920630525567</v>
      </c>
      <c r="K208" s="919">
        <f t="shared" si="3"/>
        <v>80577.614056481325</v>
      </c>
    </row>
    <row r="209" spans="1:11" s="887" customFormat="1" ht="10.9" x14ac:dyDescent="0.45">
      <c r="A209" s="892">
        <v>1899</v>
      </c>
      <c r="B209" s="918">
        <f>'1.3.1 CoalLR'!R209*Units!C$20*1000</f>
        <v>78981.551546591974</v>
      </c>
      <c r="C209" s="917">
        <f>'1.5.1 OilLR'!AH39</f>
        <v>879.89662406000002</v>
      </c>
      <c r="F209" s="897">
        <f>'1.8.3 RenPTLR'!E209</f>
        <v>29.094318049778146</v>
      </c>
      <c r="G209" s="897">
        <f>+'1.8.3 RenPTLR'!B209+'1.8.3 RenPTLR'!C209</f>
        <v>317.22725326094042</v>
      </c>
      <c r="J209" s="897">
        <f>'1.8.2 RenHLR'!H209+'1.8.2 RenHLR'!I209</f>
        <v>1371.1925602421936</v>
      </c>
      <c r="K209" s="919">
        <f t="shared" si="3"/>
        <v>81578.962302204891</v>
      </c>
    </row>
    <row r="210" spans="1:11" s="887" customFormat="1" ht="10.9" x14ac:dyDescent="0.45">
      <c r="A210" s="892">
        <v>1900</v>
      </c>
      <c r="B210" s="918">
        <f>'1.3.1 CoalLR'!R210*Units!C$20*1000</f>
        <v>91223.737080000006</v>
      </c>
      <c r="C210" s="917">
        <f>'1.5.1 OilLR'!AH40</f>
        <v>933.74711029000002</v>
      </c>
      <c r="F210" s="897">
        <f>'1.8.3 RenPTLR'!E210</f>
        <v>28.878250563547294</v>
      </c>
      <c r="G210" s="897">
        <f>+'1.8.3 RenPTLR'!B210+'1.8.3 RenPTLR'!C210</f>
        <v>316.97088784777418</v>
      </c>
      <c r="J210" s="897">
        <f>'1.8.2 RenHLR'!H210+'1.8.2 RenHLR'!I210</f>
        <v>1405.503672175279</v>
      </c>
      <c r="K210" s="919">
        <f t="shared" si="3"/>
        <v>93908.837000876607</v>
      </c>
    </row>
    <row r="211" spans="1:11" s="887" customFormat="1" ht="10.9" x14ac:dyDescent="0.45">
      <c r="A211" s="892">
        <v>1901</v>
      </c>
      <c r="B211" s="918">
        <f>'1.3.1 CoalLR'!R211*Units!C$20*1000</f>
        <v>89815.388879999984</v>
      </c>
      <c r="C211" s="917">
        <f>'1.5.1 OilLR'!AH41</f>
        <v>966.26061141000002</v>
      </c>
      <c r="F211" s="897">
        <f>'1.8.3 RenPTLR'!E211</f>
        <v>28.662183077316438</v>
      </c>
      <c r="G211" s="897">
        <f>+'1.8.3 RenPTLR'!B211+'1.8.3 RenPTLR'!C211</f>
        <v>327.13875752160732</v>
      </c>
      <c r="J211" s="897">
        <f>'1.8.2 RenHLR'!H211+'1.8.2 RenHLR'!I211</f>
        <v>1398.121205120465</v>
      </c>
      <c r="K211" s="919">
        <f t="shared" si="3"/>
        <v>92535.571637129382</v>
      </c>
    </row>
    <row r="212" spans="1:11" s="887" customFormat="1" ht="10.9" x14ac:dyDescent="0.45">
      <c r="A212" s="892">
        <v>1902</v>
      </c>
      <c r="B212" s="918">
        <f>'1.3.1 CoalLR'!R212*Units!C$20*1000</f>
        <v>92893.574759999989</v>
      </c>
      <c r="C212" s="917">
        <f>'1.5.1 OilLR'!AH42</f>
        <v>1087.1701937</v>
      </c>
      <c r="F212" s="897">
        <f>'1.8.3 RenPTLR'!E212</f>
        <v>28.446115591085583</v>
      </c>
      <c r="G212" s="897">
        <f>+'1.8.3 RenPTLR'!B212+'1.8.3 RenPTLR'!C212</f>
        <v>261.53729747530554</v>
      </c>
      <c r="J212" s="897">
        <f>'1.8.2 RenHLR'!H212+'1.8.2 RenHLR'!I212</f>
        <v>1448.0545282789726</v>
      </c>
      <c r="K212" s="919">
        <f t="shared" si="3"/>
        <v>95718.782895045355</v>
      </c>
    </row>
    <row r="213" spans="1:11" s="887" customFormat="1" ht="10.9" x14ac:dyDescent="0.45">
      <c r="A213" s="892">
        <v>1903</v>
      </c>
      <c r="B213" s="918">
        <f>'1.3.1 CoalLR'!R213*Units!C$20*1000</f>
        <v>93140.046719999984</v>
      </c>
      <c r="C213" s="917">
        <f>'1.5.1 OilLR'!AH43</f>
        <v>1084.1220529699999</v>
      </c>
      <c r="F213" s="897">
        <f>'1.8.3 RenPTLR'!E213</f>
        <v>28.230048104854728</v>
      </c>
      <c r="G213" s="897">
        <f>+'1.8.3 RenPTLR'!B213+'1.8.3 RenPTLR'!C213</f>
        <v>214.58710603340253</v>
      </c>
      <c r="J213" s="897">
        <f>'1.8.2 RenHLR'!H213+'1.8.2 RenHLR'!I213</f>
        <v>1420.3184495500982</v>
      </c>
      <c r="K213" s="919">
        <f t="shared" si="3"/>
        <v>95887.304376658343</v>
      </c>
    </row>
    <row r="214" spans="1:11" s="887" customFormat="1" ht="10.9" x14ac:dyDescent="0.45">
      <c r="A214" s="892">
        <v>1904</v>
      </c>
      <c r="B214" s="918">
        <f>'1.3.1 CoalLR'!R214*Units!C$20*1000</f>
        <v>94039.216320000021</v>
      </c>
      <c r="C214" s="917">
        <f>'1.5.1 OilLR'!AH44</f>
        <v>1143.0527737500001</v>
      </c>
      <c r="F214" s="897">
        <f>'1.8.3 RenPTLR'!E214</f>
        <v>28.013980618623876</v>
      </c>
      <c r="G214" s="897">
        <f>+'1.8.3 RenPTLR'!B214+'1.8.3 RenPTLR'!C214</f>
        <v>213.87268626548146</v>
      </c>
      <c r="J214" s="897">
        <f>'1.8.2 RenHLR'!H214+'1.8.2 RenHLR'!I214</f>
        <v>1431.7669605390856</v>
      </c>
      <c r="K214" s="919">
        <f t="shared" si="3"/>
        <v>96855.922721173207</v>
      </c>
    </row>
    <row r="215" spans="1:11" s="887" customFormat="1" ht="10.9" x14ac:dyDescent="0.45">
      <c r="A215" s="892">
        <v>1905</v>
      </c>
      <c r="B215" s="918">
        <f>'1.3.1 CoalLR'!R215*Units!C$20*1000</f>
        <v>95948.005440000008</v>
      </c>
      <c r="C215" s="917">
        <f>'1.5.1 OilLR'!AH45</f>
        <v>1136.9564922899999</v>
      </c>
      <c r="F215" s="897">
        <f>'1.8.3 RenPTLR'!E215</f>
        <v>27.79791313239302</v>
      </c>
      <c r="G215" s="897">
        <f>+'1.8.3 RenPTLR'!B215+'1.8.3 RenPTLR'!C215</f>
        <v>214.87805203070712</v>
      </c>
      <c r="J215" s="897">
        <f>'1.8.2 RenHLR'!H215+'1.8.2 RenHLR'!I215</f>
        <v>1339.9316662575798</v>
      </c>
      <c r="K215" s="919">
        <f t="shared" si="3"/>
        <v>98667.569563710684</v>
      </c>
    </row>
    <row r="216" spans="1:11" s="887" customFormat="1" ht="10.9" x14ac:dyDescent="0.45">
      <c r="A216" s="892">
        <v>1906</v>
      </c>
      <c r="B216" s="918">
        <f>'1.3.1 CoalLR'!R216*Units!C$20*1000</f>
        <v>99529.536959999998</v>
      </c>
      <c r="C216" s="917">
        <f>'1.5.1 OilLR'!AH46</f>
        <v>1137.9725392</v>
      </c>
      <c r="F216" s="897">
        <f>'1.8.3 RenPTLR'!E216</f>
        <v>27.581845646162165</v>
      </c>
      <c r="G216" s="897">
        <f>+'1.8.3 RenPTLR'!B216+'1.8.3 RenPTLR'!C216</f>
        <v>194.53731905297644</v>
      </c>
      <c r="J216" s="897">
        <f>'1.8.2 RenHLR'!H216+'1.8.2 RenHLR'!I216</f>
        <v>1322.9714273948489</v>
      </c>
      <c r="K216" s="919">
        <f t="shared" si="3"/>
        <v>102212.60009129398</v>
      </c>
    </row>
    <row r="217" spans="1:11" s="887" customFormat="1" ht="10.9" x14ac:dyDescent="0.45">
      <c r="A217" s="892">
        <v>1907</v>
      </c>
      <c r="B217" s="918">
        <f>'1.3.1 CoalLR'!R217*Units!C$20*1000</f>
        <v>104915.24063999999</v>
      </c>
      <c r="C217" s="917">
        <f>'1.5.1 OilLR'!AH47</f>
        <v>1165.4058057699999</v>
      </c>
      <c r="F217" s="897">
        <f>'1.8.3 RenPTLR'!E217</f>
        <v>27.365778159931214</v>
      </c>
      <c r="G217" s="897">
        <f>+'1.8.3 RenPTLR'!B217+'1.8.3 RenPTLR'!C217</f>
        <v>178.7803296810838</v>
      </c>
      <c r="J217" s="897">
        <f>'1.8.2 RenHLR'!H217+'1.8.2 RenHLR'!I217</f>
        <v>1435.5719645220961</v>
      </c>
      <c r="K217" s="919">
        <f t="shared" si="3"/>
        <v>107722.36451813311</v>
      </c>
    </row>
    <row r="218" spans="1:11" s="887" customFormat="1" ht="10.9" x14ac:dyDescent="0.45">
      <c r="A218" s="892">
        <v>1908</v>
      </c>
      <c r="B218" s="918">
        <f>'1.3.1 CoalLR'!R218*Units!C$20*1000</f>
        <v>102158.27328000001</v>
      </c>
      <c r="C218" s="917">
        <f>'1.5.1 OilLR'!AH48</f>
        <v>1305.6202793500001</v>
      </c>
      <c r="F218" s="897">
        <f>'1.8.3 RenPTLR'!E218</f>
        <v>26.549579785316066</v>
      </c>
      <c r="G218" s="897">
        <f>+'1.8.3 RenPTLR'!B218+'1.8.3 RenPTLR'!C218</f>
        <v>174.87659608766097</v>
      </c>
      <c r="I218" s="917"/>
      <c r="J218" s="897">
        <f>'1.8.2 RenHLR'!H218+'1.8.2 RenHLR'!I218</f>
        <v>1390.7811789610864</v>
      </c>
      <c r="K218" s="919">
        <f t="shared" si="3"/>
        <v>105056.10091418408</v>
      </c>
    </row>
    <row r="219" spans="1:11" s="887" customFormat="1" ht="10.9" x14ac:dyDescent="0.45">
      <c r="A219" s="892">
        <v>1909</v>
      </c>
      <c r="B219" s="918">
        <f>'1.3.1 CoalLR'!R219*Units!C$20*1000</f>
        <v>103881.86592</v>
      </c>
      <c r="C219" s="917">
        <f>'1.5.1 OilLR'!AH49</f>
        <v>1367.59914086</v>
      </c>
      <c r="F219" s="897">
        <f>'1.8.3 RenPTLR'!E219</f>
        <v>25.733381410700911</v>
      </c>
      <c r="G219" s="897">
        <f>+'1.8.3 RenPTLR'!B219+'1.8.3 RenPTLR'!C219</f>
        <v>149.38421664204145</v>
      </c>
      <c r="I219" s="917"/>
      <c r="J219" s="897">
        <f>'1.8.2 RenHLR'!H219+'1.8.2 RenHLR'!I219</f>
        <v>1389.207623889045</v>
      </c>
      <c r="K219" s="919">
        <f t="shared" si="3"/>
        <v>106813.79028280177</v>
      </c>
    </row>
    <row r="220" spans="1:11" s="887" customFormat="1" ht="10.9" x14ac:dyDescent="0.45">
      <c r="A220" s="892">
        <v>1910</v>
      </c>
      <c r="B220" s="918">
        <f>'1.3.1 CoalLR'!R220*Units!C$20*1000</f>
        <v>105659.22527999997</v>
      </c>
      <c r="C220" s="917">
        <f>'1.5.1 OilLR'!AH50</f>
        <v>1319.8449360899999</v>
      </c>
      <c r="F220" s="897">
        <f>'1.8.3 RenPTLR'!E220</f>
        <v>24.917183036085767</v>
      </c>
      <c r="G220" s="897">
        <f>+'1.8.3 RenPTLR'!B220+'1.8.3 RenPTLR'!C220</f>
        <v>153.50324452047195</v>
      </c>
      <c r="I220" s="917"/>
      <c r="J220" s="897">
        <f>'1.8.2 RenHLR'!H220+'1.8.2 RenHLR'!I220</f>
        <v>1419.3393233314855</v>
      </c>
      <c r="K220" s="919">
        <f t="shared" si="3"/>
        <v>108576.82996697801</v>
      </c>
    </row>
    <row r="221" spans="1:11" s="887" customFormat="1" ht="10.9" x14ac:dyDescent="0.45">
      <c r="A221" s="892">
        <v>1911</v>
      </c>
      <c r="B221" s="918">
        <f>'1.3.1 CoalLR'!R221*Units!C$20*1000</f>
        <v>109294.52352</v>
      </c>
      <c r="C221" s="917">
        <f>'1.5.1 OilLR'!AH51</f>
        <v>1385.88798524</v>
      </c>
      <c r="F221" s="897">
        <f>'1.8.3 RenPTLR'!E221</f>
        <v>24.100984661470616</v>
      </c>
      <c r="G221" s="897">
        <f>+'1.8.3 RenPTLR'!B221+'1.8.3 RenPTLR'!C221</f>
        <v>147.80956161182135</v>
      </c>
      <c r="I221" s="917"/>
      <c r="J221" s="897">
        <f>'1.8.2 RenHLR'!H221+'1.8.2 RenHLR'!I221</f>
        <v>1461.8932740056675</v>
      </c>
      <c r="K221" s="919">
        <f t="shared" si="3"/>
        <v>112314.21532551896</v>
      </c>
    </row>
    <row r="222" spans="1:11" s="887" customFormat="1" ht="10.9" x14ac:dyDescent="0.45">
      <c r="A222" s="892">
        <v>1912</v>
      </c>
      <c r="B222" s="918">
        <f>'1.3.1 CoalLR'!R222*Units!C$20*1000</f>
        <v>107027.43071999999</v>
      </c>
      <c r="C222" s="917">
        <f>'1.5.1 OilLR'!AH52</f>
        <v>1592.1455079699999</v>
      </c>
      <c r="F222" s="897">
        <f>'1.8.3 RenPTLR'!E222</f>
        <v>23.284786286855457</v>
      </c>
      <c r="G222" s="897">
        <f>+'1.8.3 RenPTLR'!B222+'1.8.3 RenPTLR'!C222</f>
        <v>126.55956839496399</v>
      </c>
      <c r="I222" s="917"/>
      <c r="J222" s="897">
        <f>'1.8.2 RenHLR'!H222+'1.8.2 RenHLR'!I222</f>
        <v>1285.1781275777364</v>
      </c>
      <c r="K222" s="919">
        <f t="shared" si="3"/>
        <v>110054.59871022953</v>
      </c>
    </row>
    <row r="223" spans="1:11" s="887" customFormat="1" ht="10.9" x14ac:dyDescent="0.45">
      <c r="A223" s="892">
        <v>1913</v>
      </c>
      <c r="B223" s="918">
        <f>'1.3.1 CoalLR'!R223*Units!C$20*1000</f>
        <v>112539.71904</v>
      </c>
      <c r="C223" s="917">
        <f>'1.5.1 OilLR'!AH53</f>
        <v>1863.43003294</v>
      </c>
      <c r="F223" s="897">
        <f>'1.8.3 RenPTLR'!E223</f>
        <v>22.468587912240316</v>
      </c>
      <c r="G223" s="897">
        <f>+'1.8.3 RenPTLR'!B223+'1.8.3 RenPTLR'!C223</f>
        <v>111.37871934254795</v>
      </c>
      <c r="I223" s="917"/>
      <c r="J223" s="897">
        <f>'1.8.2 RenHLR'!H223+'1.8.2 RenHLR'!I223</f>
        <v>1209.2122066344273</v>
      </c>
      <c r="K223" s="919">
        <f t="shared" si="3"/>
        <v>115746.20858682922</v>
      </c>
    </row>
    <row r="224" spans="1:11" s="887" customFormat="1" ht="10.9" x14ac:dyDescent="0.45">
      <c r="A224" s="892">
        <v>1914</v>
      </c>
      <c r="B224" s="918">
        <f>'1.3.1 CoalLR'!R224*Units!C$20*1000</f>
        <v>110861.00255999999</v>
      </c>
      <c r="C224" s="917">
        <f>'1.5.1 OilLR'!AH54</f>
        <v>2434.4483963600001</v>
      </c>
      <c r="F224" s="897">
        <f>'1.8.3 RenPTLR'!E224</f>
        <v>21.652389537625162</v>
      </c>
      <c r="G224" s="897">
        <f>+'1.8.3 RenPTLR'!B224+'1.8.3 RenPTLR'!C224</f>
        <v>90.029407541276285</v>
      </c>
      <c r="I224" s="917"/>
      <c r="J224" s="897">
        <f>'1.8.2 RenHLR'!H224+'1.8.2 RenHLR'!I224</f>
        <v>1188.4851781332495</v>
      </c>
      <c r="K224" s="919">
        <f t="shared" si="3"/>
        <v>114595.61793157217</v>
      </c>
    </row>
    <row r="225" spans="1:11" s="887" customFormat="1" ht="10.9" x14ac:dyDescent="0.45">
      <c r="A225" s="892">
        <v>1915</v>
      </c>
      <c r="B225" s="918">
        <f>'1.3.1 CoalLR'!R225*Units!C$20*1000</f>
        <v>113256.60863999999</v>
      </c>
      <c r="C225" s="917">
        <f>'1.5.1 OilLR'!AH55</f>
        <v>2248.5118118299997</v>
      </c>
      <c r="F225" s="897">
        <f>'1.8.3 RenPTLR'!E225</f>
        <v>20.836191163010017</v>
      </c>
      <c r="G225" s="897">
        <f>+'1.8.3 RenPTLR'!B225+'1.8.3 RenPTLR'!C225</f>
        <v>114.25047740094129</v>
      </c>
      <c r="I225" s="917"/>
      <c r="J225" s="897">
        <f>'1.8.2 RenHLR'!H225+'1.8.2 RenHLR'!I225</f>
        <v>1233.8366190517279</v>
      </c>
      <c r="K225" s="919">
        <f t="shared" si="3"/>
        <v>116874.04373944567</v>
      </c>
    </row>
    <row r="226" spans="1:11" s="887" customFormat="1" ht="10.9" x14ac:dyDescent="0.45">
      <c r="A226" s="892">
        <v>1916</v>
      </c>
      <c r="B226" s="918">
        <f>'1.3.1 CoalLR'!R226*Units!C$20*1000</f>
        <v>118573.53984000003</v>
      </c>
      <c r="C226" s="917">
        <f>'1.5.1 OilLR'!AH56</f>
        <v>1701.8785742500004</v>
      </c>
      <c r="F226" s="897">
        <f>'1.8.3 RenPTLR'!E226</f>
        <v>20.019992788394866</v>
      </c>
      <c r="G226" s="897">
        <f>+'1.8.3 RenPTLR'!B226+'1.8.3 RenPTLR'!C226</f>
        <v>118.43915119912272</v>
      </c>
      <c r="I226" s="917"/>
      <c r="J226" s="897">
        <f>'1.8.2 RenHLR'!H226+'1.8.2 RenHLR'!I226</f>
        <v>1285.7474531300713</v>
      </c>
      <c r="K226" s="919">
        <f t="shared" si="3"/>
        <v>121699.62501136762</v>
      </c>
    </row>
    <row r="227" spans="1:11" s="887" customFormat="1" ht="10.9" x14ac:dyDescent="0.45">
      <c r="A227" s="892">
        <v>1917</v>
      </c>
      <c r="B227" s="918">
        <f>'1.3.1 CoalLR'!R227*Units!C$20*1000</f>
        <v>119762.38176</v>
      </c>
      <c r="C227" s="917">
        <f>'1.5.1 OilLR'!AH57</f>
        <v>3251.3501120000001</v>
      </c>
      <c r="F227" s="897">
        <f>'1.8.3 RenPTLR'!E227</f>
        <v>19.203794413779715</v>
      </c>
      <c r="G227" s="897">
        <f>+'1.8.3 RenPTLR'!B227+'1.8.3 RenPTLR'!C227</f>
        <v>60.785269898028211</v>
      </c>
      <c r="I227" s="917"/>
      <c r="J227" s="897">
        <f>'1.8.2 RenHLR'!H227+'1.8.2 RenHLR'!I227</f>
        <v>1281.1453267544878</v>
      </c>
      <c r="K227" s="919">
        <f t="shared" si="3"/>
        <v>124374.8662630663</v>
      </c>
    </row>
    <row r="228" spans="1:11" s="887" customFormat="1" ht="10.9" x14ac:dyDescent="0.45">
      <c r="A228" s="892">
        <v>1918</v>
      </c>
      <c r="B228" s="918">
        <f>'1.3.1 CoalLR'!R228*Units!C$20*1000</f>
        <v>113794.27583999999</v>
      </c>
      <c r="C228" s="917">
        <f>'1.5.1 OilLR'!AH58</f>
        <v>5237.7218210499996</v>
      </c>
      <c r="F228" s="897">
        <f>'1.8.3 RenPTLR'!E228</f>
        <v>18.387596039164563</v>
      </c>
      <c r="G228" s="897">
        <f>+'1.8.3 RenPTLR'!B228+'1.8.3 RenPTLR'!C228</f>
        <v>53.678360455231328</v>
      </c>
      <c r="I228" s="917"/>
      <c r="J228" s="897">
        <f>'1.8.2 RenHLR'!H228+'1.8.2 RenHLR'!I228</f>
        <v>1201.5524370004732</v>
      </c>
      <c r="K228" s="919">
        <f t="shared" si="3"/>
        <v>120305.61605454485</v>
      </c>
    </row>
    <row r="229" spans="1:11" s="887" customFormat="1" ht="10.9" x14ac:dyDescent="0.45">
      <c r="A229" s="892">
        <v>1919</v>
      </c>
      <c r="B229" s="918">
        <f>'1.3.1 CoalLR'!R229*Units!C$20*1000</f>
        <v>108722.28191999998</v>
      </c>
      <c r="C229" s="917">
        <f>'1.5.1 OilLR'!AH59</f>
        <v>2638.6738252699997</v>
      </c>
      <c r="F229" s="897">
        <f>'1.8.3 RenPTLR'!E229</f>
        <v>17.571397664549419</v>
      </c>
      <c r="G229" s="897">
        <f>+'1.8.3 RenPTLR'!B229+'1.8.3 RenPTLR'!C229</f>
        <v>73.81380961376108</v>
      </c>
      <c r="I229" s="917"/>
      <c r="J229" s="897">
        <f>'1.8.2 RenHLR'!H229+'1.8.2 RenHLR'!I229</f>
        <v>1181.2608556867335</v>
      </c>
      <c r="K229" s="919">
        <f t="shared" si="3"/>
        <v>112633.60180823502</v>
      </c>
    </row>
    <row r="230" spans="1:11" s="887" customFormat="1" ht="10.9" x14ac:dyDescent="0.45">
      <c r="A230" s="892">
        <v>1920</v>
      </c>
      <c r="B230" s="918">
        <f>'1.3.1 CoalLR'!R230*Units!C$20*1000</f>
        <v>109857.35711999999</v>
      </c>
      <c r="C230" s="917">
        <f>'1.5.1 OilLR'!AH60</f>
        <v>3273.7031440200003</v>
      </c>
      <c r="F230" s="897">
        <f>+'1.8.1 RenElLR'!I10+'1.8.1 RenElLR'!J10+'1.8.3 RenPTLR'!E230</f>
        <v>17.787019289934264</v>
      </c>
      <c r="G230" s="897">
        <f>+'1.8.1 RenElLR'!B10+'1.8.1 RenElLR'!C10+'1.8.3 RenPTLR'!B230+'1.8.3 RenPTLR'!C230</f>
        <v>74.542897246986257</v>
      </c>
      <c r="I230" s="917"/>
      <c r="J230" s="897">
        <f>'1.8.2 RenHLR'!H230+'1.8.2 RenHLR'!I230+'1.8.1 RenElLR'!S10</f>
        <v>1228.8858563260935</v>
      </c>
      <c r="K230" s="919">
        <f t="shared" si="3"/>
        <v>114452.27603688298</v>
      </c>
    </row>
    <row r="231" spans="1:11" s="887" customFormat="1" ht="10.9" x14ac:dyDescent="0.45">
      <c r="A231" s="892">
        <v>1921</v>
      </c>
      <c r="B231" s="918">
        <f>'1.3.1 CoalLR'!R231*Units!C$20*1000</f>
        <v>80399.168639999989</v>
      </c>
      <c r="C231" s="917">
        <f>'1.5.1 OilLR'!AH61</f>
        <v>4445.20523125</v>
      </c>
      <c r="F231" s="897">
        <f>+'1.8.1 RenElLR'!I11+'1.8.1 RenElLR'!J11+'1.8.3 RenPTLR'!E231</f>
        <v>16.798850915319122</v>
      </c>
      <c r="G231" s="897">
        <f>+'1.8.1 RenElLR'!B11+'1.8.1 RenElLR'!C11+'1.8.3 RenPTLR'!B231+'1.8.3 RenPTLR'!C231</f>
        <v>35.955699147735089</v>
      </c>
      <c r="I231" s="917"/>
      <c r="J231" s="897">
        <f>'1.8.2 RenHLR'!H231+'1.8.2 RenHLR'!I231+'1.8.1 RenElLR'!S11</f>
        <v>913.79316795641626</v>
      </c>
      <c r="K231" s="919">
        <f t="shared" si="3"/>
        <v>85810.921589269463</v>
      </c>
    </row>
    <row r="232" spans="1:11" s="887" customFormat="1" ht="10.9" x14ac:dyDescent="0.45">
      <c r="A232" s="892">
        <v>1922</v>
      </c>
      <c r="B232" s="918">
        <f>'1.3.1 CoalLR'!R232*Units!C$20*1000</f>
        <v>98076.471359999981</v>
      </c>
      <c r="C232" s="917">
        <f>'1.5.1 OilLR'!AH62</f>
        <v>3789.8549742999999</v>
      </c>
      <c r="F232" s="897">
        <f>+'1.8.1 RenElLR'!I12+'1.8.1 RenElLR'!J12+'1.8.3 RenPTLR'!E232</f>
        <v>15.982652540703967</v>
      </c>
      <c r="G232" s="897">
        <f>+'1.8.1 RenElLR'!B12+'1.8.1 RenElLR'!C12+'1.8.3 RenPTLR'!B232+'1.8.3 RenPTLR'!C232</f>
        <v>25.377009765845123</v>
      </c>
      <c r="I232" s="917"/>
      <c r="J232" s="897">
        <f>'1.8.2 RenHLR'!H232+'1.8.2 RenHLR'!I232+'1.8.1 RenElLR'!S12</f>
        <v>1112.8542817831521</v>
      </c>
      <c r="K232" s="919">
        <f t="shared" si="3"/>
        <v>103020.54027838967</v>
      </c>
    </row>
    <row r="233" spans="1:11" s="887" customFormat="1" ht="10.9" x14ac:dyDescent="0.45">
      <c r="A233" s="892">
        <v>1923</v>
      </c>
      <c r="B233" s="918">
        <f>'1.3.1 CoalLR'!R233*Units!C$20*1000</f>
        <v>105591.86400000002</v>
      </c>
      <c r="C233" s="917">
        <f>'1.5.1 OilLR'!AH63</f>
        <v>3744.1328633499998</v>
      </c>
      <c r="F233" s="897">
        <f>+'1.8.1 RenElLR'!I13+'1.8.1 RenElLR'!J13+'1.8.3 RenPTLR'!E233</f>
        <v>15.42440916608882</v>
      </c>
      <c r="G233" s="897">
        <f>+'1.8.1 RenElLR'!B13+'1.8.1 RenElLR'!C13+'1.8.3 RenPTLR'!B233+'1.8.3 RenPTLR'!C233</f>
        <v>28.214903120319537</v>
      </c>
      <c r="I233" s="917"/>
      <c r="J233" s="897">
        <f>'1.8.2 RenHLR'!H233+'1.8.2 RenHLR'!I233+'1.8.1 RenElLR'!S13</f>
        <v>1183.6335210162915</v>
      </c>
      <c r="K233" s="919">
        <f t="shared" si="3"/>
        <v>110563.26969665271</v>
      </c>
    </row>
    <row r="234" spans="1:11" s="887" customFormat="1" ht="10.9" x14ac:dyDescent="0.45">
      <c r="A234" s="892">
        <v>1924</v>
      </c>
      <c r="B234" s="918">
        <f>'1.3.1 CoalLR'!R234*Units!C$20*1000</f>
        <v>107850.06623999999</v>
      </c>
      <c r="C234" s="917">
        <f>'1.5.1 OilLR'!AH64</f>
        <v>4384.2424166500005</v>
      </c>
      <c r="F234" s="897">
        <f>+'1.8.1 RenElLR'!I14+'1.8.1 RenElLR'!J14+'1.8.3 RenPTLR'!E234</f>
        <v>14.780180791473668</v>
      </c>
      <c r="G234" s="897">
        <f>+'1.8.1 RenElLR'!B14+'1.8.1 RenElLR'!C14+'1.8.3 RenPTLR'!B234+'1.8.3 RenPTLR'!C234</f>
        <v>27.355004148623486</v>
      </c>
      <c r="I234" s="917"/>
      <c r="J234" s="897">
        <f>'1.8.2 RenHLR'!H234+'1.8.2 RenHLR'!I234+'1.8.1 RenElLR'!S14</f>
        <v>1219.0023152611479</v>
      </c>
      <c r="K234" s="919">
        <f t="shared" si="3"/>
        <v>113495.44615685125</v>
      </c>
    </row>
    <row r="235" spans="1:11" s="887" customFormat="1" ht="10.9" x14ac:dyDescent="0.45">
      <c r="A235" s="892">
        <v>1925</v>
      </c>
      <c r="B235" s="918">
        <f>'1.3.1 CoalLR'!R235*Units!C$20*1000</f>
        <v>103255.99871999999</v>
      </c>
      <c r="C235" s="917">
        <f>'1.5.1 OilLR'!AH65</f>
        <v>4010.3371537700004</v>
      </c>
      <c r="F235" s="897">
        <f>+'1.8.1 RenElLR'!I15+'1.8.1 RenElLR'!J15+'1.8.3 RenPTLR'!E235</f>
        <v>13.963982416858521</v>
      </c>
      <c r="G235" s="897">
        <f>+'1.8.1 RenElLR'!B15+'1.8.1 RenElLR'!C15+'1.8.3 RenPTLR'!B235+'1.8.3 RenPTLR'!C235</f>
        <v>26.137525372115846</v>
      </c>
      <c r="I235" s="917"/>
      <c r="J235" s="897">
        <f>'1.8.2 RenHLR'!H235+'1.8.2 RenHLR'!I235+'1.8.1 RenElLR'!S15</f>
        <v>1174.4243149759727</v>
      </c>
      <c r="K235" s="919">
        <f t="shared" si="3"/>
        <v>108480.86169653494</v>
      </c>
    </row>
    <row r="236" spans="1:11" s="887" customFormat="1" ht="10.9" x14ac:dyDescent="0.45">
      <c r="A236" s="892">
        <v>1926</v>
      </c>
      <c r="B236" s="918">
        <f>'1.3.1 CoalLR'!R236*Units!C$20*1000</f>
        <v>74108.462399999989</v>
      </c>
      <c r="C236" s="917">
        <f>'1.5.1 OilLR'!AH66</f>
        <v>5489.7014547300005</v>
      </c>
      <c r="F236" s="897">
        <f>+'1.8.1 RenElLR'!I16+'1.8.1 RenElLR'!J16+'1.8.3 RenPTLR'!E236</f>
        <v>13.147784042243371</v>
      </c>
      <c r="G236" s="897">
        <f>+'1.8.1 RenElLR'!B16+'1.8.1 RenElLR'!C16+'1.8.3 RenPTLR'!B236+'1.8.3 RenPTLR'!C236</f>
        <v>16.600018118170649</v>
      </c>
      <c r="I236" s="917"/>
      <c r="J236" s="897">
        <f>'1.8.2 RenHLR'!H236+'1.8.2 RenHLR'!I236+'1.8.1 RenElLR'!S16</f>
        <v>880.99607503594325</v>
      </c>
      <c r="K236" s="919">
        <f t="shared" si="3"/>
        <v>80508.90773192636</v>
      </c>
    </row>
    <row r="237" spans="1:11" s="887" customFormat="1" ht="10.9" x14ac:dyDescent="0.45">
      <c r="A237" s="892">
        <v>1927</v>
      </c>
      <c r="B237" s="918">
        <f>'1.3.1 CoalLR'!R237*Units!C$20*1000</f>
        <v>106601.48351999998</v>
      </c>
      <c r="C237" s="917">
        <f>'1.5.1 OilLR'!AH67</f>
        <v>5794.5155277300009</v>
      </c>
      <c r="F237" s="897">
        <f>+'1.8.1 RenElLR'!I17+'1.8.1 RenElLR'!J17+'1.8.3 RenPTLR'!E237</f>
        <v>13.707345667628223</v>
      </c>
      <c r="G237" s="897">
        <f>+'1.8.1 RenElLR'!B17+'1.8.1 RenElLR'!C17+'1.8.3 RenPTLR'!B237+'1.8.3 RenPTLR'!C237</f>
        <v>6.1970812129294606</v>
      </c>
      <c r="I237" s="917"/>
      <c r="J237" s="897">
        <f>'1.8.2 RenHLR'!H237+'1.8.2 RenHLR'!I237+'1.8.1 RenElLR'!S17</f>
        <v>1220.7940205780135</v>
      </c>
      <c r="K237" s="919">
        <f t="shared" si="3"/>
        <v>113636.69749518856</v>
      </c>
    </row>
    <row r="238" spans="1:11" s="887" customFormat="1" ht="10.9" x14ac:dyDescent="0.45">
      <c r="A238" s="892">
        <v>1928</v>
      </c>
      <c r="B238" s="918">
        <f>'1.3.1 CoalLR'!R238*Units!C$20*1000</f>
        <v>100758.83327999999</v>
      </c>
      <c r="C238" s="917">
        <f>'1.5.1 OilLR'!AH68</f>
        <v>5959.1151271500003</v>
      </c>
      <c r="F238" s="897">
        <f>+'1.8.1 RenElLR'!I18+'1.8.1 RenElLR'!J18+'1.8.3 RenPTLR'!E238</f>
        <v>19.511992293013073</v>
      </c>
      <c r="G238" s="897">
        <f>+'1.8.1 RenElLR'!B18+'1.8.1 RenElLR'!C18+'1.8.3 RenPTLR'!B238+'1.8.3 RenPTLR'!C238</f>
        <v>3.2944616053412781</v>
      </c>
      <c r="I238" s="917"/>
      <c r="J238" s="897">
        <f>'1.8.2 RenHLR'!H238+'1.8.2 RenHLR'!I238+'1.8.1 RenElLR'!S18</f>
        <v>1159.2906312596035</v>
      </c>
      <c r="K238" s="919">
        <f t="shared" si="3"/>
        <v>107900.04549230795</v>
      </c>
    </row>
    <row r="239" spans="1:11" s="887" customFormat="1" ht="10.9" x14ac:dyDescent="0.45">
      <c r="A239" s="892">
        <v>1929</v>
      </c>
      <c r="B239" s="918">
        <f>'1.3.1 CoalLR'!R239*Units!C$20*1000</f>
        <v>104952.63744000002</v>
      </c>
      <c r="C239" s="917">
        <f>'1.5.1 OilLR'!AH69</f>
        <v>7125.5369798299998</v>
      </c>
      <c r="F239" s="897">
        <f>+'1.8.1 RenElLR'!I19+'1.8.1 RenElLR'!J19+'1.8.3 RenPTLR'!E239</f>
        <v>21.103373918397921</v>
      </c>
      <c r="G239" s="897">
        <f>+'1.8.1 RenElLR'!B19+'1.8.1 RenElLR'!C19+'1.8.3 RenPTLR'!B239+'1.8.3 RenPTLR'!C239</f>
        <v>0.97514900461902765</v>
      </c>
      <c r="I239" s="917"/>
      <c r="J239" s="897">
        <f>'1.8.2 RenHLR'!H239+'1.8.2 RenHLR'!I239+'1.8.1 RenElLR'!S19</f>
        <v>1219.1146985650323</v>
      </c>
      <c r="K239" s="919">
        <f t="shared" si="3"/>
        <v>113319.36764131805</v>
      </c>
    </row>
    <row r="240" spans="1:11" s="887" customFormat="1" ht="10.9" x14ac:dyDescent="0.45">
      <c r="A240" s="892">
        <v>1930</v>
      </c>
      <c r="B240" s="918">
        <f>'1.3.1 CoalLR'!R240*Units!C$20*1000</f>
        <v>99904.539839999983</v>
      </c>
      <c r="C240" s="917">
        <f>'1.5.1 OilLR'!AH70</f>
        <v>7956.6633522100001</v>
      </c>
      <c r="F240" s="897">
        <f>+'1.8.1 RenElLR'!I20+'1.8.1 RenElLR'!J20+'1.8.3 RenPTLR'!E240</f>
        <v>36.108415543782769</v>
      </c>
      <c r="G240" s="897">
        <f>+'1.8.1 RenElLR'!B20+'1.8.1 RenElLR'!C20+'1.8.3 RenPTLR'!B240+'1.8.3 RenPTLR'!C240</f>
        <v>0.96567124371251434</v>
      </c>
      <c r="I240" s="917"/>
      <c r="J240" s="897">
        <f>'1.8.2 RenHLR'!H240+'1.8.2 RenHLR'!I240+'1.8.1 RenElLR'!S20</f>
        <v>1186.0649795013003</v>
      </c>
      <c r="K240" s="919">
        <f t="shared" si="3"/>
        <v>109084.34225849879</v>
      </c>
    </row>
    <row r="241" spans="1:11" s="887" customFormat="1" ht="10.9" x14ac:dyDescent="0.45">
      <c r="A241" s="892">
        <v>1931</v>
      </c>
      <c r="B241" s="918">
        <f>'1.3.1 CoalLR'!R241*Units!C$20*1000</f>
        <v>94067.863679999995</v>
      </c>
      <c r="C241" s="917">
        <f>'1.5.1 OilLR'!AH71</f>
        <v>7473.0250230500005</v>
      </c>
      <c r="F241" s="897">
        <f>+'1.8.1 RenElLR'!I21+'1.8.1 RenElLR'!J21+'1.8.3 RenPTLR'!E241</f>
        <v>43.546777169167626</v>
      </c>
      <c r="G241" s="897">
        <f>+'1.8.1 RenElLR'!B21+'1.8.1 RenElLR'!C21+'1.8.3 RenPTLR'!B241+'1.8.3 RenPTLR'!C241</f>
        <v>0.9267164396631018</v>
      </c>
      <c r="I241" s="917"/>
      <c r="J241" s="897">
        <f>'1.8.2 RenHLR'!H241+'1.8.2 RenHLR'!I241+'1.8.1 RenElLR'!S21</f>
        <v>1135.0109842623865</v>
      </c>
      <c r="K241" s="919">
        <f t="shared" si="3"/>
        <v>102720.3731809212</v>
      </c>
    </row>
    <row r="242" spans="1:11" s="887" customFormat="1" ht="10.9" x14ac:dyDescent="0.45">
      <c r="A242" s="892">
        <v>1932</v>
      </c>
      <c r="B242" s="918">
        <f>'1.3.1 CoalLR'!R242*Units!C$20*1000</f>
        <v>90740.301120000004</v>
      </c>
      <c r="C242" s="917">
        <f>'1.5.1 OilLR'!AH72</f>
        <v>7495.3780550700003</v>
      </c>
      <c r="F242" s="897">
        <f>+'1.8.1 RenElLR'!I22+'1.8.1 RenElLR'!J22+'1.8.3 RenPTLR'!E242</f>
        <v>37.399508794552474</v>
      </c>
      <c r="G242" s="897">
        <f>+'1.8.1 RenElLR'!B22+'1.8.1 RenElLR'!C22+'1.8.3 RenPTLR'!B242+'1.8.3 RenPTLR'!C242</f>
        <v>0.91073725187385635</v>
      </c>
      <c r="I242" s="917"/>
      <c r="J242" s="897">
        <f>'1.8.2 RenHLR'!H242+'1.8.2 RenHLR'!I242+'1.8.1 RenElLR'!S22</f>
        <v>1136.2574006855393</v>
      </c>
      <c r="K242" s="919">
        <f t="shared" si="3"/>
        <v>99410.246821801979</v>
      </c>
    </row>
    <row r="243" spans="1:11" s="887" customFormat="1" ht="10.9" x14ac:dyDescent="0.45">
      <c r="A243" s="892">
        <v>1933</v>
      </c>
      <c r="B243" s="918">
        <f>'1.3.1 CoalLR'!R243*Units!C$20*1000</f>
        <v>92532.525120000006</v>
      </c>
      <c r="C243" s="917">
        <f>'1.5.1 OilLR'!AH73</f>
        <v>8300.0872077900003</v>
      </c>
      <c r="F243" s="897">
        <f>+'1.8.1 RenElLR'!I23+'1.8.1 RenElLR'!J23+'1.8.3 RenPTLR'!E243</f>
        <v>34.519670419937327</v>
      </c>
      <c r="G243" s="897">
        <f>+'1.8.1 RenElLR'!B23+'1.8.1 RenElLR'!C23+'1.8.3 RenPTLR'!B243+'1.8.3 RenPTLR'!C243</f>
        <v>0.91111391830581057</v>
      </c>
      <c r="I243" s="917"/>
      <c r="J243" s="897">
        <f>'1.8.2 RenHLR'!H243+'1.8.2 RenHLR'!I243+'1.8.1 RenElLR'!S23</f>
        <v>1153.389332239643</v>
      </c>
      <c r="K243" s="919">
        <f t="shared" si="3"/>
        <v>102021.43244436789</v>
      </c>
    </row>
    <row r="244" spans="1:11" s="887" customFormat="1" ht="10.9" x14ac:dyDescent="0.45">
      <c r="A244" s="892">
        <v>1934</v>
      </c>
      <c r="B244" s="918">
        <f>'1.3.1 CoalLR'!R244*Units!C$20*1000</f>
        <v>98416.993919999979</v>
      </c>
      <c r="C244" s="917">
        <f>'1.5.1 OilLR'!AH74</f>
        <v>9310.0378363299988</v>
      </c>
      <c r="F244" s="897">
        <f>+'1.8.1 RenElLR'!I24+'1.8.1 RenElLR'!J24+'1.8.3 RenPTLR'!E244</f>
        <v>45.225462045322175</v>
      </c>
      <c r="G244" s="897">
        <f>+'1.8.1 RenElLR'!B24+'1.8.1 RenElLR'!C24+'1.8.3 RenPTLR'!B244+'1.8.3 RenPTLR'!C244</f>
        <v>0.91608673643052607</v>
      </c>
      <c r="I244" s="917"/>
      <c r="J244" s="897">
        <f>'1.8.2 RenHLR'!H244+'1.8.2 RenHLR'!I244+'1.8.1 RenElLR'!S24</f>
        <v>1239.0002283179124</v>
      </c>
      <c r="K244" s="919">
        <f t="shared" si="3"/>
        <v>109012.17353342962</v>
      </c>
    </row>
    <row r="245" spans="1:11" s="887" customFormat="1" ht="10.9" x14ac:dyDescent="0.45">
      <c r="A245" s="892">
        <v>1935</v>
      </c>
      <c r="B245" s="918">
        <f>'1.3.1 CoalLR'!R245*Units!C$20*1000</f>
        <v>101523.51552</v>
      </c>
      <c r="C245" s="917">
        <f>'1.5.1 OilLR'!AH75</f>
        <v>9321.2143523399991</v>
      </c>
      <c r="F245" s="897">
        <f>+'1.8.1 RenElLR'!I25+'1.8.1 RenElLR'!J25+'1.8.3 RenPTLR'!E245</f>
        <v>58.252848670707024</v>
      </c>
      <c r="G245" s="897">
        <f>+'1.8.1 RenElLR'!B25+'1.8.1 RenElLR'!C25+'1.8.3 RenPTLR'!B245+'1.8.3 RenPTLR'!C245</f>
        <v>0.9195149367008868</v>
      </c>
      <c r="I245" s="917"/>
      <c r="J245" s="897">
        <f>'1.8.2 RenHLR'!H245+'1.8.2 RenHLR'!I245+'1.8.1 RenElLR'!S25</f>
        <v>1289.1474168910624</v>
      </c>
      <c r="K245" s="919">
        <f t="shared" si="3"/>
        <v>112193.04965283847</v>
      </c>
    </row>
    <row r="246" spans="1:11" s="887" customFormat="1" ht="10.9" x14ac:dyDescent="0.45">
      <c r="A246" s="892">
        <v>1936</v>
      </c>
      <c r="B246" s="918">
        <f>'1.3.1 CoalLR'!R246*Units!C$20*1000</f>
        <v>107079.40992000001</v>
      </c>
      <c r="C246" s="917">
        <f>'1.5.1 OilLR'!AH76</f>
        <v>9755.0663829099994</v>
      </c>
      <c r="F246" s="897">
        <f>+'1.8.1 RenElLR'!I26+'1.8.1 RenElLR'!J26+'1.8.3 RenPTLR'!E246</f>
        <v>61.134005296091878</v>
      </c>
      <c r="G246" s="897">
        <f>+'1.8.1 RenElLR'!B26+'1.8.1 RenElLR'!C26+'1.8.3 RenPTLR'!B246+'1.8.3 RenPTLR'!C246</f>
        <v>0.92652805739893007</v>
      </c>
      <c r="I246" s="917"/>
      <c r="J246" s="897">
        <f>'1.8.2 RenHLR'!H246+'1.8.2 RenHLR'!I246+'1.8.1 RenElLR'!S26</f>
        <v>1366.5631344953431</v>
      </c>
      <c r="K246" s="919">
        <f t="shared" si="3"/>
        <v>118263.09997075883</v>
      </c>
    </row>
    <row r="247" spans="1:11" s="887" customFormat="1" ht="10.9" x14ac:dyDescent="0.45">
      <c r="A247" s="892">
        <v>1937</v>
      </c>
      <c r="B247" s="918">
        <f>'1.3.1 CoalLR'!R247*Units!C$20*1000</f>
        <v>110813.20991999998</v>
      </c>
      <c r="C247" s="917">
        <f>'1.5.1 OilLR'!AH77</f>
        <v>10374.85499801</v>
      </c>
      <c r="F247" s="897">
        <f>+'1.8.1 RenElLR'!I27+'1.8.1 RenElLR'!J27+'1.8.3 RenPTLR'!E247</f>
        <v>67.798501921476728</v>
      </c>
      <c r="G247" s="897">
        <f>+'1.8.1 RenElLR'!B27+'1.8.1 RenElLR'!C27+'1.8.3 RenPTLR'!B247+'1.8.3 RenPTLR'!C247</f>
        <v>0.94764188075409728</v>
      </c>
      <c r="I247" s="917"/>
      <c r="J247" s="897">
        <f>'1.8.2 RenHLR'!H247+'1.8.2 RenHLR'!I247+'1.8.1 RenElLR'!S27</f>
        <v>1430.8026746342673</v>
      </c>
      <c r="K247" s="919">
        <f t="shared" si="3"/>
        <v>122687.61373644648</v>
      </c>
    </row>
    <row r="248" spans="1:11" s="887" customFormat="1" ht="10.9" x14ac:dyDescent="0.45">
      <c r="A248" s="892">
        <v>1938</v>
      </c>
      <c r="B248" s="918">
        <f>'1.3.1 CoalLR'!R248*Units!C$20*1000</f>
        <v>106977.85056000001</v>
      </c>
      <c r="C248" s="917">
        <f>'1.5.1 OilLR'!AH78</f>
        <v>9265</v>
      </c>
      <c r="F248" s="897">
        <f>+'1.8.1 RenElLR'!I28+'1.8.1 RenElLR'!J28+'1.8.3 RenPTLR'!E248</f>
        <v>87.016808546861569</v>
      </c>
      <c r="G248" s="897">
        <f>+'1.8.1 RenElLR'!B28+'1.8.1 RenElLR'!C28+'1.8.3 RenPTLR'!B248+'1.8.3 RenPTLR'!C248</f>
        <v>0.75612217235589452</v>
      </c>
      <c r="I248" s="917"/>
      <c r="J248" s="897">
        <f>'1.8.2 RenHLR'!H248+'1.8.2 RenHLR'!I248+'1.8.1 RenElLR'!S28</f>
        <v>1380.5267620275599</v>
      </c>
      <c r="K248" s="919">
        <f t="shared" si="3"/>
        <v>117711.15025274678</v>
      </c>
    </row>
    <row r="249" spans="1:11" s="887" customFormat="1" ht="10.9" x14ac:dyDescent="0.45">
      <c r="A249" s="892">
        <v>1939</v>
      </c>
      <c r="B249" s="918">
        <f>'1.3.1 CoalLR'!R249*Units!C$20*1000</f>
        <v>107641.33188480001</v>
      </c>
      <c r="C249" s="917">
        <f>'1.5.1 OilLR'!AH79</f>
        <v>8231</v>
      </c>
      <c r="F249" s="897">
        <f>+'1.8.1 RenElLR'!I29+'1.8.1 RenElLR'!J29+'1.8.3 RenPTLR'!E249</f>
        <v>84.437270000000012</v>
      </c>
      <c r="G249" s="897">
        <f>+'1.8.1 RenElLR'!B29+'1.8.1 RenElLR'!C29+'1.8.3 RenPTLR'!B249+'1.8.3 RenPTLR'!C249</f>
        <v>0</v>
      </c>
      <c r="I249" s="917"/>
      <c r="J249" s="897">
        <f>'1.8.2 RenHLR'!H249+'1.8.2 RenHLR'!I249+'1.8.1 RenElLR'!S29</f>
        <v>1456.9581170635211</v>
      </c>
      <c r="K249" s="919">
        <f t="shared" si="3"/>
        <v>117413.72727186352</v>
      </c>
    </row>
    <row r="250" spans="1:11" s="887" customFormat="1" ht="10.9" x14ac:dyDescent="0.45">
      <c r="A250" s="892">
        <v>1940</v>
      </c>
      <c r="B250" s="918">
        <f>'1.3.1 CoalLR'!R250*Units!C$20*1000</f>
        <v>109076.35369344</v>
      </c>
      <c r="C250" s="917">
        <f>'1.5.1 OilLR'!AH80</f>
        <v>7992</v>
      </c>
      <c r="F250" s="897">
        <f>+'1.8.1 RenElLR'!I30+'1.8.1 RenElLR'!J30+'1.8.3 RenPTLR'!E250</f>
        <v>68.788000000000011</v>
      </c>
      <c r="G250" s="897">
        <f>+'1.8.1 RenElLR'!B30+'1.8.1 RenElLR'!C30+'1.8.3 RenPTLR'!B250+'1.8.3 RenPTLR'!C250</f>
        <v>0</v>
      </c>
      <c r="I250" s="917"/>
      <c r="J250" s="897">
        <f>'1.8.2 RenHLR'!H250+'1.8.2 RenHLR'!I250+'1.8.1 RenElLR'!S30</f>
        <v>1560.6506355975935</v>
      </c>
      <c r="K250" s="919">
        <f t="shared" si="3"/>
        <v>118697.79232903759</v>
      </c>
    </row>
    <row r="251" spans="1:11" s="887" customFormat="1" ht="10.9" x14ac:dyDescent="0.45">
      <c r="A251" s="892">
        <v>1941</v>
      </c>
      <c r="B251" s="918">
        <f>'1.3.1 CoalLR'!R251*Units!C$20*1000</f>
        <v>109099.690839552</v>
      </c>
      <c r="C251" s="917">
        <f>'1.5.1 OilLR'!AH81</f>
        <v>8879</v>
      </c>
      <c r="F251" s="897">
        <f>+'1.8.1 RenElLR'!I31+'1.8.1 RenElLR'!J31+'1.8.3 RenPTLR'!E251</f>
        <v>71.453535000000002</v>
      </c>
      <c r="G251" s="897">
        <f>+'1.8.1 RenElLR'!B31+'1.8.1 RenElLR'!C31+'1.8.3 RenPTLR'!B251+'1.8.3 RenPTLR'!C251</f>
        <v>0</v>
      </c>
      <c r="I251" s="917"/>
      <c r="J251" s="897">
        <f>'1.8.2 RenHLR'!H251+'1.8.2 RenHLR'!I251+'1.8.1 RenElLR'!S31</f>
        <v>1561.2695413432564</v>
      </c>
      <c r="K251" s="919">
        <f t="shared" si="3"/>
        <v>119611.41391589525</v>
      </c>
    </row>
    <row r="252" spans="1:11" s="887" customFormat="1" ht="10.9" x14ac:dyDescent="0.45">
      <c r="A252" s="892">
        <v>1942</v>
      </c>
      <c r="B252" s="918">
        <f>'1.3.1 CoalLR'!R252*Units!C$20*1000</f>
        <v>110873.54526044161</v>
      </c>
      <c r="C252" s="917">
        <f>'1.5.1 OilLR'!AH82</f>
        <v>8637</v>
      </c>
      <c r="F252" s="897">
        <f>+'1.8.1 RenElLR'!I32+'1.8.1 RenElLR'!J32+'1.8.3 RenPTLR'!E252</f>
        <v>94.325545000000005</v>
      </c>
      <c r="G252" s="897">
        <f>+'1.8.1 RenElLR'!B32+'1.8.1 RenElLR'!C32+'1.8.3 RenPTLR'!B252+'1.8.3 RenPTLR'!C252</f>
        <v>0</v>
      </c>
      <c r="I252" s="917"/>
      <c r="J252" s="897">
        <f>'1.8.2 RenHLR'!H252+'1.8.2 RenHLR'!I252+'1.8.1 RenElLR'!S32</f>
        <v>1467.5209939386659</v>
      </c>
      <c r="K252" s="919">
        <f t="shared" si="3"/>
        <v>121072.39179938028</v>
      </c>
    </row>
    <row r="253" spans="1:11" s="887" customFormat="1" ht="10.9" x14ac:dyDescent="0.45">
      <c r="A253" s="892">
        <v>1943</v>
      </c>
      <c r="B253" s="918">
        <f>'1.3.1 CoalLR'!R253*Units!C$20*1000</f>
        <v>112193.22240000001</v>
      </c>
      <c r="C253" s="917">
        <f>'1.5.1 OilLR'!AH83</f>
        <v>9111</v>
      </c>
      <c r="F253" s="897">
        <f>+'1.8.1 RenElLR'!I33+'1.8.1 RenElLR'!J33+'1.8.3 RenPTLR'!E253</f>
        <v>114.27406500000001</v>
      </c>
      <c r="G253" s="897">
        <f>+'1.8.1 RenElLR'!B33+'1.8.1 RenElLR'!C33+'1.8.3 RenPTLR'!B253+'1.8.3 RenPTLR'!C253</f>
        <v>0</v>
      </c>
      <c r="I253" s="917"/>
      <c r="J253" s="897">
        <f>'1.8.2 RenHLR'!H253+'1.8.2 RenHLR'!I253+'1.8.1 RenElLR'!S33</f>
        <v>1456.6272517015407</v>
      </c>
      <c r="K253" s="919">
        <f t="shared" si="3"/>
        <v>122875.12371670156</v>
      </c>
    </row>
    <row r="254" spans="1:11" s="887" customFormat="1" ht="10.9" x14ac:dyDescent="0.45">
      <c r="A254" s="892">
        <v>1944</v>
      </c>
      <c r="B254" s="918">
        <f>'1.3.1 CoalLR'!R254*Units!C$20*1000</f>
        <v>110400.9984</v>
      </c>
      <c r="C254" s="917">
        <f>'1.5.1 OilLR'!AH84</f>
        <v>13278</v>
      </c>
      <c r="F254" s="897">
        <f>+'1.8.1 RenElLR'!I34+'1.8.1 RenElLR'!J34+'1.8.3 RenPTLR'!E254</f>
        <v>101.11836000000001</v>
      </c>
      <c r="G254" s="897">
        <f>+'1.8.1 RenElLR'!B34+'1.8.1 RenElLR'!C34+'1.8.3 RenPTLR'!B254+'1.8.3 RenPTLR'!C254</f>
        <v>0</v>
      </c>
      <c r="I254" s="917"/>
      <c r="J254" s="897">
        <f>'1.8.2 RenHLR'!H254+'1.8.2 RenHLR'!I254+'1.8.1 RenElLR'!S34</f>
        <v>1376.6576215676882</v>
      </c>
      <c r="K254" s="919">
        <f t="shared" si="3"/>
        <v>125156.77438156768</v>
      </c>
    </row>
    <row r="255" spans="1:11" s="887" customFormat="1" ht="10.9" x14ac:dyDescent="0.45">
      <c r="A255" s="892">
        <v>1945</v>
      </c>
      <c r="B255" s="918">
        <f>'1.3.1 CoalLR'!R255*Units!C$20*1000</f>
        <v>105681.4752</v>
      </c>
      <c r="C255" s="917">
        <f>'1.5.1 OilLR'!AH85</f>
        <v>10724</v>
      </c>
      <c r="F255" s="897">
        <f>+'1.8.1 RenElLR'!I35+'1.8.1 RenElLR'!J35+'1.8.3 RenPTLR'!E255</f>
        <v>98.36684000000001</v>
      </c>
      <c r="G255" s="897">
        <f>+'1.8.1 RenElLR'!B35+'1.8.1 RenElLR'!C35+'1.8.3 RenPTLR'!B255+'1.8.3 RenPTLR'!C255</f>
        <v>0</v>
      </c>
      <c r="I255" s="917"/>
      <c r="J255" s="897">
        <f>'1.8.2 RenHLR'!H255+'1.8.2 RenHLR'!I255+'1.8.1 RenElLR'!S35</f>
        <v>1366.5884897393503</v>
      </c>
      <c r="K255" s="919">
        <f t="shared" si="3"/>
        <v>117870.43052973936</v>
      </c>
    </row>
    <row r="256" spans="1:11" s="887" customFormat="1" ht="10.9" x14ac:dyDescent="0.45">
      <c r="A256" s="892">
        <v>1946</v>
      </c>
      <c r="B256" s="918">
        <f>'1.3.1 CoalLR'!R256*Units!C$20*1000</f>
        <v>109803.59040000002</v>
      </c>
      <c r="C256" s="917">
        <f>'1.5.1 OilLR'!AH86</f>
        <v>10276</v>
      </c>
      <c r="F256" s="897">
        <f>+'1.8.1 RenElLR'!I36+'1.8.1 RenElLR'!J36+'1.8.3 RenPTLR'!E256</f>
        <v>97.936915000000013</v>
      </c>
      <c r="G256" s="897">
        <f>+'1.8.1 RenElLR'!B36+'1.8.1 RenElLR'!C36+'1.8.3 RenPTLR'!B256+'1.8.3 RenPTLR'!C256</f>
        <v>0</v>
      </c>
      <c r="I256" s="917"/>
      <c r="J256" s="897">
        <f>'1.8.2 RenHLR'!H256+'1.8.2 RenHLR'!I256+'1.8.1 RenElLR'!S36</f>
        <v>1356.5193579110128</v>
      </c>
      <c r="K256" s="919">
        <f t="shared" si="3"/>
        <v>121534.04667291103</v>
      </c>
    </row>
    <row r="257" spans="1:11" s="887" customFormat="1" ht="10.9" x14ac:dyDescent="0.45">
      <c r="A257" s="892">
        <v>1947</v>
      </c>
      <c r="B257" s="918">
        <f>'1.3.1 CoalLR'!R257*Units!C$20*1000</f>
        <v>108728.25600000001</v>
      </c>
      <c r="C257" s="917">
        <f>'1.5.1 OilLR'!AH87</f>
        <v>12323</v>
      </c>
      <c r="F257" s="897">
        <f>+'1.8.1 RenElLR'!I37+'1.8.1 RenElLR'!J37+'1.8.3 RenPTLR'!E257</f>
        <v>96.991080000000011</v>
      </c>
      <c r="G257" s="897">
        <f>+'1.8.1 RenElLR'!B37+'1.8.1 RenElLR'!C37+'1.8.3 RenPTLR'!B257+'1.8.3 RenPTLR'!C257</f>
        <v>0</v>
      </c>
      <c r="I257" s="917"/>
      <c r="J257" s="897">
        <f>'1.8.2 RenHLR'!H257+'1.8.2 RenHLR'!I257+'1.8.1 RenElLR'!S37</f>
        <v>1346.4502260826748</v>
      </c>
      <c r="K257" s="919">
        <f t="shared" si="3"/>
        <v>122494.69730608269</v>
      </c>
    </row>
    <row r="258" spans="1:11" s="887" customFormat="1" ht="10.9" x14ac:dyDescent="0.45">
      <c r="A258" s="892">
        <v>1948</v>
      </c>
      <c r="B258" s="918">
        <f>'1.3.1 CoalLR'!R258*Units!C$20*1000</f>
        <v>114403.63199999998</v>
      </c>
      <c r="C258" s="917">
        <f>'1.5.1 OilLR'!AH88</f>
        <v>12969</v>
      </c>
      <c r="F258" s="897">
        <f>+'1.8.1 RenElLR'!I38+'1.8.1 RenElLR'!J38+'1.8.3 RenPTLR'!E258</f>
        <v>75.752785000000003</v>
      </c>
      <c r="G258" s="897">
        <f>+'1.8.1 RenElLR'!B38+'1.8.1 RenElLR'!C38+'1.8.3 RenPTLR'!B258+'1.8.3 RenPTLR'!C258</f>
        <v>0</v>
      </c>
      <c r="I258" s="917"/>
      <c r="J258" s="897">
        <f>'1.8.2 RenHLR'!H258+'1.8.2 RenHLR'!I258+'1.8.1 RenElLR'!S38</f>
        <v>1336.3810942543369</v>
      </c>
      <c r="K258" s="919">
        <f t="shared" si="3"/>
        <v>128784.76587925432</v>
      </c>
    </row>
    <row r="259" spans="1:11" s="887" customFormat="1" ht="10.9" x14ac:dyDescent="0.45">
      <c r="A259" s="892">
        <v>1949</v>
      </c>
      <c r="B259" s="918">
        <f>'1.3.1 CoalLR'!R259*Units!C$20*1000</f>
        <v>115478.9664</v>
      </c>
      <c r="C259" s="917">
        <f>'1.5.1 OilLR'!AH89</f>
        <v>14061</v>
      </c>
      <c r="F259" s="897">
        <f>+'1.8.1 RenElLR'!I39+'1.8.1 RenElLR'!J39+'1.8.3 RenPTLR'!E259</f>
        <v>61.823215000000005</v>
      </c>
      <c r="G259" s="897">
        <f>+'1.8.1 RenElLR'!B39+'1.8.1 RenElLR'!C39+'1.8.3 RenPTLR'!B259+'1.8.3 RenPTLR'!C259</f>
        <v>0</v>
      </c>
      <c r="I259" s="917"/>
      <c r="J259" s="897">
        <f>'1.8.2 RenHLR'!H259+'1.8.2 RenHLR'!I259+'1.8.1 RenElLR'!S39</f>
        <v>1343.4</v>
      </c>
      <c r="K259" s="919">
        <f t="shared" si="3"/>
        <v>130945.189615</v>
      </c>
    </row>
    <row r="260" spans="1:11" s="887" customFormat="1" ht="10.9" x14ac:dyDescent="0.45">
      <c r="A260" s="892">
        <v>1950</v>
      </c>
      <c r="B260" s="918">
        <f>'1.3.1 CoalLR'!R260*Units!C$20*1000</f>
        <v>119481.59999999999</v>
      </c>
      <c r="C260" s="917">
        <f>'1.5.1 OilLR'!AH90</f>
        <v>15522</v>
      </c>
      <c r="F260" s="897">
        <f>+'1.8.1 RenElLR'!I40+'1.8.1 RenElLR'!J40+'1.8.3 RenPTLR'!E260</f>
        <v>88.994475000000008</v>
      </c>
      <c r="G260" s="897">
        <f>+'1.8.1 RenElLR'!B40+'1.8.1 RenElLR'!C40+'1.8.3 RenPTLR'!B260+'1.8.3 RenPTLR'!C260</f>
        <v>0</v>
      </c>
      <c r="I260" s="917"/>
      <c r="J260" s="897">
        <f>'1.8.2 RenHLR'!H260+'1.8.2 RenHLR'!I260+'1.8.1 RenElLR'!S40</f>
        <v>1349.8000000000002</v>
      </c>
      <c r="K260" s="919">
        <f t="shared" si="3"/>
        <v>136442.39447499998</v>
      </c>
    </row>
    <row r="261" spans="1:11" s="887" customFormat="1" ht="10.9" x14ac:dyDescent="0.45">
      <c r="A261" s="892">
        <v>1951</v>
      </c>
      <c r="B261" s="918">
        <f>'1.3.1 CoalLR'!R261*Units!C$20*1000</f>
        <v>122468.64000000001</v>
      </c>
      <c r="C261" s="917">
        <f>'1.5.1 OilLR'!AH91</f>
        <v>17160</v>
      </c>
      <c r="F261" s="897">
        <f>+'1.8.1 RenElLR'!I41+'1.8.1 RenElLR'!J41+'1.8.3 RenPTLR'!E261</f>
        <v>145.05669500000002</v>
      </c>
      <c r="G261" s="897">
        <f>+'1.8.1 RenElLR'!B41+'1.8.1 RenElLR'!C41+'1.8.3 RenPTLR'!B261+'1.8.3 RenPTLR'!C261</f>
        <v>0</v>
      </c>
      <c r="I261" s="917"/>
      <c r="J261" s="897">
        <f>'1.8.2 RenHLR'!H261+'1.8.2 RenHLR'!I261+'1.8.1 RenElLR'!S41</f>
        <v>1356.2000000000003</v>
      </c>
      <c r="K261" s="919">
        <f t="shared" si="3"/>
        <v>141129.89669500003</v>
      </c>
    </row>
    <row r="262" spans="1:11" s="887" customFormat="1" ht="10.9" x14ac:dyDescent="0.45">
      <c r="A262" s="892">
        <v>1952</v>
      </c>
      <c r="B262" s="918">
        <f>'1.3.1 CoalLR'!R262*Units!C$20*1000</f>
        <v>121990.71359999999</v>
      </c>
      <c r="C262" s="917">
        <f>'1.5.1 OilLR'!AH92</f>
        <v>17790</v>
      </c>
      <c r="F262" s="897">
        <f>+'1.8.1 RenElLR'!I42+'1.8.1 RenElLR'!J42+'1.8.3 RenPTLR'!E262</f>
        <v>156.40671500000002</v>
      </c>
      <c r="G262" s="897">
        <f>+'1.8.1 RenElLR'!B42+'1.8.1 RenElLR'!C42+'1.8.3 RenPTLR'!B262+'1.8.3 RenPTLR'!C262</f>
        <v>0</v>
      </c>
      <c r="I262" s="917"/>
      <c r="J262" s="897">
        <f>'1.8.2 RenHLR'!H262+'1.8.2 RenHLR'!I262+'1.8.1 RenElLR'!S42</f>
        <v>1362.6000000000004</v>
      </c>
      <c r="K262" s="919">
        <f t="shared" si="3"/>
        <v>141299.72031499998</v>
      </c>
    </row>
    <row r="263" spans="1:11" s="887" customFormat="1" ht="10.9" x14ac:dyDescent="0.45">
      <c r="A263" s="892">
        <v>1953</v>
      </c>
      <c r="B263" s="918">
        <f>'1.3.1 CoalLR'!R263*Units!C$20*1000</f>
        <v>122528.38080000001</v>
      </c>
      <c r="C263" s="917">
        <f>'1.5.1 OilLR'!AH93</f>
        <v>19308</v>
      </c>
      <c r="F263" s="897">
        <f>+'1.8.1 RenElLR'!I43+'1.8.1 RenElLR'!J43+'1.8.3 RenPTLR'!E263</f>
        <v>162.68362000000002</v>
      </c>
      <c r="G263" s="897">
        <f>+'1.8.1 RenElLR'!B43+'1.8.1 RenElLR'!C43+'1.8.3 RenPTLR'!B263+'1.8.3 RenPTLR'!C263</f>
        <v>0</v>
      </c>
      <c r="I263" s="917"/>
      <c r="J263" s="897">
        <f>'1.8.2 RenHLR'!H263+'1.8.2 RenHLR'!I263+'1.8.1 RenElLR'!S43</f>
        <v>1369</v>
      </c>
      <c r="K263" s="919">
        <f t="shared" si="3"/>
        <v>143368.06442000001</v>
      </c>
    </row>
    <row r="264" spans="1:11" s="887" customFormat="1" ht="10.9" x14ac:dyDescent="0.45">
      <c r="A264" s="892">
        <v>1954</v>
      </c>
      <c r="B264" s="918">
        <f>'1.3.1 CoalLR'!R264*Units!C$20*1000</f>
        <v>126112.8288</v>
      </c>
      <c r="C264" s="917">
        <f>'1.5.1 OilLR'!AH94</f>
        <v>21383</v>
      </c>
      <c r="F264" s="897">
        <f>+'1.8.1 RenElLR'!I44+'1.8.1 RenElLR'!J44+'1.8.3 RenPTLR'!E264</f>
        <v>204.98824000000002</v>
      </c>
      <c r="G264" s="897">
        <f>+'1.8.1 RenElLR'!B44+'1.8.1 RenElLR'!C44+'1.8.3 RenPTLR'!B264+'1.8.3 RenPTLR'!C264</f>
        <v>0</v>
      </c>
      <c r="I264" s="917"/>
      <c r="J264" s="897">
        <f>'1.8.2 RenHLR'!H264+'1.8.2 RenHLR'!I264+'1.8.1 RenElLR'!S44</f>
        <v>1363.8</v>
      </c>
      <c r="K264" s="919">
        <f t="shared" si="3"/>
        <v>149064.61704000001</v>
      </c>
    </row>
    <row r="265" spans="1:11" s="887" customFormat="1" ht="10.9" x14ac:dyDescent="0.45">
      <c r="A265" s="892">
        <v>1955</v>
      </c>
      <c r="B265" s="918">
        <f>'1.3.1 CoalLR'!R265*Units!C$20*1000</f>
        <v>126889.45919999997</v>
      </c>
      <c r="C265" s="917">
        <f>'1.5.1 OilLR'!AH95</f>
        <v>23609</v>
      </c>
      <c r="E265" s="897"/>
      <c r="F265" s="897">
        <f>+'1.8.1 RenElLR'!I45+'1.8.1 RenElLR'!J45+'1.8.3 RenPTLR'!E265</f>
        <v>145.65859</v>
      </c>
      <c r="G265" s="897">
        <f>+'1.8.1 RenElLR'!B45+'1.8.1 RenElLR'!C45+'1.8.3 RenPTLR'!B265+'1.8.3 RenPTLR'!C265</f>
        <v>0</v>
      </c>
      <c r="I265" s="917"/>
      <c r="J265" s="897">
        <f>'1.8.2 RenHLR'!H265+'1.8.2 RenHLR'!I265+'1.8.1 RenElLR'!S45</f>
        <v>1358.6</v>
      </c>
      <c r="K265" s="919">
        <f t="shared" si="3"/>
        <v>152002.71779</v>
      </c>
    </row>
    <row r="266" spans="1:11" s="887" customFormat="1" ht="10.9" x14ac:dyDescent="0.45">
      <c r="A266" s="892">
        <v>1956</v>
      </c>
      <c r="B266" s="918">
        <f>'1.3.1 CoalLR'!R266*Units!C$20*1000</f>
        <v>128323.23839999997</v>
      </c>
      <c r="C266" s="917">
        <f>'1.5.1 OilLR'!AH96</f>
        <v>25628</v>
      </c>
      <c r="E266" s="897">
        <f>'1.7.1 ElecLR'!AH76*1000</f>
        <v>18.135018181818182</v>
      </c>
      <c r="F266" s="897">
        <f>+'1.8.1 RenElLR'!I46+'1.8.1 RenElLR'!J46+'1.8.3 RenPTLR'!E266</f>
        <v>195.01398</v>
      </c>
      <c r="G266" s="897">
        <f>+'1.8.1 RenElLR'!B46+'1.8.1 RenElLR'!C46+'1.8.3 RenPTLR'!B266+'1.8.3 RenPTLR'!C266</f>
        <v>0</v>
      </c>
      <c r="I266" s="917"/>
      <c r="J266" s="897">
        <f>'1.8.2 RenHLR'!H266+'1.8.2 RenHLR'!I266+'1.8.1 RenElLR'!S46</f>
        <v>1353.3999999999999</v>
      </c>
      <c r="K266" s="919">
        <f t="shared" ref="K266:K278" si="4">SUM(B266:J266)</f>
        <v>155517.78739818177</v>
      </c>
    </row>
    <row r="267" spans="1:11" s="887" customFormat="1" ht="10.9" x14ac:dyDescent="0.45">
      <c r="A267" s="892">
        <v>1957</v>
      </c>
      <c r="B267" s="918">
        <f>'1.3.1 CoalLR'!R267*Units!C$20*1000</f>
        <v>125515.42080000002</v>
      </c>
      <c r="C267" s="917">
        <f>'1.5.1 OilLR'!AH97</f>
        <v>25183</v>
      </c>
      <c r="E267" s="897">
        <f>'1.7.1 ElecLR'!AH77*1000</f>
        <v>127.88314545454543</v>
      </c>
      <c r="F267" s="897">
        <f>+'1.8.1 RenElLR'!I47+'1.8.1 RenElLR'!J47+'1.8.3 RenPTLR'!E267</f>
        <v>236.02882500000001</v>
      </c>
      <c r="G267" s="897">
        <f>+'1.8.1 RenElLR'!B47+'1.8.1 RenElLR'!C47+'1.8.3 RenPTLR'!B267+'1.8.3 RenPTLR'!C267</f>
        <v>0</v>
      </c>
      <c r="I267" s="917"/>
      <c r="J267" s="897">
        <f>'1.8.2 RenHLR'!H267+'1.8.2 RenHLR'!I267+'1.8.1 RenElLR'!S47</f>
        <v>1348.1999999999998</v>
      </c>
      <c r="K267" s="919">
        <f t="shared" si="4"/>
        <v>152410.53277045456</v>
      </c>
    </row>
    <row r="268" spans="1:11" s="887" customFormat="1" ht="10.9" x14ac:dyDescent="0.45">
      <c r="A268" s="892">
        <v>1958</v>
      </c>
      <c r="B268" s="918">
        <f>'1.3.1 CoalLR'!R268*Units!C$20*1000</f>
        <v>119302.37759999999</v>
      </c>
      <c r="C268" s="917">
        <f>'1.5.1 OilLR'!AH98</f>
        <v>31564</v>
      </c>
      <c r="E268" s="897">
        <f>'1.7.1 ElecLR'!AH78*1000</f>
        <v>95.36518181818181</v>
      </c>
      <c r="F268" s="897">
        <f>+'1.8.1 RenElLR'!I48+'1.8.1 RenElLR'!J48+'1.8.3 RenPTLR'!E268</f>
        <v>232.07351500000001</v>
      </c>
      <c r="G268" s="897">
        <f>+'1.8.1 RenElLR'!B48+'1.8.1 RenElLR'!C48+'1.8.3 RenPTLR'!B268+'1.8.3 RenPTLR'!C268</f>
        <v>0</v>
      </c>
      <c r="I268" s="917"/>
      <c r="J268" s="897">
        <f>'1.8.2 RenHLR'!H268+'1.8.2 RenHLR'!I268+'1.8.1 RenElLR'!S48</f>
        <v>1343</v>
      </c>
      <c r="K268" s="919">
        <f t="shared" si="4"/>
        <v>152536.81629681817</v>
      </c>
    </row>
    <row r="269" spans="1:11" s="887" customFormat="1" ht="10.9" x14ac:dyDescent="0.45">
      <c r="A269" s="892">
        <v>1959</v>
      </c>
      <c r="B269" s="918">
        <f>'1.3.1 CoalLR'!R269*Units!C$20*1000</f>
        <v>111655.5552</v>
      </c>
      <c r="C269" s="917">
        <f>'1.5.1 OilLR'!AH99</f>
        <v>37001</v>
      </c>
      <c r="E269" s="897">
        <f>'1.7.1 ElecLR'!AH79*1000</f>
        <v>375.51994545454545</v>
      </c>
      <c r="F269" s="897">
        <f>+'1.8.1 RenElLR'!I49+'1.8.1 RenElLR'!J49+'1.8.3 RenPTLR'!E269</f>
        <v>231.98753000000002</v>
      </c>
      <c r="G269" s="897">
        <f>+'1.8.1 RenElLR'!B49+'1.8.1 RenElLR'!C49+'1.8.3 RenPTLR'!B269+'1.8.3 RenPTLR'!C269</f>
        <v>0</v>
      </c>
      <c r="I269" s="917"/>
      <c r="J269" s="897">
        <f>'1.8.2 RenHLR'!H269+'1.8.2 RenHLR'!I269+'1.8.1 RenElLR'!S49</f>
        <v>1332.4</v>
      </c>
      <c r="K269" s="919">
        <f t="shared" si="4"/>
        <v>150596.46267545456</v>
      </c>
    </row>
    <row r="270" spans="1:11" s="887" customFormat="1" ht="10.9" x14ac:dyDescent="0.45">
      <c r="A270" s="892">
        <v>1960</v>
      </c>
      <c r="B270" s="918">
        <f>'1.3.1 CoalLR'!R270*Units!C$20*1000</f>
        <v>117516.504</v>
      </c>
      <c r="C270" s="917">
        <f>'1.5.1 OilLR'!AH100</f>
        <v>43380</v>
      </c>
      <c r="D270" s="917">
        <f>'1.6.1 GasLR'!P150*Units!C$19</f>
        <v>37.839999999999996</v>
      </c>
      <c r="E270" s="897">
        <f>'1.7.1 ElecLR'!AH80*1000</f>
        <v>650.04660000000001</v>
      </c>
      <c r="F270" s="897">
        <f>+'1.8.1 RenElLR'!I50+'1.8.1 RenElLR'!J50+'1.8.3 RenPTLR'!E270</f>
        <v>268.53115500000001</v>
      </c>
      <c r="G270" s="897">
        <f>+'1.8.1 RenElLR'!B50+'1.8.1 RenElLR'!C50+'1.8.3 RenPTLR'!B270+'1.8.3 RenPTLR'!C270</f>
        <v>0</v>
      </c>
      <c r="H270" s="917"/>
      <c r="I270" s="917"/>
      <c r="J270" s="897">
        <f>'1.8.2 RenHLR'!H270+'1.8.2 RenHLR'!I270+'1.8.1 RenElLR'!S50</f>
        <v>1321.8000000000002</v>
      </c>
      <c r="K270" s="919">
        <f t="shared" si="4"/>
        <v>163174.72175500001</v>
      </c>
    </row>
    <row r="271" spans="1:11" s="887" customFormat="1" ht="10.9" x14ac:dyDescent="0.45">
      <c r="A271" s="892">
        <v>1961</v>
      </c>
      <c r="B271" s="918">
        <f>'1.3.1 CoalLR'!R271*Units!C$20*1000</f>
        <v>114588.852</v>
      </c>
      <c r="C271" s="917">
        <f>'1.5.1 OilLR'!AH101</f>
        <v>46751</v>
      </c>
      <c r="D271" s="917">
        <f>'1.6.1 GasLR'!P151*Units!C$19</f>
        <v>37.839999999999996</v>
      </c>
      <c r="E271" s="897">
        <f>'1.7.1 ElecLR'!AH81*1000</f>
        <v>750.10187272727273</v>
      </c>
      <c r="F271" s="897">
        <f>+'1.8.1 RenElLR'!I51+'1.8.1 RenElLR'!J51+'1.8.3 RenPTLR'!E271</f>
        <v>330.35437000000002</v>
      </c>
      <c r="G271" s="897">
        <f>+'1.8.1 RenElLR'!B51+'1.8.1 RenElLR'!C51+'1.8.3 RenPTLR'!B271+'1.8.3 RenPTLR'!C271</f>
        <v>0</v>
      </c>
      <c r="H271" s="917"/>
      <c r="I271" s="917"/>
      <c r="J271" s="897">
        <f>'1.8.2 RenHLR'!H271+'1.8.2 RenHLR'!I271+'1.8.1 RenElLR'!S51</f>
        <v>1311.2000000000003</v>
      </c>
      <c r="K271" s="919">
        <f t="shared" si="4"/>
        <v>163769.34824272728</v>
      </c>
    </row>
    <row r="272" spans="1:11" s="887" customFormat="1" ht="10.9" x14ac:dyDescent="0.45">
      <c r="A272" s="892">
        <v>1962</v>
      </c>
      <c r="B272" s="918">
        <f>'1.3.1 CoalLR'!R272*Units!C$20*1000</f>
        <v>114230.17199999999</v>
      </c>
      <c r="C272" s="917">
        <f>'1.5.1 OilLR'!AH102</f>
        <v>51716</v>
      </c>
      <c r="D272" s="917">
        <f>'1.6.1 GasLR'!P152*Units!C$19</f>
        <v>63.037999999999997</v>
      </c>
      <c r="E272" s="897">
        <f>'1.7.1 ElecLR'!AH82*1000</f>
        <v>1087.1630727272727</v>
      </c>
      <c r="F272" s="897">
        <f>+'1.8.1 RenElLR'!I52+'1.8.1 RenElLR'!J52+'1.8.3 RenPTLR'!E272</f>
        <v>336.45930500000003</v>
      </c>
      <c r="G272" s="897">
        <f>+'1.8.1 RenElLR'!B52+'1.8.1 RenElLR'!C52+'1.8.3 RenPTLR'!B272+'1.8.3 RenPTLR'!C272</f>
        <v>0</v>
      </c>
      <c r="H272" s="917"/>
      <c r="I272" s="917"/>
      <c r="J272" s="897">
        <f>'1.8.2 RenHLR'!H272+'1.8.2 RenHLR'!I272+'1.8.1 RenElLR'!S52</f>
        <v>1300.6000000000004</v>
      </c>
      <c r="K272" s="919">
        <f t="shared" si="4"/>
        <v>168733.43237772727</v>
      </c>
    </row>
    <row r="273" spans="1:11" s="887" customFormat="1" ht="10.9" x14ac:dyDescent="0.45">
      <c r="A273" s="892">
        <v>1963</v>
      </c>
      <c r="B273" s="918">
        <f>'1.3.1 CoalLR'!R273*Units!C$20*1000</f>
        <v>115903.03199999999</v>
      </c>
      <c r="C273" s="917">
        <f>'1.5.1 OilLR'!AH103</f>
        <v>56585</v>
      </c>
      <c r="D273" s="917">
        <f>'1.6.1 GasLR'!P153*Units!C$19</f>
        <v>88.23599999999999</v>
      </c>
      <c r="E273" s="897">
        <f>'1.7.1 ElecLR'!AH83*1000</f>
        <v>1860.0900545454549</v>
      </c>
      <c r="F273" s="897">
        <f>+'1.8.1 RenElLR'!I53+'1.8.1 RenElLR'!J53+'1.8.3 RenPTLR'!E273</f>
        <v>313.67328000000003</v>
      </c>
      <c r="G273" s="897">
        <f>+'1.8.1 RenElLR'!B53+'1.8.1 RenElLR'!C53+'1.8.3 RenPTLR'!B273+'1.8.3 RenPTLR'!C273</f>
        <v>0</v>
      </c>
      <c r="H273" s="917"/>
      <c r="I273" s="917"/>
      <c r="J273" s="897">
        <f>'1.8.2 RenHLR'!H273+'1.8.2 RenHLR'!I273+'1.8.1 RenElLR'!S53</f>
        <v>1290</v>
      </c>
      <c r="K273" s="919">
        <f t="shared" si="4"/>
        <v>176040.03133454546</v>
      </c>
    </row>
    <row r="274" spans="1:11" s="887" customFormat="1" ht="10.9" x14ac:dyDescent="0.45">
      <c r="A274" s="892">
        <v>1964</v>
      </c>
      <c r="B274" s="918">
        <f>'1.3.1 CoalLR'!R274*Units!C$20*1000</f>
        <v>111840.54000000001</v>
      </c>
      <c r="C274" s="917">
        <f>'1.5.1 OilLR'!AH104</f>
        <v>62101</v>
      </c>
      <c r="D274" s="917">
        <f>'1.6.1 GasLR'!P154*Units!C$19</f>
        <v>88.23599999999999</v>
      </c>
      <c r="E274" s="897">
        <f>'1.7.1 ElecLR'!AH84*1000</f>
        <v>2385.3802363636369</v>
      </c>
      <c r="F274" s="897">
        <f>+'1.8.1 RenElLR'!I54+'1.8.1 RenElLR'!J54+'1.8.3 RenPTLR'!E274</f>
        <v>344.62788</v>
      </c>
      <c r="G274" s="897">
        <f>+'1.8.1 RenElLR'!B54+'1.8.1 RenElLR'!C54+'1.8.3 RenPTLR'!B274+'1.8.3 RenPTLR'!C274</f>
        <v>0</v>
      </c>
      <c r="H274" s="917"/>
      <c r="I274" s="917"/>
      <c r="J274" s="897">
        <f>'1.8.2 RenHLR'!H274+'1.8.2 RenHLR'!I274+'1.8.1 RenElLR'!S54</f>
        <v>1231.8</v>
      </c>
      <c r="K274" s="919">
        <f t="shared" si="4"/>
        <v>177991.58411636367</v>
      </c>
    </row>
    <row r="275" spans="1:11" s="887" customFormat="1" ht="10.9" x14ac:dyDescent="0.45">
      <c r="A275" s="892">
        <v>1965</v>
      </c>
      <c r="B275" s="918">
        <f>'1.3.1 CoalLR'!R275*Units!C$20*1000</f>
        <v>110287.63199999997</v>
      </c>
      <c r="C275" s="917">
        <f>'1.5.1 OilLR'!AH105</f>
        <v>67993</v>
      </c>
      <c r="D275" s="917">
        <f>'1.6.1 GasLR'!P155*Units!C$19</f>
        <v>98.297999999999988</v>
      </c>
      <c r="E275" s="897">
        <f>'1.7.1 ElecLR'!AH85*1000</f>
        <v>4340</v>
      </c>
      <c r="F275" s="897">
        <f>+'1.8.1 RenElLR'!I55+'1.8.1 RenElLR'!J55+'1.8.3 RenPTLR'!E275</f>
        <v>396.56282000000004</v>
      </c>
      <c r="G275" s="897">
        <f>+'1.8.1 RenElLR'!B55+'1.8.1 RenElLR'!C55+'1.8.3 RenPTLR'!B275+'1.8.3 RenPTLR'!C275</f>
        <v>0</v>
      </c>
      <c r="H275" s="917"/>
      <c r="I275" s="917"/>
      <c r="J275" s="897">
        <f>'1.8.2 RenHLR'!H275+'1.8.2 RenHLR'!I275+'1.8.1 RenElLR'!S55</f>
        <v>1173.5999999999999</v>
      </c>
      <c r="K275" s="919">
        <f t="shared" si="4"/>
        <v>184289.09281999999</v>
      </c>
    </row>
    <row r="276" spans="1:11" s="887" customFormat="1" ht="10.9" x14ac:dyDescent="0.45">
      <c r="A276" s="892">
        <v>1966</v>
      </c>
      <c r="B276" s="918">
        <f>'1.3.1 CoalLR'!R276*Units!C$20*1000</f>
        <v>104372.93999999999</v>
      </c>
      <c r="C276" s="917">
        <f>'1.5.1 OilLR'!AH106</f>
        <v>73681</v>
      </c>
      <c r="D276" s="917">
        <f>'1.6.1 GasLR'!P156*Units!C$19</f>
        <v>103.37199999999999</v>
      </c>
      <c r="E276" s="897">
        <f>'1.7.1 ElecLR'!AH86*1000</f>
        <v>5800</v>
      </c>
      <c r="F276" s="897">
        <f>+'1.8.1 RenElLR'!I56+'1.8.1 RenElLR'!J56+'1.8.3 RenPTLR'!E276</f>
        <v>390</v>
      </c>
      <c r="G276" s="897">
        <f>+'1.8.1 RenElLR'!B56+'1.8.1 RenElLR'!C56+'1.8.3 RenPTLR'!B276+'1.8.3 RenPTLR'!C276</f>
        <v>0</v>
      </c>
      <c r="H276" s="917"/>
      <c r="I276" s="917"/>
      <c r="J276" s="897">
        <f>'1.8.2 RenHLR'!H276+'1.8.2 RenHLR'!I276+'1.8.1 RenElLR'!S56</f>
        <v>1115.3999999999999</v>
      </c>
      <c r="K276" s="919">
        <f t="shared" si="4"/>
        <v>185462.712</v>
      </c>
    </row>
    <row r="277" spans="1:11" s="887" customFormat="1" ht="10.9" x14ac:dyDescent="0.45">
      <c r="A277" s="892">
        <v>1967</v>
      </c>
      <c r="B277" s="918">
        <f>'1.3.1 CoalLR'!R277*Units!C$20*1000</f>
        <v>97860.84</v>
      </c>
      <c r="C277" s="917">
        <f>'1.5.1 OilLR'!AH107</f>
        <v>79397</v>
      </c>
      <c r="D277" s="917">
        <f>'1.6.1 GasLR'!P157*Units!C$19</f>
        <v>113.434</v>
      </c>
      <c r="E277" s="897">
        <f>'1.7.1 ElecLR'!AH87*1000</f>
        <v>6680</v>
      </c>
      <c r="F277" s="897">
        <f>+'1.8.1 RenElLR'!I57+'1.8.1 RenElLR'!J57+'1.8.3 RenPTLR'!E277</f>
        <v>420</v>
      </c>
      <c r="G277" s="897">
        <f>+'1.8.1 RenElLR'!B57+'1.8.1 RenElLR'!C57+'1.8.3 RenPTLR'!B277+'1.8.3 RenPTLR'!C277</f>
        <v>0</v>
      </c>
      <c r="H277" s="917"/>
      <c r="I277" s="917"/>
      <c r="J277" s="897">
        <f>'1.8.2 RenHLR'!H277+'1.8.2 RenHLR'!I277+'1.8.1 RenElLR'!S57</f>
        <v>1057.1999999999998</v>
      </c>
      <c r="K277" s="919">
        <f t="shared" si="4"/>
        <v>185528.47400000002</v>
      </c>
    </row>
    <row r="278" spans="1:11" s="887" customFormat="1" ht="10.9" x14ac:dyDescent="0.45">
      <c r="A278" s="892">
        <v>1968</v>
      </c>
      <c r="B278" s="918">
        <f>'1.3.1 CoalLR'!R278*Units!C$20*1000</f>
        <v>98283.02399999999</v>
      </c>
      <c r="C278" s="917">
        <f>'1.5.1 OilLR'!AH108</f>
        <v>84159</v>
      </c>
      <c r="D278" s="917">
        <f>'1.6.1 GasLR'!P158*Units!C$19</f>
        <v>342.79599999999999</v>
      </c>
      <c r="E278" s="897">
        <f>'1.7.1 ElecLR'!AH88*1000</f>
        <v>7510</v>
      </c>
      <c r="F278" s="897">
        <f>+'1.8.1 RenElLR'!I58+'1.8.1 RenElLR'!J58+'1.8.3 RenPTLR'!E278</f>
        <v>320</v>
      </c>
      <c r="G278" s="897">
        <f>+'1.8.1 RenElLR'!B58+'1.8.1 RenElLR'!C58+'1.8.3 RenPTLR'!B278+'1.8.3 RenPTLR'!C278</f>
        <v>0</v>
      </c>
      <c r="H278" s="917"/>
      <c r="I278" s="917"/>
      <c r="J278" s="897">
        <f>'1.8.2 RenHLR'!H278+'1.8.2 RenHLR'!I278+'1.8.1 RenElLR'!S58</f>
        <v>999</v>
      </c>
      <c r="K278" s="919">
        <f t="shared" si="4"/>
        <v>191613.81999999998</v>
      </c>
    </row>
    <row r="279" spans="1:11" s="887" customFormat="1" ht="10.9" x14ac:dyDescent="0.45">
      <c r="A279" s="892">
        <v>1969</v>
      </c>
      <c r="B279" s="918">
        <f>'1.3.1 CoalLR'!R279*Units!C$20*1000</f>
        <v>96282.648000000001</v>
      </c>
      <c r="C279" s="917">
        <f>'1.5.1 OilLR'!AH109</f>
        <v>90775</v>
      </c>
      <c r="D279" s="917">
        <f>'1.6.1 GasLR'!P159*Units!C$19</f>
        <v>1297.9979999999998</v>
      </c>
      <c r="E279" s="897">
        <f>'1.7.1 ElecLR'!AH89*1000</f>
        <v>7910</v>
      </c>
      <c r="F279" s="897">
        <f>+'1.8.1 RenElLR'!I59+'1.8.1 RenElLR'!J59+'1.8.3 RenPTLR'!E279</f>
        <v>280</v>
      </c>
      <c r="G279" s="897">
        <f>+'1.8.1 RenElLR'!B59+'1.8.1 RenElLR'!C59+'1.8.3 RenPTLR'!B279+'1.8.3 RenPTLR'!C279</f>
        <v>0</v>
      </c>
      <c r="H279" s="917"/>
      <c r="I279" s="917"/>
      <c r="J279" s="897">
        <f>'1.8.2 RenHLR'!H279+'1.8.2 RenHLR'!I279+'1.8.1 RenElLR'!S59</f>
        <v>936.2</v>
      </c>
      <c r="K279" s="919">
        <f>SUM(B279:J279)</f>
        <v>197481.84599999999</v>
      </c>
    </row>
    <row r="280" spans="1:11" s="887" customFormat="1" ht="12.75" customHeight="1" x14ac:dyDescent="0.45">
      <c r="A280" s="892">
        <v>1970</v>
      </c>
      <c r="B280" s="897">
        <v>98994</v>
      </c>
      <c r="C280" s="897">
        <v>92366</v>
      </c>
      <c r="D280" s="897">
        <v>11300</v>
      </c>
      <c r="E280" s="897">
        <f>'1.7.1 ElecLR'!AH90*1000</f>
        <v>7000</v>
      </c>
      <c r="F280" s="897">
        <f>+'1.8.1 RenElLR'!I60+'1.8.1 RenElLR'!J60+'1.8.3 RenPTLR'!E280</f>
        <v>390</v>
      </c>
      <c r="G280" s="897">
        <f>+'1.8.1 RenElLR'!B60+'1.8.1 RenElLR'!C60+'1.8.3 RenPTLR'!B280+'1.8.3 RenPTLR'!C280</f>
        <v>0</v>
      </c>
      <c r="H280" s="897"/>
      <c r="I280" s="897"/>
      <c r="J280" s="897">
        <f>'1.8.2 RenHLR'!H280+'1.8.2 RenHLR'!I280+'1.8.1 RenElLR'!S60</f>
        <v>873.4000000000002</v>
      </c>
      <c r="K280" s="897">
        <v>210095</v>
      </c>
    </row>
    <row r="281" spans="1:11" s="887" customFormat="1" ht="12.75" customHeight="1" x14ac:dyDescent="0.45">
      <c r="A281" s="892">
        <v>1971</v>
      </c>
      <c r="B281" s="897">
        <v>87732</v>
      </c>
      <c r="C281" s="897">
        <v>93543</v>
      </c>
      <c r="D281" s="897">
        <v>18220</v>
      </c>
      <c r="E281" s="897">
        <f>'1.7.1 ElecLR'!AH91*1000</f>
        <v>7370</v>
      </c>
      <c r="F281" s="897">
        <f>+'1.8.1 RenElLR'!I61+'1.8.1 RenElLR'!J61+'1.8.3 RenPTLR'!E281</f>
        <v>290</v>
      </c>
      <c r="G281" s="897">
        <f>+'1.8.1 RenElLR'!B61+'1.8.1 RenElLR'!C61+'1.8.3 RenPTLR'!B281+'1.8.3 RenPTLR'!C281</f>
        <v>0</v>
      </c>
      <c r="H281" s="897"/>
      <c r="I281" s="897"/>
      <c r="J281" s="897">
        <f>'1.8.2 RenHLR'!H281+'1.8.2 RenHLR'!I281+'1.8.1 RenElLR'!S61</f>
        <v>810.60000000000014</v>
      </c>
      <c r="K281" s="897">
        <v>207167</v>
      </c>
    </row>
    <row r="282" spans="1:11" s="887" customFormat="1" ht="12.75" customHeight="1" x14ac:dyDescent="0.45">
      <c r="A282" s="892">
        <v>1972</v>
      </c>
      <c r="B282" s="897">
        <v>76847</v>
      </c>
      <c r="C282" s="897">
        <v>100212</v>
      </c>
      <c r="D282" s="897">
        <v>25855</v>
      </c>
      <c r="E282" s="897">
        <f>'1.7.1 ElecLR'!AH92*1000</f>
        <v>7870</v>
      </c>
      <c r="F282" s="897">
        <f>+'1.8.1 RenElLR'!I62+'1.8.1 RenElLR'!J62+'1.8.3 RenPTLR'!E282</f>
        <v>290</v>
      </c>
      <c r="G282" s="897">
        <f>+'1.8.1 RenElLR'!B62+'1.8.1 RenElLR'!C62+'1.8.3 RenPTLR'!B282+'1.8.3 RenPTLR'!C282</f>
        <v>0</v>
      </c>
      <c r="H282" s="897"/>
      <c r="I282" s="897"/>
      <c r="J282" s="897">
        <f>'1.8.2 RenHLR'!H282+'1.8.2 RenHLR'!I282+'1.8.1 RenElLR'!S62</f>
        <v>747.80000000000018</v>
      </c>
      <c r="K282" s="897">
        <v>211117</v>
      </c>
    </row>
    <row r="283" spans="1:11" s="887" customFormat="1" ht="12.75" customHeight="1" x14ac:dyDescent="0.45">
      <c r="A283" s="892">
        <v>1973</v>
      </c>
      <c r="B283" s="897">
        <v>83235</v>
      </c>
      <c r="C283" s="897">
        <v>101501</v>
      </c>
      <c r="D283" s="897">
        <v>27974</v>
      </c>
      <c r="E283" s="897">
        <f>'1.7.1 ElecLR'!AH93*1000</f>
        <v>7460</v>
      </c>
      <c r="F283" s="897">
        <f>+'1.8.1 RenElLR'!I63+'1.8.1 RenElLR'!J63+'1.8.3 RenPTLR'!E283</f>
        <v>330</v>
      </c>
      <c r="G283" s="897">
        <f>+'1.8.1 RenElLR'!B63+'1.8.1 RenElLR'!C63+'1.8.3 RenPTLR'!B283+'1.8.3 RenPTLR'!C283</f>
        <v>0</v>
      </c>
      <c r="H283" s="897"/>
      <c r="I283" s="897"/>
      <c r="J283" s="897">
        <f>'1.8.2 RenHLR'!H283+'1.8.2 RenHLR'!I283+'1.8.1 RenElLR'!S63</f>
        <v>685</v>
      </c>
      <c r="K283" s="897">
        <v>220507</v>
      </c>
    </row>
    <row r="284" spans="1:11" s="887" customFormat="1" ht="12.75" customHeight="1" x14ac:dyDescent="0.45">
      <c r="A284" s="892">
        <v>1974</v>
      </c>
      <c r="B284" s="897">
        <v>73278</v>
      </c>
      <c r="C284" s="897">
        <v>94327</v>
      </c>
      <c r="D284" s="897">
        <v>33460</v>
      </c>
      <c r="E284" s="897">
        <f>'1.7.1 ElecLR'!AH94*1000</f>
        <v>8970</v>
      </c>
      <c r="F284" s="897">
        <f>+'1.8.1 RenElLR'!I64+'1.8.1 RenElLR'!J64+'1.8.3 RenPTLR'!E284</f>
        <v>350</v>
      </c>
      <c r="G284" s="897">
        <f>+'1.8.1 RenElLR'!B64+'1.8.1 RenElLR'!C64+'1.8.3 RenPTLR'!B284+'1.8.3 RenPTLR'!C284</f>
        <v>0</v>
      </c>
      <c r="H284" s="897"/>
      <c r="I284" s="897"/>
      <c r="J284" s="897">
        <f>'1.8.2 RenHLR'!H284+'1.8.2 RenHLR'!I284+'1.8.1 RenElLR'!S64</f>
        <v>658.8</v>
      </c>
      <c r="K284" s="897">
        <v>210391</v>
      </c>
    </row>
    <row r="285" spans="1:11" s="887" customFormat="1" ht="12.75" customHeight="1" x14ac:dyDescent="0.45">
      <c r="A285" s="892">
        <v>1975</v>
      </c>
      <c r="B285" s="897">
        <v>73716</v>
      </c>
      <c r="C285" s="897">
        <v>84963</v>
      </c>
      <c r="D285" s="897">
        <v>35060</v>
      </c>
      <c r="E285" s="897">
        <f>'1.7.1 ElecLR'!AH95*1000</f>
        <v>8119.9999999999991</v>
      </c>
      <c r="F285" s="897">
        <f>+'1.8.1 RenElLR'!I65+'1.8.1 RenElLR'!J65+'1.8.3 RenPTLR'!E285</f>
        <v>330</v>
      </c>
      <c r="G285" s="897">
        <f>+'1.8.1 RenElLR'!B65+'1.8.1 RenElLR'!C65+'1.8.3 RenPTLR'!B285+'1.8.3 RenPTLR'!C285</f>
        <v>0</v>
      </c>
      <c r="H285" s="897"/>
      <c r="I285" s="897"/>
      <c r="J285" s="897">
        <f>'1.8.2 RenHLR'!H285+'1.8.2 RenHLR'!I285+'1.8.1 RenElLR'!S65</f>
        <v>632.6</v>
      </c>
      <c r="K285" s="897">
        <v>202192</v>
      </c>
    </row>
    <row r="286" spans="1:11" s="887" customFormat="1" ht="12.75" customHeight="1" x14ac:dyDescent="0.45">
      <c r="A286" s="892">
        <v>1976</v>
      </c>
      <c r="B286" s="897">
        <v>75016</v>
      </c>
      <c r="C286" s="897">
        <v>83480</v>
      </c>
      <c r="D286" s="897">
        <v>37188</v>
      </c>
      <c r="E286" s="897">
        <f>'1.7.1 ElecLR'!AH96*1000</f>
        <v>9560</v>
      </c>
      <c r="F286" s="897">
        <f>+'1.8.1 RenElLR'!I66+'1.8.1 RenElLR'!J66+'1.8.3 RenPTLR'!E286</f>
        <v>390</v>
      </c>
      <c r="G286" s="897">
        <f>+'1.8.1 RenElLR'!B66+'1.8.1 RenElLR'!C66+'1.8.3 RenPTLR'!B286+'1.8.3 RenPTLR'!C286</f>
        <v>0</v>
      </c>
      <c r="H286" s="897"/>
      <c r="I286" s="897"/>
      <c r="J286" s="897">
        <f>'1.8.2 RenHLR'!H286+'1.8.2 RenHLR'!I286+'1.8.1 RenElLR'!S66</f>
        <v>606.40000000000009</v>
      </c>
      <c r="K286" s="897">
        <v>205635</v>
      </c>
    </row>
    <row r="287" spans="1:11" s="887" customFormat="1" ht="12.75" customHeight="1" x14ac:dyDescent="0.45">
      <c r="A287" s="892">
        <v>1977</v>
      </c>
      <c r="B287" s="897">
        <v>75263</v>
      </c>
      <c r="C287" s="897">
        <v>85110</v>
      </c>
      <c r="D287" s="897">
        <v>39526</v>
      </c>
      <c r="E287" s="897">
        <f>'1.7.1 ElecLR'!AH97*1000</f>
        <v>10640</v>
      </c>
      <c r="F287" s="897">
        <f>+'1.8.1 RenElLR'!I67+'1.8.1 RenElLR'!J67+'1.8.3 RenPTLR'!E287</f>
        <v>340</v>
      </c>
      <c r="G287" s="897">
        <f>+'1.8.1 RenElLR'!B67+'1.8.1 RenElLR'!C67+'1.8.3 RenPTLR'!B287+'1.8.3 RenPTLR'!C287</f>
        <v>0</v>
      </c>
      <c r="H287" s="897"/>
      <c r="I287" s="897"/>
      <c r="J287" s="897">
        <f>'1.8.2 RenHLR'!H287+'1.8.2 RenHLR'!I287+'1.8.1 RenElLR'!S67</f>
        <v>580.20000000000005</v>
      </c>
      <c r="K287" s="897">
        <v>210872</v>
      </c>
    </row>
    <row r="288" spans="1:11" s="887" customFormat="1" ht="12.75" customHeight="1" x14ac:dyDescent="0.45">
      <c r="A288" s="892">
        <v>1978</v>
      </c>
      <c r="B288" s="897">
        <v>73321</v>
      </c>
      <c r="C288" s="897">
        <v>87177</v>
      </c>
      <c r="D288" s="897">
        <v>40999</v>
      </c>
      <c r="E288" s="897">
        <f>'1.7.1 ElecLR'!AH98*1000</f>
        <v>9960</v>
      </c>
      <c r="F288" s="897">
        <f>+'1.8.1 RenElLR'!I68+'1.8.1 RenElLR'!J68+'1.8.3 RenPTLR'!E288</f>
        <v>350</v>
      </c>
      <c r="G288" s="897">
        <f>+'1.8.1 RenElLR'!B68+'1.8.1 RenElLR'!C68+'1.8.3 RenPTLR'!B288+'1.8.3 RenPTLR'!C288</f>
        <v>0</v>
      </c>
      <c r="H288" s="897"/>
      <c r="I288" s="897"/>
      <c r="J288" s="897">
        <f>'1.8.2 RenHLR'!H288+'1.8.2 RenHLR'!I288+'1.8.1 RenElLR'!S68</f>
        <v>554</v>
      </c>
      <c r="K288" s="897">
        <v>211798</v>
      </c>
    </row>
    <row r="289" spans="1:11" s="900" customFormat="1" ht="13.5" customHeight="1" x14ac:dyDescent="0.45">
      <c r="A289" s="898">
        <v>1979</v>
      </c>
      <c r="B289" s="899">
        <v>78814</v>
      </c>
      <c r="C289" s="899">
        <v>87681</v>
      </c>
      <c r="D289" s="899">
        <v>44919</v>
      </c>
      <c r="E289" s="897">
        <f>'1.7.1 ElecLR'!AH99*1000</f>
        <v>10230</v>
      </c>
      <c r="F289" s="897">
        <f>+'1.8.1 RenElLR'!I69+'1.8.1 RenElLR'!J69+'1.8.3 RenPTLR'!E289</f>
        <v>370</v>
      </c>
      <c r="G289" s="897">
        <f>+'1.8.1 RenElLR'!B69+'1.8.1 RenElLR'!C69+'1.8.3 RenPTLR'!B289+'1.8.3 RenPTLR'!C289</f>
        <v>0</v>
      </c>
      <c r="H289" s="899"/>
      <c r="I289" s="899"/>
      <c r="J289" s="897">
        <f>'1.8.2 RenHLR'!H289+'1.8.2 RenHLR'!I289+'1.8.1 RenElLR'!S69</f>
        <v>539.4</v>
      </c>
      <c r="K289" s="899">
        <v>222011</v>
      </c>
    </row>
    <row r="290" spans="1:11" s="887" customFormat="1" ht="12.75" customHeight="1" x14ac:dyDescent="0.45">
      <c r="A290" s="892">
        <v>1980</v>
      </c>
      <c r="B290" s="897">
        <v>73263</v>
      </c>
      <c r="C290" s="897">
        <v>76197</v>
      </c>
      <c r="D290" s="897">
        <v>44785</v>
      </c>
      <c r="E290" s="897">
        <f>'1.7.1 ElecLR'!AH100*1000</f>
        <v>9910</v>
      </c>
      <c r="F290" s="897">
        <f>+'1.8.1 RenElLR'!I70+'1.8.1 RenElLR'!J70+'1.8.3 RenPTLR'!E290</f>
        <v>340</v>
      </c>
      <c r="G290" s="897">
        <f>+'1.8.1 RenElLR'!B70+'1.8.1 RenElLR'!C70+'1.8.3 RenPTLR'!B290+'1.8.3 RenPTLR'!C290</f>
        <v>0</v>
      </c>
      <c r="H290" s="897"/>
      <c r="I290" s="897"/>
      <c r="J290" s="897">
        <f>'1.8.2 RenHLR'!H290+'1.8.2 RenHLR'!I290+'1.8.1 RenElLR'!S70</f>
        <v>524.79999999999995</v>
      </c>
      <c r="K290" s="897">
        <v>204492</v>
      </c>
    </row>
    <row r="291" spans="1:11" s="887" customFormat="1" ht="12.75" customHeight="1" x14ac:dyDescent="0.45">
      <c r="A291" s="892">
        <v>1981</v>
      </c>
      <c r="B291" s="897">
        <v>72865</v>
      </c>
      <c r="C291" s="897">
        <v>69539</v>
      </c>
      <c r="D291" s="897">
        <v>45392</v>
      </c>
      <c r="E291" s="897">
        <f>'1.7.1 ElecLR'!AH101*1000</f>
        <v>10180</v>
      </c>
      <c r="F291" s="897">
        <f>+'1.8.1 RenElLR'!I71+'1.8.1 RenElLR'!J71+'1.8.3 RenPTLR'!E291</f>
        <v>380</v>
      </c>
      <c r="G291" s="897">
        <f>+'1.8.1 RenElLR'!B71+'1.8.1 RenElLR'!C71+'1.8.3 RenPTLR'!B291+'1.8.3 RenPTLR'!C291</f>
        <v>0</v>
      </c>
      <c r="H291" s="897"/>
      <c r="I291" s="897"/>
      <c r="J291" s="897">
        <f>'1.8.2 RenHLR'!H291+'1.8.2 RenHLR'!I291+'1.8.1 RenElLR'!S71</f>
        <v>510.19999999999993</v>
      </c>
      <c r="K291" s="897">
        <v>198360</v>
      </c>
    </row>
    <row r="292" spans="1:11" s="887" customFormat="1" ht="12.75" customHeight="1" x14ac:dyDescent="0.45">
      <c r="A292" s="892">
        <v>1982</v>
      </c>
      <c r="B292" s="897">
        <v>67958</v>
      </c>
      <c r="C292" s="897">
        <v>70671</v>
      </c>
      <c r="D292" s="897">
        <v>45166</v>
      </c>
      <c r="E292" s="897">
        <f>'1.7.1 ElecLR'!AH102*1000</f>
        <v>11880</v>
      </c>
      <c r="F292" s="897">
        <f>+'1.8.1 RenElLR'!I72+'1.8.1 RenElLR'!J72+'1.8.3 RenPTLR'!E292</f>
        <v>390</v>
      </c>
      <c r="G292" s="897">
        <f>+'1.8.1 RenElLR'!B72+'1.8.1 RenElLR'!C72+'1.8.3 RenPTLR'!B292+'1.8.3 RenPTLR'!C292</f>
        <v>0</v>
      </c>
      <c r="H292" s="897"/>
      <c r="I292" s="897"/>
      <c r="J292" s="897">
        <f>'1.8.2 RenHLR'!H292+'1.8.2 RenHLR'!I292+'1.8.1 RenElLR'!S72</f>
        <v>495.59999999999991</v>
      </c>
      <c r="K292" s="897">
        <v>196069</v>
      </c>
    </row>
    <row r="293" spans="1:11" s="887" customFormat="1" ht="12.75" customHeight="1" x14ac:dyDescent="0.45">
      <c r="A293" s="892">
        <v>1983</v>
      </c>
      <c r="B293" s="897">
        <v>68590</v>
      </c>
      <c r="C293" s="897">
        <v>67228</v>
      </c>
      <c r="D293" s="897">
        <v>47080</v>
      </c>
      <c r="E293" s="897">
        <f>'1.7.1 ElecLR'!AH103*1000</f>
        <v>13470</v>
      </c>
      <c r="F293" s="897">
        <f>+'1.8.1 RenElLR'!I73+'1.8.1 RenElLR'!J73+'1.8.3 RenPTLR'!E293</f>
        <v>390</v>
      </c>
      <c r="G293" s="897">
        <f>+'1.8.1 RenElLR'!B73+'1.8.1 RenElLR'!C73+'1.8.3 RenPTLR'!B293+'1.8.3 RenPTLR'!C293</f>
        <v>0</v>
      </c>
      <c r="H293" s="897"/>
      <c r="I293" s="897"/>
      <c r="J293" s="897">
        <f>'1.8.2 RenHLR'!H293+'1.8.2 RenHLR'!I293+'1.8.1 RenElLR'!S73</f>
        <v>481</v>
      </c>
      <c r="K293" s="897">
        <v>196764</v>
      </c>
    </row>
    <row r="294" spans="1:11" s="887" customFormat="1" ht="12.75" customHeight="1" x14ac:dyDescent="0.45">
      <c r="A294" s="892">
        <v>1984</v>
      </c>
      <c r="B294" s="897">
        <v>48738</v>
      </c>
      <c r="C294" s="897">
        <v>84651</v>
      </c>
      <c r="D294" s="897">
        <v>48168</v>
      </c>
      <c r="E294" s="897">
        <f>'1.7.1 ElecLR'!AH104*1000</f>
        <v>14500</v>
      </c>
      <c r="F294" s="897">
        <f>+'1.8.1 RenElLR'!I74+'1.8.1 RenElLR'!J74+'1.8.3 RenPTLR'!E294</f>
        <v>390</v>
      </c>
      <c r="G294" s="897">
        <f>+'1.8.1 RenElLR'!B74+'1.8.1 RenElLR'!C74+'1.8.3 RenPTLR'!B294+'1.8.3 RenPTLR'!C294</f>
        <v>0</v>
      </c>
      <c r="H294" s="897"/>
      <c r="I294" s="897"/>
      <c r="J294" s="897">
        <f>'1.8.2 RenHLR'!H294+'1.8.2 RenHLR'!I294+'1.8.1 RenElLR'!S74</f>
        <v>468</v>
      </c>
      <c r="K294" s="897">
        <v>196402</v>
      </c>
    </row>
    <row r="295" spans="1:11" s="887" customFormat="1" ht="12.75" customHeight="1" x14ac:dyDescent="0.45">
      <c r="A295" s="892">
        <v>1985</v>
      </c>
      <c r="B295" s="897">
        <v>64824</v>
      </c>
      <c r="C295" s="897">
        <v>72179</v>
      </c>
      <c r="D295" s="897">
        <v>51803</v>
      </c>
      <c r="E295" s="897">
        <f>'1.7.1 ElecLR'!AH105*1000</f>
        <v>16500</v>
      </c>
      <c r="F295" s="897">
        <f>+'1.8.1 RenElLR'!I75+'1.8.1 RenElLR'!J75+'1.8.3 RenPTLR'!E295</f>
        <v>340</v>
      </c>
      <c r="G295" s="897">
        <f>+'1.8.1 RenElLR'!B75+'1.8.1 RenElLR'!C75+'1.8.3 RenPTLR'!B295+'1.8.3 RenPTLR'!C295</f>
        <v>0</v>
      </c>
      <c r="H295" s="897"/>
      <c r="I295" s="897"/>
      <c r="J295" s="897">
        <f>'1.8.2 RenHLR'!H295+'1.8.2 RenHLR'!I295+'1.8.1 RenElLR'!S75</f>
        <v>455</v>
      </c>
      <c r="K295" s="897">
        <v>205657</v>
      </c>
    </row>
    <row r="296" spans="1:11" s="887" customFormat="1" ht="12.75" customHeight="1" x14ac:dyDescent="0.45">
      <c r="A296" s="892">
        <v>1986</v>
      </c>
      <c r="B296" s="897">
        <v>70008</v>
      </c>
      <c r="C296" s="897">
        <v>71148</v>
      </c>
      <c r="D296" s="897">
        <v>52665</v>
      </c>
      <c r="E296" s="897">
        <f>'1.7.1 ElecLR'!AH106*1000</f>
        <v>14440</v>
      </c>
      <c r="F296" s="897">
        <f>+'1.8.1 RenElLR'!I76+'1.8.1 RenElLR'!J76+'1.8.3 RenPTLR'!E296</f>
        <v>360</v>
      </c>
      <c r="G296" s="897">
        <f>+'1.8.1 RenElLR'!B76+'1.8.1 RenElLR'!C76+'1.8.3 RenPTLR'!B296+'1.8.3 RenPTLR'!C296</f>
        <v>0</v>
      </c>
      <c r="H296" s="897"/>
      <c r="I296" s="897"/>
      <c r="J296" s="897">
        <f>'1.8.2 RenHLR'!H296+'1.8.2 RenHLR'!I296+'1.8.1 RenElLR'!S76</f>
        <v>442</v>
      </c>
      <c r="K296" s="897">
        <v>210010</v>
      </c>
    </row>
    <row r="297" spans="1:11" s="887" customFormat="1" ht="12.75" customHeight="1" x14ac:dyDescent="0.45">
      <c r="A297" s="892">
        <v>1987</v>
      </c>
      <c r="B297" s="897">
        <v>71721</v>
      </c>
      <c r="C297" s="897">
        <v>69431</v>
      </c>
      <c r="D297" s="897">
        <v>54090</v>
      </c>
      <c r="E297" s="897">
        <f>'1.7.1 ElecLR'!AH107*1000</f>
        <v>14440</v>
      </c>
      <c r="F297" s="897">
        <f>+'1.8.1 RenElLR'!I77+'1.8.1 RenElLR'!J77+'1.8.3 RenPTLR'!E297</f>
        <v>360</v>
      </c>
      <c r="G297" s="897">
        <f>+'1.8.1 RenElLR'!B77+'1.8.1 RenElLR'!C77+'1.8.3 RenPTLR'!B297+'1.8.3 RenPTLR'!C297</f>
        <v>0</v>
      </c>
      <c r="H297" s="897"/>
      <c r="I297" s="897"/>
      <c r="J297" s="897">
        <f>'1.8.2 RenHLR'!H297+'1.8.2 RenHLR'!I297+'1.8.1 RenElLR'!S77</f>
        <v>429</v>
      </c>
      <c r="K297" s="897">
        <v>211038</v>
      </c>
    </row>
    <row r="298" spans="1:11" s="887" customFormat="1" ht="12.75" customHeight="1" x14ac:dyDescent="0.45">
      <c r="A298" s="892">
        <v>1988</v>
      </c>
      <c r="B298" s="897">
        <v>69621</v>
      </c>
      <c r="C298" s="897">
        <v>74042</v>
      </c>
      <c r="D298" s="897">
        <v>51352</v>
      </c>
      <c r="E298" s="897">
        <f>'1.7.1 ElecLR'!AH108*1000</f>
        <v>16570</v>
      </c>
      <c r="F298" s="897">
        <f>+'1.8.1 RenElLR'!I78+'1.8.1 RenElLR'!J78+'1.8.3 RenPTLR'!E298</f>
        <v>420</v>
      </c>
      <c r="G298" s="897">
        <f>+'1.8.1 RenElLR'!B78+'1.8.1 RenElLR'!C78+'1.8.3 RenPTLR'!B298+'1.8.3 RenPTLR'!C298</f>
        <v>0</v>
      </c>
      <c r="H298" s="897"/>
      <c r="I298" s="897"/>
      <c r="J298" s="897">
        <f>'1.8.2 RenHLR'!H298+'1.8.2 RenHLR'!I298+'1.8.1 RenElLR'!S78</f>
        <v>416</v>
      </c>
      <c r="K298" s="897">
        <v>213098</v>
      </c>
    </row>
    <row r="299" spans="1:11" s="900" customFormat="1" ht="14.25" customHeight="1" x14ac:dyDescent="0.45">
      <c r="A299" s="898">
        <v>1989</v>
      </c>
      <c r="B299" s="899">
        <v>67014</v>
      </c>
      <c r="C299" s="899">
        <v>75399</v>
      </c>
      <c r="D299" s="899">
        <v>49113</v>
      </c>
      <c r="E299" s="897">
        <f>'1.7.1 ElecLR'!AH109*1000</f>
        <v>17740</v>
      </c>
      <c r="F299" s="897">
        <f>+'1.8.1 RenElLR'!I79+'1.8.1 RenElLR'!J79+'1.8.3 RenPTLR'!E299</f>
        <v>410</v>
      </c>
      <c r="G299" s="897">
        <f>+'1.8.1 RenElLR'!B79+'1.8.1 RenElLR'!C79+'1.8.3 RenPTLR'!B299+'1.8.3 RenPTLR'!C299</f>
        <v>0</v>
      </c>
      <c r="H299" s="897"/>
      <c r="I299" s="897"/>
      <c r="J299" s="897">
        <f>'1.8.2 RenHLR'!H299+'1.8.2 RenHLR'!I299+'1.8.1 RenElLR'!S79</f>
        <v>421</v>
      </c>
      <c r="K299" s="899">
        <v>211433</v>
      </c>
    </row>
    <row r="300" spans="1:11" s="887" customFormat="1" ht="12.75" customHeight="1" x14ac:dyDescent="0.45">
      <c r="A300" s="892">
        <v>1990</v>
      </c>
      <c r="B300" s="897">
        <v>66954</v>
      </c>
      <c r="C300" s="897">
        <v>77158.710631645357</v>
      </c>
      <c r="D300" s="897">
        <v>51187</v>
      </c>
      <c r="E300" s="897">
        <f>'1.7.1 ElecLR'!AH110*1000</f>
        <v>16260.000000000002</v>
      </c>
      <c r="F300" s="897">
        <f>+'1.8.1 RenElLR'!I80+'1.8.1 RenElLR'!J80+'1.8.3 RenPTLR'!E300</f>
        <v>447.65999999999997</v>
      </c>
      <c r="G300" s="897">
        <f>+'1.8.1 RenElLR'!B80+'1.8.1 RenElLR'!C80+'1.8.3 RenPTLR'!B300+'1.8.3 RenPTLR'!C300</f>
        <v>0.79</v>
      </c>
      <c r="H300" s="897">
        <f>'1.8.1 RenElLR'!F80+'1.8.2 RenHLR'!B300</f>
        <v>6.42</v>
      </c>
      <c r="I300" s="897">
        <f>'1.8.2 RenHLR'!O300+'1.8.2 RenHLR'!P300</f>
        <v>0.83</v>
      </c>
      <c r="J300" s="897">
        <f>'1.8.2 RenHLR'!H300+'1.8.2 RenHLR'!I300+'1.8.1 RenElLR'!S80</f>
        <v>631.88750000000005</v>
      </c>
      <c r="K300" s="897">
        <v>213686.91063164535</v>
      </c>
    </row>
    <row r="301" spans="1:11" s="887" customFormat="1" ht="12.75" customHeight="1" x14ac:dyDescent="0.45">
      <c r="A301" s="892">
        <v>1991</v>
      </c>
      <c r="B301" s="897">
        <v>67067</v>
      </c>
      <c r="C301" s="897">
        <v>77137.384407803387</v>
      </c>
      <c r="D301" s="897">
        <v>55362.252794496984</v>
      </c>
      <c r="E301" s="897">
        <f>'1.7.1 ElecLR'!AH111*1000</f>
        <v>17430</v>
      </c>
      <c r="F301" s="897">
        <f>+'1.8.1 RenElLR'!I81+'1.8.1 RenElLR'!J81+'1.8.3 RenPTLR'!E301</f>
        <v>397.56</v>
      </c>
      <c r="G301" s="897">
        <f>+'1.8.1 RenElLR'!B81+'1.8.1 RenElLR'!C81+'1.8.3 RenPTLR'!B301+'1.8.3 RenPTLR'!C301</f>
        <v>0.74</v>
      </c>
      <c r="H301" s="897">
        <f>'1.8.1 RenElLR'!F81+'1.8.2 RenHLR'!B301</f>
        <v>6.76</v>
      </c>
      <c r="I301" s="897">
        <f>'1.8.2 RenHLR'!O301+'1.8.2 RenHLR'!P301</f>
        <v>0.83</v>
      </c>
      <c r="J301" s="897">
        <f>'1.8.2 RenHLR'!H301+'1.8.2 RenHLR'!I301+'1.8.1 RenElLR'!S81</f>
        <v>659.07500000000005</v>
      </c>
      <c r="K301" s="897">
        <v>219504.73720230037</v>
      </c>
    </row>
    <row r="302" spans="1:11" s="887" customFormat="1" ht="12.75" customHeight="1" x14ac:dyDescent="0.45">
      <c r="A302" s="892">
        <v>1992</v>
      </c>
      <c r="B302" s="897">
        <v>63060</v>
      </c>
      <c r="C302" s="897">
        <v>77492.415203448603</v>
      </c>
      <c r="D302" s="897">
        <v>55080</v>
      </c>
      <c r="E302" s="897">
        <f>'1.7.1 ElecLR'!AH112*1000</f>
        <v>18450</v>
      </c>
      <c r="F302" s="897">
        <f>+'1.8.1 RenElLR'!I82+'1.8.1 RenElLR'!J82+'1.8.3 RenPTLR'!E302</f>
        <v>466.98999999999995</v>
      </c>
      <c r="G302" s="897">
        <f>+'1.8.1 RenElLR'!B82+'1.8.1 RenElLR'!C82+'1.8.3 RenPTLR'!B302+'1.8.3 RenPTLR'!C302</f>
        <v>2.8</v>
      </c>
      <c r="H302" s="897">
        <f>'1.8.1 RenElLR'!F82+'1.8.2 RenHLR'!B302</f>
        <v>7.11</v>
      </c>
      <c r="I302" s="897">
        <f>'1.8.2 RenHLR'!O302+'1.8.2 RenHLR'!P302</f>
        <v>0.83</v>
      </c>
      <c r="J302" s="897">
        <f>'1.8.2 RenHLR'!H302+'1.8.2 RenHLR'!I302+'1.8.1 RenElLR'!S82</f>
        <v>776.25250000000005</v>
      </c>
      <c r="K302" s="897">
        <v>216815.41520344862</v>
      </c>
    </row>
    <row r="303" spans="1:11" s="887" customFormat="1" ht="12.75" customHeight="1" x14ac:dyDescent="0.45">
      <c r="A303" s="892">
        <v>1993</v>
      </c>
      <c r="B303" s="897">
        <v>54913</v>
      </c>
      <c r="C303" s="897">
        <v>78126.135351359771</v>
      </c>
      <c r="D303" s="897">
        <v>62948.409286328453</v>
      </c>
      <c r="E303" s="897">
        <f>'1.7.1 ElecLR'!AH113*1000</f>
        <v>21580</v>
      </c>
      <c r="F303" s="897">
        <f>+'1.8.1 RenElLR'!I83+'1.8.1 RenElLR'!J83+'1.8.3 RenPTLR'!E303</f>
        <v>369.87</v>
      </c>
      <c r="G303" s="897">
        <f>+'1.8.1 RenElLR'!B83+'1.8.1 RenElLR'!C83+'1.8.3 RenPTLR'!B303+'1.8.3 RenPTLR'!C303</f>
        <v>18.690000000000001</v>
      </c>
      <c r="H303" s="897">
        <f>'1.8.1 RenElLR'!F83+'1.8.2 RenHLR'!B303</f>
        <v>7.41</v>
      </c>
      <c r="I303" s="897">
        <f>'1.8.2 RenHLR'!O303+'1.8.2 RenHLR'!P303</f>
        <v>0.83</v>
      </c>
      <c r="J303" s="897">
        <f>'1.8.2 RenHLR'!H303+'1.8.2 RenHLR'!I303+'1.8.1 RenElLR'!S83</f>
        <v>882.92000000000007</v>
      </c>
      <c r="K303" s="897">
        <v>220563.84463768822</v>
      </c>
    </row>
    <row r="304" spans="1:11" s="887" customFormat="1" ht="12.75" customHeight="1" x14ac:dyDescent="0.45">
      <c r="A304" s="892">
        <v>1994</v>
      </c>
      <c r="B304" s="897">
        <v>51272</v>
      </c>
      <c r="C304" s="897">
        <v>76667.543332359521</v>
      </c>
      <c r="D304" s="897">
        <v>64856.749785038686</v>
      </c>
      <c r="E304" s="897">
        <f>'1.7.1 ElecLR'!AH114*1000</f>
        <v>21200</v>
      </c>
      <c r="F304" s="897">
        <f>+'1.8.1 RenElLR'!I84+'1.8.1 RenElLR'!J84+'1.8.3 RenPTLR'!E304</f>
        <v>437.96</v>
      </c>
      <c r="G304" s="897">
        <f>+'1.8.1 RenElLR'!B84+'1.8.1 RenElLR'!C84+'1.8.3 RenPTLR'!B304+'1.8.3 RenPTLR'!C304</f>
        <v>29.53</v>
      </c>
      <c r="H304" s="897">
        <f>'1.8.1 RenElLR'!F84+'1.8.2 RenHLR'!B304</f>
        <v>7.74</v>
      </c>
      <c r="I304" s="897">
        <f>'1.8.2 RenHLR'!O304+'1.8.2 RenHLR'!P304</f>
        <v>0.83</v>
      </c>
      <c r="J304" s="897">
        <f>'1.8.2 RenHLR'!H304+'1.8.2 RenHLR'!I304+'1.8.1 RenElLR'!S84</f>
        <v>1210.1599999999999</v>
      </c>
      <c r="K304" s="897">
        <v>217491.29311739822</v>
      </c>
    </row>
    <row r="305" spans="1:11" s="887" customFormat="1" ht="12.75" customHeight="1" x14ac:dyDescent="0.45">
      <c r="A305" s="892">
        <v>1995</v>
      </c>
      <c r="B305" s="897">
        <v>48924</v>
      </c>
      <c r="C305" s="897">
        <v>75421.390580812353</v>
      </c>
      <c r="D305" s="897">
        <v>69236</v>
      </c>
      <c r="E305" s="897">
        <f>'1.7.1 ElecLR'!AH115*1000</f>
        <v>21250</v>
      </c>
      <c r="F305" s="897">
        <f>+'1.8.1 RenElLR'!I85+'1.8.1 RenElLR'!J85+'1.8.3 RenPTLR'!E305</f>
        <v>415.94</v>
      </c>
      <c r="G305" s="897">
        <f>+'1.8.1 RenElLR'!B85+'1.8.1 RenElLR'!C85+'1.8.3 RenPTLR'!B305+'1.8.3 RenPTLR'!C305</f>
        <v>33.729999999999997</v>
      </c>
      <c r="H305" s="897">
        <f>'1.8.1 RenElLR'!F85+'1.8.2 RenHLR'!B305</f>
        <v>8.11</v>
      </c>
      <c r="I305" s="897">
        <f>'1.8.2 RenHLR'!O305+'1.8.2 RenHLR'!P305</f>
        <v>0.83</v>
      </c>
      <c r="J305" s="897">
        <f>'1.8.2 RenHLR'!H305+'1.8.2 RenHLR'!I305+'1.8.1 RenElLR'!S85</f>
        <v>1291</v>
      </c>
      <c r="K305" s="897">
        <v>218421.09058081236</v>
      </c>
    </row>
    <row r="306" spans="1:11" s="887" customFormat="1" ht="12.75" customHeight="1" x14ac:dyDescent="0.45">
      <c r="A306" s="892">
        <v>1996</v>
      </c>
      <c r="B306" s="897">
        <v>45737.704927065141</v>
      </c>
      <c r="C306" s="897">
        <v>77818.977857425052</v>
      </c>
      <c r="D306" s="897">
        <v>80983.790275270847</v>
      </c>
      <c r="E306" s="897">
        <f>'1.7.1 ElecLR'!AH116*1000</f>
        <v>22180</v>
      </c>
      <c r="F306" s="897">
        <f>+'1.8.1 RenElLR'!I86+'1.8.1 RenElLR'!J86+'1.8.3 RenPTLR'!E306</f>
        <v>291.68</v>
      </c>
      <c r="G306" s="897">
        <f>+'1.8.1 RenElLR'!B86+'1.8.1 RenElLR'!C86+'1.8.3 RenPTLR'!B306+'1.8.3 RenPTLR'!C306</f>
        <v>41.94</v>
      </c>
      <c r="H306" s="897">
        <f>'1.8.1 RenElLR'!F86+'1.8.2 RenHLR'!B306</f>
        <v>8.66</v>
      </c>
      <c r="I306" s="897">
        <f>'1.8.2 RenHLR'!O306+'1.8.2 RenHLR'!P306</f>
        <v>0.83</v>
      </c>
      <c r="J306" s="897">
        <f>'1.8.2 RenHLR'!H306+'1.8.2 RenHLR'!I306+'1.8.1 RenElLR'!S86</f>
        <v>1348.75</v>
      </c>
      <c r="K306" s="897">
        <v>229987.9730658521</v>
      </c>
    </row>
    <row r="307" spans="1:11" s="887" customFormat="1" ht="12.75" customHeight="1" x14ac:dyDescent="0.45">
      <c r="A307" s="892">
        <v>1997</v>
      </c>
      <c r="B307" s="901">
        <v>40791.85050619574</v>
      </c>
      <c r="C307" s="897">
        <v>75483.274413298466</v>
      </c>
      <c r="D307" s="897">
        <v>83534.185496474631</v>
      </c>
      <c r="E307" s="897">
        <f>'1.7.1 ElecLR'!AH117*1000</f>
        <v>21983</v>
      </c>
      <c r="F307" s="897">
        <f>+'1.8.1 RenElLR'!I87+'1.8.1 RenElLR'!J87+'1.8.3 RenPTLR'!E307</f>
        <v>358.44</v>
      </c>
      <c r="G307" s="897">
        <f>+'1.8.1 RenElLR'!B87+'1.8.1 RenElLR'!C87+'1.8.3 RenPTLR'!B307+'1.8.3 RenPTLR'!C307</f>
        <v>57.35</v>
      </c>
      <c r="H307" s="897">
        <f>'1.8.1 RenElLR'!F87+'1.8.2 RenHLR'!B307</f>
        <v>8.8800000000000008</v>
      </c>
      <c r="I307" s="897">
        <f>'1.8.2 RenHLR'!O307+'1.8.2 RenHLR'!P307</f>
        <v>0.83</v>
      </c>
      <c r="J307" s="897">
        <f>'1.8.2 RenHLR'!H307+'1.8.2 RenHLR'!I307+'1.8.1 RenElLR'!S87</f>
        <v>1471.13</v>
      </c>
      <c r="K307" s="897">
        <v>226814.21482742243</v>
      </c>
    </row>
    <row r="308" spans="1:11" s="903" customFormat="1" ht="12.75" customHeight="1" x14ac:dyDescent="0.45">
      <c r="A308" s="902">
        <v>1998</v>
      </c>
      <c r="B308" s="897">
        <v>40970.061473383226</v>
      </c>
      <c r="C308" s="897">
        <v>75356.853611738014</v>
      </c>
      <c r="D308" s="897">
        <v>87316.07910576096</v>
      </c>
      <c r="E308" s="897">
        <f>'1.7.1 ElecLR'!AH118*1000</f>
        <v>23443</v>
      </c>
      <c r="F308" s="897">
        <f>+'1.8.1 RenElLR'!I88+'1.8.1 RenElLR'!J88+'1.8.3 RenPTLR'!E308</f>
        <v>440.01</v>
      </c>
      <c r="G308" s="897">
        <f>+'1.8.1 RenElLR'!B88+'1.8.1 RenElLR'!C88+'1.8.3 RenPTLR'!B308+'1.8.3 RenPTLR'!C308</f>
        <v>75.400000000000006</v>
      </c>
      <c r="H308" s="897">
        <f>'1.8.1 RenElLR'!F88+'1.8.2 RenHLR'!B308</f>
        <v>9.1199999999999992</v>
      </c>
      <c r="I308" s="897">
        <f>'1.8.2 RenHLR'!O308+'1.8.2 RenHLR'!P308</f>
        <v>0.83</v>
      </c>
      <c r="J308" s="897">
        <f>'1.8.2 RenHLR'!H308+'1.8.2 RenHLR'!I308+'1.8.1 RenElLR'!S88</f>
        <v>1579.1100000000001</v>
      </c>
      <c r="K308" s="897">
        <v>230742.55614918558</v>
      </c>
    </row>
    <row r="309" spans="1:11" s="900" customFormat="1" ht="15" customHeight="1" x14ac:dyDescent="0.45">
      <c r="A309" s="898">
        <v>1999</v>
      </c>
      <c r="B309" s="899">
        <v>35992.700566098523</v>
      </c>
      <c r="C309" s="899">
        <v>76432.514941828005</v>
      </c>
      <c r="D309" s="899">
        <v>92511.349957007726</v>
      </c>
      <c r="E309" s="897">
        <f>'1.7.1 ElecLR'!AH119*1000</f>
        <v>22216</v>
      </c>
      <c r="F309" s="897">
        <f>+'1.8.1 RenElLR'!I89+'1.8.1 RenElLR'!J89+'1.8.3 RenPTLR'!E309</f>
        <v>458.8</v>
      </c>
      <c r="G309" s="897">
        <f>+'1.8.1 RenElLR'!B89+'1.8.1 RenElLR'!C89+'1.8.3 RenPTLR'!B309+'1.8.3 RenPTLR'!C309</f>
        <v>73.099999999999994</v>
      </c>
      <c r="H309" s="897">
        <f>'1.8.1 RenElLR'!F89+'1.8.2 RenHLR'!B309</f>
        <v>9.3699999999999992</v>
      </c>
      <c r="I309" s="897">
        <f>'1.8.2 RenHLR'!O309+'1.8.2 RenHLR'!P309</f>
        <v>0.83</v>
      </c>
      <c r="J309" s="897">
        <f>'1.8.2 RenHLR'!H309+'1.8.2 RenHLR'!I309+'1.8.1 RenElLR'!S89</f>
        <v>1766.98</v>
      </c>
      <c r="K309" s="899">
        <v>231328.29311298666</v>
      </c>
    </row>
    <row r="310" spans="1:11" s="887" customFormat="1" ht="12.75" customHeight="1" x14ac:dyDescent="0.45">
      <c r="A310" s="892">
        <v>2000</v>
      </c>
      <c r="B310" s="897">
        <v>38540.859701356181</v>
      </c>
      <c r="C310" s="897">
        <v>76720.116601411035</v>
      </c>
      <c r="D310" s="897">
        <v>95867.755803955282</v>
      </c>
      <c r="E310" s="897">
        <f>'1.7.1 ElecLR'!AH120*1000</f>
        <v>19635</v>
      </c>
      <c r="F310" s="897">
        <f>+'1.8.1 RenElLR'!I90+'1.8.1 RenElLR'!J90+'1.8.3 RenPTLR'!E310</f>
        <v>437.26</v>
      </c>
      <c r="G310" s="897">
        <f>+'1.8.1 RenElLR'!B90+'1.8.1 RenElLR'!C90+'1.8.3 RenPTLR'!B310+'1.8.3 RenPTLR'!C310</f>
        <v>81.34</v>
      </c>
      <c r="H310" s="897">
        <f>'1.8.1 RenElLR'!F90+'1.8.2 RenHLR'!B310</f>
        <v>11.16</v>
      </c>
      <c r="I310" s="897">
        <f>'1.8.2 RenHLR'!O310+'1.8.2 RenHLR'!P310</f>
        <v>0.83</v>
      </c>
      <c r="J310" s="897">
        <f>'1.8.2 RenHLR'!H310+'1.8.2 RenHLR'!I310+'1.8.1 RenElLR'!S90</f>
        <v>1839.71</v>
      </c>
      <c r="K310" s="897">
        <v>234806.61927346321</v>
      </c>
    </row>
    <row r="311" spans="1:11" s="887" customFormat="1" ht="12.75" customHeight="1" x14ac:dyDescent="0.45">
      <c r="A311" s="892">
        <v>2001</v>
      </c>
      <c r="B311" s="897">
        <v>40777.863426506352</v>
      </c>
      <c r="C311" s="897">
        <v>75863.00444221402</v>
      </c>
      <c r="D311" s="897">
        <v>95560.017196904548</v>
      </c>
      <c r="E311" s="897">
        <f>'1.7.1 ElecLR'!AH121*1000</f>
        <v>20768</v>
      </c>
      <c r="F311" s="897">
        <f>+'1.8.1 RenElLR'!I91+'1.8.1 RenElLR'!J91+'1.8.3 RenPTLR'!E311</f>
        <v>348.72999999999996</v>
      </c>
      <c r="G311" s="897">
        <f>+'1.8.1 RenElLR'!B91+'1.8.1 RenElLR'!C91+'1.8.3 RenPTLR'!B311+'1.8.3 RenPTLR'!C311</f>
        <v>82.97</v>
      </c>
      <c r="H311" s="897">
        <f>'1.8.1 RenElLR'!F91+'1.8.2 RenHLR'!B311</f>
        <v>13.39</v>
      </c>
      <c r="I311" s="897">
        <f>'1.8.2 RenHLR'!O311+'1.8.2 RenHLR'!P311</f>
        <v>0.83</v>
      </c>
      <c r="J311" s="897">
        <f>'1.8.2 RenHLR'!H311+'1.8.2 RenHLR'!I311+'1.8.1 RenElLR'!S91</f>
        <v>2043.8400000000001</v>
      </c>
      <c r="K311" s="897">
        <v>236854.74784527949</v>
      </c>
    </row>
    <row r="312" spans="1:11" s="887" customFormat="1" ht="12.75" customHeight="1" x14ac:dyDescent="0.45">
      <c r="A312" s="892">
        <v>2002</v>
      </c>
      <c r="B312" s="897">
        <v>37699.422922819555</v>
      </c>
      <c r="C312" s="897">
        <v>73480.340351007369</v>
      </c>
      <c r="D312" s="897">
        <v>94327.687016337048</v>
      </c>
      <c r="E312" s="897">
        <f>'1.7.1 ElecLR'!AH122*1000</f>
        <v>20100</v>
      </c>
      <c r="F312" s="897">
        <f>+'1.8.1 RenElLR'!I92+'1.8.1 RenElLR'!J92+'1.8.3 RenPTLR'!E312</f>
        <v>411.69</v>
      </c>
      <c r="G312" s="897">
        <f>+'1.8.1 RenElLR'!B92+'1.8.1 RenElLR'!C92+'1.8.3 RenPTLR'!B312+'1.8.3 RenPTLR'!C312</f>
        <v>108</v>
      </c>
      <c r="H312" s="897">
        <f>'1.8.1 RenElLR'!F92+'1.8.2 RenHLR'!B312</f>
        <v>16.3</v>
      </c>
      <c r="I312" s="897">
        <f>'1.8.2 RenHLR'!O312+'1.8.2 RenHLR'!P312</f>
        <v>0.83</v>
      </c>
      <c r="J312" s="897">
        <f>'1.8.2 RenHLR'!H312+'1.8.2 RenHLR'!I312+'1.8.1 RenElLR'!S92</f>
        <v>2219.4499999999998</v>
      </c>
      <c r="K312" s="897">
        <v>229604.74323574617</v>
      </c>
    </row>
    <row r="313" spans="1:11" s="887" customFormat="1" ht="12.75" customHeight="1" x14ac:dyDescent="0.45">
      <c r="A313" s="892">
        <v>2003</v>
      </c>
      <c r="B313" s="897">
        <v>40481.528507160838</v>
      </c>
      <c r="C313" s="897">
        <v>73017.122734417819</v>
      </c>
      <c r="D313" s="897">
        <v>94635.941530524506</v>
      </c>
      <c r="E313" s="897">
        <f>'1.7.1 ElecLR'!AH123*1000</f>
        <v>20041</v>
      </c>
      <c r="F313" s="897">
        <f>+'1.8.1 RenElLR'!I93+'1.8.1 RenElLR'!J93+'1.8.3 RenPTLR'!E313</f>
        <v>269.78000000000003</v>
      </c>
      <c r="G313" s="897">
        <f>+'1.8.1 RenElLR'!B93+'1.8.1 RenElLR'!C93+'1.8.3 RenPTLR'!B313+'1.8.3 RenPTLR'!C313</f>
        <v>110.52</v>
      </c>
      <c r="H313" s="897">
        <f>'1.8.1 RenElLR'!F93+'1.8.2 RenHLR'!B313</f>
        <v>20.010000000000002</v>
      </c>
      <c r="I313" s="897">
        <f>'1.8.2 RenHLR'!O313+'1.8.2 RenHLR'!P313</f>
        <v>0.83</v>
      </c>
      <c r="J313" s="897">
        <f>'1.8.2 RenHLR'!H313+'1.8.2 RenHLR'!I313+'1.8.1 RenElLR'!S93</f>
        <v>2587.2199999999998</v>
      </c>
      <c r="K313" s="897">
        <v>231866.92519130514</v>
      </c>
    </row>
    <row r="314" spans="1:11" s="887" customFormat="1" ht="12.75" customHeight="1" x14ac:dyDescent="0.45">
      <c r="A314" s="892">
        <v>2004</v>
      </c>
      <c r="B314" s="897">
        <v>39065.088202632833</v>
      </c>
      <c r="C314" s="897">
        <v>75056.320168944992</v>
      </c>
      <c r="D314" s="897">
        <v>96639.908708791219</v>
      </c>
      <c r="E314" s="897">
        <f>'1.7.1 ElecLR'!AH124*1000</f>
        <v>18164</v>
      </c>
      <c r="F314" s="897">
        <f>+'1.8.1 RenElLR'!I94+'1.8.1 RenElLR'!J94+'1.8.3 RenPTLR'!E314</f>
        <v>416.5</v>
      </c>
      <c r="G314" s="897">
        <f>+'1.8.1 RenElLR'!B94+'1.8.1 RenElLR'!C94+'1.8.3 RenPTLR'!B314+'1.8.3 RenPTLR'!C314</f>
        <v>166.38</v>
      </c>
      <c r="H314" s="897">
        <f>'1.8.1 RenElLR'!F94+'1.8.2 RenHLR'!B314</f>
        <v>24.89</v>
      </c>
      <c r="I314" s="897">
        <f>'1.8.2 RenHLR'!O314+'1.8.2 RenHLR'!P314</f>
        <v>0.83</v>
      </c>
      <c r="J314" s="897">
        <f>'1.8.2 RenHLR'!H314+'1.8.2 RenHLR'!I314+'1.8.1 RenElLR'!S94</f>
        <v>2985.0299999999997</v>
      </c>
      <c r="K314" s="897">
        <v>233633.21293831477</v>
      </c>
    </row>
    <row r="315" spans="1:11" s="887" customFormat="1" ht="12.75" customHeight="1" x14ac:dyDescent="0.45">
      <c r="A315" s="892">
        <v>2005</v>
      </c>
      <c r="B315" s="897">
        <v>39859.047647238694</v>
      </c>
      <c r="C315" s="897">
        <v>78217.223756819585</v>
      </c>
      <c r="D315" s="897">
        <v>94285.827339290627</v>
      </c>
      <c r="E315" s="897">
        <f>'1.7.1 ElecLR'!AH125*1000</f>
        <v>18372</v>
      </c>
      <c r="F315" s="897">
        <f>+'1.8.1 RenElLR'!I95+'1.8.1 RenElLR'!J95+'1.8.3 RenPTLR'!E315</f>
        <v>423.16999999999996</v>
      </c>
      <c r="G315" s="897">
        <f>+'1.8.1 RenElLR'!B95+'1.8.1 RenElLR'!C95+'1.8.3 RenPTLR'!B315+'1.8.3 RenPTLR'!C315</f>
        <v>249.69</v>
      </c>
      <c r="H315" s="897">
        <f>'1.8.1 RenElLR'!F95+'1.8.2 RenHLR'!B315</f>
        <v>30.06</v>
      </c>
      <c r="I315" s="897">
        <f>'1.8.2 RenHLR'!O315+'1.8.2 RenHLR'!P315</f>
        <v>0.83</v>
      </c>
      <c r="J315" s="897">
        <f>'1.8.2 RenHLR'!H315+'1.8.2 RenHLR'!I315+'1.8.1 RenElLR'!S95</f>
        <v>3466.53</v>
      </c>
      <c r="K315" s="897">
        <v>236289.63279659586</v>
      </c>
    </row>
    <row r="316" spans="1:11" s="887" customFormat="1" ht="12.75" customHeight="1" x14ac:dyDescent="0.45">
      <c r="A316" s="892">
        <v>2006</v>
      </c>
      <c r="B316" s="897">
        <v>43357.643160110609</v>
      </c>
      <c r="C316" s="897">
        <v>77365.277897719832</v>
      </c>
      <c r="D316" s="897">
        <v>89391.979529541335</v>
      </c>
      <c r="E316" s="897">
        <f>'1.7.1 ElecLR'!AH126*1000</f>
        <v>17131</v>
      </c>
      <c r="F316" s="897">
        <f>+'1.8.1 RenElLR'!I96+'1.8.1 RenElLR'!J96+'1.8.3 RenPTLR'!E316</f>
        <v>394.93</v>
      </c>
      <c r="G316" s="897">
        <f>+'1.8.1 RenElLR'!B96+'1.8.1 RenElLR'!C96+'1.8.3 RenPTLR'!B316+'1.8.3 RenPTLR'!C316</f>
        <v>363.28999999999996</v>
      </c>
      <c r="H316" s="897">
        <f>'1.8.1 RenElLR'!F96+'1.8.2 RenHLR'!B316</f>
        <v>37.190000000000005</v>
      </c>
      <c r="I316" s="897">
        <f>'1.8.2 RenHLR'!O316+'1.8.2 RenHLR'!P316</f>
        <v>0.83</v>
      </c>
      <c r="J316" s="897">
        <f>'1.8.2 RenHLR'!H316+'1.8.2 RenHLR'!I316+'1.8.1 RenElLR'!S96</f>
        <v>3572.2</v>
      </c>
      <c r="K316" s="897">
        <v>233073.17070592759</v>
      </c>
    </row>
    <row r="317" spans="1:11" s="887" customFormat="1" ht="12.75" customHeight="1" x14ac:dyDescent="0.45">
      <c r="A317" s="892">
        <v>2007</v>
      </c>
      <c r="B317" s="897">
        <v>40960.79146681456</v>
      </c>
      <c r="C317" s="897">
        <v>76310.107503679363</v>
      </c>
      <c r="D317" s="897">
        <v>90191.728572394539</v>
      </c>
      <c r="E317" s="897">
        <f>'1.7.1 ElecLR'!AH127*1000</f>
        <v>14037</v>
      </c>
      <c r="F317" s="897">
        <f>+'1.8.1 RenElLR'!I97+'1.8.1 RenElLR'!J97+'1.8.3 RenPTLR'!E317</f>
        <v>436.58</v>
      </c>
      <c r="G317" s="897">
        <f>+'1.8.1 RenElLR'!B97+'1.8.1 RenElLR'!C97+'1.8.3 RenPTLR'!B317+'1.8.3 RenPTLR'!C317</f>
        <v>453.47</v>
      </c>
      <c r="H317" s="897">
        <f>'1.8.1 RenElLR'!F97+'1.8.2 RenHLR'!B317</f>
        <v>46.09</v>
      </c>
      <c r="I317" s="897">
        <f>'1.8.2 RenHLR'!O317+'1.8.2 RenHLR'!P317</f>
        <v>0.83</v>
      </c>
      <c r="J317" s="897">
        <f>'1.8.2 RenHLR'!H317+'1.8.2 RenHLR'!I317+'1.8.1 RenElLR'!S97</f>
        <v>3552.36</v>
      </c>
      <c r="K317" s="897">
        <v>227492.24909517058</v>
      </c>
    </row>
    <row r="318" spans="1:11" s="887" customFormat="1" ht="12.75" customHeight="1" x14ac:dyDescent="0.45">
      <c r="A318" s="892">
        <v>2008</v>
      </c>
      <c r="B318" s="897">
        <v>38160.395305011582</v>
      </c>
      <c r="C318" s="897">
        <v>74375.731609395996</v>
      </c>
      <c r="D318" s="897">
        <v>93108.93466169067</v>
      </c>
      <c r="E318" s="897">
        <f>'1.7.1 ElecLR'!AH128*1000</f>
        <v>11910</v>
      </c>
      <c r="F318" s="897">
        <f>+'1.8.1 RenElLR'!I98+'1.8.1 RenElLR'!J98+'1.8.3 RenPTLR'!E318</f>
        <v>442.07</v>
      </c>
      <c r="G318" s="897">
        <f>+'1.8.1 RenElLR'!B98+'1.8.1 RenElLR'!C98+'1.8.3 RenPTLR'!B318+'1.8.3 RenPTLR'!C318</f>
        <v>612.33999999999992</v>
      </c>
      <c r="H318" s="897">
        <f>'1.8.1 RenElLR'!F98+'1.8.2 RenHLR'!B318</f>
        <v>31.02</v>
      </c>
      <c r="I318" s="897">
        <f>'1.8.2 RenHLR'!O318+'1.8.2 RenHLR'!P318</f>
        <v>4.76</v>
      </c>
      <c r="J318" s="897">
        <f>'1.8.2 RenHLR'!H318+'1.8.2 RenHLR'!I318+'1.8.1 RenElLR'!S98</f>
        <v>4339.38</v>
      </c>
      <c r="K318" s="897">
        <v>225573.15532000401</v>
      </c>
    </row>
    <row r="319" spans="1:11" s="900" customFormat="1" ht="15" customHeight="1" x14ac:dyDescent="0.45">
      <c r="A319" s="898">
        <v>2009</v>
      </c>
      <c r="B319" s="899">
        <v>31195.597609169399</v>
      </c>
      <c r="C319" s="899">
        <v>70855.318220370493</v>
      </c>
      <c r="D319" s="899">
        <v>86187.566077915617</v>
      </c>
      <c r="E319" s="897">
        <f>'1.7.1 ElecLR'!AH129*1000</f>
        <v>15230</v>
      </c>
      <c r="F319" s="897">
        <f>+'1.8.1 RenElLR'!I99+'1.8.1 RenElLR'!J99+'1.8.3 RenPTLR'!E319</f>
        <v>449.53</v>
      </c>
      <c r="G319" s="897">
        <f>+'1.8.1 RenElLR'!B99+'1.8.1 RenElLR'!C99+'1.8.3 RenPTLR'!B319+'1.8.3 RenPTLR'!C319</f>
        <v>798.03</v>
      </c>
      <c r="H319" s="897">
        <f>'1.8.1 RenElLR'!F99+'1.8.2 RenHLR'!B319</f>
        <v>34.909999999999997</v>
      </c>
      <c r="I319" s="897">
        <f>'1.8.2 RenHLR'!O319+'1.8.2 RenHLR'!P319</f>
        <v>16.5</v>
      </c>
      <c r="J319" s="897">
        <f>'1.8.2 RenHLR'!H319+'1.8.2 RenHLR'!I319+'1.8.1 RenElLR'!S99</f>
        <v>4707.12</v>
      </c>
      <c r="K319" s="899">
        <v>211634.03584475649</v>
      </c>
    </row>
    <row r="320" spans="1:11" s="887" customFormat="1" ht="12.75" customHeight="1" x14ac:dyDescent="0.45">
      <c r="A320" s="892">
        <v>2010</v>
      </c>
      <c r="B320" s="897">
        <v>32616.059633547691</v>
      </c>
      <c r="C320" s="897">
        <v>70234.741829936538</v>
      </c>
      <c r="D320" s="897">
        <v>93546.071311925203</v>
      </c>
      <c r="E320" s="897">
        <f>'1.7.1 ElecLR'!AH130*1000</f>
        <v>13930</v>
      </c>
      <c r="F320" s="897">
        <f>+'1.8.1 RenElLR'!I100+'1.8.1 RenElLR'!J100+'1.8.3 RenPTLR'!E320</f>
        <v>308.8</v>
      </c>
      <c r="G320" s="897">
        <f>+'1.8.1 RenElLR'!B100+'1.8.1 RenElLR'!C100+'1.8.3 RenPTLR'!B320+'1.8.3 RenPTLR'!C320</f>
        <v>884.42000000000007</v>
      </c>
      <c r="H320" s="897">
        <f>'1.8.1 RenElLR'!F100+'1.8.2 RenHLR'!B320</f>
        <v>41.46</v>
      </c>
      <c r="I320" s="897">
        <f>'1.8.2 RenHLR'!O320+'1.8.2 RenHLR'!P320</f>
        <v>23.369999999999997</v>
      </c>
      <c r="J320" s="897">
        <f>'1.8.2 RenHLR'!H320+'1.8.2 RenHLR'!I320+'1.8.1 RenElLR'!S100</f>
        <v>5569.66</v>
      </c>
      <c r="K320" s="897">
        <v>219545.68206690374</v>
      </c>
    </row>
    <row r="321" spans="1:210" s="887" customFormat="1" ht="12.75" customHeight="1" x14ac:dyDescent="0.45">
      <c r="A321" s="892">
        <v>2011</v>
      </c>
      <c r="B321" s="897">
        <v>32246.516404301288</v>
      </c>
      <c r="C321" s="897">
        <v>67819.364554837579</v>
      </c>
      <c r="D321" s="897">
        <v>77647.669100682833</v>
      </c>
      <c r="E321" s="897">
        <f>'1.7.1 ElecLR'!AH131*1000</f>
        <v>15630</v>
      </c>
      <c r="F321" s="897">
        <f>+'1.8.1 RenElLR'!I101+'1.8.1 RenElLR'!J101+'1.8.3 RenPTLR'!E321</f>
        <v>489.40000000000003</v>
      </c>
      <c r="G321" s="897">
        <f>+'1.8.1 RenElLR'!B101+'1.8.1 RenElLR'!C101+'1.8.3 RenPTLR'!B321+'1.8.3 RenPTLR'!C321</f>
        <v>1372.58</v>
      </c>
      <c r="H321" s="897">
        <f>'1.8.1 RenElLR'!F101+'1.8.2 RenHLR'!B321</f>
        <v>63.92</v>
      </c>
      <c r="I321" s="897">
        <f>'1.8.2 RenHLR'!O321+'1.8.2 RenHLR'!P321</f>
        <v>38.479999999999997</v>
      </c>
      <c r="J321" s="897">
        <f>'1.8.2 RenHLR'!H321+'1.8.2 RenHLR'!I321+'1.8.1 RenElLR'!S101</f>
        <v>5686.49</v>
      </c>
      <c r="K321" s="897">
        <v>203666.74669047148</v>
      </c>
    </row>
    <row r="322" spans="1:210" s="887" customFormat="1" ht="12.75" customHeight="1" x14ac:dyDescent="0.45">
      <c r="A322" s="892">
        <v>2012</v>
      </c>
      <c r="B322" s="897">
        <v>40919.460044413427</v>
      </c>
      <c r="C322" s="897">
        <v>66999.71022788249</v>
      </c>
      <c r="D322" s="897">
        <v>73265.435640745985</v>
      </c>
      <c r="E322" s="897">
        <f>'1.7.1 ElecLR'!AH132*1000</f>
        <v>15210</v>
      </c>
      <c r="F322" s="897">
        <f>+'1.8.1 RenElLR'!I102+'1.8.1 RenElLR'!J102+'1.8.3 RenPTLR'!E322</f>
        <v>456.55</v>
      </c>
      <c r="G322" s="897">
        <f>+'1.8.1 RenElLR'!B102+'1.8.1 RenElLR'!C102+'1.8.3 RenPTLR'!B322+'1.8.3 RenPTLR'!C322</f>
        <v>1706.56</v>
      </c>
      <c r="H322" s="897">
        <f>'1.8.1 RenElLR'!F102+'1.8.2 RenHLR'!B322</f>
        <v>162.28</v>
      </c>
      <c r="I322" s="897">
        <f>'1.8.2 RenHLR'!O322+'1.8.2 RenHLR'!P322</f>
        <v>55.68</v>
      </c>
      <c r="J322" s="897">
        <f>'1.8.2 RenHLR'!H322+'1.8.2 RenHLR'!I322+'1.8.1 RenElLR'!S102</f>
        <v>6266.75</v>
      </c>
      <c r="K322" s="897">
        <v>208119.63293712877</v>
      </c>
    </row>
    <row r="323" spans="1:210" s="887" customFormat="1" ht="12.75" customHeight="1" x14ac:dyDescent="0.45">
      <c r="A323" s="892">
        <v>2013</v>
      </c>
      <c r="B323" s="897">
        <v>39040.350265076078</v>
      </c>
      <c r="C323" s="897">
        <v>65790.449218645124</v>
      </c>
      <c r="D323" s="897">
        <v>72611.824454712914</v>
      </c>
      <c r="E323" s="897">
        <f>'1.7.1 ElecLR'!AH133*1000</f>
        <v>15440</v>
      </c>
      <c r="F323" s="897">
        <f>+'1.8.1 RenElLR'!I103+'1.8.1 RenElLR'!J103+'1.8.3 RenPTLR'!E323</f>
        <v>404.25</v>
      </c>
      <c r="G323" s="897">
        <f>+'1.8.1 RenElLR'!B103+'1.8.1 RenElLR'!C103+'1.8.3 RenPTLR'!B323+'1.8.3 RenPTLR'!C323</f>
        <v>2441.7199999999998</v>
      </c>
      <c r="H323" s="897">
        <f>'1.8.1 RenElLR'!F103+'1.8.2 RenHLR'!B323</f>
        <v>220.73000000000002</v>
      </c>
      <c r="I323" s="897">
        <f>'1.8.2 RenHLR'!O323+'1.8.2 RenHLR'!P323</f>
        <v>97.3</v>
      </c>
      <c r="J323" s="897">
        <f>'1.8.2 RenHLR'!H323+'1.8.2 RenHLR'!I323+'1.8.1 RenElLR'!S103</f>
        <v>7138.32</v>
      </c>
      <c r="K323" s="897">
        <v>206786.46743388861</v>
      </c>
    </row>
    <row r="324" spans="1:210" s="887" customFormat="1" ht="12.75" customHeight="1" x14ac:dyDescent="0.45">
      <c r="A324" s="892">
        <v>2014</v>
      </c>
      <c r="B324" s="897">
        <v>31510.970273569357</v>
      </c>
      <c r="C324" s="897">
        <v>66014.69040088325</v>
      </c>
      <c r="D324" s="897">
        <v>66132.639078677777</v>
      </c>
      <c r="E324" s="897">
        <f>'1.7.1 ElecLR'!AH134*1000</f>
        <v>13850</v>
      </c>
      <c r="F324" s="897">
        <f>+'1.8.1 RenElLR'!I104+'1.8.1 RenElLR'!J104+'1.8.3 RenPTLR'!E324</f>
        <v>506.26</v>
      </c>
      <c r="G324" s="897">
        <f>+'1.8.1 RenElLR'!B104+'1.8.1 RenElLR'!C104+'1.8.3 RenPTLR'!B324+'1.8.3 RenPTLR'!C324</f>
        <v>2748.02</v>
      </c>
      <c r="H324" s="897">
        <f>'1.8.1 RenElLR'!F104+'1.8.2 RenHLR'!B324</f>
        <v>398.14</v>
      </c>
      <c r="I324" s="897">
        <f>'1.8.2 RenHLR'!O324+'1.8.2 RenHLR'!P324</f>
        <v>107.5</v>
      </c>
      <c r="J324" s="897">
        <f>'1.8.2 RenHLR'!H324+'1.8.2 RenHLR'!I324+'1.8.1 RenElLR'!S104</f>
        <v>8123.82</v>
      </c>
      <c r="K324" s="897">
        <v>194042.0299606671</v>
      </c>
    </row>
    <row r="325" spans="1:210" s="887" customFormat="1" ht="12.75" customHeight="1" x14ac:dyDescent="0.3">
      <c r="A325" s="892">
        <v>2015</v>
      </c>
      <c r="B325" s="897">
        <v>25121.47015318185</v>
      </c>
      <c r="C325" s="893">
        <v>67422.714121023761</v>
      </c>
      <c r="D325" s="893">
        <v>68107.095846557597</v>
      </c>
      <c r="E325" s="897">
        <f>'1.7.1 ElecLR'!AH135*1000</f>
        <v>15480</v>
      </c>
      <c r="F325" s="897">
        <f>+'1.8.1 RenElLR'!I105+'1.8.1 RenElLR'!J105+'1.8.3 RenPTLR'!E325</f>
        <v>541.47</v>
      </c>
      <c r="G325" s="897">
        <f>+'1.8.1 RenElLR'!B105+'1.8.1 RenElLR'!C105+'1.8.3 RenPTLR'!B325+'1.8.3 RenPTLR'!C325</f>
        <v>3463.02</v>
      </c>
      <c r="H325" s="897">
        <f>'1.8.1 RenElLR'!F105+'1.8.2 RenHLR'!B325</f>
        <v>698.39</v>
      </c>
      <c r="I325" s="897">
        <f>'1.8.2 RenHLR'!O325+'1.8.2 RenHLR'!P325</f>
        <v>1007.96</v>
      </c>
      <c r="J325" s="897">
        <f>'1.8.2 RenHLR'!H325+'1.8.2 RenHLR'!I325+'1.8.1 RenElLR'!S105</f>
        <v>9643.6</v>
      </c>
      <c r="K325" s="904">
        <v>196486.62672666978</v>
      </c>
      <c r="L325" s="893"/>
      <c r="M325" s="897"/>
      <c r="N325" s="897"/>
      <c r="O325" s="897"/>
      <c r="P325" s="897"/>
      <c r="Q325" s="897"/>
      <c r="R325" s="897"/>
      <c r="S325" s="893"/>
      <c r="T325" s="893"/>
      <c r="U325" s="893"/>
      <c r="V325" s="893"/>
      <c r="W325" s="893"/>
      <c r="X325" s="893"/>
      <c r="Y325" s="893"/>
      <c r="Z325" s="893"/>
      <c r="AA325" s="893"/>
      <c r="AB325" s="893"/>
      <c r="AC325" s="893"/>
      <c r="AD325" s="893"/>
      <c r="AE325" s="893"/>
      <c r="AF325" s="893"/>
      <c r="AG325" s="893"/>
      <c r="AH325" s="894"/>
      <c r="AJ325" s="895"/>
      <c r="AK325" s="896"/>
      <c r="AL325" s="896"/>
      <c r="AM325" s="896"/>
      <c r="AN325" s="896"/>
      <c r="AO325" s="896"/>
      <c r="AP325" s="896"/>
      <c r="AQ325" s="896"/>
      <c r="AR325" s="897"/>
      <c r="AS325" s="897"/>
      <c r="AT325" s="897"/>
      <c r="AU325" s="897"/>
      <c r="AV325" s="897"/>
      <c r="AW325" s="897"/>
      <c r="AX325" s="897"/>
      <c r="AY325" s="893"/>
      <c r="AZ325" s="893"/>
      <c r="BA325" s="893"/>
      <c r="BB325" s="893"/>
      <c r="BC325" s="893"/>
      <c r="BD325" s="893"/>
      <c r="BE325" s="893"/>
      <c r="BF325" s="893"/>
      <c r="BG325" s="893"/>
      <c r="BH325" s="893"/>
      <c r="BI325" s="893"/>
      <c r="BJ325" s="893"/>
      <c r="BK325" s="893"/>
      <c r="BL325" s="893"/>
      <c r="BM325" s="893"/>
      <c r="BN325" s="894"/>
      <c r="BP325" s="895"/>
      <c r="BQ325" s="896"/>
      <c r="BR325" s="896"/>
      <c r="BS325" s="896"/>
      <c r="BT325" s="896"/>
      <c r="BU325" s="896"/>
      <c r="BV325" s="896"/>
      <c r="BW325" s="896"/>
      <c r="BX325" s="897"/>
      <c r="BY325" s="897"/>
      <c r="BZ325" s="897"/>
      <c r="CA325" s="897"/>
      <c r="CB325" s="897"/>
      <c r="CC325" s="897"/>
      <c r="CD325" s="897"/>
      <c r="CE325" s="893"/>
      <c r="CF325" s="893"/>
      <c r="CG325" s="893"/>
      <c r="CH325" s="893"/>
      <c r="CI325" s="893"/>
      <c r="CJ325" s="893"/>
      <c r="CK325" s="893"/>
      <c r="CL325" s="893"/>
      <c r="CM325" s="893"/>
      <c r="CN325" s="893"/>
      <c r="CO325" s="893"/>
      <c r="CP325" s="893"/>
      <c r="CQ325" s="893"/>
      <c r="CR325" s="893"/>
      <c r="CS325" s="893"/>
      <c r="CT325" s="894"/>
      <c r="CV325" s="895"/>
      <c r="CW325" s="896"/>
      <c r="CX325" s="896"/>
      <c r="CY325" s="896"/>
      <c r="CZ325" s="896"/>
      <c r="DA325" s="896"/>
      <c r="DB325" s="896"/>
      <c r="DC325" s="896"/>
      <c r="DD325" s="897"/>
      <c r="DE325" s="897"/>
      <c r="DF325" s="897"/>
      <c r="DG325" s="897"/>
      <c r="DH325" s="897"/>
      <c r="DI325" s="897"/>
      <c r="DJ325" s="897"/>
      <c r="DK325" s="893"/>
      <c r="DL325" s="893"/>
      <c r="DM325" s="893"/>
      <c r="DN325" s="893"/>
      <c r="DO325" s="893"/>
      <c r="DP325" s="893"/>
      <c r="DQ325" s="893"/>
      <c r="DR325" s="893"/>
      <c r="DS325" s="893"/>
      <c r="DT325" s="893"/>
      <c r="DU325" s="893"/>
      <c r="DV325" s="893"/>
      <c r="DW325" s="893"/>
      <c r="DX325" s="893"/>
      <c r="DY325" s="893"/>
      <c r="DZ325" s="894"/>
      <c r="EB325" s="895"/>
      <c r="EC325" s="896"/>
      <c r="ED325" s="896"/>
      <c r="EE325" s="896"/>
      <c r="EF325" s="896"/>
      <c r="EG325" s="896"/>
      <c r="EH325" s="896"/>
      <c r="EI325" s="896"/>
      <c r="EJ325" s="897"/>
      <c r="EK325" s="897"/>
      <c r="EL325" s="897"/>
      <c r="EM325" s="897"/>
      <c r="EN325" s="897"/>
      <c r="EO325" s="897"/>
      <c r="EP325" s="897"/>
      <c r="EQ325" s="893"/>
      <c r="ER325" s="893"/>
      <c r="ES325" s="893"/>
      <c r="ET325" s="893"/>
      <c r="EU325" s="893"/>
      <c r="EV325" s="893"/>
      <c r="EW325" s="893"/>
      <c r="EX325" s="893"/>
      <c r="EY325" s="893"/>
      <c r="EZ325" s="893"/>
      <c r="FA325" s="893"/>
      <c r="FB325" s="893"/>
      <c r="FC325" s="893"/>
      <c r="FD325" s="893"/>
      <c r="FE325" s="893"/>
      <c r="FF325" s="894"/>
      <c r="FH325" s="895"/>
      <c r="FI325" s="896"/>
      <c r="FJ325" s="896"/>
      <c r="FK325" s="896"/>
      <c r="FL325" s="896"/>
      <c r="FM325" s="896"/>
      <c r="FN325" s="896"/>
      <c r="FO325" s="896"/>
      <c r="FP325" s="897"/>
      <c r="FQ325" s="897"/>
      <c r="FR325" s="897"/>
      <c r="FS325" s="897"/>
      <c r="FT325" s="897"/>
      <c r="FU325" s="897"/>
      <c r="FV325" s="897"/>
      <c r="FW325" s="893"/>
      <c r="FX325" s="893"/>
      <c r="FY325" s="893"/>
      <c r="FZ325" s="893"/>
      <c r="GA325" s="893"/>
      <c r="GB325" s="893"/>
      <c r="GC325" s="893"/>
      <c r="GD325" s="893"/>
      <c r="GE325" s="893"/>
      <c r="GF325" s="893"/>
      <c r="GG325" s="893"/>
      <c r="GH325" s="893"/>
      <c r="GI325" s="893"/>
      <c r="GJ325" s="893"/>
      <c r="GK325" s="893"/>
      <c r="GL325" s="894"/>
      <c r="GN325" s="895"/>
      <c r="GO325" s="896"/>
      <c r="GP325" s="896"/>
      <c r="GQ325" s="896"/>
      <c r="GR325" s="896"/>
      <c r="GS325" s="896"/>
      <c r="GT325" s="896"/>
      <c r="GU325" s="896"/>
      <c r="GV325" s="897"/>
      <c r="GW325" s="897"/>
      <c r="GX325" s="897"/>
      <c r="GY325" s="897"/>
      <c r="GZ325" s="897"/>
      <c r="HA325" s="897"/>
      <c r="HB325" s="897"/>
    </row>
    <row r="326" spans="1:210" s="887" customFormat="1" ht="12.75" customHeight="1" x14ac:dyDescent="0.3">
      <c r="A326" s="892">
        <v>2016</v>
      </c>
      <c r="B326" s="904">
        <v>12544.606051793873</v>
      </c>
      <c r="C326" s="904">
        <v>68227.129165444465</v>
      </c>
      <c r="D326" s="904">
        <v>76380.234601678327</v>
      </c>
      <c r="E326" s="897">
        <f>'1.7.1 ElecLR'!AH136*1000</f>
        <v>15410</v>
      </c>
      <c r="F326" s="897">
        <f>+'1.8.1 RenElLR'!I106+'1.8.1 RenElLR'!J106+'1.8.3 RenPTLR'!E326</f>
        <v>463.79</v>
      </c>
      <c r="G326" s="897">
        <f>+'1.8.1 RenElLR'!B106+'1.8.1 RenElLR'!C106+'1.8.3 RenPTLR'!B326+'1.8.3 RenPTLR'!C326</f>
        <v>3194.77</v>
      </c>
      <c r="H326" s="897">
        <f>'1.8.1 RenElLR'!F106+'1.8.2 RenHLR'!B326</f>
        <v>946.16</v>
      </c>
      <c r="I326" s="897">
        <f>'1.8.2 RenHLR'!O326+'1.8.2 RenHLR'!P326</f>
        <v>982.36</v>
      </c>
      <c r="J326" s="897">
        <f>'1.8.2 RenHLR'!H326+'1.8.2 RenHLR'!I326+'1.8.1 RenElLR'!S106</f>
        <v>10163.83</v>
      </c>
      <c r="K326" s="904">
        <v>193493.39328811667</v>
      </c>
      <c r="L326" s="893"/>
      <c r="M326" s="897"/>
      <c r="N326" s="897"/>
      <c r="O326" s="897"/>
      <c r="P326" s="897"/>
      <c r="Q326" s="897"/>
      <c r="R326" s="897"/>
      <c r="S326" s="893"/>
      <c r="T326" s="893"/>
      <c r="U326" s="893"/>
      <c r="V326" s="893"/>
      <c r="W326" s="893"/>
      <c r="X326" s="893"/>
      <c r="Y326" s="893"/>
      <c r="Z326" s="893"/>
      <c r="AA326" s="893"/>
      <c r="AB326" s="893"/>
      <c r="AC326" s="893"/>
      <c r="AD326" s="893"/>
      <c r="AE326" s="893"/>
      <c r="AF326" s="893"/>
      <c r="AG326" s="893"/>
      <c r="AH326" s="894"/>
      <c r="AJ326" s="895"/>
      <c r="AK326" s="896"/>
      <c r="AL326" s="896"/>
      <c r="AM326" s="896"/>
      <c r="AN326" s="896"/>
      <c r="AO326" s="896"/>
      <c r="AP326" s="896"/>
      <c r="AQ326" s="896"/>
      <c r="AR326" s="897"/>
      <c r="AS326" s="897"/>
      <c r="AT326" s="897"/>
      <c r="AU326" s="897"/>
      <c r="AV326" s="897"/>
      <c r="AW326" s="897"/>
      <c r="AX326" s="897"/>
      <c r="AY326" s="893"/>
      <c r="AZ326" s="893"/>
      <c r="BA326" s="893"/>
      <c r="BB326" s="893"/>
      <c r="BC326" s="893"/>
      <c r="BD326" s="893"/>
      <c r="BE326" s="893"/>
      <c r="BF326" s="893"/>
      <c r="BG326" s="893"/>
      <c r="BH326" s="893"/>
      <c r="BI326" s="893"/>
      <c r="BJ326" s="893"/>
      <c r="BK326" s="893"/>
      <c r="BL326" s="893"/>
      <c r="BM326" s="893"/>
      <c r="BN326" s="894"/>
      <c r="BP326" s="895"/>
      <c r="BQ326" s="896"/>
      <c r="BR326" s="896"/>
      <c r="BS326" s="896"/>
      <c r="BT326" s="896"/>
      <c r="BU326" s="896"/>
      <c r="BV326" s="896"/>
      <c r="BW326" s="896"/>
      <c r="BX326" s="897"/>
      <c r="BY326" s="897"/>
      <c r="BZ326" s="897"/>
      <c r="CA326" s="897"/>
      <c r="CB326" s="897"/>
      <c r="CC326" s="897"/>
      <c r="CD326" s="897"/>
      <c r="CE326" s="893"/>
      <c r="CF326" s="893"/>
      <c r="CG326" s="893"/>
      <c r="CH326" s="893"/>
      <c r="CI326" s="893"/>
      <c r="CJ326" s="893"/>
      <c r="CK326" s="893"/>
      <c r="CL326" s="893"/>
      <c r="CM326" s="893"/>
      <c r="CN326" s="893"/>
      <c r="CO326" s="893"/>
      <c r="CP326" s="893"/>
      <c r="CQ326" s="893"/>
      <c r="CR326" s="893"/>
      <c r="CS326" s="893"/>
      <c r="CT326" s="894"/>
      <c r="CV326" s="895"/>
      <c r="CW326" s="896"/>
      <c r="CX326" s="896"/>
      <c r="CY326" s="896"/>
      <c r="CZ326" s="896"/>
      <c r="DA326" s="896"/>
      <c r="DB326" s="896"/>
      <c r="DC326" s="896"/>
      <c r="DD326" s="897"/>
      <c r="DE326" s="897"/>
      <c r="DF326" s="897"/>
      <c r="DG326" s="897"/>
      <c r="DH326" s="897"/>
      <c r="DI326" s="897"/>
      <c r="DJ326" s="897"/>
      <c r="DK326" s="893"/>
      <c r="DL326" s="893"/>
      <c r="DM326" s="893"/>
      <c r="DN326" s="893"/>
      <c r="DO326" s="893"/>
      <c r="DP326" s="893"/>
      <c r="DQ326" s="893"/>
      <c r="DR326" s="893"/>
      <c r="DS326" s="893"/>
      <c r="DT326" s="893"/>
      <c r="DU326" s="893"/>
      <c r="DV326" s="893"/>
      <c r="DW326" s="893"/>
      <c r="DX326" s="893"/>
      <c r="DY326" s="893"/>
      <c r="DZ326" s="894"/>
      <c r="EB326" s="895"/>
      <c r="EC326" s="896"/>
      <c r="ED326" s="896"/>
      <c r="EE326" s="896"/>
      <c r="EF326" s="896"/>
      <c r="EG326" s="896"/>
      <c r="EH326" s="896"/>
      <c r="EI326" s="896"/>
      <c r="EJ326" s="897"/>
      <c r="EK326" s="897"/>
      <c r="EL326" s="897"/>
      <c r="EM326" s="897"/>
      <c r="EN326" s="897"/>
      <c r="EO326" s="897"/>
      <c r="EP326" s="897"/>
      <c r="EQ326" s="893"/>
      <c r="ER326" s="893"/>
      <c r="ES326" s="893"/>
      <c r="ET326" s="893"/>
      <c r="EU326" s="893"/>
      <c r="EV326" s="893"/>
      <c r="EW326" s="893"/>
      <c r="EX326" s="893"/>
      <c r="EY326" s="893"/>
      <c r="EZ326" s="893"/>
      <c r="FA326" s="893"/>
      <c r="FB326" s="893"/>
      <c r="FC326" s="893"/>
      <c r="FD326" s="893"/>
      <c r="FE326" s="893"/>
      <c r="FF326" s="894"/>
      <c r="FH326" s="895"/>
      <c r="FI326" s="896"/>
      <c r="FJ326" s="896"/>
      <c r="FK326" s="896"/>
      <c r="FL326" s="896"/>
      <c r="FM326" s="896"/>
      <c r="FN326" s="896"/>
      <c r="FO326" s="896"/>
      <c r="FP326" s="897"/>
      <c r="FQ326" s="897"/>
      <c r="FR326" s="897"/>
      <c r="FS326" s="897"/>
      <c r="FT326" s="897"/>
      <c r="FU326" s="897"/>
      <c r="FV326" s="897"/>
      <c r="FW326" s="893"/>
      <c r="FX326" s="893"/>
      <c r="FY326" s="893"/>
      <c r="FZ326" s="893"/>
      <c r="GA326" s="893"/>
      <c r="GB326" s="893"/>
      <c r="GC326" s="893"/>
      <c r="GD326" s="893"/>
      <c r="GE326" s="893"/>
      <c r="GF326" s="893"/>
      <c r="GG326" s="893"/>
      <c r="GH326" s="893"/>
      <c r="GI326" s="893"/>
      <c r="GJ326" s="893"/>
      <c r="GK326" s="893"/>
      <c r="GL326" s="894"/>
      <c r="GN326" s="895"/>
      <c r="GO326" s="896"/>
      <c r="GP326" s="896"/>
      <c r="GQ326" s="896"/>
      <c r="GR326" s="896"/>
      <c r="GS326" s="896"/>
      <c r="GT326" s="896"/>
      <c r="GU326" s="896"/>
      <c r="GV326" s="897"/>
      <c r="GW326" s="897"/>
      <c r="GX326" s="897"/>
      <c r="GY326" s="897"/>
      <c r="GZ326" s="897"/>
      <c r="HA326" s="897"/>
      <c r="HB326" s="897"/>
    </row>
    <row r="327" spans="1:210" s="887" customFormat="1" ht="12.75" customHeight="1" x14ac:dyDescent="0.3">
      <c r="A327" s="892">
        <v>2017</v>
      </c>
      <c r="B327" s="904">
        <v>10238.08448425505</v>
      </c>
      <c r="C327" s="904">
        <v>69357.228276803318</v>
      </c>
      <c r="D327" s="904">
        <v>74357.190907400611</v>
      </c>
      <c r="E327" s="897">
        <f>'1.7.1 ElecLR'!AH137*1000</f>
        <v>15120</v>
      </c>
      <c r="F327" s="897">
        <f>+'1.8.1 RenElLR'!I107+'1.8.1 RenElLR'!J107+'1.8.3 RenPTLR'!E327</f>
        <v>507.45</v>
      </c>
      <c r="G327" s="897">
        <f>+'1.8.1 RenElLR'!B107+'1.8.1 RenElLR'!C107+'1.8.3 RenPTLR'!B327+'1.8.3 RenPTLR'!C327</f>
        <v>4267.6899999999996</v>
      </c>
      <c r="H327" s="897">
        <f>'1.8.1 RenElLR'!F107+'1.8.2 RenHLR'!B327</f>
        <v>1038.78</v>
      </c>
      <c r="I327" s="897">
        <f>'1.8.2 RenHLR'!O327+'1.8.2 RenHLR'!P327</f>
        <v>964.19</v>
      </c>
      <c r="J327" s="897">
        <f>'1.8.2 RenHLR'!H327+'1.8.2 RenHLR'!I327+'1.8.1 RenElLR'!S107</f>
        <v>10542.45</v>
      </c>
      <c r="K327" s="904">
        <f>SUM(B327:J327)</f>
        <v>186393.06366845898</v>
      </c>
      <c r="L327" s="893"/>
      <c r="M327" s="897"/>
      <c r="N327" s="897"/>
      <c r="O327" s="897"/>
      <c r="P327" s="897"/>
      <c r="Q327" s="897"/>
      <c r="R327" s="897"/>
      <c r="S327" s="893"/>
      <c r="T327" s="893"/>
      <c r="U327" s="893"/>
      <c r="V327" s="893"/>
      <c r="W327" s="893"/>
      <c r="X327" s="893"/>
      <c r="Y327" s="893"/>
      <c r="Z327" s="893"/>
      <c r="AA327" s="893"/>
      <c r="AB327" s="893"/>
      <c r="AC327" s="893"/>
      <c r="AD327" s="893"/>
      <c r="AE327" s="893"/>
      <c r="AF327" s="893"/>
      <c r="AG327" s="893"/>
      <c r="AH327" s="894"/>
      <c r="AJ327" s="895"/>
      <c r="AK327" s="896"/>
      <c r="AL327" s="896"/>
      <c r="AM327" s="896"/>
      <c r="AN327" s="896"/>
      <c r="AO327" s="896"/>
      <c r="AP327" s="896"/>
      <c r="AQ327" s="896"/>
      <c r="AR327" s="897"/>
      <c r="AS327" s="897"/>
      <c r="AT327" s="897"/>
      <c r="AU327" s="897"/>
      <c r="AV327" s="897"/>
      <c r="AW327" s="897"/>
      <c r="AX327" s="897"/>
      <c r="AY327" s="893"/>
      <c r="AZ327" s="893"/>
      <c r="BA327" s="893"/>
      <c r="BB327" s="893"/>
      <c r="BC327" s="893"/>
      <c r="BD327" s="893"/>
      <c r="BE327" s="893"/>
      <c r="BF327" s="893"/>
      <c r="BG327" s="893"/>
      <c r="BH327" s="893"/>
      <c r="BI327" s="893"/>
      <c r="BJ327" s="893"/>
      <c r="BK327" s="893"/>
      <c r="BL327" s="893"/>
      <c r="BM327" s="893"/>
      <c r="BN327" s="894"/>
      <c r="BP327" s="895"/>
      <c r="BQ327" s="896"/>
      <c r="BR327" s="896"/>
      <c r="BS327" s="896"/>
      <c r="BT327" s="896"/>
      <c r="BU327" s="896"/>
      <c r="BV327" s="896"/>
      <c r="BW327" s="896"/>
      <c r="BX327" s="897"/>
      <c r="BY327" s="897"/>
      <c r="BZ327" s="897"/>
      <c r="CA327" s="897"/>
      <c r="CB327" s="897"/>
      <c r="CC327" s="897"/>
      <c r="CD327" s="897"/>
      <c r="CE327" s="893"/>
      <c r="CF327" s="893"/>
      <c r="CG327" s="893"/>
      <c r="CH327" s="893"/>
      <c r="CI327" s="893"/>
      <c r="CJ327" s="893"/>
      <c r="CK327" s="893"/>
      <c r="CL327" s="893"/>
      <c r="CM327" s="893"/>
      <c r="CN327" s="893"/>
      <c r="CO327" s="893"/>
      <c r="CP327" s="893"/>
      <c r="CQ327" s="893"/>
      <c r="CR327" s="893"/>
      <c r="CS327" s="893"/>
      <c r="CT327" s="894"/>
      <c r="CV327" s="895"/>
      <c r="CW327" s="896"/>
      <c r="CX327" s="896"/>
      <c r="CY327" s="896"/>
      <c r="CZ327" s="896"/>
      <c r="DA327" s="896"/>
      <c r="DB327" s="896"/>
      <c r="DC327" s="896"/>
      <c r="DD327" s="897"/>
      <c r="DE327" s="897"/>
      <c r="DF327" s="897"/>
      <c r="DG327" s="897"/>
      <c r="DH327" s="897"/>
      <c r="DI327" s="897"/>
      <c r="DJ327" s="897"/>
      <c r="DK327" s="893"/>
      <c r="DL327" s="893"/>
      <c r="DM327" s="893"/>
      <c r="DN327" s="893"/>
      <c r="DO327" s="893"/>
      <c r="DP327" s="893"/>
      <c r="DQ327" s="893"/>
      <c r="DR327" s="893"/>
      <c r="DS327" s="893"/>
      <c r="DT327" s="893"/>
      <c r="DU327" s="893"/>
      <c r="DV327" s="893"/>
      <c r="DW327" s="893"/>
      <c r="DX327" s="893"/>
      <c r="DY327" s="893"/>
      <c r="DZ327" s="894"/>
      <c r="EB327" s="895"/>
      <c r="EC327" s="896"/>
      <c r="ED327" s="896"/>
      <c r="EE327" s="896"/>
      <c r="EF327" s="896"/>
      <c r="EG327" s="896"/>
      <c r="EH327" s="896"/>
      <c r="EI327" s="896"/>
      <c r="EJ327" s="897"/>
      <c r="EK327" s="897"/>
      <c r="EL327" s="897"/>
      <c r="EM327" s="897"/>
      <c r="EN327" s="897"/>
      <c r="EO327" s="897"/>
      <c r="EP327" s="897"/>
      <c r="EQ327" s="893"/>
      <c r="ER327" s="893"/>
      <c r="ES327" s="893"/>
      <c r="ET327" s="893"/>
      <c r="EU327" s="893"/>
      <c r="EV327" s="893"/>
      <c r="EW327" s="893"/>
      <c r="EX327" s="893"/>
      <c r="EY327" s="893"/>
      <c r="EZ327" s="893"/>
      <c r="FA327" s="893"/>
      <c r="FB327" s="893"/>
      <c r="FC327" s="893"/>
      <c r="FD327" s="893"/>
      <c r="FE327" s="893"/>
      <c r="FF327" s="894"/>
      <c r="FH327" s="895"/>
      <c r="FI327" s="896"/>
      <c r="FJ327" s="896"/>
      <c r="FK327" s="896"/>
      <c r="FL327" s="896"/>
      <c r="FM327" s="896"/>
      <c r="FN327" s="896"/>
      <c r="FO327" s="896"/>
      <c r="FP327" s="897"/>
      <c r="FQ327" s="897"/>
      <c r="FR327" s="897"/>
      <c r="FS327" s="897"/>
      <c r="FT327" s="897"/>
      <c r="FU327" s="897"/>
      <c r="FV327" s="897"/>
      <c r="FW327" s="893"/>
      <c r="FX327" s="893"/>
      <c r="FY327" s="893"/>
      <c r="FZ327" s="893"/>
      <c r="GA327" s="893"/>
      <c r="GB327" s="893"/>
      <c r="GC327" s="893"/>
      <c r="GD327" s="893"/>
      <c r="GE327" s="893"/>
      <c r="GF327" s="893"/>
      <c r="GG327" s="893"/>
      <c r="GH327" s="893"/>
      <c r="GI327" s="893"/>
      <c r="GJ327" s="893"/>
      <c r="GK327" s="893"/>
      <c r="GL327" s="894"/>
      <c r="GN327" s="895"/>
      <c r="GO327" s="896"/>
      <c r="GP327" s="896"/>
      <c r="GQ327" s="896"/>
      <c r="GR327" s="896"/>
      <c r="GS327" s="896"/>
      <c r="GT327" s="896"/>
      <c r="GU327" s="896"/>
      <c r="GV327" s="897"/>
      <c r="GW327" s="897"/>
      <c r="GX327" s="897"/>
      <c r="GY327" s="897"/>
      <c r="GZ327" s="897"/>
      <c r="HA327" s="897"/>
      <c r="HB327" s="897"/>
    </row>
    <row r="328" spans="1:210" s="887" customFormat="1" ht="12.75" customHeight="1" thickBot="1" x14ac:dyDescent="0.5">
      <c r="A328" s="905">
        <v>2018</v>
      </c>
      <c r="B328" s="906">
        <v>8467.1745124525405</v>
      </c>
      <c r="C328" s="906">
        <v>68464.834584705008</v>
      </c>
      <c r="D328" s="906">
        <v>74974.736038626084</v>
      </c>
      <c r="E328" s="906">
        <f>'1.7.1 ElecLR'!AH138*1000</f>
        <v>14060</v>
      </c>
      <c r="F328" s="906">
        <f>+'1.8.1 RenElLR'!I108+'1.8.1 RenElLR'!J108+'1.8.3 RenPTLR'!E328</f>
        <v>472.03999999999996</v>
      </c>
      <c r="G328" s="906">
        <f>+'1.8.1 RenElLR'!B108+'1.8.1 RenElLR'!C108+'1.8.3 RenPTLR'!B328+'1.8.3 RenPTLR'!C328</f>
        <v>4892.8899999999994</v>
      </c>
      <c r="H328" s="906">
        <f>'1.8.1 RenElLR'!F108+'1.8.2 RenHLR'!B328</f>
        <v>1158.27</v>
      </c>
      <c r="I328" s="906">
        <f>'1.8.2 RenHLR'!O328+'1.8.2 RenHLR'!P328</f>
        <v>979.82</v>
      </c>
      <c r="J328" s="906">
        <f>'1.8.2 RenHLR'!H328+'1.8.2 RenHLR'!I328+'1.8.1 RenElLR'!S108</f>
        <v>11516.02</v>
      </c>
      <c r="K328" s="906">
        <v>191423.0446133471</v>
      </c>
    </row>
    <row r="329" spans="1:210" s="887" customFormat="1" ht="12.75" customHeight="1" thickTop="1" x14ac:dyDescent="0.45">
      <c r="A329" s="892"/>
      <c r="B329" s="907"/>
      <c r="C329" s="907"/>
      <c r="D329" s="907"/>
      <c r="E329" s="907"/>
      <c r="F329" s="907"/>
      <c r="G329" s="907"/>
      <c r="H329" s="907"/>
      <c r="I329" s="907"/>
      <c r="J329" s="907"/>
      <c r="K329" s="907"/>
    </row>
    <row r="330" spans="1:210" s="908" customFormat="1" ht="11.25" customHeight="1" x14ac:dyDescent="0.45">
      <c r="A330" s="908" t="s">
        <v>1174</v>
      </c>
      <c r="B330" s="907"/>
      <c r="C330" s="907"/>
      <c r="D330" s="907"/>
      <c r="E330" s="907"/>
      <c r="F330" s="907"/>
      <c r="G330" s="907"/>
      <c r="H330" s="907"/>
      <c r="I330" s="907"/>
      <c r="J330" s="907"/>
      <c r="K330" s="907"/>
    </row>
    <row r="331" spans="1:210" s="908" customFormat="1" ht="11.25" customHeight="1" x14ac:dyDescent="0.45">
      <c r="A331" s="908" t="s">
        <v>1175</v>
      </c>
    </row>
    <row r="332" spans="1:210" s="908" customFormat="1" ht="11.25" customHeight="1" x14ac:dyDescent="0.45">
      <c r="A332" s="908" t="s">
        <v>1176</v>
      </c>
    </row>
    <row r="333" spans="1:210" s="908" customFormat="1" ht="11.25" customHeight="1" x14ac:dyDescent="0.45">
      <c r="A333" s="908" t="s">
        <v>1177</v>
      </c>
    </row>
    <row r="334" spans="1:210" s="908" customFormat="1" ht="11.25" customHeight="1" x14ac:dyDescent="0.45">
      <c r="A334" s="908" t="s">
        <v>1178</v>
      </c>
    </row>
    <row r="335" spans="1:210" s="908" customFormat="1" ht="11.25" customHeight="1" x14ac:dyDescent="0.45">
      <c r="A335" s="908" t="s">
        <v>1179</v>
      </c>
    </row>
    <row r="336" spans="1:210" s="908" customFormat="1" ht="11.25" customHeight="1" x14ac:dyDescent="0.45">
      <c r="A336" s="908" t="s">
        <v>1180</v>
      </c>
    </row>
    <row r="337" spans="1:12" s="908" customFormat="1" ht="11.25" customHeight="1" x14ac:dyDescent="0.45">
      <c r="A337" s="908" t="s">
        <v>1181</v>
      </c>
    </row>
    <row r="338" spans="1:12" s="908" customFormat="1" ht="11.25" customHeight="1" x14ac:dyDescent="0.45">
      <c r="A338" s="908" t="s">
        <v>1182</v>
      </c>
    </row>
    <row r="339" spans="1:12" s="908" customFormat="1" ht="11.25" customHeight="1" x14ac:dyDescent="0.45">
      <c r="L339" s="909"/>
    </row>
    <row r="340" spans="1:12" ht="10.5" customHeight="1" x14ac:dyDescent="0.3">
      <c r="A340" s="888"/>
      <c r="B340" s="893"/>
      <c r="C340" s="893"/>
      <c r="D340" s="893"/>
      <c r="E340" s="893"/>
      <c r="F340" s="893"/>
      <c r="G340" s="893"/>
      <c r="H340" s="893"/>
      <c r="I340" s="893"/>
      <c r="J340" s="893"/>
      <c r="K340" s="893"/>
    </row>
    <row r="341" spans="1:12" ht="10.5" customHeight="1" x14ac:dyDescent="0.3">
      <c r="A341" s="888"/>
      <c r="B341" s="893"/>
      <c r="C341" s="893"/>
      <c r="D341" s="893"/>
      <c r="E341" s="893"/>
      <c r="F341" s="893"/>
      <c r="G341" s="893"/>
      <c r="H341" s="893"/>
      <c r="I341" s="893"/>
      <c r="J341" s="893"/>
      <c r="K341" s="893"/>
    </row>
    <row r="342" spans="1:12" ht="10.5" customHeight="1" x14ac:dyDescent="0.3">
      <c r="A342" s="888"/>
      <c r="B342" s="893"/>
      <c r="C342" s="893"/>
      <c r="D342" s="893"/>
      <c r="E342" s="893"/>
      <c r="F342" s="893"/>
      <c r="G342" s="893"/>
      <c r="H342" s="893"/>
      <c r="I342" s="893"/>
      <c r="J342" s="893"/>
      <c r="K342" s="893"/>
    </row>
    <row r="343" spans="1:12" ht="10.5" customHeight="1" x14ac:dyDescent="0.3">
      <c r="A343" s="888"/>
      <c r="B343" s="893"/>
      <c r="C343" s="893"/>
      <c r="D343" s="893"/>
      <c r="E343" s="893"/>
      <c r="F343" s="893"/>
      <c r="G343" s="893"/>
      <c r="H343" s="893"/>
      <c r="I343" s="893"/>
      <c r="J343" s="893"/>
      <c r="K343" s="893"/>
    </row>
    <row r="344" spans="1:12" ht="10.5" customHeight="1" x14ac:dyDescent="0.3">
      <c r="A344" s="888"/>
      <c r="B344" s="893"/>
      <c r="C344" s="893"/>
      <c r="D344" s="893"/>
      <c r="E344" s="893"/>
      <c r="F344" s="893"/>
      <c r="G344" s="893"/>
      <c r="H344" s="893"/>
      <c r="I344" s="893"/>
      <c r="J344" s="893"/>
      <c r="K344" s="893"/>
    </row>
    <row r="345" spans="1:12" ht="10.5" customHeight="1" x14ac:dyDescent="0.3">
      <c r="A345" s="888"/>
      <c r="B345" s="893"/>
      <c r="C345" s="893"/>
      <c r="D345" s="893"/>
      <c r="E345" s="893"/>
      <c r="F345" s="893"/>
      <c r="G345" s="893"/>
      <c r="H345" s="893"/>
      <c r="I345" s="893"/>
      <c r="J345" s="893"/>
      <c r="K345" s="893"/>
    </row>
    <row r="346" spans="1:12" ht="10.5" customHeight="1" x14ac:dyDescent="0.3">
      <c r="A346" s="888"/>
      <c r="B346" s="893"/>
      <c r="C346" s="893"/>
      <c r="D346" s="893"/>
      <c r="E346" s="893"/>
      <c r="F346" s="893"/>
      <c r="G346" s="893"/>
      <c r="H346" s="893"/>
      <c r="I346" s="893"/>
      <c r="J346" s="893"/>
      <c r="K346" s="893"/>
    </row>
    <row r="347" spans="1:12" ht="10.5" customHeight="1" x14ac:dyDescent="0.3">
      <c r="A347" s="888"/>
      <c r="B347" s="893"/>
      <c r="C347" s="893"/>
      <c r="D347" s="893"/>
      <c r="E347" s="893"/>
      <c r="F347" s="893"/>
      <c r="G347" s="893"/>
      <c r="H347" s="893"/>
      <c r="I347" s="893"/>
      <c r="J347" s="893"/>
      <c r="K347" s="893"/>
    </row>
    <row r="348" spans="1:12" ht="10.5" customHeight="1" x14ac:dyDescent="0.3">
      <c r="A348" s="888"/>
      <c r="B348" s="893"/>
      <c r="C348" s="893"/>
      <c r="D348" s="893"/>
      <c r="E348" s="893"/>
      <c r="F348" s="893"/>
      <c r="G348" s="893"/>
      <c r="H348" s="893"/>
      <c r="I348" s="893"/>
      <c r="J348" s="893"/>
      <c r="K348" s="893"/>
    </row>
    <row r="349" spans="1:12" ht="10.5" customHeight="1" x14ac:dyDescent="0.3">
      <c r="A349" s="888"/>
      <c r="B349" s="893"/>
      <c r="C349" s="893"/>
      <c r="D349" s="893"/>
      <c r="E349" s="893"/>
      <c r="F349" s="893"/>
      <c r="G349" s="893"/>
      <c r="H349" s="893"/>
      <c r="I349" s="893"/>
      <c r="J349" s="893"/>
      <c r="K349" s="893"/>
    </row>
    <row r="350" spans="1:12" ht="10.5" customHeight="1" x14ac:dyDescent="0.45">
      <c r="A350" s="888"/>
    </row>
    <row r="351" spans="1:12" ht="10.5" customHeight="1" x14ac:dyDescent="0.45">
      <c r="A351" s="888"/>
    </row>
    <row r="352" spans="1:12" ht="10.5" customHeight="1" x14ac:dyDescent="0.45">
      <c r="A352" s="888"/>
    </row>
    <row r="353" spans="1:1" ht="10.5" customHeight="1" x14ac:dyDescent="0.45">
      <c r="A353" s="888"/>
    </row>
    <row r="354" spans="1:1" ht="10.5" customHeight="1" x14ac:dyDescent="0.45">
      <c r="A354" s="888"/>
    </row>
    <row r="355" spans="1:1" ht="10.5" customHeight="1" x14ac:dyDescent="0.45">
      <c r="A355" s="888"/>
    </row>
    <row r="356" spans="1:1" ht="10.5" customHeight="1" x14ac:dyDescent="0.45">
      <c r="A356" s="888"/>
    </row>
    <row r="357" spans="1:1" ht="10.5" customHeight="1" x14ac:dyDescent="0.45">
      <c r="A357" s="888"/>
    </row>
    <row r="358" spans="1:1" ht="10.5" customHeight="1" x14ac:dyDescent="0.45">
      <c r="A358" s="888"/>
    </row>
    <row r="359" spans="1:1" ht="10.5" customHeight="1" x14ac:dyDescent="0.45">
      <c r="A359" s="888"/>
    </row>
    <row r="360" spans="1:1" ht="10.5" customHeight="1" x14ac:dyDescent="0.45">
      <c r="A360" s="888"/>
    </row>
    <row r="361" spans="1:1" ht="10.5" customHeight="1" x14ac:dyDescent="0.45">
      <c r="A361" s="888"/>
    </row>
    <row r="362" spans="1:1" ht="10.5" customHeight="1" x14ac:dyDescent="0.45">
      <c r="A362" s="888"/>
    </row>
    <row r="363" spans="1:1" ht="10.5" customHeight="1" x14ac:dyDescent="0.45">
      <c r="A363" s="888"/>
    </row>
    <row r="364" spans="1:1" ht="10.5" customHeight="1" x14ac:dyDescent="0.45">
      <c r="A364" s="888"/>
    </row>
    <row r="365" spans="1:1" ht="10.5" customHeight="1" x14ac:dyDescent="0.45">
      <c r="A365" s="888"/>
    </row>
    <row r="366" spans="1:1" ht="10.5" customHeight="1" x14ac:dyDescent="0.45">
      <c r="A366" s="888"/>
    </row>
    <row r="367" spans="1:1" ht="10.5" customHeight="1" x14ac:dyDescent="0.45">
      <c r="A367" s="888"/>
    </row>
    <row r="368" spans="1:1" ht="10.5" customHeight="1" x14ac:dyDescent="0.45">
      <c r="A368" s="888"/>
    </row>
    <row r="369" spans="1:1" ht="10.5" customHeight="1" x14ac:dyDescent="0.45">
      <c r="A369" s="888"/>
    </row>
    <row r="370" spans="1:1" ht="10.5" customHeight="1" x14ac:dyDescent="0.45">
      <c r="A370" s="888"/>
    </row>
    <row r="371" spans="1:1" ht="10.5" customHeight="1" x14ac:dyDescent="0.45">
      <c r="A371" s="888"/>
    </row>
    <row r="372" spans="1:1" ht="10.5" customHeight="1" x14ac:dyDescent="0.45">
      <c r="A372" s="888"/>
    </row>
    <row r="373" spans="1:1" ht="10.5" customHeight="1" x14ac:dyDescent="0.45">
      <c r="A373" s="888"/>
    </row>
    <row r="374" spans="1:1" ht="10.5" customHeight="1" x14ac:dyDescent="0.45">
      <c r="A374" s="888"/>
    </row>
    <row r="375" spans="1:1" ht="10.5" customHeight="1" x14ac:dyDescent="0.45">
      <c r="A375" s="888"/>
    </row>
    <row r="376" spans="1:1" ht="10.5" customHeight="1" x14ac:dyDescent="0.45">
      <c r="A376" s="888"/>
    </row>
    <row r="377" spans="1:1" ht="10.5" customHeight="1" x14ac:dyDescent="0.45">
      <c r="A377" s="888"/>
    </row>
    <row r="378" spans="1:1" ht="10.5" customHeight="1" x14ac:dyDescent="0.45">
      <c r="A378" s="888"/>
    </row>
    <row r="379" spans="1:1" ht="10.5" customHeight="1" x14ac:dyDescent="0.45">
      <c r="A379" s="888"/>
    </row>
    <row r="380" spans="1:1" ht="10.5" customHeight="1" x14ac:dyDescent="0.45">
      <c r="A380" s="888"/>
    </row>
    <row r="381" spans="1:1" ht="10.5" customHeight="1" x14ac:dyDescent="0.45">
      <c r="A381" s="888"/>
    </row>
    <row r="382" spans="1:1" ht="10.5" customHeight="1" x14ac:dyDescent="0.45">
      <c r="A382" s="888"/>
    </row>
    <row r="383" spans="1:1" ht="10.5" customHeight="1" x14ac:dyDescent="0.45">
      <c r="A383" s="888"/>
    </row>
    <row r="384" spans="1:1" ht="10.5" customHeight="1" x14ac:dyDescent="0.45">
      <c r="A384" s="888"/>
    </row>
    <row r="385" spans="1:1" ht="10.5" customHeight="1" x14ac:dyDescent="0.45">
      <c r="A385" s="888"/>
    </row>
    <row r="386" spans="1:1" ht="10.5" customHeight="1" x14ac:dyDescent="0.45">
      <c r="A386" s="888"/>
    </row>
    <row r="387" spans="1:1" ht="10.5" customHeight="1" x14ac:dyDescent="0.45">
      <c r="A387" s="888"/>
    </row>
    <row r="388" spans="1:1" ht="10.5" customHeight="1" x14ac:dyDescent="0.45">
      <c r="A388" s="888"/>
    </row>
    <row r="389" spans="1:1" ht="10.5" customHeight="1" x14ac:dyDescent="0.45">
      <c r="A389" s="888"/>
    </row>
    <row r="390" spans="1:1" ht="10.5" customHeight="1" x14ac:dyDescent="0.45">
      <c r="A390" s="888"/>
    </row>
    <row r="391" spans="1:1" ht="10.5" customHeight="1" x14ac:dyDescent="0.45">
      <c r="A391" s="888"/>
    </row>
    <row r="392" spans="1:1" ht="10.5" customHeight="1" x14ac:dyDescent="0.45">
      <c r="A392" s="888"/>
    </row>
    <row r="393" spans="1:1" ht="10.5" customHeight="1" x14ac:dyDescent="0.45">
      <c r="A393" s="888"/>
    </row>
    <row r="394" spans="1:1" ht="10.5" customHeight="1" x14ac:dyDescent="0.45">
      <c r="A394" s="888"/>
    </row>
    <row r="395" spans="1:1" ht="10.5" customHeight="1" x14ac:dyDescent="0.45">
      <c r="A395" s="888"/>
    </row>
    <row r="396" spans="1:1" ht="10.5" customHeight="1" x14ac:dyDescent="0.45">
      <c r="A396" s="888"/>
    </row>
    <row r="397" spans="1:1" ht="10.5" customHeight="1" x14ac:dyDescent="0.45">
      <c r="A397" s="888"/>
    </row>
    <row r="398" spans="1:1" ht="10.5" customHeight="1" x14ac:dyDescent="0.45">
      <c r="A398" s="888"/>
    </row>
    <row r="399" spans="1:1" ht="10.5" customHeight="1" x14ac:dyDescent="0.45">
      <c r="A399" s="888"/>
    </row>
    <row r="400" spans="1:1" ht="10.5" customHeight="1" x14ac:dyDescent="0.45">
      <c r="A400" s="888"/>
    </row>
    <row r="401" spans="1:1" ht="10.5" customHeight="1" x14ac:dyDescent="0.45">
      <c r="A401" s="888"/>
    </row>
    <row r="402" spans="1:1" ht="10.5" customHeight="1" x14ac:dyDescent="0.45">
      <c r="A402" s="888"/>
    </row>
    <row r="403" spans="1:1" ht="10.5" customHeight="1" x14ac:dyDescent="0.45">
      <c r="A403" s="888"/>
    </row>
    <row r="404" spans="1:1" ht="10.5" customHeight="1" x14ac:dyDescent="0.45">
      <c r="A404" s="888"/>
    </row>
    <row r="405" spans="1:1" ht="10.5" customHeight="1" x14ac:dyDescent="0.45">
      <c r="A405" s="888"/>
    </row>
    <row r="406" spans="1:1" ht="10.5" customHeight="1" x14ac:dyDescent="0.45">
      <c r="A406" s="888"/>
    </row>
    <row r="407" spans="1:1" ht="10.5" customHeight="1" x14ac:dyDescent="0.45">
      <c r="A407" s="888"/>
    </row>
    <row r="408" spans="1:1" ht="10.5" customHeight="1" x14ac:dyDescent="0.45">
      <c r="A408" s="888"/>
    </row>
    <row r="409" spans="1:1" ht="10.5" customHeight="1" x14ac:dyDescent="0.45">
      <c r="A409" s="888"/>
    </row>
    <row r="410" spans="1:1" ht="10.5" customHeight="1" x14ac:dyDescent="0.45">
      <c r="A410" s="888"/>
    </row>
    <row r="411" spans="1:1" ht="10.5" customHeight="1" x14ac:dyDescent="0.45">
      <c r="A411" s="888"/>
    </row>
    <row r="412" spans="1:1" ht="10.5" customHeight="1" x14ac:dyDescent="0.45">
      <c r="A412" s="888"/>
    </row>
    <row r="413" spans="1:1" ht="10.5" customHeight="1" x14ac:dyDescent="0.45">
      <c r="A413" s="888"/>
    </row>
    <row r="414" spans="1:1" ht="10.5" customHeight="1" x14ac:dyDescent="0.45">
      <c r="A414" s="888"/>
    </row>
    <row r="415" spans="1:1" ht="10.5" customHeight="1" x14ac:dyDescent="0.45">
      <c r="A415" s="888"/>
    </row>
    <row r="416" spans="1:1" ht="10.5" customHeight="1" x14ac:dyDescent="0.45">
      <c r="A416" s="888"/>
    </row>
    <row r="417" spans="1:1" ht="10.5" customHeight="1" x14ac:dyDescent="0.45">
      <c r="A417" s="888"/>
    </row>
    <row r="418" spans="1:1" ht="10.5" customHeight="1" x14ac:dyDescent="0.45">
      <c r="A418" s="888"/>
    </row>
    <row r="419" spans="1:1" ht="10.5" customHeight="1" x14ac:dyDescent="0.45">
      <c r="A419" s="888"/>
    </row>
    <row r="420" spans="1:1" ht="10.5" customHeight="1" x14ac:dyDescent="0.45">
      <c r="A420" s="888"/>
    </row>
    <row r="421" spans="1:1" ht="10.5" customHeight="1" x14ac:dyDescent="0.45">
      <c r="A421" s="888"/>
    </row>
    <row r="422" spans="1:1" ht="10.5" customHeight="1" x14ac:dyDescent="0.45">
      <c r="A422" s="888"/>
    </row>
    <row r="423" spans="1:1" ht="10.5" customHeight="1" x14ac:dyDescent="0.45">
      <c r="A423" s="888"/>
    </row>
    <row r="424" spans="1:1" ht="10.5" customHeight="1" x14ac:dyDescent="0.45">
      <c r="A424" s="888"/>
    </row>
    <row r="425" spans="1:1" ht="10.5" customHeight="1" x14ac:dyDescent="0.45">
      <c r="A425" s="888"/>
    </row>
    <row r="426" spans="1:1" ht="10.5" customHeight="1" x14ac:dyDescent="0.45">
      <c r="A426" s="888"/>
    </row>
    <row r="427" spans="1:1" ht="10.5" customHeight="1" x14ac:dyDescent="0.45">
      <c r="A427" s="888"/>
    </row>
    <row r="428" spans="1:1" ht="10.5" customHeight="1" x14ac:dyDescent="0.45">
      <c r="A428" s="888"/>
    </row>
    <row r="429" spans="1:1" ht="10.5" customHeight="1" x14ac:dyDescent="0.45">
      <c r="A429" s="888"/>
    </row>
    <row r="430" spans="1:1" ht="10.5" customHeight="1" x14ac:dyDescent="0.45">
      <c r="A430" s="888"/>
    </row>
    <row r="431" spans="1:1" ht="10.5" customHeight="1" x14ac:dyDescent="0.45">
      <c r="A431" s="888"/>
    </row>
    <row r="432" spans="1:1" ht="10.5" customHeight="1" x14ac:dyDescent="0.45">
      <c r="A432" s="888"/>
    </row>
    <row r="433" spans="1:1" ht="10.5" customHeight="1" x14ac:dyDescent="0.45">
      <c r="A433" s="888"/>
    </row>
    <row r="434" spans="1:1" ht="10.5" customHeight="1" x14ac:dyDescent="0.45">
      <c r="A434" s="888"/>
    </row>
    <row r="435" spans="1:1" ht="10.5" customHeight="1" x14ac:dyDescent="0.45">
      <c r="A435" s="888"/>
    </row>
    <row r="436" spans="1:1" ht="10.5" customHeight="1" x14ac:dyDescent="0.45">
      <c r="A436" s="888"/>
    </row>
    <row r="437" spans="1:1" ht="10.5" customHeight="1" x14ac:dyDescent="0.45">
      <c r="A437" s="888"/>
    </row>
    <row r="438" spans="1:1" ht="10.5" customHeight="1" x14ac:dyDescent="0.45">
      <c r="A438" s="888"/>
    </row>
    <row r="439" spans="1:1" ht="10.5" customHeight="1" x14ac:dyDescent="0.45">
      <c r="A439" s="888"/>
    </row>
    <row r="440" spans="1:1" ht="10.5" customHeight="1" x14ac:dyDescent="0.45">
      <c r="A440" s="888"/>
    </row>
    <row r="441" spans="1:1" ht="10.5" customHeight="1" x14ac:dyDescent="0.45">
      <c r="A441" s="888"/>
    </row>
    <row r="442" spans="1:1" ht="10.5" customHeight="1" x14ac:dyDescent="0.45">
      <c r="A442" s="888"/>
    </row>
    <row r="443" spans="1:1" ht="10.5" customHeight="1" x14ac:dyDescent="0.45">
      <c r="A443" s="888"/>
    </row>
    <row r="444" spans="1:1" ht="10.5" customHeight="1" x14ac:dyDescent="0.45">
      <c r="A444" s="888"/>
    </row>
    <row r="445" spans="1:1" ht="10.5" customHeight="1" x14ac:dyDescent="0.45">
      <c r="A445" s="888"/>
    </row>
    <row r="446" spans="1:1" ht="10.5" customHeight="1" x14ac:dyDescent="0.45">
      <c r="A446" s="888"/>
    </row>
    <row r="447" spans="1:1" ht="10.5" customHeight="1" x14ac:dyDescent="0.45">
      <c r="A447" s="888"/>
    </row>
    <row r="448" spans="1:1" ht="10.5" customHeight="1" x14ac:dyDescent="0.45">
      <c r="A448" s="888"/>
    </row>
    <row r="449" spans="1:1" ht="10.5" customHeight="1" x14ac:dyDescent="0.45">
      <c r="A449" s="888"/>
    </row>
    <row r="450" spans="1:1" ht="10.5" customHeight="1" x14ac:dyDescent="0.45">
      <c r="A450" s="888"/>
    </row>
    <row r="451" spans="1:1" ht="10.5" customHeight="1" x14ac:dyDescent="0.45">
      <c r="A451" s="888"/>
    </row>
    <row r="452" spans="1:1" ht="10.5" customHeight="1" x14ac:dyDescent="0.45">
      <c r="A452" s="888"/>
    </row>
    <row r="453" spans="1:1" ht="10.5" customHeight="1" x14ac:dyDescent="0.45">
      <c r="A453" s="888"/>
    </row>
    <row r="454" spans="1:1" ht="10.5" customHeight="1" x14ac:dyDescent="0.45">
      <c r="A454" s="888"/>
    </row>
    <row r="455" spans="1:1" ht="10.5" customHeight="1" x14ac:dyDescent="0.45">
      <c r="A455" s="888"/>
    </row>
    <row r="456" spans="1:1" ht="10.5" customHeight="1" x14ac:dyDescent="0.45">
      <c r="A456" s="888"/>
    </row>
    <row r="457" spans="1:1" ht="10.5" customHeight="1" x14ac:dyDescent="0.45">
      <c r="A457" s="888"/>
    </row>
    <row r="458" spans="1:1" ht="10.5" customHeight="1" x14ac:dyDescent="0.45">
      <c r="A458" s="888"/>
    </row>
    <row r="459" spans="1:1" ht="10.5" customHeight="1" x14ac:dyDescent="0.45">
      <c r="A459" s="888"/>
    </row>
    <row r="460" spans="1:1" ht="10.5" customHeight="1" x14ac:dyDescent="0.45">
      <c r="A460" s="888"/>
    </row>
    <row r="461" spans="1:1" ht="10.5" customHeight="1" x14ac:dyDescent="0.45">
      <c r="A461" s="888"/>
    </row>
    <row r="462" spans="1:1" ht="10.5" customHeight="1" x14ac:dyDescent="0.45">
      <c r="A462" s="888"/>
    </row>
    <row r="463" spans="1:1" ht="10.5" customHeight="1" x14ac:dyDescent="0.45">
      <c r="A463" s="888"/>
    </row>
    <row r="464" spans="1:1" ht="10.5" customHeight="1" x14ac:dyDescent="0.45">
      <c r="A464" s="888"/>
    </row>
    <row r="465" spans="1:1" ht="10.5" customHeight="1" x14ac:dyDescent="0.45">
      <c r="A465" s="888"/>
    </row>
    <row r="466" spans="1:1" ht="10.5" customHeight="1" x14ac:dyDescent="0.45">
      <c r="A466" s="888"/>
    </row>
    <row r="467" spans="1:1" ht="10.5" customHeight="1" x14ac:dyDescent="0.45">
      <c r="A467" s="888"/>
    </row>
    <row r="468" spans="1:1" ht="10.5" customHeight="1" x14ac:dyDescent="0.45">
      <c r="A468" s="888"/>
    </row>
    <row r="469" spans="1:1" ht="10.5" customHeight="1" x14ac:dyDescent="0.45">
      <c r="A469" s="888"/>
    </row>
    <row r="470" spans="1:1" ht="10.5" customHeight="1" x14ac:dyDescent="0.45">
      <c r="A470" s="888"/>
    </row>
    <row r="471" spans="1:1" ht="10.5" customHeight="1" x14ac:dyDescent="0.45">
      <c r="A471" s="888"/>
    </row>
    <row r="472" spans="1:1" ht="10.5" customHeight="1" x14ac:dyDescent="0.45">
      <c r="A472" s="888"/>
    </row>
    <row r="473" spans="1:1" ht="10.5" customHeight="1" x14ac:dyDescent="0.45">
      <c r="A473" s="888"/>
    </row>
    <row r="474" spans="1:1" ht="10.5" customHeight="1" x14ac:dyDescent="0.45">
      <c r="A474" s="888"/>
    </row>
    <row r="475" spans="1:1" ht="10.5" customHeight="1" x14ac:dyDescent="0.45">
      <c r="A475" s="888"/>
    </row>
    <row r="476" spans="1:1" ht="10.5" customHeight="1" x14ac:dyDescent="0.45">
      <c r="A476" s="888"/>
    </row>
    <row r="477" spans="1:1" ht="10.5" customHeight="1" x14ac:dyDescent="0.45">
      <c r="A477" s="888"/>
    </row>
    <row r="478" spans="1:1" ht="10.5" customHeight="1" x14ac:dyDescent="0.45">
      <c r="A478" s="888"/>
    </row>
    <row r="479" spans="1:1" ht="10.5" customHeight="1" x14ac:dyDescent="0.45">
      <c r="A479" s="888"/>
    </row>
    <row r="480" spans="1:1" ht="10.5" customHeight="1" x14ac:dyDescent="0.45">
      <c r="A480" s="888"/>
    </row>
    <row r="481" spans="1:1" ht="10.5" customHeight="1" x14ac:dyDescent="0.45">
      <c r="A481" s="888"/>
    </row>
    <row r="482" spans="1:1" ht="10.5" customHeight="1" x14ac:dyDescent="0.45">
      <c r="A482" s="888"/>
    </row>
    <row r="483" spans="1:1" ht="10.5" customHeight="1" x14ac:dyDescent="0.45">
      <c r="A483" s="888"/>
    </row>
    <row r="484" spans="1:1" ht="10.5" customHeight="1" x14ac:dyDescent="0.45">
      <c r="A484" s="888"/>
    </row>
    <row r="485" spans="1:1" ht="10.5" customHeight="1" x14ac:dyDescent="0.45">
      <c r="A485" s="888"/>
    </row>
    <row r="486" spans="1:1" ht="10.5" customHeight="1" x14ac:dyDescent="0.45">
      <c r="A486" s="888"/>
    </row>
    <row r="487" spans="1:1" ht="10.5" customHeight="1" x14ac:dyDescent="0.45">
      <c r="A487" s="888"/>
    </row>
    <row r="488" spans="1:1" ht="10.5" customHeight="1" x14ac:dyDescent="0.45">
      <c r="A488" s="888"/>
    </row>
    <row r="489" spans="1:1" ht="10.5" customHeight="1" x14ac:dyDescent="0.45">
      <c r="A489" s="888"/>
    </row>
    <row r="490" spans="1:1" ht="10.5" customHeight="1" x14ac:dyDescent="0.45">
      <c r="A490" s="888"/>
    </row>
    <row r="491" spans="1:1" ht="10.5" customHeight="1" x14ac:dyDescent="0.45">
      <c r="A491" s="888"/>
    </row>
    <row r="492" spans="1:1" ht="10.5" customHeight="1" x14ac:dyDescent="0.45">
      <c r="A492" s="888"/>
    </row>
    <row r="493" spans="1:1" ht="10.5" customHeight="1" x14ac:dyDescent="0.45">
      <c r="A493" s="888"/>
    </row>
    <row r="494" spans="1:1" ht="10.5" customHeight="1" x14ac:dyDescent="0.45">
      <c r="A494" s="888"/>
    </row>
    <row r="495" spans="1:1" ht="10.5" customHeight="1" x14ac:dyDescent="0.45">
      <c r="A495" s="888"/>
    </row>
    <row r="496" spans="1:1" ht="10.5" customHeight="1" x14ac:dyDescent="0.45">
      <c r="A496" s="888"/>
    </row>
    <row r="497" spans="1:1" ht="10.5" customHeight="1" x14ac:dyDescent="0.45">
      <c r="A497" s="888"/>
    </row>
    <row r="498" spans="1:1" ht="10.5" customHeight="1" x14ac:dyDescent="0.45">
      <c r="A498" s="888"/>
    </row>
    <row r="499" spans="1:1" ht="10.5" customHeight="1" x14ac:dyDescent="0.45">
      <c r="A499" s="888"/>
    </row>
    <row r="500" spans="1:1" ht="10.5" customHeight="1" x14ac:dyDescent="0.45">
      <c r="A500" s="888"/>
    </row>
    <row r="501" spans="1:1" ht="10.5" customHeight="1" x14ac:dyDescent="0.45">
      <c r="A501" s="888"/>
    </row>
    <row r="502" spans="1:1" ht="10.5" customHeight="1" x14ac:dyDescent="0.45">
      <c r="A502" s="888"/>
    </row>
    <row r="503" spans="1:1" ht="10.5" customHeight="1" x14ac:dyDescent="0.45">
      <c r="A503" s="888"/>
    </row>
    <row r="504" spans="1:1" ht="10.5" customHeight="1" x14ac:dyDescent="0.45">
      <c r="A504" s="888"/>
    </row>
    <row r="505" spans="1:1" ht="10.5" customHeight="1" x14ac:dyDescent="0.45">
      <c r="A505" s="888"/>
    </row>
    <row r="506" spans="1:1" ht="10.5" customHeight="1" x14ac:dyDescent="0.45">
      <c r="A506" s="888"/>
    </row>
    <row r="507" spans="1:1" ht="10.5" customHeight="1" x14ac:dyDescent="0.45">
      <c r="A507" s="888"/>
    </row>
    <row r="508" spans="1:1" ht="10.5" customHeight="1" x14ac:dyDescent="0.45">
      <c r="A508" s="888"/>
    </row>
    <row r="509" spans="1:1" ht="10.5" customHeight="1" x14ac:dyDescent="0.45">
      <c r="A509" s="888"/>
    </row>
    <row r="510" spans="1:1" ht="10.5" customHeight="1" x14ac:dyDescent="0.45">
      <c r="A510" s="888"/>
    </row>
    <row r="511" spans="1:1" ht="10.5" customHeight="1" x14ac:dyDescent="0.45">
      <c r="A511" s="888"/>
    </row>
    <row r="512" spans="1:1" ht="10.5" customHeight="1" x14ac:dyDescent="0.45">
      <c r="A512" s="888"/>
    </row>
    <row r="513" spans="1:1" ht="10.5" customHeight="1" x14ac:dyDescent="0.45">
      <c r="A513" s="888"/>
    </row>
    <row r="514" spans="1:1" ht="10.5" customHeight="1" x14ac:dyDescent="0.45">
      <c r="A514" s="888"/>
    </row>
    <row r="515" spans="1:1" ht="10.5" customHeight="1" x14ac:dyDescent="0.45">
      <c r="A515" s="888"/>
    </row>
    <row r="516" spans="1:1" ht="10.5" customHeight="1" x14ac:dyDescent="0.45">
      <c r="A516" s="888"/>
    </row>
    <row r="517" spans="1:1" ht="10.5" customHeight="1" x14ac:dyDescent="0.45">
      <c r="A517" s="888"/>
    </row>
    <row r="518" spans="1:1" ht="10.5" customHeight="1" x14ac:dyDescent="0.45">
      <c r="A518" s="888"/>
    </row>
    <row r="519" spans="1:1" ht="10.5" customHeight="1" x14ac:dyDescent="0.45">
      <c r="A519" s="888"/>
    </row>
    <row r="520" spans="1:1" ht="10.5" customHeight="1" x14ac:dyDescent="0.45">
      <c r="A520" s="888"/>
    </row>
    <row r="521" spans="1:1" ht="10.5" customHeight="1" x14ac:dyDescent="0.45">
      <c r="A521" s="888"/>
    </row>
    <row r="522" spans="1:1" ht="10.5" customHeight="1" x14ac:dyDescent="0.45">
      <c r="A522" s="888"/>
    </row>
    <row r="523" spans="1:1" ht="10.5" customHeight="1" x14ac:dyDescent="0.45">
      <c r="A523" s="888"/>
    </row>
    <row r="524" spans="1:1" ht="10.5" customHeight="1" x14ac:dyDescent="0.45">
      <c r="A524" s="888"/>
    </row>
    <row r="525" spans="1:1" ht="10.5" customHeight="1" x14ac:dyDescent="0.45">
      <c r="A525" s="888"/>
    </row>
    <row r="526" spans="1:1" ht="10.5" customHeight="1" x14ac:dyDescent="0.45">
      <c r="A526" s="888"/>
    </row>
    <row r="527" spans="1:1" ht="10.5" customHeight="1" x14ac:dyDescent="0.45">
      <c r="A527" s="888"/>
    </row>
    <row r="528" spans="1:1" ht="10.5" customHeight="1" x14ac:dyDescent="0.45">
      <c r="A528" s="888"/>
    </row>
    <row r="529" spans="1:1" ht="10.5" customHeight="1" x14ac:dyDescent="0.45">
      <c r="A529" s="888"/>
    </row>
    <row r="530" spans="1:1" ht="10.5" customHeight="1" x14ac:dyDescent="0.45">
      <c r="A530" s="888"/>
    </row>
    <row r="531" spans="1:1" ht="10.5" customHeight="1" x14ac:dyDescent="0.45">
      <c r="A531" s="888"/>
    </row>
    <row r="532" spans="1:1" ht="10.5" customHeight="1" x14ac:dyDescent="0.45">
      <c r="A532" s="888"/>
    </row>
    <row r="533" spans="1:1" ht="10.5" customHeight="1" x14ac:dyDescent="0.45">
      <c r="A533" s="888"/>
    </row>
    <row r="534" spans="1:1" ht="10.5" customHeight="1" x14ac:dyDescent="0.45">
      <c r="A534" s="888"/>
    </row>
    <row r="535" spans="1:1" ht="10.5" customHeight="1" x14ac:dyDescent="0.45">
      <c r="A535" s="888"/>
    </row>
    <row r="536" spans="1:1" ht="10.5" customHeight="1" x14ac:dyDescent="0.45">
      <c r="A536" s="888"/>
    </row>
    <row r="537" spans="1:1" ht="10.5" customHeight="1" x14ac:dyDescent="0.45">
      <c r="A537" s="888"/>
    </row>
    <row r="538" spans="1:1" ht="10.5" customHeight="1" x14ac:dyDescent="0.45">
      <c r="A538" s="888"/>
    </row>
    <row r="539" spans="1:1" ht="10.5" customHeight="1" x14ac:dyDescent="0.45">
      <c r="A539" s="888"/>
    </row>
    <row r="540" spans="1:1" ht="10.5" customHeight="1" x14ac:dyDescent="0.45">
      <c r="A540" s="888"/>
    </row>
    <row r="541" spans="1:1" ht="10.5" customHeight="1" x14ac:dyDescent="0.45">
      <c r="A541" s="888"/>
    </row>
    <row r="542" spans="1:1" ht="10.5" customHeight="1" x14ac:dyDescent="0.45">
      <c r="A542" s="888"/>
    </row>
    <row r="543" spans="1:1" ht="10.5" customHeight="1" x14ac:dyDescent="0.45">
      <c r="A543" s="888"/>
    </row>
    <row r="544" spans="1:1" ht="10.5" customHeight="1" x14ac:dyDescent="0.45">
      <c r="A544" s="888"/>
    </row>
    <row r="545" spans="1:1" ht="10.5" customHeight="1" x14ac:dyDescent="0.45">
      <c r="A545" s="888"/>
    </row>
    <row r="546" spans="1:1" ht="10.5" customHeight="1" x14ac:dyDescent="0.45">
      <c r="A546" s="888"/>
    </row>
    <row r="547" spans="1:1" ht="10.5" customHeight="1" x14ac:dyDescent="0.45">
      <c r="A547" s="888"/>
    </row>
    <row r="548" spans="1:1" ht="10.5" customHeight="1" x14ac:dyDescent="0.45">
      <c r="A548" s="888"/>
    </row>
    <row r="549" spans="1:1" ht="10.5" customHeight="1" x14ac:dyDescent="0.45">
      <c r="A549" s="888"/>
    </row>
    <row r="550" spans="1:1" ht="10.5" customHeight="1" x14ac:dyDescent="0.45">
      <c r="A550" s="888"/>
    </row>
    <row r="551" spans="1:1" ht="10.5" customHeight="1" x14ac:dyDescent="0.45">
      <c r="A551" s="888"/>
    </row>
    <row r="552" spans="1:1" ht="10.5" customHeight="1" x14ac:dyDescent="0.45">
      <c r="A552" s="888"/>
    </row>
    <row r="553" spans="1:1" ht="10.5" customHeight="1" x14ac:dyDescent="0.45">
      <c r="A553" s="888"/>
    </row>
    <row r="554" spans="1:1" ht="10.5" customHeight="1" x14ac:dyDescent="0.45">
      <c r="A554" s="888"/>
    </row>
    <row r="555" spans="1:1" ht="10.5" customHeight="1" x14ac:dyDescent="0.45">
      <c r="A555" s="888"/>
    </row>
    <row r="556" spans="1:1" ht="10.5" customHeight="1" x14ac:dyDescent="0.45">
      <c r="A556" s="888"/>
    </row>
    <row r="557" spans="1:1" ht="10.5" customHeight="1" x14ac:dyDescent="0.45">
      <c r="A557" s="888"/>
    </row>
    <row r="558" spans="1:1" ht="10.5" customHeight="1" x14ac:dyDescent="0.45">
      <c r="A558" s="888"/>
    </row>
    <row r="559" spans="1:1" ht="10.5" customHeight="1" x14ac:dyDescent="0.45">
      <c r="A559" s="888"/>
    </row>
    <row r="560" spans="1:1" ht="10.5" customHeight="1" x14ac:dyDescent="0.45">
      <c r="A560" s="888"/>
    </row>
    <row r="561" spans="1:1" ht="10.5" customHeight="1" x14ac:dyDescent="0.45">
      <c r="A561" s="888"/>
    </row>
    <row r="562" spans="1:1" x14ac:dyDescent="0.45">
      <c r="A562" s="888"/>
    </row>
    <row r="563" spans="1:1" x14ac:dyDescent="0.45">
      <c r="A563" s="888"/>
    </row>
    <row r="564" spans="1:1" x14ac:dyDescent="0.45">
      <c r="A564" s="888"/>
    </row>
    <row r="565" spans="1:1" x14ac:dyDescent="0.45">
      <c r="A565" s="888"/>
    </row>
    <row r="566" spans="1:1" x14ac:dyDescent="0.45">
      <c r="A566" s="888"/>
    </row>
    <row r="567" spans="1:1" x14ac:dyDescent="0.45">
      <c r="A567" s="888"/>
    </row>
    <row r="568" spans="1:1" x14ac:dyDescent="0.45">
      <c r="A568" s="888"/>
    </row>
    <row r="569" spans="1:1" x14ac:dyDescent="0.45">
      <c r="A569" s="888"/>
    </row>
    <row r="570" spans="1:1" x14ac:dyDescent="0.45">
      <c r="A570" s="888"/>
    </row>
    <row r="571" spans="1:1" x14ac:dyDescent="0.45">
      <c r="A571" s="888"/>
    </row>
    <row r="572" spans="1:1" x14ac:dyDescent="0.45">
      <c r="A572" s="888"/>
    </row>
    <row r="573" spans="1:1" x14ac:dyDescent="0.45">
      <c r="A573" s="888"/>
    </row>
    <row r="574" spans="1:1" x14ac:dyDescent="0.45">
      <c r="A574" s="888"/>
    </row>
    <row r="575" spans="1:1" x14ac:dyDescent="0.45">
      <c r="A575" s="888"/>
    </row>
    <row r="576" spans="1:1" x14ac:dyDescent="0.45">
      <c r="A576" s="888"/>
    </row>
    <row r="577" spans="1:1" x14ac:dyDescent="0.45">
      <c r="A577" s="888"/>
    </row>
    <row r="578" spans="1:1" x14ac:dyDescent="0.45">
      <c r="A578" s="888"/>
    </row>
    <row r="579" spans="1:1" x14ac:dyDescent="0.45">
      <c r="A579" s="888"/>
    </row>
    <row r="580" spans="1:1" x14ac:dyDescent="0.45">
      <c r="A580" s="888"/>
    </row>
    <row r="581" spans="1:1" x14ac:dyDescent="0.45">
      <c r="A581" s="888"/>
    </row>
    <row r="582" spans="1:1" x14ac:dyDescent="0.45">
      <c r="A582" s="888"/>
    </row>
    <row r="583" spans="1:1" x14ac:dyDescent="0.45">
      <c r="A583" s="888"/>
    </row>
    <row r="584" spans="1:1" x14ac:dyDescent="0.45">
      <c r="A584" s="888"/>
    </row>
    <row r="585" spans="1:1" x14ac:dyDescent="0.45">
      <c r="A585" s="888"/>
    </row>
    <row r="586" spans="1:1" x14ac:dyDescent="0.45">
      <c r="A586" s="888"/>
    </row>
    <row r="587" spans="1:1" x14ac:dyDescent="0.45">
      <c r="A587" s="888"/>
    </row>
    <row r="588" spans="1:1" x14ac:dyDescent="0.45">
      <c r="A588" s="888"/>
    </row>
    <row r="589" spans="1:1" x14ac:dyDescent="0.45">
      <c r="A589" s="888"/>
    </row>
    <row r="590" spans="1:1" x14ac:dyDescent="0.45">
      <c r="A590" s="888"/>
    </row>
    <row r="591" spans="1:1" x14ac:dyDescent="0.45">
      <c r="A591" s="888"/>
    </row>
    <row r="592" spans="1:1" x14ac:dyDescent="0.45">
      <c r="A592" s="888"/>
    </row>
    <row r="593" spans="1:1" x14ac:dyDescent="0.45">
      <c r="A593" s="888"/>
    </row>
    <row r="594" spans="1:1" x14ac:dyDescent="0.45">
      <c r="A594" s="888"/>
    </row>
    <row r="595" spans="1:1" x14ac:dyDescent="0.45">
      <c r="A595" s="888"/>
    </row>
    <row r="596" spans="1:1" x14ac:dyDescent="0.45">
      <c r="A596" s="888"/>
    </row>
    <row r="597" spans="1:1" x14ac:dyDescent="0.45">
      <c r="A597" s="888"/>
    </row>
    <row r="598" spans="1:1" x14ac:dyDescent="0.45">
      <c r="A598" s="888"/>
    </row>
    <row r="599" spans="1:1" x14ac:dyDescent="0.45">
      <c r="A599" s="888"/>
    </row>
    <row r="600" spans="1:1" x14ac:dyDescent="0.45">
      <c r="A600" s="888"/>
    </row>
    <row r="601" spans="1:1" x14ac:dyDescent="0.45">
      <c r="A601" s="888"/>
    </row>
    <row r="602" spans="1:1" x14ac:dyDescent="0.45">
      <c r="A602" s="888"/>
    </row>
    <row r="603" spans="1:1" x14ac:dyDescent="0.45">
      <c r="A603" s="888"/>
    </row>
    <row r="604" spans="1:1" x14ac:dyDescent="0.45">
      <c r="A604" s="888"/>
    </row>
    <row r="605" spans="1:1" x14ac:dyDescent="0.45">
      <c r="A605" s="888"/>
    </row>
    <row r="606" spans="1:1" x14ac:dyDescent="0.45">
      <c r="A606" s="888"/>
    </row>
    <row r="607" spans="1:1" x14ac:dyDescent="0.45">
      <c r="A607" s="888"/>
    </row>
    <row r="608" spans="1:1" x14ac:dyDescent="0.45">
      <c r="A608" s="888"/>
    </row>
    <row r="609" spans="1:1" x14ac:dyDescent="0.45">
      <c r="A609" s="888"/>
    </row>
    <row r="610" spans="1:1" x14ac:dyDescent="0.45">
      <c r="A610" s="888"/>
    </row>
    <row r="611" spans="1:1" x14ac:dyDescent="0.45">
      <c r="A611" s="888"/>
    </row>
    <row r="612" spans="1:1" x14ac:dyDescent="0.45">
      <c r="A612" s="888"/>
    </row>
    <row r="613" spans="1:1" x14ac:dyDescent="0.45">
      <c r="A613" s="888"/>
    </row>
    <row r="614" spans="1:1" x14ac:dyDescent="0.45">
      <c r="A614" s="888"/>
    </row>
    <row r="615" spans="1:1" x14ac:dyDescent="0.45">
      <c r="A615" s="888"/>
    </row>
    <row r="616" spans="1:1" x14ac:dyDescent="0.45">
      <c r="A616" s="888"/>
    </row>
    <row r="617" spans="1:1" x14ac:dyDescent="0.45">
      <c r="A617" s="888"/>
    </row>
    <row r="618" spans="1:1" x14ac:dyDescent="0.45">
      <c r="A618" s="888"/>
    </row>
    <row r="619" spans="1:1" x14ac:dyDescent="0.45">
      <c r="A619" s="888"/>
    </row>
    <row r="620" spans="1:1" x14ac:dyDescent="0.45">
      <c r="A620" s="888"/>
    </row>
    <row r="621" spans="1:1" x14ac:dyDescent="0.45">
      <c r="A621" s="888"/>
    </row>
    <row r="622" spans="1:1" x14ac:dyDescent="0.45">
      <c r="A622" s="888"/>
    </row>
    <row r="623" spans="1:1" x14ac:dyDescent="0.45">
      <c r="A623" s="888"/>
    </row>
    <row r="624" spans="1:1" x14ac:dyDescent="0.45">
      <c r="A624" s="888"/>
    </row>
    <row r="625" spans="1:1" x14ac:dyDescent="0.45">
      <c r="A625" s="888"/>
    </row>
    <row r="626" spans="1:1" x14ac:dyDescent="0.45">
      <c r="A626" s="888"/>
    </row>
    <row r="627" spans="1:1" x14ac:dyDescent="0.45">
      <c r="A627" s="888"/>
    </row>
    <row r="628" spans="1:1" x14ac:dyDescent="0.45">
      <c r="A628" s="888"/>
    </row>
    <row r="629" spans="1:1" x14ac:dyDescent="0.45">
      <c r="A629" s="888"/>
    </row>
    <row r="630" spans="1:1" x14ac:dyDescent="0.45">
      <c r="A630" s="888"/>
    </row>
    <row r="631" spans="1:1" x14ac:dyDescent="0.45">
      <c r="A631" s="888"/>
    </row>
    <row r="632" spans="1:1" x14ac:dyDescent="0.45">
      <c r="A632" s="888"/>
    </row>
    <row r="633" spans="1:1" x14ac:dyDescent="0.45">
      <c r="A633" s="888"/>
    </row>
    <row r="634" spans="1:1" x14ac:dyDescent="0.45">
      <c r="A634" s="888"/>
    </row>
    <row r="635" spans="1:1" x14ac:dyDescent="0.45">
      <c r="A635" s="888"/>
    </row>
    <row r="636" spans="1:1" x14ac:dyDescent="0.45">
      <c r="A636" s="888"/>
    </row>
    <row r="637" spans="1:1" x14ac:dyDescent="0.45">
      <c r="A637" s="888"/>
    </row>
    <row r="638" spans="1:1" x14ac:dyDescent="0.45">
      <c r="A638" s="888"/>
    </row>
    <row r="639" spans="1:1" x14ac:dyDescent="0.45">
      <c r="A639" s="888"/>
    </row>
    <row r="640" spans="1:1" x14ac:dyDescent="0.45">
      <c r="A640" s="888"/>
    </row>
    <row r="641" spans="1:1" x14ac:dyDescent="0.45">
      <c r="A641" s="888"/>
    </row>
    <row r="642" spans="1:1" x14ac:dyDescent="0.45">
      <c r="A642" s="888"/>
    </row>
    <row r="643" spans="1:1" x14ac:dyDescent="0.45">
      <c r="A643" s="888"/>
    </row>
    <row r="644" spans="1:1" x14ac:dyDescent="0.45">
      <c r="A644" s="888"/>
    </row>
    <row r="645" spans="1:1" x14ac:dyDescent="0.45">
      <c r="A645" s="888"/>
    </row>
    <row r="646" spans="1:1" x14ac:dyDescent="0.45">
      <c r="A646" s="888"/>
    </row>
    <row r="647" spans="1:1" x14ac:dyDescent="0.45">
      <c r="A647" s="888"/>
    </row>
    <row r="648" spans="1:1" x14ac:dyDescent="0.45">
      <c r="A648" s="888"/>
    </row>
    <row r="649" spans="1:1" x14ac:dyDescent="0.45">
      <c r="A649" s="888"/>
    </row>
    <row r="650" spans="1:1" x14ac:dyDescent="0.45">
      <c r="A650" s="888"/>
    </row>
    <row r="651" spans="1:1" x14ac:dyDescent="0.45">
      <c r="A651" s="888"/>
    </row>
    <row r="652" spans="1:1" x14ac:dyDescent="0.45">
      <c r="A652" s="888"/>
    </row>
    <row r="653" spans="1:1" x14ac:dyDescent="0.45">
      <c r="A653" s="888"/>
    </row>
    <row r="654" spans="1:1" x14ac:dyDescent="0.45">
      <c r="A654" s="888"/>
    </row>
    <row r="655" spans="1:1" x14ac:dyDescent="0.45">
      <c r="A655" s="888"/>
    </row>
    <row r="656" spans="1:1" x14ac:dyDescent="0.45">
      <c r="A656" s="888"/>
    </row>
    <row r="657" spans="1:1" x14ac:dyDescent="0.45">
      <c r="A657" s="888"/>
    </row>
    <row r="658" spans="1:1" x14ac:dyDescent="0.45">
      <c r="A658" s="888"/>
    </row>
    <row r="659" spans="1:1" x14ac:dyDescent="0.45">
      <c r="A659" s="888"/>
    </row>
    <row r="660" spans="1:1" x14ac:dyDescent="0.45">
      <c r="A660" s="888"/>
    </row>
    <row r="661" spans="1:1" x14ac:dyDescent="0.45">
      <c r="A661" s="888"/>
    </row>
    <row r="662" spans="1:1" x14ac:dyDescent="0.45">
      <c r="A662" s="888"/>
    </row>
    <row r="663" spans="1:1" x14ac:dyDescent="0.45">
      <c r="A663" s="888"/>
    </row>
    <row r="664" spans="1:1" x14ac:dyDescent="0.45">
      <c r="A664" s="888"/>
    </row>
    <row r="665" spans="1:1" x14ac:dyDescent="0.45">
      <c r="A665" s="888"/>
    </row>
    <row r="666" spans="1:1" x14ac:dyDescent="0.45">
      <c r="A666" s="888"/>
    </row>
    <row r="667" spans="1:1" x14ac:dyDescent="0.45">
      <c r="A667" s="888"/>
    </row>
    <row r="668" spans="1:1" x14ac:dyDescent="0.45">
      <c r="A668" s="888"/>
    </row>
    <row r="669" spans="1:1" x14ac:dyDescent="0.45">
      <c r="A669" s="888"/>
    </row>
    <row r="670" spans="1:1" x14ac:dyDescent="0.45">
      <c r="A670" s="888"/>
    </row>
    <row r="671" spans="1:1" x14ac:dyDescent="0.45">
      <c r="A671" s="888"/>
    </row>
    <row r="672" spans="1:1" x14ac:dyDescent="0.45">
      <c r="A672" s="888"/>
    </row>
    <row r="673" spans="1:1" x14ac:dyDescent="0.45">
      <c r="A673" s="888"/>
    </row>
    <row r="674" spans="1:1" x14ac:dyDescent="0.45">
      <c r="A674" s="888"/>
    </row>
    <row r="675" spans="1:1" x14ac:dyDescent="0.45">
      <c r="A675" s="888"/>
    </row>
    <row r="676" spans="1:1" x14ac:dyDescent="0.45">
      <c r="A676" s="888"/>
    </row>
    <row r="677" spans="1:1" x14ac:dyDescent="0.45">
      <c r="A677" s="888"/>
    </row>
    <row r="678" spans="1:1" x14ac:dyDescent="0.45">
      <c r="A678" s="888"/>
    </row>
    <row r="679" spans="1:1" x14ac:dyDescent="0.45">
      <c r="A679" s="888"/>
    </row>
    <row r="680" spans="1:1" x14ac:dyDescent="0.45">
      <c r="A680" s="888"/>
    </row>
    <row r="681" spans="1:1" x14ac:dyDescent="0.45">
      <c r="A681" s="888"/>
    </row>
    <row r="682" spans="1:1" x14ac:dyDescent="0.45">
      <c r="A682" s="888"/>
    </row>
    <row r="683" spans="1:1" x14ac:dyDescent="0.45">
      <c r="A683" s="888"/>
    </row>
    <row r="684" spans="1:1" x14ac:dyDescent="0.45">
      <c r="A684" s="888"/>
    </row>
    <row r="685" spans="1:1" x14ac:dyDescent="0.45">
      <c r="A685" s="888"/>
    </row>
    <row r="686" spans="1:1" x14ac:dyDescent="0.45">
      <c r="A686" s="888"/>
    </row>
    <row r="687" spans="1:1" x14ac:dyDescent="0.45">
      <c r="A687" s="888"/>
    </row>
    <row r="688" spans="1:1" x14ac:dyDescent="0.45">
      <c r="A688" s="888"/>
    </row>
    <row r="689" spans="1:1" x14ac:dyDescent="0.45">
      <c r="A689" s="888"/>
    </row>
    <row r="690" spans="1:1" x14ac:dyDescent="0.45">
      <c r="A690" s="888"/>
    </row>
    <row r="691" spans="1:1" x14ac:dyDescent="0.45">
      <c r="A691" s="888"/>
    </row>
    <row r="692" spans="1:1" x14ac:dyDescent="0.45">
      <c r="A692" s="888"/>
    </row>
    <row r="693" spans="1:1" x14ac:dyDescent="0.45">
      <c r="A693" s="888"/>
    </row>
    <row r="694" spans="1:1" x14ac:dyDescent="0.45">
      <c r="A694" s="888"/>
    </row>
    <row r="695" spans="1:1" x14ac:dyDescent="0.45">
      <c r="A695" s="888"/>
    </row>
    <row r="696" spans="1:1" x14ac:dyDescent="0.45">
      <c r="A696" s="888"/>
    </row>
    <row r="697" spans="1:1" x14ac:dyDescent="0.45">
      <c r="A697" s="888"/>
    </row>
    <row r="698" spans="1:1" x14ac:dyDescent="0.45">
      <c r="A698" s="888"/>
    </row>
    <row r="699" spans="1:1" x14ac:dyDescent="0.45">
      <c r="A699" s="888"/>
    </row>
    <row r="700" spans="1:1" x14ac:dyDescent="0.45">
      <c r="A700" s="888"/>
    </row>
    <row r="701" spans="1:1" x14ac:dyDescent="0.45">
      <c r="A701" s="888"/>
    </row>
    <row r="702" spans="1:1" x14ac:dyDescent="0.45">
      <c r="A702" s="888"/>
    </row>
    <row r="703" spans="1:1" x14ac:dyDescent="0.45">
      <c r="A703" s="888"/>
    </row>
    <row r="704" spans="1:1" x14ac:dyDescent="0.45">
      <c r="A704" s="888"/>
    </row>
    <row r="705" spans="1:1" x14ac:dyDescent="0.45">
      <c r="A705" s="888"/>
    </row>
    <row r="706" spans="1:1" x14ac:dyDescent="0.45">
      <c r="A706" s="888"/>
    </row>
    <row r="707" spans="1:1" x14ac:dyDescent="0.45">
      <c r="A707" s="888"/>
    </row>
    <row r="708" spans="1:1" x14ac:dyDescent="0.45">
      <c r="A708" s="888"/>
    </row>
    <row r="709" spans="1:1" x14ac:dyDescent="0.45">
      <c r="A709" s="888"/>
    </row>
    <row r="710" spans="1:1" x14ac:dyDescent="0.45">
      <c r="A710" s="888"/>
    </row>
    <row r="711" spans="1:1" x14ac:dyDescent="0.45">
      <c r="A711" s="888"/>
    </row>
    <row r="712" spans="1:1" x14ac:dyDescent="0.45">
      <c r="A712" s="888"/>
    </row>
    <row r="713" spans="1:1" x14ac:dyDescent="0.45">
      <c r="A713" s="888"/>
    </row>
    <row r="714" spans="1:1" x14ac:dyDescent="0.45">
      <c r="A714" s="888"/>
    </row>
    <row r="715" spans="1:1" x14ac:dyDescent="0.45">
      <c r="A715" s="888"/>
    </row>
    <row r="716" spans="1:1" x14ac:dyDescent="0.45">
      <c r="A716" s="888"/>
    </row>
    <row r="717" spans="1:1" x14ac:dyDescent="0.45">
      <c r="A717" s="888"/>
    </row>
    <row r="718" spans="1:1" x14ac:dyDescent="0.45">
      <c r="A718" s="888"/>
    </row>
    <row r="719" spans="1:1" x14ac:dyDescent="0.45">
      <c r="A719" s="888"/>
    </row>
    <row r="720" spans="1:1" x14ac:dyDescent="0.45">
      <c r="A720" s="888"/>
    </row>
    <row r="721" spans="1:1" x14ac:dyDescent="0.45">
      <c r="A721" s="888"/>
    </row>
    <row r="722" spans="1:1" x14ac:dyDescent="0.45">
      <c r="A722" s="888"/>
    </row>
    <row r="723" spans="1:1" x14ac:dyDescent="0.45">
      <c r="A723" s="888"/>
    </row>
    <row r="724" spans="1:1" x14ac:dyDescent="0.45">
      <c r="A724" s="888"/>
    </row>
    <row r="725" spans="1:1" x14ac:dyDescent="0.45">
      <c r="A725" s="888"/>
    </row>
    <row r="726" spans="1:1" x14ac:dyDescent="0.45">
      <c r="A726" s="888"/>
    </row>
    <row r="727" spans="1:1" x14ac:dyDescent="0.45">
      <c r="A727" s="888"/>
    </row>
    <row r="728" spans="1:1" x14ac:dyDescent="0.45">
      <c r="A728" s="888"/>
    </row>
    <row r="729" spans="1:1" x14ac:dyDescent="0.45">
      <c r="A729" s="888"/>
    </row>
    <row r="730" spans="1:1" x14ac:dyDescent="0.45">
      <c r="A730" s="888"/>
    </row>
    <row r="731" spans="1:1" x14ac:dyDescent="0.45">
      <c r="A731" s="888"/>
    </row>
    <row r="732" spans="1:1" x14ac:dyDescent="0.45">
      <c r="A732" s="888"/>
    </row>
    <row r="733" spans="1:1" x14ac:dyDescent="0.45">
      <c r="A733" s="888"/>
    </row>
    <row r="734" spans="1:1" x14ac:dyDescent="0.45">
      <c r="A734" s="888"/>
    </row>
    <row r="735" spans="1:1" x14ac:dyDescent="0.45">
      <c r="A735" s="888"/>
    </row>
    <row r="736" spans="1:1" x14ac:dyDescent="0.45">
      <c r="A736" s="888"/>
    </row>
    <row r="737" spans="1:1" x14ac:dyDescent="0.45">
      <c r="A737" s="888"/>
    </row>
    <row r="738" spans="1:1" x14ac:dyDescent="0.45">
      <c r="A738" s="888"/>
    </row>
    <row r="739" spans="1:1" x14ac:dyDescent="0.45">
      <c r="A739" s="888"/>
    </row>
    <row r="740" spans="1:1" x14ac:dyDescent="0.45">
      <c r="A740" s="888"/>
    </row>
    <row r="741" spans="1:1" x14ac:dyDescent="0.45">
      <c r="A741" s="888"/>
    </row>
    <row r="742" spans="1:1" x14ac:dyDescent="0.45">
      <c r="A742" s="888"/>
    </row>
    <row r="743" spans="1:1" x14ac:dyDescent="0.45">
      <c r="A743" s="888"/>
    </row>
    <row r="744" spans="1:1" x14ac:dyDescent="0.45">
      <c r="A744" s="888"/>
    </row>
    <row r="745" spans="1:1" x14ac:dyDescent="0.45">
      <c r="A745" s="888"/>
    </row>
    <row r="746" spans="1:1" x14ac:dyDescent="0.45">
      <c r="A746" s="888"/>
    </row>
    <row r="747" spans="1:1" x14ac:dyDescent="0.45">
      <c r="A747" s="888"/>
    </row>
    <row r="748" spans="1:1" x14ac:dyDescent="0.45">
      <c r="A748" s="888"/>
    </row>
    <row r="749" spans="1:1" x14ac:dyDescent="0.45">
      <c r="A749" s="888"/>
    </row>
    <row r="750" spans="1:1" x14ac:dyDescent="0.45">
      <c r="A750" s="888"/>
    </row>
    <row r="751" spans="1:1" x14ac:dyDescent="0.45">
      <c r="A751" s="888"/>
    </row>
    <row r="752" spans="1:1" x14ac:dyDescent="0.45">
      <c r="A752" s="888"/>
    </row>
    <row r="753" spans="1:1" x14ac:dyDescent="0.45">
      <c r="A753" s="888"/>
    </row>
    <row r="754" spans="1:1" x14ac:dyDescent="0.45">
      <c r="A754" s="888"/>
    </row>
    <row r="755" spans="1:1" x14ac:dyDescent="0.45">
      <c r="A755" s="888"/>
    </row>
    <row r="756" spans="1:1" x14ac:dyDescent="0.45">
      <c r="A756" s="888"/>
    </row>
    <row r="757" spans="1:1" x14ac:dyDescent="0.45">
      <c r="A757" s="888"/>
    </row>
    <row r="758" spans="1:1" x14ac:dyDescent="0.45">
      <c r="A758" s="888"/>
    </row>
    <row r="759" spans="1:1" x14ac:dyDescent="0.45">
      <c r="A759" s="888"/>
    </row>
    <row r="760" spans="1:1" x14ac:dyDescent="0.45">
      <c r="A760" s="888"/>
    </row>
    <row r="761" spans="1:1" x14ac:dyDescent="0.45">
      <c r="A761" s="888"/>
    </row>
    <row r="762" spans="1:1" x14ac:dyDescent="0.45">
      <c r="A762" s="888"/>
    </row>
    <row r="763" spans="1:1" x14ac:dyDescent="0.45">
      <c r="A763" s="888"/>
    </row>
    <row r="764" spans="1:1" x14ac:dyDescent="0.45">
      <c r="A764" s="888"/>
    </row>
    <row r="765" spans="1:1" x14ac:dyDescent="0.45">
      <c r="A765" s="888"/>
    </row>
    <row r="766" spans="1:1" x14ac:dyDescent="0.45">
      <c r="A766" s="888"/>
    </row>
    <row r="767" spans="1:1" x14ac:dyDescent="0.45">
      <c r="A767" s="888"/>
    </row>
    <row r="768" spans="1:1" x14ac:dyDescent="0.45">
      <c r="A768" s="888"/>
    </row>
    <row r="769" spans="1:1" x14ac:dyDescent="0.45">
      <c r="A769" s="888"/>
    </row>
    <row r="770" spans="1:1" x14ac:dyDescent="0.45">
      <c r="A770" s="888"/>
    </row>
    <row r="771" spans="1:1" x14ac:dyDescent="0.45">
      <c r="A771" s="888"/>
    </row>
    <row r="772" spans="1:1" x14ac:dyDescent="0.45">
      <c r="A772" s="888"/>
    </row>
    <row r="773" spans="1:1" x14ac:dyDescent="0.45">
      <c r="A773" s="888"/>
    </row>
    <row r="774" spans="1:1" x14ac:dyDescent="0.45">
      <c r="A774" s="888"/>
    </row>
    <row r="775" spans="1:1" x14ac:dyDescent="0.45">
      <c r="A775" s="888"/>
    </row>
    <row r="776" spans="1:1" x14ac:dyDescent="0.45">
      <c r="A776" s="888"/>
    </row>
    <row r="777" spans="1:1" x14ac:dyDescent="0.45">
      <c r="A777" s="888"/>
    </row>
    <row r="778" spans="1:1" x14ac:dyDescent="0.45">
      <c r="A778" s="888"/>
    </row>
    <row r="779" spans="1:1" x14ac:dyDescent="0.45">
      <c r="A779" s="888"/>
    </row>
    <row r="780" spans="1:1" x14ac:dyDescent="0.45">
      <c r="A780" s="888"/>
    </row>
    <row r="781" spans="1:1" x14ac:dyDescent="0.45">
      <c r="A781" s="888"/>
    </row>
    <row r="782" spans="1:1" x14ac:dyDescent="0.45">
      <c r="A782" s="888"/>
    </row>
    <row r="783" spans="1:1" x14ac:dyDescent="0.45">
      <c r="A783" s="888"/>
    </row>
    <row r="784" spans="1:1" x14ac:dyDescent="0.45">
      <c r="A784" s="888"/>
    </row>
    <row r="785" spans="1:1" x14ac:dyDescent="0.45">
      <c r="A785" s="888"/>
    </row>
    <row r="786" spans="1:1" x14ac:dyDescent="0.45">
      <c r="A786" s="888"/>
    </row>
    <row r="787" spans="1:1" x14ac:dyDescent="0.45">
      <c r="A787" s="888"/>
    </row>
    <row r="788" spans="1:1" x14ac:dyDescent="0.45">
      <c r="A788" s="888"/>
    </row>
    <row r="789" spans="1:1" x14ac:dyDescent="0.45">
      <c r="A789" s="888"/>
    </row>
    <row r="790" spans="1:1" x14ac:dyDescent="0.45">
      <c r="A790" s="888"/>
    </row>
    <row r="791" spans="1:1" x14ac:dyDescent="0.45">
      <c r="A791" s="888"/>
    </row>
    <row r="792" spans="1:1" x14ac:dyDescent="0.45">
      <c r="A792" s="888"/>
    </row>
    <row r="793" spans="1:1" x14ac:dyDescent="0.45">
      <c r="A793" s="888"/>
    </row>
    <row r="794" spans="1:1" x14ac:dyDescent="0.45">
      <c r="A794" s="888"/>
    </row>
    <row r="795" spans="1:1" x14ac:dyDescent="0.45">
      <c r="A795" s="888"/>
    </row>
    <row r="796" spans="1:1" x14ac:dyDescent="0.45">
      <c r="A796" s="888"/>
    </row>
    <row r="797" spans="1:1" x14ac:dyDescent="0.45">
      <c r="A797" s="888"/>
    </row>
    <row r="798" spans="1:1" x14ac:dyDescent="0.45">
      <c r="A798" s="888"/>
    </row>
    <row r="799" spans="1:1" x14ac:dyDescent="0.45">
      <c r="A799" s="888"/>
    </row>
    <row r="800" spans="1:1" x14ac:dyDescent="0.45">
      <c r="A800" s="888"/>
    </row>
    <row r="801" spans="1:1" x14ac:dyDescent="0.45">
      <c r="A801" s="888"/>
    </row>
    <row r="802" spans="1:1" x14ac:dyDescent="0.45">
      <c r="A802" s="888"/>
    </row>
    <row r="803" spans="1:1" x14ac:dyDescent="0.45">
      <c r="A803" s="888"/>
    </row>
    <row r="804" spans="1:1" x14ac:dyDescent="0.45">
      <c r="A804" s="888"/>
    </row>
    <row r="805" spans="1:1" x14ac:dyDescent="0.45">
      <c r="A805" s="888"/>
    </row>
    <row r="806" spans="1:1" x14ac:dyDescent="0.45">
      <c r="A806" s="888"/>
    </row>
    <row r="807" spans="1:1" x14ac:dyDescent="0.45">
      <c r="A807" s="888"/>
    </row>
    <row r="808" spans="1:1" x14ac:dyDescent="0.45">
      <c r="A808" s="888"/>
    </row>
    <row r="809" spans="1:1" x14ac:dyDescent="0.45">
      <c r="A809" s="888"/>
    </row>
    <row r="810" spans="1:1" x14ac:dyDescent="0.45">
      <c r="A810" s="888"/>
    </row>
    <row r="811" spans="1:1" x14ac:dyDescent="0.45">
      <c r="A811" s="888"/>
    </row>
    <row r="812" spans="1:1" x14ac:dyDescent="0.45">
      <c r="A812" s="888"/>
    </row>
    <row r="813" spans="1:1" x14ac:dyDescent="0.45">
      <c r="A813" s="888"/>
    </row>
    <row r="814" spans="1:1" x14ac:dyDescent="0.45">
      <c r="A814" s="888"/>
    </row>
    <row r="815" spans="1:1" x14ac:dyDescent="0.45">
      <c r="A815" s="888"/>
    </row>
    <row r="816" spans="1:1" x14ac:dyDescent="0.45">
      <c r="A816" s="888"/>
    </row>
    <row r="817" spans="1:1" x14ac:dyDescent="0.45">
      <c r="A817" s="888"/>
    </row>
    <row r="818" spans="1:1" x14ac:dyDescent="0.45">
      <c r="A818" s="888"/>
    </row>
    <row r="819" spans="1:1" x14ac:dyDescent="0.45">
      <c r="A819" s="888"/>
    </row>
    <row r="820" spans="1:1" x14ac:dyDescent="0.45">
      <c r="A820" s="888"/>
    </row>
    <row r="821" spans="1:1" x14ac:dyDescent="0.45">
      <c r="A821" s="888"/>
    </row>
    <row r="822" spans="1:1" x14ac:dyDescent="0.45">
      <c r="A822" s="888"/>
    </row>
    <row r="823" spans="1:1" x14ac:dyDescent="0.45">
      <c r="A823" s="888"/>
    </row>
    <row r="824" spans="1:1" x14ac:dyDescent="0.45">
      <c r="A824" s="888"/>
    </row>
    <row r="825" spans="1:1" x14ac:dyDescent="0.45">
      <c r="A825" s="888"/>
    </row>
    <row r="826" spans="1:1" x14ac:dyDescent="0.45">
      <c r="A826" s="888"/>
    </row>
    <row r="827" spans="1:1" x14ac:dyDescent="0.45">
      <c r="A827" s="888"/>
    </row>
    <row r="828" spans="1:1" x14ac:dyDescent="0.45">
      <c r="A828" s="888"/>
    </row>
    <row r="829" spans="1:1" x14ac:dyDescent="0.45">
      <c r="A829" s="888"/>
    </row>
    <row r="830" spans="1:1" x14ac:dyDescent="0.45">
      <c r="A830" s="888"/>
    </row>
    <row r="831" spans="1:1" x14ac:dyDescent="0.45">
      <c r="A831" s="888"/>
    </row>
    <row r="832" spans="1:1" x14ac:dyDescent="0.45">
      <c r="A832" s="888"/>
    </row>
    <row r="833" spans="1:1" x14ac:dyDescent="0.45">
      <c r="A833" s="888"/>
    </row>
    <row r="834" spans="1:1" x14ac:dyDescent="0.45">
      <c r="A834" s="888"/>
    </row>
    <row r="835" spans="1:1" x14ac:dyDescent="0.45">
      <c r="A835" s="888"/>
    </row>
    <row r="836" spans="1:1" x14ac:dyDescent="0.45">
      <c r="A836" s="888"/>
    </row>
    <row r="837" spans="1:1" x14ac:dyDescent="0.45">
      <c r="A837" s="888"/>
    </row>
    <row r="838" spans="1:1" x14ac:dyDescent="0.45">
      <c r="A838" s="888"/>
    </row>
    <row r="839" spans="1:1" x14ac:dyDescent="0.45">
      <c r="A839" s="888"/>
    </row>
    <row r="840" spans="1:1" x14ac:dyDescent="0.45">
      <c r="A840" s="888"/>
    </row>
    <row r="841" spans="1:1" x14ac:dyDescent="0.45">
      <c r="A841" s="888"/>
    </row>
    <row r="842" spans="1:1" x14ac:dyDescent="0.45">
      <c r="A842" s="888"/>
    </row>
    <row r="843" spans="1:1" x14ac:dyDescent="0.45">
      <c r="A843" s="888"/>
    </row>
    <row r="844" spans="1:1" x14ac:dyDescent="0.45">
      <c r="A844" s="888"/>
    </row>
    <row r="845" spans="1:1" x14ac:dyDescent="0.45">
      <c r="A845" s="888"/>
    </row>
    <row r="846" spans="1:1" x14ac:dyDescent="0.45">
      <c r="A846" s="888"/>
    </row>
    <row r="847" spans="1:1" x14ac:dyDescent="0.45">
      <c r="A847" s="888"/>
    </row>
    <row r="848" spans="1:1" x14ac:dyDescent="0.45">
      <c r="A848" s="888"/>
    </row>
    <row r="849" spans="1:1" x14ac:dyDescent="0.45">
      <c r="A849" s="888"/>
    </row>
    <row r="850" spans="1:1" x14ac:dyDescent="0.45">
      <c r="A850" s="888"/>
    </row>
    <row r="851" spans="1:1" x14ac:dyDescent="0.45">
      <c r="A851" s="888"/>
    </row>
    <row r="852" spans="1:1" x14ac:dyDescent="0.45">
      <c r="A852" s="888"/>
    </row>
    <row r="853" spans="1:1" x14ac:dyDescent="0.45">
      <c r="A853" s="888"/>
    </row>
    <row r="854" spans="1:1" x14ac:dyDescent="0.45">
      <c r="A854" s="888"/>
    </row>
    <row r="855" spans="1:1" x14ac:dyDescent="0.45">
      <c r="A855" s="888"/>
    </row>
    <row r="856" spans="1:1" x14ac:dyDescent="0.45">
      <c r="A856" s="888"/>
    </row>
    <row r="857" spans="1:1" x14ac:dyDescent="0.45">
      <c r="A857" s="888"/>
    </row>
    <row r="858" spans="1:1" x14ac:dyDescent="0.45">
      <c r="A858" s="888"/>
    </row>
    <row r="859" spans="1:1" x14ac:dyDescent="0.45">
      <c r="A859" s="888"/>
    </row>
    <row r="860" spans="1:1" x14ac:dyDescent="0.45">
      <c r="A860" s="888"/>
    </row>
    <row r="861" spans="1:1" x14ac:dyDescent="0.45">
      <c r="A861" s="888"/>
    </row>
    <row r="862" spans="1:1" x14ac:dyDescent="0.45">
      <c r="A862" s="888"/>
    </row>
    <row r="863" spans="1:1" x14ac:dyDescent="0.45">
      <c r="A863" s="888"/>
    </row>
    <row r="864" spans="1:1" x14ac:dyDescent="0.45">
      <c r="A864" s="888"/>
    </row>
    <row r="865" spans="1:1" x14ac:dyDescent="0.45">
      <c r="A865" s="888"/>
    </row>
    <row r="866" spans="1:1" x14ac:dyDescent="0.45">
      <c r="A866" s="888"/>
    </row>
    <row r="867" spans="1:1" x14ac:dyDescent="0.45">
      <c r="A867" s="888"/>
    </row>
    <row r="868" spans="1:1" x14ac:dyDescent="0.45">
      <c r="A868" s="888"/>
    </row>
    <row r="869" spans="1:1" x14ac:dyDescent="0.45">
      <c r="A869" s="888"/>
    </row>
    <row r="870" spans="1:1" x14ac:dyDescent="0.45">
      <c r="A870" s="888"/>
    </row>
    <row r="871" spans="1:1" x14ac:dyDescent="0.45">
      <c r="A871" s="888"/>
    </row>
    <row r="872" spans="1:1" x14ac:dyDescent="0.45">
      <c r="A872" s="888"/>
    </row>
    <row r="873" spans="1:1" x14ac:dyDescent="0.45">
      <c r="A873" s="888"/>
    </row>
    <row r="874" spans="1:1" x14ac:dyDescent="0.45">
      <c r="A874" s="888"/>
    </row>
    <row r="875" spans="1:1" x14ac:dyDescent="0.45">
      <c r="A875" s="888"/>
    </row>
    <row r="876" spans="1:1" x14ac:dyDescent="0.45">
      <c r="A876" s="888"/>
    </row>
    <row r="877" spans="1:1" x14ac:dyDescent="0.45">
      <c r="A877" s="888"/>
    </row>
    <row r="878" spans="1:1" x14ac:dyDescent="0.45">
      <c r="A878" s="888"/>
    </row>
    <row r="879" spans="1:1" x14ac:dyDescent="0.45">
      <c r="A879" s="888"/>
    </row>
    <row r="880" spans="1:1" x14ac:dyDescent="0.45">
      <c r="A880" s="888"/>
    </row>
    <row r="881" spans="1:1" x14ac:dyDescent="0.45">
      <c r="A881" s="888"/>
    </row>
    <row r="882" spans="1:1" x14ac:dyDescent="0.45">
      <c r="A882" s="888"/>
    </row>
    <row r="883" spans="1:1" x14ac:dyDescent="0.45">
      <c r="A883" s="888"/>
    </row>
    <row r="884" spans="1:1" x14ac:dyDescent="0.45">
      <c r="A884" s="888"/>
    </row>
    <row r="885" spans="1:1" x14ac:dyDescent="0.45">
      <c r="A885" s="888"/>
    </row>
    <row r="886" spans="1:1" x14ac:dyDescent="0.45">
      <c r="A886" s="888"/>
    </row>
    <row r="887" spans="1:1" x14ac:dyDescent="0.45">
      <c r="A887" s="888"/>
    </row>
    <row r="888" spans="1:1" x14ac:dyDescent="0.45">
      <c r="A888" s="888"/>
    </row>
    <row r="889" spans="1:1" x14ac:dyDescent="0.45">
      <c r="A889" s="888"/>
    </row>
    <row r="890" spans="1:1" x14ac:dyDescent="0.45">
      <c r="A890" s="888"/>
    </row>
    <row r="891" spans="1:1" x14ac:dyDescent="0.45">
      <c r="A891" s="888"/>
    </row>
    <row r="892" spans="1:1" x14ac:dyDescent="0.45">
      <c r="A892" s="888"/>
    </row>
    <row r="893" spans="1:1" x14ac:dyDescent="0.45">
      <c r="A893" s="888"/>
    </row>
    <row r="894" spans="1:1" x14ac:dyDescent="0.45">
      <c r="A894" s="888"/>
    </row>
    <row r="895" spans="1:1" x14ac:dyDescent="0.45">
      <c r="A895" s="888"/>
    </row>
    <row r="896" spans="1:1" x14ac:dyDescent="0.45">
      <c r="A896" s="888"/>
    </row>
    <row r="897" spans="1:1" x14ac:dyDescent="0.45">
      <c r="A897" s="888"/>
    </row>
    <row r="898" spans="1:1" x14ac:dyDescent="0.45">
      <c r="A898" s="888"/>
    </row>
    <row r="899" spans="1:1" x14ac:dyDescent="0.45">
      <c r="A899" s="888"/>
    </row>
    <row r="900" spans="1:1" x14ac:dyDescent="0.45">
      <c r="A900" s="888"/>
    </row>
    <row r="901" spans="1:1" x14ac:dyDescent="0.45">
      <c r="A901" s="888"/>
    </row>
    <row r="902" spans="1:1" x14ac:dyDescent="0.45">
      <c r="A902" s="888"/>
    </row>
    <row r="903" spans="1:1" x14ac:dyDescent="0.45">
      <c r="A903" s="888"/>
    </row>
    <row r="904" spans="1:1" x14ac:dyDescent="0.45">
      <c r="A904" s="888"/>
    </row>
    <row r="905" spans="1:1" x14ac:dyDescent="0.45">
      <c r="A905" s="888"/>
    </row>
    <row r="906" spans="1:1" x14ac:dyDescent="0.45">
      <c r="A906" s="888"/>
    </row>
    <row r="907" spans="1:1" x14ac:dyDescent="0.45">
      <c r="A907" s="888"/>
    </row>
    <row r="908" spans="1:1" x14ac:dyDescent="0.45">
      <c r="A908" s="888"/>
    </row>
    <row r="909" spans="1:1" x14ac:dyDescent="0.45">
      <c r="A909" s="888"/>
    </row>
    <row r="910" spans="1:1" x14ac:dyDescent="0.45">
      <c r="A910" s="888"/>
    </row>
    <row r="911" spans="1:1" x14ac:dyDescent="0.45">
      <c r="A911" s="888"/>
    </row>
    <row r="912" spans="1:1" x14ac:dyDescent="0.45">
      <c r="A912" s="888"/>
    </row>
    <row r="913" spans="1:1" x14ac:dyDescent="0.45">
      <c r="A913" s="888"/>
    </row>
    <row r="914" spans="1:1" x14ac:dyDescent="0.45">
      <c r="A914" s="888"/>
    </row>
    <row r="915" spans="1:1" x14ac:dyDescent="0.45">
      <c r="A915" s="888"/>
    </row>
    <row r="916" spans="1:1" x14ac:dyDescent="0.45">
      <c r="A916" s="888"/>
    </row>
    <row r="917" spans="1:1" x14ac:dyDescent="0.45">
      <c r="A917" s="888"/>
    </row>
    <row r="918" spans="1:1" x14ac:dyDescent="0.45">
      <c r="A918" s="888"/>
    </row>
    <row r="919" spans="1:1" x14ac:dyDescent="0.45">
      <c r="A919" s="888"/>
    </row>
    <row r="920" spans="1:1" x14ac:dyDescent="0.45">
      <c r="A920" s="888"/>
    </row>
    <row r="921" spans="1:1" x14ac:dyDescent="0.45">
      <c r="A921" s="888"/>
    </row>
    <row r="922" spans="1:1" x14ac:dyDescent="0.45">
      <c r="A922" s="888"/>
    </row>
    <row r="923" spans="1:1" x14ac:dyDescent="0.45">
      <c r="A923" s="888"/>
    </row>
    <row r="924" spans="1:1" x14ac:dyDescent="0.45">
      <c r="A924" s="888"/>
    </row>
    <row r="925" spans="1:1" x14ac:dyDescent="0.45">
      <c r="A925" s="888"/>
    </row>
    <row r="926" spans="1:1" x14ac:dyDescent="0.45">
      <c r="A926" s="888"/>
    </row>
    <row r="927" spans="1:1" x14ac:dyDescent="0.45">
      <c r="A927" s="888"/>
    </row>
    <row r="928" spans="1:1" x14ac:dyDescent="0.45">
      <c r="A928" s="888"/>
    </row>
    <row r="929" spans="1:1" x14ac:dyDescent="0.45">
      <c r="A929" s="888"/>
    </row>
    <row r="930" spans="1:1" x14ac:dyDescent="0.45">
      <c r="A930" s="888"/>
    </row>
    <row r="931" spans="1:1" x14ac:dyDescent="0.45">
      <c r="A931" s="888"/>
    </row>
    <row r="932" spans="1:1" x14ac:dyDescent="0.45">
      <c r="A932" s="888"/>
    </row>
    <row r="933" spans="1:1" x14ac:dyDescent="0.45">
      <c r="A933" s="888"/>
    </row>
    <row r="934" spans="1:1" x14ac:dyDescent="0.45">
      <c r="A934" s="888"/>
    </row>
    <row r="935" spans="1:1" x14ac:dyDescent="0.45">
      <c r="A935" s="888"/>
    </row>
    <row r="936" spans="1:1" x14ac:dyDescent="0.45">
      <c r="A936" s="888"/>
    </row>
    <row r="937" spans="1:1" x14ac:dyDescent="0.45">
      <c r="A937" s="888"/>
    </row>
    <row r="938" spans="1:1" x14ac:dyDescent="0.45">
      <c r="A938" s="888"/>
    </row>
    <row r="939" spans="1:1" x14ac:dyDescent="0.45">
      <c r="A939" s="888"/>
    </row>
    <row r="940" spans="1:1" x14ac:dyDescent="0.45">
      <c r="A940" s="888"/>
    </row>
    <row r="941" spans="1:1" x14ac:dyDescent="0.45">
      <c r="A941" s="888"/>
    </row>
    <row r="942" spans="1:1" x14ac:dyDescent="0.45">
      <c r="A942" s="888"/>
    </row>
    <row r="943" spans="1:1" x14ac:dyDescent="0.45">
      <c r="A943" s="888"/>
    </row>
    <row r="944" spans="1:1" x14ac:dyDescent="0.45">
      <c r="A944" s="888"/>
    </row>
    <row r="945" spans="1:1" x14ac:dyDescent="0.45">
      <c r="A945" s="888"/>
    </row>
    <row r="946" spans="1:1" x14ac:dyDescent="0.45">
      <c r="A946" s="888"/>
    </row>
    <row r="947" spans="1:1" x14ac:dyDescent="0.45">
      <c r="A947" s="888"/>
    </row>
    <row r="948" spans="1:1" x14ac:dyDescent="0.45">
      <c r="A948" s="888"/>
    </row>
    <row r="949" spans="1:1" x14ac:dyDescent="0.45">
      <c r="A949" s="888"/>
    </row>
    <row r="950" spans="1:1" x14ac:dyDescent="0.45">
      <c r="A950" s="888"/>
    </row>
    <row r="951" spans="1:1" x14ac:dyDescent="0.45">
      <c r="A951" s="888"/>
    </row>
    <row r="952" spans="1:1" x14ac:dyDescent="0.45">
      <c r="A952" s="888"/>
    </row>
    <row r="953" spans="1:1" x14ac:dyDescent="0.45">
      <c r="A953" s="888"/>
    </row>
    <row r="954" spans="1:1" x14ac:dyDescent="0.45">
      <c r="A954" s="888"/>
    </row>
    <row r="955" spans="1:1" x14ac:dyDescent="0.45">
      <c r="A955" s="888"/>
    </row>
    <row r="956" spans="1:1" x14ac:dyDescent="0.45">
      <c r="A956" s="888"/>
    </row>
    <row r="957" spans="1:1" x14ac:dyDescent="0.45">
      <c r="A957" s="888"/>
    </row>
    <row r="958" spans="1:1" x14ac:dyDescent="0.45">
      <c r="A958" s="888"/>
    </row>
    <row r="959" spans="1:1" x14ac:dyDescent="0.45">
      <c r="A959" s="888"/>
    </row>
    <row r="960" spans="1:1" x14ac:dyDescent="0.45">
      <c r="A960" s="888"/>
    </row>
    <row r="961" spans="1:1" x14ac:dyDescent="0.45">
      <c r="A961" s="888"/>
    </row>
    <row r="962" spans="1:1" x14ac:dyDescent="0.45">
      <c r="A962" s="888"/>
    </row>
    <row r="963" spans="1:1" x14ac:dyDescent="0.45">
      <c r="A963" s="888"/>
    </row>
    <row r="964" spans="1:1" x14ac:dyDescent="0.45">
      <c r="A964" s="888"/>
    </row>
    <row r="965" spans="1:1" x14ac:dyDescent="0.45">
      <c r="A965" s="888"/>
    </row>
    <row r="966" spans="1:1" x14ac:dyDescent="0.45">
      <c r="A966" s="888"/>
    </row>
    <row r="967" spans="1:1" x14ac:dyDescent="0.45">
      <c r="A967" s="888"/>
    </row>
    <row r="968" spans="1:1" x14ac:dyDescent="0.45">
      <c r="A968" s="888"/>
    </row>
    <row r="969" spans="1:1" x14ac:dyDescent="0.45">
      <c r="A969" s="888"/>
    </row>
    <row r="970" spans="1:1" x14ac:dyDescent="0.45">
      <c r="A970" s="888"/>
    </row>
    <row r="971" spans="1:1" x14ac:dyDescent="0.45">
      <c r="A971" s="888"/>
    </row>
    <row r="972" spans="1:1" x14ac:dyDescent="0.45">
      <c r="A972" s="888"/>
    </row>
    <row r="973" spans="1:1" x14ac:dyDescent="0.45">
      <c r="A973" s="888"/>
    </row>
    <row r="974" spans="1:1" x14ac:dyDescent="0.45">
      <c r="A974" s="888"/>
    </row>
    <row r="975" spans="1:1" x14ac:dyDescent="0.45">
      <c r="A975" s="888"/>
    </row>
    <row r="976" spans="1:1" x14ac:dyDescent="0.45">
      <c r="A976" s="888"/>
    </row>
    <row r="977" spans="1:1" x14ac:dyDescent="0.45">
      <c r="A977" s="888"/>
    </row>
    <row r="978" spans="1:1" x14ac:dyDescent="0.45">
      <c r="A978" s="888"/>
    </row>
    <row r="979" spans="1:1" x14ac:dyDescent="0.45">
      <c r="A979" s="888"/>
    </row>
    <row r="980" spans="1:1" x14ac:dyDescent="0.45">
      <c r="A980" s="888"/>
    </row>
    <row r="981" spans="1:1" x14ac:dyDescent="0.45">
      <c r="A981" s="888"/>
    </row>
    <row r="982" spans="1:1" x14ac:dyDescent="0.45">
      <c r="A982" s="888"/>
    </row>
    <row r="983" spans="1:1" x14ac:dyDescent="0.45">
      <c r="A983" s="888"/>
    </row>
    <row r="984" spans="1:1" x14ac:dyDescent="0.45">
      <c r="A984" s="888"/>
    </row>
    <row r="985" spans="1:1" x14ac:dyDescent="0.45">
      <c r="A985" s="888"/>
    </row>
    <row r="986" spans="1:1" x14ac:dyDescent="0.45">
      <c r="A986" s="888"/>
    </row>
    <row r="987" spans="1:1" x14ac:dyDescent="0.45">
      <c r="A987" s="888"/>
    </row>
    <row r="988" spans="1:1" x14ac:dyDescent="0.45">
      <c r="A988" s="888"/>
    </row>
    <row r="989" spans="1:1" x14ac:dyDescent="0.45">
      <c r="A989" s="888"/>
    </row>
    <row r="990" spans="1:1" x14ac:dyDescent="0.45">
      <c r="A990" s="888"/>
    </row>
    <row r="991" spans="1:1" x14ac:dyDescent="0.45">
      <c r="A991" s="888"/>
    </row>
    <row r="992" spans="1:1" x14ac:dyDescent="0.45">
      <c r="A992" s="888"/>
    </row>
    <row r="993" spans="1:1" x14ac:dyDescent="0.45">
      <c r="A993" s="888"/>
    </row>
    <row r="994" spans="1:1" x14ac:dyDescent="0.45">
      <c r="A994" s="888"/>
    </row>
    <row r="995" spans="1:1" x14ac:dyDescent="0.45">
      <c r="A995" s="888"/>
    </row>
    <row r="996" spans="1:1" x14ac:dyDescent="0.45">
      <c r="A996" s="888"/>
    </row>
    <row r="997" spans="1:1" x14ac:dyDescent="0.45">
      <c r="A997" s="888"/>
    </row>
    <row r="998" spans="1:1" x14ac:dyDescent="0.45">
      <c r="A998" s="888"/>
    </row>
    <row r="999" spans="1:1" x14ac:dyDescent="0.45">
      <c r="A999" s="888"/>
    </row>
    <row r="1000" spans="1:1" x14ac:dyDescent="0.45">
      <c r="A1000" s="888"/>
    </row>
    <row r="1001" spans="1:1" x14ac:dyDescent="0.45">
      <c r="A1001" s="888"/>
    </row>
    <row r="1002" spans="1:1" x14ac:dyDescent="0.45">
      <c r="A1002" s="888"/>
    </row>
    <row r="1003" spans="1:1" x14ac:dyDescent="0.45">
      <c r="A1003" s="888"/>
    </row>
    <row r="1004" spans="1:1" x14ac:dyDescent="0.45">
      <c r="A1004" s="888"/>
    </row>
    <row r="1005" spans="1:1" x14ac:dyDescent="0.45">
      <c r="A1005" s="888"/>
    </row>
    <row r="1006" spans="1:1" x14ac:dyDescent="0.45">
      <c r="A1006" s="888"/>
    </row>
    <row r="1007" spans="1:1" x14ac:dyDescent="0.45">
      <c r="A1007" s="888"/>
    </row>
    <row r="1008" spans="1:1" x14ac:dyDescent="0.45">
      <c r="A1008" s="888"/>
    </row>
    <row r="1009" spans="1:1" x14ac:dyDescent="0.45">
      <c r="A1009" s="888"/>
    </row>
    <row r="1010" spans="1:1" x14ac:dyDescent="0.45">
      <c r="A1010" s="888"/>
    </row>
    <row r="1011" spans="1:1" x14ac:dyDescent="0.45">
      <c r="A1011" s="888"/>
    </row>
    <row r="1012" spans="1:1" x14ac:dyDescent="0.45">
      <c r="A1012" s="888"/>
    </row>
    <row r="1013" spans="1:1" x14ac:dyDescent="0.45">
      <c r="A1013" s="888"/>
    </row>
    <row r="1014" spans="1:1" x14ac:dyDescent="0.45">
      <c r="A1014" s="888"/>
    </row>
    <row r="1015" spans="1:1" x14ac:dyDescent="0.45">
      <c r="A1015" s="888"/>
    </row>
    <row r="1016" spans="1:1" x14ac:dyDescent="0.45">
      <c r="A1016" s="888"/>
    </row>
    <row r="1017" spans="1:1" x14ac:dyDescent="0.45">
      <c r="A1017" s="888"/>
    </row>
    <row r="1018" spans="1:1" x14ac:dyDescent="0.45">
      <c r="A1018" s="888"/>
    </row>
    <row r="1019" spans="1:1" x14ac:dyDescent="0.45">
      <c r="A1019" s="888"/>
    </row>
    <row r="1020" spans="1:1" x14ac:dyDescent="0.45">
      <c r="A1020" s="888"/>
    </row>
    <row r="1021" spans="1:1" x14ac:dyDescent="0.45">
      <c r="A1021" s="888"/>
    </row>
    <row r="1022" spans="1:1" x14ac:dyDescent="0.45">
      <c r="A1022" s="888"/>
    </row>
    <row r="1023" spans="1:1" x14ac:dyDescent="0.45">
      <c r="A1023" s="888"/>
    </row>
    <row r="1024" spans="1:1" x14ac:dyDescent="0.45">
      <c r="A1024" s="888"/>
    </row>
    <row r="1025" spans="1:1" x14ac:dyDescent="0.45">
      <c r="A1025" s="888"/>
    </row>
    <row r="1026" spans="1:1" x14ac:dyDescent="0.45">
      <c r="A1026" s="888"/>
    </row>
    <row r="1027" spans="1:1" x14ac:dyDescent="0.45">
      <c r="A1027" s="888"/>
    </row>
    <row r="1028" spans="1:1" x14ac:dyDescent="0.45">
      <c r="A1028" s="888"/>
    </row>
    <row r="1029" spans="1:1" x14ac:dyDescent="0.45">
      <c r="A1029" s="888"/>
    </row>
    <row r="1030" spans="1:1" x14ac:dyDescent="0.45">
      <c r="A1030" s="888"/>
    </row>
    <row r="1031" spans="1:1" x14ac:dyDescent="0.45">
      <c r="A1031" s="888"/>
    </row>
    <row r="1032" spans="1:1" x14ac:dyDescent="0.45">
      <c r="A1032" s="888"/>
    </row>
    <row r="1033" spans="1:1" x14ac:dyDescent="0.45">
      <c r="A1033" s="888"/>
    </row>
    <row r="1034" spans="1:1" x14ac:dyDescent="0.45">
      <c r="A1034" s="888"/>
    </row>
    <row r="1035" spans="1:1" x14ac:dyDescent="0.45">
      <c r="A1035" s="888"/>
    </row>
    <row r="1036" spans="1:1" x14ac:dyDescent="0.45">
      <c r="A1036" s="888"/>
    </row>
    <row r="1037" spans="1:1" x14ac:dyDescent="0.45">
      <c r="A1037" s="888"/>
    </row>
    <row r="1038" spans="1:1" x14ac:dyDescent="0.45">
      <c r="A1038" s="888"/>
    </row>
    <row r="1039" spans="1:1" x14ac:dyDescent="0.45">
      <c r="A1039" s="888"/>
    </row>
    <row r="1040" spans="1:1" x14ac:dyDescent="0.45">
      <c r="A1040" s="888"/>
    </row>
    <row r="1041" spans="1:1" x14ac:dyDescent="0.45">
      <c r="A1041" s="888"/>
    </row>
    <row r="1042" spans="1:1" x14ac:dyDescent="0.45">
      <c r="A1042" s="888"/>
    </row>
    <row r="1043" spans="1:1" x14ac:dyDescent="0.45">
      <c r="A1043" s="888"/>
    </row>
    <row r="1044" spans="1:1" x14ac:dyDescent="0.45">
      <c r="A1044" s="888"/>
    </row>
    <row r="1045" spans="1:1" x14ac:dyDescent="0.45">
      <c r="A1045" s="888"/>
    </row>
    <row r="1046" spans="1:1" x14ac:dyDescent="0.45">
      <c r="A1046" s="888"/>
    </row>
    <row r="1047" spans="1:1" x14ac:dyDescent="0.45">
      <c r="A1047" s="888"/>
    </row>
    <row r="1048" spans="1:1" x14ac:dyDescent="0.45">
      <c r="A1048" s="888"/>
    </row>
    <row r="1049" spans="1:1" x14ac:dyDescent="0.45">
      <c r="A1049" s="888"/>
    </row>
    <row r="1050" spans="1:1" x14ac:dyDescent="0.45">
      <c r="A1050" s="888"/>
    </row>
    <row r="1051" spans="1:1" x14ac:dyDescent="0.45">
      <c r="A1051" s="888"/>
    </row>
    <row r="1052" spans="1:1" x14ac:dyDescent="0.45">
      <c r="A1052" s="888"/>
    </row>
    <row r="1053" spans="1:1" x14ac:dyDescent="0.45">
      <c r="A1053" s="888"/>
    </row>
    <row r="1054" spans="1:1" x14ac:dyDescent="0.45">
      <c r="A1054" s="888"/>
    </row>
    <row r="1055" spans="1:1" x14ac:dyDescent="0.45">
      <c r="A1055" s="888"/>
    </row>
    <row r="1056" spans="1:1" x14ac:dyDescent="0.45">
      <c r="A1056" s="888"/>
    </row>
    <row r="1057" spans="1:1" x14ac:dyDescent="0.45">
      <c r="A1057" s="888"/>
    </row>
    <row r="1058" spans="1:1" x14ac:dyDescent="0.45">
      <c r="A1058" s="888"/>
    </row>
    <row r="1059" spans="1:1" x14ac:dyDescent="0.45">
      <c r="A1059" s="888"/>
    </row>
    <row r="1060" spans="1:1" x14ac:dyDescent="0.45">
      <c r="A1060" s="888"/>
    </row>
    <row r="1061" spans="1:1" x14ac:dyDescent="0.45">
      <c r="A1061" s="888"/>
    </row>
    <row r="1062" spans="1:1" x14ac:dyDescent="0.45">
      <c r="A1062" s="888"/>
    </row>
    <row r="1063" spans="1:1" x14ac:dyDescent="0.45">
      <c r="A1063" s="888"/>
    </row>
    <row r="1064" spans="1:1" x14ac:dyDescent="0.45">
      <c r="A1064" s="888"/>
    </row>
    <row r="1065" spans="1:1" x14ac:dyDescent="0.45">
      <c r="A1065" s="888"/>
    </row>
    <row r="1066" spans="1:1" x14ac:dyDescent="0.45">
      <c r="A1066" s="888"/>
    </row>
    <row r="1067" spans="1:1" x14ac:dyDescent="0.45">
      <c r="A1067" s="888"/>
    </row>
    <row r="1068" spans="1:1" x14ac:dyDescent="0.45">
      <c r="A1068" s="888"/>
    </row>
    <row r="1069" spans="1:1" x14ac:dyDescent="0.45">
      <c r="A1069" s="888"/>
    </row>
    <row r="1070" spans="1:1" x14ac:dyDescent="0.45">
      <c r="A1070" s="888"/>
    </row>
    <row r="1071" spans="1:1" x14ac:dyDescent="0.45">
      <c r="A1071" s="888"/>
    </row>
    <row r="1072" spans="1:1" x14ac:dyDescent="0.45">
      <c r="A1072" s="888"/>
    </row>
    <row r="1073" spans="1:1" x14ac:dyDescent="0.45">
      <c r="A1073" s="888"/>
    </row>
    <row r="1074" spans="1:1" x14ac:dyDescent="0.45">
      <c r="A1074" s="888"/>
    </row>
    <row r="1075" spans="1:1" x14ac:dyDescent="0.45">
      <c r="A1075" s="888"/>
    </row>
    <row r="1076" spans="1:1" x14ac:dyDescent="0.45">
      <c r="A1076" s="888"/>
    </row>
    <row r="1077" spans="1:1" x14ac:dyDescent="0.45">
      <c r="A1077" s="888"/>
    </row>
    <row r="1078" spans="1:1" x14ac:dyDescent="0.45">
      <c r="A1078" s="888"/>
    </row>
    <row r="1079" spans="1:1" x14ac:dyDescent="0.45">
      <c r="A1079" s="888"/>
    </row>
    <row r="1080" spans="1:1" x14ac:dyDescent="0.45">
      <c r="A1080" s="888"/>
    </row>
    <row r="1081" spans="1:1" x14ac:dyDescent="0.45">
      <c r="A1081" s="888"/>
    </row>
    <row r="1082" spans="1:1" x14ac:dyDescent="0.45">
      <c r="A1082" s="888"/>
    </row>
    <row r="1083" spans="1:1" x14ac:dyDescent="0.45">
      <c r="A1083" s="888"/>
    </row>
    <row r="1084" spans="1:1" x14ac:dyDescent="0.45">
      <c r="A1084" s="888"/>
    </row>
    <row r="1085" spans="1:1" x14ac:dyDescent="0.45">
      <c r="A1085" s="888"/>
    </row>
    <row r="1086" spans="1:1" x14ac:dyDescent="0.45">
      <c r="A1086" s="888"/>
    </row>
    <row r="1087" spans="1:1" x14ac:dyDescent="0.45">
      <c r="A1087" s="888"/>
    </row>
    <row r="1088" spans="1:1" x14ac:dyDescent="0.45">
      <c r="A1088" s="888"/>
    </row>
    <row r="1089" spans="1:1" x14ac:dyDescent="0.45">
      <c r="A1089" s="888"/>
    </row>
    <row r="1090" spans="1:1" x14ac:dyDescent="0.45">
      <c r="A1090" s="888"/>
    </row>
    <row r="1091" spans="1:1" x14ac:dyDescent="0.45">
      <c r="A1091" s="888"/>
    </row>
    <row r="1092" spans="1:1" x14ac:dyDescent="0.45">
      <c r="A1092" s="888"/>
    </row>
    <row r="1093" spans="1:1" x14ac:dyDescent="0.45">
      <c r="A1093" s="888"/>
    </row>
    <row r="1094" spans="1:1" x14ac:dyDescent="0.45">
      <c r="A1094" s="888"/>
    </row>
    <row r="1095" spans="1:1" x14ac:dyDescent="0.45">
      <c r="A1095" s="888"/>
    </row>
    <row r="1096" spans="1:1" x14ac:dyDescent="0.45">
      <c r="A1096" s="888"/>
    </row>
    <row r="1097" spans="1:1" x14ac:dyDescent="0.45">
      <c r="A1097" s="888"/>
    </row>
    <row r="1098" spans="1:1" x14ac:dyDescent="0.45">
      <c r="A1098" s="888"/>
    </row>
    <row r="1099" spans="1:1" x14ac:dyDescent="0.45">
      <c r="A1099" s="888"/>
    </row>
    <row r="1100" spans="1:1" x14ac:dyDescent="0.45">
      <c r="A1100" s="888"/>
    </row>
    <row r="1101" spans="1:1" x14ac:dyDescent="0.45">
      <c r="A1101" s="888"/>
    </row>
    <row r="1102" spans="1:1" x14ac:dyDescent="0.45">
      <c r="A1102" s="888"/>
    </row>
    <row r="1103" spans="1:1" x14ac:dyDescent="0.45">
      <c r="A1103" s="888"/>
    </row>
    <row r="1104" spans="1:1" x14ac:dyDescent="0.45">
      <c r="A1104" s="888"/>
    </row>
    <row r="1105" spans="1:1" x14ac:dyDescent="0.45">
      <c r="A1105" s="888"/>
    </row>
    <row r="1106" spans="1:1" x14ac:dyDescent="0.45">
      <c r="A1106" s="888"/>
    </row>
    <row r="1107" spans="1:1" x14ac:dyDescent="0.45">
      <c r="A1107" s="888"/>
    </row>
    <row r="1108" spans="1:1" x14ac:dyDescent="0.45">
      <c r="A1108" s="888"/>
    </row>
    <row r="1109" spans="1:1" x14ac:dyDescent="0.45">
      <c r="A1109" s="888"/>
    </row>
    <row r="1110" spans="1:1" x14ac:dyDescent="0.45">
      <c r="A1110" s="888"/>
    </row>
    <row r="1111" spans="1:1" x14ac:dyDescent="0.45">
      <c r="A1111" s="888"/>
    </row>
    <row r="1112" spans="1:1" x14ac:dyDescent="0.45">
      <c r="A1112" s="888"/>
    </row>
    <row r="1113" spans="1:1" x14ac:dyDescent="0.45">
      <c r="A1113" s="888"/>
    </row>
    <row r="1114" spans="1:1" x14ac:dyDescent="0.45">
      <c r="A1114" s="888"/>
    </row>
    <row r="1115" spans="1:1" x14ac:dyDescent="0.45">
      <c r="A1115" s="888"/>
    </row>
    <row r="1116" spans="1:1" x14ac:dyDescent="0.45">
      <c r="A1116" s="888"/>
    </row>
    <row r="1117" spans="1:1" x14ac:dyDescent="0.45">
      <c r="A1117" s="888"/>
    </row>
    <row r="1118" spans="1:1" x14ac:dyDescent="0.45">
      <c r="A1118" s="888"/>
    </row>
    <row r="1119" spans="1:1" x14ac:dyDescent="0.45">
      <c r="A1119" s="888"/>
    </row>
    <row r="1120" spans="1:1" x14ac:dyDescent="0.45">
      <c r="A1120" s="888"/>
    </row>
    <row r="1121" spans="1:1" x14ac:dyDescent="0.45">
      <c r="A1121" s="888"/>
    </row>
    <row r="1122" spans="1:1" x14ac:dyDescent="0.45">
      <c r="A1122" s="888"/>
    </row>
    <row r="1123" spans="1:1" x14ac:dyDescent="0.45">
      <c r="A1123" s="888"/>
    </row>
    <row r="1124" spans="1:1" x14ac:dyDescent="0.45">
      <c r="A1124" s="888"/>
    </row>
    <row r="1125" spans="1:1" x14ac:dyDescent="0.45">
      <c r="A1125" s="888"/>
    </row>
    <row r="1126" spans="1:1" x14ac:dyDescent="0.45">
      <c r="A1126" s="888"/>
    </row>
    <row r="1127" spans="1:1" x14ac:dyDescent="0.45">
      <c r="A1127" s="888"/>
    </row>
    <row r="1128" spans="1:1" x14ac:dyDescent="0.45">
      <c r="A1128" s="888"/>
    </row>
    <row r="1129" spans="1:1" x14ac:dyDescent="0.45">
      <c r="A1129" s="888"/>
    </row>
    <row r="1130" spans="1:1" x14ac:dyDescent="0.45">
      <c r="A1130" s="888"/>
    </row>
    <row r="1131" spans="1:1" x14ac:dyDescent="0.45">
      <c r="A1131" s="888"/>
    </row>
    <row r="1132" spans="1:1" x14ac:dyDescent="0.45">
      <c r="A1132" s="888"/>
    </row>
    <row r="1133" spans="1:1" x14ac:dyDescent="0.45">
      <c r="A1133" s="888"/>
    </row>
    <row r="1134" spans="1:1" x14ac:dyDescent="0.45">
      <c r="A1134" s="888"/>
    </row>
    <row r="1135" spans="1:1" x14ac:dyDescent="0.45">
      <c r="A1135" s="888"/>
    </row>
    <row r="1136" spans="1:1" x14ac:dyDescent="0.45">
      <c r="A1136" s="888"/>
    </row>
    <row r="1137" spans="1:1" x14ac:dyDescent="0.45">
      <c r="A1137" s="888"/>
    </row>
    <row r="1138" spans="1:1" x14ac:dyDescent="0.45">
      <c r="A1138" s="888"/>
    </row>
    <row r="1139" spans="1:1" x14ac:dyDescent="0.45">
      <c r="A1139" s="888"/>
    </row>
    <row r="1140" spans="1:1" x14ac:dyDescent="0.45">
      <c r="A1140" s="888"/>
    </row>
    <row r="1141" spans="1:1" x14ac:dyDescent="0.45">
      <c r="A1141" s="888"/>
    </row>
    <row r="1142" spans="1:1" x14ac:dyDescent="0.45">
      <c r="A1142" s="888"/>
    </row>
    <row r="1143" spans="1:1" x14ac:dyDescent="0.45">
      <c r="A1143" s="888"/>
    </row>
    <row r="1144" spans="1:1" x14ac:dyDescent="0.45">
      <c r="A1144" s="888"/>
    </row>
    <row r="1145" spans="1:1" x14ac:dyDescent="0.45">
      <c r="A1145" s="888"/>
    </row>
    <row r="1146" spans="1:1" x14ac:dyDescent="0.45">
      <c r="A1146" s="888"/>
    </row>
    <row r="1147" spans="1:1" x14ac:dyDescent="0.45">
      <c r="A1147" s="888"/>
    </row>
    <row r="1148" spans="1:1" x14ac:dyDescent="0.45">
      <c r="A1148" s="888"/>
    </row>
    <row r="1149" spans="1:1" x14ac:dyDescent="0.45">
      <c r="A1149" s="888"/>
    </row>
    <row r="1150" spans="1:1" x14ac:dyDescent="0.45">
      <c r="A1150" s="888"/>
    </row>
    <row r="1151" spans="1:1" x14ac:dyDescent="0.45">
      <c r="A1151" s="888"/>
    </row>
    <row r="1152" spans="1:1" x14ac:dyDescent="0.45">
      <c r="A1152" s="888"/>
    </row>
    <row r="1153" spans="1:1" x14ac:dyDescent="0.45">
      <c r="A1153" s="888"/>
    </row>
    <row r="1154" spans="1:1" x14ac:dyDescent="0.45">
      <c r="A1154" s="888"/>
    </row>
    <row r="1155" spans="1:1" x14ac:dyDescent="0.45">
      <c r="A1155" s="888"/>
    </row>
    <row r="1156" spans="1:1" x14ac:dyDescent="0.45">
      <c r="A1156" s="888"/>
    </row>
    <row r="1157" spans="1:1" x14ac:dyDescent="0.45">
      <c r="A1157" s="888"/>
    </row>
    <row r="1158" spans="1:1" x14ac:dyDescent="0.45">
      <c r="A1158" s="888"/>
    </row>
    <row r="1159" spans="1:1" x14ac:dyDescent="0.45">
      <c r="A1159" s="888"/>
    </row>
    <row r="1160" spans="1:1" x14ac:dyDescent="0.45">
      <c r="A1160" s="888"/>
    </row>
    <row r="1161" spans="1:1" x14ac:dyDescent="0.45">
      <c r="A1161" s="888"/>
    </row>
    <row r="1162" spans="1:1" x14ac:dyDescent="0.45">
      <c r="A1162" s="888"/>
    </row>
    <row r="1163" spans="1:1" x14ac:dyDescent="0.45">
      <c r="A1163" s="888"/>
    </row>
    <row r="1164" spans="1:1" x14ac:dyDescent="0.45">
      <c r="A1164" s="888"/>
    </row>
    <row r="1165" spans="1:1" x14ac:dyDescent="0.45">
      <c r="A1165" s="888"/>
    </row>
    <row r="1166" spans="1:1" x14ac:dyDescent="0.45">
      <c r="A1166" s="888"/>
    </row>
    <row r="1167" spans="1:1" x14ac:dyDescent="0.45">
      <c r="A1167" s="888"/>
    </row>
    <row r="1168" spans="1:1" x14ac:dyDescent="0.45">
      <c r="A1168" s="888"/>
    </row>
    <row r="1169" spans="1:1" x14ac:dyDescent="0.45">
      <c r="A1169" s="888"/>
    </row>
    <row r="1170" spans="1:1" x14ac:dyDescent="0.45">
      <c r="A1170" s="888"/>
    </row>
    <row r="1171" spans="1:1" x14ac:dyDescent="0.45">
      <c r="A1171" s="888"/>
    </row>
    <row r="1172" spans="1:1" x14ac:dyDescent="0.45">
      <c r="A1172" s="888"/>
    </row>
    <row r="1173" spans="1:1" x14ac:dyDescent="0.45">
      <c r="A1173" s="888"/>
    </row>
    <row r="1174" spans="1:1" x14ac:dyDescent="0.45">
      <c r="A1174" s="888"/>
    </row>
    <row r="1175" spans="1:1" x14ac:dyDescent="0.45">
      <c r="A1175" s="888"/>
    </row>
    <row r="1176" spans="1:1" x14ac:dyDescent="0.45">
      <c r="A1176" s="888"/>
    </row>
    <row r="1177" spans="1:1" x14ac:dyDescent="0.45">
      <c r="A1177" s="888"/>
    </row>
    <row r="1178" spans="1:1" x14ac:dyDescent="0.45">
      <c r="A1178" s="888"/>
    </row>
    <row r="1179" spans="1:1" x14ac:dyDescent="0.45">
      <c r="A1179" s="888"/>
    </row>
    <row r="1180" spans="1:1" x14ac:dyDescent="0.45">
      <c r="A1180" s="888"/>
    </row>
    <row r="1181" spans="1:1" x14ac:dyDescent="0.45">
      <c r="A1181" s="888"/>
    </row>
    <row r="1182" spans="1:1" x14ac:dyDescent="0.45">
      <c r="A1182" s="888"/>
    </row>
    <row r="1183" spans="1:1" x14ac:dyDescent="0.45">
      <c r="A1183" s="888"/>
    </row>
    <row r="1184" spans="1:1" x14ac:dyDescent="0.45">
      <c r="A1184" s="888"/>
    </row>
    <row r="1185" spans="1:1" x14ac:dyDescent="0.45">
      <c r="A1185" s="888"/>
    </row>
    <row r="1186" spans="1:1" x14ac:dyDescent="0.45">
      <c r="A1186" s="888"/>
    </row>
    <row r="1187" spans="1:1" x14ac:dyDescent="0.45">
      <c r="A1187" s="888"/>
    </row>
    <row r="1188" spans="1:1" x14ac:dyDescent="0.45">
      <c r="A1188" s="888"/>
    </row>
    <row r="1189" spans="1:1" x14ac:dyDescent="0.45">
      <c r="A1189" s="888"/>
    </row>
    <row r="1190" spans="1:1" x14ac:dyDescent="0.45">
      <c r="A1190" s="888"/>
    </row>
    <row r="1191" spans="1:1" x14ac:dyDescent="0.45">
      <c r="A1191" s="888"/>
    </row>
    <row r="1192" spans="1:1" x14ac:dyDescent="0.45">
      <c r="A1192" s="888"/>
    </row>
    <row r="1193" spans="1:1" x14ac:dyDescent="0.45">
      <c r="A1193" s="888"/>
    </row>
    <row r="1194" spans="1:1" x14ac:dyDescent="0.45">
      <c r="A1194" s="888"/>
    </row>
    <row r="1195" spans="1:1" x14ac:dyDescent="0.45">
      <c r="A1195" s="888"/>
    </row>
    <row r="1196" spans="1:1" x14ac:dyDescent="0.45">
      <c r="A1196" s="888"/>
    </row>
    <row r="1197" spans="1:1" x14ac:dyDescent="0.45">
      <c r="A1197" s="888"/>
    </row>
    <row r="1198" spans="1:1" x14ac:dyDescent="0.45">
      <c r="A1198" s="888"/>
    </row>
    <row r="1199" spans="1:1" x14ac:dyDescent="0.45">
      <c r="A1199" s="888"/>
    </row>
    <row r="1200" spans="1:1" x14ac:dyDescent="0.45">
      <c r="A1200" s="888"/>
    </row>
    <row r="1201" spans="1:1" x14ac:dyDescent="0.45">
      <c r="A1201" s="888"/>
    </row>
    <row r="1202" spans="1:1" x14ac:dyDescent="0.45">
      <c r="A1202" s="888"/>
    </row>
    <row r="1203" spans="1:1" x14ac:dyDescent="0.45">
      <c r="A1203" s="888"/>
    </row>
    <row r="1204" spans="1:1" x14ac:dyDescent="0.45">
      <c r="A1204" s="888"/>
    </row>
    <row r="1205" spans="1:1" x14ac:dyDescent="0.45">
      <c r="A1205" s="888"/>
    </row>
    <row r="1206" spans="1:1" x14ac:dyDescent="0.45">
      <c r="A1206" s="888"/>
    </row>
    <row r="1207" spans="1:1" x14ac:dyDescent="0.45">
      <c r="A1207" s="888"/>
    </row>
    <row r="1208" spans="1:1" x14ac:dyDescent="0.45">
      <c r="A1208" s="888"/>
    </row>
    <row r="1209" spans="1:1" x14ac:dyDescent="0.45">
      <c r="A1209" s="888"/>
    </row>
    <row r="1210" spans="1:1" x14ac:dyDescent="0.45">
      <c r="A1210" s="888"/>
    </row>
    <row r="1211" spans="1:1" x14ac:dyDescent="0.45">
      <c r="A1211" s="888"/>
    </row>
    <row r="1212" spans="1:1" x14ac:dyDescent="0.45">
      <c r="A1212" s="888"/>
    </row>
    <row r="1213" spans="1:1" x14ac:dyDescent="0.45">
      <c r="A1213" s="888"/>
    </row>
    <row r="1214" spans="1:1" x14ac:dyDescent="0.45">
      <c r="A1214" s="888"/>
    </row>
    <row r="1215" spans="1:1" x14ac:dyDescent="0.45">
      <c r="A1215" s="888"/>
    </row>
    <row r="1216" spans="1:1" x14ac:dyDescent="0.45">
      <c r="A1216" s="888"/>
    </row>
    <row r="1217" spans="1:1" x14ac:dyDescent="0.45">
      <c r="A1217" s="888"/>
    </row>
    <row r="1218" spans="1:1" x14ac:dyDescent="0.45">
      <c r="A1218" s="888"/>
    </row>
    <row r="1219" spans="1:1" x14ac:dyDescent="0.45">
      <c r="A1219" s="888"/>
    </row>
    <row r="1220" spans="1:1" x14ac:dyDescent="0.45">
      <c r="A1220" s="888"/>
    </row>
    <row r="1221" spans="1:1" x14ac:dyDescent="0.45">
      <c r="A1221" s="888"/>
    </row>
    <row r="1222" spans="1:1" x14ac:dyDescent="0.45">
      <c r="A1222" s="888"/>
    </row>
    <row r="1223" spans="1:1" x14ac:dyDescent="0.45">
      <c r="A1223" s="888"/>
    </row>
    <row r="1224" spans="1:1" x14ac:dyDescent="0.45">
      <c r="A1224" s="888"/>
    </row>
    <row r="1225" spans="1:1" x14ac:dyDescent="0.45">
      <c r="A1225" s="888"/>
    </row>
    <row r="1226" spans="1:1" x14ac:dyDescent="0.45">
      <c r="A1226" s="888"/>
    </row>
    <row r="1227" spans="1:1" x14ac:dyDescent="0.45">
      <c r="A1227" s="888"/>
    </row>
    <row r="1228" spans="1:1" x14ac:dyDescent="0.45">
      <c r="A1228" s="888"/>
    </row>
    <row r="1229" spans="1:1" x14ac:dyDescent="0.45">
      <c r="A1229" s="888"/>
    </row>
    <row r="1230" spans="1:1" x14ac:dyDescent="0.45">
      <c r="A1230" s="888"/>
    </row>
    <row r="1231" spans="1:1" x14ac:dyDescent="0.45">
      <c r="A1231" s="888"/>
    </row>
    <row r="1232" spans="1:1" x14ac:dyDescent="0.45">
      <c r="A1232" s="888"/>
    </row>
    <row r="1233" spans="1:1" x14ac:dyDescent="0.45">
      <c r="A1233" s="888"/>
    </row>
    <row r="1234" spans="1:1" x14ac:dyDescent="0.45">
      <c r="A1234" s="888"/>
    </row>
    <row r="1235" spans="1:1" x14ac:dyDescent="0.45">
      <c r="A1235" s="888"/>
    </row>
    <row r="1236" spans="1:1" x14ac:dyDescent="0.45">
      <c r="A1236" s="888"/>
    </row>
    <row r="1237" spans="1:1" x14ac:dyDescent="0.45">
      <c r="A1237" s="888"/>
    </row>
    <row r="1238" spans="1:1" x14ac:dyDescent="0.45">
      <c r="A1238" s="888"/>
    </row>
    <row r="1239" spans="1:1" x14ac:dyDescent="0.45">
      <c r="A1239" s="888"/>
    </row>
    <row r="1240" spans="1:1" x14ac:dyDescent="0.45">
      <c r="A1240" s="888"/>
    </row>
    <row r="1241" spans="1:1" x14ac:dyDescent="0.45">
      <c r="A1241" s="888"/>
    </row>
    <row r="1242" spans="1:1" x14ac:dyDescent="0.45">
      <c r="A1242" s="888"/>
    </row>
    <row r="1243" spans="1:1" x14ac:dyDescent="0.45">
      <c r="A1243" s="888"/>
    </row>
    <row r="1244" spans="1:1" x14ac:dyDescent="0.45">
      <c r="A1244" s="888"/>
    </row>
    <row r="1245" spans="1:1" x14ac:dyDescent="0.45">
      <c r="A1245" s="888"/>
    </row>
    <row r="1246" spans="1:1" x14ac:dyDescent="0.45">
      <c r="A1246" s="888"/>
    </row>
    <row r="1247" spans="1:1" x14ac:dyDescent="0.45">
      <c r="A1247" s="888"/>
    </row>
    <row r="1248" spans="1:1" x14ac:dyDescent="0.45">
      <c r="A1248" s="888"/>
    </row>
    <row r="1249" spans="1:1" x14ac:dyDescent="0.45">
      <c r="A1249" s="888"/>
    </row>
    <row r="1250" spans="1:1" x14ac:dyDescent="0.45">
      <c r="A1250" s="888"/>
    </row>
    <row r="1251" spans="1:1" x14ac:dyDescent="0.45">
      <c r="A1251" s="888"/>
    </row>
    <row r="1252" spans="1:1" x14ac:dyDescent="0.45">
      <c r="A1252" s="888"/>
    </row>
    <row r="1253" spans="1:1" x14ac:dyDescent="0.45">
      <c r="A1253" s="888"/>
    </row>
    <row r="1254" spans="1:1" x14ac:dyDescent="0.45">
      <c r="A1254" s="888"/>
    </row>
    <row r="1255" spans="1:1" x14ac:dyDescent="0.45">
      <c r="A1255" s="888"/>
    </row>
    <row r="1256" spans="1:1" x14ac:dyDescent="0.45">
      <c r="A1256" s="888"/>
    </row>
    <row r="1257" spans="1:1" x14ac:dyDescent="0.45">
      <c r="A1257" s="888"/>
    </row>
    <row r="1258" spans="1:1" x14ac:dyDescent="0.45">
      <c r="A1258" s="888"/>
    </row>
    <row r="1259" spans="1:1" x14ac:dyDescent="0.45">
      <c r="A1259" s="888"/>
    </row>
    <row r="1260" spans="1:1" x14ac:dyDescent="0.45">
      <c r="A1260" s="888"/>
    </row>
    <row r="1261" spans="1:1" x14ac:dyDescent="0.45">
      <c r="A1261" s="888"/>
    </row>
    <row r="1262" spans="1:1" x14ac:dyDescent="0.45">
      <c r="A1262" s="888"/>
    </row>
    <row r="1263" spans="1:1" x14ac:dyDescent="0.45">
      <c r="A1263" s="888"/>
    </row>
    <row r="1264" spans="1:1" x14ac:dyDescent="0.45">
      <c r="A1264" s="888"/>
    </row>
    <row r="1265" spans="1:1" x14ac:dyDescent="0.45">
      <c r="A1265" s="888"/>
    </row>
    <row r="1266" spans="1:1" x14ac:dyDescent="0.45">
      <c r="A1266" s="888"/>
    </row>
    <row r="1267" spans="1:1" x14ac:dyDescent="0.45">
      <c r="A1267" s="888"/>
    </row>
    <row r="1268" spans="1:1" x14ac:dyDescent="0.45">
      <c r="A1268" s="888"/>
    </row>
    <row r="1269" spans="1:1" x14ac:dyDescent="0.45">
      <c r="A1269" s="888"/>
    </row>
    <row r="1270" spans="1:1" x14ac:dyDescent="0.45">
      <c r="A1270" s="888"/>
    </row>
    <row r="1271" spans="1:1" x14ac:dyDescent="0.45">
      <c r="A1271" s="888"/>
    </row>
    <row r="1272" spans="1:1" x14ac:dyDescent="0.45">
      <c r="A1272" s="888"/>
    </row>
    <row r="1273" spans="1:1" x14ac:dyDescent="0.45">
      <c r="A1273" s="888"/>
    </row>
    <row r="1274" spans="1:1" x14ac:dyDescent="0.45">
      <c r="A1274" s="888"/>
    </row>
    <row r="1275" spans="1:1" x14ac:dyDescent="0.45">
      <c r="A1275" s="888"/>
    </row>
    <row r="1276" spans="1:1" x14ac:dyDescent="0.45">
      <c r="A1276" s="888"/>
    </row>
    <row r="1277" spans="1:1" x14ac:dyDescent="0.45">
      <c r="A1277" s="888"/>
    </row>
    <row r="1278" spans="1:1" x14ac:dyDescent="0.45">
      <c r="A1278" s="888"/>
    </row>
    <row r="1279" spans="1:1" x14ac:dyDescent="0.45">
      <c r="A1279" s="888"/>
    </row>
    <row r="1280" spans="1:1" x14ac:dyDescent="0.45">
      <c r="A1280" s="888"/>
    </row>
    <row r="1281" spans="1:1" x14ac:dyDescent="0.45">
      <c r="A1281" s="888"/>
    </row>
    <row r="1282" spans="1:1" x14ac:dyDescent="0.45">
      <c r="A1282" s="888"/>
    </row>
    <row r="1283" spans="1:1" x14ac:dyDescent="0.45">
      <c r="A1283" s="888"/>
    </row>
    <row r="1284" spans="1:1" x14ac:dyDescent="0.45">
      <c r="A1284" s="888"/>
    </row>
    <row r="1285" spans="1:1" x14ac:dyDescent="0.45">
      <c r="A1285" s="888"/>
    </row>
    <row r="1286" spans="1:1" x14ac:dyDescent="0.45">
      <c r="A1286" s="888"/>
    </row>
    <row r="1287" spans="1:1" x14ac:dyDescent="0.45">
      <c r="A1287" s="888"/>
    </row>
    <row r="1288" spans="1:1" x14ac:dyDescent="0.45">
      <c r="A1288" s="888"/>
    </row>
    <row r="1289" spans="1:1" x14ac:dyDescent="0.45">
      <c r="A1289" s="888"/>
    </row>
    <row r="1290" spans="1:1" x14ac:dyDescent="0.45">
      <c r="A1290" s="888"/>
    </row>
    <row r="1291" spans="1:1" x14ac:dyDescent="0.45">
      <c r="A1291" s="888"/>
    </row>
    <row r="1292" spans="1:1" x14ac:dyDescent="0.45">
      <c r="A1292" s="888"/>
    </row>
    <row r="1293" spans="1:1" x14ac:dyDescent="0.45">
      <c r="A1293" s="888"/>
    </row>
    <row r="1294" spans="1:1" x14ac:dyDescent="0.45">
      <c r="A1294" s="888"/>
    </row>
    <row r="1295" spans="1:1" x14ac:dyDescent="0.45">
      <c r="A1295" s="888"/>
    </row>
    <row r="1296" spans="1:1" x14ac:dyDescent="0.45">
      <c r="A1296" s="888"/>
    </row>
    <row r="1297" spans="1:1" x14ac:dyDescent="0.45">
      <c r="A1297" s="888"/>
    </row>
    <row r="1298" spans="1:1" x14ac:dyDescent="0.45">
      <c r="A1298" s="888"/>
    </row>
    <row r="1299" spans="1:1" x14ac:dyDescent="0.45">
      <c r="A1299" s="888"/>
    </row>
    <row r="1300" spans="1:1" x14ac:dyDescent="0.45">
      <c r="A1300" s="888"/>
    </row>
    <row r="1301" spans="1:1" x14ac:dyDescent="0.45">
      <c r="A1301" s="888"/>
    </row>
    <row r="1302" spans="1:1" x14ac:dyDescent="0.45">
      <c r="A1302" s="888"/>
    </row>
    <row r="1303" spans="1:1" x14ac:dyDescent="0.45">
      <c r="A1303" s="888"/>
    </row>
    <row r="1304" spans="1:1" x14ac:dyDescent="0.45">
      <c r="A1304" s="888"/>
    </row>
    <row r="1305" spans="1:1" x14ac:dyDescent="0.45">
      <c r="A1305" s="888"/>
    </row>
    <row r="1306" spans="1:1" x14ac:dyDescent="0.45">
      <c r="A1306" s="888"/>
    </row>
    <row r="1307" spans="1:1" x14ac:dyDescent="0.45">
      <c r="A1307" s="888"/>
    </row>
    <row r="1308" spans="1:1" x14ac:dyDescent="0.45">
      <c r="A1308" s="888"/>
    </row>
    <row r="1309" spans="1:1" x14ac:dyDescent="0.45">
      <c r="A1309" s="888"/>
    </row>
    <row r="1310" spans="1:1" x14ac:dyDescent="0.45">
      <c r="A1310" s="888"/>
    </row>
    <row r="1311" spans="1:1" x14ac:dyDescent="0.45">
      <c r="A1311" s="888"/>
    </row>
    <row r="1312" spans="1:1" x14ac:dyDescent="0.45">
      <c r="A1312" s="888"/>
    </row>
    <row r="1313" spans="1:1" x14ac:dyDescent="0.45">
      <c r="A1313" s="888"/>
    </row>
    <row r="1314" spans="1:1" x14ac:dyDescent="0.45">
      <c r="A1314" s="888"/>
    </row>
    <row r="1315" spans="1:1" x14ac:dyDescent="0.45">
      <c r="A1315" s="888"/>
    </row>
    <row r="1316" spans="1:1" x14ac:dyDescent="0.45">
      <c r="A1316" s="888"/>
    </row>
    <row r="1317" spans="1:1" x14ac:dyDescent="0.45">
      <c r="A1317" s="888"/>
    </row>
    <row r="1318" spans="1:1" x14ac:dyDescent="0.45">
      <c r="A1318" s="888"/>
    </row>
    <row r="1319" spans="1:1" x14ac:dyDescent="0.45">
      <c r="A1319" s="888"/>
    </row>
    <row r="1320" spans="1:1" x14ac:dyDescent="0.45">
      <c r="A1320" s="888"/>
    </row>
    <row r="1321" spans="1:1" x14ac:dyDescent="0.45">
      <c r="A1321" s="888"/>
    </row>
    <row r="1322" spans="1:1" x14ac:dyDescent="0.45">
      <c r="A1322" s="888"/>
    </row>
    <row r="1323" spans="1:1" x14ac:dyDescent="0.45">
      <c r="A1323" s="888"/>
    </row>
    <row r="1324" spans="1:1" x14ac:dyDescent="0.45">
      <c r="A1324" s="888"/>
    </row>
    <row r="1325" spans="1:1" x14ac:dyDescent="0.45">
      <c r="A1325" s="888"/>
    </row>
    <row r="1326" spans="1:1" x14ac:dyDescent="0.45">
      <c r="A1326" s="888"/>
    </row>
    <row r="1327" spans="1:1" x14ac:dyDescent="0.45">
      <c r="A1327" s="888"/>
    </row>
    <row r="1328" spans="1:1" x14ac:dyDescent="0.45">
      <c r="A1328" s="888"/>
    </row>
    <row r="1329" spans="1:1" x14ac:dyDescent="0.45">
      <c r="A1329" s="888"/>
    </row>
    <row r="1330" spans="1:1" x14ac:dyDescent="0.45">
      <c r="A1330" s="888"/>
    </row>
    <row r="1331" spans="1:1" x14ac:dyDescent="0.45">
      <c r="A1331" s="888"/>
    </row>
    <row r="1332" spans="1:1" x14ac:dyDescent="0.45">
      <c r="A1332" s="888"/>
    </row>
    <row r="1333" spans="1:1" x14ac:dyDescent="0.45">
      <c r="A1333" s="888"/>
    </row>
    <row r="1334" spans="1:1" x14ac:dyDescent="0.45">
      <c r="A1334" s="888"/>
    </row>
    <row r="1335" spans="1:1" x14ac:dyDescent="0.45">
      <c r="A1335" s="888"/>
    </row>
    <row r="1336" spans="1:1" x14ac:dyDescent="0.45">
      <c r="A1336" s="888"/>
    </row>
    <row r="1337" spans="1:1" x14ac:dyDescent="0.45">
      <c r="A1337" s="888"/>
    </row>
    <row r="1338" spans="1:1" x14ac:dyDescent="0.45">
      <c r="A1338" s="888"/>
    </row>
    <row r="1339" spans="1:1" x14ac:dyDescent="0.45">
      <c r="A1339" s="888"/>
    </row>
    <row r="1340" spans="1:1" x14ac:dyDescent="0.45">
      <c r="A1340" s="888"/>
    </row>
    <row r="1341" spans="1:1" x14ac:dyDescent="0.45">
      <c r="A1341" s="888"/>
    </row>
    <row r="1342" spans="1:1" x14ac:dyDescent="0.45">
      <c r="A1342" s="888"/>
    </row>
    <row r="1343" spans="1:1" x14ac:dyDescent="0.45">
      <c r="A1343" s="888"/>
    </row>
    <row r="1344" spans="1:1" x14ac:dyDescent="0.45">
      <c r="A1344" s="888"/>
    </row>
    <row r="1345" spans="1:1" x14ac:dyDescent="0.45">
      <c r="A1345" s="888"/>
    </row>
    <row r="1346" spans="1:1" x14ac:dyDescent="0.45">
      <c r="A1346" s="888"/>
    </row>
    <row r="1347" spans="1:1" x14ac:dyDescent="0.45">
      <c r="A1347" s="888"/>
    </row>
    <row r="1348" spans="1:1" x14ac:dyDescent="0.45">
      <c r="A1348" s="888"/>
    </row>
    <row r="1349" spans="1:1" x14ac:dyDescent="0.45">
      <c r="A1349" s="888"/>
    </row>
    <row r="1350" spans="1:1" x14ac:dyDescent="0.45">
      <c r="A1350" s="888"/>
    </row>
    <row r="1351" spans="1:1" x14ac:dyDescent="0.45">
      <c r="A1351" s="888"/>
    </row>
    <row r="1352" spans="1:1" x14ac:dyDescent="0.45">
      <c r="A1352" s="888"/>
    </row>
    <row r="1353" spans="1:1" x14ac:dyDescent="0.45">
      <c r="A1353" s="888"/>
    </row>
    <row r="1354" spans="1:1" x14ac:dyDescent="0.45">
      <c r="A1354" s="888"/>
    </row>
    <row r="1355" spans="1:1" x14ac:dyDescent="0.45">
      <c r="A1355" s="888"/>
    </row>
    <row r="1356" spans="1:1" x14ac:dyDescent="0.45">
      <c r="A1356" s="888"/>
    </row>
    <row r="1357" spans="1:1" x14ac:dyDescent="0.45">
      <c r="A1357" s="888"/>
    </row>
    <row r="1358" spans="1:1" x14ac:dyDescent="0.45">
      <c r="A1358" s="888"/>
    </row>
    <row r="1359" spans="1:1" x14ac:dyDescent="0.45">
      <c r="A1359" s="888"/>
    </row>
    <row r="1360" spans="1:1" x14ac:dyDescent="0.45">
      <c r="A1360" s="888"/>
    </row>
    <row r="1361" spans="1:1" x14ac:dyDescent="0.45">
      <c r="A1361" s="888"/>
    </row>
    <row r="1362" spans="1:1" x14ac:dyDescent="0.45">
      <c r="A1362" s="888"/>
    </row>
    <row r="1363" spans="1:1" x14ac:dyDescent="0.45">
      <c r="A1363" s="888"/>
    </row>
    <row r="1364" spans="1:1" x14ac:dyDescent="0.45">
      <c r="A1364" s="888"/>
    </row>
    <row r="1365" spans="1:1" x14ac:dyDescent="0.45">
      <c r="A1365" s="888"/>
    </row>
    <row r="1366" spans="1:1" x14ac:dyDescent="0.45">
      <c r="A1366" s="888"/>
    </row>
    <row r="1367" spans="1:1" x14ac:dyDescent="0.45">
      <c r="A1367" s="888"/>
    </row>
    <row r="1368" spans="1:1" x14ac:dyDescent="0.45">
      <c r="A1368" s="888"/>
    </row>
    <row r="1369" spans="1:1" x14ac:dyDescent="0.45">
      <c r="A1369" s="888"/>
    </row>
    <row r="1370" spans="1:1" x14ac:dyDescent="0.45">
      <c r="A1370" s="888"/>
    </row>
    <row r="1371" spans="1:1" x14ac:dyDescent="0.45">
      <c r="A1371" s="888"/>
    </row>
    <row r="1372" spans="1:1" x14ac:dyDescent="0.45">
      <c r="A1372" s="888"/>
    </row>
    <row r="1373" spans="1:1" x14ac:dyDescent="0.45">
      <c r="A1373" s="888"/>
    </row>
    <row r="1374" spans="1:1" x14ac:dyDescent="0.45">
      <c r="A1374" s="888"/>
    </row>
    <row r="1375" spans="1:1" x14ac:dyDescent="0.45">
      <c r="A1375" s="888"/>
    </row>
    <row r="1376" spans="1:1" x14ac:dyDescent="0.45">
      <c r="A1376" s="888"/>
    </row>
    <row r="1377" spans="1:1" x14ac:dyDescent="0.45">
      <c r="A1377" s="888"/>
    </row>
    <row r="1378" spans="1:1" x14ac:dyDescent="0.45">
      <c r="A1378" s="888"/>
    </row>
    <row r="1379" spans="1:1" x14ac:dyDescent="0.45">
      <c r="A1379" s="888"/>
    </row>
    <row r="1380" spans="1:1" x14ac:dyDescent="0.45">
      <c r="A1380" s="888"/>
    </row>
    <row r="1381" spans="1:1" x14ac:dyDescent="0.45">
      <c r="A1381" s="888"/>
    </row>
    <row r="1382" spans="1:1" x14ac:dyDescent="0.45">
      <c r="A1382" s="888"/>
    </row>
    <row r="1383" spans="1:1" x14ac:dyDescent="0.45">
      <c r="A1383" s="888"/>
    </row>
    <row r="1384" spans="1:1" x14ac:dyDescent="0.45">
      <c r="A1384" s="888"/>
    </row>
    <row r="1385" spans="1:1" x14ac:dyDescent="0.45">
      <c r="A1385" s="888"/>
    </row>
    <row r="1386" spans="1:1" x14ac:dyDescent="0.45">
      <c r="A1386" s="888"/>
    </row>
    <row r="1387" spans="1:1" x14ac:dyDescent="0.45">
      <c r="A1387" s="888"/>
    </row>
    <row r="1388" spans="1:1" x14ac:dyDescent="0.45">
      <c r="A1388" s="888"/>
    </row>
    <row r="1389" spans="1:1" x14ac:dyDescent="0.45">
      <c r="A1389" s="888"/>
    </row>
    <row r="1390" spans="1:1" x14ac:dyDescent="0.45">
      <c r="A1390" s="888"/>
    </row>
    <row r="1391" spans="1:1" x14ac:dyDescent="0.45">
      <c r="A1391" s="888"/>
    </row>
    <row r="1392" spans="1:1" x14ac:dyDescent="0.45">
      <c r="A1392" s="888"/>
    </row>
    <row r="1393" spans="1:1" x14ac:dyDescent="0.45">
      <c r="A1393" s="888"/>
    </row>
    <row r="1394" spans="1:1" x14ac:dyDescent="0.45">
      <c r="A1394" s="888"/>
    </row>
    <row r="1395" spans="1:1" x14ac:dyDescent="0.45">
      <c r="A1395" s="888"/>
    </row>
    <row r="1396" spans="1:1" x14ac:dyDescent="0.45">
      <c r="A1396" s="888"/>
    </row>
    <row r="1397" spans="1:1" x14ac:dyDescent="0.45">
      <c r="A1397" s="888"/>
    </row>
    <row r="1398" spans="1:1" x14ac:dyDescent="0.45">
      <c r="A1398" s="888"/>
    </row>
    <row r="1399" spans="1:1" x14ac:dyDescent="0.45">
      <c r="A1399" s="888"/>
    </row>
    <row r="1400" spans="1:1" x14ac:dyDescent="0.45">
      <c r="A1400" s="888"/>
    </row>
    <row r="1401" spans="1:1" x14ac:dyDescent="0.45">
      <c r="A1401" s="888"/>
    </row>
    <row r="1402" spans="1:1" x14ac:dyDescent="0.45">
      <c r="A1402" s="888"/>
    </row>
    <row r="1403" spans="1:1" x14ac:dyDescent="0.45">
      <c r="A1403" s="888"/>
    </row>
    <row r="1404" spans="1:1" x14ac:dyDescent="0.45">
      <c r="A1404" s="888"/>
    </row>
    <row r="1405" spans="1:1" x14ac:dyDescent="0.45">
      <c r="A1405" s="888"/>
    </row>
    <row r="1406" spans="1:1" x14ac:dyDescent="0.45">
      <c r="A1406" s="888"/>
    </row>
    <row r="1407" spans="1:1" x14ac:dyDescent="0.45">
      <c r="A1407" s="888"/>
    </row>
    <row r="1408" spans="1:1" x14ac:dyDescent="0.45">
      <c r="A1408" s="888"/>
    </row>
    <row r="1409" spans="1:1" x14ac:dyDescent="0.45">
      <c r="A1409" s="888"/>
    </row>
    <row r="1410" spans="1:1" x14ac:dyDescent="0.45">
      <c r="A1410" s="888"/>
    </row>
    <row r="1411" spans="1:1" x14ac:dyDescent="0.45">
      <c r="A1411" s="888"/>
    </row>
    <row r="1412" spans="1:1" x14ac:dyDescent="0.45">
      <c r="A1412" s="888"/>
    </row>
    <row r="1413" spans="1:1" x14ac:dyDescent="0.45">
      <c r="A1413" s="888"/>
    </row>
    <row r="1414" spans="1:1" x14ac:dyDescent="0.45">
      <c r="A1414" s="888"/>
    </row>
    <row r="1415" spans="1:1" x14ac:dyDescent="0.45">
      <c r="A1415" s="888"/>
    </row>
    <row r="1416" spans="1:1" x14ac:dyDescent="0.45">
      <c r="A1416" s="888"/>
    </row>
    <row r="1417" spans="1:1" x14ac:dyDescent="0.45">
      <c r="A1417" s="888"/>
    </row>
    <row r="1418" spans="1:1" x14ac:dyDescent="0.45">
      <c r="A1418" s="888"/>
    </row>
    <row r="1419" spans="1:1" x14ac:dyDescent="0.45">
      <c r="A1419" s="888"/>
    </row>
    <row r="1420" spans="1:1" x14ac:dyDescent="0.45">
      <c r="A1420" s="888"/>
    </row>
    <row r="1421" spans="1:1" x14ac:dyDescent="0.45">
      <c r="A1421" s="888"/>
    </row>
    <row r="1422" spans="1:1" x14ac:dyDescent="0.45">
      <c r="A1422" s="888"/>
    </row>
    <row r="1423" spans="1:1" x14ac:dyDescent="0.45">
      <c r="A1423" s="888"/>
    </row>
    <row r="1424" spans="1:1" x14ac:dyDescent="0.45">
      <c r="A1424" s="888"/>
    </row>
    <row r="1425" spans="1:1" x14ac:dyDescent="0.45">
      <c r="A1425" s="888"/>
    </row>
    <row r="1426" spans="1:1" x14ac:dyDescent="0.45">
      <c r="A1426" s="888"/>
    </row>
    <row r="1427" spans="1:1" x14ac:dyDescent="0.45">
      <c r="A1427" s="888"/>
    </row>
    <row r="1428" spans="1:1" x14ac:dyDescent="0.45">
      <c r="A1428" s="888"/>
    </row>
    <row r="1429" spans="1:1" x14ac:dyDescent="0.45">
      <c r="A1429" s="888"/>
    </row>
    <row r="1430" spans="1:1" x14ac:dyDescent="0.45">
      <c r="A1430" s="888"/>
    </row>
    <row r="1431" spans="1:1" x14ac:dyDescent="0.45">
      <c r="A1431" s="888"/>
    </row>
    <row r="1432" spans="1:1" x14ac:dyDescent="0.45">
      <c r="A1432" s="888"/>
    </row>
    <row r="1433" spans="1:1" x14ac:dyDescent="0.45">
      <c r="A1433" s="888"/>
    </row>
    <row r="1434" spans="1:1" x14ac:dyDescent="0.45">
      <c r="A1434" s="888"/>
    </row>
    <row r="1435" spans="1:1" x14ac:dyDescent="0.45">
      <c r="A1435" s="888"/>
    </row>
    <row r="1436" spans="1:1" x14ac:dyDescent="0.45">
      <c r="A1436" s="888"/>
    </row>
    <row r="1437" spans="1:1" x14ac:dyDescent="0.45">
      <c r="A1437" s="888"/>
    </row>
    <row r="1438" spans="1:1" x14ac:dyDescent="0.45">
      <c r="A1438" s="888"/>
    </row>
    <row r="1439" spans="1:1" x14ac:dyDescent="0.45">
      <c r="A1439" s="888"/>
    </row>
    <row r="1440" spans="1:1" x14ac:dyDescent="0.45">
      <c r="A1440" s="888"/>
    </row>
    <row r="1441" spans="1:1" x14ac:dyDescent="0.45">
      <c r="A1441" s="888"/>
    </row>
    <row r="1442" spans="1:1" x14ac:dyDescent="0.45">
      <c r="A1442" s="888"/>
    </row>
    <row r="1443" spans="1:1" x14ac:dyDescent="0.45">
      <c r="A1443" s="888"/>
    </row>
    <row r="1444" spans="1:1" x14ac:dyDescent="0.45">
      <c r="A1444" s="888"/>
    </row>
    <row r="1445" spans="1:1" x14ac:dyDescent="0.45">
      <c r="A1445" s="888"/>
    </row>
    <row r="1446" spans="1:1" x14ac:dyDescent="0.45">
      <c r="A1446" s="888"/>
    </row>
    <row r="1447" spans="1:1" x14ac:dyDescent="0.45">
      <c r="A1447" s="888"/>
    </row>
    <row r="1448" spans="1:1" x14ac:dyDescent="0.45">
      <c r="A1448" s="888"/>
    </row>
    <row r="1449" spans="1:1" x14ac:dyDescent="0.45">
      <c r="A1449" s="888"/>
    </row>
    <row r="1450" spans="1:1" x14ac:dyDescent="0.45">
      <c r="A1450" s="888"/>
    </row>
    <row r="1451" spans="1:1" x14ac:dyDescent="0.45">
      <c r="A1451" s="888"/>
    </row>
    <row r="1452" spans="1:1" x14ac:dyDescent="0.45">
      <c r="A1452" s="888"/>
    </row>
    <row r="1453" spans="1:1" x14ac:dyDescent="0.45">
      <c r="A1453" s="888"/>
    </row>
    <row r="1454" spans="1:1" x14ac:dyDescent="0.45">
      <c r="A1454" s="888"/>
    </row>
    <row r="1455" spans="1:1" x14ac:dyDescent="0.45">
      <c r="A1455" s="888"/>
    </row>
    <row r="1456" spans="1:1" x14ac:dyDescent="0.45">
      <c r="A1456" s="888"/>
    </row>
    <row r="1457" spans="1:1" x14ac:dyDescent="0.45">
      <c r="A1457" s="888"/>
    </row>
    <row r="1458" spans="1:1" x14ac:dyDescent="0.45">
      <c r="A1458" s="888"/>
    </row>
    <row r="1459" spans="1:1" x14ac:dyDescent="0.45">
      <c r="A1459" s="888"/>
    </row>
    <row r="1460" spans="1:1" x14ac:dyDescent="0.45">
      <c r="A1460" s="888"/>
    </row>
    <row r="1461" spans="1:1" x14ac:dyDescent="0.45">
      <c r="A1461" s="888"/>
    </row>
    <row r="1462" spans="1:1" x14ac:dyDescent="0.45">
      <c r="A1462" s="888"/>
    </row>
    <row r="1463" spans="1:1" x14ac:dyDescent="0.45">
      <c r="A1463" s="888"/>
    </row>
    <row r="1464" spans="1:1" x14ac:dyDescent="0.45">
      <c r="A1464" s="888"/>
    </row>
    <row r="1465" spans="1:1" x14ac:dyDescent="0.45">
      <c r="A1465" s="888"/>
    </row>
    <row r="1466" spans="1:1" x14ac:dyDescent="0.45">
      <c r="A1466" s="888"/>
    </row>
    <row r="1467" spans="1:1" x14ac:dyDescent="0.45">
      <c r="A1467" s="888"/>
    </row>
    <row r="1468" spans="1:1" x14ac:dyDescent="0.45">
      <c r="A1468" s="888"/>
    </row>
    <row r="1469" spans="1:1" x14ac:dyDescent="0.45">
      <c r="A1469" s="888"/>
    </row>
    <row r="1470" spans="1:1" x14ac:dyDescent="0.45">
      <c r="A1470" s="888"/>
    </row>
    <row r="1471" spans="1:1" x14ac:dyDescent="0.45">
      <c r="A1471" s="888"/>
    </row>
    <row r="1472" spans="1:1" x14ac:dyDescent="0.45">
      <c r="A1472" s="888"/>
    </row>
    <row r="1473" spans="1:1" x14ac:dyDescent="0.45">
      <c r="A1473" s="888"/>
    </row>
    <row r="1474" spans="1:1" x14ac:dyDescent="0.45">
      <c r="A1474" s="888"/>
    </row>
    <row r="1475" spans="1:1" x14ac:dyDescent="0.45">
      <c r="A1475" s="888"/>
    </row>
    <row r="1476" spans="1:1" x14ac:dyDescent="0.45">
      <c r="A1476" s="888"/>
    </row>
    <row r="1477" spans="1:1" x14ac:dyDescent="0.45">
      <c r="A1477" s="888"/>
    </row>
    <row r="1478" spans="1:1" x14ac:dyDescent="0.45">
      <c r="A1478" s="888"/>
    </row>
    <row r="1479" spans="1:1" x14ac:dyDescent="0.45">
      <c r="A1479" s="888"/>
    </row>
    <row r="1480" spans="1:1" x14ac:dyDescent="0.45">
      <c r="A1480" s="888"/>
    </row>
    <row r="1481" spans="1:1" x14ac:dyDescent="0.45">
      <c r="A1481" s="888"/>
    </row>
    <row r="1482" spans="1:1" x14ac:dyDescent="0.45">
      <c r="A1482" s="888"/>
    </row>
    <row r="1483" spans="1:1" x14ac:dyDescent="0.45">
      <c r="A1483" s="888"/>
    </row>
    <row r="1484" spans="1:1" x14ac:dyDescent="0.45">
      <c r="A1484" s="888"/>
    </row>
    <row r="1485" spans="1:1" x14ac:dyDescent="0.45">
      <c r="A1485" s="888"/>
    </row>
    <row r="1486" spans="1:1" x14ac:dyDescent="0.45">
      <c r="A1486" s="888"/>
    </row>
    <row r="1487" spans="1:1" x14ac:dyDescent="0.45">
      <c r="A1487" s="888"/>
    </row>
    <row r="1488" spans="1:1" x14ac:dyDescent="0.45">
      <c r="A1488" s="888"/>
    </row>
    <row r="1489" spans="1:1" x14ac:dyDescent="0.45">
      <c r="A1489" s="888"/>
    </row>
    <row r="1490" spans="1:1" x14ac:dyDescent="0.45">
      <c r="A1490" s="888"/>
    </row>
    <row r="1491" spans="1:1" x14ac:dyDescent="0.45">
      <c r="A1491" s="888"/>
    </row>
    <row r="1492" spans="1:1" x14ac:dyDescent="0.45">
      <c r="A1492" s="888"/>
    </row>
    <row r="1493" spans="1:1" x14ac:dyDescent="0.45">
      <c r="A1493" s="888"/>
    </row>
    <row r="1494" spans="1:1" x14ac:dyDescent="0.45">
      <c r="A1494" s="888"/>
    </row>
    <row r="1495" spans="1:1" x14ac:dyDescent="0.45">
      <c r="A1495" s="888"/>
    </row>
    <row r="1496" spans="1:1" x14ac:dyDescent="0.45">
      <c r="A1496" s="888"/>
    </row>
    <row r="1497" spans="1:1" x14ac:dyDescent="0.45">
      <c r="A1497" s="888"/>
    </row>
    <row r="1498" spans="1:1" x14ac:dyDescent="0.45">
      <c r="A1498" s="888"/>
    </row>
    <row r="1499" spans="1:1" x14ac:dyDescent="0.45">
      <c r="A1499" s="888"/>
    </row>
    <row r="1500" spans="1:1" x14ac:dyDescent="0.45">
      <c r="A1500" s="888"/>
    </row>
    <row r="1501" spans="1:1" x14ac:dyDescent="0.45">
      <c r="A1501" s="888"/>
    </row>
    <row r="1502" spans="1:1" x14ac:dyDescent="0.45">
      <c r="A1502" s="888"/>
    </row>
    <row r="1503" spans="1:1" x14ac:dyDescent="0.45">
      <c r="A1503" s="888"/>
    </row>
    <row r="1504" spans="1:1" x14ac:dyDescent="0.45">
      <c r="A1504" s="888"/>
    </row>
    <row r="1505" spans="1:1" x14ac:dyDescent="0.45">
      <c r="A1505" s="888"/>
    </row>
    <row r="1506" spans="1:1" x14ac:dyDescent="0.45">
      <c r="A1506" s="888"/>
    </row>
    <row r="1507" spans="1:1" x14ac:dyDescent="0.45">
      <c r="A1507" s="888"/>
    </row>
    <row r="1508" spans="1:1" x14ac:dyDescent="0.45">
      <c r="A1508" s="888"/>
    </row>
    <row r="1509" spans="1:1" x14ac:dyDescent="0.45">
      <c r="A1509" s="888"/>
    </row>
    <row r="1510" spans="1:1" x14ac:dyDescent="0.45">
      <c r="A1510" s="888"/>
    </row>
    <row r="1511" spans="1:1" x14ac:dyDescent="0.45">
      <c r="A1511" s="888"/>
    </row>
    <row r="1512" spans="1:1" x14ac:dyDescent="0.45">
      <c r="A1512" s="888"/>
    </row>
    <row r="1513" spans="1:1" x14ac:dyDescent="0.45">
      <c r="A1513" s="888"/>
    </row>
    <row r="1514" spans="1:1" x14ac:dyDescent="0.45">
      <c r="A1514" s="888"/>
    </row>
    <row r="1515" spans="1:1" x14ac:dyDescent="0.45">
      <c r="A1515" s="888"/>
    </row>
    <row r="1516" spans="1:1" x14ac:dyDescent="0.45">
      <c r="A1516" s="888"/>
    </row>
    <row r="1517" spans="1:1" x14ac:dyDescent="0.45">
      <c r="A1517" s="888"/>
    </row>
    <row r="1518" spans="1:1" x14ac:dyDescent="0.45">
      <c r="A1518" s="888"/>
    </row>
    <row r="1519" spans="1:1" x14ac:dyDescent="0.45">
      <c r="A1519" s="888"/>
    </row>
    <row r="1520" spans="1:1" x14ac:dyDescent="0.45">
      <c r="A1520" s="888"/>
    </row>
    <row r="1521" spans="1:1" x14ac:dyDescent="0.45">
      <c r="A1521" s="888"/>
    </row>
    <row r="1522" spans="1:1" x14ac:dyDescent="0.45">
      <c r="A1522" s="888"/>
    </row>
    <row r="1523" spans="1:1" x14ac:dyDescent="0.45">
      <c r="A1523" s="888"/>
    </row>
    <row r="1524" spans="1:1" x14ac:dyDescent="0.45">
      <c r="A1524" s="888"/>
    </row>
    <row r="1525" spans="1:1" x14ac:dyDescent="0.45">
      <c r="A1525" s="888"/>
    </row>
    <row r="1526" spans="1:1" x14ac:dyDescent="0.45">
      <c r="A1526" s="888"/>
    </row>
    <row r="1527" spans="1:1" x14ac:dyDescent="0.45">
      <c r="A1527" s="888"/>
    </row>
    <row r="1528" spans="1:1" x14ac:dyDescent="0.45">
      <c r="A1528" s="888"/>
    </row>
    <row r="1529" spans="1:1" x14ac:dyDescent="0.45">
      <c r="A1529" s="888"/>
    </row>
    <row r="1530" spans="1:1" x14ac:dyDescent="0.45">
      <c r="A1530" s="888"/>
    </row>
    <row r="1531" spans="1:1" x14ac:dyDescent="0.45">
      <c r="A1531" s="888"/>
    </row>
    <row r="1532" spans="1:1" x14ac:dyDescent="0.45">
      <c r="A1532" s="888"/>
    </row>
    <row r="1533" spans="1:1" x14ac:dyDescent="0.45">
      <c r="A1533" s="888"/>
    </row>
    <row r="1534" spans="1:1" x14ac:dyDescent="0.45">
      <c r="A1534" s="888"/>
    </row>
    <row r="1535" spans="1:1" x14ac:dyDescent="0.45">
      <c r="A1535" s="888"/>
    </row>
    <row r="1536" spans="1:1" x14ac:dyDescent="0.45">
      <c r="A1536" s="888"/>
    </row>
    <row r="1537" spans="1:1" x14ac:dyDescent="0.45">
      <c r="A1537" s="888"/>
    </row>
    <row r="1538" spans="1:1" x14ac:dyDescent="0.45">
      <c r="A1538" s="888"/>
    </row>
    <row r="1539" spans="1:1" x14ac:dyDescent="0.45">
      <c r="A1539" s="888"/>
    </row>
    <row r="1540" spans="1:1" x14ac:dyDescent="0.45">
      <c r="A1540" s="888"/>
    </row>
    <row r="1541" spans="1:1" x14ac:dyDescent="0.45">
      <c r="A1541" s="888"/>
    </row>
    <row r="1542" spans="1:1" x14ac:dyDescent="0.45">
      <c r="A1542" s="888"/>
    </row>
    <row r="1543" spans="1:1" x14ac:dyDescent="0.45">
      <c r="A1543" s="888"/>
    </row>
    <row r="1544" spans="1:1" x14ac:dyDescent="0.45">
      <c r="A1544" s="888"/>
    </row>
    <row r="1545" spans="1:1" x14ac:dyDescent="0.45">
      <c r="A1545" s="888"/>
    </row>
    <row r="1546" spans="1:1" x14ac:dyDescent="0.45">
      <c r="A1546" s="888"/>
    </row>
    <row r="1547" spans="1:1" x14ac:dyDescent="0.45">
      <c r="A1547" s="888"/>
    </row>
    <row r="1548" spans="1:1" x14ac:dyDescent="0.45">
      <c r="A1548" s="888"/>
    </row>
    <row r="1549" spans="1:1" x14ac:dyDescent="0.45">
      <c r="A1549" s="888"/>
    </row>
    <row r="1550" spans="1:1" x14ac:dyDescent="0.45">
      <c r="A1550" s="888"/>
    </row>
    <row r="1551" spans="1:1" x14ac:dyDescent="0.45">
      <c r="A1551" s="888"/>
    </row>
    <row r="1552" spans="1:1" x14ac:dyDescent="0.45">
      <c r="A1552" s="888"/>
    </row>
    <row r="1553" spans="1:1" x14ac:dyDescent="0.45">
      <c r="A1553" s="888"/>
    </row>
    <row r="1554" spans="1:1" x14ac:dyDescent="0.45">
      <c r="A1554" s="888"/>
    </row>
    <row r="1555" spans="1:1" x14ac:dyDescent="0.45">
      <c r="A1555" s="888"/>
    </row>
    <row r="1556" spans="1:1" x14ac:dyDescent="0.45">
      <c r="A1556" s="888"/>
    </row>
    <row r="1557" spans="1:1" x14ac:dyDescent="0.45">
      <c r="A1557" s="888"/>
    </row>
    <row r="1558" spans="1:1" x14ac:dyDescent="0.45">
      <c r="A1558" s="888"/>
    </row>
    <row r="1559" spans="1:1" x14ac:dyDescent="0.45">
      <c r="A1559" s="888"/>
    </row>
    <row r="1560" spans="1:1" x14ac:dyDescent="0.45">
      <c r="A1560" s="888"/>
    </row>
    <row r="1561" spans="1:1" x14ac:dyDescent="0.45">
      <c r="A1561" s="888"/>
    </row>
    <row r="1562" spans="1:1" x14ac:dyDescent="0.45">
      <c r="A1562" s="888"/>
    </row>
    <row r="1563" spans="1:1" x14ac:dyDescent="0.45">
      <c r="A1563" s="888"/>
    </row>
    <row r="1564" spans="1:1" x14ac:dyDescent="0.45">
      <c r="A1564" s="888"/>
    </row>
    <row r="1565" spans="1:1" x14ac:dyDescent="0.45">
      <c r="A1565" s="888"/>
    </row>
    <row r="1566" spans="1:1" x14ac:dyDescent="0.45">
      <c r="A1566" s="888"/>
    </row>
    <row r="1567" spans="1:1" x14ac:dyDescent="0.45">
      <c r="A1567" s="888"/>
    </row>
    <row r="1568" spans="1:1" x14ac:dyDescent="0.45">
      <c r="A1568" s="888"/>
    </row>
    <row r="1569" spans="1:1" x14ac:dyDescent="0.45">
      <c r="A1569" s="888"/>
    </row>
    <row r="1570" spans="1:1" x14ac:dyDescent="0.45">
      <c r="A1570" s="888"/>
    </row>
    <row r="1571" spans="1:1" x14ac:dyDescent="0.45">
      <c r="A1571" s="888"/>
    </row>
    <row r="1572" spans="1:1" x14ac:dyDescent="0.45">
      <c r="A1572" s="888"/>
    </row>
    <row r="1573" spans="1:1" x14ac:dyDescent="0.45">
      <c r="A1573" s="888"/>
    </row>
    <row r="1574" spans="1:1" x14ac:dyDescent="0.45">
      <c r="A1574" s="888"/>
    </row>
    <row r="1575" spans="1:1" x14ac:dyDescent="0.45">
      <c r="A1575" s="888"/>
    </row>
    <row r="1576" spans="1:1" x14ac:dyDescent="0.45">
      <c r="A1576" s="888"/>
    </row>
    <row r="1577" spans="1:1" x14ac:dyDescent="0.45">
      <c r="A1577" s="888"/>
    </row>
    <row r="1578" spans="1:1" x14ac:dyDescent="0.45">
      <c r="A1578" s="888"/>
    </row>
    <row r="1579" spans="1:1" x14ac:dyDescent="0.45">
      <c r="A1579" s="888"/>
    </row>
    <row r="1580" spans="1:1" x14ac:dyDescent="0.45">
      <c r="A1580" s="888"/>
    </row>
    <row r="1581" spans="1:1" x14ac:dyDescent="0.45">
      <c r="A1581" s="888"/>
    </row>
    <row r="1582" spans="1:1" x14ac:dyDescent="0.45">
      <c r="A1582" s="888"/>
    </row>
    <row r="1583" spans="1:1" x14ac:dyDescent="0.45">
      <c r="A1583" s="888"/>
    </row>
    <row r="1584" spans="1:1" x14ac:dyDescent="0.45">
      <c r="A1584" s="888"/>
    </row>
    <row r="1585" spans="1:1" x14ac:dyDescent="0.45">
      <c r="A1585" s="888"/>
    </row>
    <row r="1586" spans="1:1" x14ac:dyDescent="0.45">
      <c r="A1586" s="888"/>
    </row>
    <row r="1587" spans="1:1" x14ac:dyDescent="0.45">
      <c r="A1587" s="888"/>
    </row>
    <row r="1588" spans="1:1" x14ac:dyDescent="0.45">
      <c r="A1588" s="888"/>
    </row>
    <row r="1589" spans="1:1" x14ac:dyDescent="0.45">
      <c r="A1589" s="888"/>
    </row>
    <row r="1590" spans="1:1" x14ac:dyDescent="0.45">
      <c r="A1590" s="888"/>
    </row>
    <row r="1591" spans="1:1" x14ac:dyDescent="0.45">
      <c r="A1591" s="888"/>
    </row>
    <row r="1592" spans="1:1" x14ac:dyDescent="0.45">
      <c r="A1592" s="888"/>
    </row>
    <row r="1593" spans="1:1" x14ac:dyDescent="0.45">
      <c r="A1593" s="888"/>
    </row>
    <row r="1594" spans="1:1" x14ac:dyDescent="0.45">
      <c r="A1594" s="888"/>
    </row>
    <row r="1595" spans="1:1" x14ac:dyDescent="0.45">
      <c r="A1595" s="888"/>
    </row>
    <row r="1596" spans="1:1" x14ac:dyDescent="0.45">
      <c r="A1596" s="888"/>
    </row>
    <row r="1597" spans="1:1" x14ac:dyDescent="0.45">
      <c r="A1597" s="888"/>
    </row>
    <row r="1598" spans="1:1" x14ac:dyDescent="0.45">
      <c r="A1598" s="888"/>
    </row>
    <row r="1599" spans="1:1" x14ac:dyDescent="0.45">
      <c r="A1599" s="888"/>
    </row>
    <row r="1600" spans="1:1" x14ac:dyDescent="0.45">
      <c r="A1600" s="888"/>
    </row>
    <row r="1601" spans="1:1" x14ac:dyDescent="0.45">
      <c r="A1601" s="888"/>
    </row>
    <row r="1602" spans="1:1" x14ac:dyDescent="0.45">
      <c r="A1602" s="888"/>
    </row>
    <row r="1603" spans="1:1" x14ac:dyDescent="0.45">
      <c r="A1603" s="888"/>
    </row>
    <row r="1604" spans="1:1" x14ac:dyDescent="0.45">
      <c r="A1604" s="888"/>
    </row>
    <row r="1605" spans="1:1" x14ac:dyDescent="0.45">
      <c r="A1605" s="888"/>
    </row>
    <row r="1606" spans="1:1" x14ac:dyDescent="0.45">
      <c r="A1606" s="888"/>
    </row>
    <row r="1607" spans="1:1" x14ac:dyDescent="0.45">
      <c r="A1607" s="888"/>
    </row>
    <row r="1608" spans="1:1" x14ac:dyDescent="0.45">
      <c r="A1608" s="888"/>
    </row>
    <row r="1609" spans="1:1" x14ac:dyDescent="0.45">
      <c r="A1609" s="888"/>
    </row>
    <row r="1610" spans="1:1" x14ac:dyDescent="0.45">
      <c r="A1610" s="888"/>
    </row>
    <row r="1611" spans="1:1" x14ac:dyDescent="0.45">
      <c r="A1611" s="888"/>
    </row>
    <row r="1612" spans="1:1" x14ac:dyDescent="0.45">
      <c r="A1612" s="888"/>
    </row>
    <row r="1613" spans="1:1" x14ac:dyDescent="0.45">
      <c r="A1613" s="888"/>
    </row>
    <row r="1614" spans="1:1" x14ac:dyDescent="0.45">
      <c r="A1614" s="888"/>
    </row>
    <row r="1615" spans="1:1" x14ac:dyDescent="0.45">
      <c r="A1615" s="888"/>
    </row>
    <row r="1616" spans="1:1" x14ac:dyDescent="0.45">
      <c r="A1616" s="888"/>
    </row>
    <row r="1617" spans="1:1" x14ac:dyDescent="0.45">
      <c r="A1617" s="888"/>
    </row>
    <row r="1618" spans="1:1" x14ac:dyDescent="0.45">
      <c r="A1618" s="888"/>
    </row>
    <row r="1619" spans="1:1" x14ac:dyDescent="0.45">
      <c r="A1619" s="888"/>
    </row>
    <row r="1620" spans="1:1" x14ac:dyDescent="0.45">
      <c r="A1620" s="888"/>
    </row>
    <row r="1621" spans="1:1" x14ac:dyDescent="0.45">
      <c r="A1621" s="888"/>
    </row>
    <row r="1622" spans="1:1" x14ac:dyDescent="0.45">
      <c r="A1622" s="888"/>
    </row>
    <row r="1623" spans="1:1" x14ac:dyDescent="0.45">
      <c r="A1623" s="888"/>
    </row>
    <row r="1624" spans="1:1" x14ac:dyDescent="0.45">
      <c r="A1624" s="888"/>
    </row>
    <row r="1625" spans="1:1" x14ac:dyDescent="0.45">
      <c r="A1625" s="888"/>
    </row>
    <row r="1626" spans="1:1" x14ac:dyDescent="0.45">
      <c r="A1626" s="888"/>
    </row>
    <row r="1627" spans="1:1" x14ac:dyDescent="0.45">
      <c r="A1627" s="888"/>
    </row>
    <row r="1628" spans="1:1" x14ac:dyDescent="0.45">
      <c r="A1628" s="888"/>
    </row>
    <row r="1629" spans="1:1" x14ac:dyDescent="0.45">
      <c r="A1629" s="888"/>
    </row>
    <row r="1630" spans="1:1" x14ac:dyDescent="0.45">
      <c r="A1630" s="888"/>
    </row>
    <row r="1631" spans="1:1" x14ac:dyDescent="0.45">
      <c r="A1631" s="888"/>
    </row>
    <row r="1632" spans="1:1" x14ac:dyDescent="0.45">
      <c r="A1632" s="888"/>
    </row>
    <row r="1633" spans="1:1" x14ac:dyDescent="0.45">
      <c r="A1633" s="888"/>
    </row>
    <row r="1634" spans="1:1" x14ac:dyDescent="0.45">
      <c r="A1634" s="888"/>
    </row>
    <row r="1635" spans="1:1" x14ac:dyDescent="0.45">
      <c r="A1635" s="888"/>
    </row>
    <row r="1636" spans="1:1" x14ac:dyDescent="0.45">
      <c r="A1636" s="888"/>
    </row>
    <row r="1637" spans="1:1" x14ac:dyDescent="0.45">
      <c r="A1637" s="888"/>
    </row>
    <row r="1638" spans="1:1" x14ac:dyDescent="0.45">
      <c r="A1638" s="888"/>
    </row>
    <row r="1639" spans="1:1" x14ac:dyDescent="0.45">
      <c r="A1639" s="888"/>
    </row>
    <row r="1640" spans="1:1" x14ac:dyDescent="0.45">
      <c r="A1640" s="888"/>
    </row>
    <row r="1641" spans="1:1" x14ac:dyDescent="0.45">
      <c r="A1641" s="888"/>
    </row>
    <row r="1642" spans="1:1" x14ac:dyDescent="0.45">
      <c r="A1642" s="888"/>
    </row>
    <row r="1643" spans="1:1" x14ac:dyDescent="0.45">
      <c r="A1643" s="888"/>
    </row>
    <row r="1644" spans="1:1" x14ac:dyDescent="0.45">
      <c r="A1644" s="888"/>
    </row>
    <row r="1645" spans="1:1" x14ac:dyDescent="0.45">
      <c r="A1645" s="888"/>
    </row>
    <row r="1646" spans="1:1" x14ac:dyDescent="0.45">
      <c r="A1646" s="888"/>
    </row>
    <row r="1647" spans="1:1" x14ac:dyDescent="0.45">
      <c r="A1647" s="888"/>
    </row>
    <row r="1648" spans="1:1" x14ac:dyDescent="0.45">
      <c r="A1648" s="888"/>
    </row>
    <row r="1649" spans="1:1" x14ac:dyDescent="0.45">
      <c r="A1649" s="888"/>
    </row>
    <row r="1650" spans="1:1" x14ac:dyDescent="0.45">
      <c r="A1650" s="888"/>
    </row>
    <row r="1651" spans="1:1" x14ac:dyDescent="0.45">
      <c r="A1651" s="888"/>
    </row>
    <row r="1652" spans="1:1" x14ac:dyDescent="0.45">
      <c r="A1652" s="888"/>
    </row>
    <row r="1653" spans="1:1" x14ac:dyDescent="0.45">
      <c r="A1653" s="888"/>
    </row>
    <row r="1654" spans="1:1" x14ac:dyDescent="0.45">
      <c r="A1654" s="888"/>
    </row>
    <row r="1655" spans="1:1" x14ac:dyDescent="0.45">
      <c r="A1655" s="888"/>
    </row>
    <row r="1656" spans="1:1" x14ac:dyDescent="0.45">
      <c r="A1656" s="888"/>
    </row>
    <row r="1657" spans="1:1" x14ac:dyDescent="0.45">
      <c r="A1657" s="888"/>
    </row>
    <row r="1658" spans="1:1" x14ac:dyDescent="0.45">
      <c r="A1658" s="888"/>
    </row>
    <row r="1659" spans="1:1" x14ac:dyDescent="0.45">
      <c r="A1659" s="888"/>
    </row>
    <row r="1660" spans="1:1" x14ac:dyDescent="0.45">
      <c r="A1660" s="888"/>
    </row>
    <row r="1661" spans="1:1" x14ac:dyDescent="0.45">
      <c r="A1661" s="888"/>
    </row>
    <row r="1662" spans="1:1" x14ac:dyDescent="0.45">
      <c r="A1662" s="888"/>
    </row>
    <row r="1663" spans="1:1" x14ac:dyDescent="0.45">
      <c r="A1663" s="888"/>
    </row>
    <row r="1664" spans="1:1" x14ac:dyDescent="0.45">
      <c r="A1664" s="888"/>
    </row>
    <row r="1665" spans="1:1" x14ac:dyDescent="0.45">
      <c r="A1665" s="888"/>
    </row>
    <row r="1666" spans="1:1" x14ac:dyDescent="0.45">
      <c r="A1666" s="888"/>
    </row>
    <row r="1667" spans="1:1" x14ac:dyDescent="0.45">
      <c r="A1667" s="888"/>
    </row>
    <row r="1668" spans="1:1" x14ac:dyDescent="0.45">
      <c r="A1668" s="888"/>
    </row>
    <row r="1669" spans="1:1" x14ac:dyDescent="0.45">
      <c r="A1669" s="888"/>
    </row>
    <row r="1670" spans="1:1" x14ac:dyDescent="0.45">
      <c r="A1670" s="888"/>
    </row>
    <row r="1671" spans="1:1" x14ac:dyDescent="0.45">
      <c r="A1671" s="888"/>
    </row>
    <row r="1672" spans="1:1" x14ac:dyDescent="0.45">
      <c r="A1672" s="888"/>
    </row>
    <row r="1673" spans="1:1" x14ac:dyDescent="0.45">
      <c r="A1673" s="888"/>
    </row>
    <row r="1674" spans="1:1" x14ac:dyDescent="0.45">
      <c r="A1674" s="888"/>
    </row>
    <row r="1675" spans="1:1" x14ac:dyDescent="0.45">
      <c r="A1675" s="888"/>
    </row>
    <row r="1676" spans="1:1" x14ac:dyDescent="0.45">
      <c r="A1676" s="888"/>
    </row>
    <row r="1677" spans="1:1" x14ac:dyDescent="0.45">
      <c r="A1677" s="888"/>
    </row>
    <row r="1678" spans="1:1" x14ac:dyDescent="0.45">
      <c r="A1678" s="888"/>
    </row>
    <row r="1679" spans="1:1" x14ac:dyDescent="0.45">
      <c r="A1679" s="888"/>
    </row>
    <row r="1680" spans="1:1" x14ac:dyDescent="0.45">
      <c r="A1680" s="888"/>
    </row>
    <row r="1681" spans="1:1" x14ac:dyDescent="0.45">
      <c r="A1681" s="888"/>
    </row>
    <row r="1682" spans="1:1" x14ac:dyDescent="0.45">
      <c r="A1682" s="888"/>
    </row>
    <row r="1683" spans="1:1" x14ac:dyDescent="0.45">
      <c r="A1683" s="888"/>
    </row>
    <row r="1684" spans="1:1" x14ac:dyDescent="0.45">
      <c r="A1684" s="888"/>
    </row>
    <row r="1685" spans="1:1" x14ac:dyDescent="0.45">
      <c r="A1685" s="888"/>
    </row>
    <row r="1686" spans="1:1" x14ac:dyDescent="0.45">
      <c r="A1686" s="888"/>
    </row>
    <row r="1687" spans="1:1" x14ac:dyDescent="0.45">
      <c r="A1687" s="888"/>
    </row>
    <row r="1688" spans="1:1" x14ac:dyDescent="0.45">
      <c r="A1688" s="888"/>
    </row>
    <row r="1689" spans="1:1" x14ac:dyDescent="0.45">
      <c r="A1689" s="888"/>
    </row>
    <row r="1690" spans="1:1" x14ac:dyDescent="0.45">
      <c r="A1690" s="888"/>
    </row>
    <row r="1691" spans="1:1" x14ac:dyDescent="0.45">
      <c r="A1691" s="888"/>
    </row>
    <row r="1692" spans="1:1" x14ac:dyDescent="0.45">
      <c r="A1692" s="888"/>
    </row>
    <row r="1693" spans="1:1" x14ac:dyDescent="0.45">
      <c r="A1693" s="888"/>
    </row>
    <row r="1694" spans="1:1" x14ac:dyDescent="0.45">
      <c r="A1694" s="888"/>
    </row>
    <row r="1695" spans="1:1" x14ac:dyDescent="0.45">
      <c r="A1695" s="888"/>
    </row>
    <row r="1696" spans="1:1" x14ac:dyDescent="0.45">
      <c r="A1696" s="888"/>
    </row>
    <row r="1697" spans="1:1" x14ac:dyDescent="0.45">
      <c r="A1697" s="888"/>
    </row>
    <row r="1698" spans="1:1" x14ac:dyDescent="0.45">
      <c r="A1698" s="888"/>
    </row>
    <row r="1699" spans="1:1" x14ac:dyDescent="0.45">
      <c r="A1699" s="888"/>
    </row>
    <row r="1700" spans="1:1" x14ac:dyDescent="0.45">
      <c r="A1700" s="888"/>
    </row>
    <row r="1701" spans="1:1" x14ac:dyDescent="0.45">
      <c r="A1701" s="888"/>
    </row>
    <row r="1702" spans="1:1" x14ac:dyDescent="0.45">
      <c r="A1702" s="888"/>
    </row>
    <row r="1703" spans="1:1" x14ac:dyDescent="0.45">
      <c r="A1703" s="888"/>
    </row>
    <row r="1704" spans="1:1" x14ac:dyDescent="0.45">
      <c r="A1704" s="888"/>
    </row>
    <row r="1705" spans="1:1" x14ac:dyDescent="0.45">
      <c r="A1705" s="888"/>
    </row>
    <row r="1706" spans="1:1" x14ac:dyDescent="0.45">
      <c r="A1706" s="888"/>
    </row>
    <row r="1707" spans="1:1" x14ac:dyDescent="0.45">
      <c r="A1707" s="888"/>
    </row>
    <row r="1708" spans="1:1" x14ac:dyDescent="0.45">
      <c r="A1708" s="888"/>
    </row>
    <row r="1709" spans="1:1" x14ac:dyDescent="0.45">
      <c r="A1709" s="888"/>
    </row>
    <row r="1710" spans="1:1" x14ac:dyDescent="0.45">
      <c r="A1710" s="888"/>
    </row>
    <row r="1711" spans="1:1" x14ac:dyDescent="0.45">
      <c r="A1711" s="888"/>
    </row>
    <row r="1712" spans="1:1" x14ac:dyDescent="0.45">
      <c r="A1712" s="888"/>
    </row>
    <row r="1713" spans="1:1" x14ac:dyDescent="0.45">
      <c r="A1713" s="888"/>
    </row>
    <row r="1714" spans="1:1" x14ac:dyDescent="0.45">
      <c r="A1714" s="888"/>
    </row>
    <row r="1715" spans="1:1" x14ac:dyDescent="0.45">
      <c r="A1715" s="888"/>
    </row>
    <row r="1716" spans="1:1" x14ac:dyDescent="0.45">
      <c r="A1716" s="888"/>
    </row>
    <row r="1717" spans="1:1" x14ac:dyDescent="0.45">
      <c r="A1717" s="888"/>
    </row>
    <row r="1718" spans="1:1" x14ac:dyDescent="0.45">
      <c r="A1718" s="888"/>
    </row>
    <row r="1719" spans="1:1" x14ac:dyDescent="0.45">
      <c r="A1719" s="888"/>
    </row>
    <row r="1720" spans="1:1" x14ac:dyDescent="0.45">
      <c r="A1720" s="888"/>
    </row>
    <row r="1721" spans="1:1" x14ac:dyDescent="0.45">
      <c r="A1721" s="888"/>
    </row>
    <row r="1722" spans="1:1" x14ac:dyDescent="0.45">
      <c r="A1722" s="888"/>
    </row>
    <row r="1723" spans="1:1" x14ac:dyDescent="0.45">
      <c r="A1723" s="888"/>
    </row>
    <row r="1724" spans="1:1" x14ac:dyDescent="0.45">
      <c r="A1724" s="888"/>
    </row>
    <row r="1725" spans="1:1" x14ac:dyDescent="0.45">
      <c r="A1725" s="888"/>
    </row>
    <row r="1726" spans="1:1" x14ac:dyDescent="0.45">
      <c r="A1726" s="888"/>
    </row>
    <row r="1727" spans="1:1" x14ac:dyDescent="0.45">
      <c r="A1727" s="888"/>
    </row>
    <row r="1728" spans="1:1" x14ac:dyDescent="0.45">
      <c r="A1728" s="888"/>
    </row>
    <row r="1729" spans="1:1" x14ac:dyDescent="0.45">
      <c r="A1729" s="888"/>
    </row>
    <row r="1730" spans="1:1" x14ac:dyDescent="0.45">
      <c r="A1730" s="888"/>
    </row>
    <row r="1731" spans="1:1" x14ac:dyDescent="0.45">
      <c r="A1731" s="888"/>
    </row>
    <row r="1732" spans="1:1" x14ac:dyDescent="0.45">
      <c r="A1732" s="888"/>
    </row>
    <row r="1733" spans="1:1" x14ac:dyDescent="0.45">
      <c r="A1733" s="888"/>
    </row>
    <row r="1734" spans="1:1" x14ac:dyDescent="0.45">
      <c r="A1734" s="888"/>
    </row>
    <row r="1735" spans="1:1" x14ac:dyDescent="0.45">
      <c r="A1735" s="888"/>
    </row>
    <row r="1736" spans="1:1" x14ac:dyDescent="0.45">
      <c r="A1736" s="888"/>
    </row>
    <row r="1737" spans="1:1" x14ac:dyDescent="0.45">
      <c r="A1737" s="888"/>
    </row>
    <row r="1738" spans="1:1" x14ac:dyDescent="0.45">
      <c r="A1738" s="888"/>
    </row>
    <row r="1739" spans="1:1" x14ac:dyDescent="0.45">
      <c r="A1739" s="888"/>
    </row>
    <row r="1740" spans="1:1" x14ac:dyDescent="0.45">
      <c r="A1740" s="888"/>
    </row>
    <row r="1741" spans="1:1" x14ac:dyDescent="0.45">
      <c r="A1741" s="888"/>
    </row>
    <row r="1742" spans="1:1" x14ac:dyDescent="0.45">
      <c r="A1742" s="888"/>
    </row>
    <row r="1743" spans="1:1" x14ac:dyDescent="0.45">
      <c r="A1743" s="888"/>
    </row>
    <row r="1744" spans="1:1" x14ac:dyDescent="0.45">
      <c r="A1744" s="888"/>
    </row>
    <row r="1745" spans="1:1" x14ac:dyDescent="0.45">
      <c r="A1745" s="888"/>
    </row>
    <row r="1746" spans="1:1" x14ac:dyDescent="0.45">
      <c r="A1746" s="888"/>
    </row>
    <row r="1747" spans="1:1" x14ac:dyDescent="0.45">
      <c r="A1747" s="888"/>
    </row>
    <row r="1748" spans="1:1" x14ac:dyDescent="0.45">
      <c r="A1748" s="888"/>
    </row>
    <row r="1749" spans="1:1" x14ac:dyDescent="0.45">
      <c r="A1749" s="888"/>
    </row>
    <row r="1750" spans="1:1" x14ac:dyDescent="0.45">
      <c r="A1750" s="888"/>
    </row>
    <row r="1751" spans="1:1" x14ac:dyDescent="0.45">
      <c r="A1751" s="888"/>
    </row>
    <row r="1752" spans="1:1" x14ac:dyDescent="0.45">
      <c r="A1752" s="888"/>
    </row>
    <row r="1753" spans="1:1" x14ac:dyDescent="0.45">
      <c r="A1753" s="888"/>
    </row>
    <row r="1754" spans="1:1" x14ac:dyDescent="0.45">
      <c r="A1754" s="888"/>
    </row>
    <row r="1755" spans="1:1" x14ac:dyDescent="0.45">
      <c r="A1755" s="888"/>
    </row>
    <row r="1756" spans="1:1" x14ac:dyDescent="0.45">
      <c r="A1756" s="888"/>
    </row>
    <row r="1757" spans="1:1" x14ac:dyDescent="0.45">
      <c r="A1757" s="888"/>
    </row>
    <row r="1758" spans="1:1" x14ac:dyDescent="0.45">
      <c r="A1758" s="888"/>
    </row>
    <row r="1759" spans="1:1" x14ac:dyDescent="0.45">
      <c r="A1759" s="888"/>
    </row>
    <row r="1760" spans="1:1" x14ac:dyDescent="0.45">
      <c r="A1760" s="888"/>
    </row>
    <row r="1761" spans="1:1" x14ac:dyDescent="0.45">
      <c r="A1761" s="888"/>
    </row>
    <row r="1762" spans="1:1" x14ac:dyDescent="0.45">
      <c r="A1762" s="888"/>
    </row>
    <row r="1763" spans="1:1" x14ac:dyDescent="0.45">
      <c r="A1763" s="888"/>
    </row>
    <row r="1764" spans="1:1" x14ac:dyDescent="0.45">
      <c r="A1764" s="888"/>
    </row>
    <row r="1765" spans="1:1" x14ac:dyDescent="0.45">
      <c r="A1765" s="888"/>
    </row>
    <row r="1766" spans="1:1" x14ac:dyDescent="0.45">
      <c r="A1766" s="888"/>
    </row>
    <row r="1767" spans="1:1" x14ac:dyDescent="0.45">
      <c r="A1767" s="888"/>
    </row>
    <row r="1768" spans="1:1" x14ac:dyDescent="0.45">
      <c r="A1768" s="888"/>
    </row>
    <row r="1769" spans="1:1" x14ac:dyDescent="0.45">
      <c r="A1769" s="888"/>
    </row>
    <row r="1770" spans="1:1" x14ac:dyDescent="0.45">
      <c r="A1770" s="888"/>
    </row>
    <row r="1771" spans="1:1" x14ac:dyDescent="0.45">
      <c r="A1771" s="888"/>
    </row>
    <row r="1772" spans="1:1" x14ac:dyDescent="0.45">
      <c r="A1772" s="888"/>
    </row>
    <row r="1773" spans="1:1" x14ac:dyDescent="0.45">
      <c r="A1773" s="888"/>
    </row>
    <row r="1774" spans="1:1" x14ac:dyDescent="0.45">
      <c r="A1774" s="888"/>
    </row>
    <row r="1775" spans="1:1" x14ac:dyDescent="0.45">
      <c r="A1775" s="888"/>
    </row>
    <row r="1776" spans="1:1" x14ac:dyDescent="0.45">
      <c r="A1776" s="888"/>
    </row>
    <row r="1777" spans="1:1" x14ac:dyDescent="0.45">
      <c r="A1777" s="888"/>
    </row>
    <row r="1778" spans="1:1" x14ac:dyDescent="0.45">
      <c r="A1778" s="888"/>
    </row>
    <row r="1779" spans="1:1" x14ac:dyDescent="0.45">
      <c r="A1779" s="888"/>
    </row>
    <row r="1780" spans="1:1" x14ac:dyDescent="0.45">
      <c r="A1780" s="888"/>
    </row>
    <row r="1781" spans="1:1" x14ac:dyDescent="0.45">
      <c r="A1781" s="888"/>
    </row>
    <row r="1782" spans="1:1" x14ac:dyDescent="0.45">
      <c r="A1782" s="888"/>
    </row>
    <row r="1783" spans="1:1" x14ac:dyDescent="0.45">
      <c r="A1783" s="888"/>
    </row>
    <row r="1784" spans="1:1" x14ac:dyDescent="0.45">
      <c r="A1784" s="888"/>
    </row>
    <row r="1785" spans="1:1" x14ac:dyDescent="0.45">
      <c r="A1785" s="888"/>
    </row>
    <row r="1786" spans="1:1" x14ac:dyDescent="0.45">
      <c r="A1786" s="888"/>
    </row>
    <row r="1787" spans="1:1" x14ac:dyDescent="0.45">
      <c r="A1787" s="888"/>
    </row>
    <row r="1788" spans="1:1" x14ac:dyDescent="0.45">
      <c r="A1788" s="888"/>
    </row>
    <row r="1789" spans="1:1" x14ac:dyDescent="0.45">
      <c r="A1789" s="888"/>
    </row>
    <row r="1790" spans="1:1" x14ac:dyDescent="0.45">
      <c r="A1790" s="888"/>
    </row>
    <row r="1791" spans="1:1" x14ac:dyDescent="0.45">
      <c r="A1791" s="888"/>
    </row>
    <row r="1792" spans="1:1" x14ac:dyDescent="0.45">
      <c r="A1792" s="888"/>
    </row>
    <row r="1793" spans="1:1" x14ac:dyDescent="0.45">
      <c r="A1793" s="888"/>
    </row>
    <row r="1794" spans="1:1" x14ac:dyDescent="0.45">
      <c r="A1794" s="888"/>
    </row>
    <row r="1795" spans="1:1" x14ac:dyDescent="0.45">
      <c r="A1795" s="888"/>
    </row>
    <row r="1796" spans="1:1" x14ac:dyDescent="0.45">
      <c r="A1796" s="888"/>
    </row>
    <row r="1797" spans="1:1" x14ac:dyDescent="0.45">
      <c r="A1797" s="888"/>
    </row>
    <row r="1798" spans="1:1" x14ac:dyDescent="0.45">
      <c r="A1798" s="888"/>
    </row>
    <row r="1799" spans="1:1" x14ac:dyDescent="0.45">
      <c r="A1799" s="888"/>
    </row>
    <row r="1800" spans="1:1" x14ac:dyDescent="0.45">
      <c r="A1800" s="888"/>
    </row>
    <row r="1801" spans="1:1" x14ac:dyDescent="0.45">
      <c r="A1801" s="888"/>
    </row>
    <row r="1802" spans="1:1" x14ac:dyDescent="0.45">
      <c r="A1802" s="888"/>
    </row>
    <row r="1803" spans="1:1" x14ac:dyDescent="0.45">
      <c r="A1803" s="888"/>
    </row>
    <row r="1804" spans="1:1" x14ac:dyDescent="0.45">
      <c r="A1804" s="888"/>
    </row>
    <row r="1805" spans="1:1" x14ac:dyDescent="0.45">
      <c r="A1805" s="888"/>
    </row>
    <row r="1806" spans="1:1" x14ac:dyDescent="0.45">
      <c r="A1806" s="888"/>
    </row>
    <row r="1807" spans="1:1" x14ac:dyDescent="0.45">
      <c r="A1807" s="888"/>
    </row>
    <row r="1808" spans="1:1" x14ac:dyDescent="0.45">
      <c r="A1808" s="888"/>
    </row>
    <row r="1809" spans="1:1" x14ac:dyDescent="0.45">
      <c r="A1809" s="888"/>
    </row>
    <row r="1810" spans="1:1" x14ac:dyDescent="0.45">
      <c r="A1810" s="888"/>
    </row>
    <row r="1811" spans="1:1" x14ac:dyDescent="0.45">
      <c r="A1811" s="888"/>
    </row>
    <row r="1812" spans="1:1" x14ac:dyDescent="0.45">
      <c r="A1812" s="888"/>
    </row>
    <row r="1813" spans="1:1" x14ac:dyDescent="0.45">
      <c r="A1813" s="888"/>
    </row>
    <row r="1814" spans="1:1" x14ac:dyDescent="0.45">
      <c r="A1814" s="888"/>
    </row>
    <row r="1815" spans="1:1" x14ac:dyDescent="0.45">
      <c r="A1815" s="888"/>
    </row>
    <row r="1816" spans="1:1" x14ac:dyDescent="0.45">
      <c r="A1816" s="888"/>
    </row>
    <row r="1817" spans="1:1" x14ac:dyDescent="0.45">
      <c r="A1817" s="888"/>
    </row>
    <row r="1818" spans="1:1" x14ac:dyDescent="0.45">
      <c r="A1818" s="888"/>
    </row>
    <row r="1819" spans="1:1" x14ac:dyDescent="0.45">
      <c r="A1819" s="888"/>
    </row>
    <row r="1820" spans="1:1" x14ac:dyDescent="0.45">
      <c r="A1820" s="888"/>
    </row>
    <row r="1821" spans="1:1" x14ac:dyDescent="0.45">
      <c r="A1821" s="888"/>
    </row>
    <row r="1822" spans="1:1" x14ac:dyDescent="0.45">
      <c r="A1822" s="888"/>
    </row>
    <row r="1823" spans="1:1" x14ac:dyDescent="0.45">
      <c r="A1823" s="888"/>
    </row>
    <row r="1824" spans="1:1" x14ac:dyDescent="0.45">
      <c r="A1824" s="888"/>
    </row>
    <row r="1825" spans="1:1" x14ac:dyDescent="0.45">
      <c r="A1825" s="888"/>
    </row>
    <row r="1826" spans="1:1" x14ac:dyDescent="0.45">
      <c r="A1826" s="888"/>
    </row>
    <row r="1827" spans="1:1" x14ac:dyDescent="0.45">
      <c r="A1827" s="888"/>
    </row>
    <row r="1828" spans="1:1" x14ac:dyDescent="0.45">
      <c r="A1828" s="888"/>
    </row>
    <row r="1829" spans="1:1" x14ac:dyDescent="0.45">
      <c r="A1829" s="888"/>
    </row>
    <row r="1830" spans="1:1" x14ac:dyDescent="0.45">
      <c r="A1830" s="888"/>
    </row>
    <row r="1831" spans="1:1" x14ac:dyDescent="0.45">
      <c r="A1831" s="888"/>
    </row>
    <row r="1832" spans="1:1" x14ac:dyDescent="0.45">
      <c r="A1832" s="888"/>
    </row>
    <row r="1833" spans="1:1" x14ac:dyDescent="0.45">
      <c r="A1833" s="888"/>
    </row>
    <row r="1834" spans="1:1" x14ac:dyDescent="0.45">
      <c r="A1834" s="888"/>
    </row>
    <row r="1835" spans="1:1" x14ac:dyDescent="0.45">
      <c r="A1835" s="888"/>
    </row>
    <row r="1836" spans="1:1" x14ac:dyDescent="0.45">
      <c r="A1836" s="888"/>
    </row>
    <row r="1837" spans="1:1" x14ac:dyDescent="0.45">
      <c r="A1837" s="888"/>
    </row>
    <row r="1838" spans="1:1" x14ac:dyDescent="0.45">
      <c r="A1838" s="888"/>
    </row>
    <row r="1839" spans="1:1" x14ac:dyDescent="0.45">
      <c r="A1839" s="888"/>
    </row>
    <row r="1840" spans="1:1" x14ac:dyDescent="0.45">
      <c r="A1840" s="888"/>
    </row>
    <row r="1841" spans="1:1" x14ac:dyDescent="0.45">
      <c r="A1841" s="888"/>
    </row>
    <row r="1842" spans="1:1" x14ac:dyDescent="0.45">
      <c r="A1842" s="888"/>
    </row>
    <row r="1843" spans="1:1" x14ac:dyDescent="0.45">
      <c r="A1843" s="888"/>
    </row>
    <row r="1844" spans="1:1" x14ac:dyDescent="0.45">
      <c r="A1844" s="888"/>
    </row>
    <row r="1845" spans="1:1" x14ac:dyDescent="0.45">
      <c r="A1845" s="888"/>
    </row>
    <row r="1846" spans="1:1" x14ac:dyDescent="0.45">
      <c r="A1846" s="888"/>
    </row>
    <row r="1847" spans="1:1" x14ac:dyDescent="0.45">
      <c r="A1847" s="888"/>
    </row>
    <row r="1848" spans="1:1" x14ac:dyDescent="0.45">
      <c r="A1848" s="888"/>
    </row>
    <row r="1849" spans="1:1" x14ac:dyDescent="0.45">
      <c r="A1849" s="888"/>
    </row>
    <row r="1850" spans="1:1" x14ac:dyDescent="0.45">
      <c r="A1850" s="888"/>
    </row>
    <row r="1851" spans="1:1" x14ac:dyDescent="0.45">
      <c r="A1851" s="888"/>
    </row>
    <row r="1852" spans="1:1" x14ac:dyDescent="0.45">
      <c r="A1852" s="888"/>
    </row>
    <row r="1853" spans="1:1" x14ac:dyDescent="0.45">
      <c r="A1853" s="888"/>
    </row>
    <row r="1854" spans="1:1" x14ac:dyDescent="0.45">
      <c r="A1854" s="888"/>
    </row>
    <row r="1855" spans="1:1" x14ac:dyDescent="0.45">
      <c r="A1855" s="888"/>
    </row>
    <row r="1856" spans="1:1" x14ac:dyDescent="0.45">
      <c r="A1856" s="888"/>
    </row>
    <row r="1857" spans="1:1" x14ac:dyDescent="0.45">
      <c r="A1857" s="888"/>
    </row>
    <row r="1858" spans="1:1" x14ac:dyDescent="0.45">
      <c r="A1858" s="888"/>
    </row>
    <row r="1859" spans="1:1" x14ac:dyDescent="0.45">
      <c r="A1859" s="888"/>
    </row>
    <row r="1860" spans="1:1" x14ac:dyDescent="0.45">
      <c r="A1860" s="888"/>
    </row>
    <row r="1861" spans="1:1" x14ac:dyDescent="0.45">
      <c r="A1861" s="888"/>
    </row>
    <row r="1862" spans="1:1" x14ac:dyDescent="0.45">
      <c r="A1862" s="888"/>
    </row>
    <row r="1863" spans="1:1" x14ac:dyDescent="0.45">
      <c r="A1863" s="888"/>
    </row>
    <row r="1864" spans="1:1" x14ac:dyDescent="0.45">
      <c r="A1864" s="888"/>
    </row>
    <row r="1865" spans="1:1" x14ac:dyDescent="0.45">
      <c r="A1865" s="888"/>
    </row>
    <row r="1866" spans="1:1" x14ac:dyDescent="0.45">
      <c r="A1866" s="888"/>
    </row>
    <row r="1867" spans="1:1" x14ac:dyDescent="0.45">
      <c r="A1867" s="888"/>
    </row>
    <row r="1868" spans="1:1" x14ac:dyDescent="0.45">
      <c r="A1868" s="888"/>
    </row>
    <row r="1869" spans="1:1" x14ac:dyDescent="0.45">
      <c r="A1869" s="888"/>
    </row>
    <row r="1870" spans="1:1" x14ac:dyDescent="0.45">
      <c r="A1870" s="888"/>
    </row>
    <row r="1871" spans="1:1" x14ac:dyDescent="0.45">
      <c r="A1871" s="888"/>
    </row>
    <row r="1872" spans="1:1" x14ac:dyDescent="0.45">
      <c r="A1872" s="888"/>
    </row>
    <row r="1873" spans="1:1" x14ac:dyDescent="0.45">
      <c r="A1873" s="888"/>
    </row>
    <row r="1874" spans="1:1" x14ac:dyDescent="0.45">
      <c r="A1874" s="888"/>
    </row>
    <row r="1875" spans="1:1" x14ac:dyDescent="0.45">
      <c r="A1875" s="888"/>
    </row>
    <row r="1876" spans="1:1" x14ac:dyDescent="0.45">
      <c r="A1876" s="888"/>
    </row>
    <row r="1877" spans="1:1" x14ac:dyDescent="0.45">
      <c r="A1877" s="888"/>
    </row>
    <row r="1878" spans="1:1" x14ac:dyDescent="0.45">
      <c r="A1878" s="888"/>
    </row>
    <row r="1879" spans="1:1" x14ac:dyDescent="0.45">
      <c r="A1879" s="888"/>
    </row>
    <row r="1880" spans="1:1" x14ac:dyDescent="0.45">
      <c r="A1880" s="888"/>
    </row>
    <row r="1881" spans="1:1" x14ac:dyDescent="0.45">
      <c r="A1881" s="888"/>
    </row>
    <row r="1882" spans="1:1" x14ac:dyDescent="0.45">
      <c r="A1882" s="888"/>
    </row>
    <row r="1883" spans="1:1" x14ac:dyDescent="0.45">
      <c r="A1883" s="888"/>
    </row>
    <row r="1884" spans="1:1" x14ac:dyDescent="0.45">
      <c r="A1884" s="888"/>
    </row>
    <row r="1885" spans="1:1" x14ac:dyDescent="0.45">
      <c r="A1885" s="888"/>
    </row>
    <row r="1886" spans="1:1" x14ac:dyDescent="0.45">
      <c r="A1886" s="888"/>
    </row>
    <row r="1887" spans="1:1" x14ac:dyDescent="0.45">
      <c r="A1887" s="888"/>
    </row>
    <row r="1888" spans="1:1" x14ac:dyDescent="0.45">
      <c r="A1888" s="888"/>
    </row>
    <row r="1889" spans="1:1" x14ac:dyDescent="0.45">
      <c r="A1889" s="888"/>
    </row>
    <row r="1890" spans="1:1" x14ac:dyDescent="0.45">
      <c r="A1890" s="888"/>
    </row>
    <row r="1891" spans="1:1" x14ac:dyDescent="0.45">
      <c r="A1891" s="888"/>
    </row>
    <row r="1892" spans="1:1" x14ac:dyDescent="0.45">
      <c r="A1892" s="888"/>
    </row>
    <row r="1893" spans="1:1" x14ac:dyDescent="0.45">
      <c r="A1893" s="888"/>
    </row>
    <row r="1894" spans="1:1" x14ac:dyDescent="0.45">
      <c r="A1894" s="888"/>
    </row>
    <row r="1895" spans="1:1" x14ac:dyDescent="0.45">
      <c r="A1895" s="888"/>
    </row>
    <row r="1896" spans="1:1" x14ac:dyDescent="0.45">
      <c r="A1896" s="888"/>
    </row>
    <row r="1897" spans="1:1" x14ac:dyDescent="0.45">
      <c r="A1897" s="888"/>
    </row>
    <row r="1898" spans="1:1" x14ac:dyDescent="0.45">
      <c r="A1898" s="888"/>
    </row>
    <row r="1899" spans="1:1" x14ac:dyDescent="0.45">
      <c r="A1899" s="888"/>
    </row>
    <row r="1900" spans="1:1" x14ac:dyDescent="0.45">
      <c r="A1900" s="888"/>
    </row>
    <row r="1901" spans="1:1" x14ac:dyDescent="0.45">
      <c r="A1901" s="888"/>
    </row>
    <row r="1902" spans="1:1" x14ac:dyDescent="0.45">
      <c r="A1902" s="888"/>
    </row>
    <row r="1903" spans="1:1" x14ac:dyDescent="0.45">
      <c r="A1903" s="888"/>
    </row>
    <row r="1904" spans="1:1" x14ac:dyDescent="0.45">
      <c r="A1904" s="888"/>
    </row>
    <row r="1905" spans="1:1" x14ac:dyDescent="0.45">
      <c r="A1905" s="888"/>
    </row>
    <row r="1906" spans="1:1" x14ac:dyDescent="0.45">
      <c r="A1906" s="888"/>
    </row>
    <row r="1907" spans="1:1" x14ac:dyDescent="0.45">
      <c r="A1907" s="888"/>
    </row>
    <row r="1908" spans="1:1" x14ac:dyDescent="0.45">
      <c r="A1908" s="888"/>
    </row>
    <row r="1909" spans="1:1" x14ac:dyDescent="0.45">
      <c r="A1909" s="888"/>
    </row>
    <row r="1910" spans="1:1" x14ac:dyDescent="0.45">
      <c r="A1910" s="888"/>
    </row>
    <row r="1911" spans="1:1" x14ac:dyDescent="0.45">
      <c r="A1911" s="888"/>
    </row>
    <row r="1912" spans="1:1" x14ac:dyDescent="0.45">
      <c r="A1912" s="888"/>
    </row>
    <row r="1913" spans="1:1" x14ac:dyDescent="0.45">
      <c r="A1913" s="888"/>
    </row>
    <row r="1914" spans="1:1" x14ac:dyDescent="0.45">
      <c r="A1914" s="888"/>
    </row>
    <row r="1915" spans="1:1" x14ac:dyDescent="0.45">
      <c r="A1915" s="888"/>
    </row>
    <row r="1916" spans="1:1" x14ac:dyDescent="0.45">
      <c r="A1916" s="888"/>
    </row>
    <row r="1917" spans="1:1" x14ac:dyDescent="0.45">
      <c r="A1917" s="888"/>
    </row>
    <row r="1918" spans="1:1" x14ac:dyDescent="0.45">
      <c r="A1918" s="888"/>
    </row>
    <row r="1919" spans="1:1" x14ac:dyDescent="0.45">
      <c r="A1919" s="888"/>
    </row>
    <row r="1920" spans="1:1" x14ac:dyDescent="0.45">
      <c r="A1920" s="888"/>
    </row>
    <row r="1921" spans="1:1" x14ac:dyDescent="0.45">
      <c r="A1921" s="888"/>
    </row>
    <row r="1922" spans="1:1" x14ac:dyDescent="0.45">
      <c r="A1922" s="888"/>
    </row>
    <row r="1923" spans="1:1" x14ac:dyDescent="0.45">
      <c r="A1923" s="888"/>
    </row>
    <row r="1924" spans="1:1" x14ac:dyDescent="0.45">
      <c r="A1924" s="888"/>
    </row>
    <row r="1925" spans="1:1" x14ac:dyDescent="0.45">
      <c r="A1925" s="888"/>
    </row>
    <row r="1926" spans="1:1" x14ac:dyDescent="0.45">
      <c r="A1926" s="888"/>
    </row>
    <row r="1927" spans="1:1" x14ac:dyDescent="0.45">
      <c r="A1927" s="888"/>
    </row>
    <row r="1928" spans="1:1" x14ac:dyDescent="0.45">
      <c r="A1928" s="888"/>
    </row>
    <row r="1929" spans="1:1" x14ac:dyDescent="0.45">
      <c r="A1929" s="888"/>
    </row>
    <row r="1930" spans="1:1" x14ac:dyDescent="0.45">
      <c r="A1930" s="888"/>
    </row>
    <row r="1931" spans="1:1" x14ac:dyDescent="0.45">
      <c r="A1931" s="888"/>
    </row>
    <row r="1932" spans="1:1" x14ac:dyDescent="0.45">
      <c r="A1932" s="888"/>
    </row>
    <row r="1933" spans="1:1" x14ac:dyDescent="0.45">
      <c r="A1933" s="888"/>
    </row>
    <row r="1934" spans="1:1" x14ac:dyDescent="0.45">
      <c r="A1934" s="888"/>
    </row>
    <row r="1935" spans="1:1" x14ac:dyDescent="0.45">
      <c r="A1935" s="888"/>
    </row>
    <row r="1936" spans="1:1" x14ac:dyDescent="0.45">
      <c r="A1936" s="888"/>
    </row>
    <row r="1937" spans="1:1" x14ac:dyDescent="0.45">
      <c r="A1937" s="888"/>
    </row>
    <row r="1938" spans="1:1" x14ac:dyDescent="0.45">
      <c r="A1938" s="888"/>
    </row>
    <row r="1939" spans="1:1" x14ac:dyDescent="0.45">
      <c r="A1939" s="888"/>
    </row>
    <row r="1940" spans="1:1" x14ac:dyDescent="0.45">
      <c r="A1940" s="888"/>
    </row>
    <row r="1941" spans="1:1" x14ac:dyDescent="0.45">
      <c r="A1941" s="888"/>
    </row>
    <row r="1942" spans="1:1" x14ac:dyDescent="0.45">
      <c r="A1942" s="888"/>
    </row>
    <row r="1943" spans="1:1" x14ac:dyDescent="0.45">
      <c r="A1943" s="888"/>
    </row>
    <row r="1944" spans="1:1" x14ac:dyDescent="0.45">
      <c r="A1944" s="888"/>
    </row>
    <row r="1945" spans="1:1" x14ac:dyDescent="0.45">
      <c r="A1945" s="888"/>
    </row>
    <row r="1946" spans="1:1" x14ac:dyDescent="0.45">
      <c r="A1946" s="888"/>
    </row>
    <row r="1947" spans="1:1" x14ac:dyDescent="0.45">
      <c r="A1947" s="888"/>
    </row>
    <row r="1948" spans="1:1" x14ac:dyDescent="0.45">
      <c r="A1948" s="888"/>
    </row>
    <row r="1949" spans="1:1" x14ac:dyDescent="0.45">
      <c r="A1949" s="888"/>
    </row>
    <row r="1950" spans="1:1" x14ac:dyDescent="0.45">
      <c r="A1950" s="888"/>
    </row>
    <row r="1951" spans="1:1" x14ac:dyDescent="0.45">
      <c r="A1951" s="888"/>
    </row>
    <row r="1952" spans="1:1" x14ac:dyDescent="0.45">
      <c r="A1952" s="888"/>
    </row>
    <row r="1953" spans="1:1" x14ac:dyDescent="0.45">
      <c r="A1953" s="888"/>
    </row>
    <row r="1954" spans="1:1" x14ac:dyDescent="0.45">
      <c r="A1954" s="888"/>
    </row>
    <row r="1955" spans="1:1" x14ac:dyDescent="0.45">
      <c r="A1955" s="888"/>
    </row>
    <row r="1956" spans="1:1" x14ac:dyDescent="0.45">
      <c r="A1956" s="888"/>
    </row>
    <row r="1957" spans="1:1" x14ac:dyDescent="0.45">
      <c r="A1957" s="888"/>
    </row>
    <row r="1958" spans="1:1" x14ac:dyDescent="0.45">
      <c r="A1958" s="888"/>
    </row>
    <row r="1959" spans="1:1" x14ac:dyDescent="0.45">
      <c r="A1959" s="888"/>
    </row>
    <row r="1960" spans="1:1" x14ac:dyDescent="0.45">
      <c r="A1960" s="888"/>
    </row>
    <row r="1961" spans="1:1" x14ac:dyDescent="0.45">
      <c r="A1961" s="888"/>
    </row>
    <row r="1962" spans="1:1" x14ac:dyDescent="0.45">
      <c r="A1962" s="888"/>
    </row>
    <row r="1963" spans="1:1" x14ac:dyDescent="0.45">
      <c r="A1963" s="888"/>
    </row>
    <row r="1964" spans="1:1" x14ac:dyDescent="0.45">
      <c r="A1964" s="888"/>
    </row>
    <row r="1965" spans="1:1" x14ac:dyDescent="0.45">
      <c r="A1965" s="888"/>
    </row>
    <row r="1966" spans="1:1" x14ac:dyDescent="0.45">
      <c r="A1966" s="888"/>
    </row>
    <row r="1967" spans="1:1" x14ac:dyDescent="0.45">
      <c r="A1967" s="888"/>
    </row>
    <row r="1968" spans="1:1" x14ac:dyDescent="0.45">
      <c r="A1968" s="888"/>
    </row>
    <row r="1969" spans="1:1" x14ac:dyDescent="0.45">
      <c r="A1969" s="888"/>
    </row>
    <row r="1970" spans="1:1" x14ac:dyDescent="0.45">
      <c r="A1970" s="888"/>
    </row>
    <row r="1971" spans="1:1" x14ac:dyDescent="0.45">
      <c r="A1971" s="888"/>
    </row>
    <row r="1972" spans="1:1" x14ac:dyDescent="0.45">
      <c r="A1972" s="888"/>
    </row>
    <row r="1973" spans="1:1" x14ac:dyDescent="0.45">
      <c r="A1973" s="888"/>
    </row>
    <row r="1974" spans="1:1" x14ac:dyDescent="0.45">
      <c r="A1974" s="888"/>
    </row>
    <row r="1975" spans="1:1" x14ac:dyDescent="0.45">
      <c r="A1975" s="888"/>
    </row>
    <row r="1976" spans="1:1" x14ac:dyDescent="0.45">
      <c r="A1976" s="888"/>
    </row>
    <row r="1977" spans="1:1" x14ac:dyDescent="0.45">
      <c r="A1977" s="888"/>
    </row>
    <row r="1978" spans="1:1" x14ac:dyDescent="0.45">
      <c r="A1978" s="888"/>
    </row>
    <row r="1979" spans="1:1" x14ac:dyDescent="0.45">
      <c r="A1979" s="888"/>
    </row>
    <row r="1980" spans="1:1" x14ac:dyDescent="0.45">
      <c r="A1980" s="888"/>
    </row>
    <row r="1981" spans="1:1" x14ac:dyDescent="0.45">
      <c r="A1981" s="888"/>
    </row>
    <row r="1982" spans="1:1" x14ac:dyDescent="0.45">
      <c r="A1982" s="888"/>
    </row>
    <row r="1983" spans="1:1" x14ac:dyDescent="0.45">
      <c r="A1983" s="888"/>
    </row>
    <row r="1984" spans="1:1" x14ac:dyDescent="0.45">
      <c r="A1984" s="888"/>
    </row>
    <row r="1985" spans="1:1" x14ac:dyDescent="0.45">
      <c r="A1985" s="888"/>
    </row>
    <row r="1986" spans="1:1" x14ac:dyDescent="0.45">
      <c r="A1986" s="888"/>
    </row>
    <row r="1987" spans="1:1" x14ac:dyDescent="0.45">
      <c r="A1987" s="888"/>
    </row>
    <row r="1988" spans="1:1" x14ac:dyDescent="0.45">
      <c r="A1988" s="888"/>
    </row>
    <row r="1989" spans="1:1" x14ac:dyDescent="0.45">
      <c r="A1989" s="888"/>
    </row>
    <row r="1990" spans="1:1" x14ac:dyDescent="0.45">
      <c r="A1990" s="888"/>
    </row>
    <row r="1991" spans="1:1" x14ac:dyDescent="0.45">
      <c r="A1991" s="888"/>
    </row>
    <row r="1992" spans="1:1" x14ac:dyDescent="0.45">
      <c r="A1992" s="888"/>
    </row>
    <row r="1993" spans="1:1" x14ac:dyDescent="0.45">
      <c r="A1993" s="888"/>
    </row>
    <row r="1994" spans="1:1" x14ac:dyDescent="0.45">
      <c r="A1994" s="888"/>
    </row>
    <row r="1995" spans="1:1" x14ac:dyDescent="0.45">
      <c r="A1995" s="888"/>
    </row>
    <row r="1996" spans="1:1" x14ac:dyDescent="0.45">
      <c r="A1996" s="888"/>
    </row>
    <row r="1997" spans="1:1" x14ac:dyDescent="0.45">
      <c r="A1997" s="888"/>
    </row>
    <row r="1998" spans="1:1" x14ac:dyDescent="0.45">
      <c r="A1998" s="888"/>
    </row>
    <row r="1999" spans="1:1" x14ac:dyDescent="0.45">
      <c r="A1999" s="888"/>
    </row>
    <row r="2000" spans="1:1" x14ac:dyDescent="0.45">
      <c r="A2000" s="888"/>
    </row>
    <row r="2001" spans="1:1" x14ac:dyDescent="0.45">
      <c r="A2001" s="888"/>
    </row>
    <row r="2002" spans="1:1" x14ac:dyDescent="0.45">
      <c r="A2002" s="888"/>
    </row>
    <row r="2003" spans="1:1" x14ac:dyDescent="0.45">
      <c r="A2003" s="888"/>
    </row>
    <row r="2004" spans="1:1" x14ac:dyDescent="0.45">
      <c r="A2004" s="888"/>
    </row>
    <row r="2005" spans="1:1" x14ac:dyDescent="0.45">
      <c r="A2005" s="888"/>
    </row>
    <row r="2006" spans="1:1" x14ac:dyDescent="0.45">
      <c r="A2006" s="888"/>
    </row>
    <row r="2007" spans="1:1" x14ac:dyDescent="0.45">
      <c r="A2007" s="888"/>
    </row>
    <row r="2008" spans="1:1" x14ac:dyDescent="0.45">
      <c r="A2008" s="888"/>
    </row>
    <row r="2009" spans="1:1" x14ac:dyDescent="0.45">
      <c r="A2009" s="888"/>
    </row>
    <row r="2010" spans="1:1" x14ac:dyDescent="0.45">
      <c r="A2010" s="888"/>
    </row>
    <row r="2011" spans="1:1" x14ac:dyDescent="0.45">
      <c r="A2011" s="888"/>
    </row>
    <row r="2012" spans="1:1" x14ac:dyDescent="0.45">
      <c r="A2012" s="888"/>
    </row>
    <row r="2013" spans="1:1" x14ac:dyDescent="0.45">
      <c r="A2013" s="888"/>
    </row>
    <row r="2014" spans="1:1" x14ac:dyDescent="0.45">
      <c r="A2014" s="888"/>
    </row>
    <row r="2015" spans="1:1" x14ac:dyDescent="0.45">
      <c r="A2015" s="888"/>
    </row>
    <row r="2016" spans="1:1" x14ac:dyDescent="0.45">
      <c r="A2016" s="888"/>
    </row>
    <row r="2017" spans="1:1" x14ac:dyDescent="0.45">
      <c r="A2017" s="888"/>
    </row>
    <row r="2018" spans="1:1" x14ac:dyDescent="0.45">
      <c r="A2018" s="888"/>
    </row>
    <row r="2019" spans="1:1" x14ac:dyDescent="0.45">
      <c r="A2019" s="888"/>
    </row>
    <row r="2020" spans="1:1" x14ac:dyDescent="0.45">
      <c r="A2020" s="888"/>
    </row>
    <row r="2021" spans="1:1" x14ac:dyDescent="0.45">
      <c r="A2021" s="888"/>
    </row>
    <row r="2022" spans="1:1" x14ac:dyDescent="0.45">
      <c r="A2022" s="888"/>
    </row>
    <row r="2023" spans="1:1" x14ac:dyDescent="0.45">
      <c r="A2023" s="888"/>
    </row>
    <row r="2024" spans="1:1" x14ac:dyDescent="0.45">
      <c r="A2024" s="888"/>
    </row>
    <row r="2025" spans="1:1" x14ac:dyDescent="0.45">
      <c r="A2025" s="888"/>
    </row>
    <row r="2026" spans="1:1" x14ac:dyDescent="0.45">
      <c r="A2026" s="888"/>
    </row>
    <row r="2027" spans="1:1" x14ac:dyDescent="0.45">
      <c r="A2027" s="888"/>
    </row>
    <row r="2028" spans="1:1" x14ac:dyDescent="0.45">
      <c r="A2028" s="888"/>
    </row>
    <row r="2029" spans="1:1" x14ac:dyDescent="0.45">
      <c r="A2029" s="888"/>
    </row>
    <row r="2030" spans="1:1" x14ac:dyDescent="0.45">
      <c r="A2030" s="888"/>
    </row>
    <row r="2031" spans="1:1" x14ac:dyDescent="0.45">
      <c r="A2031" s="888"/>
    </row>
    <row r="2032" spans="1:1" x14ac:dyDescent="0.45">
      <c r="A2032" s="888"/>
    </row>
    <row r="2033" spans="1:1" x14ac:dyDescent="0.45">
      <c r="A2033" s="888"/>
    </row>
    <row r="2034" spans="1:1" x14ac:dyDescent="0.45">
      <c r="A2034" s="888"/>
    </row>
    <row r="2035" spans="1:1" x14ac:dyDescent="0.45">
      <c r="A2035" s="888"/>
    </row>
    <row r="2036" spans="1:1" x14ac:dyDescent="0.45">
      <c r="A2036" s="888"/>
    </row>
    <row r="2037" spans="1:1" x14ac:dyDescent="0.45">
      <c r="A2037" s="888"/>
    </row>
    <row r="2038" spans="1:1" x14ac:dyDescent="0.45">
      <c r="A2038" s="888"/>
    </row>
    <row r="2039" spans="1:1" x14ac:dyDescent="0.45">
      <c r="A2039" s="888"/>
    </row>
    <row r="2040" spans="1:1" x14ac:dyDescent="0.45">
      <c r="A2040" s="888"/>
    </row>
    <row r="2041" spans="1:1" x14ac:dyDescent="0.45">
      <c r="A2041" s="888"/>
    </row>
    <row r="2042" spans="1:1" x14ac:dyDescent="0.45">
      <c r="A2042" s="888"/>
    </row>
    <row r="2043" spans="1:1" x14ac:dyDescent="0.45">
      <c r="A2043" s="888"/>
    </row>
    <row r="2044" spans="1:1" x14ac:dyDescent="0.45">
      <c r="A2044" s="888"/>
    </row>
    <row r="2045" spans="1:1" x14ac:dyDescent="0.45">
      <c r="A2045" s="888"/>
    </row>
    <row r="2046" spans="1:1" x14ac:dyDescent="0.45">
      <c r="A2046" s="888"/>
    </row>
    <row r="2047" spans="1:1" x14ac:dyDescent="0.45">
      <c r="A2047" s="888"/>
    </row>
    <row r="2048" spans="1:1" x14ac:dyDescent="0.45">
      <c r="A2048" s="888"/>
    </row>
    <row r="2049" spans="1:1" x14ac:dyDescent="0.45">
      <c r="A2049" s="888"/>
    </row>
    <row r="2050" spans="1:1" x14ac:dyDescent="0.45">
      <c r="A2050" s="888"/>
    </row>
    <row r="2051" spans="1:1" x14ac:dyDescent="0.45">
      <c r="A2051" s="888"/>
    </row>
    <row r="2052" spans="1:1" x14ac:dyDescent="0.45">
      <c r="A2052" s="888"/>
    </row>
    <row r="2053" spans="1:1" x14ac:dyDescent="0.45">
      <c r="A2053" s="888"/>
    </row>
    <row r="2054" spans="1:1" x14ac:dyDescent="0.45">
      <c r="A2054" s="888"/>
    </row>
    <row r="2055" spans="1:1" x14ac:dyDescent="0.45">
      <c r="A2055" s="888"/>
    </row>
    <row r="2056" spans="1:1" x14ac:dyDescent="0.45">
      <c r="A2056" s="888"/>
    </row>
    <row r="2057" spans="1:1" x14ac:dyDescent="0.45">
      <c r="A2057" s="888"/>
    </row>
    <row r="2058" spans="1:1" x14ac:dyDescent="0.45">
      <c r="A2058" s="888"/>
    </row>
    <row r="2059" spans="1:1" x14ac:dyDescent="0.45">
      <c r="A2059" s="888"/>
    </row>
    <row r="2060" spans="1:1" x14ac:dyDescent="0.45">
      <c r="A2060" s="888"/>
    </row>
    <row r="2061" spans="1:1" x14ac:dyDescent="0.45">
      <c r="A2061" s="888"/>
    </row>
    <row r="2062" spans="1:1" x14ac:dyDescent="0.45">
      <c r="A2062" s="888"/>
    </row>
    <row r="2063" spans="1:1" x14ac:dyDescent="0.45">
      <c r="A2063" s="888"/>
    </row>
    <row r="2064" spans="1:1" x14ac:dyDescent="0.45">
      <c r="A2064" s="888"/>
    </row>
    <row r="2065" spans="1:1" x14ac:dyDescent="0.45">
      <c r="A2065" s="888"/>
    </row>
    <row r="2066" spans="1:1" x14ac:dyDescent="0.45">
      <c r="A2066" s="888"/>
    </row>
    <row r="2067" spans="1:1" x14ac:dyDescent="0.45">
      <c r="A2067" s="888"/>
    </row>
    <row r="2068" spans="1:1" x14ac:dyDescent="0.45">
      <c r="A2068" s="888"/>
    </row>
    <row r="2069" spans="1:1" x14ac:dyDescent="0.45">
      <c r="A2069" s="888"/>
    </row>
    <row r="2070" spans="1:1" x14ac:dyDescent="0.45">
      <c r="A2070" s="888"/>
    </row>
    <row r="2071" spans="1:1" x14ac:dyDescent="0.45">
      <c r="A2071" s="888"/>
    </row>
    <row r="2072" spans="1:1" x14ac:dyDescent="0.45">
      <c r="A2072" s="888"/>
    </row>
    <row r="2073" spans="1:1" x14ac:dyDescent="0.45">
      <c r="A2073" s="888"/>
    </row>
    <row r="2074" spans="1:1" x14ac:dyDescent="0.45">
      <c r="A2074" s="888"/>
    </row>
    <row r="2075" spans="1:1" x14ac:dyDescent="0.45">
      <c r="A2075" s="888"/>
    </row>
    <row r="2076" spans="1:1" x14ac:dyDescent="0.45">
      <c r="A2076" s="888"/>
    </row>
    <row r="2077" spans="1:1" x14ac:dyDescent="0.45">
      <c r="A2077" s="888"/>
    </row>
    <row r="2078" spans="1:1" x14ac:dyDescent="0.45">
      <c r="A2078" s="888"/>
    </row>
    <row r="2079" spans="1:1" x14ac:dyDescent="0.45">
      <c r="A2079" s="888"/>
    </row>
    <row r="2080" spans="1:1" x14ac:dyDescent="0.45">
      <c r="A2080" s="888"/>
    </row>
    <row r="2081" spans="1:1" x14ac:dyDescent="0.45">
      <c r="A2081" s="888"/>
    </row>
    <row r="2082" spans="1:1" x14ac:dyDescent="0.45">
      <c r="A2082" s="888"/>
    </row>
    <row r="2083" spans="1:1" x14ac:dyDescent="0.45">
      <c r="A2083" s="888"/>
    </row>
    <row r="2084" spans="1:1" x14ac:dyDescent="0.45">
      <c r="A2084" s="888"/>
    </row>
    <row r="2085" spans="1:1" x14ac:dyDescent="0.45">
      <c r="A2085" s="888"/>
    </row>
    <row r="2086" spans="1:1" x14ac:dyDescent="0.45">
      <c r="A2086" s="888"/>
    </row>
    <row r="2087" spans="1:1" x14ac:dyDescent="0.45">
      <c r="A2087" s="888"/>
    </row>
    <row r="2088" spans="1:1" x14ac:dyDescent="0.45">
      <c r="A2088" s="888"/>
    </row>
    <row r="2089" spans="1:1" x14ac:dyDescent="0.45">
      <c r="A2089" s="888"/>
    </row>
    <row r="2090" spans="1:1" x14ac:dyDescent="0.45">
      <c r="A2090" s="888"/>
    </row>
    <row r="2091" spans="1:1" x14ac:dyDescent="0.45">
      <c r="A2091" s="888"/>
    </row>
    <row r="2092" spans="1:1" x14ac:dyDescent="0.45">
      <c r="A2092" s="888"/>
    </row>
    <row r="2093" spans="1:1" x14ac:dyDescent="0.45">
      <c r="A2093" s="888"/>
    </row>
    <row r="2094" spans="1:1" x14ac:dyDescent="0.45">
      <c r="A2094" s="888"/>
    </row>
    <row r="2095" spans="1:1" x14ac:dyDescent="0.45">
      <c r="A2095" s="888"/>
    </row>
    <row r="2096" spans="1:1" x14ac:dyDescent="0.45">
      <c r="A2096" s="888"/>
    </row>
    <row r="2097" spans="1:1" x14ac:dyDescent="0.45">
      <c r="A2097" s="888"/>
    </row>
    <row r="2098" spans="1:1" x14ac:dyDescent="0.45">
      <c r="A2098" s="888"/>
    </row>
    <row r="2099" spans="1:1" x14ac:dyDescent="0.45">
      <c r="A2099" s="888"/>
    </row>
    <row r="2100" spans="1:1" x14ac:dyDescent="0.45">
      <c r="A2100" s="888"/>
    </row>
    <row r="2101" spans="1:1" x14ac:dyDescent="0.45">
      <c r="A2101" s="888"/>
    </row>
    <row r="2102" spans="1:1" x14ac:dyDescent="0.45">
      <c r="A2102" s="888"/>
    </row>
    <row r="2103" spans="1:1" x14ac:dyDescent="0.45">
      <c r="A2103" s="888"/>
    </row>
    <row r="2104" spans="1:1" x14ac:dyDescent="0.45">
      <c r="A2104" s="888"/>
    </row>
    <row r="2105" spans="1:1" x14ac:dyDescent="0.45">
      <c r="A2105" s="888"/>
    </row>
    <row r="2106" spans="1:1" x14ac:dyDescent="0.45">
      <c r="A2106" s="888"/>
    </row>
    <row r="2107" spans="1:1" x14ac:dyDescent="0.45">
      <c r="A2107" s="888"/>
    </row>
    <row r="2108" spans="1:1" x14ac:dyDescent="0.45">
      <c r="A2108" s="888"/>
    </row>
    <row r="2109" spans="1:1" x14ac:dyDescent="0.45">
      <c r="A2109" s="888"/>
    </row>
    <row r="2110" spans="1:1" x14ac:dyDescent="0.45">
      <c r="A2110" s="888"/>
    </row>
    <row r="2111" spans="1:1" x14ac:dyDescent="0.45">
      <c r="A2111" s="888"/>
    </row>
    <row r="2112" spans="1:1" x14ac:dyDescent="0.45">
      <c r="A2112" s="888"/>
    </row>
    <row r="2113" spans="1:1" x14ac:dyDescent="0.45">
      <c r="A2113" s="888"/>
    </row>
    <row r="2114" spans="1:1" x14ac:dyDescent="0.45">
      <c r="A2114" s="888"/>
    </row>
    <row r="2115" spans="1:1" x14ac:dyDescent="0.45">
      <c r="A2115" s="888"/>
    </row>
    <row r="2116" spans="1:1" x14ac:dyDescent="0.45">
      <c r="A2116" s="888"/>
    </row>
    <row r="2117" spans="1:1" x14ac:dyDescent="0.45">
      <c r="A2117" s="888"/>
    </row>
    <row r="2118" spans="1:1" x14ac:dyDescent="0.45">
      <c r="A2118" s="888"/>
    </row>
    <row r="2119" spans="1:1" x14ac:dyDescent="0.45">
      <c r="A2119" s="888"/>
    </row>
    <row r="2120" spans="1:1" x14ac:dyDescent="0.45">
      <c r="A2120" s="888"/>
    </row>
    <row r="2121" spans="1:1" x14ac:dyDescent="0.45">
      <c r="A2121" s="888"/>
    </row>
    <row r="2122" spans="1:1" x14ac:dyDescent="0.45">
      <c r="A2122" s="888"/>
    </row>
    <row r="2123" spans="1:1" x14ac:dyDescent="0.45">
      <c r="A2123" s="888"/>
    </row>
    <row r="2124" spans="1:1" x14ac:dyDescent="0.45">
      <c r="A2124" s="888"/>
    </row>
    <row r="2125" spans="1:1" x14ac:dyDescent="0.45">
      <c r="A2125" s="888"/>
    </row>
    <row r="2126" spans="1:1" x14ac:dyDescent="0.45">
      <c r="A2126" s="888"/>
    </row>
    <row r="2127" spans="1:1" x14ac:dyDescent="0.45">
      <c r="A2127" s="888"/>
    </row>
    <row r="2128" spans="1:1" x14ac:dyDescent="0.45">
      <c r="A2128" s="888"/>
    </row>
    <row r="2129" spans="1:1" x14ac:dyDescent="0.45">
      <c r="A2129" s="888"/>
    </row>
    <row r="2130" spans="1:1" x14ac:dyDescent="0.45">
      <c r="A2130" s="888"/>
    </row>
    <row r="2131" spans="1:1" x14ac:dyDescent="0.45">
      <c r="A2131" s="888"/>
    </row>
    <row r="2132" spans="1:1" x14ac:dyDescent="0.45">
      <c r="A2132" s="888"/>
    </row>
    <row r="2133" spans="1:1" x14ac:dyDescent="0.45">
      <c r="A2133" s="888"/>
    </row>
    <row r="2134" spans="1:1" x14ac:dyDescent="0.45">
      <c r="A2134" s="888"/>
    </row>
    <row r="2135" spans="1:1" x14ac:dyDescent="0.45">
      <c r="A2135" s="888"/>
    </row>
    <row r="2136" spans="1:1" x14ac:dyDescent="0.45">
      <c r="A2136" s="888"/>
    </row>
    <row r="2137" spans="1:1" x14ac:dyDescent="0.45">
      <c r="A2137" s="888"/>
    </row>
    <row r="2138" spans="1:1" x14ac:dyDescent="0.45">
      <c r="A2138" s="888"/>
    </row>
    <row r="2139" spans="1:1" x14ac:dyDescent="0.45">
      <c r="A2139" s="888"/>
    </row>
    <row r="2140" spans="1:1" x14ac:dyDescent="0.45">
      <c r="A2140" s="888"/>
    </row>
    <row r="2141" spans="1:1" x14ac:dyDescent="0.45">
      <c r="A2141" s="888"/>
    </row>
    <row r="2142" spans="1:1" x14ac:dyDescent="0.45">
      <c r="A2142" s="888"/>
    </row>
    <row r="2143" spans="1:1" x14ac:dyDescent="0.45">
      <c r="A2143" s="888"/>
    </row>
    <row r="2144" spans="1:1" x14ac:dyDescent="0.45">
      <c r="A2144" s="888"/>
    </row>
    <row r="2145" spans="1:1" x14ac:dyDescent="0.45">
      <c r="A2145" s="888"/>
    </row>
    <row r="2146" spans="1:1" x14ac:dyDescent="0.45">
      <c r="A2146" s="888"/>
    </row>
    <row r="2147" spans="1:1" x14ac:dyDescent="0.45">
      <c r="A2147" s="888"/>
    </row>
    <row r="2148" spans="1:1" x14ac:dyDescent="0.45">
      <c r="A2148" s="888"/>
    </row>
    <row r="2149" spans="1:1" x14ac:dyDescent="0.45">
      <c r="A2149" s="888"/>
    </row>
    <row r="2150" spans="1:1" x14ac:dyDescent="0.45">
      <c r="A2150" s="888"/>
    </row>
    <row r="2151" spans="1:1" x14ac:dyDescent="0.45">
      <c r="A2151" s="888"/>
    </row>
    <row r="2152" spans="1:1" x14ac:dyDescent="0.45">
      <c r="A2152" s="888"/>
    </row>
    <row r="2153" spans="1:1" x14ac:dyDescent="0.45">
      <c r="A2153" s="888"/>
    </row>
    <row r="2154" spans="1:1" x14ac:dyDescent="0.45">
      <c r="A2154" s="888"/>
    </row>
    <row r="2155" spans="1:1" x14ac:dyDescent="0.45">
      <c r="A2155" s="888"/>
    </row>
    <row r="2156" spans="1:1" x14ac:dyDescent="0.45">
      <c r="A2156" s="888"/>
    </row>
    <row r="2157" spans="1:1" x14ac:dyDescent="0.45">
      <c r="A2157" s="888"/>
    </row>
    <row r="2158" spans="1:1" x14ac:dyDescent="0.45">
      <c r="A2158" s="888"/>
    </row>
    <row r="2159" spans="1:1" x14ac:dyDescent="0.45">
      <c r="A2159" s="888"/>
    </row>
    <row r="2160" spans="1:1" x14ac:dyDescent="0.45">
      <c r="A2160" s="888"/>
    </row>
    <row r="2161" spans="1:1" x14ac:dyDescent="0.45">
      <c r="A2161" s="888"/>
    </row>
    <row r="2162" spans="1:1" x14ac:dyDescent="0.45">
      <c r="A2162" s="888"/>
    </row>
    <row r="2163" spans="1:1" x14ac:dyDescent="0.45">
      <c r="A2163" s="888"/>
    </row>
    <row r="2164" spans="1:1" x14ac:dyDescent="0.45">
      <c r="A2164" s="888"/>
    </row>
    <row r="2165" spans="1:1" x14ac:dyDescent="0.45">
      <c r="A2165" s="888"/>
    </row>
    <row r="2166" spans="1:1" x14ac:dyDescent="0.45">
      <c r="A2166" s="888"/>
    </row>
    <row r="2167" spans="1:1" x14ac:dyDescent="0.45">
      <c r="A2167" s="888"/>
    </row>
    <row r="2168" spans="1:1" x14ac:dyDescent="0.45">
      <c r="A2168" s="888"/>
    </row>
    <row r="2169" spans="1:1" x14ac:dyDescent="0.45">
      <c r="A2169" s="888"/>
    </row>
    <row r="2170" spans="1:1" x14ac:dyDescent="0.45">
      <c r="A2170" s="888"/>
    </row>
    <row r="2171" spans="1:1" x14ac:dyDescent="0.45">
      <c r="A2171" s="888"/>
    </row>
    <row r="2172" spans="1:1" x14ac:dyDescent="0.45">
      <c r="A2172" s="888"/>
    </row>
    <row r="2173" spans="1:1" x14ac:dyDescent="0.45">
      <c r="A2173" s="888"/>
    </row>
    <row r="2174" spans="1:1" x14ac:dyDescent="0.45">
      <c r="A2174" s="888"/>
    </row>
    <row r="2175" spans="1:1" x14ac:dyDescent="0.45">
      <c r="A2175" s="888"/>
    </row>
    <row r="2176" spans="1:1" x14ac:dyDescent="0.45">
      <c r="A2176" s="888"/>
    </row>
    <row r="2177" spans="1:1" x14ac:dyDescent="0.45">
      <c r="A2177" s="888"/>
    </row>
    <row r="2178" spans="1:1" x14ac:dyDescent="0.45">
      <c r="A2178" s="888"/>
    </row>
    <row r="2179" spans="1:1" x14ac:dyDescent="0.45">
      <c r="A2179" s="888"/>
    </row>
    <row r="2180" spans="1:1" x14ac:dyDescent="0.45">
      <c r="A2180" s="888"/>
    </row>
    <row r="2181" spans="1:1" x14ac:dyDescent="0.45">
      <c r="A2181" s="888"/>
    </row>
    <row r="2182" spans="1:1" x14ac:dyDescent="0.45">
      <c r="A2182" s="888"/>
    </row>
    <row r="2183" spans="1:1" x14ac:dyDescent="0.45">
      <c r="A2183" s="888"/>
    </row>
    <row r="2184" spans="1:1" x14ac:dyDescent="0.45">
      <c r="A2184" s="888"/>
    </row>
    <row r="2185" spans="1:1" x14ac:dyDescent="0.45">
      <c r="A2185" s="888"/>
    </row>
    <row r="2186" spans="1:1" x14ac:dyDescent="0.45">
      <c r="A2186" s="888"/>
    </row>
    <row r="2187" spans="1:1" x14ac:dyDescent="0.45">
      <c r="A2187" s="888"/>
    </row>
    <row r="2188" spans="1:1" x14ac:dyDescent="0.45">
      <c r="A2188" s="888"/>
    </row>
    <row r="2189" spans="1:1" x14ac:dyDescent="0.45">
      <c r="A2189" s="888"/>
    </row>
    <row r="2190" spans="1:1" x14ac:dyDescent="0.45">
      <c r="A2190" s="888"/>
    </row>
    <row r="2191" spans="1:1" x14ac:dyDescent="0.45">
      <c r="A2191" s="888"/>
    </row>
    <row r="2192" spans="1:1" x14ac:dyDescent="0.45">
      <c r="A2192" s="888"/>
    </row>
    <row r="2193" spans="1:1" x14ac:dyDescent="0.45">
      <c r="A2193" s="888"/>
    </row>
    <row r="2194" spans="1:1" x14ac:dyDescent="0.45">
      <c r="A2194" s="888"/>
    </row>
    <row r="2195" spans="1:1" x14ac:dyDescent="0.45">
      <c r="A2195" s="888"/>
    </row>
    <row r="2196" spans="1:1" x14ac:dyDescent="0.45">
      <c r="A2196" s="888"/>
    </row>
    <row r="2197" spans="1:1" x14ac:dyDescent="0.45">
      <c r="A2197" s="888"/>
    </row>
    <row r="2198" spans="1:1" x14ac:dyDescent="0.45">
      <c r="A2198" s="888"/>
    </row>
    <row r="2199" spans="1:1" x14ac:dyDescent="0.45">
      <c r="A2199" s="888"/>
    </row>
    <row r="2200" spans="1:1" x14ac:dyDescent="0.45">
      <c r="A2200" s="888"/>
    </row>
    <row r="2201" spans="1:1" x14ac:dyDescent="0.45">
      <c r="A2201" s="888"/>
    </row>
    <row r="2202" spans="1:1" x14ac:dyDescent="0.45">
      <c r="A2202" s="888"/>
    </row>
    <row r="2203" spans="1:1" x14ac:dyDescent="0.45">
      <c r="A2203" s="888"/>
    </row>
    <row r="2204" spans="1:1" x14ac:dyDescent="0.45">
      <c r="A2204" s="888"/>
    </row>
    <row r="2205" spans="1:1" x14ac:dyDescent="0.45">
      <c r="A2205" s="888"/>
    </row>
    <row r="2206" spans="1:1" x14ac:dyDescent="0.45">
      <c r="A2206" s="888"/>
    </row>
    <row r="2207" spans="1:1" x14ac:dyDescent="0.45">
      <c r="A2207" s="888"/>
    </row>
    <row r="2208" spans="1:1" x14ac:dyDescent="0.45">
      <c r="A2208" s="888"/>
    </row>
    <row r="2209" spans="1:1" x14ac:dyDescent="0.45">
      <c r="A2209" s="888"/>
    </row>
    <row r="2210" spans="1:1" x14ac:dyDescent="0.45">
      <c r="A2210" s="888"/>
    </row>
    <row r="2211" spans="1:1" x14ac:dyDescent="0.45">
      <c r="A2211" s="888"/>
    </row>
    <row r="2212" spans="1:1" x14ac:dyDescent="0.45">
      <c r="A2212" s="888"/>
    </row>
    <row r="2213" spans="1:1" x14ac:dyDescent="0.45">
      <c r="A2213" s="888"/>
    </row>
    <row r="2214" spans="1:1" x14ac:dyDescent="0.45">
      <c r="A2214" s="888"/>
    </row>
    <row r="2215" spans="1:1" x14ac:dyDescent="0.45">
      <c r="A2215" s="888"/>
    </row>
    <row r="2216" spans="1:1" x14ac:dyDescent="0.45">
      <c r="A2216" s="888"/>
    </row>
    <row r="2217" spans="1:1" x14ac:dyDescent="0.45">
      <c r="A2217" s="888"/>
    </row>
    <row r="2218" spans="1:1" x14ac:dyDescent="0.45">
      <c r="A2218" s="888"/>
    </row>
    <row r="2219" spans="1:1" x14ac:dyDescent="0.45">
      <c r="A2219" s="888"/>
    </row>
    <row r="2220" spans="1:1" x14ac:dyDescent="0.45">
      <c r="A2220" s="888"/>
    </row>
    <row r="2221" spans="1:1" x14ac:dyDescent="0.45">
      <c r="A2221" s="888"/>
    </row>
    <row r="2222" spans="1:1" x14ac:dyDescent="0.45">
      <c r="A2222" s="888"/>
    </row>
    <row r="2223" spans="1:1" x14ac:dyDescent="0.45">
      <c r="A2223" s="888"/>
    </row>
    <row r="2224" spans="1:1" x14ac:dyDescent="0.45">
      <c r="A2224" s="888"/>
    </row>
    <row r="2225" spans="1:1" x14ac:dyDescent="0.45">
      <c r="A2225" s="888"/>
    </row>
    <row r="2226" spans="1:1" x14ac:dyDescent="0.45">
      <c r="A2226" s="888"/>
    </row>
    <row r="2227" spans="1:1" x14ac:dyDescent="0.45">
      <c r="A2227" s="888"/>
    </row>
    <row r="2228" spans="1:1" x14ac:dyDescent="0.45">
      <c r="A2228" s="888"/>
    </row>
    <row r="2229" spans="1:1" x14ac:dyDescent="0.45">
      <c r="A2229" s="888"/>
    </row>
    <row r="2230" spans="1:1" x14ac:dyDescent="0.45">
      <c r="A2230" s="888"/>
    </row>
    <row r="2231" spans="1:1" x14ac:dyDescent="0.45">
      <c r="A2231" s="888"/>
    </row>
    <row r="2232" spans="1:1" x14ac:dyDescent="0.45">
      <c r="A2232" s="888"/>
    </row>
    <row r="2233" spans="1:1" x14ac:dyDescent="0.45">
      <c r="A2233" s="888"/>
    </row>
    <row r="2234" spans="1:1" x14ac:dyDescent="0.45">
      <c r="A2234" s="888"/>
    </row>
    <row r="2235" spans="1:1" x14ac:dyDescent="0.45">
      <c r="A2235" s="888"/>
    </row>
    <row r="2236" spans="1:1" x14ac:dyDescent="0.45">
      <c r="A2236" s="888"/>
    </row>
    <row r="2237" spans="1:1" x14ac:dyDescent="0.45">
      <c r="A2237" s="888"/>
    </row>
    <row r="2238" spans="1:1" x14ac:dyDescent="0.45">
      <c r="A2238" s="888"/>
    </row>
    <row r="2239" spans="1:1" x14ac:dyDescent="0.45">
      <c r="A2239" s="888"/>
    </row>
    <row r="2240" spans="1:1" x14ac:dyDescent="0.45">
      <c r="A2240" s="888"/>
    </row>
    <row r="2241" spans="1:1" x14ac:dyDescent="0.45">
      <c r="A2241" s="888"/>
    </row>
    <row r="2242" spans="1:1" x14ac:dyDescent="0.45">
      <c r="A2242" s="888"/>
    </row>
    <row r="2243" spans="1:1" x14ac:dyDescent="0.45">
      <c r="A2243" s="888"/>
    </row>
    <row r="2244" spans="1:1" x14ac:dyDescent="0.45">
      <c r="A2244" s="888"/>
    </row>
    <row r="2245" spans="1:1" x14ac:dyDescent="0.45">
      <c r="A2245" s="888"/>
    </row>
    <row r="2246" spans="1:1" x14ac:dyDescent="0.45">
      <c r="A2246" s="888"/>
    </row>
    <row r="2247" spans="1:1" x14ac:dyDescent="0.45">
      <c r="A2247" s="888"/>
    </row>
    <row r="2248" spans="1:1" x14ac:dyDescent="0.45">
      <c r="A2248" s="888"/>
    </row>
    <row r="2249" spans="1:1" x14ac:dyDescent="0.45">
      <c r="A2249" s="888"/>
    </row>
    <row r="2250" spans="1:1" x14ac:dyDescent="0.45">
      <c r="A2250" s="888"/>
    </row>
    <row r="2251" spans="1:1" x14ac:dyDescent="0.45">
      <c r="A2251" s="888"/>
    </row>
    <row r="2252" spans="1:1" x14ac:dyDescent="0.45">
      <c r="A2252" s="888"/>
    </row>
    <row r="2253" spans="1:1" x14ac:dyDescent="0.45">
      <c r="A2253" s="888"/>
    </row>
    <row r="2254" spans="1:1" x14ac:dyDescent="0.45">
      <c r="A2254" s="888"/>
    </row>
    <row r="2255" spans="1:1" x14ac:dyDescent="0.45">
      <c r="A2255" s="888"/>
    </row>
    <row r="2256" spans="1:1" x14ac:dyDescent="0.45">
      <c r="A2256" s="888"/>
    </row>
    <row r="2257" spans="1:1" x14ac:dyDescent="0.45">
      <c r="A2257" s="888"/>
    </row>
    <row r="2258" spans="1:1" x14ac:dyDescent="0.45">
      <c r="A2258" s="888"/>
    </row>
    <row r="2259" spans="1:1" x14ac:dyDescent="0.45">
      <c r="A2259" s="888"/>
    </row>
    <row r="2260" spans="1:1" x14ac:dyDescent="0.45">
      <c r="A2260" s="888"/>
    </row>
    <row r="2261" spans="1:1" x14ac:dyDescent="0.45">
      <c r="A2261" s="888"/>
    </row>
    <row r="2262" spans="1:1" x14ac:dyDescent="0.45">
      <c r="A2262" s="888"/>
    </row>
    <row r="2263" spans="1:1" x14ac:dyDescent="0.45">
      <c r="A2263" s="888"/>
    </row>
    <row r="2264" spans="1:1" x14ac:dyDescent="0.45">
      <c r="A2264" s="888"/>
    </row>
    <row r="2265" spans="1:1" x14ac:dyDescent="0.45">
      <c r="A2265" s="888"/>
    </row>
    <row r="2266" spans="1:1" x14ac:dyDescent="0.45">
      <c r="A2266" s="888"/>
    </row>
    <row r="2267" spans="1:1" x14ac:dyDescent="0.45">
      <c r="A2267" s="888"/>
    </row>
  </sheetData>
  <mergeCells count="1">
    <mergeCell ref="B6:K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469"/>
  <sheetViews>
    <sheetView tabSelected="1" zoomScaleNormal="100" workbookViewId="0">
      <pane xSplit="1" ySplit="9" topLeftCell="B131" activePane="bottomRight" state="frozen"/>
      <selection pane="topRight" activeCell="B1" sqref="B1"/>
      <selection pane="bottomLeft" activeCell="A10" sqref="A10"/>
      <selection pane="bottomRight" activeCell="Q157" sqref="Q157"/>
    </sheetView>
  </sheetViews>
  <sheetFormatPr defaultColWidth="9.53125" defaultRowHeight="12.75" x14ac:dyDescent="0.35"/>
  <cols>
    <col min="1" max="1" width="7.19921875" style="824" customWidth="1"/>
    <col min="2" max="2" width="9" style="824" bestFit="1" customWidth="1"/>
    <col min="3" max="3" width="11.796875" style="824" customWidth="1"/>
    <col min="4" max="4" width="8.53125" style="824" customWidth="1"/>
    <col min="5" max="5" width="7.53125" style="824" customWidth="1"/>
    <col min="6" max="6" width="7.19921875" style="824" customWidth="1"/>
    <col min="7" max="7" width="8" style="824" bestFit="1" customWidth="1"/>
    <col min="8" max="9" width="8" style="824" customWidth="1"/>
    <col min="10" max="10" width="7.46484375" style="824" customWidth="1"/>
    <col min="11" max="11" width="10.265625" style="824" bestFit="1" customWidth="1"/>
    <col min="12" max="12" width="8.53125" style="824" customWidth="1"/>
    <col min="13" max="13" width="9" style="824" bestFit="1" customWidth="1"/>
    <col min="14" max="14" width="7.53125" style="824" customWidth="1"/>
    <col min="15" max="15" width="7" style="824" customWidth="1"/>
    <col min="16" max="16" width="11.46484375" style="824" customWidth="1"/>
    <col min="17" max="17" width="8.46484375" style="824" customWidth="1"/>
    <col min="18" max="18" width="9.73046875" style="824" bestFit="1" customWidth="1"/>
    <col min="19" max="19" width="2.19921875" style="824" customWidth="1"/>
    <col min="20" max="20" width="7.796875" style="824" customWidth="1"/>
    <col min="21" max="21" width="8.53125" style="824" customWidth="1"/>
    <col min="22" max="22" width="10.265625" style="824" bestFit="1" customWidth="1"/>
    <col min="23" max="23" width="7.53125" style="824" customWidth="1"/>
    <col min="24" max="24" width="2.265625" style="824" customWidth="1"/>
    <col min="25" max="25" width="6.46484375" style="824" customWidth="1"/>
    <col min="26" max="26" width="7.53125" style="824" customWidth="1"/>
    <col min="27" max="27" width="8.265625" style="824" customWidth="1"/>
    <col min="28" max="28" width="1.796875" style="824" customWidth="1"/>
    <col min="29" max="29" width="8.265625" style="824" customWidth="1"/>
    <col min="30" max="30" width="9" style="824" bestFit="1" customWidth="1"/>
    <col min="31" max="31" width="0.46484375" style="824" customWidth="1"/>
    <col min="32" max="32" width="9.53125" style="824"/>
    <col min="33" max="33" width="8.796875" style="824" customWidth="1"/>
    <col min="34" max="34" width="12.265625" style="824" customWidth="1"/>
    <col min="35" max="38" width="9.53125" style="824"/>
    <col min="39" max="39" width="10.73046875" style="824" customWidth="1"/>
    <col min="40" max="41" width="9.53125" style="824"/>
    <col min="42" max="42" width="0.796875" style="824" customWidth="1"/>
    <col min="43" max="43" width="8" style="824" customWidth="1"/>
    <col min="44" max="46" width="10" style="824" customWidth="1"/>
    <col min="47" max="52" width="11.46484375" style="824" customWidth="1"/>
    <col min="53" max="53" width="0.796875" style="824" customWidth="1"/>
    <col min="54" max="54" width="9.53125" style="824"/>
    <col min="55" max="55" width="6.73046875" style="824" customWidth="1"/>
    <col min="56" max="56" width="7.796875" style="824" customWidth="1"/>
    <col min="57" max="57" width="8.46484375" style="824" customWidth="1"/>
    <col min="58" max="58" width="7.796875" style="824" customWidth="1"/>
    <col min="59" max="59" width="8.265625" style="824" customWidth="1"/>
    <col min="60" max="60" width="7.46484375" style="824" customWidth="1"/>
    <col min="61" max="61" width="6.73046875" style="824" customWidth="1"/>
    <col min="62" max="63" width="7.796875" style="824" customWidth="1"/>
    <col min="64" max="64" width="10.265625" style="824" bestFit="1" customWidth="1"/>
    <col min="65" max="65" width="9.796875" style="824" bestFit="1" customWidth="1"/>
    <col min="66" max="66" width="9.46484375" style="824" bestFit="1" customWidth="1"/>
    <col min="67" max="260" width="9.53125" style="824"/>
    <col min="261" max="261" width="7.19921875" style="824" customWidth="1"/>
    <col min="262" max="262" width="6.46484375" style="824" bestFit="1" customWidth="1"/>
    <col min="263" max="263" width="8.796875" style="824" customWidth="1"/>
    <col min="264" max="264" width="9.53125" style="824" customWidth="1"/>
    <col min="265" max="265" width="8.53125" style="824" customWidth="1"/>
    <col min="266" max="266" width="7.53125" style="824" customWidth="1"/>
    <col min="267" max="267" width="7.19921875" style="824" customWidth="1"/>
    <col min="268" max="268" width="8" style="824" bestFit="1" customWidth="1"/>
    <col min="269" max="269" width="7.46484375" style="824" customWidth="1"/>
    <col min="270" max="270" width="10.265625" style="824" bestFit="1" customWidth="1"/>
    <col min="271" max="271" width="8.53125" style="824" customWidth="1"/>
    <col min="272" max="272" width="8.53125" style="824" bestFit="1" customWidth="1"/>
    <col min="273" max="273" width="7.53125" style="824" customWidth="1"/>
    <col min="274" max="274" width="5.19921875" style="824" customWidth="1"/>
    <col min="275" max="275" width="9.265625" style="824" customWidth="1"/>
    <col min="276" max="276" width="8.46484375" style="824" customWidth="1"/>
    <col min="277" max="277" width="9.53125" style="824"/>
    <col min="278" max="278" width="2.19921875" style="824" customWidth="1"/>
    <col min="279" max="279" width="7.796875" style="824" customWidth="1"/>
    <col min="280" max="280" width="8.53125" style="824" customWidth="1"/>
    <col min="281" max="281" width="10.265625" style="824" bestFit="1" customWidth="1"/>
    <col min="282" max="282" width="7.53125" style="824" customWidth="1"/>
    <col min="283" max="283" width="2.265625" style="824" customWidth="1"/>
    <col min="284" max="284" width="5.265625" style="824" customWidth="1"/>
    <col min="285" max="285" width="8.265625" style="824" customWidth="1"/>
    <col min="286" max="286" width="1.796875" style="824" customWidth="1"/>
    <col min="287" max="287" width="8.265625" style="824" customWidth="1"/>
    <col min="288" max="288" width="8.53125" style="824" bestFit="1" customWidth="1"/>
    <col min="289" max="289" width="0.46484375" style="824" customWidth="1"/>
    <col min="290" max="290" width="9.53125" style="824"/>
    <col min="291" max="291" width="8.796875" style="824" customWidth="1"/>
    <col min="292" max="296" width="9.53125" style="824"/>
    <col min="297" max="297" width="10.73046875" style="824" customWidth="1"/>
    <col min="298" max="299" width="9.53125" style="824"/>
    <col min="300" max="300" width="0.796875" style="824" customWidth="1"/>
    <col min="301" max="301" width="8" style="824" customWidth="1"/>
    <col min="302" max="303" width="10" style="824" customWidth="1"/>
    <col min="304" max="309" width="11.46484375" style="824" customWidth="1"/>
    <col min="310" max="310" width="0.796875" style="824" customWidth="1"/>
    <col min="311" max="311" width="9.53125" style="824"/>
    <col min="312" max="312" width="6.73046875" style="824" customWidth="1"/>
    <col min="313" max="313" width="7.796875" style="824" customWidth="1"/>
    <col min="314" max="314" width="8.46484375" style="824" customWidth="1"/>
    <col min="315" max="315" width="7.796875" style="824" customWidth="1"/>
    <col min="316" max="316" width="6.46484375" style="824" customWidth="1"/>
    <col min="317" max="317" width="7.46484375" style="824" customWidth="1"/>
    <col min="318" max="318" width="6.73046875" style="824" customWidth="1"/>
    <col min="319" max="319" width="7.796875" style="824" customWidth="1"/>
    <col min="320" max="320" width="10.265625" style="824" bestFit="1" customWidth="1"/>
    <col min="321" max="321" width="9.53125" style="824"/>
    <col min="322" max="322" width="9.46484375" style="824" bestFit="1" customWidth="1"/>
    <col min="323" max="516" width="9.53125" style="824"/>
    <col min="517" max="517" width="7.19921875" style="824" customWidth="1"/>
    <col min="518" max="518" width="6.46484375" style="824" bestFit="1" customWidth="1"/>
    <col min="519" max="519" width="8.796875" style="824" customWidth="1"/>
    <col min="520" max="520" width="9.53125" style="824" customWidth="1"/>
    <col min="521" max="521" width="8.53125" style="824" customWidth="1"/>
    <col min="522" max="522" width="7.53125" style="824" customWidth="1"/>
    <col min="523" max="523" width="7.19921875" style="824" customWidth="1"/>
    <col min="524" max="524" width="8" style="824" bestFit="1" customWidth="1"/>
    <col min="525" max="525" width="7.46484375" style="824" customWidth="1"/>
    <col min="526" max="526" width="10.265625" style="824" bestFit="1" customWidth="1"/>
    <col min="527" max="527" width="8.53125" style="824" customWidth="1"/>
    <col min="528" max="528" width="8.53125" style="824" bestFit="1" customWidth="1"/>
    <col min="529" max="529" width="7.53125" style="824" customWidth="1"/>
    <col min="530" max="530" width="5.19921875" style="824" customWidth="1"/>
    <col min="531" max="531" width="9.265625" style="824" customWidth="1"/>
    <col min="532" max="532" width="8.46484375" style="824" customWidth="1"/>
    <col min="533" max="533" width="9.53125" style="824"/>
    <col min="534" max="534" width="2.19921875" style="824" customWidth="1"/>
    <col min="535" max="535" width="7.796875" style="824" customWidth="1"/>
    <col min="536" max="536" width="8.53125" style="824" customWidth="1"/>
    <col min="537" max="537" width="10.265625" style="824" bestFit="1" customWidth="1"/>
    <col min="538" max="538" width="7.53125" style="824" customWidth="1"/>
    <col min="539" max="539" width="2.265625" style="824" customWidth="1"/>
    <col min="540" max="540" width="5.265625" style="824" customWidth="1"/>
    <col min="541" max="541" width="8.265625" style="824" customWidth="1"/>
    <col min="542" max="542" width="1.796875" style="824" customWidth="1"/>
    <col min="543" max="543" width="8.265625" style="824" customWidth="1"/>
    <col min="544" max="544" width="8.53125" style="824" bestFit="1" customWidth="1"/>
    <col min="545" max="545" width="0.46484375" style="824" customWidth="1"/>
    <col min="546" max="546" width="9.53125" style="824"/>
    <col min="547" max="547" width="8.796875" style="824" customWidth="1"/>
    <col min="548" max="552" width="9.53125" style="824"/>
    <col min="553" max="553" width="10.73046875" style="824" customWidth="1"/>
    <col min="554" max="555" width="9.53125" style="824"/>
    <col min="556" max="556" width="0.796875" style="824" customWidth="1"/>
    <col min="557" max="557" width="8" style="824" customWidth="1"/>
    <col min="558" max="559" width="10" style="824" customWidth="1"/>
    <col min="560" max="565" width="11.46484375" style="824" customWidth="1"/>
    <col min="566" max="566" width="0.796875" style="824" customWidth="1"/>
    <col min="567" max="567" width="9.53125" style="824"/>
    <col min="568" max="568" width="6.73046875" style="824" customWidth="1"/>
    <col min="569" max="569" width="7.796875" style="824" customWidth="1"/>
    <col min="570" max="570" width="8.46484375" style="824" customWidth="1"/>
    <col min="571" max="571" width="7.796875" style="824" customWidth="1"/>
    <col min="572" max="572" width="6.46484375" style="824" customWidth="1"/>
    <col min="573" max="573" width="7.46484375" style="824" customWidth="1"/>
    <col min="574" max="574" width="6.73046875" style="824" customWidth="1"/>
    <col min="575" max="575" width="7.796875" style="824" customWidth="1"/>
    <col min="576" max="576" width="10.265625" style="824" bestFit="1" customWidth="1"/>
    <col min="577" max="577" width="9.53125" style="824"/>
    <col min="578" max="578" width="9.46484375" style="824" bestFit="1" customWidth="1"/>
    <col min="579" max="772" width="9.53125" style="824"/>
    <col min="773" max="773" width="7.19921875" style="824" customWidth="1"/>
    <col min="774" max="774" width="6.46484375" style="824" bestFit="1" customWidth="1"/>
    <col min="775" max="775" width="8.796875" style="824" customWidth="1"/>
    <col min="776" max="776" width="9.53125" style="824" customWidth="1"/>
    <col min="777" max="777" width="8.53125" style="824" customWidth="1"/>
    <col min="778" max="778" width="7.53125" style="824" customWidth="1"/>
    <col min="779" max="779" width="7.19921875" style="824" customWidth="1"/>
    <col min="780" max="780" width="8" style="824" bestFit="1" customWidth="1"/>
    <col min="781" max="781" width="7.46484375" style="824" customWidth="1"/>
    <col min="782" max="782" width="10.265625" style="824" bestFit="1" customWidth="1"/>
    <col min="783" max="783" width="8.53125" style="824" customWidth="1"/>
    <col min="784" max="784" width="8.53125" style="824" bestFit="1" customWidth="1"/>
    <col min="785" max="785" width="7.53125" style="824" customWidth="1"/>
    <col min="786" max="786" width="5.19921875" style="824" customWidth="1"/>
    <col min="787" max="787" width="9.265625" style="824" customWidth="1"/>
    <col min="788" max="788" width="8.46484375" style="824" customWidth="1"/>
    <col min="789" max="789" width="9.53125" style="824"/>
    <col min="790" max="790" width="2.19921875" style="824" customWidth="1"/>
    <col min="791" max="791" width="7.796875" style="824" customWidth="1"/>
    <col min="792" max="792" width="8.53125" style="824" customWidth="1"/>
    <col min="793" max="793" width="10.265625" style="824" bestFit="1" customWidth="1"/>
    <col min="794" max="794" width="7.53125" style="824" customWidth="1"/>
    <col min="795" max="795" width="2.265625" style="824" customWidth="1"/>
    <col min="796" max="796" width="5.265625" style="824" customWidth="1"/>
    <col min="797" max="797" width="8.265625" style="824" customWidth="1"/>
    <col min="798" max="798" width="1.796875" style="824" customWidth="1"/>
    <col min="799" max="799" width="8.265625" style="824" customWidth="1"/>
    <col min="800" max="800" width="8.53125" style="824" bestFit="1" customWidth="1"/>
    <col min="801" max="801" width="0.46484375" style="824" customWidth="1"/>
    <col min="802" max="802" width="9.53125" style="824"/>
    <col min="803" max="803" width="8.796875" style="824" customWidth="1"/>
    <col min="804" max="808" width="9.53125" style="824"/>
    <col min="809" max="809" width="10.73046875" style="824" customWidth="1"/>
    <col min="810" max="811" width="9.53125" style="824"/>
    <col min="812" max="812" width="0.796875" style="824" customWidth="1"/>
    <col min="813" max="813" width="8" style="824" customWidth="1"/>
    <col min="814" max="815" width="10" style="824" customWidth="1"/>
    <col min="816" max="821" width="11.46484375" style="824" customWidth="1"/>
    <col min="822" max="822" width="0.796875" style="824" customWidth="1"/>
    <col min="823" max="823" width="9.53125" style="824"/>
    <col min="824" max="824" width="6.73046875" style="824" customWidth="1"/>
    <col min="825" max="825" width="7.796875" style="824" customWidth="1"/>
    <col min="826" max="826" width="8.46484375" style="824" customWidth="1"/>
    <col min="827" max="827" width="7.796875" style="824" customWidth="1"/>
    <col min="828" max="828" width="6.46484375" style="824" customWidth="1"/>
    <col min="829" max="829" width="7.46484375" style="824" customWidth="1"/>
    <col min="830" max="830" width="6.73046875" style="824" customWidth="1"/>
    <col min="831" max="831" width="7.796875" style="824" customWidth="1"/>
    <col min="832" max="832" width="10.265625" style="824" bestFit="1" customWidth="1"/>
    <col min="833" max="833" width="9.53125" style="824"/>
    <col min="834" max="834" width="9.46484375" style="824" bestFit="1" customWidth="1"/>
    <col min="835" max="1028" width="9.53125" style="824"/>
    <col min="1029" max="1029" width="7.19921875" style="824" customWidth="1"/>
    <col min="1030" max="1030" width="6.46484375" style="824" bestFit="1" customWidth="1"/>
    <col min="1031" max="1031" width="8.796875" style="824" customWidth="1"/>
    <col min="1032" max="1032" width="9.53125" style="824" customWidth="1"/>
    <col min="1033" max="1033" width="8.53125" style="824" customWidth="1"/>
    <col min="1034" max="1034" width="7.53125" style="824" customWidth="1"/>
    <col min="1035" max="1035" width="7.19921875" style="824" customWidth="1"/>
    <col min="1036" max="1036" width="8" style="824" bestFit="1" customWidth="1"/>
    <col min="1037" max="1037" width="7.46484375" style="824" customWidth="1"/>
    <col min="1038" max="1038" width="10.265625" style="824" bestFit="1" customWidth="1"/>
    <col min="1039" max="1039" width="8.53125" style="824" customWidth="1"/>
    <col min="1040" max="1040" width="8.53125" style="824" bestFit="1" customWidth="1"/>
    <col min="1041" max="1041" width="7.53125" style="824" customWidth="1"/>
    <col min="1042" max="1042" width="5.19921875" style="824" customWidth="1"/>
    <col min="1043" max="1043" width="9.265625" style="824" customWidth="1"/>
    <col min="1044" max="1044" width="8.46484375" style="824" customWidth="1"/>
    <col min="1045" max="1045" width="9.53125" style="824"/>
    <col min="1046" max="1046" width="2.19921875" style="824" customWidth="1"/>
    <col min="1047" max="1047" width="7.796875" style="824" customWidth="1"/>
    <col min="1048" max="1048" width="8.53125" style="824" customWidth="1"/>
    <col min="1049" max="1049" width="10.265625" style="824" bestFit="1" customWidth="1"/>
    <col min="1050" max="1050" width="7.53125" style="824" customWidth="1"/>
    <col min="1051" max="1051" width="2.265625" style="824" customWidth="1"/>
    <col min="1052" max="1052" width="5.265625" style="824" customWidth="1"/>
    <col min="1053" max="1053" width="8.265625" style="824" customWidth="1"/>
    <col min="1054" max="1054" width="1.796875" style="824" customWidth="1"/>
    <col min="1055" max="1055" width="8.265625" style="824" customWidth="1"/>
    <col min="1056" max="1056" width="8.53125" style="824" bestFit="1" customWidth="1"/>
    <col min="1057" max="1057" width="0.46484375" style="824" customWidth="1"/>
    <col min="1058" max="1058" width="9.53125" style="824"/>
    <col min="1059" max="1059" width="8.796875" style="824" customWidth="1"/>
    <col min="1060" max="1064" width="9.53125" style="824"/>
    <col min="1065" max="1065" width="10.73046875" style="824" customWidth="1"/>
    <col min="1066" max="1067" width="9.53125" style="824"/>
    <col min="1068" max="1068" width="0.796875" style="824" customWidth="1"/>
    <col min="1069" max="1069" width="8" style="824" customWidth="1"/>
    <col min="1070" max="1071" width="10" style="824" customWidth="1"/>
    <col min="1072" max="1077" width="11.46484375" style="824" customWidth="1"/>
    <col min="1078" max="1078" width="0.796875" style="824" customWidth="1"/>
    <col min="1079" max="1079" width="9.53125" style="824"/>
    <col min="1080" max="1080" width="6.73046875" style="824" customWidth="1"/>
    <col min="1081" max="1081" width="7.796875" style="824" customWidth="1"/>
    <col min="1082" max="1082" width="8.46484375" style="824" customWidth="1"/>
    <col min="1083" max="1083" width="7.796875" style="824" customWidth="1"/>
    <col min="1084" max="1084" width="6.46484375" style="824" customWidth="1"/>
    <col min="1085" max="1085" width="7.46484375" style="824" customWidth="1"/>
    <col min="1086" max="1086" width="6.73046875" style="824" customWidth="1"/>
    <col min="1087" max="1087" width="7.796875" style="824" customWidth="1"/>
    <col min="1088" max="1088" width="10.265625" style="824" bestFit="1" customWidth="1"/>
    <col min="1089" max="1089" width="9.53125" style="824"/>
    <col min="1090" max="1090" width="9.46484375" style="824" bestFit="1" customWidth="1"/>
    <col min="1091" max="1284" width="9.53125" style="824"/>
    <col min="1285" max="1285" width="7.19921875" style="824" customWidth="1"/>
    <col min="1286" max="1286" width="6.46484375" style="824" bestFit="1" customWidth="1"/>
    <col min="1287" max="1287" width="8.796875" style="824" customWidth="1"/>
    <col min="1288" max="1288" width="9.53125" style="824" customWidth="1"/>
    <col min="1289" max="1289" width="8.53125" style="824" customWidth="1"/>
    <col min="1290" max="1290" width="7.53125" style="824" customWidth="1"/>
    <col min="1291" max="1291" width="7.19921875" style="824" customWidth="1"/>
    <col min="1292" max="1292" width="8" style="824" bestFit="1" customWidth="1"/>
    <col min="1293" max="1293" width="7.46484375" style="824" customWidth="1"/>
    <col min="1294" max="1294" width="10.265625" style="824" bestFit="1" customWidth="1"/>
    <col min="1295" max="1295" width="8.53125" style="824" customWidth="1"/>
    <col min="1296" max="1296" width="8.53125" style="824" bestFit="1" customWidth="1"/>
    <col min="1297" max="1297" width="7.53125" style="824" customWidth="1"/>
    <col min="1298" max="1298" width="5.19921875" style="824" customWidth="1"/>
    <col min="1299" max="1299" width="9.265625" style="824" customWidth="1"/>
    <col min="1300" max="1300" width="8.46484375" style="824" customWidth="1"/>
    <col min="1301" max="1301" width="9.53125" style="824"/>
    <col min="1302" max="1302" width="2.19921875" style="824" customWidth="1"/>
    <col min="1303" max="1303" width="7.796875" style="824" customWidth="1"/>
    <col min="1304" max="1304" width="8.53125" style="824" customWidth="1"/>
    <col min="1305" max="1305" width="10.265625" style="824" bestFit="1" customWidth="1"/>
    <col min="1306" max="1306" width="7.53125" style="824" customWidth="1"/>
    <col min="1307" max="1307" width="2.265625" style="824" customWidth="1"/>
    <col min="1308" max="1308" width="5.265625" style="824" customWidth="1"/>
    <col min="1309" max="1309" width="8.265625" style="824" customWidth="1"/>
    <col min="1310" max="1310" width="1.796875" style="824" customWidth="1"/>
    <col min="1311" max="1311" width="8.265625" style="824" customWidth="1"/>
    <col min="1312" max="1312" width="8.53125" style="824" bestFit="1" customWidth="1"/>
    <col min="1313" max="1313" width="0.46484375" style="824" customWidth="1"/>
    <col min="1314" max="1314" width="9.53125" style="824"/>
    <col min="1315" max="1315" width="8.796875" style="824" customWidth="1"/>
    <col min="1316" max="1320" width="9.53125" style="824"/>
    <col min="1321" max="1321" width="10.73046875" style="824" customWidth="1"/>
    <col min="1322" max="1323" width="9.53125" style="824"/>
    <col min="1324" max="1324" width="0.796875" style="824" customWidth="1"/>
    <col min="1325" max="1325" width="8" style="824" customWidth="1"/>
    <col min="1326" max="1327" width="10" style="824" customWidth="1"/>
    <col min="1328" max="1333" width="11.46484375" style="824" customWidth="1"/>
    <col min="1334" max="1334" width="0.796875" style="824" customWidth="1"/>
    <col min="1335" max="1335" width="9.53125" style="824"/>
    <col min="1336" max="1336" width="6.73046875" style="824" customWidth="1"/>
    <col min="1337" max="1337" width="7.796875" style="824" customWidth="1"/>
    <col min="1338" max="1338" width="8.46484375" style="824" customWidth="1"/>
    <col min="1339" max="1339" width="7.796875" style="824" customWidth="1"/>
    <col min="1340" max="1340" width="6.46484375" style="824" customWidth="1"/>
    <col min="1341" max="1341" width="7.46484375" style="824" customWidth="1"/>
    <col min="1342" max="1342" width="6.73046875" style="824" customWidth="1"/>
    <col min="1343" max="1343" width="7.796875" style="824" customWidth="1"/>
    <col min="1344" max="1344" width="10.265625" style="824" bestFit="1" customWidth="1"/>
    <col min="1345" max="1345" width="9.53125" style="824"/>
    <col min="1346" max="1346" width="9.46484375" style="824" bestFit="1" customWidth="1"/>
    <col min="1347" max="1540" width="9.53125" style="824"/>
    <col min="1541" max="1541" width="7.19921875" style="824" customWidth="1"/>
    <col min="1542" max="1542" width="6.46484375" style="824" bestFit="1" customWidth="1"/>
    <col min="1543" max="1543" width="8.796875" style="824" customWidth="1"/>
    <col min="1544" max="1544" width="9.53125" style="824" customWidth="1"/>
    <col min="1545" max="1545" width="8.53125" style="824" customWidth="1"/>
    <col min="1546" max="1546" width="7.53125" style="824" customWidth="1"/>
    <col min="1547" max="1547" width="7.19921875" style="824" customWidth="1"/>
    <col min="1548" max="1548" width="8" style="824" bestFit="1" customWidth="1"/>
    <col min="1549" max="1549" width="7.46484375" style="824" customWidth="1"/>
    <col min="1550" max="1550" width="10.265625" style="824" bestFit="1" customWidth="1"/>
    <col min="1551" max="1551" width="8.53125" style="824" customWidth="1"/>
    <col min="1552" max="1552" width="8.53125" style="824" bestFit="1" customWidth="1"/>
    <col min="1553" max="1553" width="7.53125" style="824" customWidth="1"/>
    <col min="1554" max="1554" width="5.19921875" style="824" customWidth="1"/>
    <col min="1555" max="1555" width="9.265625" style="824" customWidth="1"/>
    <col min="1556" max="1556" width="8.46484375" style="824" customWidth="1"/>
    <col min="1557" max="1557" width="9.53125" style="824"/>
    <col min="1558" max="1558" width="2.19921875" style="824" customWidth="1"/>
    <col min="1559" max="1559" width="7.796875" style="824" customWidth="1"/>
    <col min="1560" max="1560" width="8.53125" style="824" customWidth="1"/>
    <col min="1561" max="1561" width="10.265625" style="824" bestFit="1" customWidth="1"/>
    <col min="1562" max="1562" width="7.53125" style="824" customWidth="1"/>
    <col min="1563" max="1563" width="2.265625" style="824" customWidth="1"/>
    <col min="1564" max="1564" width="5.265625" style="824" customWidth="1"/>
    <col min="1565" max="1565" width="8.265625" style="824" customWidth="1"/>
    <col min="1566" max="1566" width="1.796875" style="824" customWidth="1"/>
    <col min="1567" max="1567" width="8.265625" style="824" customWidth="1"/>
    <col min="1568" max="1568" width="8.53125" style="824" bestFit="1" customWidth="1"/>
    <col min="1569" max="1569" width="0.46484375" style="824" customWidth="1"/>
    <col min="1570" max="1570" width="9.53125" style="824"/>
    <col min="1571" max="1571" width="8.796875" style="824" customWidth="1"/>
    <col min="1572" max="1576" width="9.53125" style="824"/>
    <col min="1577" max="1577" width="10.73046875" style="824" customWidth="1"/>
    <col min="1578" max="1579" width="9.53125" style="824"/>
    <col min="1580" max="1580" width="0.796875" style="824" customWidth="1"/>
    <col min="1581" max="1581" width="8" style="824" customWidth="1"/>
    <col min="1582" max="1583" width="10" style="824" customWidth="1"/>
    <col min="1584" max="1589" width="11.46484375" style="824" customWidth="1"/>
    <col min="1590" max="1590" width="0.796875" style="824" customWidth="1"/>
    <col min="1591" max="1591" width="9.53125" style="824"/>
    <col min="1592" max="1592" width="6.73046875" style="824" customWidth="1"/>
    <col min="1593" max="1593" width="7.796875" style="824" customWidth="1"/>
    <col min="1594" max="1594" width="8.46484375" style="824" customWidth="1"/>
    <col min="1595" max="1595" width="7.796875" style="824" customWidth="1"/>
    <col min="1596" max="1596" width="6.46484375" style="824" customWidth="1"/>
    <col min="1597" max="1597" width="7.46484375" style="824" customWidth="1"/>
    <col min="1598" max="1598" width="6.73046875" style="824" customWidth="1"/>
    <col min="1599" max="1599" width="7.796875" style="824" customWidth="1"/>
    <col min="1600" max="1600" width="10.265625" style="824" bestFit="1" customWidth="1"/>
    <col min="1601" max="1601" width="9.53125" style="824"/>
    <col min="1602" max="1602" width="9.46484375" style="824" bestFit="1" customWidth="1"/>
    <col min="1603" max="1796" width="9.53125" style="824"/>
    <col min="1797" max="1797" width="7.19921875" style="824" customWidth="1"/>
    <col min="1798" max="1798" width="6.46484375" style="824" bestFit="1" customWidth="1"/>
    <col min="1799" max="1799" width="8.796875" style="824" customWidth="1"/>
    <col min="1800" max="1800" width="9.53125" style="824" customWidth="1"/>
    <col min="1801" max="1801" width="8.53125" style="824" customWidth="1"/>
    <col min="1802" max="1802" width="7.53125" style="824" customWidth="1"/>
    <col min="1803" max="1803" width="7.19921875" style="824" customWidth="1"/>
    <col min="1804" max="1804" width="8" style="824" bestFit="1" customWidth="1"/>
    <col min="1805" max="1805" width="7.46484375" style="824" customWidth="1"/>
    <col min="1806" max="1806" width="10.265625" style="824" bestFit="1" customWidth="1"/>
    <col min="1807" max="1807" width="8.53125" style="824" customWidth="1"/>
    <col min="1808" max="1808" width="8.53125" style="824" bestFit="1" customWidth="1"/>
    <col min="1809" max="1809" width="7.53125" style="824" customWidth="1"/>
    <col min="1810" max="1810" width="5.19921875" style="824" customWidth="1"/>
    <col min="1811" max="1811" width="9.265625" style="824" customWidth="1"/>
    <col min="1812" max="1812" width="8.46484375" style="824" customWidth="1"/>
    <col min="1813" max="1813" width="9.53125" style="824"/>
    <col min="1814" max="1814" width="2.19921875" style="824" customWidth="1"/>
    <col min="1815" max="1815" width="7.796875" style="824" customWidth="1"/>
    <col min="1816" max="1816" width="8.53125" style="824" customWidth="1"/>
    <col min="1817" max="1817" width="10.265625" style="824" bestFit="1" customWidth="1"/>
    <col min="1818" max="1818" width="7.53125" style="824" customWidth="1"/>
    <col min="1819" max="1819" width="2.265625" style="824" customWidth="1"/>
    <col min="1820" max="1820" width="5.265625" style="824" customWidth="1"/>
    <col min="1821" max="1821" width="8.265625" style="824" customWidth="1"/>
    <col min="1822" max="1822" width="1.796875" style="824" customWidth="1"/>
    <col min="1823" max="1823" width="8.265625" style="824" customWidth="1"/>
    <col min="1824" max="1824" width="8.53125" style="824" bestFit="1" customWidth="1"/>
    <col min="1825" max="1825" width="0.46484375" style="824" customWidth="1"/>
    <col min="1826" max="1826" width="9.53125" style="824"/>
    <col min="1827" max="1827" width="8.796875" style="824" customWidth="1"/>
    <col min="1828" max="1832" width="9.53125" style="824"/>
    <col min="1833" max="1833" width="10.73046875" style="824" customWidth="1"/>
    <col min="1834" max="1835" width="9.53125" style="824"/>
    <col min="1836" max="1836" width="0.796875" style="824" customWidth="1"/>
    <col min="1837" max="1837" width="8" style="824" customWidth="1"/>
    <col min="1838" max="1839" width="10" style="824" customWidth="1"/>
    <col min="1840" max="1845" width="11.46484375" style="824" customWidth="1"/>
    <col min="1846" max="1846" width="0.796875" style="824" customWidth="1"/>
    <col min="1847" max="1847" width="9.53125" style="824"/>
    <col min="1848" max="1848" width="6.73046875" style="824" customWidth="1"/>
    <col min="1849" max="1849" width="7.796875" style="824" customWidth="1"/>
    <col min="1850" max="1850" width="8.46484375" style="824" customWidth="1"/>
    <col min="1851" max="1851" width="7.796875" style="824" customWidth="1"/>
    <col min="1852" max="1852" width="6.46484375" style="824" customWidth="1"/>
    <col min="1853" max="1853" width="7.46484375" style="824" customWidth="1"/>
    <col min="1854" max="1854" width="6.73046875" style="824" customWidth="1"/>
    <col min="1855" max="1855" width="7.796875" style="824" customWidth="1"/>
    <col min="1856" max="1856" width="10.265625" style="824" bestFit="1" customWidth="1"/>
    <col min="1857" max="1857" width="9.53125" style="824"/>
    <col min="1858" max="1858" width="9.46484375" style="824" bestFit="1" customWidth="1"/>
    <col min="1859" max="2052" width="9.53125" style="824"/>
    <col min="2053" max="2053" width="7.19921875" style="824" customWidth="1"/>
    <col min="2054" max="2054" width="6.46484375" style="824" bestFit="1" customWidth="1"/>
    <col min="2055" max="2055" width="8.796875" style="824" customWidth="1"/>
    <col min="2056" max="2056" width="9.53125" style="824" customWidth="1"/>
    <col min="2057" max="2057" width="8.53125" style="824" customWidth="1"/>
    <col min="2058" max="2058" width="7.53125" style="824" customWidth="1"/>
    <col min="2059" max="2059" width="7.19921875" style="824" customWidth="1"/>
    <col min="2060" max="2060" width="8" style="824" bestFit="1" customWidth="1"/>
    <col min="2061" max="2061" width="7.46484375" style="824" customWidth="1"/>
    <col min="2062" max="2062" width="10.265625" style="824" bestFit="1" customWidth="1"/>
    <col min="2063" max="2063" width="8.53125" style="824" customWidth="1"/>
    <col min="2064" max="2064" width="8.53125" style="824" bestFit="1" customWidth="1"/>
    <col min="2065" max="2065" width="7.53125" style="824" customWidth="1"/>
    <col min="2066" max="2066" width="5.19921875" style="824" customWidth="1"/>
    <col min="2067" max="2067" width="9.265625" style="824" customWidth="1"/>
    <col min="2068" max="2068" width="8.46484375" style="824" customWidth="1"/>
    <col min="2069" max="2069" width="9.53125" style="824"/>
    <col min="2070" max="2070" width="2.19921875" style="824" customWidth="1"/>
    <col min="2071" max="2071" width="7.796875" style="824" customWidth="1"/>
    <col min="2072" max="2072" width="8.53125" style="824" customWidth="1"/>
    <col min="2073" max="2073" width="10.265625" style="824" bestFit="1" customWidth="1"/>
    <col min="2074" max="2074" width="7.53125" style="824" customWidth="1"/>
    <col min="2075" max="2075" width="2.265625" style="824" customWidth="1"/>
    <col min="2076" max="2076" width="5.265625" style="824" customWidth="1"/>
    <col min="2077" max="2077" width="8.265625" style="824" customWidth="1"/>
    <col min="2078" max="2078" width="1.796875" style="824" customWidth="1"/>
    <col min="2079" max="2079" width="8.265625" style="824" customWidth="1"/>
    <col min="2080" max="2080" width="8.53125" style="824" bestFit="1" customWidth="1"/>
    <col min="2081" max="2081" width="0.46484375" style="824" customWidth="1"/>
    <col min="2082" max="2082" width="9.53125" style="824"/>
    <col min="2083" max="2083" width="8.796875" style="824" customWidth="1"/>
    <col min="2084" max="2088" width="9.53125" style="824"/>
    <col min="2089" max="2089" width="10.73046875" style="824" customWidth="1"/>
    <col min="2090" max="2091" width="9.53125" style="824"/>
    <col min="2092" max="2092" width="0.796875" style="824" customWidth="1"/>
    <col min="2093" max="2093" width="8" style="824" customWidth="1"/>
    <col min="2094" max="2095" width="10" style="824" customWidth="1"/>
    <col min="2096" max="2101" width="11.46484375" style="824" customWidth="1"/>
    <col min="2102" max="2102" width="0.796875" style="824" customWidth="1"/>
    <col min="2103" max="2103" width="9.53125" style="824"/>
    <col min="2104" max="2104" width="6.73046875" style="824" customWidth="1"/>
    <col min="2105" max="2105" width="7.796875" style="824" customWidth="1"/>
    <col min="2106" max="2106" width="8.46484375" style="824" customWidth="1"/>
    <col min="2107" max="2107" width="7.796875" style="824" customWidth="1"/>
    <col min="2108" max="2108" width="6.46484375" style="824" customWidth="1"/>
    <col min="2109" max="2109" width="7.46484375" style="824" customWidth="1"/>
    <col min="2110" max="2110" width="6.73046875" style="824" customWidth="1"/>
    <col min="2111" max="2111" width="7.796875" style="824" customWidth="1"/>
    <col min="2112" max="2112" width="10.265625" style="824" bestFit="1" customWidth="1"/>
    <col min="2113" max="2113" width="9.53125" style="824"/>
    <col min="2114" max="2114" width="9.46484375" style="824" bestFit="1" customWidth="1"/>
    <col min="2115" max="2308" width="9.53125" style="824"/>
    <col min="2309" max="2309" width="7.19921875" style="824" customWidth="1"/>
    <col min="2310" max="2310" width="6.46484375" style="824" bestFit="1" customWidth="1"/>
    <col min="2311" max="2311" width="8.796875" style="824" customWidth="1"/>
    <col min="2312" max="2312" width="9.53125" style="824" customWidth="1"/>
    <col min="2313" max="2313" width="8.53125" style="824" customWidth="1"/>
    <col min="2314" max="2314" width="7.53125" style="824" customWidth="1"/>
    <col min="2315" max="2315" width="7.19921875" style="824" customWidth="1"/>
    <col min="2316" max="2316" width="8" style="824" bestFit="1" customWidth="1"/>
    <col min="2317" max="2317" width="7.46484375" style="824" customWidth="1"/>
    <col min="2318" max="2318" width="10.265625" style="824" bestFit="1" customWidth="1"/>
    <col min="2319" max="2319" width="8.53125" style="824" customWidth="1"/>
    <col min="2320" max="2320" width="8.53125" style="824" bestFit="1" customWidth="1"/>
    <col min="2321" max="2321" width="7.53125" style="824" customWidth="1"/>
    <col min="2322" max="2322" width="5.19921875" style="824" customWidth="1"/>
    <col min="2323" max="2323" width="9.265625" style="824" customWidth="1"/>
    <col min="2324" max="2324" width="8.46484375" style="824" customWidth="1"/>
    <col min="2325" max="2325" width="9.53125" style="824"/>
    <col min="2326" max="2326" width="2.19921875" style="824" customWidth="1"/>
    <col min="2327" max="2327" width="7.796875" style="824" customWidth="1"/>
    <col min="2328" max="2328" width="8.53125" style="824" customWidth="1"/>
    <col min="2329" max="2329" width="10.265625" style="824" bestFit="1" customWidth="1"/>
    <col min="2330" max="2330" width="7.53125" style="824" customWidth="1"/>
    <col min="2331" max="2331" width="2.265625" style="824" customWidth="1"/>
    <col min="2332" max="2332" width="5.265625" style="824" customWidth="1"/>
    <col min="2333" max="2333" width="8.265625" style="824" customWidth="1"/>
    <col min="2334" max="2334" width="1.796875" style="824" customWidth="1"/>
    <col min="2335" max="2335" width="8.265625" style="824" customWidth="1"/>
    <col min="2336" max="2336" width="8.53125" style="824" bestFit="1" customWidth="1"/>
    <col min="2337" max="2337" width="0.46484375" style="824" customWidth="1"/>
    <col min="2338" max="2338" width="9.53125" style="824"/>
    <col min="2339" max="2339" width="8.796875" style="824" customWidth="1"/>
    <col min="2340" max="2344" width="9.53125" style="824"/>
    <col min="2345" max="2345" width="10.73046875" style="824" customWidth="1"/>
    <col min="2346" max="2347" width="9.53125" style="824"/>
    <col min="2348" max="2348" width="0.796875" style="824" customWidth="1"/>
    <col min="2349" max="2349" width="8" style="824" customWidth="1"/>
    <col min="2350" max="2351" width="10" style="824" customWidth="1"/>
    <col min="2352" max="2357" width="11.46484375" style="824" customWidth="1"/>
    <col min="2358" max="2358" width="0.796875" style="824" customWidth="1"/>
    <col min="2359" max="2359" width="9.53125" style="824"/>
    <col min="2360" max="2360" width="6.73046875" style="824" customWidth="1"/>
    <col min="2361" max="2361" width="7.796875" style="824" customWidth="1"/>
    <col min="2362" max="2362" width="8.46484375" style="824" customWidth="1"/>
    <col min="2363" max="2363" width="7.796875" style="824" customWidth="1"/>
    <col min="2364" max="2364" width="6.46484375" style="824" customWidth="1"/>
    <col min="2365" max="2365" width="7.46484375" style="824" customWidth="1"/>
    <col min="2366" max="2366" width="6.73046875" style="824" customWidth="1"/>
    <col min="2367" max="2367" width="7.796875" style="824" customWidth="1"/>
    <col min="2368" max="2368" width="10.265625" style="824" bestFit="1" customWidth="1"/>
    <col min="2369" max="2369" width="9.53125" style="824"/>
    <col min="2370" max="2370" width="9.46484375" style="824" bestFit="1" customWidth="1"/>
    <col min="2371" max="2564" width="9.53125" style="824"/>
    <col min="2565" max="2565" width="7.19921875" style="824" customWidth="1"/>
    <col min="2566" max="2566" width="6.46484375" style="824" bestFit="1" customWidth="1"/>
    <col min="2567" max="2567" width="8.796875" style="824" customWidth="1"/>
    <col min="2568" max="2568" width="9.53125" style="824" customWidth="1"/>
    <col min="2569" max="2569" width="8.53125" style="824" customWidth="1"/>
    <col min="2570" max="2570" width="7.53125" style="824" customWidth="1"/>
    <col min="2571" max="2571" width="7.19921875" style="824" customWidth="1"/>
    <col min="2572" max="2572" width="8" style="824" bestFit="1" customWidth="1"/>
    <col min="2573" max="2573" width="7.46484375" style="824" customWidth="1"/>
    <col min="2574" max="2574" width="10.265625" style="824" bestFit="1" customWidth="1"/>
    <col min="2575" max="2575" width="8.53125" style="824" customWidth="1"/>
    <col min="2576" max="2576" width="8.53125" style="824" bestFit="1" customWidth="1"/>
    <col min="2577" max="2577" width="7.53125" style="824" customWidth="1"/>
    <col min="2578" max="2578" width="5.19921875" style="824" customWidth="1"/>
    <col min="2579" max="2579" width="9.265625" style="824" customWidth="1"/>
    <col min="2580" max="2580" width="8.46484375" style="824" customWidth="1"/>
    <col min="2581" max="2581" width="9.53125" style="824"/>
    <col min="2582" max="2582" width="2.19921875" style="824" customWidth="1"/>
    <col min="2583" max="2583" width="7.796875" style="824" customWidth="1"/>
    <col min="2584" max="2584" width="8.53125" style="824" customWidth="1"/>
    <col min="2585" max="2585" width="10.265625" style="824" bestFit="1" customWidth="1"/>
    <col min="2586" max="2586" width="7.53125" style="824" customWidth="1"/>
    <col min="2587" max="2587" width="2.265625" style="824" customWidth="1"/>
    <col min="2588" max="2588" width="5.265625" style="824" customWidth="1"/>
    <col min="2589" max="2589" width="8.265625" style="824" customWidth="1"/>
    <col min="2590" max="2590" width="1.796875" style="824" customWidth="1"/>
    <col min="2591" max="2591" width="8.265625" style="824" customWidth="1"/>
    <col min="2592" max="2592" width="8.53125" style="824" bestFit="1" customWidth="1"/>
    <col min="2593" max="2593" width="0.46484375" style="824" customWidth="1"/>
    <col min="2594" max="2594" width="9.53125" style="824"/>
    <col min="2595" max="2595" width="8.796875" style="824" customWidth="1"/>
    <col min="2596" max="2600" width="9.53125" style="824"/>
    <col min="2601" max="2601" width="10.73046875" style="824" customWidth="1"/>
    <col min="2602" max="2603" width="9.53125" style="824"/>
    <col min="2604" max="2604" width="0.796875" style="824" customWidth="1"/>
    <col min="2605" max="2605" width="8" style="824" customWidth="1"/>
    <col min="2606" max="2607" width="10" style="824" customWidth="1"/>
    <col min="2608" max="2613" width="11.46484375" style="824" customWidth="1"/>
    <col min="2614" max="2614" width="0.796875" style="824" customWidth="1"/>
    <col min="2615" max="2615" width="9.53125" style="824"/>
    <col min="2616" max="2616" width="6.73046875" style="824" customWidth="1"/>
    <col min="2617" max="2617" width="7.796875" style="824" customWidth="1"/>
    <col min="2618" max="2618" width="8.46484375" style="824" customWidth="1"/>
    <col min="2619" max="2619" width="7.796875" style="824" customWidth="1"/>
    <col min="2620" max="2620" width="6.46484375" style="824" customWidth="1"/>
    <col min="2621" max="2621" width="7.46484375" style="824" customWidth="1"/>
    <col min="2622" max="2622" width="6.73046875" style="824" customWidth="1"/>
    <col min="2623" max="2623" width="7.796875" style="824" customWidth="1"/>
    <col min="2624" max="2624" width="10.265625" style="824" bestFit="1" customWidth="1"/>
    <col min="2625" max="2625" width="9.53125" style="824"/>
    <col min="2626" max="2626" width="9.46484375" style="824" bestFit="1" customWidth="1"/>
    <col min="2627" max="2820" width="9.53125" style="824"/>
    <col min="2821" max="2821" width="7.19921875" style="824" customWidth="1"/>
    <col min="2822" max="2822" width="6.46484375" style="824" bestFit="1" customWidth="1"/>
    <col min="2823" max="2823" width="8.796875" style="824" customWidth="1"/>
    <col min="2824" max="2824" width="9.53125" style="824" customWidth="1"/>
    <col min="2825" max="2825" width="8.53125" style="824" customWidth="1"/>
    <col min="2826" max="2826" width="7.53125" style="824" customWidth="1"/>
    <col min="2827" max="2827" width="7.19921875" style="824" customWidth="1"/>
    <col min="2828" max="2828" width="8" style="824" bestFit="1" customWidth="1"/>
    <col min="2829" max="2829" width="7.46484375" style="824" customWidth="1"/>
    <col min="2830" max="2830" width="10.265625" style="824" bestFit="1" customWidth="1"/>
    <col min="2831" max="2831" width="8.53125" style="824" customWidth="1"/>
    <col min="2832" max="2832" width="8.53125" style="824" bestFit="1" customWidth="1"/>
    <col min="2833" max="2833" width="7.53125" style="824" customWidth="1"/>
    <col min="2834" max="2834" width="5.19921875" style="824" customWidth="1"/>
    <col min="2835" max="2835" width="9.265625" style="824" customWidth="1"/>
    <col min="2836" max="2836" width="8.46484375" style="824" customWidth="1"/>
    <col min="2837" max="2837" width="9.53125" style="824"/>
    <col min="2838" max="2838" width="2.19921875" style="824" customWidth="1"/>
    <col min="2839" max="2839" width="7.796875" style="824" customWidth="1"/>
    <col min="2840" max="2840" width="8.53125" style="824" customWidth="1"/>
    <col min="2841" max="2841" width="10.265625" style="824" bestFit="1" customWidth="1"/>
    <col min="2842" max="2842" width="7.53125" style="824" customWidth="1"/>
    <col min="2843" max="2843" width="2.265625" style="824" customWidth="1"/>
    <col min="2844" max="2844" width="5.265625" style="824" customWidth="1"/>
    <col min="2845" max="2845" width="8.265625" style="824" customWidth="1"/>
    <col min="2846" max="2846" width="1.796875" style="824" customWidth="1"/>
    <col min="2847" max="2847" width="8.265625" style="824" customWidth="1"/>
    <col min="2848" max="2848" width="8.53125" style="824" bestFit="1" customWidth="1"/>
    <col min="2849" max="2849" width="0.46484375" style="824" customWidth="1"/>
    <col min="2850" max="2850" width="9.53125" style="824"/>
    <col min="2851" max="2851" width="8.796875" style="824" customWidth="1"/>
    <col min="2852" max="2856" width="9.53125" style="824"/>
    <col min="2857" max="2857" width="10.73046875" style="824" customWidth="1"/>
    <col min="2858" max="2859" width="9.53125" style="824"/>
    <col min="2860" max="2860" width="0.796875" style="824" customWidth="1"/>
    <col min="2861" max="2861" width="8" style="824" customWidth="1"/>
    <col min="2862" max="2863" width="10" style="824" customWidth="1"/>
    <col min="2864" max="2869" width="11.46484375" style="824" customWidth="1"/>
    <col min="2870" max="2870" width="0.796875" style="824" customWidth="1"/>
    <col min="2871" max="2871" width="9.53125" style="824"/>
    <col min="2872" max="2872" width="6.73046875" style="824" customWidth="1"/>
    <col min="2873" max="2873" width="7.796875" style="824" customWidth="1"/>
    <col min="2874" max="2874" width="8.46484375" style="824" customWidth="1"/>
    <col min="2875" max="2875" width="7.796875" style="824" customWidth="1"/>
    <col min="2876" max="2876" width="6.46484375" style="824" customWidth="1"/>
    <col min="2877" max="2877" width="7.46484375" style="824" customWidth="1"/>
    <col min="2878" max="2878" width="6.73046875" style="824" customWidth="1"/>
    <col min="2879" max="2879" width="7.796875" style="824" customWidth="1"/>
    <col min="2880" max="2880" width="10.265625" style="824" bestFit="1" customWidth="1"/>
    <col min="2881" max="2881" width="9.53125" style="824"/>
    <col min="2882" max="2882" width="9.46484375" style="824" bestFit="1" customWidth="1"/>
    <col min="2883" max="3076" width="9.53125" style="824"/>
    <col min="3077" max="3077" width="7.19921875" style="824" customWidth="1"/>
    <col min="3078" max="3078" width="6.46484375" style="824" bestFit="1" customWidth="1"/>
    <col min="3079" max="3079" width="8.796875" style="824" customWidth="1"/>
    <col min="3080" max="3080" width="9.53125" style="824" customWidth="1"/>
    <col min="3081" max="3081" width="8.53125" style="824" customWidth="1"/>
    <col min="3082" max="3082" width="7.53125" style="824" customWidth="1"/>
    <col min="3083" max="3083" width="7.19921875" style="824" customWidth="1"/>
    <col min="3084" max="3084" width="8" style="824" bestFit="1" customWidth="1"/>
    <col min="3085" max="3085" width="7.46484375" style="824" customWidth="1"/>
    <col min="3086" max="3086" width="10.265625" style="824" bestFit="1" customWidth="1"/>
    <col min="3087" max="3087" width="8.53125" style="824" customWidth="1"/>
    <col min="3088" max="3088" width="8.53125" style="824" bestFit="1" customWidth="1"/>
    <col min="3089" max="3089" width="7.53125" style="824" customWidth="1"/>
    <col min="3090" max="3090" width="5.19921875" style="824" customWidth="1"/>
    <col min="3091" max="3091" width="9.265625" style="824" customWidth="1"/>
    <col min="3092" max="3092" width="8.46484375" style="824" customWidth="1"/>
    <col min="3093" max="3093" width="9.53125" style="824"/>
    <col min="3094" max="3094" width="2.19921875" style="824" customWidth="1"/>
    <col min="3095" max="3095" width="7.796875" style="824" customWidth="1"/>
    <col min="3096" max="3096" width="8.53125" style="824" customWidth="1"/>
    <col min="3097" max="3097" width="10.265625" style="824" bestFit="1" customWidth="1"/>
    <col min="3098" max="3098" width="7.53125" style="824" customWidth="1"/>
    <col min="3099" max="3099" width="2.265625" style="824" customWidth="1"/>
    <col min="3100" max="3100" width="5.265625" style="824" customWidth="1"/>
    <col min="3101" max="3101" width="8.265625" style="824" customWidth="1"/>
    <col min="3102" max="3102" width="1.796875" style="824" customWidth="1"/>
    <col min="3103" max="3103" width="8.265625" style="824" customWidth="1"/>
    <col min="3104" max="3104" width="8.53125" style="824" bestFit="1" customWidth="1"/>
    <col min="3105" max="3105" width="0.46484375" style="824" customWidth="1"/>
    <col min="3106" max="3106" width="9.53125" style="824"/>
    <col min="3107" max="3107" width="8.796875" style="824" customWidth="1"/>
    <col min="3108" max="3112" width="9.53125" style="824"/>
    <col min="3113" max="3113" width="10.73046875" style="824" customWidth="1"/>
    <col min="3114" max="3115" width="9.53125" style="824"/>
    <col min="3116" max="3116" width="0.796875" style="824" customWidth="1"/>
    <col min="3117" max="3117" width="8" style="824" customWidth="1"/>
    <col min="3118" max="3119" width="10" style="824" customWidth="1"/>
    <col min="3120" max="3125" width="11.46484375" style="824" customWidth="1"/>
    <col min="3126" max="3126" width="0.796875" style="824" customWidth="1"/>
    <col min="3127" max="3127" width="9.53125" style="824"/>
    <col min="3128" max="3128" width="6.73046875" style="824" customWidth="1"/>
    <col min="3129" max="3129" width="7.796875" style="824" customWidth="1"/>
    <col min="3130" max="3130" width="8.46484375" style="824" customWidth="1"/>
    <col min="3131" max="3131" width="7.796875" style="824" customWidth="1"/>
    <col min="3132" max="3132" width="6.46484375" style="824" customWidth="1"/>
    <col min="3133" max="3133" width="7.46484375" style="824" customWidth="1"/>
    <col min="3134" max="3134" width="6.73046875" style="824" customWidth="1"/>
    <col min="3135" max="3135" width="7.796875" style="824" customWidth="1"/>
    <col min="3136" max="3136" width="10.265625" style="824" bestFit="1" customWidth="1"/>
    <col min="3137" max="3137" width="9.53125" style="824"/>
    <col min="3138" max="3138" width="9.46484375" style="824" bestFit="1" customWidth="1"/>
    <col min="3139" max="3332" width="9.53125" style="824"/>
    <col min="3333" max="3333" width="7.19921875" style="824" customWidth="1"/>
    <col min="3334" max="3334" width="6.46484375" style="824" bestFit="1" customWidth="1"/>
    <col min="3335" max="3335" width="8.796875" style="824" customWidth="1"/>
    <col min="3336" max="3336" width="9.53125" style="824" customWidth="1"/>
    <col min="3337" max="3337" width="8.53125" style="824" customWidth="1"/>
    <col min="3338" max="3338" width="7.53125" style="824" customWidth="1"/>
    <col min="3339" max="3339" width="7.19921875" style="824" customWidth="1"/>
    <col min="3340" max="3340" width="8" style="824" bestFit="1" customWidth="1"/>
    <col min="3341" max="3341" width="7.46484375" style="824" customWidth="1"/>
    <col min="3342" max="3342" width="10.265625" style="824" bestFit="1" customWidth="1"/>
    <col min="3343" max="3343" width="8.53125" style="824" customWidth="1"/>
    <col min="3344" max="3344" width="8.53125" style="824" bestFit="1" customWidth="1"/>
    <col min="3345" max="3345" width="7.53125" style="824" customWidth="1"/>
    <col min="3346" max="3346" width="5.19921875" style="824" customWidth="1"/>
    <col min="3347" max="3347" width="9.265625" style="824" customWidth="1"/>
    <col min="3348" max="3348" width="8.46484375" style="824" customWidth="1"/>
    <col min="3349" max="3349" width="9.53125" style="824"/>
    <col min="3350" max="3350" width="2.19921875" style="824" customWidth="1"/>
    <col min="3351" max="3351" width="7.796875" style="824" customWidth="1"/>
    <col min="3352" max="3352" width="8.53125" style="824" customWidth="1"/>
    <col min="3353" max="3353" width="10.265625" style="824" bestFit="1" customWidth="1"/>
    <col min="3354" max="3354" width="7.53125" style="824" customWidth="1"/>
    <col min="3355" max="3355" width="2.265625" style="824" customWidth="1"/>
    <col min="3356" max="3356" width="5.265625" style="824" customWidth="1"/>
    <col min="3357" max="3357" width="8.265625" style="824" customWidth="1"/>
    <col min="3358" max="3358" width="1.796875" style="824" customWidth="1"/>
    <col min="3359" max="3359" width="8.265625" style="824" customWidth="1"/>
    <col min="3360" max="3360" width="8.53125" style="824" bestFit="1" customWidth="1"/>
    <col min="3361" max="3361" width="0.46484375" style="824" customWidth="1"/>
    <col min="3362" max="3362" width="9.53125" style="824"/>
    <col min="3363" max="3363" width="8.796875" style="824" customWidth="1"/>
    <col min="3364" max="3368" width="9.53125" style="824"/>
    <col min="3369" max="3369" width="10.73046875" style="824" customWidth="1"/>
    <col min="3370" max="3371" width="9.53125" style="824"/>
    <col min="3372" max="3372" width="0.796875" style="824" customWidth="1"/>
    <col min="3373" max="3373" width="8" style="824" customWidth="1"/>
    <col min="3374" max="3375" width="10" style="824" customWidth="1"/>
    <col min="3376" max="3381" width="11.46484375" style="824" customWidth="1"/>
    <col min="3382" max="3382" width="0.796875" style="824" customWidth="1"/>
    <col min="3383" max="3383" width="9.53125" style="824"/>
    <col min="3384" max="3384" width="6.73046875" style="824" customWidth="1"/>
    <col min="3385" max="3385" width="7.796875" style="824" customWidth="1"/>
    <col min="3386" max="3386" width="8.46484375" style="824" customWidth="1"/>
    <col min="3387" max="3387" width="7.796875" style="824" customWidth="1"/>
    <col min="3388" max="3388" width="6.46484375" style="824" customWidth="1"/>
    <col min="3389" max="3389" width="7.46484375" style="824" customWidth="1"/>
    <col min="3390" max="3390" width="6.73046875" style="824" customWidth="1"/>
    <col min="3391" max="3391" width="7.796875" style="824" customWidth="1"/>
    <col min="3392" max="3392" width="10.265625" style="824" bestFit="1" customWidth="1"/>
    <col min="3393" max="3393" width="9.53125" style="824"/>
    <col min="3394" max="3394" width="9.46484375" style="824" bestFit="1" customWidth="1"/>
    <col min="3395" max="3588" width="9.53125" style="824"/>
    <col min="3589" max="3589" width="7.19921875" style="824" customWidth="1"/>
    <col min="3590" max="3590" width="6.46484375" style="824" bestFit="1" customWidth="1"/>
    <col min="3591" max="3591" width="8.796875" style="824" customWidth="1"/>
    <col min="3592" max="3592" width="9.53125" style="824" customWidth="1"/>
    <col min="3593" max="3593" width="8.53125" style="824" customWidth="1"/>
    <col min="3594" max="3594" width="7.53125" style="824" customWidth="1"/>
    <col min="3595" max="3595" width="7.19921875" style="824" customWidth="1"/>
    <col min="3596" max="3596" width="8" style="824" bestFit="1" customWidth="1"/>
    <col min="3597" max="3597" width="7.46484375" style="824" customWidth="1"/>
    <col min="3598" max="3598" width="10.265625" style="824" bestFit="1" customWidth="1"/>
    <col min="3599" max="3599" width="8.53125" style="824" customWidth="1"/>
    <col min="3600" max="3600" width="8.53125" style="824" bestFit="1" customWidth="1"/>
    <col min="3601" max="3601" width="7.53125" style="824" customWidth="1"/>
    <col min="3602" max="3602" width="5.19921875" style="824" customWidth="1"/>
    <col min="3603" max="3603" width="9.265625" style="824" customWidth="1"/>
    <col min="3604" max="3604" width="8.46484375" style="824" customWidth="1"/>
    <col min="3605" max="3605" width="9.53125" style="824"/>
    <col min="3606" max="3606" width="2.19921875" style="824" customWidth="1"/>
    <col min="3607" max="3607" width="7.796875" style="824" customWidth="1"/>
    <col min="3608" max="3608" width="8.53125" style="824" customWidth="1"/>
    <col min="3609" max="3609" width="10.265625" style="824" bestFit="1" customWidth="1"/>
    <col min="3610" max="3610" width="7.53125" style="824" customWidth="1"/>
    <col min="3611" max="3611" width="2.265625" style="824" customWidth="1"/>
    <col min="3612" max="3612" width="5.265625" style="824" customWidth="1"/>
    <col min="3613" max="3613" width="8.265625" style="824" customWidth="1"/>
    <col min="3614" max="3614" width="1.796875" style="824" customWidth="1"/>
    <col min="3615" max="3615" width="8.265625" style="824" customWidth="1"/>
    <col min="3616" max="3616" width="8.53125" style="824" bestFit="1" customWidth="1"/>
    <col min="3617" max="3617" width="0.46484375" style="824" customWidth="1"/>
    <col min="3618" max="3618" width="9.53125" style="824"/>
    <col min="3619" max="3619" width="8.796875" style="824" customWidth="1"/>
    <col min="3620" max="3624" width="9.53125" style="824"/>
    <col min="3625" max="3625" width="10.73046875" style="824" customWidth="1"/>
    <col min="3626" max="3627" width="9.53125" style="824"/>
    <col min="3628" max="3628" width="0.796875" style="824" customWidth="1"/>
    <col min="3629" max="3629" width="8" style="824" customWidth="1"/>
    <col min="3630" max="3631" width="10" style="824" customWidth="1"/>
    <col min="3632" max="3637" width="11.46484375" style="824" customWidth="1"/>
    <col min="3638" max="3638" width="0.796875" style="824" customWidth="1"/>
    <col min="3639" max="3639" width="9.53125" style="824"/>
    <col min="3640" max="3640" width="6.73046875" style="824" customWidth="1"/>
    <col min="3641" max="3641" width="7.796875" style="824" customWidth="1"/>
    <col min="3642" max="3642" width="8.46484375" style="824" customWidth="1"/>
    <col min="3643" max="3643" width="7.796875" style="824" customWidth="1"/>
    <col min="3644" max="3644" width="6.46484375" style="824" customWidth="1"/>
    <col min="3645" max="3645" width="7.46484375" style="824" customWidth="1"/>
    <col min="3646" max="3646" width="6.73046875" style="824" customWidth="1"/>
    <col min="3647" max="3647" width="7.796875" style="824" customWidth="1"/>
    <col min="3648" max="3648" width="10.265625" style="824" bestFit="1" customWidth="1"/>
    <col min="3649" max="3649" width="9.53125" style="824"/>
    <col min="3650" max="3650" width="9.46484375" style="824" bestFit="1" customWidth="1"/>
    <col min="3651" max="3844" width="9.53125" style="824"/>
    <col min="3845" max="3845" width="7.19921875" style="824" customWidth="1"/>
    <col min="3846" max="3846" width="6.46484375" style="824" bestFit="1" customWidth="1"/>
    <col min="3847" max="3847" width="8.796875" style="824" customWidth="1"/>
    <col min="3848" max="3848" width="9.53125" style="824" customWidth="1"/>
    <col min="3849" max="3849" width="8.53125" style="824" customWidth="1"/>
    <col min="3850" max="3850" width="7.53125" style="824" customWidth="1"/>
    <col min="3851" max="3851" width="7.19921875" style="824" customWidth="1"/>
    <col min="3852" max="3852" width="8" style="824" bestFit="1" customWidth="1"/>
    <col min="3853" max="3853" width="7.46484375" style="824" customWidth="1"/>
    <col min="3854" max="3854" width="10.265625" style="824" bestFit="1" customWidth="1"/>
    <col min="3855" max="3855" width="8.53125" style="824" customWidth="1"/>
    <col min="3856" max="3856" width="8.53125" style="824" bestFit="1" customWidth="1"/>
    <col min="3857" max="3857" width="7.53125" style="824" customWidth="1"/>
    <col min="3858" max="3858" width="5.19921875" style="824" customWidth="1"/>
    <col min="3859" max="3859" width="9.265625" style="824" customWidth="1"/>
    <col min="3860" max="3860" width="8.46484375" style="824" customWidth="1"/>
    <col min="3861" max="3861" width="9.53125" style="824"/>
    <col min="3862" max="3862" width="2.19921875" style="824" customWidth="1"/>
    <col min="3863" max="3863" width="7.796875" style="824" customWidth="1"/>
    <col min="3864" max="3864" width="8.53125" style="824" customWidth="1"/>
    <col min="3865" max="3865" width="10.265625" style="824" bestFit="1" customWidth="1"/>
    <col min="3866" max="3866" width="7.53125" style="824" customWidth="1"/>
    <col min="3867" max="3867" width="2.265625" style="824" customWidth="1"/>
    <col min="3868" max="3868" width="5.265625" style="824" customWidth="1"/>
    <col min="3869" max="3869" width="8.265625" style="824" customWidth="1"/>
    <col min="3870" max="3870" width="1.796875" style="824" customWidth="1"/>
    <col min="3871" max="3871" width="8.265625" style="824" customWidth="1"/>
    <col min="3872" max="3872" width="8.53125" style="824" bestFit="1" customWidth="1"/>
    <col min="3873" max="3873" width="0.46484375" style="824" customWidth="1"/>
    <col min="3874" max="3874" width="9.53125" style="824"/>
    <col min="3875" max="3875" width="8.796875" style="824" customWidth="1"/>
    <col min="3876" max="3880" width="9.53125" style="824"/>
    <col min="3881" max="3881" width="10.73046875" style="824" customWidth="1"/>
    <col min="3882" max="3883" width="9.53125" style="824"/>
    <col min="3884" max="3884" width="0.796875" style="824" customWidth="1"/>
    <col min="3885" max="3885" width="8" style="824" customWidth="1"/>
    <col min="3886" max="3887" width="10" style="824" customWidth="1"/>
    <col min="3888" max="3893" width="11.46484375" style="824" customWidth="1"/>
    <col min="3894" max="3894" width="0.796875" style="824" customWidth="1"/>
    <col min="3895" max="3895" width="9.53125" style="824"/>
    <col min="3896" max="3896" width="6.73046875" style="824" customWidth="1"/>
    <col min="3897" max="3897" width="7.796875" style="824" customWidth="1"/>
    <col min="3898" max="3898" width="8.46484375" style="824" customWidth="1"/>
    <col min="3899" max="3899" width="7.796875" style="824" customWidth="1"/>
    <col min="3900" max="3900" width="6.46484375" style="824" customWidth="1"/>
    <col min="3901" max="3901" width="7.46484375" style="824" customWidth="1"/>
    <col min="3902" max="3902" width="6.73046875" style="824" customWidth="1"/>
    <col min="3903" max="3903" width="7.796875" style="824" customWidth="1"/>
    <col min="3904" max="3904" width="10.265625" style="824" bestFit="1" customWidth="1"/>
    <col min="3905" max="3905" width="9.53125" style="824"/>
    <col min="3906" max="3906" width="9.46484375" style="824" bestFit="1" customWidth="1"/>
    <col min="3907" max="4100" width="9.53125" style="824"/>
    <col min="4101" max="4101" width="7.19921875" style="824" customWidth="1"/>
    <col min="4102" max="4102" width="6.46484375" style="824" bestFit="1" customWidth="1"/>
    <col min="4103" max="4103" width="8.796875" style="824" customWidth="1"/>
    <col min="4104" max="4104" width="9.53125" style="824" customWidth="1"/>
    <col min="4105" max="4105" width="8.53125" style="824" customWidth="1"/>
    <col min="4106" max="4106" width="7.53125" style="824" customWidth="1"/>
    <col min="4107" max="4107" width="7.19921875" style="824" customWidth="1"/>
    <col min="4108" max="4108" width="8" style="824" bestFit="1" customWidth="1"/>
    <col min="4109" max="4109" width="7.46484375" style="824" customWidth="1"/>
    <col min="4110" max="4110" width="10.265625" style="824" bestFit="1" customWidth="1"/>
    <col min="4111" max="4111" width="8.53125" style="824" customWidth="1"/>
    <col min="4112" max="4112" width="8.53125" style="824" bestFit="1" customWidth="1"/>
    <col min="4113" max="4113" width="7.53125" style="824" customWidth="1"/>
    <col min="4114" max="4114" width="5.19921875" style="824" customWidth="1"/>
    <col min="4115" max="4115" width="9.265625" style="824" customWidth="1"/>
    <col min="4116" max="4116" width="8.46484375" style="824" customWidth="1"/>
    <col min="4117" max="4117" width="9.53125" style="824"/>
    <col min="4118" max="4118" width="2.19921875" style="824" customWidth="1"/>
    <col min="4119" max="4119" width="7.796875" style="824" customWidth="1"/>
    <col min="4120" max="4120" width="8.53125" style="824" customWidth="1"/>
    <col min="4121" max="4121" width="10.265625" style="824" bestFit="1" customWidth="1"/>
    <col min="4122" max="4122" width="7.53125" style="824" customWidth="1"/>
    <col min="4123" max="4123" width="2.265625" style="824" customWidth="1"/>
    <col min="4124" max="4124" width="5.265625" style="824" customWidth="1"/>
    <col min="4125" max="4125" width="8.265625" style="824" customWidth="1"/>
    <col min="4126" max="4126" width="1.796875" style="824" customWidth="1"/>
    <col min="4127" max="4127" width="8.265625" style="824" customWidth="1"/>
    <col min="4128" max="4128" width="8.53125" style="824" bestFit="1" customWidth="1"/>
    <col min="4129" max="4129" width="0.46484375" style="824" customWidth="1"/>
    <col min="4130" max="4130" width="9.53125" style="824"/>
    <col min="4131" max="4131" width="8.796875" style="824" customWidth="1"/>
    <col min="4132" max="4136" width="9.53125" style="824"/>
    <col min="4137" max="4137" width="10.73046875" style="824" customWidth="1"/>
    <col min="4138" max="4139" width="9.53125" style="824"/>
    <col min="4140" max="4140" width="0.796875" style="824" customWidth="1"/>
    <col min="4141" max="4141" width="8" style="824" customWidth="1"/>
    <col min="4142" max="4143" width="10" style="824" customWidth="1"/>
    <col min="4144" max="4149" width="11.46484375" style="824" customWidth="1"/>
    <col min="4150" max="4150" width="0.796875" style="824" customWidth="1"/>
    <col min="4151" max="4151" width="9.53125" style="824"/>
    <col min="4152" max="4152" width="6.73046875" style="824" customWidth="1"/>
    <col min="4153" max="4153" width="7.796875" style="824" customWidth="1"/>
    <col min="4154" max="4154" width="8.46484375" style="824" customWidth="1"/>
    <col min="4155" max="4155" width="7.796875" style="824" customWidth="1"/>
    <col min="4156" max="4156" width="6.46484375" style="824" customWidth="1"/>
    <col min="4157" max="4157" width="7.46484375" style="824" customWidth="1"/>
    <col min="4158" max="4158" width="6.73046875" style="824" customWidth="1"/>
    <col min="4159" max="4159" width="7.796875" style="824" customWidth="1"/>
    <col min="4160" max="4160" width="10.265625" style="824" bestFit="1" customWidth="1"/>
    <col min="4161" max="4161" width="9.53125" style="824"/>
    <col min="4162" max="4162" width="9.46484375" style="824" bestFit="1" customWidth="1"/>
    <col min="4163" max="4356" width="9.53125" style="824"/>
    <col min="4357" max="4357" width="7.19921875" style="824" customWidth="1"/>
    <col min="4358" max="4358" width="6.46484375" style="824" bestFit="1" customWidth="1"/>
    <col min="4359" max="4359" width="8.796875" style="824" customWidth="1"/>
    <col min="4360" max="4360" width="9.53125" style="824" customWidth="1"/>
    <col min="4361" max="4361" width="8.53125" style="824" customWidth="1"/>
    <col min="4362" max="4362" width="7.53125" style="824" customWidth="1"/>
    <col min="4363" max="4363" width="7.19921875" style="824" customWidth="1"/>
    <col min="4364" max="4364" width="8" style="824" bestFit="1" customWidth="1"/>
    <col min="4365" max="4365" width="7.46484375" style="824" customWidth="1"/>
    <col min="4366" max="4366" width="10.265625" style="824" bestFit="1" customWidth="1"/>
    <col min="4367" max="4367" width="8.53125" style="824" customWidth="1"/>
    <col min="4368" max="4368" width="8.53125" style="824" bestFit="1" customWidth="1"/>
    <col min="4369" max="4369" width="7.53125" style="824" customWidth="1"/>
    <col min="4370" max="4370" width="5.19921875" style="824" customWidth="1"/>
    <col min="4371" max="4371" width="9.265625" style="824" customWidth="1"/>
    <col min="4372" max="4372" width="8.46484375" style="824" customWidth="1"/>
    <col min="4373" max="4373" width="9.53125" style="824"/>
    <col min="4374" max="4374" width="2.19921875" style="824" customWidth="1"/>
    <col min="4375" max="4375" width="7.796875" style="824" customWidth="1"/>
    <col min="4376" max="4376" width="8.53125" style="824" customWidth="1"/>
    <col min="4377" max="4377" width="10.265625" style="824" bestFit="1" customWidth="1"/>
    <col min="4378" max="4378" width="7.53125" style="824" customWidth="1"/>
    <col min="4379" max="4379" width="2.265625" style="824" customWidth="1"/>
    <col min="4380" max="4380" width="5.265625" style="824" customWidth="1"/>
    <col min="4381" max="4381" width="8.265625" style="824" customWidth="1"/>
    <col min="4382" max="4382" width="1.796875" style="824" customWidth="1"/>
    <col min="4383" max="4383" width="8.265625" style="824" customWidth="1"/>
    <col min="4384" max="4384" width="8.53125" style="824" bestFit="1" customWidth="1"/>
    <col min="4385" max="4385" width="0.46484375" style="824" customWidth="1"/>
    <col min="4386" max="4386" width="9.53125" style="824"/>
    <col min="4387" max="4387" width="8.796875" style="824" customWidth="1"/>
    <col min="4388" max="4392" width="9.53125" style="824"/>
    <col min="4393" max="4393" width="10.73046875" style="824" customWidth="1"/>
    <col min="4394" max="4395" width="9.53125" style="824"/>
    <col min="4396" max="4396" width="0.796875" style="824" customWidth="1"/>
    <col min="4397" max="4397" width="8" style="824" customWidth="1"/>
    <col min="4398" max="4399" width="10" style="824" customWidth="1"/>
    <col min="4400" max="4405" width="11.46484375" style="824" customWidth="1"/>
    <col min="4406" max="4406" width="0.796875" style="824" customWidth="1"/>
    <col min="4407" max="4407" width="9.53125" style="824"/>
    <col min="4408" max="4408" width="6.73046875" style="824" customWidth="1"/>
    <col min="4409" max="4409" width="7.796875" style="824" customWidth="1"/>
    <col min="4410" max="4410" width="8.46484375" style="824" customWidth="1"/>
    <col min="4411" max="4411" width="7.796875" style="824" customWidth="1"/>
    <col min="4412" max="4412" width="6.46484375" style="824" customWidth="1"/>
    <col min="4413" max="4413" width="7.46484375" style="824" customWidth="1"/>
    <col min="4414" max="4414" width="6.73046875" style="824" customWidth="1"/>
    <col min="4415" max="4415" width="7.796875" style="824" customWidth="1"/>
    <col min="4416" max="4416" width="10.265625" style="824" bestFit="1" customWidth="1"/>
    <col min="4417" max="4417" width="9.53125" style="824"/>
    <col min="4418" max="4418" width="9.46484375" style="824" bestFit="1" customWidth="1"/>
    <col min="4419" max="4612" width="9.53125" style="824"/>
    <col min="4613" max="4613" width="7.19921875" style="824" customWidth="1"/>
    <col min="4614" max="4614" width="6.46484375" style="824" bestFit="1" customWidth="1"/>
    <col min="4615" max="4615" width="8.796875" style="824" customWidth="1"/>
    <col min="4616" max="4616" width="9.53125" style="824" customWidth="1"/>
    <col min="4617" max="4617" width="8.53125" style="824" customWidth="1"/>
    <col min="4618" max="4618" width="7.53125" style="824" customWidth="1"/>
    <col min="4619" max="4619" width="7.19921875" style="824" customWidth="1"/>
    <col min="4620" max="4620" width="8" style="824" bestFit="1" customWidth="1"/>
    <col min="4621" max="4621" width="7.46484375" style="824" customWidth="1"/>
    <col min="4622" max="4622" width="10.265625" style="824" bestFit="1" customWidth="1"/>
    <col min="4623" max="4623" width="8.53125" style="824" customWidth="1"/>
    <col min="4624" max="4624" width="8.53125" style="824" bestFit="1" customWidth="1"/>
    <col min="4625" max="4625" width="7.53125" style="824" customWidth="1"/>
    <col min="4626" max="4626" width="5.19921875" style="824" customWidth="1"/>
    <col min="4627" max="4627" width="9.265625" style="824" customWidth="1"/>
    <col min="4628" max="4628" width="8.46484375" style="824" customWidth="1"/>
    <col min="4629" max="4629" width="9.53125" style="824"/>
    <col min="4630" max="4630" width="2.19921875" style="824" customWidth="1"/>
    <col min="4631" max="4631" width="7.796875" style="824" customWidth="1"/>
    <col min="4632" max="4632" width="8.53125" style="824" customWidth="1"/>
    <col min="4633" max="4633" width="10.265625" style="824" bestFit="1" customWidth="1"/>
    <col min="4634" max="4634" width="7.53125" style="824" customWidth="1"/>
    <col min="4635" max="4635" width="2.265625" style="824" customWidth="1"/>
    <col min="4636" max="4636" width="5.265625" style="824" customWidth="1"/>
    <col min="4637" max="4637" width="8.265625" style="824" customWidth="1"/>
    <col min="4638" max="4638" width="1.796875" style="824" customWidth="1"/>
    <col min="4639" max="4639" width="8.265625" style="824" customWidth="1"/>
    <col min="4640" max="4640" width="8.53125" style="824" bestFit="1" customWidth="1"/>
    <col min="4641" max="4641" width="0.46484375" style="824" customWidth="1"/>
    <col min="4642" max="4642" width="9.53125" style="824"/>
    <col min="4643" max="4643" width="8.796875" style="824" customWidth="1"/>
    <col min="4644" max="4648" width="9.53125" style="824"/>
    <col min="4649" max="4649" width="10.73046875" style="824" customWidth="1"/>
    <col min="4650" max="4651" width="9.53125" style="824"/>
    <col min="4652" max="4652" width="0.796875" style="824" customWidth="1"/>
    <col min="4653" max="4653" width="8" style="824" customWidth="1"/>
    <col min="4654" max="4655" width="10" style="824" customWidth="1"/>
    <col min="4656" max="4661" width="11.46484375" style="824" customWidth="1"/>
    <col min="4662" max="4662" width="0.796875" style="824" customWidth="1"/>
    <col min="4663" max="4663" width="9.53125" style="824"/>
    <col min="4664" max="4664" width="6.73046875" style="824" customWidth="1"/>
    <col min="4665" max="4665" width="7.796875" style="824" customWidth="1"/>
    <col min="4666" max="4666" width="8.46484375" style="824" customWidth="1"/>
    <col min="4667" max="4667" width="7.796875" style="824" customWidth="1"/>
    <col min="4668" max="4668" width="6.46484375" style="824" customWidth="1"/>
    <col min="4669" max="4669" width="7.46484375" style="824" customWidth="1"/>
    <col min="4670" max="4670" width="6.73046875" style="824" customWidth="1"/>
    <col min="4671" max="4671" width="7.796875" style="824" customWidth="1"/>
    <col min="4672" max="4672" width="10.265625" style="824" bestFit="1" customWidth="1"/>
    <col min="4673" max="4673" width="9.53125" style="824"/>
    <col min="4674" max="4674" width="9.46484375" style="824" bestFit="1" customWidth="1"/>
    <col min="4675" max="4868" width="9.53125" style="824"/>
    <col min="4869" max="4869" width="7.19921875" style="824" customWidth="1"/>
    <col min="4870" max="4870" width="6.46484375" style="824" bestFit="1" customWidth="1"/>
    <col min="4871" max="4871" width="8.796875" style="824" customWidth="1"/>
    <col min="4872" max="4872" width="9.53125" style="824" customWidth="1"/>
    <col min="4873" max="4873" width="8.53125" style="824" customWidth="1"/>
    <col min="4874" max="4874" width="7.53125" style="824" customWidth="1"/>
    <col min="4875" max="4875" width="7.19921875" style="824" customWidth="1"/>
    <col min="4876" max="4876" width="8" style="824" bestFit="1" customWidth="1"/>
    <col min="4877" max="4877" width="7.46484375" style="824" customWidth="1"/>
    <col min="4878" max="4878" width="10.265625" style="824" bestFit="1" customWidth="1"/>
    <col min="4879" max="4879" width="8.53125" style="824" customWidth="1"/>
    <col min="4880" max="4880" width="8.53125" style="824" bestFit="1" customWidth="1"/>
    <col min="4881" max="4881" width="7.53125" style="824" customWidth="1"/>
    <col min="4882" max="4882" width="5.19921875" style="824" customWidth="1"/>
    <col min="4883" max="4883" width="9.265625" style="824" customWidth="1"/>
    <col min="4884" max="4884" width="8.46484375" style="824" customWidth="1"/>
    <col min="4885" max="4885" width="9.53125" style="824"/>
    <col min="4886" max="4886" width="2.19921875" style="824" customWidth="1"/>
    <col min="4887" max="4887" width="7.796875" style="824" customWidth="1"/>
    <col min="4888" max="4888" width="8.53125" style="824" customWidth="1"/>
    <col min="4889" max="4889" width="10.265625" style="824" bestFit="1" customWidth="1"/>
    <col min="4890" max="4890" width="7.53125" style="824" customWidth="1"/>
    <col min="4891" max="4891" width="2.265625" style="824" customWidth="1"/>
    <col min="4892" max="4892" width="5.265625" style="824" customWidth="1"/>
    <col min="4893" max="4893" width="8.265625" style="824" customWidth="1"/>
    <col min="4894" max="4894" width="1.796875" style="824" customWidth="1"/>
    <col min="4895" max="4895" width="8.265625" style="824" customWidth="1"/>
    <col min="4896" max="4896" width="8.53125" style="824" bestFit="1" customWidth="1"/>
    <col min="4897" max="4897" width="0.46484375" style="824" customWidth="1"/>
    <col min="4898" max="4898" width="9.53125" style="824"/>
    <col min="4899" max="4899" width="8.796875" style="824" customWidth="1"/>
    <col min="4900" max="4904" width="9.53125" style="824"/>
    <col min="4905" max="4905" width="10.73046875" style="824" customWidth="1"/>
    <col min="4906" max="4907" width="9.53125" style="824"/>
    <col min="4908" max="4908" width="0.796875" style="824" customWidth="1"/>
    <col min="4909" max="4909" width="8" style="824" customWidth="1"/>
    <col min="4910" max="4911" width="10" style="824" customWidth="1"/>
    <col min="4912" max="4917" width="11.46484375" style="824" customWidth="1"/>
    <col min="4918" max="4918" width="0.796875" style="824" customWidth="1"/>
    <col min="4919" max="4919" width="9.53125" style="824"/>
    <col min="4920" max="4920" width="6.73046875" style="824" customWidth="1"/>
    <col min="4921" max="4921" width="7.796875" style="824" customWidth="1"/>
    <col min="4922" max="4922" width="8.46484375" style="824" customWidth="1"/>
    <col min="4923" max="4923" width="7.796875" style="824" customWidth="1"/>
    <col min="4924" max="4924" width="6.46484375" style="824" customWidth="1"/>
    <col min="4925" max="4925" width="7.46484375" style="824" customWidth="1"/>
    <col min="4926" max="4926" width="6.73046875" style="824" customWidth="1"/>
    <col min="4927" max="4927" width="7.796875" style="824" customWidth="1"/>
    <col min="4928" max="4928" width="10.265625" style="824" bestFit="1" customWidth="1"/>
    <col min="4929" max="4929" width="9.53125" style="824"/>
    <col min="4930" max="4930" width="9.46484375" style="824" bestFit="1" customWidth="1"/>
    <col min="4931" max="5124" width="9.53125" style="824"/>
    <col min="5125" max="5125" width="7.19921875" style="824" customWidth="1"/>
    <col min="5126" max="5126" width="6.46484375" style="824" bestFit="1" customWidth="1"/>
    <col min="5127" max="5127" width="8.796875" style="824" customWidth="1"/>
    <col min="5128" max="5128" width="9.53125" style="824" customWidth="1"/>
    <col min="5129" max="5129" width="8.53125" style="824" customWidth="1"/>
    <col min="5130" max="5130" width="7.53125" style="824" customWidth="1"/>
    <col min="5131" max="5131" width="7.19921875" style="824" customWidth="1"/>
    <col min="5132" max="5132" width="8" style="824" bestFit="1" customWidth="1"/>
    <col min="5133" max="5133" width="7.46484375" style="824" customWidth="1"/>
    <col min="5134" max="5134" width="10.265625" style="824" bestFit="1" customWidth="1"/>
    <col min="5135" max="5135" width="8.53125" style="824" customWidth="1"/>
    <col min="5136" max="5136" width="8.53125" style="824" bestFit="1" customWidth="1"/>
    <col min="5137" max="5137" width="7.53125" style="824" customWidth="1"/>
    <col min="5138" max="5138" width="5.19921875" style="824" customWidth="1"/>
    <col min="5139" max="5139" width="9.265625" style="824" customWidth="1"/>
    <col min="5140" max="5140" width="8.46484375" style="824" customWidth="1"/>
    <col min="5141" max="5141" width="9.53125" style="824"/>
    <col min="5142" max="5142" width="2.19921875" style="824" customWidth="1"/>
    <col min="5143" max="5143" width="7.796875" style="824" customWidth="1"/>
    <col min="5144" max="5144" width="8.53125" style="824" customWidth="1"/>
    <col min="5145" max="5145" width="10.265625" style="824" bestFit="1" customWidth="1"/>
    <col min="5146" max="5146" width="7.53125" style="824" customWidth="1"/>
    <col min="5147" max="5147" width="2.265625" style="824" customWidth="1"/>
    <col min="5148" max="5148" width="5.265625" style="824" customWidth="1"/>
    <col min="5149" max="5149" width="8.265625" style="824" customWidth="1"/>
    <col min="5150" max="5150" width="1.796875" style="824" customWidth="1"/>
    <col min="5151" max="5151" width="8.265625" style="824" customWidth="1"/>
    <col min="5152" max="5152" width="8.53125" style="824" bestFit="1" customWidth="1"/>
    <col min="5153" max="5153" width="0.46484375" style="824" customWidth="1"/>
    <col min="5154" max="5154" width="9.53125" style="824"/>
    <col min="5155" max="5155" width="8.796875" style="824" customWidth="1"/>
    <col min="5156" max="5160" width="9.53125" style="824"/>
    <col min="5161" max="5161" width="10.73046875" style="824" customWidth="1"/>
    <col min="5162" max="5163" width="9.53125" style="824"/>
    <col min="5164" max="5164" width="0.796875" style="824" customWidth="1"/>
    <col min="5165" max="5165" width="8" style="824" customWidth="1"/>
    <col min="5166" max="5167" width="10" style="824" customWidth="1"/>
    <col min="5168" max="5173" width="11.46484375" style="824" customWidth="1"/>
    <col min="5174" max="5174" width="0.796875" style="824" customWidth="1"/>
    <col min="5175" max="5175" width="9.53125" style="824"/>
    <col min="5176" max="5176" width="6.73046875" style="824" customWidth="1"/>
    <col min="5177" max="5177" width="7.796875" style="824" customWidth="1"/>
    <col min="5178" max="5178" width="8.46484375" style="824" customWidth="1"/>
    <col min="5179" max="5179" width="7.796875" style="824" customWidth="1"/>
    <col min="5180" max="5180" width="6.46484375" style="824" customWidth="1"/>
    <col min="5181" max="5181" width="7.46484375" style="824" customWidth="1"/>
    <col min="5182" max="5182" width="6.73046875" style="824" customWidth="1"/>
    <col min="5183" max="5183" width="7.796875" style="824" customWidth="1"/>
    <col min="5184" max="5184" width="10.265625" style="824" bestFit="1" customWidth="1"/>
    <col min="5185" max="5185" width="9.53125" style="824"/>
    <col min="5186" max="5186" width="9.46484375" style="824" bestFit="1" customWidth="1"/>
    <col min="5187" max="5380" width="9.53125" style="824"/>
    <col min="5381" max="5381" width="7.19921875" style="824" customWidth="1"/>
    <col min="5382" max="5382" width="6.46484375" style="824" bestFit="1" customWidth="1"/>
    <col min="5383" max="5383" width="8.796875" style="824" customWidth="1"/>
    <col min="5384" max="5384" width="9.53125" style="824" customWidth="1"/>
    <col min="5385" max="5385" width="8.53125" style="824" customWidth="1"/>
    <col min="5386" max="5386" width="7.53125" style="824" customWidth="1"/>
    <col min="5387" max="5387" width="7.19921875" style="824" customWidth="1"/>
    <col min="5388" max="5388" width="8" style="824" bestFit="1" customWidth="1"/>
    <col min="5389" max="5389" width="7.46484375" style="824" customWidth="1"/>
    <col min="5390" max="5390" width="10.265625" style="824" bestFit="1" customWidth="1"/>
    <col min="5391" max="5391" width="8.53125" style="824" customWidth="1"/>
    <col min="5392" max="5392" width="8.53125" style="824" bestFit="1" customWidth="1"/>
    <col min="5393" max="5393" width="7.53125" style="824" customWidth="1"/>
    <col min="5394" max="5394" width="5.19921875" style="824" customWidth="1"/>
    <col min="5395" max="5395" width="9.265625" style="824" customWidth="1"/>
    <col min="5396" max="5396" width="8.46484375" style="824" customWidth="1"/>
    <col min="5397" max="5397" width="9.53125" style="824"/>
    <col min="5398" max="5398" width="2.19921875" style="824" customWidth="1"/>
    <col min="5399" max="5399" width="7.796875" style="824" customWidth="1"/>
    <col min="5400" max="5400" width="8.53125" style="824" customWidth="1"/>
    <col min="5401" max="5401" width="10.265625" style="824" bestFit="1" customWidth="1"/>
    <col min="5402" max="5402" width="7.53125" style="824" customWidth="1"/>
    <col min="5403" max="5403" width="2.265625" style="824" customWidth="1"/>
    <col min="5404" max="5404" width="5.265625" style="824" customWidth="1"/>
    <col min="5405" max="5405" width="8.265625" style="824" customWidth="1"/>
    <col min="5406" max="5406" width="1.796875" style="824" customWidth="1"/>
    <col min="5407" max="5407" width="8.265625" style="824" customWidth="1"/>
    <col min="5408" max="5408" width="8.53125" style="824" bestFit="1" customWidth="1"/>
    <col min="5409" max="5409" width="0.46484375" style="824" customWidth="1"/>
    <col min="5410" max="5410" width="9.53125" style="824"/>
    <col min="5411" max="5411" width="8.796875" style="824" customWidth="1"/>
    <col min="5412" max="5416" width="9.53125" style="824"/>
    <col min="5417" max="5417" width="10.73046875" style="824" customWidth="1"/>
    <col min="5418" max="5419" width="9.53125" style="824"/>
    <col min="5420" max="5420" width="0.796875" style="824" customWidth="1"/>
    <col min="5421" max="5421" width="8" style="824" customWidth="1"/>
    <col min="5422" max="5423" width="10" style="824" customWidth="1"/>
    <col min="5424" max="5429" width="11.46484375" style="824" customWidth="1"/>
    <col min="5430" max="5430" width="0.796875" style="824" customWidth="1"/>
    <col min="5431" max="5431" width="9.53125" style="824"/>
    <col min="5432" max="5432" width="6.73046875" style="824" customWidth="1"/>
    <col min="5433" max="5433" width="7.796875" style="824" customWidth="1"/>
    <col min="5434" max="5434" width="8.46484375" style="824" customWidth="1"/>
    <col min="5435" max="5435" width="7.796875" style="824" customWidth="1"/>
    <col min="5436" max="5436" width="6.46484375" style="824" customWidth="1"/>
    <col min="5437" max="5437" width="7.46484375" style="824" customWidth="1"/>
    <col min="5438" max="5438" width="6.73046875" style="824" customWidth="1"/>
    <col min="5439" max="5439" width="7.796875" style="824" customWidth="1"/>
    <col min="5440" max="5440" width="10.265625" style="824" bestFit="1" customWidth="1"/>
    <col min="5441" max="5441" width="9.53125" style="824"/>
    <col min="5442" max="5442" width="9.46484375" style="824" bestFit="1" customWidth="1"/>
    <col min="5443" max="5636" width="9.53125" style="824"/>
    <col min="5637" max="5637" width="7.19921875" style="824" customWidth="1"/>
    <col min="5638" max="5638" width="6.46484375" style="824" bestFit="1" customWidth="1"/>
    <col min="5639" max="5639" width="8.796875" style="824" customWidth="1"/>
    <col min="5640" max="5640" width="9.53125" style="824" customWidth="1"/>
    <col min="5641" max="5641" width="8.53125" style="824" customWidth="1"/>
    <col min="5642" max="5642" width="7.53125" style="824" customWidth="1"/>
    <col min="5643" max="5643" width="7.19921875" style="824" customWidth="1"/>
    <col min="5644" max="5644" width="8" style="824" bestFit="1" customWidth="1"/>
    <col min="5645" max="5645" width="7.46484375" style="824" customWidth="1"/>
    <col min="5646" max="5646" width="10.265625" style="824" bestFit="1" customWidth="1"/>
    <col min="5647" max="5647" width="8.53125" style="824" customWidth="1"/>
    <col min="5648" max="5648" width="8.53125" style="824" bestFit="1" customWidth="1"/>
    <col min="5649" max="5649" width="7.53125" style="824" customWidth="1"/>
    <col min="5650" max="5650" width="5.19921875" style="824" customWidth="1"/>
    <col min="5651" max="5651" width="9.265625" style="824" customWidth="1"/>
    <col min="5652" max="5652" width="8.46484375" style="824" customWidth="1"/>
    <col min="5653" max="5653" width="9.53125" style="824"/>
    <col min="5654" max="5654" width="2.19921875" style="824" customWidth="1"/>
    <col min="5655" max="5655" width="7.796875" style="824" customWidth="1"/>
    <col min="5656" max="5656" width="8.53125" style="824" customWidth="1"/>
    <col min="5657" max="5657" width="10.265625" style="824" bestFit="1" customWidth="1"/>
    <col min="5658" max="5658" width="7.53125" style="824" customWidth="1"/>
    <col min="5659" max="5659" width="2.265625" style="824" customWidth="1"/>
    <col min="5660" max="5660" width="5.265625" style="824" customWidth="1"/>
    <col min="5661" max="5661" width="8.265625" style="824" customWidth="1"/>
    <col min="5662" max="5662" width="1.796875" style="824" customWidth="1"/>
    <col min="5663" max="5663" width="8.265625" style="824" customWidth="1"/>
    <col min="5664" max="5664" width="8.53125" style="824" bestFit="1" customWidth="1"/>
    <col min="5665" max="5665" width="0.46484375" style="824" customWidth="1"/>
    <col min="5666" max="5666" width="9.53125" style="824"/>
    <col min="5667" max="5667" width="8.796875" style="824" customWidth="1"/>
    <col min="5668" max="5672" width="9.53125" style="824"/>
    <col min="5673" max="5673" width="10.73046875" style="824" customWidth="1"/>
    <col min="5674" max="5675" width="9.53125" style="824"/>
    <col min="5676" max="5676" width="0.796875" style="824" customWidth="1"/>
    <col min="5677" max="5677" width="8" style="824" customWidth="1"/>
    <col min="5678" max="5679" width="10" style="824" customWidth="1"/>
    <col min="5680" max="5685" width="11.46484375" style="824" customWidth="1"/>
    <col min="5686" max="5686" width="0.796875" style="824" customWidth="1"/>
    <col min="5687" max="5687" width="9.53125" style="824"/>
    <col min="5688" max="5688" width="6.73046875" style="824" customWidth="1"/>
    <col min="5689" max="5689" width="7.796875" style="824" customWidth="1"/>
    <col min="5690" max="5690" width="8.46484375" style="824" customWidth="1"/>
    <col min="5691" max="5691" width="7.796875" style="824" customWidth="1"/>
    <col min="5692" max="5692" width="6.46484375" style="824" customWidth="1"/>
    <col min="5693" max="5693" width="7.46484375" style="824" customWidth="1"/>
    <col min="5694" max="5694" width="6.73046875" style="824" customWidth="1"/>
    <col min="5695" max="5695" width="7.796875" style="824" customWidth="1"/>
    <col min="5696" max="5696" width="10.265625" style="824" bestFit="1" customWidth="1"/>
    <col min="5697" max="5697" width="9.53125" style="824"/>
    <col min="5698" max="5698" width="9.46484375" style="824" bestFit="1" customWidth="1"/>
    <col min="5699" max="5892" width="9.53125" style="824"/>
    <col min="5893" max="5893" width="7.19921875" style="824" customWidth="1"/>
    <col min="5894" max="5894" width="6.46484375" style="824" bestFit="1" customWidth="1"/>
    <col min="5895" max="5895" width="8.796875" style="824" customWidth="1"/>
    <col min="5896" max="5896" width="9.53125" style="824" customWidth="1"/>
    <col min="5897" max="5897" width="8.53125" style="824" customWidth="1"/>
    <col min="5898" max="5898" width="7.53125" style="824" customWidth="1"/>
    <col min="5899" max="5899" width="7.19921875" style="824" customWidth="1"/>
    <col min="5900" max="5900" width="8" style="824" bestFit="1" customWidth="1"/>
    <col min="5901" max="5901" width="7.46484375" style="824" customWidth="1"/>
    <col min="5902" max="5902" width="10.265625" style="824" bestFit="1" customWidth="1"/>
    <col min="5903" max="5903" width="8.53125" style="824" customWidth="1"/>
    <col min="5904" max="5904" width="8.53125" style="824" bestFit="1" customWidth="1"/>
    <col min="5905" max="5905" width="7.53125" style="824" customWidth="1"/>
    <col min="5906" max="5906" width="5.19921875" style="824" customWidth="1"/>
    <col min="5907" max="5907" width="9.265625" style="824" customWidth="1"/>
    <col min="5908" max="5908" width="8.46484375" style="824" customWidth="1"/>
    <col min="5909" max="5909" width="9.53125" style="824"/>
    <col min="5910" max="5910" width="2.19921875" style="824" customWidth="1"/>
    <col min="5911" max="5911" width="7.796875" style="824" customWidth="1"/>
    <col min="5912" max="5912" width="8.53125" style="824" customWidth="1"/>
    <col min="5913" max="5913" width="10.265625" style="824" bestFit="1" customWidth="1"/>
    <col min="5914" max="5914" width="7.53125" style="824" customWidth="1"/>
    <col min="5915" max="5915" width="2.265625" style="824" customWidth="1"/>
    <col min="5916" max="5916" width="5.265625" style="824" customWidth="1"/>
    <col min="5917" max="5917" width="8.265625" style="824" customWidth="1"/>
    <col min="5918" max="5918" width="1.796875" style="824" customWidth="1"/>
    <col min="5919" max="5919" width="8.265625" style="824" customWidth="1"/>
    <col min="5920" max="5920" width="8.53125" style="824" bestFit="1" customWidth="1"/>
    <col min="5921" max="5921" width="0.46484375" style="824" customWidth="1"/>
    <col min="5922" max="5922" width="9.53125" style="824"/>
    <col min="5923" max="5923" width="8.796875" style="824" customWidth="1"/>
    <col min="5924" max="5928" width="9.53125" style="824"/>
    <col min="5929" max="5929" width="10.73046875" style="824" customWidth="1"/>
    <col min="5930" max="5931" width="9.53125" style="824"/>
    <col min="5932" max="5932" width="0.796875" style="824" customWidth="1"/>
    <col min="5933" max="5933" width="8" style="824" customWidth="1"/>
    <col min="5934" max="5935" width="10" style="824" customWidth="1"/>
    <col min="5936" max="5941" width="11.46484375" style="824" customWidth="1"/>
    <col min="5942" max="5942" width="0.796875" style="824" customWidth="1"/>
    <col min="5943" max="5943" width="9.53125" style="824"/>
    <col min="5944" max="5944" width="6.73046875" style="824" customWidth="1"/>
    <col min="5945" max="5945" width="7.796875" style="824" customWidth="1"/>
    <col min="5946" max="5946" width="8.46484375" style="824" customWidth="1"/>
    <col min="5947" max="5947" width="7.796875" style="824" customWidth="1"/>
    <col min="5948" max="5948" width="6.46484375" style="824" customWidth="1"/>
    <col min="5949" max="5949" width="7.46484375" style="824" customWidth="1"/>
    <col min="5950" max="5950" width="6.73046875" style="824" customWidth="1"/>
    <col min="5951" max="5951" width="7.796875" style="824" customWidth="1"/>
    <col min="5952" max="5952" width="10.265625" style="824" bestFit="1" customWidth="1"/>
    <col min="5953" max="5953" width="9.53125" style="824"/>
    <col min="5954" max="5954" width="9.46484375" style="824" bestFit="1" customWidth="1"/>
    <col min="5955" max="6148" width="9.53125" style="824"/>
    <col min="6149" max="6149" width="7.19921875" style="824" customWidth="1"/>
    <col min="6150" max="6150" width="6.46484375" style="824" bestFit="1" customWidth="1"/>
    <col min="6151" max="6151" width="8.796875" style="824" customWidth="1"/>
    <col min="6152" max="6152" width="9.53125" style="824" customWidth="1"/>
    <col min="6153" max="6153" width="8.53125" style="824" customWidth="1"/>
    <col min="6154" max="6154" width="7.53125" style="824" customWidth="1"/>
    <col min="6155" max="6155" width="7.19921875" style="824" customWidth="1"/>
    <col min="6156" max="6156" width="8" style="824" bestFit="1" customWidth="1"/>
    <col min="6157" max="6157" width="7.46484375" style="824" customWidth="1"/>
    <col min="6158" max="6158" width="10.265625" style="824" bestFit="1" customWidth="1"/>
    <col min="6159" max="6159" width="8.53125" style="824" customWidth="1"/>
    <col min="6160" max="6160" width="8.53125" style="824" bestFit="1" customWidth="1"/>
    <col min="6161" max="6161" width="7.53125" style="824" customWidth="1"/>
    <col min="6162" max="6162" width="5.19921875" style="824" customWidth="1"/>
    <col min="6163" max="6163" width="9.265625" style="824" customWidth="1"/>
    <col min="6164" max="6164" width="8.46484375" style="824" customWidth="1"/>
    <col min="6165" max="6165" width="9.53125" style="824"/>
    <col min="6166" max="6166" width="2.19921875" style="824" customWidth="1"/>
    <col min="6167" max="6167" width="7.796875" style="824" customWidth="1"/>
    <col min="6168" max="6168" width="8.53125" style="824" customWidth="1"/>
    <col min="6169" max="6169" width="10.265625" style="824" bestFit="1" customWidth="1"/>
    <col min="6170" max="6170" width="7.53125" style="824" customWidth="1"/>
    <col min="6171" max="6171" width="2.265625" style="824" customWidth="1"/>
    <col min="6172" max="6172" width="5.265625" style="824" customWidth="1"/>
    <col min="6173" max="6173" width="8.265625" style="824" customWidth="1"/>
    <col min="6174" max="6174" width="1.796875" style="824" customWidth="1"/>
    <col min="6175" max="6175" width="8.265625" style="824" customWidth="1"/>
    <col min="6176" max="6176" width="8.53125" style="824" bestFit="1" customWidth="1"/>
    <col min="6177" max="6177" width="0.46484375" style="824" customWidth="1"/>
    <col min="6178" max="6178" width="9.53125" style="824"/>
    <col min="6179" max="6179" width="8.796875" style="824" customWidth="1"/>
    <col min="6180" max="6184" width="9.53125" style="824"/>
    <col min="6185" max="6185" width="10.73046875" style="824" customWidth="1"/>
    <col min="6186" max="6187" width="9.53125" style="824"/>
    <col min="6188" max="6188" width="0.796875" style="824" customWidth="1"/>
    <col min="6189" max="6189" width="8" style="824" customWidth="1"/>
    <col min="6190" max="6191" width="10" style="824" customWidth="1"/>
    <col min="6192" max="6197" width="11.46484375" style="824" customWidth="1"/>
    <col min="6198" max="6198" width="0.796875" style="824" customWidth="1"/>
    <col min="6199" max="6199" width="9.53125" style="824"/>
    <col min="6200" max="6200" width="6.73046875" style="824" customWidth="1"/>
    <col min="6201" max="6201" width="7.796875" style="824" customWidth="1"/>
    <col min="6202" max="6202" width="8.46484375" style="824" customWidth="1"/>
    <col min="6203" max="6203" width="7.796875" style="824" customWidth="1"/>
    <col min="6204" max="6204" width="6.46484375" style="824" customWidth="1"/>
    <col min="6205" max="6205" width="7.46484375" style="824" customWidth="1"/>
    <col min="6206" max="6206" width="6.73046875" style="824" customWidth="1"/>
    <col min="6207" max="6207" width="7.796875" style="824" customWidth="1"/>
    <col min="6208" max="6208" width="10.265625" style="824" bestFit="1" customWidth="1"/>
    <col min="6209" max="6209" width="9.53125" style="824"/>
    <col min="6210" max="6210" width="9.46484375" style="824" bestFit="1" customWidth="1"/>
    <col min="6211" max="6404" width="9.53125" style="824"/>
    <col min="6405" max="6405" width="7.19921875" style="824" customWidth="1"/>
    <col min="6406" max="6406" width="6.46484375" style="824" bestFit="1" customWidth="1"/>
    <col min="6407" max="6407" width="8.796875" style="824" customWidth="1"/>
    <col min="6408" max="6408" width="9.53125" style="824" customWidth="1"/>
    <col min="6409" max="6409" width="8.53125" style="824" customWidth="1"/>
    <col min="6410" max="6410" width="7.53125" style="824" customWidth="1"/>
    <col min="6411" max="6411" width="7.19921875" style="824" customWidth="1"/>
    <col min="6412" max="6412" width="8" style="824" bestFit="1" customWidth="1"/>
    <col min="6413" max="6413" width="7.46484375" style="824" customWidth="1"/>
    <col min="6414" max="6414" width="10.265625" style="824" bestFit="1" customWidth="1"/>
    <col min="6415" max="6415" width="8.53125" style="824" customWidth="1"/>
    <col min="6416" max="6416" width="8.53125" style="824" bestFit="1" customWidth="1"/>
    <col min="6417" max="6417" width="7.53125" style="824" customWidth="1"/>
    <col min="6418" max="6418" width="5.19921875" style="824" customWidth="1"/>
    <col min="6419" max="6419" width="9.265625" style="824" customWidth="1"/>
    <col min="6420" max="6420" width="8.46484375" style="824" customWidth="1"/>
    <col min="6421" max="6421" width="9.53125" style="824"/>
    <col min="6422" max="6422" width="2.19921875" style="824" customWidth="1"/>
    <col min="6423" max="6423" width="7.796875" style="824" customWidth="1"/>
    <col min="6424" max="6424" width="8.53125" style="824" customWidth="1"/>
    <col min="6425" max="6425" width="10.265625" style="824" bestFit="1" customWidth="1"/>
    <col min="6426" max="6426" width="7.53125" style="824" customWidth="1"/>
    <col min="6427" max="6427" width="2.265625" style="824" customWidth="1"/>
    <col min="6428" max="6428" width="5.265625" style="824" customWidth="1"/>
    <col min="6429" max="6429" width="8.265625" style="824" customWidth="1"/>
    <col min="6430" max="6430" width="1.796875" style="824" customWidth="1"/>
    <col min="6431" max="6431" width="8.265625" style="824" customWidth="1"/>
    <col min="6432" max="6432" width="8.53125" style="824" bestFit="1" customWidth="1"/>
    <col min="6433" max="6433" width="0.46484375" style="824" customWidth="1"/>
    <col min="6434" max="6434" width="9.53125" style="824"/>
    <col min="6435" max="6435" width="8.796875" style="824" customWidth="1"/>
    <col min="6436" max="6440" width="9.53125" style="824"/>
    <col min="6441" max="6441" width="10.73046875" style="824" customWidth="1"/>
    <col min="6442" max="6443" width="9.53125" style="824"/>
    <col min="6444" max="6444" width="0.796875" style="824" customWidth="1"/>
    <col min="6445" max="6445" width="8" style="824" customWidth="1"/>
    <col min="6446" max="6447" width="10" style="824" customWidth="1"/>
    <col min="6448" max="6453" width="11.46484375" style="824" customWidth="1"/>
    <col min="6454" max="6454" width="0.796875" style="824" customWidth="1"/>
    <col min="6455" max="6455" width="9.53125" style="824"/>
    <col min="6456" max="6456" width="6.73046875" style="824" customWidth="1"/>
    <col min="6457" max="6457" width="7.796875" style="824" customWidth="1"/>
    <col min="6458" max="6458" width="8.46484375" style="824" customWidth="1"/>
    <col min="6459" max="6459" width="7.796875" style="824" customWidth="1"/>
    <col min="6460" max="6460" width="6.46484375" style="824" customWidth="1"/>
    <col min="6461" max="6461" width="7.46484375" style="824" customWidth="1"/>
    <col min="6462" max="6462" width="6.73046875" style="824" customWidth="1"/>
    <col min="6463" max="6463" width="7.796875" style="824" customWidth="1"/>
    <col min="6464" max="6464" width="10.265625" style="824" bestFit="1" customWidth="1"/>
    <col min="6465" max="6465" width="9.53125" style="824"/>
    <col min="6466" max="6466" width="9.46484375" style="824" bestFit="1" customWidth="1"/>
    <col min="6467" max="6660" width="9.53125" style="824"/>
    <col min="6661" max="6661" width="7.19921875" style="824" customWidth="1"/>
    <col min="6662" max="6662" width="6.46484375" style="824" bestFit="1" customWidth="1"/>
    <col min="6663" max="6663" width="8.796875" style="824" customWidth="1"/>
    <col min="6664" max="6664" width="9.53125" style="824" customWidth="1"/>
    <col min="6665" max="6665" width="8.53125" style="824" customWidth="1"/>
    <col min="6666" max="6666" width="7.53125" style="824" customWidth="1"/>
    <col min="6667" max="6667" width="7.19921875" style="824" customWidth="1"/>
    <col min="6668" max="6668" width="8" style="824" bestFit="1" customWidth="1"/>
    <col min="6669" max="6669" width="7.46484375" style="824" customWidth="1"/>
    <col min="6670" max="6670" width="10.265625" style="824" bestFit="1" customWidth="1"/>
    <col min="6671" max="6671" width="8.53125" style="824" customWidth="1"/>
    <col min="6672" max="6672" width="8.53125" style="824" bestFit="1" customWidth="1"/>
    <col min="6673" max="6673" width="7.53125" style="824" customWidth="1"/>
    <col min="6674" max="6674" width="5.19921875" style="824" customWidth="1"/>
    <col min="6675" max="6675" width="9.265625" style="824" customWidth="1"/>
    <col min="6676" max="6676" width="8.46484375" style="824" customWidth="1"/>
    <col min="6677" max="6677" width="9.53125" style="824"/>
    <col min="6678" max="6678" width="2.19921875" style="824" customWidth="1"/>
    <col min="6679" max="6679" width="7.796875" style="824" customWidth="1"/>
    <col min="6680" max="6680" width="8.53125" style="824" customWidth="1"/>
    <col min="6681" max="6681" width="10.265625" style="824" bestFit="1" customWidth="1"/>
    <col min="6682" max="6682" width="7.53125" style="824" customWidth="1"/>
    <col min="6683" max="6683" width="2.265625" style="824" customWidth="1"/>
    <col min="6684" max="6684" width="5.265625" style="824" customWidth="1"/>
    <col min="6685" max="6685" width="8.265625" style="824" customWidth="1"/>
    <col min="6686" max="6686" width="1.796875" style="824" customWidth="1"/>
    <col min="6687" max="6687" width="8.265625" style="824" customWidth="1"/>
    <col min="6688" max="6688" width="8.53125" style="824" bestFit="1" customWidth="1"/>
    <col min="6689" max="6689" width="0.46484375" style="824" customWidth="1"/>
    <col min="6690" max="6690" width="9.53125" style="824"/>
    <col min="6691" max="6691" width="8.796875" style="824" customWidth="1"/>
    <col min="6692" max="6696" width="9.53125" style="824"/>
    <col min="6697" max="6697" width="10.73046875" style="824" customWidth="1"/>
    <col min="6698" max="6699" width="9.53125" style="824"/>
    <col min="6700" max="6700" width="0.796875" style="824" customWidth="1"/>
    <col min="6701" max="6701" width="8" style="824" customWidth="1"/>
    <col min="6702" max="6703" width="10" style="824" customWidth="1"/>
    <col min="6704" max="6709" width="11.46484375" style="824" customWidth="1"/>
    <col min="6710" max="6710" width="0.796875" style="824" customWidth="1"/>
    <col min="6711" max="6711" width="9.53125" style="824"/>
    <col min="6712" max="6712" width="6.73046875" style="824" customWidth="1"/>
    <col min="6713" max="6713" width="7.796875" style="824" customWidth="1"/>
    <col min="6714" max="6714" width="8.46484375" style="824" customWidth="1"/>
    <col min="6715" max="6715" width="7.796875" style="824" customWidth="1"/>
    <col min="6716" max="6716" width="6.46484375" style="824" customWidth="1"/>
    <col min="6717" max="6717" width="7.46484375" style="824" customWidth="1"/>
    <col min="6718" max="6718" width="6.73046875" style="824" customWidth="1"/>
    <col min="6719" max="6719" width="7.796875" style="824" customWidth="1"/>
    <col min="6720" max="6720" width="10.265625" style="824" bestFit="1" customWidth="1"/>
    <col min="6721" max="6721" width="9.53125" style="824"/>
    <col min="6722" max="6722" width="9.46484375" style="824" bestFit="1" customWidth="1"/>
    <col min="6723" max="6916" width="9.53125" style="824"/>
    <col min="6917" max="6917" width="7.19921875" style="824" customWidth="1"/>
    <col min="6918" max="6918" width="6.46484375" style="824" bestFit="1" customWidth="1"/>
    <col min="6919" max="6919" width="8.796875" style="824" customWidth="1"/>
    <col min="6920" max="6920" width="9.53125" style="824" customWidth="1"/>
    <col min="6921" max="6921" width="8.53125" style="824" customWidth="1"/>
    <col min="6922" max="6922" width="7.53125" style="824" customWidth="1"/>
    <col min="6923" max="6923" width="7.19921875" style="824" customWidth="1"/>
    <col min="6924" max="6924" width="8" style="824" bestFit="1" customWidth="1"/>
    <col min="6925" max="6925" width="7.46484375" style="824" customWidth="1"/>
    <col min="6926" max="6926" width="10.265625" style="824" bestFit="1" customWidth="1"/>
    <col min="6927" max="6927" width="8.53125" style="824" customWidth="1"/>
    <col min="6928" max="6928" width="8.53125" style="824" bestFit="1" customWidth="1"/>
    <col min="6929" max="6929" width="7.53125" style="824" customWidth="1"/>
    <col min="6930" max="6930" width="5.19921875" style="824" customWidth="1"/>
    <col min="6931" max="6931" width="9.265625" style="824" customWidth="1"/>
    <col min="6932" max="6932" width="8.46484375" style="824" customWidth="1"/>
    <col min="6933" max="6933" width="9.53125" style="824"/>
    <col min="6934" max="6934" width="2.19921875" style="824" customWidth="1"/>
    <col min="6935" max="6935" width="7.796875" style="824" customWidth="1"/>
    <col min="6936" max="6936" width="8.53125" style="824" customWidth="1"/>
    <col min="6937" max="6937" width="10.265625" style="824" bestFit="1" customWidth="1"/>
    <col min="6938" max="6938" width="7.53125" style="824" customWidth="1"/>
    <col min="6939" max="6939" width="2.265625" style="824" customWidth="1"/>
    <col min="6940" max="6940" width="5.265625" style="824" customWidth="1"/>
    <col min="6941" max="6941" width="8.265625" style="824" customWidth="1"/>
    <col min="6942" max="6942" width="1.796875" style="824" customWidth="1"/>
    <col min="6943" max="6943" width="8.265625" style="824" customWidth="1"/>
    <col min="6944" max="6944" width="8.53125" style="824" bestFit="1" customWidth="1"/>
    <col min="6945" max="6945" width="0.46484375" style="824" customWidth="1"/>
    <col min="6946" max="6946" width="9.53125" style="824"/>
    <col min="6947" max="6947" width="8.796875" style="824" customWidth="1"/>
    <col min="6948" max="6952" width="9.53125" style="824"/>
    <col min="6953" max="6953" width="10.73046875" style="824" customWidth="1"/>
    <col min="6954" max="6955" width="9.53125" style="824"/>
    <col min="6956" max="6956" width="0.796875" style="824" customWidth="1"/>
    <col min="6957" max="6957" width="8" style="824" customWidth="1"/>
    <col min="6958" max="6959" width="10" style="824" customWidth="1"/>
    <col min="6960" max="6965" width="11.46484375" style="824" customWidth="1"/>
    <col min="6966" max="6966" width="0.796875" style="824" customWidth="1"/>
    <col min="6967" max="6967" width="9.53125" style="824"/>
    <col min="6968" max="6968" width="6.73046875" style="824" customWidth="1"/>
    <col min="6969" max="6969" width="7.796875" style="824" customWidth="1"/>
    <col min="6970" max="6970" width="8.46484375" style="824" customWidth="1"/>
    <col min="6971" max="6971" width="7.796875" style="824" customWidth="1"/>
    <col min="6972" max="6972" width="6.46484375" style="824" customWidth="1"/>
    <col min="6973" max="6973" width="7.46484375" style="824" customWidth="1"/>
    <col min="6974" max="6974" width="6.73046875" style="824" customWidth="1"/>
    <col min="6975" max="6975" width="7.796875" style="824" customWidth="1"/>
    <col min="6976" max="6976" width="10.265625" style="824" bestFit="1" customWidth="1"/>
    <col min="6977" max="6977" width="9.53125" style="824"/>
    <col min="6978" max="6978" width="9.46484375" style="824" bestFit="1" customWidth="1"/>
    <col min="6979" max="7172" width="9.53125" style="824"/>
    <col min="7173" max="7173" width="7.19921875" style="824" customWidth="1"/>
    <col min="7174" max="7174" width="6.46484375" style="824" bestFit="1" customWidth="1"/>
    <col min="7175" max="7175" width="8.796875" style="824" customWidth="1"/>
    <col min="7176" max="7176" width="9.53125" style="824" customWidth="1"/>
    <col min="7177" max="7177" width="8.53125" style="824" customWidth="1"/>
    <col min="7178" max="7178" width="7.53125" style="824" customWidth="1"/>
    <col min="7179" max="7179" width="7.19921875" style="824" customWidth="1"/>
    <col min="7180" max="7180" width="8" style="824" bestFit="1" customWidth="1"/>
    <col min="7181" max="7181" width="7.46484375" style="824" customWidth="1"/>
    <col min="7182" max="7182" width="10.265625" style="824" bestFit="1" customWidth="1"/>
    <col min="7183" max="7183" width="8.53125" style="824" customWidth="1"/>
    <col min="7184" max="7184" width="8.53125" style="824" bestFit="1" customWidth="1"/>
    <col min="7185" max="7185" width="7.53125" style="824" customWidth="1"/>
    <col min="7186" max="7186" width="5.19921875" style="824" customWidth="1"/>
    <col min="7187" max="7187" width="9.265625" style="824" customWidth="1"/>
    <col min="7188" max="7188" width="8.46484375" style="824" customWidth="1"/>
    <col min="7189" max="7189" width="9.53125" style="824"/>
    <col min="7190" max="7190" width="2.19921875" style="824" customWidth="1"/>
    <col min="7191" max="7191" width="7.796875" style="824" customWidth="1"/>
    <col min="7192" max="7192" width="8.53125" style="824" customWidth="1"/>
    <col min="7193" max="7193" width="10.265625" style="824" bestFit="1" customWidth="1"/>
    <col min="7194" max="7194" width="7.53125" style="824" customWidth="1"/>
    <col min="7195" max="7195" width="2.265625" style="824" customWidth="1"/>
    <col min="7196" max="7196" width="5.265625" style="824" customWidth="1"/>
    <col min="7197" max="7197" width="8.265625" style="824" customWidth="1"/>
    <col min="7198" max="7198" width="1.796875" style="824" customWidth="1"/>
    <col min="7199" max="7199" width="8.265625" style="824" customWidth="1"/>
    <col min="7200" max="7200" width="8.53125" style="824" bestFit="1" customWidth="1"/>
    <col min="7201" max="7201" width="0.46484375" style="824" customWidth="1"/>
    <col min="7202" max="7202" width="9.53125" style="824"/>
    <col min="7203" max="7203" width="8.796875" style="824" customWidth="1"/>
    <col min="7204" max="7208" width="9.53125" style="824"/>
    <col min="7209" max="7209" width="10.73046875" style="824" customWidth="1"/>
    <col min="7210" max="7211" width="9.53125" style="824"/>
    <col min="7212" max="7212" width="0.796875" style="824" customWidth="1"/>
    <col min="7213" max="7213" width="8" style="824" customWidth="1"/>
    <col min="7214" max="7215" width="10" style="824" customWidth="1"/>
    <col min="7216" max="7221" width="11.46484375" style="824" customWidth="1"/>
    <col min="7222" max="7222" width="0.796875" style="824" customWidth="1"/>
    <col min="7223" max="7223" width="9.53125" style="824"/>
    <col min="7224" max="7224" width="6.73046875" style="824" customWidth="1"/>
    <col min="7225" max="7225" width="7.796875" style="824" customWidth="1"/>
    <col min="7226" max="7226" width="8.46484375" style="824" customWidth="1"/>
    <col min="7227" max="7227" width="7.796875" style="824" customWidth="1"/>
    <col min="7228" max="7228" width="6.46484375" style="824" customWidth="1"/>
    <col min="7229" max="7229" width="7.46484375" style="824" customWidth="1"/>
    <col min="7230" max="7230" width="6.73046875" style="824" customWidth="1"/>
    <col min="7231" max="7231" width="7.796875" style="824" customWidth="1"/>
    <col min="7232" max="7232" width="10.265625" style="824" bestFit="1" customWidth="1"/>
    <col min="7233" max="7233" width="9.53125" style="824"/>
    <col min="7234" max="7234" width="9.46484375" style="824" bestFit="1" customWidth="1"/>
    <col min="7235" max="7428" width="9.53125" style="824"/>
    <col min="7429" max="7429" width="7.19921875" style="824" customWidth="1"/>
    <col min="7430" max="7430" width="6.46484375" style="824" bestFit="1" customWidth="1"/>
    <col min="7431" max="7431" width="8.796875" style="824" customWidth="1"/>
    <col min="7432" max="7432" width="9.53125" style="824" customWidth="1"/>
    <col min="7433" max="7433" width="8.53125" style="824" customWidth="1"/>
    <col min="7434" max="7434" width="7.53125" style="824" customWidth="1"/>
    <col min="7435" max="7435" width="7.19921875" style="824" customWidth="1"/>
    <col min="7436" max="7436" width="8" style="824" bestFit="1" customWidth="1"/>
    <col min="7437" max="7437" width="7.46484375" style="824" customWidth="1"/>
    <col min="7438" max="7438" width="10.265625" style="824" bestFit="1" customWidth="1"/>
    <col min="7439" max="7439" width="8.53125" style="824" customWidth="1"/>
    <col min="7440" max="7440" width="8.53125" style="824" bestFit="1" customWidth="1"/>
    <col min="7441" max="7441" width="7.53125" style="824" customWidth="1"/>
    <col min="7442" max="7442" width="5.19921875" style="824" customWidth="1"/>
    <col min="7443" max="7443" width="9.265625" style="824" customWidth="1"/>
    <col min="7444" max="7444" width="8.46484375" style="824" customWidth="1"/>
    <col min="7445" max="7445" width="9.53125" style="824"/>
    <col min="7446" max="7446" width="2.19921875" style="824" customWidth="1"/>
    <col min="7447" max="7447" width="7.796875" style="824" customWidth="1"/>
    <col min="7448" max="7448" width="8.53125" style="824" customWidth="1"/>
    <col min="7449" max="7449" width="10.265625" style="824" bestFit="1" customWidth="1"/>
    <col min="7450" max="7450" width="7.53125" style="824" customWidth="1"/>
    <col min="7451" max="7451" width="2.265625" style="824" customWidth="1"/>
    <col min="7452" max="7452" width="5.265625" style="824" customWidth="1"/>
    <col min="7453" max="7453" width="8.265625" style="824" customWidth="1"/>
    <col min="7454" max="7454" width="1.796875" style="824" customWidth="1"/>
    <col min="7455" max="7455" width="8.265625" style="824" customWidth="1"/>
    <col min="7456" max="7456" width="8.53125" style="824" bestFit="1" customWidth="1"/>
    <col min="7457" max="7457" width="0.46484375" style="824" customWidth="1"/>
    <col min="7458" max="7458" width="9.53125" style="824"/>
    <col min="7459" max="7459" width="8.796875" style="824" customWidth="1"/>
    <col min="7460" max="7464" width="9.53125" style="824"/>
    <col min="7465" max="7465" width="10.73046875" style="824" customWidth="1"/>
    <col min="7466" max="7467" width="9.53125" style="824"/>
    <col min="7468" max="7468" width="0.796875" style="824" customWidth="1"/>
    <col min="7469" max="7469" width="8" style="824" customWidth="1"/>
    <col min="7470" max="7471" width="10" style="824" customWidth="1"/>
    <col min="7472" max="7477" width="11.46484375" style="824" customWidth="1"/>
    <col min="7478" max="7478" width="0.796875" style="824" customWidth="1"/>
    <col min="7479" max="7479" width="9.53125" style="824"/>
    <col min="7480" max="7480" width="6.73046875" style="824" customWidth="1"/>
    <col min="7481" max="7481" width="7.796875" style="824" customWidth="1"/>
    <col min="7482" max="7482" width="8.46484375" style="824" customWidth="1"/>
    <col min="7483" max="7483" width="7.796875" style="824" customWidth="1"/>
    <col min="7484" max="7484" width="6.46484375" style="824" customWidth="1"/>
    <col min="7485" max="7485" width="7.46484375" style="824" customWidth="1"/>
    <col min="7486" max="7486" width="6.73046875" style="824" customWidth="1"/>
    <col min="7487" max="7487" width="7.796875" style="824" customWidth="1"/>
    <col min="7488" max="7488" width="10.265625" style="824" bestFit="1" customWidth="1"/>
    <col min="7489" max="7489" width="9.53125" style="824"/>
    <col min="7490" max="7490" width="9.46484375" style="824" bestFit="1" customWidth="1"/>
    <col min="7491" max="7684" width="9.53125" style="824"/>
    <col min="7685" max="7685" width="7.19921875" style="824" customWidth="1"/>
    <col min="7686" max="7686" width="6.46484375" style="824" bestFit="1" customWidth="1"/>
    <col min="7687" max="7687" width="8.796875" style="824" customWidth="1"/>
    <col min="7688" max="7688" width="9.53125" style="824" customWidth="1"/>
    <col min="7689" max="7689" width="8.53125" style="824" customWidth="1"/>
    <col min="7690" max="7690" width="7.53125" style="824" customWidth="1"/>
    <col min="7691" max="7691" width="7.19921875" style="824" customWidth="1"/>
    <col min="7692" max="7692" width="8" style="824" bestFit="1" customWidth="1"/>
    <col min="7693" max="7693" width="7.46484375" style="824" customWidth="1"/>
    <col min="7694" max="7694" width="10.265625" style="824" bestFit="1" customWidth="1"/>
    <col min="7695" max="7695" width="8.53125" style="824" customWidth="1"/>
    <col min="7696" max="7696" width="8.53125" style="824" bestFit="1" customWidth="1"/>
    <col min="7697" max="7697" width="7.53125" style="824" customWidth="1"/>
    <col min="7698" max="7698" width="5.19921875" style="824" customWidth="1"/>
    <col min="7699" max="7699" width="9.265625" style="824" customWidth="1"/>
    <col min="7700" max="7700" width="8.46484375" style="824" customWidth="1"/>
    <col min="7701" max="7701" width="9.53125" style="824"/>
    <col min="7702" max="7702" width="2.19921875" style="824" customWidth="1"/>
    <col min="7703" max="7703" width="7.796875" style="824" customWidth="1"/>
    <col min="7704" max="7704" width="8.53125" style="824" customWidth="1"/>
    <col min="7705" max="7705" width="10.265625" style="824" bestFit="1" customWidth="1"/>
    <col min="7706" max="7706" width="7.53125" style="824" customWidth="1"/>
    <col min="7707" max="7707" width="2.265625" style="824" customWidth="1"/>
    <col min="7708" max="7708" width="5.265625" style="824" customWidth="1"/>
    <col min="7709" max="7709" width="8.265625" style="824" customWidth="1"/>
    <col min="7710" max="7710" width="1.796875" style="824" customWidth="1"/>
    <col min="7711" max="7711" width="8.265625" style="824" customWidth="1"/>
    <col min="7712" max="7712" width="8.53125" style="824" bestFit="1" customWidth="1"/>
    <col min="7713" max="7713" width="0.46484375" style="824" customWidth="1"/>
    <col min="7714" max="7714" width="9.53125" style="824"/>
    <col min="7715" max="7715" width="8.796875" style="824" customWidth="1"/>
    <col min="7716" max="7720" width="9.53125" style="824"/>
    <col min="7721" max="7721" width="10.73046875" style="824" customWidth="1"/>
    <col min="7722" max="7723" width="9.53125" style="824"/>
    <col min="7724" max="7724" width="0.796875" style="824" customWidth="1"/>
    <col min="7725" max="7725" width="8" style="824" customWidth="1"/>
    <col min="7726" max="7727" width="10" style="824" customWidth="1"/>
    <col min="7728" max="7733" width="11.46484375" style="824" customWidth="1"/>
    <col min="7734" max="7734" width="0.796875" style="824" customWidth="1"/>
    <col min="7735" max="7735" width="9.53125" style="824"/>
    <col min="7736" max="7736" width="6.73046875" style="824" customWidth="1"/>
    <col min="7737" max="7737" width="7.796875" style="824" customWidth="1"/>
    <col min="7738" max="7738" width="8.46484375" style="824" customWidth="1"/>
    <col min="7739" max="7739" width="7.796875" style="824" customWidth="1"/>
    <col min="7740" max="7740" width="6.46484375" style="824" customWidth="1"/>
    <col min="7741" max="7741" width="7.46484375" style="824" customWidth="1"/>
    <col min="7742" max="7742" width="6.73046875" style="824" customWidth="1"/>
    <col min="7743" max="7743" width="7.796875" style="824" customWidth="1"/>
    <col min="7744" max="7744" width="10.265625" style="824" bestFit="1" customWidth="1"/>
    <col min="7745" max="7745" width="9.53125" style="824"/>
    <col min="7746" max="7746" width="9.46484375" style="824" bestFit="1" customWidth="1"/>
    <col min="7747" max="7940" width="9.53125" style="824"/>
    <col min="7941" max="7941" width="7.19921875" style="824" customWidth="1"/>
    <col min="7942" max="7942" width="6.46484375" style="824" bestFit="1" customWidth="1"/>
    <col min="7943" max="7943" width="8.796875" style="824" customWidth="1"/>
    <col min="7944" max="7944" width="9.53125" style="824" customWidth="1"/>
    <col min="7945" max="7945" width="8.53125" style="824" customWidth="1"/>
    <col min="7946" max="7946" width="7.53125" style="824" customWidth="1"/>
    <col min="7947" max="7947" width="7.19921875" style="824" customWidth="1"/>
    <col min="7948" max="7948" width="8" style="824" bestFit="1" customWidth="1"/>
    <col min="7949" max="7949" width="7.46484375" style="824" customWidth="1"/>
    <col min="7950" max="7950" width="10.265625" style="824" bestFit="1" customWidth="1"/>
    <col min="7951" max="7951" width="8.53125" style="824" customWidth="1"/>
    <col min="7952" max="7952" width="8.53125" style="824" bestFit="1" customWidth="1"/>
    <col min="7953" max="7953" width="7.53125" style="824" customWidth="1"/>
    <col min="7954" max="7954" width="5.19921875" style="824" customWidth="1"/>
    <col min="7955" max="7955" width="9.265625" style="824" customWidth="1"/>
    <col min="7956" max="7956" width="8.46484375" style="824" customWidth="1"/>
    <col min="7957" max="7957" width="9.53125" style="824"/>
    <col min="7958" max="7958" width="2.19921875" style="824" customWidth="1"/>
    <col min="7959" max="7959" width="7.796875" style="824" customWidth="1"/>
    <col min="7960" max="7960" width="8.53125" style="824" customWidth="1"/>
    <col min="7961" max="7961" width="10.265625" style="824" bestFit="1" customWidth="1"/>
    <col min="7962" max="7962" width="7.53125" style="824" customWidth="1"/>
    <col min="7963" max="7963" width="2.265625" style="824" customWidth="1"/>
    <col min="7964" max="7964" width="5.265625" style="824" customWidth="1"/>
    <col min="7965" max="7965" width="8.265625" style="824" customWidth="1"/>
    <col min="7966" max="7966" width="1.796875" style="824" customWidth="1"/>
    <col min="7967" max="7967" width="8.265625" style="824" customWidth="1"/>
    <col min="7968" max="7968" width="8.53125" style="824" bestFit="1" customWidth="1"/>
    <col min="7969" max="7969" width="0.46484375" style="824" customWidth="1"/>
    <col min="7970" max="7970" width="9.53125" style="824"/>
    <col min="7971" max="7971" width="8.796875" style="824" customWidth="1"/>
    <col min="7972" max="7976" width="9.53125" style="824"/>
    <col min="7977" max="7977" width="10.73046875" style="824" customWidth="1"/>
    <col min="7978" max="7979" width="9.53125" style="824"/>
    <col min="7980" max="7980" width="0.796875" style="824" customWidth="1"/>
    <col min="7981" max="7981" width="8" style="824" customWidth="1"/>
    <col min="7982" max="7983" width="10" style="824" customWidth="1"/>
    <col min="7984" max="7989" width="11.46484375" style="824" customWidth="1"/>
    <col min="7990" max="7990" width="0.796875" style="824" customWidth="1"/>
    <col min="7991" max="7991" width="9.53125" style="824"/>
    <col min="7992" max="7992" width="6.73046875" style="824" customWidth="1"/>
    <col min="7993" max="7993" width="7.796875" style="824" customWidth="1"/>
    <col min="7994" max="7994" width="8.46484375" style="824" customWidth="1"/>
    <col min="7995" max="7995" width="7.796875" style="824" customWidth="1"/>
    <col min="7996" max="7996" width="6.46484375" style="824" customWidth="1"/>
    <col min="7997" max="7997" width="7.46484375" style="824" customWidth="1"/>
    <col min="7998" max="7998" width="6.73046875" style="824" customWidth="1"/>
    <col min="7999" max="7999" width="7.796875" style="824" customWidth="1"/>
    <col min="8000" max="8000" width="10.265625" style="824" bestFit="1" customWidth="1"/>
    <col min="8001" max="8001" width="9.53125" style="824"/>
    <col min="8002" max="8002" width="9.46484375" style="824" bestFit="1" customWidth="1"/>
    <col min="8003" max="8196" width="9.53125" style="824"/>
    <col min="8197" max="8197" width="7.19921875" style="824" customWidth="1"/>
    <col min="8198" max="8198" width="6.46484375" style="824" bestFit="1" customWidth="1"/>
    <col min="8199" max="8199" width="8.796875" style="824" customWidth="1"/>
    <col min="8200" max="8200" width="9.53125" style="824" customWidth="1"/>
    <col min="8201" max="8201" width="8.53125" style="824" customWidth="1"/>
    <col min="8202" max="8202" width="7.53125" style="824" customWidth="1"/>
    <col min="8203" max="8203" width="7.19921875" style="824" customWidth="1"/>
    <col min="8204" max="8204" width="8" style="824" bestFit="1" customWidth="1"/>
    <col min="8205" max="8205" width="7.46484375" style="824" customWidth="1"/>
    <col min="8206" max="8206" width="10.265625" style="824" bestFit="1" customWidth="1"/>
    <col min="8207" max="8207" width="8.53125" style="824" customWidth="1"/>
    <col min="8208" max="8208" width="8.53125" style="824" bestFit="1" customWidth="1"/>
    <col min="8209" max="8209" width="7.53125" style="824" customWidth="1"/>
    <col min="8210" max="8210" width="5.19921875" style="824" customWidth="1"/>
    <col min="8211" max="8211" width="9.265625" style="824" customWidth="1"/>
    <col min="8212" max="8212" width="8.46484375" style="824" customWidth="1"/>
    <col min="8213" max="8213" width="9.53125" style="824"/>
    <col min="8214" max="8214" width="2.19921875" style="824" customWidth="1"/>
    <col min="8215" max="8215" width="7.796875" style="824" customWidth="1"/>
    <col min="8216" max="8216" width="8.53125" style="824" customWidth="1"/>
    <col min="8217" max="8217" width="10.265625" style="824" bestFit="1" customWidth="1"/>
    <col min="8218" max="8218" width="7.53125" style="824" customWidth="1"/>
    <col min="8219" max="8219" width="2.265625" style="824" customWidth="1"/>
    <col min="8220" max="8220" width="5.265625" style="824" customWidth="1"/>
    <col min="8221" max="8221" width="8.265625" style="824" customWidth="1"/>
    <col min="8222" max="8222" width="1.796875" style="824" customWidth="1"/>
    <col min="8223" max="8223" width="8.265625" style="824" customWidth="1"/>
    <col min="8224" max="8224" width="8.53125" style="824" bestFit="1" customWidth="1"/>
    <col min="8225" max="8225" width="0.46484375" style="824" customWidth="1"/>
    <col min="8226" max="8226" width="9.53125" style="824"/>
    <col min="8227" max="8227" width="8.796875" style="824" customWidth="1"/>
    <col min="8228" max="8232" width="9.53125" style="824"/>
    <col min="8233" max="8233" width="10.73046875" style="824" customWidth="1"/>
    <col min="8234" max="8235" width="9.53125" style="824"/>
    <col min="8236" max="8236" width="0.796875" style="824" customWidth="1"/>
    <col min="8237" max="8237" width="8" style="824" customWidth="1"/>
    <col min="8238" max="8239" width="10" style="824" customWidth="1"/>
    <col min="8240" max="8245" width="11.46484375" style="824" customWidth="1"/>
    <col min="8246" max="8246" width="0.796875" style="824" customWidth="1"/>
    <col min="8247" max="8247" width="9.53125" style="824"/>
    <col min="8248" max="8248" width="6.73046875" style="824" customWidth="1"/>
    <col min="8249" max="8249" width="7.796875" style="824" customWidth="1"/>
    <col min="8250" max="8250" width="8.46484375" style="824" customWidth="1"/>
    <col min="8251" max="8251" width="7.796875" style="824" customWidth="1"/>
    <col min="8252" max="8252" width="6.46484375" style="824" customWidth="1"/>
    <col min="8253" max="8253" width="7.46484375" style="824" customWidth="1"/>
    <col min="8254" max="8254" width="6.73046875" style="824" customWidth="1"/>
    <col min="8255" max="8255" width="7.796875" style="824" customWidth="1"/>
    <col min="8256" max="8256" width="10.265625" style="824" bestFit="1" customWidth="1"/>
    <col min="8257" max="8257" width="9.53125" style="824"/>
    <col min="8258" max="8258" width="9.46484375" style="824" bestFit="1" customWidth="1"/>
    <col min="8259" max="8452" width="9.53125" style="824"/>
    <col min="8453" max="8453" width="7.19921875" style="824" customWidth="1"/>
    <col min="8454" max="8454" width="6.46484375" style="824" bestFit="1" customWidth="1"/>
    <col min="8455" max="8455" width="8.796875" style="824" customWidth="1"/>
    <col min="8456" max="8456" width="9.53125" style="824" customWidth="1"/>
    <col min="8457" max="8457" width="8.53125" style="824" customWidth="1"/>
    <col min="8458" max="8458" width="7.53125" style="824" customWidth="1"/>
    <col min="8459" max="8459" width="7.19921875" style="824" customWidth="1"/>
    <col min="8460" max="8460" width="8" style="824" bestFit="1" customWidth="1"/>
    <col min="8461" max="8461" width="7.46484375" style="824" customWidth="1"/>
    <col min="8462" max="8462" width="10.265625" style="824" bestFit="1" customWidth="1"/>
    <col min="8463" max="8463" width="8.53125" style="824" customWidth="1"/>
    <col min="8464" max="8464" width="8.53125" style="824" bestFit="1" customWidth="1"/>
    <col min="8465" max="8465" width="7.53125" style="824" customWidth="1"/>
    <col min="8466" max="8466" width="5.19921875" style="824" customWidth="1"/>
    <col min="8467" max="8467" width="9.265625" style="824" customWidth="1"/>
    <col min="8468" max="8468" width="8.46484375" style="824" customWidth="1"/>
    <col min="8469" max="8469" width="9.53125" style="824"/>
    <col min="8470" max="8470" width="2.19921875" style="824" customWidth="1"/>
    <col min="8471" max="8471" width="7.796875" style="824" customWidth="1"/>
    <col min="8472" max="8472" width="8.53125" style="824" customWidth="1"/>
    <col min="8473" max="8473" width="10.265625" style="824" bestFit="1" customWidth="1"/>
    <col min="8474" max="8474" width="7.53125" style="824" customWidth="1"/>
    <col min="8475" max="8475" width="2.265625" style="824" customWidth="1"/>
    <col min="8476" max="8476" width="5.265625" style="824" customWidth="1"/>
    <col min="8477" max="8477" width="8.265625" style="824" customWidth="1"/>
    <col min="8478" max="8478" width="1.796875" style="824" customWidth="1"/>
    <col min="8479" max="8479" width="8.265625" style="824" customWidth="1"/>
    <col min="8480" max="8480" width="8.53125" style="824" bestFit="1" customWidth="1"/>
    <col min="8481" max="8481" width="0.46484375" style="824" customWidth="1"/>
    <col min="8482" max="8482" width="9.53125" style="824"/>
    <col min="8483" max="8483" width="8.796875" style="824" customWidth="1"/>
    <col min="8484" max="8488" width="9.53125" style="824"/>
    <col min="8489" max="8489" width="10.73046875" style="824" customWidth="1"/>
    <col min="8490" max="8491" width="9.53125" style="824"/>
    <col min="8492" max="8492" width="0.796875" style="824" customWidth="1"/>
    <col min="8493" max="8493" width="8" style="824" customWidth="1"/>
    <col min="8494" max="8495" width="10" style="824" customWidth="1"/>
    <col min="8496" max="8501" width="11.46484375" style="824" customWidth="1"/>
    <col min="8502" max="8502" width="0.796875" style="824" customWidth="1"/>
    <col min="8503" max="8503" width="9.53125" style="824"/>
    <col min="8504" max="8504" width="6.73046875" style="824" customWidth="1"/>
    <col min="8505" max="8505" width="7.796875" style="824" customWidth="1"/>
    <col min="8506" max="8506" width="8.46484375" style="824" customWidth="1"/>
    <col min="8507" max="8507" width="7.796875" style="824" customWidth="1"/>
    <col min="8508" max="8508" width="6.46484375" style="824" customWidth="1"/>
    <col min="8509" max="8509" width="7.46484375" style="824" customWidth="1"/>
    <col min="8510" max="8510" width="6.73046875" style="824" customWidth="1"/>
    <col min="8511" max="8511" width="7.796875" style="824" customWidth="1"/>
    <col min="8512" max="8512" width="10.265625" style="824" bestFit="1" customWidth="1"/>
    <col min="8513" max="8513" width="9.53125" style="824"/>
    <col min="8514" max="8514" width="9.46484375" style="824" bestFit="1" customWidth="1"/>
    <col min="8515" max="8708" width="9.53125" style="824"/>
    <col min="8709" max="8709" width="7.19921875" style="824" customWidth="1"/>
    <col min="8710" max="8710" width="6.46484375" style="824" bestFit="1" customWidth="1"/>
    <col min="8711" max="8711" width="8.796875" style="824" customWidth="1"/>
    <col min="8712" max="8712" width="9.53125" style="824" customWidth="1"/>
    <col min="8713" max="8713" width="8.53125" style="824" customWidth="1"/>
    <col min="8714" max="8714" width="7.53125" style="824" customWidth="1"/>
    <col min="8715" max="8715" width="7.19921875" style="824" customWidth="1"/>
    <col min="8716" max="8716" width="8" style="824" bestFit="1" customWidth="1"/>
    <col min="8717" max="8717" width="7.46484375" style="824" customWidth="1"/>
    <col min="8718" max="8718" width="10.265625" style="824" bestFit="1" customWidth="1"/>
    <col min="8719" max="8719" width="8.53125" style="824" customWidth="1"/>
    <col min="8720" max="8720" width="8.53125" style="824" bestFit="1" customWidth="1"/>
    <col min="8721" max="8721" width="7.53125" style="824" customWidth="1"/>
    <col min="8722" max="8722" width="5.19921875" style="824" customWidth="1"/>
    <col min="8723" max="8723" width="9.265625" style="824" customWidth="1"/>
    <col min="8724" max="8724" width="8.46484375" style="824" customWidth="1"/>
    <col min="8725" max="8725" width="9.53125" style="824"/>
    <col min="8726" max="8726" width="2.19921875" style="824" customWidth="1"/>
    <col min="8727" max="8727" width="7.796875" style="824" customWidth="1"/>
    <col min="8728" max="8728" width="8.53125" style="824" customWidth="1"/>
    <col min="8729" max="8729" width="10.265625" style="824" bestFit="1" customWidth="1"/>
    <col min="8730" max="8730" width="7.53125" style="824" customWidth="1"/>
    <col min="8731" max="8731" width="2.265625" style="824" customWidth="1"/>
    <col min="8732" max="8732" width="5.265625" style="824" customWidth="1"/>
    <col min="8733" max="8733" width="8.265625" style="824" customWidth="1"/>
    <col min="8734" max="8734" width="1.796875" style="824" customWidth="1"/>
    <col min="8735" max="8735" width="8.265625" style="824" customWidth="1"/>
    <col min="8736" max="8736" width="8.53125" style="824" bestFit="1" customWidth="1"/>
    <col min="8737" max="8737" width="0.46484375" style="824" customWidth="1"/>
    <col min="8738" max="8738" width="9.53125" style="824"/>
    <col min="8739" max="8739" width="8.796875" style="824" customWidth="1"/>
    <col min="8740" max="8744" width="9.53125" style="824"/>
    <col min="8745" max="8745" width="10.73046875" style="824" customWidth="1"/>
    <col min="8746" max="8747" width="9.53125" style="824"/>
    <col min="8748" max="8748" width="0.796875" style="824" customWidth="1"/>
    <col min="8749" max="8749" width="8" style="824" customWidth="1"/>
    <col min="8750" max="8751" width="10" style="824" customWidth="1"/>
    <col min="8752" max="8757" width="11.46484375" style="824" customWidth="1"/>
    <col min="8758" max="8758" width="0.796875" style="824" customWidth="1"/>
    <col min="8759" max="8759" width="9.53125" style="824"/>
    <col min="8760" max="8760" width="6.73046875" style="824" customWidth="1"/>
    <col min="8761" max="8761" width="7.796875" style="824" customWidth="1"/>
    <col min="8762" max="8762" width="8.46484375" style="824" customWidth="1"/>
    <col min="8763" max="8763" width="7.796875" style="824" customWidth="1"/>
    <col min="8764" max="8764" width="6.46484375" style="824" customWidth="1"/>
    <col min="8765" max="8765" width="7.46484375" style="824" customWidth="1"/>
    <col min="8766" max="8766" width="6.73046875" style="824" customWidth="1"/>
    <col min="8767" max="8767" width="7.796875" style="824" customWidth="1"/>
    <col min="8768" max="8768" width="10.265625" style="824" bestFit="1" customWidth="1"/>
    <col min="8769" max="8769" width="9.53125" style="824"/>
    <col min="8770" max="8770" width="9.46484375" style="824" bestFit="1" customWidth="1"/>
    <col min="8771" max="8964" width="9.53125" style="824"/>
    <col min="8965" max="8965" width="7.19921875" style="824" customWidth="1"/>
    <col min="8966" max="8966" width="6.46484375" style="824" bestFit="1" customWidth="1"/>
    <col min="8967" max="8967" width="8.796875" style="824" customWidth="1"/>
    <col min="8968" max="8968" width="9.53125" style="824" customWidth="1"/>
    <col min="8969" max="8969" width="8.53125" style="824" customWidth="1"/>
    <col min="8970" max="8970" width="7.53125" style="824" customWidth="1"/>
    <col min="8971" max="8971" width="7.19921875" style="824" customWidth="1"/>
    <col min="8972" max="8972" width="8" style="824" bestFit="1" customWidth="1"/>
    <col min="8973" max="8973" width="7.46484375" style="824" customWidth="1"/>
    <col min="8974" max="8974" width="10.265625" style="824" bestFit="1" customWidth="1"/>
    <col min="8975" max="8975" width="8.53125" style="824" customWidth="1"/>
    <col min="8976" max="8976" width="8.53125" style="824" bestFit="1" customWidth="1"/>
    <col min="8977" max="8977" width="7.53125" style="824" customWidth="1"/>
    <col min="8978" max="8978" width="5.19921875" style="824" customWidth="1"/>
    <col min="8979" max="8979" width="9.265625" style="824" customWidth="1"/>
    <col min="8980" max="8980" width="8.46484375" style="824" customWidth="1"/>
    <col min="8981" max="8981" width="9.53125" style="824"/>
    <col min="8982" max="8982" width="2.19921875" style="824" customWidth="1"/>
    <col min="8983" max="8983" width="7.796875" style="824" customWidth="1"/>
    <col min="8984" max="8984" width="8.53125" style="824" customWidth="1"/>
    <col min="8985" max="8985" width="10.265625" style="824" bestFit="1" customWidth="1"/>
    <col min="8986" max="8986" width="7.53125" style="824" customWidth="1"/>
    <col min="8987" max="8987" width="2.265625" style="824" customWidth="1"/>
    <col min="8988" max="8988" width="5.265625" style="824" customWidth="1"/>
    <col min="8989" max="8989" width="8.265625" style="824" customWidth="1"/>
    <col min="8990" max="8990" width="1.796875" style="824" customWidth="1"/>
    <col min="8991" max="8991" width="8.265625" style="824" customWidth="1"/>
    <col min="8992" max="8992" width="8.53125" style="824" bestFit="1" customWidth="1"/>
    <col min="8993" max="8993" width="0.46484375" style="824" customWidth="1"/>
    <col min="8994" max="8994" width="9.53125" style="824"/>
    <col min="8995" max="8995" width="8.796875" style="824" customWidth="1"/>
    <col min="8996" max="9000" width="9.53125" style="824"/>
    <col min="9001" max="9001" width="10.73046875" style="824" customWidth="1"/>
    <col min="9002" max="9003" width="9.53125" style="824"/>
    <col min="9004" max="9004" width="0.796875" style="824" customWidth="1"/>
    <col min="9005" max="9005" width="8" style="824" customWidth="1"/>
    <col min="9006" max="9007" width="10" style="824" customWidth="1"/>
    <col min="9008" max="9013" width="11.46484375" style="824" customWidth="1"/>
    <col min="9014" max="9014" width="0.796875" style="824" customWidth="1"/>
    <col min="9015" max="9015" width="9.53125" style="824"/>
    <col min="9016" max="9016" width="6.73046875" style="824" customWidth="1"/>
    <col min="9017" max="9017" width="7.796875" style="824" customWidth="1"/>
    <col min="9018" max="9018" width="8.46484375" style="824" customWidth="1"/>
    <col min="9019" max="9019" width="7.796875" style="824" customWidth="1"/>
    <col min="9020" max="9020" width="6.46484375" style="824" customWidth="1"/>
    <col min="9021" max="9021" width="7.46484375" style="824" customWidth="1"/>
    <col min="9022" max="9022" width="6.73046875" style="824" customWidth="1"/>
    <col min="9023" max="9023" width="7.796875" style="824" customWidth="1"/>
    <col min="9024" max="9024" width="10.265625" style="824" bestFit="1" customWidth="1"/>
    <col min="9025" max="9025" width="9.53125" style="824"/>
    <col min="9026" max="9026" width="9.46484375" style="824" bestFit="1" customWidth="1"/>
    <col min="9027" max="9220" width="9.53125" style="824"/>
    <col min="9221" max="9221" width="7.19921875" style="824" customWidth="1"/>
    <col min="9222" max="9222" width="6.46484375" style="824" bestFit="1" customWidth="1"/>
    <col min="9223" max="9223" width="8.796875" style="824" customWidth="1"/>
    <col min="9224" max="9224" width="9.53125" style="824" customWidth="1"/>
    <col min="9225" max="9225" width="8.53125" style="824" customWidth="1"/>
    <col min="9226" max="9226" width="7.53125" style="824" customWidth="1"/>
    <col min="9227" max="9227" width="7.19921875" style="824" customWidth="1"/>
    <col min="9228" max="9228" width="8" style="824" bestFit="1" customWidth="1"/>
    <col min="9229" max="9229" width="7.46484375" style="824" customWidth="1"/>
    <col min="9230" max="9230" width="10.265625" style="824" bestFit="1" customWidth="1"/>
    <col min="9231" max="9231" width="8.53125" style="824" customWidth="1"/>
    <col min="9232" max="9232" width="8.53125" style="824" bestFit="1" customWidth="1"/>
    <col min="9233" max="9233" width="7.53125" style="824" customWidth="1"/>
    <col min="9234" max="9234" width="5.19921875" style="824" customWidth="1"/>
    <col min="9235" max="9235" width="9.265625" style="824" customWidth="1"/>
    <col min="9236" max="9236" width="8.46484375" style="824" customWidth="1"/>
    <col min="9237" max="9237" width="9.53125" style="824"/>
    <col min="9238" max="9238" width="2.19921875" style="824" customWidth="1"/>
    <col min="9239" max="9239" width="7.796875" style="824" customWidth="1"/>
    <col min="9240" max="9240" width="8.53125" style="824" customWidth="1"/>
    <col min="9241" max="9241" width="10.265625" style="824" bestFit="1" customWidth="1"/>
    <col min="9242" max="9242" width="7.53125" style="824" customWidth="1"/>
    <col min="9243" max="9243" width="2.265625" style="824" customWidth="1"/>
    <col min="9244" max="9244" width="5.265625" style="824" customWidth="1"/>
    <col min="9245" max="9245" width="8.265625" style="824" customWidth="1"/>
    <col min="9246" max="9246" width="1.796875" style="824" customWidth="1"/>
    <col min="9247" max="9247" width="8.265625" style="824" customWidth="1"/>
    <col min="9248" max="9248" width="8.53125" style="824" bestFit="1" customWidth="1"/>
    <col min="9249" max="9249" width="0.46484375" style="824" customWidth="1"/>
    <col min="9250" max="9250" width="9.53125" style="824"/>
    <col min="9251" max="9251" width="8.796875" style="824" customWidth="1"/>
    <col min="9252" max="9256" width="9.53125" style="824"/>
    <col min="9257" max="9257" width="10.73046875" style="824" customWidth="1"/>
    <col min="9258" max="9259" width="9.53125" style="824"/>
    <col min="9260" max="9260" width="0.796875" style="824" customWidth="1"/>
    <col min="9261" max="9261" width="8" style="824" customWidth="1"/>
    <col min="9262" max="9263" width="10" style="824" customWidth="1"/>
    <col min="9264" max="9269" width="11.46484375" style="824" customWidth="1"/>
    <col min="9270" max="9270" width="0.796875" style="824" customWidth="1"/>
    <col min="9271" max="9271" width="9.53125" style="824"/>
    <col min="9272" max="9272" width="6.73046875" style="824" customWidth="1"/>
    <col min="9273" max="9273" width="7.796875" style="824" customWidth="1"/>
    <col min="9274" max="9274" width="8.46484375" style="824" customWidth="1"/>
    <col min="9275" max="9275" width="7.796875" style="824" customWidth="1"/>
    <col min="9276" max="9276" width="6.46484375" style="824" customWidth="1"/>
    <col min="9277" max="9277" width="7.46484375" style="824" customWidth="1"/>
    <col min="9278" max="9278" width="6.73046875" style="824" customWidth="1"/>
    <col min="9279" max="9279" width="7.796875" style="824" customWidth="1"/>
    <col min="9280" max="9280" width="10.265625" style="824" bestFit="1" customWidth="1"/>
    <col min="9281" max="9281" width="9.53125" style="824"/>
    <col min="9282" max="9282" width="9.46484375" style="824" bestFit="1" customWidth="1"/>
    <col min="9283" max="9476" width="9.53125" style="824"/>
    <col min="9477" max="9477" width="7.19921875" style="824" customWidth="1"/>
    <col min="9478" max="9478" width="6.46484375" style="824" bestFit="1" customWidth="1"/>
    <col min="9479" max="9479" width="8.796875" style="824" customWidth="1"/>
    <col min="9480" max="9480" width="9.53125" style="824" customWidth="1"/>
    <col min="9481" max="9481" width="8.53125" style="824" customWidth="1"/>
    <col min="9482" max="9482" width="7.53125" style="824" customWidth="1"/>
    <col min="9483" max="9483" width="7.19921875" style="824" customWidth="1"/>
    <col min="9484" max="9484" width="8" style="824" bestFit="1" customWidth="1"/>
    <col min="9485" max="9485" width="7.46484375" style="824" customWidth="1"/>
    <col min="9486" max="9486" width="10.265625" style="824" bestFit="1" customWidth="1"/>
    <col min="9487" max="9487" width="8.53125" style="824" customWidth="1"/>
    <col min="9488" max="9488" width="8.53125" style="824" bestFit="1" customWidth="1"/>
    <col min="9489" max="9489" width="7.53125" style="824" customWidth="1"/>
    <col min="9490" max="9490" width="5.19921875" style="824" customWidth="1"/>
    <col min="9491" max="9491" width="9.265625" style="824" customWidth="1"/>
    <col min="9492" max="9492" width="8.46484375" style="824" customWidth="1"/>
    <col min="9493" max="9493" width="9.53125" style="824"/>
    <col min="9494" max="9494" width="2.19921875" style="824" customWidth="1"/>
    <col min="9495" max="9495" width="7.796875" style="824" customWidth="1"/>
    <col min="9496" max="9496" width="8.53125" style="824" customWidth="1"/>
    <col min="9497" max="9497" width="10.265625" style="824" bestFit="1" customWidth="1"/>
    <col min="9498" max="9498" width="7.53125" style="824" customWidth="1"/>
    <col min="9499" max="9499" width="2.265625" style="824" customWidth="1"/>
    <col min="9500" max="9500" width="5.265625" style="824" customWidth="1"/>
    <col min="9501" max="9501" width="8.265625" style="824" customWidth="1"/>
    <col min="9502" max="9502" width="1.796875" style="824" customWidth="1"/>
    <col min="9503" max="9503" width="8.265625" style="824" customWidth="1"/>
    <col min="9504" max="9504" width="8.53125" style="824" bestFit="1" customWidth="1"/>
    <col min="9505" max="9505" width="0.46484375" style="824" customWidth="1"/>
    <col min="9506" max="9506" width="9.53125" style="824"/>
    <col min="9507" max="9507" width="8.796875" style="824" customWidth="1"/>
    <col min="9508" max="9512" width="9.53125" style="824"/>
    <col min="9513" max="9513" width="10.73046875" style="824" customWidth="1"/>
    <col min="9514" max="9515" width="9.53125" style="824"/>
    <col min="9516" max="9516" width="0.796875" style="824" customWidth="1"/>
    <col min="9517" max="9517" width="8" style="824" customWidth="1"/>
    <col min="9518" max="9519" width="10" style="824" customWidth="1"/>
    <col min="9520" max="9525" width="11.46484375" style="824" customWidth="1"/>
    <col min="9526" max="9526" width="0.796875" style="824" customWidth="1"/>
    <col min="9527" max="9527" width="9.53125" style="824"/>
    <col min="9528" max="9528" width="6.73046875" style="824" customWidth="1"/>
    <col min="9529" max="9529" width="7.796875" style="824" customWidth="1"/>
    <col min="9530" max="9530" width="8.46484375" style="824" customWidth="1"/>
    <col min="9531" max="9531" width="7.796875" style="824" customWidth="1"/>
    <col min="9532" max="9532" width="6.46484375" style="824" customWidth="1"/>
    <col min="9533" max="9533" width="7.46484375" style="824" customWidth="1"/>
    <col min="9534" max="9534" width="6.73046875" style="824" customWidth="1"/>
    <col min="9535" max="9535" width="7.796875" style="824" customWidth="1"/>
    <col min="9536" max="9536" width="10.265625" style="824" bestFit="1" customWidth="1"/>
    <col min="9537" max="9537" width="9.53125" style="824"/>
    <col min="9538" max="9538" width="9.46484375" style="824" bestFit="1" customWidth="1"/>
    <col min="9539" max="9732" width="9.53125" style="824"/>
    <col min="9733" max="9733" width="7.19921875" style="824" customWidth="1"/>
    <col min="9734" max="9734" width="6.46484375" style="824" bestFit="1" customWidth="1"/>
    <col min="9735" max="9735" width="8.796875" style="824" customWidth="1"/>
    <col min="9736" max="9736" width="9.53125" style="824" customWidth="1"/>
    <col min="9737" max="9737" width="8.53125" style="824" customWidth="1"/>
    <col min="9738" max="9738" width="7.53125" style="824" customWidth="1"/>
    <col min="9739" max="9739" width="7.19921875" style="824" customWidth="1"/>
    <col min="9740" max="9740" width="8" style="824" bestFit="1" customWidth="1"/>
    <col min="9741" max="9741" width="7.46484375" style="824" customWidth="1"/>
    <col min="9742" max="9742" width="10.265625" style="824" bestFit="1" customWidth="1"/>
    <col min="9743" max="9743" width="8.53125" style="824" customWidth="1"/>
    <col min="9744" max="9744" width="8.53125" style="824" bestFit="1" customWidth="1"/>
    <col min="9745" max="9745" width="7.53125" style="824" customWidth="1"/>
    <col min="9746" max="9746" width="5.19921875" style="824" customWidth="1"/>
    <col min="9747" max="9747" width="9.265625" style="824" customWidth="1"/>
    <col min="9748" max="9748" width="8.46484375" style="824" customWidth="1"/>
    <col min="9749" max="9749" width="9.53125" style="824"/>
    <col min="9750" max="9750" width="2.19921875" style="824" customWidth="1"/>
    <col min="9751" max="9751" width="7.796875" style="824" customWidth="1"/>
    <col min="9752" max="9752" width="8.53125" style="824" customWidth="1"/>
    <col min="9753" max="9753" width="10.265625" style="824" bestFit="1" customWidth="1"/>
    <col min="9754" max="9754" width="7.53125" style="824" customWidth="1"/>
    <col min="9755" max="9755" width="2.265625" style="824" customWidth="1"/>
    <col min="9756" max="9756" width="5.265625" style="824" customWidth="1"/>
    <col min="9757" max="9757" width="8.265625" style="824" customWidth="1"/>
    <col min="9758" max="9758" width="1.796875" style="824" customWidth="1"/>
    <col min="9759" max="9759" width="8.265625" style="824" customWidth="1"/>
    <col min="9760" max="9760" width="8.53125" style="824" bestFit="1" customWidth="1"/>
    <col min="9761" max="9761" width="0.46484375" style="824" customWidth="1"/>
    <col min="9762" max="9762" width="9.53125" style="824"/>
    <col min="9763" max="9763" width="8.796875" style="824" customWidth="1"/>
    <col min="9764" max="9768" width="9.53125" style="824"/>
    <col min="9769" max="9769" width="10.73046875" style="824" customWidth="1"/>
    <col min="9770" max="9771" width="9.53125" style="824"/>
    <col min="9772" max="9772" width="0.796875" style="824" customWidth="1"/>
    <col min="9773" max="9773" width="8" style="824" customWidth="1"/>
    <col min="9774" max="9775" width="10" style="824" customWidth="1"/>
    <col min="9776" max="9781" width="11.46484375" style="824" customWidth="1"/>
    <col min="9782" max="9782" width="0.796875" style="824" customWidth="1"/>
    <col min="9783" max="9783" width="9.53125" style="824"/>
    <col min="9784" max="9784" width="6.73046875" style="824" customWidth="1"/>
    <col min="9785" max="9785" width="7.796875" style="824" customWidth="1"/>
    <col min="9786" max="9786" width="8.46484375" style="824" customWidth="1"/>
    <col min="9787" max="9787" width="7.796875" style="824" customWidth="1"/>
    <col min="9788" max="9788" width="6.46484375" style="824" customWidth="1"/>
    <col min="9789" max="9789" width="7.46484375" style="824" customWidth="1"/>
    <col min="9790" max="9790" width="6.73046875" style="824" customWidth="1"/>
    <col min="9791" max="9791" width="7.796875" style="824" customWidth="1"/>
    <col min="9792" max="9792" width="10.265625" style="824" bestFit="1" customWidth="1"/>
    <col min="9793" max="9793" width="9.53125" style="824"/>
    <col min="9794" max="9794" width="9.46484375" style="824" bestFit="1" customWidth="1"/>
    <col min="9795" max="9988" width="9.53125" style="824"/>
    <col min="9989" max="9989" width="7.19921875" style="824" customWidth="1"/>
    <col min="9990" max="9990" width="6.46484375" style="824" bestFit="1" customWidth="1"/>
    <col min="9991" max="9991" width="8.796875" style="824" customWidth="1"/>
    <col min="9992" max="9992" width="9.53125" style="824" customWidth="1"/>
    <col min="9993" max="9993" width="8.53125" style="824" customWidth="1"/>
    <col min="9994" max="9994" width="7.53125" style="824" customWidth="1"/>
    <col min="9995" max="9995" width="7.19921875" style="824" customWidth="1"/>
    <col min="9996" max="9996" width="8" style="824" bestFit="1" customWidth="1"/>
    <col min="9997" max="9997" width="7.46484375" style="824" customWidth="1"/>
    <col min="9998" max="9998" width="10.265625" style="824" bestFit="1" customWidth="1"/>
    <col min="9999" max="9999" width="8.53125" style="824" customWidth="1"/>
    <col min="10000" max="10000" width="8.53125" style="824" bestFit="1" customWidth="1"/>
    <col min="10001" max="10001" width="7.53125" style="824" customWidth="1"/>
    <col min="10002" max="10002" width="5.19921875" style="824" customWidth="1"/>
    <col min="10003" max="10003" width="9.265625" style="824" customWidth="1"/>
    <col min="10004" max="10004" width="8.46484375" style="824" customWidth="1"/>
    <col min="10005" max="10005" width="9.53125" style="824"/>
    <col min="10006" max="10006" width="2.19921875" style="824" customWidth="1"/>
    <col min="10007" max="10007" width="7.796875" style="824" customWidth="1"/>
    <col min="10008" max="10008" width="8.53125" style="824" customWidth="1"/>
    <col min="10009" max="10009" width="10.265625" style="824" bestFit="1" customWidth="1"/>
    <col min="10010" max="10010" width="7.53125" style="824" customWidth="1"/>
    <col min="10011" max="10011" width="2.265625" style="824" customWidth="1"/>
    <col min="10012" max="10012" width="5.265625" style="824" customWidth="1"/>
    <col min="10013" max="10013" width="8.265625" style="824" customWidth="1"/>
    <col min="10014" max="10014" width="1.796875" style="824" customWidth="1"/>
    <col min="10015" max="10015" width="8.265625" style="824" customWidth="1"/>
    <col min="10016" max="10016" width="8.53125" style="824" bestFit="1" customWidth="1"/>
    <col min="10017" max="10017" width="0.46484375" style="824" customWidth="1"/>
    <col min="10018" max="10018" width="9.53125" style="824"/>
    <col min="10019" max="10019" width="8.796875" style="824" customWidth="1"/>
    <col min="10020" max="10024" width="9.53125" style="824"/>
    <col min="10025" max="10025" width="10.73046875" style="824" customWidth="1"/>
    <col min="10026" max="10027" width="9.53125" style="824"/>
    <col min="10028" max="10028" width="0.796875" style="824" customWidth="1"/>
    <col min="10029" max="10029" width="8" style="824" customWidth="1"/>
    <col min="10030" max="10031" width="10" style="824" customWidth="1"/>
    <col min="10032" max="10037" width="11.46484375" style="824" customWidth="1"/>
    <col min="10038" max="10038" width="0.796875" style="824" customWidth="1"/>
    <col min="10039" max="10039" width="9.53125" style="824"/>
    <col min="10040" max="10040" width="6.73046875" style="824" customWidth="1"/>
    <col min="10041" max="10041" width="7.796875" style="824" customWidth="1"/>
    <col min="10042" max="10042" width="8.46484375" style="824" customWidth="1"/>
    <col min="10043" max="10043" width="7.796875" style="824" customWidth="1"/>
    <col min="10044" max="10044" width="6.46484375" style="824" customWidth="1"/>
    <col min="10045" max="10045" width="7.46484375" style="824" customWidth="1"/>
    <col min="10046" max="10046" width="6.73046875" style="824" customWidth="1"/>
    <col min="10047" max="10047" width="7.796875" style="824" customWidth="1"/>
    <col min="10048" max="10048" width="10.265625" style="824" bestFit="1" customWidth="1"/>
    <col min="10049" max="10049" width="9.53125" style="824"/>
    <col min="10050" max="10050" width="9.46484375" style="824" bestFit="1" customWidth="1"/>
    <col min="10051" max="10244" width="9.53125" style="824"/>
    <col min="10245" max="10245" width="7.19921875" style="824" customWidth="1"/>
    <col min="10246" max="10246" width="6.46484375" style="824" bestFit="1" customWidth="1"/>
    <col min="10247" max="10247" width="8.796875" style="824" customWidth="1"/>
    <col min="10248" max="10248" width="9.53125" style="824" customWidth="1"/>
    <col min="10249" max="10249" width="8.53125" style="824" customWidth="1"/>
    <col min="10250" max="10250" width="7.53125" style="824" customWidth="1"/>
    <col min="10251" max="10251" width="7.19921875" style="824" customWidth="1"/>
    <col min="10252" max="10252" width="8" style="824" bestFit="1" customWidth="1"/>
    <col min="10253" max="10253" width="7.46484375" style="824" customWidth="1"/>
    <col min="10254" max="10254" width="10.265625" style="824" bestFit="1" customWidth="1"/>
    <col min="10255" max="10255" width="8.53125" style="824" customWidth="1"/>
    <col min="10256" max="10256" width="8.53125" style="824" bestFit="1" customWidth="1"/>
    <col min="10257" max="10257" width="7.53125" style="824" customWidth="1"/>
    <col min="10258" max="10258" width="5.19921875" style="824" customWidth="1"/>
    <col min="10259" max="10259" width="9.265625" style="824" customWidth="1"/>
    <col min="10260" max="10260" width="8.46484375" style="824" customWidth="1"/>
    <col min="10261" max="10261" width="9.53125" style="824"/>
    <col min="10262" max="10262" width="2.19921875" style="824" customWidth="1"/>
    <col min="10263" max="10263" width="7.796875" style="824" customWidth="1"/>
    <col min="10264" max="10264" width="8.53125" style="824" customWidth="1"/>
    <col min="10265" max="10265" width="10.265625" style="824" bestFit="1" customWidth="1"/>
    <col min="10266" max="10266" width="7.53125" style="824" customWidth="1"/>
    <col min="10267" max="10267" width="2.265625" style="824" customWidth="1"/>
    <col min="10268" max="10268" width="5.265625" style="824" customWidth="1"/>
    <col min="10269" max="10269" width="8.265625" style="824" customWidth="1"/>
    <col min="10270" max="10270" width="1.796875" style="824" customWidth="1"/>
    <col min="10271" max="10271" width="8.265625" style="824" customWidth="1"/>
    <col min="10272" max="10272" width="8.53125" style="824" bestFit="1" customWidth="1"/>
    <col min="10273" max="10273" width="0.46484375" style="824" customWidth="1"/>
    <col min="10274" max="10274" width="9.53125" style="824"/>
    <col min="10275" max="10275" width="8.796875" style="824" customWidth="1"/>
    <col min="10276" max="10280" width="9.53125" style="824"/>
    <col min="10281" max="10281" width="10.73046875" style="824" customWidth="1"/>
    <col min="10282" max="10283" width="9.53125" style="824"/>
    <col min="10284" max="10284" width="0.796875" style="824" customWidth="1"/>
    <col min="10285" max="10285" width="8" style="824" customWidth="1"/>
    <col min="10286" max="10287" width="10" style="824" customWidth="1"/>
    <col min="10288" max="10293" width="11.46484375" style="824" customWidth="1"/>
    <col min="10294" max="10294" width="0.796875" style="824" customWidth="1"/>
    <col min="10295" max="10295" width="9.53125" style="824"/>
    <col min="10296" max="10296" width="6.73046875" style="824" customWidth="1"/>
    <col min="10297" max="10297" width="7.796875" style="824" customWidth="1"/>
    <col min="10298" max="10298" width="8.46484375" style="824" customWidth="1"/>
    <col min="10299" max="10299" width="7.796875" style="824" customWidth="1"/>
    <col min="10300" max="10300" width="6.46484375" style="824" customWidth="1"/>
    <col min="10301" max="10301" width="7.46484375" style="824" customWidth="1"/>
    <col min="10302" max="10302" width="6.73046875" style="824" customWidth="1"/>
    <col min="10303" max="10303" width="7.796875" style="824" customWidth="1"/>
    <col min="10304" max="10304" width="10.265625" style="824" bestFit="1" customWidth="1"/>
    <col min="10305" max="10305" width="9.53125" style="824"/>
    <col min="10306" max="10306" width="9.46484375" style="824" bestFit="1" customWidth="1"/>
    <col min="10307" max="10500" width="9.53125" style="824"/>
    <col min="10501" max="10501" width="7.19921875" style="824" customWidth="1"/>
    <col min="10502" max="10502" width="6.46484375" style="824" bestFit="1" customWidth="1"/>
    <col min="10503" max="10503" width="8.796875" style="824" customWidth="1"/>
    <col min="10504" max="10504" width="9.53125" style="824" customWidth="1"/>
    <col min="10505" max="10505" width="8.53125" style="824" customWidth="1"/>
    <col min="10506" max="10506" width="7.53125" style="824" customWidth="1"/>
    <col min="10507" max="10507" width="7.19921875" style="824" customWidth="1"/>
    <col min="10508" max="10508" width="8" style="824" bestFit="1" customWidth="1"/>
    <col min="10509" max="10509" width="7.46484375" style="824" customWidth="1"/>
    <col min="10510" max="10510" width="10.265625" style="824" bestFit="1" customWidth="1"/>
    <col min="10511" max="10511" width="8.53125" style="824" customWidth="1"/>
    <col min="10512" max="10512" width="8.53125" style="824" bestFit="1" customWidth="1"/>
    <col min="10513" max="10513" width="7.53125" style="824" customWidth="1"/>
    <col min="10514" max="10514" width="5.19921875" style="824" customWidth="1"/>
    <col min="10515" max="10515" width="9.265625" style="824" customWidth="1"/>
    <col min="10516" max="10516" width="8.46484375" style="824" customWidth="1"/>
    <col min="10517" max="10517" width="9.53125" style="824"/>
    <col min="10518" max="10518" width="2.19921875" style="824" customWidth="1"/>
    <col min="10519" max="10519" width="7.796875" style="824" customWidth="1"/>
    <col min="10520" max="10520" width="8.53125" style="824" customWidth="1"/>
    <col min="10521" max="10521" width="10.265625" style="824" bestFit="1" customWidth="1"/>
    <col min="10522" max="10522" width="7.53125" style="824" customWidth="1"/>
    <col min="10523" max="10523" width="2.265625" style="824" customWidth="1"/>
    <col min="10524" max="10524" width="5.265625" style="824" customWidth="1"/>
    <col min="10525" max="10525" width="8.265625" style="824" customWidth="1"/>
    <col min="10526" max="10526" width="1.796875" style="824" customWidth="1"/>
    <col min="10527" max="10527" width="8.265625" style="824" customWidth="1"/>
    <col min="10528" max="10528" width="8.53125" style="824" bestFit="1" customWidth="1"/>
    <col min="10529" max="10529" width="0.46484375" style="824" customWidth="1"/>
    <col min="10530" max="10530" width="9.53125" style="824"/>
    <col min="10531" max="10531" width="8.796875" style="824" customWidth="1"/>
    <col min="10532" max="10536" width="9.53125" style="824"/>
    <col min="10537" max="10537" width="10.73046875" style="824" customWidth="1"/>
    <col min="10538" max="10539" width="9.53125" style="824"/>
    <col min="10540" max="10540" width="0.796875" style="824" customWidth="1"/>
    <col min="10541" max="10541" width="8" style="824" customWidth="1"/>
    <col min="10542" max="10543" width="10" style="824" customWidth="1"/>
    <col min="10544" max="10549" width="11.46484375" style="824" customWidth="1"/>
    <col min="10550" max="10550" width="0.796875" style="824" customWidth="1"/>
    <col min="10551" max="10551" width="9.53125" style="824"/>
    <col min="10552" max="10552" width="6.73046875" style="824" customWidth="1"/>
    <col min="10553" max="10553" width="7.796875" style="824" customWidth="1"/>
    <col min="10554" max="10554" width="8.46484375" style="824" customWidth="1"/>
    <col min="10555" max="10555" width="7.796875" style="824" customWidth="1"/>
    <col min="10556" max="10556" width="6.46484375" style="824" customWidth="1"/>
    <col min="10557" max="10557" width="7.46484375" style="824" customWidth="1"/>
    <col min="10558" max="10558" width="6.73046875" style="824" customWidth="1"/>
    <col min="10559" max="10559" width="7.796875" style="824" customWidth="1"/>
    <col min="10560" max="10560" width="10.265625" style="824" bestFit="1" customWidth="1"/>
    <col min="10561" max="10561" width="9.53125" style="824"/>
    <col min="10562" max="10562" width="9.46484375" style="824" bestFit="1" customWidth="1"/>
    <col min="10563" max="10756" width="9.53125" style="824"/>
    <col min="10757" max="10757" width="7.19921875" style="824" customWidth="1"/>
    <col min="10758" max="10758" width="6.46484375" style="824" bestFit="1" customWidth="1"/>
    <col min="10759" max="10759" width="8.796875" style="824" customWidth="1"/>
    <col min="10760" max="10760" width="9.53125" style="824" customWidth="1"/>
    <col min="10761" max="10761" width="8.53125" style="824" customWidth="1"/>
    <col min="10762" max="10762" width="7.53125" style="824" customWidth="1"/>
    <col min="10763" max="10763" width="7.19921875" style="824" customWidth="1"/>
    <col min="10764" max="10764" width="8" style="824" bestFit="1" customWidth="1"/>
    <col min="10765" max="10765" width="7.46484375" style="824" customWidth="1"/>
    <col min="10766" max="10766" width="10.265625" style="824" bestFit="1" customWidth="1"/>
    <col min="10767" max="10767" width="8.53125" style="824" customWidth="1"/>
    <col min="10768" max="10768" width="8.53125" style="824" bestFit="1" customWidth="1"/>
    <col min="10769" max="10769" width="7.53125" style="824" customWidth="1"/>
    <col min="10770" max="10770" width="5.19921875" style="824" customWidth="1"/>
    <col min="10771" max="10771" width="9.265625" style="824" customWidth="1"/>
    <col min="10772" max="10772" width="8.46484375" style="824" customWidth="1"/>
    <col min="10773" max="10773" width="9.53125" style="824"/>
    <col min="10774" max="10774" width="2.19921875" style="824" customWidth="1"/>
    <col min="10775" max="10775" width="7.796875" style="824" customWidth="1"/>
    <col min="10776" max="10776" width="8.53125" style="824" customWidth="1"/>
    <col min="10777" max="10777" width="10.265625" style="824" bestFit="1" customWidth="1"/>
    <col min="10778" max="10778" width="7.53125" style="824" customWidth="1"/>
    <col min="10779" max="10779" width="2.265625" style="824" customWidth="1"/>
    <col min="10780" max="10780" width="5.265625" style="824" customWidth="1"/>
    <col min="10781" max="10781" width="8.265625" style="824" customWidth="1"/>
    <col min="10782" max="10782" width="1.796875" style="824" customWidth="1"/>
    <col min="10783" max="10783" width="8.265625" style="824" customWidth="1"/>
    <col min="10784" max="10784" width="8.53125" style="824" bestFit="1" customWidth="1"/>
    <col min="10785" max="10785" width="0.46484375" style="824" customWidth="1"/>
    <col min="10786" max="10786" width="9.53125" style="824"/>
    <col min="10787" max="10787" width="8.796875" style="824" customWidth="1"/>
    <col min="10788" max="10792" width="9.53125" style="824"/>
    <col min="10793" max="10793" width="10.73046875" style="824" customWidth="1"/>
    <col min="10794" max="10795" width="9.53125" style="824"/>
    <col min="10796" max="10796" width="0.796875" style="824" customWidth="1"/>
    <col min="10797" max="10797" width="8" style="824" customWidth="1"/>
    <col min="10798" max="10799" width="10" style="824" customWidth="1"/>
    <col min="10800" max="10805" width="11.46484375" style="824" customWidth="1"/>
    <col min="10806" max="10806" width="0.796875" style="824" customWidth="1"/>
    <col min="10807" max="10807" width="9.53125" style="824"/>
    <col min="10808" max="10808" width="6.73046875" style="824" customWidth="1"/>
    <col min="10809" max="10809" width="7.796875" style="824" customWidth="1"/>
    <col min="10810" max="10810" width="8.46484375" style="824" customWidth="1"/>
    <col min="10811" max="10811" width="7.796875" style="824" customWidth="1"/>
    <col min="10812" max="10812" width="6.46484375" style="824" customWidth="1"/>
    <col min="10813" max="10813" width="7.46484375" style="824" customWidth="1"/>
    <col min="10814" max="10814" width="6.73046875" style="824" customWidth="1"/>
    <col min="10815" max="10815" width="7.796875" style="824" customWidth="1"/>
    <col min="10816" max="10816" width="10.265625" style="824" bestFit="1" customWidth="1"/>
    <col min="10817" max="10817" width="9.53125" style="824"/>
    <col min="10818" max="10818" width="9.46484375" style="824" bestFit="1" customWidth="1"/>
    <col min="10819" max="11012" width="9.53125" style="824"/>
    <col min="11013" max="11013" width="7.19921875" style="824" customWidth="1"/>
    <col min="11014" max="11014" width="6.46484375" style="824" bestFit="1" customWidth="1"/>
    <col min="11015" max="11015" width="8.796875" style="824" customWidth="1"/>
    <col min="11016" max="11016" width="9.53125" style="824" customWidth="1"/>
    <col min="11017" max="11017" width="8.53125" style="824" customWidth="1"/>
    <col min="11018" max="11018" width="7.53125" style="824" customWidth="1"/>
    <col min="11019" max="11019" width="7.19921875" style="824" customWidth="1"/>
    <col min="11020" max="11020" width="8" style="824" bestFit="1" customWidth="1"/>
    <col min="11021" max="11021" width="7.46484375" style="824" customWidth="1"/>
    <col min="11022" max="11022" width="10.265625" style="824" bestFit="1" customWidth="1"/>
    <col min="11023" max="11023" width="8.53125" style="824" customWidth="1"/>
    <col min="11024" max="11024" width="8.53125" style="824" bestFit="1" customWidth="1"/>
    <col min="11025" max="11025" width="7.53125" style="824" customWidth="1"/>
    <col min="11026" max="11026" width="5.19921875" style="824" customWidth="1"/>
    <col min="11027" max="11027" width="9.265625" style="824" customWidth="1"/>
    <col min="11028" max="11028" width="8.46484375" style="824" customWidth="1"/>
    <col min="11029" max="11029" width="9.53125" style="824"/>
    <col min="11030" max="11030" width="2.19921875" style="824" customWidth="1"/>
    <col min="11031" max="11031" width="7.796875" style="824" customWidth="1"/>
    <col min="11032" max="11032" width="8.53125" style="824" customWidth="1"/>
    <col min="11033" max="11033" width="10.265625" style="824" bestFit="1" customWidth="1"/>
    <col min="11034" max="11034" width="7.53125" style="824" customWidth="1"/>
    <col min="11035" max="11035" width="2.265625" style="824" customWidth="1"/>
    <col min="11036" max="11036" width="5.265625" style="824" customWidth="1"/>
    <col min="11037" max="11037" width="8.265625" style="824" customWidth="1"/>
    <col min="11038" max="11038" width="1.796875" style="824" customWidth="1"/>
    <col min="11039" max="11039" width="8.265625" style="824" customWidth="1"/>
    <col min="11040" max="11040" width="8.53125" style="824" bestFit="1" customWidth="1"/>
    <col min="11041" max="11041" width="0.46484375" style="824" customWidth="1"/>
    <col min="11042" max="11042" width="9.53125" style="824"/>
    <col min="11043" max="11043" width="8.796875" style="824" customWidth="1"/>
    <col min="11044" max="11048" width="9.53125" style="824"/>
    <col min="11049" max="11049" width="10.73046875" style="824" customWidth="1"/>
    <col min="11050" max="11051" width="9.53125" style="824"/>
    <col min="11052" max="11052" width="0.796875" style="824" customWidth="1"/>
    <col min="11053" max="11053" width="8" style="824" customWidth="1"/>
    <col min="11054" max="11055" width="10" style="824" customWidth="1"/>
    <col min="11056" max="11061" width="11.46484375" style="824" customWidth="1"/>
    <col min="11062" max="11062" width="0.796875" style="824" customWidth="1"/>
    <col min="11063" max="11063" width="9.53125" style="824"/>
    <col min="11064" max="11064" width="6.73046875" style="824" customWidth="1"/>
    <col min="11065" max="11065" width="7.796875" style="824" customWidth="1"/>
    <col min="11066" max="11066" width="8.46484375" style="824" customWidth="1"/>
    <col min="11067" max="11067" width="7.796875" style="824" customWidth="1"/>
    <col min="11068" max="11068" width="6.46484375" style="824" customWidth="1"/>
    <col min="11069" max="11069" width="7.46484375" style="824" customWidth="1"/>
    <col min="11070" max="11070" width="6.73046875" style="824" customWidth="1"/>
    <col min="11071" max="11071" width="7.796875" style="824" customWidth="1"/>
    <col min="11072" max="11072" width="10.265625" style="824" bestFit="1" customWidth="1"/>
    <col min="11073" max="11073" width="9.53125" style="824"/>
    <col min="11074" max="11074" width="9.46484375" style="824" bestFit="1" customWidth="1"/>
    <col min="11075" max="11268" width="9.53125" style="824"/>
    <col min="11269" max="11269" width="7.19921875" style="824" customWidth="1"/>
    <col min="11270" max="11270" width="6.46484375" style="824" bestFit="1" customWidth="1"/>
    <col min="11271" max="11271" width="8.796875" style="824" customWidth="1"/>
    <col min="11272" max="11272" width="9.53125" style="824" customWidth="1"/>
    <col min="11273" max="11273" width="8.53125" style="824" customWidth="1"/>
    <col min="11274" max="11274" width="7.53125" style="824" customWidth="1"/>
    <col min="11275" max="11275" width="7.19921875" style="824" customWidth="1"/>
    <col min="11276" max="11276" width="8" style="824" bestFit="1" customWidth="1"/>
    <col min="11277" max="11277" width="7.46484375" style="824" customWidth="1"/>
    <col min="11278" max="11278" width="10.265625" style="824" bestFit="1" customWidth="1"/>
    <col min="11279" max="11279" width="8.53125" style="824" customWidth="1"/>
    <col min="11280" max="11280" width="8.53125" style="824" bestFit="1" customWidth="1"/>
    <col min="11281" max="11281" width="7.53125" style="824" customWidth="1"/>
    <col min="11282" max="11282" width="5.19921875" style="824" customWidth="1"/>
    <col min="11283" max="11283" width="9.265625" style="824" customWidth="1"/>
    <col min="11284" max="11284" width="8.46484375" style="824" customWidth="1"/>
    <col min="11285" max="11285" width="9.53125" style="824"/>
    <col min="11286" max="11286" width="2.19921875" style="824" customWidth="1"/>
    <col min="11287" max="11287" width="7.796875" style="824" customWidth="1"/>
    <col min="11288" max="11288" width="8.53125" style="824" customWidth="1"/>
    <col min="11289" max="11289" width="10.265625" style="824" bestFit="1" customWidth="1"/>
    <col min="11290" max="11290" width="7.53125" style="824" customWidth="1"/>
    <col min="11291" max="11291" width="2.265625" style="824" customWidth="1"/>
    <col min="11292" max="11292" width="5.265625" style="824" customWidth="1"/>
    <col min="11293" max="11293" width="8.265625" style="824" customWidth="1"/>
    <col min="11294" max="11294" width="1.796875" style="824" customWidth="1"/>
    <col min="11295" max="11295" width="8.265625" style="824" customWidth="1"/>
    <col min="11296" max="11296" width="8.53125" style="824" bestFit="1" customWidth="1"/>
    <col min="11297" max="11297" width="0.46484375" style="824" customWidth="1"/>
    <col min="11298" max="11298" width="9.53125" style="824"/>
    <col min="11299" max="11299" width="8.796875" style="824" customWidth="1"/>
    <col min="11300" max="11304" width="9.53125" style="824"/>
    <col min="11305" max="11305" width="10.73046875" style="824" customWidth="1"/>
    <col min="11306" max="11307" width="9.53125" style="824"/>
    <col min="11308" max="11308" width="0.796875" style="824" customWidth="1"/>
    <col min="11309" max="11309" width="8" style="824" customWidth="1"/>
    <col min="11310" max="11311" width="10" style="824" customWidth="1"/>
    <col min="11312" max="11317" width="11.46484375" style="824" customWidth="1"/>
    <col min="11318" max="11318" width="0.796875" style="824" customWidth="1"/>
    <col min="11319" max="11319" width="9.53125" style="824"/>
    <col min="11320" max="11320" width="6.73046875" style="824" customWidth="1"/>
    <col min="11321" max="11321" width="7.796875" style="824" customWidth="1"/>
    <col min="11322" max="11322" width="8.46484375" style="824" customWidth="1"/>
    <col min="11323" max="11323" width="7.796875" style="824" customWidth="1"/>
    <col min="11324" max="11324" width="6.46484375" style="824" customWidth="1"/>
    <col min="11325" max="11325" width="7.46484375" style="824" customWidth="1"/>
    <col min="11326" max="11326" width="6.73046875" style="824" customWidth="1"/>
    <col min="11327" max="11327" width="7.796875" style="824" customWidth="1"/>
    <col min="11328" max="11328" width="10.265625" style="824" bestFit="1" customWidth="1"/>
    <col min="11329" max="11329" width="9.53125" style="824"/>
    <col min="11330" max="11330" width="9.46484375" style="824" bestFit="1" customWidth="1"/>
    <col min="11331" max="11524" width="9.53125" style="824"/>
    <col min="11525" max="11525" width="7.19921875" style="824" customWidth="1"/>
    <col min="11526" max="11526" width="6.46484375" style="824" bestFit="1" customWidth="1"/>
    <col min="11527" max="11527" width="8.796875" style="824" customWidth="1"/>
    <col min="11528" max="11528" width="9.53125" style="824" customWidth="1"/>
    <col min="11529" max="11529" width="8.53125" style="824" customWidth="1"/>
    <col min="11530" max="11530" width="7.53125" style="824" customWidth="1"/>
    <col min="11531" max="11531" width="7.19921875" style="824" customWidth="1"/>
    <col min="11532" max="11532" width="8" style="824" bestFit="1" customWidth="1"/>
    <col min="11533" max="11533" width="7.46484375" style="824" customWidth="1"/>
    <col min="11534" max="11534" width="10.265625" style="824" bestFit="1" customWidth="1"/>
    <col min="11535" max="11535" width="8.53125" style="824" customWidth="1"/>
    <col min="11536" max="11536" width="8.53125" style="824" bestFit="1" customWidth="1"/>
    <col min="11537" max="11537" width="7.53125" style="824" customWidth="1"/>
    <col min="11538" max="11538" width="5.19921875" style="824" customWidth="1"/>
    <col min="11539" max="11539" width="9.265625" style="824" customWidth="1"/>
    <col min="11540" max="11540" width="8.46484375" style="824" customWidth="1"/>
    <col min="11541" max="11541" width="9.53125" style="824"/>
    <col min="11542" max="11542" width="2.19921875" style="824" customWidth="1"/>
    <col min="11543" max="11543" width="7.796875" style="824" customWidth="1"/>
    <col min="11544" max="11544" width="8.53125" style="824" customWidth="1"/>
    <col min="11545" max="11545" width="10.265625" style="824" bestFit="1" customWidth="1"/>
    <col min="11546" max="11546" width="7.53125" style="824" customWidth="1"/>
    <col min="11547" max="11547" width="2.265625" style="824" customWidth="1"/>
    <col min="11548" max="11548" width="5.265625" style="824" customWidth="1"/>
    <col min="11549" max="11549" width="8.265625" style="824" customWidth="1"/>
    <col min="11550" max="11550" width="1.796875" style="824" customWidth="1"/>
    <col min="11551" max="11551" width="8.265625" style="824" customWidth="1"/>
    <col min="11552" max="11552" width="8.53125" style="824" bestFit="1" customWidth="1"/>
    <col min="11553" max="11553" width="0.46484375" style="824" customWidth="1"/>
    <col min="11554" max="11554" width="9.53125" style="824"/>
    <col min="11555" max="11555" width="8.796875" style="824" customWidth="1"/>
    <col min="11556" max="11560" width="9.53125" style="824"/>
    <col min="11561" max="11561" width="10.73046875" style="824" customWidth="1"/>
    <col min="11562" max="11563" width="9.53125" style="824"/>
    <col min="11564" max="11564" width="0.796875" style="824" customWidth="1"/>
    <col min="11565" max="11565" width="8" style="824" customWidth="1"/>
    <col min="11566" max="11567" width="10" style="824" customWidth="1"/>
    <col min="11568" max="11573" width="11.46484375" style="824" customWidth="1"/>
    <col min="11574" max="11574" width="0.796875" style="824" customWidth="1"/>
    <col min="11575" max="11575" width="9.53125" style="824"/>
    <col min="11576" max="11576" width="6.73046875" style="824" customWidth="1"/>
    <col min="11577" max="11577" width="7.796875" style="824" customWidth="1"/>
    <col min="11578" max="11578" width="8.46484375" style="824" customWidth="1"/>
    <col min="11579" max="11579" width="7.796875" style="824" customWidth="1"/>
    <col min="11580" max="11580" width="6.46484375" style="824" customWidth="1"/>
    <col min="11581" max="11581" width="7.46484375" style="824" customWidth="1"/>
    <col min="11582" max="11582" width="6.73046875" style="824" customWidth="1"/>
    <col min="11583" max="11583" width="7.796875" style="824" customWidth="1"/>
    <col min="11584" max="11584" width="10.265625" style="824" bestFit="1" customWidth="1"/>
    <col min="11585" max="11585" width="9.53125" style="824"/>
    <col min="11586" max="11586" width="9.46484375" style="824" bestFit="1" customWidth="1"/>
    <col min="11587" max="11780" width="9.53125" style="824"/>
    <col min="11781" max="11781" width="7.19921875" style="824" customWidth="1"/>
    <col min="11782" max="11782" width="6.46484375" style="824" bestFit="1" customWidth="1"/>
    <col min="11783" max="11783" width="8.796875" style="824" customWidth="1"/>
    <col min="11784" max="11784" width="9.53125" style="824" customWidth="1"/>
    <col min="11785" max="11785" width="8.53125" style="824" customWidth="1"/>
    <col min="11786" max="11786" width="7.53125" style="824" customWidth="1"/>
    <col min="11787" max="11787" width="7.19921875" style="824" customWidth="1"/>
    <col min="11788" max="11788" width="8" style="824" bestFit="1" customWidth="1"/>
    <col min="11789" max="11789" width="7.46484375" style="824" customWidth="1"/>
    <col min="11790" max="11790" width="10.265625" style="824" bestFit="1" customWidth="1"/>
    <col min="11791" max="11791" width="8.53125" style="824" customWidth="1"/>
    <col min="11792" max="11792" width="8.53125" style="824" bestFit="1" customWidth="1"/>
    <col min="11793" max="11793" width="7.53125" style="824" customWidth="1"/>
    <col min="11794" max="11794" width="5.19921875" style="824" customWidth="1"/>
    <col min="11795" max="11795" width="9.265625" style="824" customWidth="1"/>
    <col min="11796" max="11796" width="8.46484375" style="824" customWidth="1"/>
    <col min="11797" max="11797" width="9.53125" style="824"/>
    <col min="11798" max="11798" width="2.19921875" style="824" customWidth="1"/>
    <col min="11799" max="11799" width="7.796875" style="824" customWidth="1"/>
    <col min="11800" max="11800" width="8.53125" style="824" customWidth="1"/>
    <col min="11801" max="11801" width="10.265625" style="824" bestFit="1" customWidth="1"/>
    <col min="11802" max="11802" width="7.53125" style="824" customWidth="1"/>
    <col min="11803" max="11803" width="2.265625" style="824" customWidth="1"/>
    <col min="11804" max="11804" width="5.265625" style="824" customWidth="1"/>
    <col min="11805" max="11805" width="8.265625" style="824" customWidth="1"/>
    <col min="11806" max="11806" width="1.796875" style="824" customWidth="1"/>
    <col min="11807" max="11807" width="8.265625" style="824" customWidth="1"/>
    <col min="11808" max="11808" width="8.53125" style="824" bestFit="1" customWidth="1"/>
    <col min="11809" max="11809" width="0.46484375" style="824" customWidth="1"/>
    <col min="11810" max="11810" width="9.53125" style="824"/>
    <col min="11811" max="11811" width="8.796875" style="824" customWidth="1"/>
    <col min="11812" max="11816" width="9.53125" style="824"/>
    <col min="11817" max="11817" width="10.73046875" style="824" customWidth="1"/>
    <col min="11818" max="11819" width="9.53125" style="824"/>
    <col min="11820" max="11820" width="0.796875" style="824" customWidth="1"/>
    <col min="11821" max="11821" width="8" style="824" customWidth="1"/>
    <col min="11822" max="11823" width="10" style="824" customWidth="1"/>
    <col min="11824" max="11829" width="11.46484375" style="824" customWidth="1"/>
    <col min="11830" max="11830" width="0.796875" style="824" customWidth="1"/>
    <col min="11831" max="11831" width="9.53125" style="824"/>
    <col min="11832" max="11832" width="6.73046875" style="824" customWidth="1"/>
    <col min="11833" max="11833" width="7.796875" style="824" customWidth="1"/>
    <col min="11834" max="11834" width="8.46484375" style="824" customWidth="1"/>
    <col min="11835" max="11835" width="7.796875" style="824" customWidth="1"/>
    <col min="11836" max="11836" width="6.46484375" style="824" customWidth="1"/>
    <col min="11837" max="11837" width="7.46484375" style="824" customWidth="1"/>
    <col min="11838" max="11838" width="6.73046875" style="824" customWidth="1"/>
    <col min="11839" max="11839" width="7.796875" style="824" customWidth="1"/>
    <col min="11840" max="11840" width="10.265625" style="824" bestFit="1" customWidth="1"/>
    <col min="11841" max="11841" width="9.53125" style="824"/>
    <col min="11842" max="11842" width="9.46484375" style="824" bestFit="1" customWidth="1"/>
    <col min="11843" max="12036" width="9.53125" style="824"/>
    <col min="12037" max="12037" width="7.19921875" style="824" customWidth="1"/>
    <col min="12038" max="12038" width="6.46484375" style="824" bestFit="1" customWidth="1"/>
    <col min="12039" max="12039" width="8.796875" style="824" customWidth="1"/>
    <col min="12040" max="12040" width="9.53125" style="824" customWidth="1"/>
    <col min="12041" max="12041" width="8.53125" style="824" customWidth="1"/>
    <col min="12042" max="12042" width="7.53125" style="824" customWidth="1"/>
    <col min="12043" max="12043" width="7.19921875" style="824" customWidth="1"/>
    <col min="12044" max="12044" width="8" style="824" bestFit="1" customWidth="1"/>
    <col min="12045" max="12045" width="7.46484375" style="824" customWidth="1"/>
    <col min="12046" max="12046" width="10.265625" style="824" bestFit="1" customWidth="1"/>
    <col min="12047" max="12047" width="8.53125" style="824" customWidth="1"/>
    <col min="12048" max="12048" width="8.53125" style="824" bestFit="1" customWidth="1"/>
    <col min="12049" max="12049" width="7.53125" style="824" customWidth="1"/>
    <col min="12050" max="12050" width="5.19921875" style="824" customWidth="1"/>
    <col min="12051" max="12051" width="9.265625" style="824" customWidth="1"/>
    <col min="12052" max="12052" width="8.46484375" style="824" customWidth="1"/>
    <col min="12053" max="12053" width="9.53125" style="824"/>
    <col min="12054" max="12054" width="2.19921875" style="824" customWidth="1"/>
    <col min="12055" max="12055" width="7.796875" style="824" customWidth="1"/>
    <col min="12056" max="12056" width="8.53125" style="824" customWidth="1"/>
    <col min="12057" max="12057" width="10.265625" style="824" bestFit="1" customWidth="1"/>
    <col min="12058" max="12058" width="7.53125" style="824" customWidth="1"/>
    <col min="12059" max="12059" width="2.265625" style="824" customWidth="1"/>
    <col min="12060" max="12060" width="5.265625" style="824" customWidth="1"/>
    <col min="12061" max="12061" width="8.265625" style="824" customWidth="1"/>
    <col min="12062" max="12062" width="1.796875" style="824" customWidth="1"/>
    <col min="12063" max="12063" width="8.265625" style="824" customWidth="1"/>
    <col min="12064" max="12064" width="8.53125" style="824" bestFit="1" customWidth="1"/>
    <col min="12065" max="12065" width="0.46484375" style="824" customWidth="1"/>
    <col min="12066" max="12066" width="9.53125" style="824"/>
    <col min="12067" max="12067" width="8.796875" style="824" customWidth="1"/>
    <col min="12068" max="12072" width="9.53125" style="824"/>
    <col min="12073" max="12073" width="10.73046875" style="824" customWidth="1"/>
    <col min="12074" max="12075" width="9.53125" style="824"/>
    <col min="12076" max="12076" width="0.796875" style="824" customWidth="1"/>
    <col min="12077" max="12077" width="8" style="824" customWidth="1"/>
    <col min="12078" max="12079" width="10" style="824" customWidth="1"/>
    <col min="12080" max="12085" width="11.46484375" style="824" customWidth="1"/>
    <col min="12086" max="12086" width="0.796875" style="824" customWidth="1"/>
    <col min="12087" max="12087" width="9.53125" style="824"/>
    <col min="12088" max="12088" width="6.73046875" style="824" customWidth="1"/>
    <col min="12089" max="12089" width="7.796875" style="824" customWidth="1"/>
    <col min="12090" max="12090" width="8.46484375" style="824" customWidth="1"/>
    <col min="12091" max="12091" width="7.796875" style="824" customWidth="1"/>
    <col min="12092" max="12092" width="6.46484375" style="824" customWidth="1"/>
    <col min="12093" max="12093" width="7.46484375" style="824" customWidth="1"/>
    <col min="12094" max="12094" width="6.73046875" style="824" customWidth="1"/>
    <col min="12095" max="12095" width="7.796875" style="824" customWidth="1"/>
    <col min="12096" max="12096" width="10.265625" style="824" bestFit="1" customWidth="1"/>
    <col min="12097" max="12097" width="9.53125" style="824"/>
    <col min="12098" max="12098" width="9.46484375" style="824" bestFit="1" customWidth="1"/>
    <col min="12099" max="12292" width="9.53125" style="824"/>
    <col min="12293" max="12293" width="7.19921875" style="824" customWidth="1"/>
    <col min="12294" max="12294" width="6.46484375" style="824" bestFit="1" customWidth="1"/>
    <col min="12295" max="12295" width="8.796875" style="824" customWidth="1"/>
    <col min="12296" max="12296" width="9.53125" style="824" customWidth="1"/>
    <col min="12297" max="12297" width="8.53125" style="824" customWidth="1"/>
    <col min="12298" max="12298" width="7.53125" style="824" customWidth="1"/>
    <col min="12299" max="12299" width="7.19921875" style="824" customWidth="1"/>
    <col min="12300" max="12300" width="8" style="824" bestFit="1" customWidth="1"/>
    <col min="12301" max="12301" width="7.46484375" style="824" customWidth="1"/>
    <col min="12302" max="12302" width="10.265625" style="824" bestFit="1" customWidth="1"/>
    <col min="12303" max="12303" width="8.53125" style="824" customWidth="1"/>
    <col min="12304" max="12304" width="8.53125" style="824" bestFit="1" customWidth="1"/>
    <col min="12305" max="12305" width="7.53125" style="824" customWidth="1"/>
    <col min="12306" max="12306" width="5.19921875" style="824" customWidth="1"/>
    <col min="12307" max="12307" width="9.265625" style="824" customWidth="1"/>
    <col min="12308" max="12308" width="8.46484375" style="824" customWidth="1"/>
    <col min="12309" max="12309" width="9.53125" style="824"/>
    <col min="12310" max="12310" width="2.19921875" style="824" customWidth="1"/>
    <col min="12311" max="12311" width="7.796875" style="824" customWidth="1"/>
    <col min="12312" max="12312" width="8.53125" style="824" customWidth="1"/>
    <col min="12313" max="12313" width="10.265625" style="824" bestFit="1" customWidth="1"/>
    <col min="12314" max="12314" width="7.53125" style="824" customWidth="1"/>
    <col min="12315" max="12315" width="2.265625" style="824" customWidth="1"/>
    <col min="12316" max="12316" width="5.265625" style="824" customWidth="1"/>
    <col min="12317" max="12317" width="8.265625" style="824" customWidth="1"/>
    <col min="12318" max="12318" width="1.796875" style="824" customWidth="1"/>
    <col min="12319" max="12319" width="8.265625" style="824" customWidth="1"/>
    <col min="12320" max="12320" width="8.53125" style="824" bestFit="1" customWidth="1"/>
    <col min="12321" max="12321" width="0.46484375" style="824" customWidth="1"/>
    <col min="12322" max="12322" width="9.53125" style="824"/>
    <col min="12323" max="12323" width="8.796875" style="824" customWidth="1"/>
    <col min="12324" max="12328" width="9.53125" style="824"/>
    <col min="12329" max="12329" width="10.73046875" style="824" customWidth="1"/>
    <col min="12330" max="12331" width="9.53125" style="824"/>
    <col min="12332" max="12332" width="0.796875" style="824" customWidth="1"/>
    <col min="12333" max="12333" width="8" style="824" customWidth="1"/>
    <col min="12334" max="12335" width="10" style="824" customWidth="1"/>
    <col min="12336" max="12341" width="11.46484375" style="824" customWidth="1"/>
    <col min="12342" max="12342" width="0.796875" style="824" customWidth="1"/>
    <col min="12343" max="12343" width="9.53125" style="824"/>
    <col min="12344" max="12344" width="6.73046875" style="824" customWidth="1"/>
    <col min="12345" max="12345" width="7.796875" style="824" customWidth="1"/>
    <col min="12346" max="12346" width="8.46484375" style="824" customWidth="1"/>
    <col min="12347" max="12347" width="7.796875" style="824" customWidth="1"/>
    <col min="12348" max="12348" width="6.46484375" style="824" customWidth="1"/>
    <col min="12349" max="12349" width="7.46484375" style="824" customWidth="1"/>
    <col min="12350" max="12350" width="6.73046875" style="824" customWidth="1"/>
    <col min="12351" max="12351" width="7.796875" style="824" customWidth="1"/>
    <col min="12352" max="12352" width="10.265625" style="824" bestFit="1" customWidth="1"/>
    <col min="12353" max="12353" width="9.53125" style="824"/>
    <col min="12354" max="12354" width="9.46484375" style="824" bestFit="1" customWidth="1"/>
    <col min="12355" max="12548" width="9.53125" style="824"/>
    <col min="12549" max="12549" width="7.19921875" style="824" customWidth="1"/>
    <col min="12550" max="12550" width="6.46484375" style="824" bestFit="1" customWidth="1"/>
    <col min="12551" max="12551" width="8.796875" style="824" customWidth="1"/>
    <col min="12552" max="12552" width="9.53125" style="824" customWidth="1"/>
    <col min="12553" max="12553" width="8.53125" style="824" customWidth="1"/>
    <col min="12554" max="12554" width="7.53125" style="824" customWidth="1"/>
    <col min="12555" max="12555" width="7.19921875" style="824" customWidth="1"/>
    <col min="12556" max="12556" width="8" style="824" bestFit="1" customWidth="1"/>
    <col min="12557" max="12557" width="7.46484375" style="824" customWidth="1"/>
    <col min="12558" max="12558" width="10.265625" style="824" bestFit="1" customWidth="1"/>
    <col min="12559" max="12559" width="8.53125" style="824" customWidth="1"/>
    <col min="12560" max="12560" width="8.53125" style="824" bestFit="1" customWidth="1"/>
    <col min="12561" max="12561" width="7.53125" style="824" customWidth="1"/>
    <col min="12562" max="12562" width="5.19921875" style="824" customWidth="1"/>
    <col min="12563" max="12563" width="9.265625" style="824" customWidth="1"/>
    <col min="12564" max="12564" width="8.46484375" style="824" customWidth="1"/>
    <col min="12565" max="12565" width="9.53125" style="824"/>
    <col min="12566" max="12566" width="2.19921875" style="824" customWidth="1"/>
    <col min="12567" max="12567" width="7.796875" style="824" customWidth="1"/>
    <col min="12568" max="12568" width="8.53125" style="824" customWidth="1"/>
    <col min="12569" max="12569" width="10.265625" style="824" bestFit="1" customWidth="1"/>
    <col min="12570" max="12570" width="7.53125" style="824" customWidth="1"/>
    <col min="12571" max="12571" width="2.265625" style="824" customWidth="1"/>
    <col min="12572" max="12572" width="5.265625" style="824" customWidth="1"/>
    <col min="12573" max="12573" width="8.265625" style="824" customWidth="1"/>
    <col min="12574" max="12574" width="1.796875" style="824" customWidth="1"/>
    <col min="12575" max="12575" width="8.265625" style="824" customWidth="1"/>
    <col min="12576" max="12576" width="8.53125" style="824" bestFit="1" customWidth="1"/>
    <col min="12577" max="12577" width="0.46484375" style="824" customWidth="1"/>
    <col min="12578" max="12578" width="9.53125" style="824"/>
    <col min="12579" max="12579" width="8.796875" style="824" customWidth="1"/>
    <col min="12580" max="12584" width="9.53125" style="824"/>
    <col min="12585" max="12585" width="10.73046875" style="824" customWidth="1"/>
    <col min="12586" max="12587" width="9.53125" style="824"/>
    <col min="12588" max="12588" width="0.796875" style="824" customWidth="1"/>
    <col min="12589" max="12589" width="8" style="824" customWidth="1"/>
    <col min="12590" max="12591" width="10" style="824" customWidth="1"/>
    <col min="12592" max="12597" width="11.46484375" style="824" customWidth="1"/>
    <col min="12598" max="12598" width="0.796875" style="824" customWidth="1"/>
    <col min="12599" max="12599" width="9.53125" style="824"/>
    <col min="12600" max="12600" width="6.73046875" style="824" customWidth="1"/>
    <col min="12601" max="12601" width="7.796875" style="824" customWidth="1"/>
    <col min="12602" max="12602" width="8.46484375" style="824" customWidth="1"/>
    <col min="12603" max="12603" width="7.796875" style="824" customWidth="1"/>
    <col min="12604" max="12604" width="6.46484375" style="824" customWidth="1"/>
    <col min="12605" max="12605" width="7.46484375" style="824" customWidth="1"/>
    <col min="12606" max="12606" width="6.73046875" style="824" customWidth="1"/>
    <col min="12607" max="12607" width="7.796875" style="824" customWidth="1"/>
    <col min="12608" max="12608" width="10.265625" style="824" bestFit="1" customWidth="1"/>
    <col min="12609" max="12609" width="9.53125" style="824"/>
    <col min="12610" max="12610" width="9.46484375" style="824" bestFit="1" customWidth="1"/>
    <col min="12611" max="12804" width="9.53125" style="824"/>
    <col min="12805" max="12805" width="7.19921875" style="824" customWidth="1"/>
    <col min="12806" max="12806" width="6.46484375" style="824" bestFit="1" customWidth="1"/>
    <col min="12807" max="12807" width="8.796875" style="824" customWidth="1"/>
    <col min="12808" max="12808" width="9.53125" style="824" customWidth="1"/>
    <col min="12809" max="12809" width="8.53125" style="824" customWidth="1"/>
    <col min="12810" max="12810" width="7.53125" style="824" customWidth="1"/>
    <col min="12811" max="12811" width="7.19921875" style="824" customWidth="1"/>
    <col min="12812" max="12812" width="8" style="824" bestFit="1" customWidth="1"/>
    <col min="12813" max="12813" width="7.46484375" style="824" customWidth="1"/>
    <col min="12814" max="12814" width="10.265625" style="824" bestFit="1" customWidth="1"/>
    <col min="12815" max="12815" width="8.53125" style="824" customWidth="1"/>
    <col min="12816" max="12816" width="8.53125" style="824" bestFit="1" customWidth="1"/>
    <col min="12817" max="12817" width="7.53125" style="824" customWidth="1"/>
    <col min="12818" max="12818" width="5.19921875" style="824" customWidth="1"/>
    <col min="12819" max="12819" width="9.265625" style="824" customWidth="1"/>
    <col min="12820" max="12820" width="8.46484375" style="824" customWidth="1"/>
    <col min="12821" max="12821" width="9.53125" style="824"/>
    <col min="12822" max="12822" width="2.19921875" style="824" customWidth="1"/>
    <col min="12823" max="12823" width="7.796875" style="824" customWidth="1"/>
    <col min="12824" max="12824" width="8.53125" style="824" customWidth="1"/>
    <col min="12825" max="12825" width="10.265625" style="824" bestFit="1" customWidth="1"/>
    <col min="12826" max="12826" width="7.53125" style="824" customWidth="1"/>
    <col min="12827" max="12827" width="2.265625" style="824" customWidth="1"/>
    <col min="12828" max="12828" width="5.265625" style="824" customWidth="1"/>
    <col min="12829" max="12829" width="8.265625" style="824" customWidth="1"/>
    <col min="12830" max="12830" width="1.796875" style="824" customWidth="1"/>
    <col min="12831" max="12831" width="8.265625" style="824" customWidth="1"/>
    <col min="12832" max="12832" width="8.53125" style="824" bestFit="1" customWidth="1"/>
    <col min="12833" max="12833" width="0.46484375" style="824" customWidth="1"/>
    <col min="12834" max="12834" width="9.53125" style="824"/>
    <col min="12835" max="12835" width="8.796875" style="824" customWidth="1"/>
    <col min="12836" max="12840" width="9.53125" style="824"/>
    <col min="12841" max="12841" width="10.73046875" style="824" customWidth="1"/>
    <col min="12842" max="12843" width="9.53125" style="824"/>
    <col min="12844" max="12844" width="0.796875" style="824" customWidth="1"/>
    <col min="12845" max="12845" width="8" style="824" customWidth="1"/>
    <col min="12846" max="12847" width="10" style="824" customWidth="1"/>
    <col min="12848" max="12853" width="11.46484375" style="824" customWidth="1"/>
    <col min="12854" max="12854" width="0.796875" style="824" customWidth="1"/>
    <col min="12855" max="12855" width="9.53125" style="824"/>
    <col min="12856" max="12856" width="6.73046875" style="824" customWidth="1"/>
    <col min="12857" max="12857" width="7.796875" style="824" customWidth="1"/>
    <col min="12858" max="12858" width="8.46484375" style="824" customWidth="1"/>
    <col min="12859" max="12859" width="7.796875" style="824" customWidth="1"/>
    <col min="12860" max="12860" width="6.46484375" style="824" customWidth="1"/>
    <col min="12861" max="12861" width="7.46484375" style="824" customWidth="1"/>
    <col min="12862" max="12862" width="6.73046875" style="824" customWidth="1"/>
    <col min="12863" max="12863" width="7.796875" style="824" customWidth="1"/>
    <col min="12864" max="12864" width="10.265625" style="824" bestFit="1" customWidth="1"/>
    <col min="12865" max="12865" width="9.53125" style="824"/>
    <col min="12866" max="12866" width="9.46484375" style="824" bestFit="1" customWidth="1"/>
    <col min="12867" max="13060" width="9.53125" style="824"/>
    <col min="13061" max="13061" width="7.19921875" style="824" customWidth="1"/>
    <col min="13062" max="13062" width="6.46484375" style="824" bestFit="1" customWidth="1"/>
    <col min="13063" max="13063" width="8.796875" style="824" customWidth="1"/>
    <col min="13064" max="13064" width="9.53125" style="824" customWidth="1"/>
    <col min="13065" max="13065" width="8.53125" style="824" customWidth="1"/>
    <col min="13066" max="13066" width="7.53125" style="824" customWidth="1"/>
    <col min="13067" max="13067" width="7.19921875" style="824" customWidth="1"/>
    <col min="13068" max="13068" width="8" style="824" bestFit="1" customWidth="1"/>
    <col min="13069" max="13069" width="7.46484375" style="824" customWidth="1"/>
    <col min="13070" max="13070" width="10.265625" style="824" bestFit="1" customWidth="1"/>
    <col min="13071" max="13071" width="8.53125" style="824" customWidth="1"/>
    <col min="13072" max="13072" width="8.53125" style="824" bestFit="1" customWidth="1"/>
    <col min="13073" max="13073" width="7.53125" style="824" customWidth="1"/>
    <col min="13074" max="13074" width="5.19921875" style="824" customWidth="1"/>
    <col min="13075" max="13075" width="9.265625" style="824" customWidth="1"/>
    <col min="13076" max="13076" width="8.46484375" style="824" customWidth="1"/>
    <col min="13077" max="13077" width="9.53125" style="824"/>
    <col min="13078" max="13078" width="2.19921875" style="824" customWidth="1"/>
    <col min="13079" max="13079" width="7.796875" style="824" customWidth="1"/>
    <col min="13080" max="13080" width="8.53125" style="824" customWidth="1"/>
    <col min="13081" max="13081" width="10.265625" style="824" bestFit="1" customWidth="1"/>
    <col min="13082" max="13082" width="7.53125" style="824" customWidth="1"/>
    <col min="13083" max="13083" width="2.265625" style="824" customWidth="1"/>
    <col min="13084" max="13084" width="5.265625" style="824" customWidth="1"/>
    <col min="13085" max="13085" width="8.265625" style="824" customWidth="1"/>
    <col min="13086" max="13086" width="1.796875" style="824" customWidth="1"/>
    <col min="13087" max="13087" width="8.265625" style="824" customWidth="1"/>
    <col min="13088" max="13088" width="8.53125" style="824" bestFit="1" customWidth="1"/>
    <col min="13089" max="13089" width="0.46484375" style="824" customWidth="1"/>
    <col min="13090" max="13090" width="9.53125" style="824"/>
    <col min="13091" max="13091" width="8.796875" style="824" customWidth="1"/>
    <col min="13092" max="13096" width="9.53125" style="824"/>
    <col min="13097" max="13097" width="10.73046875" style="824" customWidth="1"/>
    <col min="13098" max="13099" width="9.53125" style="824"/>
    <col min="13100" max="13100" width="0.796875" style="824" customWidth="1"/>
    <col min="13101" max="13101" width="8" style="824" customWidth="1"/>
    <col min="13102" max="13103" width="10" style="824" customWidth="1"/>
    <col min="13104" max="13109" width="11.46484375" style="824" customWidth="1"/>
    <col min="13110" max="13110" width="0.796875" style="824" customWidth="1"/>
    <col min="13111" max="13111" width="9.53125" style="824"/>
    <col min="13112" max="13112" width="6.73046875" style="824" customWidth="1"/>
    <col min="13113" max="13113" width="7.796875" style="824" customWidth="1"/>
    <col min="13114" max="13114" width="8.46484375" style="824" customWidth="1"/>
    <col min="13115" max="13115" width="7.796875" style="824" customWidth="1"/>
    <col min="13116" max="13116" width="6.46484375" style="824" customWidth="1"/>
    <col min="13117" max="13117" width="7.46484375" style="824" customWidth="1"/>
    <col min="13118" max="13118" width="6.73046875" style="824" customWidth="1"/>
    <col min="13119" max="13119" width="7.796875" style="824" customWidth="1"/>
    <col min="13120" max="13120" width="10.265625" style="824" bestFit="1" customWidth="1"/>
    <col min="13121" max="13121" width="9.53125" style="824"/>
    <col min="13122" max="13122" width="9.46484375" style="824" bestFit="1" customWidth="1"/>
    <col min="13123" max="13316" width="9.53125" style="824"/>
    <col min="13317" max="13317" width="7.19921875" style="824" customWidth="1"/>
    <col min="13318" max="13318" width="6.46484375" style="824" bestFit="1" customWidth="1"/>
    <col min="13319" max="13319" width="8.796875" style="824" customWidth="1"/>
    <col min="13320" max="13320" width="9.53125" style="824" customWidth="1"/>
    <col min="13321" max="13321" width="8.53125" style="824" customWidth="1"/>
    <col min="13322" max="13322" width="7.53125" style="824" customWidth="1"/>
    <col min="13323" max="13323" width="7.19921875" style="824" customWidth="1"/>
    <col min="13324" max="13324" width="8" style="824" bestFit="1" customWidth="1"/>
    <col min="13325" max="13325" width="7.46484375" style="824" customWidth="1"/>
    <col min="13326" max="13326" width="10.265625" style="824" bestFit="1" customWidth="1"/>
    <col min="13327" max="13327" width="8.53125" style="824" customWidth="1"/>
    <col min="13328" max="13328" width="8.53125" style="824" bestFit="1" customWidth="1"/>
    <col min="13329" max="13329" width="7.53125" style="824" customWidth="1"/>
    <col min="13330" max="13330" width="5.19921875" style="824" customWidth="1"/>
    <col min="13331" max="13331" width="9.265625" style="824" customWidth="1"/>
    <col min="13332" max="13332" width="8.46484375" style="824" customWidth="1"/>
    <col min="13333" max="13333" width="9.53125" style="824"/>
    <col min="13334" max="13334" width="2.19921875" style="824" customWidth="1"/>
    <col min="13335" max="13335" width="7.796875" style="824" customWidth="1"/>
    <col min="13336" max="13336" width="8.53125" style="824" customWidth="1"/>
    <col min="13337" max="13337" width="10.265625" style="824" bestFit="1" customWidth="1"/>
    <col min="13338" max="13338" width="7.53125" style="824" customWidth="1"/>
    <col min="13339" max="13339" width="2.265625" style="824" customWidth="1"/>
    <col min="13340" max="13340" width="5.265625" style="824" customWidth="1"/>
    <col min="13341" max="13341" width="8.265625" style="824" customWidth="1"/>
    <col min="13342" max="13342" width="1.796875" style="824" customWidth="1"/>
    <col min="13343" max="13343" width="8.265625" style="824" customWidth="1"/>
    <col min="13344" max="13344" width="8.53125" style="824" bestFit="1" customWidth="1"/>
    <col min="13345" max="13345" width="0.46484375" style="824" customWidth="1"/>
    <col min="13346" max="13346" width="9.53125" style="824"/>
    <col min="13347" max="13347" width="8.796875" style="824" customWidth="1"/>
    <col min="13348" max="13352" width="9.53125" style="824"/>
    <col min="13353" max="13353" width="10.73046875" style="824" customWidth="1"/>
    <col min="13354" max="13355" width="9.53125" style="824"/>
    <col min="13356" max="13356" width="0.796875" style="824" customWidth="1"/>
    <col min="13357" max="13357" width="8" style="824" customWidth="1"/>
    <col min="13358" max="13359" width="10" style="824" customWidth="1"/>
    <col min="13360" max="13365" width="11.46484375" style="824" customWidth="1"/>
    <col min="13366" max="13366" width="0.796875" style="824" customWidth="1"/>
    <col min="13367" max="13367" width="9.53125" style="824"/>
    <col min="13368" max="13368" width="6.73046875" style="824" customWidth="1"/>
    <col min="13369" max="13369" width="7.796875" style="824" customWidth="1"/>
    <col min="13370" max="13370" width="8.46484375" style="824" customWidth="1"/>
    <col min="13371" max="13371" width="7.796875" style="824" customWidth="1"/>
    <col min="13372" max="13372" width="6.46484375" style="824" customWidth="1"/>
    <col min="13373" max="13373" width="7.46484375" style="824" customWidth="1"/>
    <col min="13374" max="13374" width="6.73046875" style="824" customWidth="1"/>
    <col min="13375" max="13375" width="7.796875" style="824" customWidth="1"/>
    <col min="13376" max="13376" width="10.265625" style="824" bestFit="1" customWidth="1"/>
    <col min="13377" max="13377" width="9.53125" style="824"/>
    <col min="13378" max="13378" width="9.46484375" style="824" bestFit="1" customWidth="1"/>
    <col min="13379" max="13572" width="9.53125" style="824"/>
    <col min="13573" max="13573" width="7.19921875" style="824" customWidth="1"/>
    <col min="13574" max="13574" width="6.46484375" style="824" bestFit="1" customWidth="1"/>
    <col min="13575" max="13575" width="8.796875" style="824" customWidth="1"/>
    <col min="13576" max="13576" width="9.53125" style="824" customWidth="1"/>
    <col min="13577" max="13577" width="8.53125" style="824" customWidth="1"/>
    <col min="13578" max="13578" width="7.53125" style="824" customWidth="1"/>
    <col min="13579" max="13579" width="7.19921875" style="824" customWidth="1"/>
    <col min="13580" max="13580" width="8" style="824" bestFit="1" customWidth="1"/>
    <col min="13581" max="13581" width="7.46484375" style="824" customWidth="1"/>
    <col min="13582" max="13582" width="10.265625" style="824" bestFit="1" customWidth="1"/>
    <col min="13583" max="13583" width="8.53125" style="824" customWidth="1"/>
    <col min="13584" max="13584" width="8.53125" style="824" bestFit="1" customWidth="1"/>
    <col min="13585" max="13585" width="7.53125" style="824" customWidth="1"/>
    <col min="13586" max="13586" width="5.19921875" style="824" customWidth="1"/>
    <col min="13587" max="13587" width="9.265625" style="824" customWidth="1"/>
    <col min="13588" max="13588" width="8.46484375" style="824" customWidth="1"/>
    <col min="13589" max="13589" width="9.53125" style="824"/>
    <col min="13590" max="13590" width="2.19921875" style="824" customWidth="1"/>
    <col min="13591" max="13591" width="7.796875" style="824" customWidth="1"/>
    <col min="13592" max="13592" width="8.53125" style="824" customWidth="1"/>
    <col min="13593" max="13593" width="10.265625" style="824" bestFit="1" customWidth="1"/>
    <col min="13594" max="13594" width="7.53125" style="824" customWidth="1"/>
    <col min="13595" max="13595" width="2.265625" style="824" customWidth="1"/>
    <col min="13596" max="13596" width="5.265625" style="824" customWidth="1"/>
    <col min="13597" max="13597" width="8.265625" style="824" customWidth="1"/>
    <col min="13598" max="13598" width="1.796875" style="824" customWidth="1"/>
    <col min="13599" max="13599" width="8.265625" style="824" customWidth="1"/>
    <col min="13600" max="13600" width="8.53125" style="824" bestFit="1" customWidth="1"/>
    <col min="13601" max="13601" width="0.46484375" style="824" customWidth="1"/>
    <col min="13602" max="13602" width="9.53125" style="824"/>
    <col min="13603" max="13603" width="8.796875" style="824" customWidth="1"/>
    <col min="13604" max="13608" width="9.53125" style="824"/>
    <col min="13609" max="13609" width="10.73046875" style="824" customWidth="1"/>
    <col min="13610" max="13611" width="9.53125" style="824"/>
    <col min="13612" max="13612" width="0.796875" style="824" customWidth="1"/>
    <col min="13613" max="13613" width="8" style="824" customWidth="1"/>
    <col min="13614" max="13615" width="10" style="824" customWidth="1"/>
    <col min="13616" max="13621" width="11.46484375" style="824" customWidth="1"/>
    <col min="13622" max="13622" width="0.796875" style="824" customWidth="1"/>
    <col min="13623" max="13623" width="9.53125" style="824"/>
    <col min="13624" max="13624" width="6.73046875" style="824" customWidth="1"/>
    <col min="13625" max="13625" width="7.796875" style="824" customWidth="1"/>
    <col min="13626" max="13626" width="8.46484375" style="824" customWidth="1"/>
    <col min="13627" max="13627" width="7.796875" style="824" customWidth="1"/>
    <col min="13628" max="13628" width="6.46484375" style="824" customWidth="1"/>
    <col min="13629" max="13629" width="7.46484375" style="824" customWidth="1"/>
    <col min="13630" max="13630" width="6.73046875" style="824" customWidth="1"/>
    <col min="13631" max="13631" width="7.796875" style="824" customWidth="1"/>
    <col min="13632" max="13632" width="10.265625" style="824" bestFit="1" customWidth="1"/>
    <col min="13633" max="13633" width="9.53125" style="824"/>
    <col min="13634" max="13634" width="9.46484375" style="824" bestFit="1" customWidth="1"/>
    <col min="13635" max="13828" width="9.53125" style="824"/>
    <col min="13829" max="13829" width="7.19921875" style="824" customWidth="1"/>
    <col min="13830" max="13830" width="6.46484375" style="824" bestFit="1" customWidth="1"/>
    <col min="13831" max="13831" width="8.796875" style="824" customWidth="1"/>
    <col min="13832" max="13832" width="9.53125" style="824" customWidth="1"/>
    <col min="13833" max="13833" width="8.53125" style="824" customWidth="1"/>
    <col min="13834" max="13834" width="7.53125" style="824" customWidth="1"/>
    <col min="13835" max="13835" width="7.19921875" style="824" customWidth="1"/>
    <col min="13836" max="13836" width="8" style="824" bestFit="1" customWidth="1"/>
    <col min="13837" max="13837" width="7.46484375" style="824" customWidth="1"/>
    <col min="13838" max="13838" width="10.265625" style="824" bestFit="1" customWidth="1"/>
    <col min="13839" max="13839" width="8.53125" style="824" customWidth="1"/>
    <col min="13840" max="13840" width="8.53125" style="824" bestFit="1" customWidth="1"/>
    <col min="13841" max="13841" width="7.53125" style="824" customWidth="1"/>
    <col min="13842" max="13842" width="5.19921875" style="824" customWidth="1"/>
    <col min="13843" max="13843" width="9.265625" style="824" customWidth="1"/>
    <col min="13844" max="13844" width="8.46484375" style="824" customWidth="1"/>
    <col min="13845" max="13845" width="9.53125" style="824"/>
    <col min="13846" max="13846" width="2.19921875" style="824" customWidth="1"/>
    <col min="13847" max="13847" width="7.796875" style="824" customWidth="1"/>
    <col min="13848" max="13848" width="8.53125" style="824" customWidth="1"/>
    <col min="13849" max="13849" width="10.265625" style="824" bestFit="1" customWidth="1"/>
    <col min="13850" max="13850" width="7.53125" style="824" customWidth="1"/>
    <col min="13851" max="13851" width="2.265625" style="824" customWidth="1"/>
    <col min="13852" max="13852" width="5.265625" style="824" customWidth="1"/>
    <col min="13853" max="13853" width="8.265625" style="824" customWidth="1"/>
    <col min="13854" max="13854" width="1.796875" style="824" customWidth="1"/>
    <col min="13855" max="13855" width="8.265625" style="824" customWidth="1"/>
    <col min="13856" max="13856" width="8.53125" style="824" bestFit="1" customWidth="1"/>
    <col min="13857" max="13857" width="0.46484375" style="824" customWidth="1"/>
    <col min="13858" max="13858" width="9.53125" style="824"/>
    <col min="13859" max="13859" width="8.796875" style="824" customWidth="1"/>
    <col min="13860" max="13864" width="9.53125" style="824"/>
    <col min="13865" max="13865" width="10.73046875" style="824" customWidth="1"/>
    <col min="13866" max="13867" width="9.53125" style="824"/>
    <col min="13868" max="13868" width="0.796875" style="824" customWidth="1"/>
    <col min="13869" max="13869" width="8" style="824" customWidth="1"/>
    <col min="13870" max="13871" width="10" style="824" customWidth="1"/>
    <col min="13872" max="13877" width="11.46484375" style="824" customWidth="1"/>
    <col min="13878" max="13878" width="0.796875" style="824" customWidth="1"/>
    <col min="13879" max="13879" width="9.53125" style="824"/>
    <col min="13880" max="13880" width="6.73046875" style="824" customWidth="1"/>
    <col min="13881" max="13881" width="7.796875" style="824" customWidth="1"/>
    <col min="13882" max="13882" width="8.46484375" style="824" customWidth="1"/>
    <col min="13883" max="13883" width="7.796875" style="824" customWidth="1"/>
    <col min="13884" max="13884" width="6.46484375" style="824" customWidth="1"/>
    <col min="13885" max="13885" width="7.46484375" style="824" customWidth="1"/>
    <col min="13886" max="13886" width="6.73046875" style="824" customWidth="1"/>
    <col min="13887" max="13887" width="7.796875" style="824" customWidth="1"/>
    <col min="13888" max="13888" width="10.265625" style="824" bestFit="1" customWidth="1"/>
    <col min="13889" max="13889" width="9.53125" style="824"/>
    <col min="13890" max="13890" width="9.46484375" style="824" bestFit="1" customWidth="1"/>
    <col min="13891" max="14084" width="9.53125" style="824"/>
    <col min="14085" max="14085" width="7.19921875" style="824" customWidth="1"/>
    <col min="14086" max="14086" width="6.46484375" style="824" bestFit="1" customWidth="1"/>
    <col min="14087" max="14087" width="8.796875" style="824" customWidth="1"/>
    <col min="14088" max="14088" width="9.53125" style="824" customWidth="1"/>
    <col min="14089" max="14089" width="8.53125" style="824" customWidth="1"/>
    <col min="14090" max="14090" width="7.53125" style="824" customWidth="1"/>
    <col min="14091" max="14091" width="7.19921875" style="824" customWidth="1"/>
    <col min="14092" max="14092" width="8" style="824" bestFit="1" customWidth="1"/>
    <col min="14093" max="14093" width="7.46484375" style="824" customWidth="1"/>
    <col min="14094" max="14094" width="10.265625" style="824" bestFit="1" customWidth="1"/>
    <col min="14095" max="14095" width="8.53125" style="824" customWidth="1"/>
    <col min="14096" max="14096" width="8.53125" style="824" bestFit="1" customWidth="1"/>
    <col min="14097" max="14097" width="7.53125" style="824" customWidth="1"/>
    <col min="14098" max="14098" width="5.19921875" style="824" customWidth="1"/>
    <col min="14099" max="14099" width="9.265625" style="824" customWidth="1"/>
    <col min="14100" max="14100" width="8.46484375" style="824" customWidth="1"/>
    <col min="14101" max="14101" width="9.53125" style="824"/>
    <col min="14102" max="14102" width="2.19921875" style="824" customWidth="1"/>
    <col min="14103" max="14103" width="7.796875" style="824" customWidth="1"/>
    <col min="14104" max="14104" width="8.53125" style="824" customWidth="1"/>
    <col min="14105" max="14105" width="10.265625" style="824" bestFit="1" customWidth="1"/>
    <col min="14106" max="14106" width="7.53125" style="824" customWidth="1"/>
    <col min="14107" max="14107" width="2.265625" style="824" customWidth="1"/>
    <col min="14108" max="14108" width="5.265625" style="824" customWidth="1"/>
    <col min="14109" max="14109" width="8.265625" style="824" customWidth="1"/>
    <col min="14110" max="14110" width="1.796875" style="824" customWidth="1"/>
    <col min="14111" max="14111" width="8.265625" style="824" customWidth="1"/>
    <col min="14112" max="14112" width="8.53125" style="824" bestFit="1" customWidth="1"/>
    <col min="14113" max="14113" width="0.46484375" style="824" customWidth="1"/>
    <col min="14114" max="14114" width="9.53125" style="824"/>
    <col min="14115" max="14115" width="8.796875" style="824" customWidth="1"/>
    <col min="14116" max="14120" width="9.53125" style="824"/>
    <col min="14121" max="14121" width="10.73046875" style="824" customWidth="1"/>
    <col min="14122" max="14123" width="9.53125" style="824"/>
    <col min="14124" max="14124" width="0.796875" style="824" customWidth="1"/>
    <col min="14125" max="14125" width="8" style="824" customWidth="1"/>
    <col min="14126" max="14127" width="10" style="824" customWidth="1"/>
    <col min="14128" max="14133" width="11.46484375" style="824" customWidth="1"/>
    <col min="14134" max="14134" width="0.796875" style="824" customWidth="1"/>
    <col min="14135" max="14135" width="9.53125" style="824"/>
    <col min="14136" max="14136" width="6.73046875" style="824" customWidth="1"/>
    <col min="14137" max="14137" width="7.796875" style="824" customWidth="1"/>
    <col min="14138" max="14138" width="8.46484375" style="824" customWidth="1"/>
    <col min="14139" max="14139" width="7.796875" style="824" customWidth="1"/>
    <col min="14140" max="14140" width="6.46484375" style="824" customWidth="1"/>
    <col min="14141" max="14141" width="7.46484375" style="824" customWidth="1"/>
    <col min="14142" max="14142" width="6.73046875" style="824" customWidth="1"/>
    <col min="14143" max="14143" width="7.796875" style="824" customWidth="1"/>
    <col min="14144" max="14144" width="10.265625" style="824" bestFit="1" customWidth="1"/>
    <col min="14145" max="14145" width="9.53125" style="824"/>
    <col min="14146" max="14146" width="9.46484375" style="824" bestFit="1" customWidth="1"/>
    <col min="14147" max="14340" width="9.53125" style="824"/>
    <col min="14341" max="14341" width="7.19921875" style="824" customWidth="1"/>
    <col min="14342" max="14342" width="6.46484375" style="824" bestFit="1" customWidth="1"/>
    <col min="14343" max="14343" width="8.796875" style="824" customWidth="1"/>
    <col min="14344" max="14344" width="9.53125" style="824" customWidth="1"/>
    <col min="14345" max="14345" width="8.53125" style="824" customWidth="1"/>
    <col min="14346" max="14346" width="7.53125" style="824" customWidth="1"/>
    <col min="14347" max="14347" width="7.19921875" style="824" customWidth="1"/>
    <col min="14348" max="14348" width="8" style="824" bestFit="1" customWidth="1"/>
    <col min="14349" max="14349" width="7.46484375" style="824" customWidth="1"/>
    <col min="14350" max="14350" width="10.265625" style="824" bestFit="1" customWidth="1"/>
    <col min="14351" max="14351" width="8.53125" style="824" customWidth="1"/>
    <col min="14352" max="14352" width="8.53125" style="824" bestFit="1" customWidth="1"/>
    <col min="14353" max="14353" width="7.53125" style="824" customWidth="1"/>
    <col min="14354" max="14354" width="5.19921875" style="824" customWidth="1"/>
    <col min="14355" max="14355" width="9.265625" style="824" customWidth="1"/>
    <col min="14356" max="14356" width="8.46484375" style="824" customWidth="1"/>
    <col min="14357" max="14357" width="9.53125" style="824"/>
    <col min="14358" max="14358" width="2.19921875" style="824" customWidth="1"/>
    <col min="14359" max="14359" width="7.796875" style="824" customWidth="1"/>
    <col min="14360" max="14360" width="8.53125" style="824" customWidth="1"/>
    <col min="14361" max="14361" width="10.265625" style="824" bestFit="1" customWidth="1"/>
    <col min="14362" max="14362" width="7.53125" style="824" customWidth="1"/>
    <col min="14363" max="14363" width="2.265625" style="824" customWidth="1"/>
    <col min="14364" max="14364" width="5.265625" style="824" customWidth="1"/>
    <col min="14365" max="14365" width="8.265625" style="824" customWidth="1"/>
    <col min="14366" max="14366" width="1.796875" style="824" customWidth="1"/>
    <col min="14367" max="14367" width="8.265625" style="824" customWidth="1"/>
    <col min="14368" max="14368" width="8.53125" style="824" bestFit="1" customWidth="1"/>
    <col min="14369" max="14369" width="0.46484375" style="824" customWidth="1"/>
    <col min="14370" max="14370" width="9.53125" style="824"/>
    <col min="14371" max="14371" width="8.796875" style="824" customWidth="1"/>
    <col min="14372" max="14376" width="9.53125" style="824"/>
    <col min="14377" max="14377" width="10.73046875" style="824" customWidth="1"/>
    <col min="14378" max="14379" width="9.53125" style="824"/>
    <col min="14380" max="14380" width="0.796875" style="824" customWidth="1"/>
    <col min="14381" max="14381" width="8" style="824" customWidth="1"/>
    <col min="14382" max="14383" width="10" style="824" customWidth="1"/>
    <col min="14384" max="14389" width="11.46484375" style="824" customWidth="1"/>
    <col min="14390" max="14390" width="0.796875" style="824" customWidth="1"/>
    <col min="14391" max="14391" width="9.53125" style="824"/>
    <col min="14392" max="14392" width="6.73046875" style="824" customWidth="1"/>
    <col min="14393" max="14393" width="7.796875" style="824" customWidth="1"/>
    <col min="14394" max="14394" width="8.46484375" style="824" customWidth="1"/>
    <col min="14395" max="14395" width="7.796875" style="824" customWidth="1"/>
    <col min="14396" max="14396" width="6.46484375" style="824" customWidth="1"/>
    <col min="14397" max="14397" width="7.46484375" style="824" customWidth="1"/>
    <col min="14398" max="14398" width="6.73046875" style="824" customWidth="1"/>
    <col min="14399" max="14399" width="7.796875" style="824" customWidth="1"/>
    <col min="14400" max="14400" width="10.265625" style="824" bestFit="1" customWidth="1"/>
    <col min="14401" max="14401" width="9.53125" style="824"/>
    <col min="14402" max="14402" width="9.46484375" style="824" bestFit="1" customWidth="1"/>
    <col min="14403" max="14596" width="9.53125" style="824"/>
    <col min="14597" max="14597" width="7.19921875" style="824" customWidth="1"/>
    <col min="14598" max="14598" width="6.46484375" style="824" bestFit="1" customWidth="1"/>
    <col min="14599" max="14599" width="8.796875" style="824" customWidth="1"/>
    <col min="14600" max="14600" width="9.53125" style="824" customWidth="1"/>
    <col min="14601" max="14601" width="8.53125" style="824" customWidth="1"/>
    <col min="14602" max="14602" width="7.53125" style="824" customWidth="1"/>
    <col min="14603" max="14603" width="7.19921875" style="824" customWidth="1"/>
    <col min="14604" max="14604" width="8" style="824" bestFit="1" customWidth="1"/>
    <col min="14605" max="14605" width="7.46484375" style="824" customWidth="1"/>
    <col min="14606" max="14606" width="10.265625" style="824" bestFit="1" customWidth="1"/>
    <col min="14607" max="14607" width="8.53125" style="824" customWidth="1"/>
    <col min="14608" max="14608" width="8.53125" style="824" bestFit="1" customWidth="1"/>
    <col min="14609" max="14609" width="7.53125" style="824" customWidth="1"/>
    <col min="14610" max="14610" width="5.19921875" style="824" customWidth="1"/>
    <col min="14611" max="14611" width="9.265625" style="824" customWidth="1"/>
    <col min="14612" max="14612" width="8.46484375" style="824" customWidth="1"/>
    <col min="14613" max="14613" width="9.53125" style="824"/>
    <col min="14614" max="14614" width="2.19921875" style="824" customWidth="1"/>
    <col min="14615" max="14615" width="7.796875" style="824" customWidth="1"/>
    <col min="14616" max="14616" width="8.53125" style="824" customWidth="1"/>
    <col min="14617" max="14617" width="10.265625" style="824" bestFit="1" customWidth="1"/>
    <col min="14618" max="14618" width="7.53125" style="824" customWidth="1"/>
    <col min="14619" max="14619" width="2.265625" style="824" customWidth="1"/>
    <col min="14620" max="14620" width="5.265625" style="824" customWidth="1"/>
    <col min="14621" max="14621" width="8.265625" style="824" customWidth="1"/>
    <col min="14622" max="14622" width="1.796875" style="824" customWidth="1"/>
    <col min="14623" max="14623" width="8.265625" style="824" customWidth="1"/>
    <col min="14624" max="14624" width="8.53125" style="824" bestFit="1" customWidth="1"/>
    <col min="14625" max="14625" width="0.46484375" style="824" customWidth="1"/>
    <col min="14626" max="14626" width="9.53125" style="824"/>
    <col min="14627" max="14627" width="8.796875" style="824" customWidth="1"/>
    <col min="14628" max="14632" width="9.53125" style="824"/>
    <col min="14633" max="14633" width="10.73046875" style="824" customWidth="1"/>
    <col min="14634" max="14635" width="9.53125" style="824"/>
    <col min="14636" max="14636" width="0.796875" style="824" customWidth="1"/>
    <col min="14637" max="14637" width="8" style="824" customWidth="1"/>
    <col min="14638" max="14639" width="10" style="824" customWidth="1"/>
    <col min="14640" max="14645" width="11.46484375" style="824" customWidth="1"/>
    <col min="14646" max="14646" width="0.796875" style="824" customWidth="1"/>
    <col min="14647" max="14647" width="9.53125" style="824"/>
    <col min="14648" max="14648" width="6.73046875" style="824" customWidth="1"/>
    <col min="14649" max="14649" width="7.796875" style="824" customWidth="1"/>
    <col min="14650" max="14650" width="8.46484375" style="824" customWidth="1"/>
    <col min="14651" max="14651" width="7.796875" style="824" customWidth="1"/>
    <col min="14652" max="14652" width="6.46484375" style="824" customWidth="1"/>
    <col min="14653" max="14653" width="7.46484375" style="824" customWidth="1"/>
    <col min="14654" max="14654" width="6.73046875" style="824" customWidth="1"/>
    <col min="14655" max="14655" width="7.796875" style="824" customWidth="1"/>
    <col min="14656" max="14656" width="10.265625" style="824" bestFit="1" customWidth="1"/>
    <col min="14657" max="14657" width="9.53125" style="824"/>
    <col min="14658" max="14658" width="9.46484375" style="824" bestFit="1" customWidth="1"/>
    <col min="14659" max="14852" width="9.53125" style="824"/>
    <col min="14853" max="14853" width="7.19921875" style="824" customWidth="1"/>
    <col min="14854" max="14854" width="6.46484375" style="824" bestFit="1" customWidth="1"/>
    <col min="14855" max="14855" width="8.796875" style="824" customWidth="1"/>
    <col min="14856" max="14856" width="9.53125" style="824" customWidth="1"/>
    <col min="14857" max="14857" width="8.53125" style="824" customWidth="1"/>
    <col min="14858" max="14858" width="7.53125" style="824" customWidth="1"/>
    <col min="14859" max="14859" width="7.19921875" style="824" customWidth="1"/>
    <col min="14860" max="14860" width="8" style="824" bestFit="1" customWidth="1"/>
    <col min="14861" max="14861" width="7.46484375" style="824" customWidth="1"/>
    <col min="14862" max="14862" width="10.265625" style="824" bestFit="1" customWidth="1"/>
    <col min="14863" max="14863" width="8.53125" style="824" customWidth="1"/>
    <col min="14864" max="14864" width="8.53125" style="824" bestFit="1" customWidth="1"/>
    <col min="14865" max="14865" width="7.53125" style="824" customWidth="1"/>
    <col min="14866" max="14866" width="5.19921875" style="824" customWidth="1"/>
    <col min="14867" max="14867" width="9.265625" style="824" customWidth="1"/>
    <col min="14868" max="14868" width="8.46484375" style="824" customWidth="1"/>
    <col min="14869" max="14869" width="9.53125" style="824"/>
    <col min="14870" max="14870" width="2.19921875" style="824" customWidth="1"/>
    <col min="14871" max="14871" width="7.796875" style="824" customWidth="1"/>
    <col min="14872" max="14872" width="8.53125" style="824" customWidth="1"/>
    <col min="14873" max="14873" width="10.265625" style="824" bestFit="1" customWidth="1"/>
    <col min="14874" max="14874" width="7.53125" style="824" customWidth="1"/>
    <col min="14875" max="14875" width="2.265625" style="824" customWidth="1"/>
    <col min="14876" max="14876" width="5.265625" style="824" customWidth="1"/>
    <col min="14877" max="14877" width="8.265625" style="824" customWidth="1"/>
    <col min="14878" max="14878" width="1.796875" style="824" customWidth="1"/>
    <col min="14879" max="14879" width="8.265625" style="824" customWidth="1"/>
    <col min="14880" max="14880" width="8.53125" style="824" bestFit="1" customWidth="1"/>
    <col min="14881" max="14881" width="0.46484375" style="824" customWidth="1"/>
    <col min="14882" max="14882" width="9.53125" style="824"/>
    <col min="14883" max="14883" width="8.796875" style="824" customWidth="1"/>
    <col min="14884" max="14888" width="9.53125" style="824"/>
    <col min="14889" max="14889" width="10.73046875" style="824" customWidth="1"/>
    <col min="14890" max="14891" width="9.53125" style="824"/>
    <col min="14892" max="14892" width="0.796875" style="824" customWidth="1"/>
    <col min="14893" max="14893" width="8" style="824" customWidth="1"/>
    <col min="14894" max="14895" width="10" style="824" customWidth="1"/>
    <col min="14896" max="14901" width="11.46484375" style="824" customWidth="1"/>
    <col min="14902" max="14902" width="0.796875" style="824" customWidth="1"/>
    <col min="14903" max="14903" width="9.53125" style="824"/>
    <col min="14904" max="14904" width="6.73046875" style="824" customWidth="1"/>
    <col min="14905" max="14905" width="7.796875" style="824" customWidth="1"/>
    <col min="14906" max="14906" width="8.46484375" style="824" customWidth="1"/>
    <col min="14907" max="14907" width="7.796875" style="824" customWidth="1"/>
    <col min="14908" max="14908" width="6.46484375" style="824" customWidth="1"/>
    <col min="14909" max="14909" width="7.46484375" style="824" customWidth="1"/>
    <col min="14910" max="14910" width="6.73046875" style="824" customWidth="1"/>
    <col min="14911" max="14911" width="7.796875" style="824" customWidth="1"/>
    <col min="14912" max="14912" width="10.265625" style="824" bestFit="1" customWidth="1"/>
    <col min="14913" max="14913" width="9.53125" style="824"/>
    <col min="14914" max="14914" width="9.46484375" style="824" bestFit="1" customWidth="1"/>
    <col min="14915" max="15108" width="9.53125" style="824"/>
    <col min="15109" max="15109" width="7.19921875" style="824" customWidth="1"/>
    <col min="15110" max="15110" width="6.46484375" style="824" bestFit="1" customWidth="1"/>
    <col min="15111" max="15111" width="8.796875" style="824" customWidth="1"/>
    <col min="15112" max="15112" width="9.53125" style="824" customWidth="1"/>
    <col min="15113" max="15113" width="8.53125" style="824" customWidth="1"/>
    <col min="15114" max="15114" width="7.53125" style="824" customWidth="1"/>
    <col min="15115" max="15115" width="7.19921875" style="824" customWidth="1"/>
    <col min="15116" max="15116" width="8" style="824" bestFit="1" customWidth="1"/>
    <col min="15117" max="15117" width="7.46484375" style="824" customWidth="1"/>
    <col min="15118" max="15118" width="10.265625" style="824" bestFit="1" customWidth="1"/>
    <col min="15119" max="15119" width="8.53125" style="824" customWidth="1"/>
    <col min="15120" max="15120" width="8.53125" style="824" bestFit="1" customWidth="1"/>
    <col min="15121" max="15121" width="7.53125" style="824" customWidth="1"/>
    <col min="15122" max="15122" width="5.19921875" style="824" customWidth="1"/>
    <col min="15123" max="15123" width="9.265625" style="824" customWidth="1"/>
    <col min="15124" max="15124" width="8.46484375" style="824" customWidth="1"/>
    <col min="15125" max="15125" width="9.53125" style="824"/>
    <col min="15126" max="15126" width="2.19921875" style="824" customWidth="1"/>
    <col min="15127" max="15127" width="7.796875" style="824" customWidth="1"/>
    <col min="15128" max="15128" width="8.53125" style="824" customWidth="1"/>
    <col min="15129" max="15129" width="10.265625" style="824" bestFit="1" customWidth="1"/>
    <col min="15130" max="15130" width="7.53125" style="824" customWidth="1"/>
    <col min="15131" max="15131" width="2.265625" style="824" customWidth="1"/>
    <col min="15132" max="15132" width="5.265625" style="824" customWidth="1"/>
    <col min="15133" max="15133" width="8.265625" style="824" customWidth="1"/>
    <col min="15134" max="15134" width="1.796875" style="824" customWidth="1"/>
    <col min="15135" max="15135" width="8.265625" style="824" customWidth="1"/>
    <col min="15136" max="15136" width="8.53125" style="824" bestFit="1" customWidth="1"/>
    <col min="15137" max="15137" width="0.46484375" style="824" customWidth="1"/>
    <col min="15138" max="15138" width="9.53125" style="824"/>
    <col min="15139" max="15139" width="8.796875" style="824" customWidth="1"/>
    <col min="15140" max="15144" width="9.53125" style="824"/>
    <col min="15145" max="15145" width="10.73046875" style="824" customWidth="1"/>
    <col min="15146" max="15147" width="9.53125" style="824"/>
    <col min="15148" max="15148" width="0.796875" style="824" customWidth="1"/>
    <col min="15149" max="15149" width="8" style="824" customWidth="1"/>
    <col min="15150" max="15151" width="10" style="824" customWidth="1"/>
    <col min="15152" max="15157" width="11.46484375" style="824" customWidth="1"/>
    <col min="15158" max="15158" width="0.796875" style="824" customWidth="1"/>
    <col min="15159" max="15159" width="9.53125" style="824"/>
    <col min="15160" max="15160" width="6.73046875" style="824" customWidth="1"/>
    <col min="15161" max="15161" width="7.796875" style="824" customWidth="1"/>
    <col min="15162" max="15162" width="8.46484375" style="824" customWidth="1"/>
    <col min="15163" max="15163" width="7.796875" style="824" customWidth="1"/>
    <col min="15164" max="15164" width="6.46484375" style="824" customWidth="1"/>
    <col min="15165" max="15165" width="7.46484375" style="824" customWidth="1"/>
    <col min="15166" max="15166" width="6.73046875" style="824" customWidth="1"/>
    <col min="15167" max="15167" width="7.796875" style="824" customWidth="1"/>
    <col min="15168" max="15168" width="10.265625" style="824" bestFit="1" customWidth="1"/>
    <col min="15169" max="15169" width="9.53125" style="824"/>
    <col min="15170" max="15170" width="9.46484375" style="824" bestFit="1" customWidth="1"/>
    <col min="15171" max="15364" width="9.53125" style="824"/>
    <col min="15365" max="15365" width="7.19921875" style="824" customWidth="1"/>
    <col min="15366" max="15366" width="6.46484375" style="824" bestFit="1" customWidth="1"/>
    <col min="15367" max="15367" width="8.796875" style="824" customWidth="1"/>
    <col min="15368" max="15368" width="9.53125" style="824" customWidth="1"/>
    <col min="15369" max="15369" width="8.53125" style="824" customWidth="1"/>
    <col min="15370" max="15370" width="7.53125" style="824" customWidth="1"/>
    <col min="15371" max="15371" width="7.19921875" style="824" customWidth="1"/>
    <col min="15372" max="15372" width="8" style="824" bestFit="1" customWidth="1"/>
    <col min="15373" max="15373" width="7.46484375" style="824" customWidth="1"/>
    <col min="15374" max="15374" width="10.265625" style="824" bestFit="1" customWidth="1"/>
    <col min="15375" max="15375" width="8.53125" style="824" customWidth="1"/>
    <col min="15376" max="15376" width="8.53125" style="824" bestFit="1" customWidth="1"/>
    <col min="15377" max="15377" width="7.53125" style="824" customWidth="1"/>
    <col min="15378" max="15378" width="5.19921875" style="824" customWidth="1"/>
    <col min="15379" max="15379" width="9.265625" style="824" customWidth="1"/>
    <col min="15380" max="15380" width="8.46484375" style="824" customWidth="1"/>
    <col min="15381" max="15381" width="9.53125" style="824"/>
    <col min="15382" max="15382" width="2.19921875" style="824" customWidth="1"/>
    <col min="15383" max="15383" width="7.796875" style="824" customWidth="1"/>
    <col min="15384" max="15384" width="8.53125" style="824" customWidth="1"/>
    <col min="15385" max="15385" width="10.265625" style="824" bestFit="1" customWidth="1"/>
    <col min="15386" max="15386" width="7.53125" style="824" customWidth="1"/>
    <col min="15387" max="15387" width="2.265625" style="824" customWidth="1"/>
    <col min="15388" max="15388" width="5.265625" style="824" customWidth="1"/>
    <col min="15389" max="15389" width="8.265625" style="824" customWidth="1"/>
    <col min="15390" max="15390" width="1.796875" style="824" customWidth="1"/>
    <col min="15391" max="15391" width="8.265625" style="824" customWidth="1"/>
    <col min="15392" max="15392" width="8.53125" style="824" bestFit="1" customWidth="1"/>
    <col min="15393" max="15393" width="0.46484375" style="824" customWidth="1"/>
    <col min="15394" max="15394" width="9.53125" style="824"/>
    <col min="15395" max="15395" width="8.796875" style="824" customWidth="1"/>
    <col min="15396" max="15400" width="9.53125" style="824"/>
    <col min="15401" max="15401" width="10.73046875" style="824" customWidth="1"/>
    <col min="15402" max="15403" width="9.53125" style="824"/>
    <col min="15404" max="15404" width="0.796875" style="824" customWidth="1"/>
    <col min="15405" max="15405" width="8" style="824" customWidth="1"/>
    <col min="15406" max="15407" width="10" style="824" customWidth="1"/>
    <col min="15408" max="15413" width="11.46484375" style="824" customWidth="1"/>
    <col min="15414" max="15414" width="0.796875" style="824" customWidth="1"/>
    <col min="15415" max="15415" width="9.53125" style="824"/>
    <col min="15416" max="15416" width="6.73046875" style="824" customWidth="1"/>
    <col min="15417" max="15417" width="7.796875" style="824" customWidth="1"/>
    <col min="15418" max="15418" width="8.46484375" style="824" customWidth="1"/>
    <col min="15419" max="15419" width="7.796875" style="824" customWidth="1"/>
    <col min="15420" max="15420" width="6.46484375" style="824" customWidth="1"/>
    <col min="15421" max="15421" width="7.46484375" style="824" customWidth="1"/>
    <col min="15422" max="15422" width="6.73046875" style="824" customWidth="1"/>
    <col min="15423" max="15423" width="7.796875" style="824" customWidth="1"/>
    <col min="15424" max="15424" width="10.265625" style="824" bestFit="1" customWidth="1"/>
    <col min="15425" max="15425" width="9.53125" style="824"/>
    <col min="15426" max="15426" width="9.46484375" style="824" bestFit="1" customWidth="1"/>
    <col min="15427" max="15620" width="9.53125" style="824"/>
    <col min="15621" max="15621" width="7.19921875" style="824" customWidth="1"/>
    <col min="15622" max="15622" width="6.46484375" style="824" bestFit="1" customWidth="1"/>
    <col min="15623" max="15623" width="8.796875" style="824" customWidth="1"/>
    <col min="15624" max="15624" width="9.53125" style="824" customWidth="1"/>
    <col min="15625" max="15625" width="8.53125" style="824" customWidth="1"/>
    <col min="15626" max="15626" width="7.53125" style="824" customWidth="1"/>
    <col min="15627" max="15627" width="7.19921875" style="824" customWidth="1"/>
    <col min="15628" max="15628" width="8" style="824" bestFit="1" customWidth="1"/>
    <col min="15629" max="15629" width="7.46484375" style="824" customWidth="1"/>
    <col min="15630" max="15630" width="10.265625" style="824" bestFit="1" customWidth="1"/>
    <col min="15631" max="15631" width="8.53125" style="824" customWidth="1"/>
    <col min="15632" max="15632" width="8.53125" style="824" bestFit="1" customWidth="1"/>
    <col min="15633" max="15633" width="7.53125" style="824" customWidth="1"/>
    <col min="15634" max="15634" width="5.19921875" style="824" customWidth="1"/>
    <col min="15635" max="15635" width="9.265625" style="824" customWidth="1"/>
    <col min="15636" max="15636" width="8.46484375" style="824" customWidth="1"/>
    <col min="15637" max="15637" width="9.53125" style="824"/>
    <col min="15638" max="15638" width="2.19921875" style="824" customWidth="1"/>
    <col min="15639" max="15639" width="7.796875" style="824" customWidth="1"/>
    <col min="15640" max="15640" width="8.53125" style="824" customWidth="1"/>
    <col min="15641" max="15641" width="10.265625" style="824" bestFit="1" customWidth="1"/>
    <col min="15642" max="15642" width="7.53125" style="824" customWidth="1"/>
    <col min="15643" max="15643" width="2.265625" style="824" customWidth="1"/>
    <col min="15644" max="15644" width="5.265625" style="824" customWidth="1"/>
    <col min="15645" max="15645" width="8.265625" style="824" customWidth="1"/>
    <col min="15646" max="15646" width="1.796875" style="824" customWidth="1"/>
    <col min="15647" max="15647" width="8.265625" style="824" customWidth="1"/>
    <col min="15648" max="15648" width="8.53125" style="824" bestFit="1" customWidth="1"/>
    <col min="15649" max="15649" width="0.46484375" style="824" customWidth="1"/>
    <col min="15650" max="15650" width="9.53125" style="824"/>
    <col min="15651" max="15651" width="8.796875" style="824" customWidth="1"/>
    <col min="15652" max="15656" width="9.53125" style="824"/>
    <col min="15657" max="15657" width="10.73046875" style="824" customWidth="1"/>
    <col min="15658" max="15659" width="9.53125" style="824"/>
    <col min="15660" max="15660" width="0.796875" style="824" customWidth="1"/>
    <col min="15661" max="15661" width="8" style="824" customWidth="1"/>
    <col min="15662" max="15663" width="10" style="824" customWidth="1"/>
    <col min="15664" max="15669" width="11.46484375" style="824" customWidth="1"/>
    <col min="15670" max="15670" width="0.796875" style="824" customWidth="1"/>
    <col min="15671" max="15671" width="9.53125" style="824"/>
    <col min="15672" max="15672" width="6.73046875" style="824" customWidth="1"/>
    <col min="15673" max="15673" width="7.796875" style="824" customWidth="1"/>
    <col min="15674" max="15674" width="8.46484375" style="824" customWidth="1"/>
    <col min="15675" max="15675" width="7.796875" style="824" customWidth="1"/>
    <col min="15676" max="15676" width="6.46484375" style="824" customWidth="1"/>
    <col min="15677" max="15677" width="7.46484375" style="824" customWidth="1"/>
    <col min="15678" max="15678" width="6.73046875" style="824" customWidth="1"/>
    <col min="15679" max="15679" width="7.796875" style="824" customWidth="1"/>
    <col min="15680" max="15680" width="10.265625" style="824" bestFit="1" customWidth="1"/>
    <col min="15681" max="15681" width="9.53125" style="824"/>
    <col min="15682" max="15682" width="9.46484375" style="824" bestFit="1" customWidth="1"/>
    <col min="15683" max="15876" width="9.53125" style="824"/>
    <col min="15877" max="15877" width="7.19921875" style="824" customWidth="1"/>
    <col min="15878" max="15878" width="6.46484375" style="824" bestFit="1" customWidth="1"/>
    <col min="15879" max="15879" width="8.796875" style="824" customWidth="1"/>
    <col min="15880" max="15880" width="9.53125" style="824" customWidth="1"/>
    <col min="15881" max="15881" width="8.53125" style="824" customWidth="1"/>
    <col min="15882" max="15882" width="7.53125" style="824" customWidth="1"/>
    <col min="15883" max="15883" width="7.19921875" style="824" customWidth="1"/>
    <col min="15884" max="15884" width="8" style="824" bestFit="1" customWidth="1"/>
    <col min="15885" max="15885" width="7.46484375" style="824" customWidth="1"/>
    <col min="15886" max="15886" width="10.265625" style="824" bestFit="1" customWidth="1"/>
    <col min="15887" max="15887" width="8.53125" style="824" customWidth="1"/>
    <col min="15888" max="15888" width="8.53125" style="824" bestFit="1" customWidth="1"/>
    <col min="15889" max="15889" width="7.53125" style="824" customWidth="1"/>
    <col min="15890" max="15890" width="5.19921875" style="824" customWidth="1"/>
    <col min="15891" max="15891" width="9.265625" style="824" customWidth="1"/>
    <col min="15892" max="15892" width="8.46484375" style="824" customWidth="1"/>
    <col min="15893" max="15893" width="9.53125" style="824"/>
    <col min="15894" max="15894" width="2.19921875" style="824" customWidth="1"/>
    <col min="15895" max="15895" width="7.796875" style="824" customWidth="1"/>
    <col min="15896" max="15896" width="8.53125" style="824" customWidth="1"/>
    <col min="15897" max="15897" width="10.265625" style="824" bestFit="1" customWidth="1"/>
    <col min="15898" max="15898" width="7.53125" style="824" customWidth="1"/>
    <col min="15899" max="15899" width="2.265625" style="824" customWidth="1"/>
    <col min="15900" max="15900" width="5.265625" style="824" customWidth="1"/>
    <col min="15901" max="15901" width="8.265625" style="824" customWidth="1"/>
    <col min="15902" max="15902" width="1.796875" style="824" customWidth="1"/>
    <col min="15903" max="15903" width="8.265625" style="824" customWidth="1"/>
    <col min="15904" max="15904" width="8.53125" style="824" bestFit="1" customWidth="1"/>
    <col min="15905" max="15905" width="0.46484375" style="824" customWidth="1"/>
    <col min="15906" max="15906" width="9.53125" style="824"/>
    <col min="15907" max="15907" width="8.796875" style="824" customWidth="1"/>
    <col min="15908" max="15912" width="9.53125" style="824"/>
    <col min="15913" max="15913" width="10.73046875" style="824" customWidth="1"/>
    <col min="15914" max="15915" width="9.53125" style="824"/>
    <col min="15916" max="15916" width="0.796875" style="824" customWidth="1"/>
    <col min="15917" max="15917" width="8" style="824" customWidth="1"/>
    <col min="15918" max="15919" width="10" style="824" customWidth="1"/>
    <col min="15920" max="15925" width="11.46484375" style="824" customWidth="1"/>
    <col min="15926" max="15926" width="0.796875" style="824" customWidth="1"/>
    <col min="15927" max="15927" width="9.53125" style="824"/>
    <col min="15928" max="15928" width="6.73046875" style="824" customWidth="1"/>
    <col min="15929" max="15929" width="7.796875" style="824" customWidth="1"/>
    <col min="15930" max="15930" width="8.46484375" style="824" customWidth="1"/>
    <col min="15931" max="15931" width="7.796875" style="824" customWidth="1"/>
    <col min="15932" max="15932" width="6.46484375" style="824" customWidth="1"/>
    <col min="15933" max="15933" width="7.46484375" style="824" customWidth="1"/>
    <col min="15934" max="15934" width="6.73046875" style="824" customWidth="1"/>
    <col min="15935" max="15935" width="7.796875" style="824" customWidth="1"/>
    <col min="15936" max="15936" width="10.265625" style="824" bestFit="1" customWidth="1"/>
    <col min="15937" max="15937" width="9.53125" style="824"/>
    <col min="15938" max="15938" width="9.46484375" style="824" bestFit="1" customWidth="1"/>
    <col min="15939" max="16132" width="9.53125" style="824"/>
    <col min="16133" max="16133" width="7.19921875" style="824" customWidth="1"/>
    <col min="16134" max="16134" width="6.46484375" style="824" bestFit="1" customWidth="1"/>
    <col min="16135" max="16135" width="8.796875" style="824" customWidth="1"/>
    <col min="16136" max="16136" width="9.53125" style="824" customWidth="1"/>
    <col min="16137" max="16137" width="8.53125" style="824" customWidth="1"/>
    <col min="16138" max="16138" width="7.53125" style="824" customWidth="1"/>
    <col min="16139" max="16139" width="7.19921875" style="824" customWidth="1"/>
    <col min="16140" max="16140" width="8" style="824" bestFit="1" customWidth="1"/>
    <col min="16141" max="16141" width="7.46484375" style="824" customWidth="1"/>
    <col min="16142" max="16142" width="10.265625" style="824" bestFit="1" customWidth="1"/>
    <col min="16143" max="16143" width="8.53125" style="824" customWidth="1"/>
    <col min="16144" max="16144" width="8.53125" style="824" bestFit="1" customWidth="1"/>
    <col min="16145" max="16145" width="7.53125" style="824" customWidth="1"/>
    <col min="16146" max="16146" width="5.19921875" style="824" customWidth="1"/>
    <col min="16147" max="16147" width="9.265625" style="824" customWidth="1"/>
    <col min="16148" max="16148" width="8.46484375" style="824" customWidth="1"/>
    <col min="16149" max="16149" width="9.53125" style="824"/>
    <col min="16150" max="16150" width="2.19921875" style="824" customWidth="1"/>
    <col min="16151" max="16151" width="7.796875" style="824" customWidth="1"/>
    <col min="16152" max="16152" width="8.53125" style="824" customWidth="1"/>
    <col min="16153" max="16153" width="10.265625" style="824" bestFit="1" customWidth="1"/>
    <col min="16154" max="16154" width="7.53125" style="824" customWidth="1"/>
    <col min="16155" max="16155" width="2.265625" style="824" customWidth="1"/>
    <col min="16156" max="16156" width="5.265625" style="824" customWidth="1"/>
    <col min="16157" max="16157" width="8.265625" style="824" customWidth="1"/>
    <col min="16158" max="16158" width="1.796875" style="824" customWidth="1"/>
    <col min="16159" max="16159" width="8.265625" style="824" customWidth="1"/>
    <col min="16160" max="16160" width="8.53125" style="824" bestFit="1" customWidth="1"/>
    <col min="16161" max="16161" width="0.46484375" style="824" customWidth="1"/>
    <col min="16162" max="16162" width="9.53125" style="824"/>
    <col min="16163" max="16163" width="8.796875" style="824" customWidth="1"/>
    <col min="16164" max="16168" width="9.53125" style="824"/>
    <col min="16169" max="16169" width="10.73046875" style="824" customWidth="1"/>
    <col min="16170" max="16171" width="9.53125" style="824"/>
    <col min="16172" max="16172" width="0.796875" style="824" customWidth="1"/>
    <col min="16173" max="16173" width="8" style="824" customWidth="1"/>
    <col min="16174" max="16175" width="10" style="824" customWidth="1"/>
    <col min="16176" max="16181" width="11.46484375" style="824" customWidth="1"/>
    <col min="16182" max="16182" width="0.796875" style="824" customWidth="1"/>
    <col min="16183" max="16183" width="9.53125" style="824"/>
    <col min="16184" max="16184" width="6.73046875" style="824" customWidth="1"/>
    <col min="16185" max="16185" width="7.796875" style="824" customWidth="1"/>
    <col min="16186" max="16186" width="8.46484375" style="824" customWidth="1"/>
    <col min="16187" max="16187" width="7.796875" style="824" customWidth="1"/>
    <col min="16188" max="16188" width="6.46484375" style="824" customWidth="1"/>
    <col min="16189" max="16189" width="7.46484375" style="824" customWidth="1"/>
    <col min="16190" max="16190" width="6.73046875" style="824" customWidth="1"/>
    <col min="16191" max="16191" width="7.796875" style="824" customWidth="1"/>
    <col min="16192" max="16192" width="10.265625" style="824" bestFit="1" customWidth="1"/>
    <col min="16193" max="16193" width="9.53125" style="824"/>
    <col min="16194" max="16194" width="9.46484375" style="824" bestFit="1" customWidth="1"/>
    <col min="16195" max="16384" width="9.53125" style="824"/>
  </cols>
  <sheetData>
    <row r="1" spans="1:66" s="822" customFormat="1" ht="27" customHeight="1" x14ac:dyDescent="0.7">
      <c r="A1" s="1087" t="s">
        <v>2498</v>
      </c>
      <c r="B1" s="1088"/>
      <c r="C1" s="1088"/>
      <c r="D1" s="1088"/>
      <c r="E1" s="1088"/>
      <c r="F1" s="1088"/>
      <c r="G1" s="1088"/>
      <c r="H1" s="1088"/>
      <c r="I1" s="821"/>
      <c r="J1" s="821"/>
      <c r="K1" s="821"/>
      <c r="N1" s="820"/>
      <c r="O1" s="821"/>
      <c r="P1" s="821"/>
      <c r="Q1" s="821"/>
      <c r="R1" s="821"/>
      <c r="S1" s="821"/>
      <c r="T1" s="821"/>
      <c r="U1" s="821"/>
      <c r="V1" s="821"/>
      <c r="W1" s="821"/>
      <c r="X1" s="821"/>
      <c r="Y1" s="821"/>
      <c r="Z1" s="821"/>
      <c r="AA1" s="821"/>
      <c r="AB1" s="821"/>
      <c r="AC1" s="821"/>
      <c r="AD1" s="821"/>
      <c r="AF1" s="820"/>
      <c r="AG1" s="821"/>
      <c r="AH1" s="821"/>
      <c r="AI1" s="821"/>
      <c r="AJ1" s="821"/>
      <c r="AK1" s="821"/>
      <c r="AL1" s="821"/>
      <c r="AM1" s="821"/>
      <c r="AN1" s="821"/>
      <c r="AO1" s="821"/>
      <c r="AQ1" s="820"/>
      <c r="AR1" s="821"/>
      <c r="AS1" s="821"/>
      <c r="AT1" s="821"/>
      <c r="AU1" s="821"/>
      <c r="AV1" s="821"/>
      <c r="AW1" s="821"/>
      <c r="AX1" s="821"/>
      <c r="AY1" s="821"/>
      <c r="AZ1" s="821"/>
      <c r="BA1" s="821"/>
      <c r="BB1" s="820"/>
      <c r="BC1" s="821"/>
      <c r="BD1" s="821"/>
      <c r="BE1" s="821"/>
      <c r="BF1" s="821"/>
      <c r="BG1" s="821"/>
      <c r="BH1" s="821"/>
      <c r="BI1" s="821"/>
      <c r="BJ1" s="821"/>
      <c r="BK1" s="821"/>
      <c r="BL1" s="821"/>
      <c r="BM1" s="821"/>
      <c r="BN1" s="821"/>
    </row>
    <row r="2" spans="1:66" s="822" customFormat="1" ht="14.25" customHeight="1" x14ac:dyDescent="0.7">
      <c r="A2" s="1087"/>
      <c r="B2" s="1088"/>
      <c r="C2" s="1088"/>
      <c r="D2" s="1088"/>
      <c r="E2" s="1088"/>
      <c r="F2" s="1088"/>
      <c r="G2" s="1087"/>
      <c r="H2" s="1087"/>
      <c r="I2" s="820"/>
      <c r="J2" s="821"/>
      <c r="K2" s="821"/>
      <c r="N2" s="820"/>
      <c r="O2" s="821"/>
      <c r="P2" s="821"/>
      <c r="Q2" s="821"/>
      <c r="R2" s="821"/>
      <c r="S2" s="821"/>
      <c r="T2" s="821"/>
      <c r="U2" s="821"/>
      <c r="V2" s="820"/>
      <c r="W2" s="821"/>
      <c r="X2" s="821"/>
      <c r="Y2" s="821"/>
      <c r="Z2" s="821"/>
      <c r="AA2" s="821"/>
      <c r="AB2" s="821"/>
      <c r="AC2" s="821"/>
      <c r="AD2" s="821"/>
      <c r="AF2" s="820"/>
      <c r="AG2" s="821"/>
      <c r="AH2" s="821"/>
      <c r="AI2" s="821"/>
      <c r="AJ2" s="821"/>
      <c r="AK2" s="821"/>
      <c r="AL2" s="820"/>
      <c r="AM2" s="821"/>
      <c r="AN2" s="821"/>
      <c r="AO2" s="821"/>
      <c r="AQ2" s="820"/>
      <c r="AR2" s="821"/>
      <c r="AS2" s="821"/>
      <c r="AT2" s="821"/>
      <c r="AU2" s="821"/>
      <c r="AV2" s="821"/>
      <c r="AW2" s="821"/>
      <c r="AX2" s="820"/>
      <c r="AY2" s="821"/>
      <c r="AZ2" s="821"/>
      <c r="BA2" s="821"/>
      <c r="BB2" s="820"/>
      <c r="BC2" s="821"/>
      <c r="BD2" s="821"/>
      <c r="BE2" s="821"/>
      <c r="BF2" s="821"/>
      <c r="BG2" s="821"/>
      <c r="BH2" s="821"/>
      <c r="BI2" s="820"/>
      <c r="BJ2" s="821"/>
      <c r="BK2" s="821"/>
      <c r="BL2" s="821"/>
      <c r="BM2" s="821"/>
      <c r="BN2" s="821"/>
    </row>
    <row r="3" spans="1:66" s="823" customFormat="1" ht="14.25" customHeight="1" x14ac:dyDescent="0.6">
      <c r="B3" s="1163" t="s">
        <v>2341</v>
      </c>
      <c r="C3" s="1164" t="s">
        <v>2460</v>
      </c>
      <c r="N3" s="820"/>
      <c r="O3" s="821"/>
      <c r="P3" s="821"/>
      <c r="Q3" s="821"/>
      <c r="R3" s="821"/>
      <c r="S3" s="821"/>
      <c r="T3" s="821"/>
      <c r="U3" s="821"/>
      <c r="V3" s="821"/>
      <c r="W3" s="821"/>
      <c r="X3" s="821"/>
      <c r="Y3" s="821"/>
      <c r="Z3" s="821"/>
      <c r="AA3" s="821"/>
      <c r="AB3" s="821"/>
      <c r="AC3" s="821"/>
      <c r="AD3" s="821"/>
      <c r="AF3" s="820"/>
      <c r="AG3" s="821"/>
      <c r="AH3" s="821"/>
      <c r="AI3" s="821"/>
      <c r="AJ3" s="821"/>
      <c r="AK3" s="821"/>
      <c r="AL3" s="821"/>
      <c r="AM3" s="821"/>
      <c r="AN3" s="821"/>
      <c r="AO3" s="821"/>
      <c r="AQ3" s="820"/>
      <c r="AR3" s="821"/>
      <c r="AS3" s="821"/>
      <c r="AT3" s="821"/>
      <c r="AU3" s="821"/>
      <c r="AV3" s="821"/>
      <c r="AW3" s="821"/>
      <c r="AX3" s="821"/>
      <c r="AY3" s="821"/>
      <c r="AZ3" s="821"/>
      <c r="BA3" s="821"/>
      <c r="BB3" s="820"/>
      <c r="BC3" s="821"/>
      <c r="BD3" s="821"/>
      <c r="BE3" s="821"/>
      <c r="BF3" s="821"/>
      <c r="BG3" s="821"/>
      <c r="BH3" s="821"/>
      <c r="BI3" s="821"/>
      <c r="BJ3" s="821"/>
      <c r="BK3" s="821"/>
      <c r="BL3" s="821"/>
      <c r="BM3" s="821"/>
      <c r="BN3" s="821"/>
    </row>
    <row r="4" spans="1:66" ht="15" customHeight="1" thickBot="1" x14ac:dyDescent="0.4">
      <c r="A4" s="1369" t="s">
        <v>1125</v>
      </c>
      <c r="B4" s="1369"/>
      <c r="C4" s="1369"/>
      <c r="D4" s="1369"/>
      <c r="E4" s="1369"/>
      <c r="F4" s="1369"/>
      <c r="G4" s="1369"/>
      <c r="H4" s="1369"/>
      <c r="I4" s="1369"/>
      <c r="J4" s="1369"/>
      <c r="K4" s="1369"/>
      <c r="L4" s="1369"/>
      <c r="M4" s="1369"/>
      <c r="N4" s="1369"/>
      <c r="O4" s="1369"/>
      <c r="P4" s="1369"/>
      <c r="Q4" s="1369"/>
      <c r="R4" s="1369"/>
      <c r="S4" s="1369"/>
      <c r="T4" s="1369"/>
      <c r="U4" s="1369"/>
      <c r="V4" s="1369"/>
      <c r="W4" s="1369"/>
      <c r="X4" s="1369"/>
      <c r="Y4" s="1369"/>
      <c r="Z4" s="1369"/>
      <c r="AA4" s="1369"/>
      <c r="AB4" s="1369"/>
      <c r="AC4" s="1369"/>
      <c r="AD4" s="1369"/>
      <c r="AF4" s="1370" t="s">
        <v>1040</v>
      </c>
      <c r="AG4" s="1370"/>
      <c r="AH4" s="1370"/>
      <c r="AI4" s="1370"/>
      <c r="AJ4" s="1370"/>
      <c r="AK4" s="1370"/>
      <c r="AL4" s="1370"/>
      <c r="AM4" s="1370"/>
      <c r="AN4" s="1370"/>
      <c r="AO4" s="1370"/>
      <c r="AQ4" s="1370" t="s">
        <v>1126</v>
      </c>
      <c r="AR4" s="1370"/>
      <c r="AS4" s="1370"/>
      <c r="AT4" s="1370"/>
      <c r="AU4" s="1370"/>
      <c r="AV4" s="1370"/>
      <c r="AW4" s="1370"/>
      <c r="AX4" s="1370"/>
      <c r="AY4" s="1370"/>
      <c r="AZ4" s="1370"/>
      <c r="BB4" s="1369" t="s">
        <v>1126</v>
      </c>
      <c r="BC4" s="1369"/>
      <c r="BD4" s="1369"/>
      <c r="BE4" s="1369"/>
      <c r="BF4" s="1369"/>
      <c r="BG4" s="1369"/>
      <c r="BH4" s="1369"/>
      <c r="BI4" s="1369"/>
      <c r="BJ4" s="1369"/>
      <c r="BK4" s="1369"/>
      <c r="BL4" s="1369"/>
      <c r="BM4" s="1369"/>
      <c r="BN4" s="1369"/>
    </row>
    <row r="5" spans="1:66" ht="13.15" thickTop="1" x14ac:dyDescent="0.35">
      <c r="A5" s="1371" t="s">
        <v>1127</v>
      </c>
      <c r="B5" s="1371"/>
      <c r="C5" s="1371"/>
      <c r="D5" s="1371"/>
      <c r="E5" s="1371"/>
      <c r="F5" s="1371"/>
      <c r="G5" s="1371"/>
      <c r="H5" s="1371"/>
      <c r="I5" s="1371"/>
      <c r="J5" s="1371"/>
      <c r="K5" s="1371"/>
      <c r="L5" s="1371"/>
      <c r="M5" s="1371"/>
      <c r="N5" s="1372" t="s">
        <v>1090</v>
      </c>
      <c r="O5" s="1372"/>
      <c r="P5" s="1372"/>
      <c r="Q5" s="1372"/>
      <c r="R5" s="1372"/>
      <c r="S5" s="1372"/>
      <c r="T5" s="1372"/>
      <c r="U5" s="1372"/>
      <c r="V5" s="1372"/>
      <c r="W5" s="1372"/>
      <c r="X5" s="1372"/>
      <c r="Y5" s="1372"/>
      <c r="Z5" s="1069"/>
      <c r="AA5" s="825"/>
      <c r="AB5" s="825"/>
      <c r="AC5" s="825"/>
      <c r="AD5" s="825"/>
      <c r="AF5" s="1371" t="s">
        <v>17</v>
      </c>
      <c r="AG5" s="1371"/>
      <c r="AH5" s="1371"/>
      <c r="AI5" s="1371"/>
      <c r="AJ5" s="1371"/>
      <c r="AK5" s="1371"/>
      <c r="AL5" s="1371"/>
      <c r="AM5" s="1371"/>
      <c r="AN5" s="1371"/>
      <c r="AO5" s="1371"/>
      <c r="AQ5" s="1371" t="s">
        <v>1128</v>
      </c>
      <c r="AR5" s="1371"/>
      <c r="AS5" s="1371"/>
      <c r="AT5" s="1371"/>
      <c r="AU5" s="1371"/>
      <c r="AV5" s="1371"/>
      <c r="AW5" s="1371"/>
      <c r="AX5" s="1371"/>
      <c r="AY5" s="1371"/>
      <c r="AZ5" s="1371"/>
      <c r="BA5" s="1372"/>
      <c r="BB5" s="1371" t="s">
        <v>1129</v>
      </c>
      <c r="BC5" s="1371"/>
      <c r="BD5" s="1371"/>
      <c r="BE5" s="1371"/>
      <c r="BF5" s="1371"/>
      <c r="BG5" s="1371"/>
      <c r="BH5" s="1371"/>
      <c r="BI5" s="1371"/>
      <c r="BJ5" s="1371"/>
      <c r="BK5" s="1371"/>
      <c r="BL5" s="1371"/>
      <c r="BM5" s="1371"/>
      <c r="BN5" s="1371"/>
    </row>
    <row r="6" spans="1:66" ht="11.25" customHeight="1" x14ac:dyDescent="0.4">
      <c r="N6" s="826"/>
      <c r="O6" s="1368" t="s">
        <v>1130</v>
      </c>
      <c r="P6" s="1368"/>
      <c r="Q6" s="1368"/>
      <c r="R6" s="1368"/>
      <c r="S6" s="827"/>
      <c r="T6" s="828" t="s">
        <v>1131</v>
      </c>
      <c r="U6" s="828"/>
      <c r="V6" s="828"/>
      <c r="W6" s="828"/>
      <c r="X6" s="829"/>
      <c r="Y6" s="828"/>
      <c r="Z6" s="830"/>
      <c r="AA6" s="830" t="s">
        <v>1132</v>
      </c>
      <c r="AB6" s="826"/>
      <c r="AC6" s="830" t="s">
        <v>1133</v>
      </c>
      <c r="AD6" s="826"/>
      <c r="AQ6" s="831"/>
      <c r="AR6" s="831"/>
      <c r="AS6" s="831"/>
      <c r="AT6" s="831"/>
      <c r="AU6" s="831"/>
      <c r="AV6" s="831"/>
      <c r="AW6" s="831"/>
      <c r="AX6" s="831"/>
      <c r="AY6" s="831"/>
      <c r="AZ6" s="831"/>
      <c r="BA6" s="831"/>
      <c r="BB6" s="831"/>
      <c r="BC6" s="831"/>
      <c r="BD6" s="831"/>
      <c r="BE6" s="831"/>
      <c r="BF6" s="831"/>
      <c r="BG6" s="831"/>
      <c r="BH6" s="831"/>
      <c r="BI6" s="831"/>
      <c r="BJ6" s="831"/>
      <c r="BK6" s="831"/>
      <c r="BL6" s="831"/>
      <c r="BM6" s="831"/>
      <c r="BN6" s="831"/>
    </row>
    <row r="7" spans="1:66" ht="10.5" customHeight="1" x14ac:dyDescent="0.35">
      <c r="E7" s="1080" t="s">
        <v>2292</v>
      </c>
      <c r="K7" s="1080" t="s">
        <v>2292</v>
      </c>
      <c r="N7" s="826"/>
      <c r="O7" s="832"/>
      <c r="Q7" s="832"/>
      <c r="R7" s="832"/>
      <c r="S7" s="832"/>
      <c r="T7" s="832"/>
      <c r="U7" s="832"/>
      <c r="V7" s="1081" t="s">
        <v>2292</v>
      </c>
      <c r="W7" s="832" t="s">
        <v>496</v>
      </c>
      <c r="X7" s="832"/>
      <c r="Y7" s="832"/>
      <c r="Z7" s="832"/>
      <c r="AA7" s="1081" t="s">
        <v>2292</v>
      </c>
      <c r="AB7" s="832"/>
      <c r="AC7" s="832"/>
      <c r="AD7" s="832"/>
      <c r="AF7" s="826"/>
      <c r="AG7" s="832"/>
      <c r="AH7" s="832"/>
      <c r="AI7" s="832" t="s">
        <v>1135</v>
      </c>
      <c r="AJ7" s="832" t="s">
        <v>741</v>
      </c>
      <c r="AK7" s="832"/>
      <c r="AL7" s="832"/>
      <c r="AM7" s="832"/>
      <c r="AN7" s="832"/>
      <c r="AO7" s="832"/>
      <c r="AQ7" s="826"/>
      <c r="AR7" s="832"/>
      <c r="AS7" s="832"/>
      <c r="AT7" s="832" t="s">
        <v>1135</v>
      </c>
      <c r="AU7" s="832" t="s">
        <v>741</v>
      </c>
      <c r="AV7" s="832"/>
      <c r="AW7" s="832"/>
      <c r="AX7" s="832"/>
      <c r="AY7" s="832"/>
      <c r="AZ7" s="832"/>
      <c r="BB7" s="832"/>
      <c r="BC7" s="832"/>
      <c r="BD7" s="832"/>
      <c r="BE7" s="832" t="s">
        <v>22</v>
      </c>
      <c r="BF7" s="832"/>
      <c r="BG7" s="832"/>
      <c r="BH7" s="832" t="s">
        <v>741</v>
      </c>
      <c r="BI7" s="832"/>
      <c r="BJ7" s="832"/>
      <c r="BK7" s="832"/>
      <c r="BL7" s="832"/>
      <c r="BM7" s="832"/>
      <c r="BN7" s="832"/>
    </row>
    <row r="8" spans="1:66" ht="11.25" customHeight="1" x14ac:dyDescent="0.35">
      <c r="B8" s="832"/>
      <c r="C8" s="832" t="s">
        <v>1192</v>
      </c>
      <c r="D8" s="832" t="s">
        <v>1134</v>
      </c>
      <c r="E8" s="832" t="s">
        <v>1135</v>
      </c>
      <c r="F8" s="832" t="s">
        <v>741</v>
      </c>
      <c r="G8" s="1080" t="s">
        <v>2292</v>
      </c>
      <c r="H8" s="1081" t="s">
        <v>2292</v>
      </c>
      <c r="I8" s="1081" t="s">
        <v>2292</v>
      </c>
      <c r="J8" s="832" t="s">
        <v>1075</v>
      </c>
      <c r="K8" s="832" t="s">
        <v>1044</v>
      </c>
      <c r="L8" s="1081" t="s">
        <v>2292</v>
      </c>
      <c r="M8" s="832"/>
      <c r="N8" s="826"/>
      <c r="O8" s="832"/>
      <c r="P8" s="832" t="s">
        <v>1192</v>
      </c>
      <c r="Q8" s="832" t="s">
        <v>13</v>
      </c>
      <c r="R8" s="832"/>
      <c r="S8" s="832"/>
      <c r="T8" s="832"/>
      <c r="U8" s="1081" t="s">
        <v>2292</v>
      </c>
      <c r="V8" s="832" t="s">
        <v>1044</v>
      </c>
      <c r="W8" s="832" t="s">
        <v>1136</v>
      </c>
      <c r="X8" s="832"/>
      <c r="Y8" s="832"/>
      <c r="Z8" s="832"/>
      <c r="AA8" s="832"/>
      <c r="AB8" s="832"/>
      <c r="AC8" s="832"/>
      <c r="AD8" s="832" t="s">
        <v>211</v>
      </c>
      <c r="AF8" s="826"/>
      <c r="AG8" s="832"/>
      <c r="AH8" s="832" t="s">
        <v>1192</v>
      </c>
      <c r="AI8" s="832" t="s">
        <v>1063</v>
      </c>
      <c r="AJ8" s="832" t="s">
        <v>1063</v>
      </c>
      <c r="AK8" s="1081" t="s">
        <v>2292</v>
      </c>
      <c r="AL8" s="832" t="s">
        <v>1075</v>
      </c>
      <c r="AM8" s="832" t="s">
        <v>1044</v>
      </c>
      <c r="AN8" s="832"/>
      <c r="AO8" s="832" t="s">
        <v>211</v>
      </c>
      <c r="AQ8" s="826"/>
      <c r="AR8" s="832"/>
      <c r="AS8" s="832" t="s">
        <v>1192</v>
      </c>
      <c r="AT8" s="832" t="s">
        <v>1063</v>
      </c>
      <c r="AU8" s="832" t="s">
        <v>1063</v>
      </c>
      <c r="AV8" s="832"/>
      <c r="AW8" s="832" t="s">
        <v>1075</v>
      </c>
      <c r="AX8" s="832" t="s">
        <v>1044</v>
      </c>
      <c r="AY8" s="832"/>
      <c r="AZ8" s="832" t="s">
        <v>211</v>
      </c>
      <c r="BB8" s="832"/>
      <c r="BC8" s="832"/>
      <c r="BD8" s="832" t="s">
        <v>1137</v>
      </c>
      <c r="BE8" s="832" t="s">
        <v>1138</v>
      </c>
      <c r="BF8" s="832" t="s">
        <v>195</v>
      </c>
      <c r="BG8" s="832" t="s">
        <v>1135</v>
      </c>
      <c r="BH8" s="832" t="s">
        <v>1063</v>
      </c>
      <c r="BI8" s="832" t="s">
        <v>1139</v>
      </c>
      <c r="BJ8" s="832" t="s">
        <v>1075</v>
      </c>
      <c r="BK8" s="832"/>
      <c r="BL8" s="832" t="s">
        <v>1044</v>
      </c>
      <c r="BM8" s="832"/>
      <c r="BN8" s="832" t="s">
        <v>211</v>
      </c>
    </row>
    <row r="9" spans="1:66" ht="10.5" customHeight="1" x14ac:dyDescent="0.35">
      <c r="A9" s="825"/>
      <c r="B9" s="833" t="s">
        <v>496</v>
      </c>
      <c r="C9" s="837" t="s">
        <v>1193</v>
      </c>
      <c r="D9" s="833" t="s">
        <v>1140</v>
      </c>
      <c r="E9" s="833" t="s">
        <v>1141</v>
      </c>
      <c r="F9" s="833" t="s">
        <v>1142</v>
      </c>
      <c r="G9" s="833" t="s">
        <v>13</v>
      </c>
      <c r="H9" s="833" t="s">
        <v>746</v>
      </c>
      <c r="I9" s="833" t="s">
        <v>1089</v>
      </c>
      <c r="J9" s="833" t="s">
        <v>1143</v>
      </c>
      <c r="K9" s="833" t="s">
        <v>1144</v>
      </c>
      <c r="L9" s="833" t="s">
        <v>168</v>
      </c>
      <c r="M9" s="833" t="s">
        <v>1145</v>
      </c>
      <c r="N9" s="830"/>
      <c r="O9" s="833" t="s">
        <v>496</v>
      </c>
      <c r="P9" s="837" t="s">
        <v>1193</v>
      </c>
      <c r="Q9" s="834" t="s">
        <v>32</v>
      </c>
      <c r="R9" s="833" t="s">
        <v>168</v>
      </c>
      <c r="S9" s="833"/>
      <c r="T9" s="833" t="s">
        <v>13</v>
      </c>
      <c r="U9" s="833" t="s">
        <v>168</v>
      </c>
      <c r="V9" s="833" t="s">
        <v>1144</v>
      </c>
      <c r="W9" s="833" t="s">
        <v>1146</v>
      </c>
      <c r="X9" s="833"/>
      <c r="Y9" s="833" t="s">
        <v>496</v>
      </c>
      <c r="Z9" s="833" t="s">
        <v>168</v>
      </c>
      <c r="AA9" s="833" t="s">
        <v>746</v>
      </c>
      <c r="AB9" s="833"/>
      <c r="AC9" s="833" t="s">
        <v>168</v>
      </c>
      <c r="AD9" s="834" t="s">
        <v>33</v>
      </c>
      <c r="AF9" s="830"/>
      <c r="AG9" s="833" t="s">
        <v>496</v>
      </c>
      <c r="AH9" s="837" t="s">
        <v>1193</v>
      </c>
      <c r="AI9" s="833" t="s">
        <v>2292</v>
      </c>
      <c r="AJ9" s="834" t="s">
        <v>34</v>
      </c>
      <c r="AK9" s="833" t="s">
        <v>13</v>
      </c>
      <c r="AL9" s="833" t="s">
        <v>1143</v>
      </c>
      <c r="AM9" s="833" t="s">
        <v>1144</v>
      </c>
      <c r="AN9" s="833" t="s">
        <v>168</v>
      </c>
      <c r="AO9" s="834" t="s">
        <v>30</v>
      </c>
      <c r="AQ9" s="830"/>
      <c r="AR9" s="833" t="s">
        <v>496</v>
      </c>
      <c r="AS9" s="837" t="s">
        <v>2495</v>
      </c>
      <c r="AT9" s="833"/>
      <c r="AU9" s="834" t="s">
        <v>34</v>
      </c>
      <c r="AV9" s="833" t="s">
        <v>13</v>
      </c>
      <c r="AW9" s="833" t="s">
        <v>1143</v>
      </c>
      <c r="AX9" s="833" t="s">
        <v>1144</v>
      </c>
      <c r="AY9" s="833" t="s">
        <v>168</v>
      </c>
      <c r="AZ9" s="834" t="s">
        <v>30</v>
      </c>
      <c r="BB9" s="835"/>
      <c r="BC9" s="833" t="s">
        <v>496</v>
      </c>
      <c r="BD9" s="833" t="s">
        <v>1147</v>
      </c>
      <c r="BE9" s="836" t="s">
        <v>30</v>
      </c>
      <c r="BF9" s="833" t="s">
        <v>1148</v>
      </c>
      <c r="BG9" s="833" t="s">
        <v>1063</v>
      </c>
      <c r="BH9" s="836" t="s">
        <v>30</v>
      </c>
      <c r="BI9" s="833" t="s">
        <v>1149</v>
      </c>
      <c r="BJ9" s="833" t="s">
        <v>1143</v>
      </c>
      <c r="BK9" s="833" t="s">
        <v>746</v>
      </c>
      <c r="BL9" s="833" t="s">
        <v>1144</v>
      </c>
      <c r="BM9" s="833" t="s">
        <v>168</v>
      </c>
      <c r="BN9" s="837" t="s">
        <v>1150</v>
      </c>
    </row>
    <row r="10" spans="1:66" ht="10.5" customHeight="1" x14ac:dyDescent="0.35">
      <c r="A10" s="841">
        <v>1700</v>
      </c>
      <c r="B10" s="910"/>
      <c r="C10" s="910"/>
      <c r="D10" s="910"/>
      <c r="E10" s="910"/>
      <c r="F10" s="910"/>
      <c r="G10" s="910"/>
      <c r="H10" s="945">
        <f>'1.8.3 RenPTLR'!B10</f>
        <v>1.0174051934651764</v>
      </c>
      <c r="I10" s="945">
        <f>'1.8.3 RenPTLR'!E10</f>
        <v>12.123817712811691</v>
      </c>
      <c r="J10" s="910"/>
      <c r="K10" s="842">
        <f>'1.8.2 RenHLR'!I10+'1.8.3 RenPTLR'!G10</f>
        <v>527.48772035856155</v>
      </c>
      <c r="L10" s="910"/>
      <c r="M10" s="910"/>
      <c r="N10" s="911"/>
      <c r="O10" s="910"/>
      <c r="P10" s="910"/>
      <c r="Q10" s="912"/>
      <c r="R10" s="910"/>
      <c r="S10" s="910"/>
      <c r="T10" s="910"/>
      <c r="U10" s="910"/>
      <c r="V10" s="945"/>
      <c r="W10" s="910"/>
      <c r="X10" s="910"/>
      <c r="Y10" s="910"/>
      <c r="Z10" s="910"/>
      <c r="AA10" s="945">
        <f>'1.8.3 RenPTLR'!C10</f>
        <v>107.86131567920876</v>
      </c>
      <c r="AB10" s="910"/>
      <c r="AC10" s="910"/>
      <c r="AD10" s="950">
        <f t="shared" ref="AD10:AD73" si="0">O10+P10+Q10+R10+T10+U10+V10+Y10+AA10+AC10</f>
        <v>107.86131567920876</v>
      </c>
      <c r="AF10" s="911"/>
      <c r="AG10" s="910"/>
      <c r="AH10" s="910"/>
      <c r="AI10" s="910"/>
      <c r="AJ10" s="912"/>
      <c r="AK10" s="910"/>
      <c r="AL10" s="910"/>
      <c r="AM10" s="945">
        <f>'1.8.2 RenHLR'!H10</f>
        <v>517.54970457282138</v>
      </c>
      <c r="AN10" s="910"/>
      <c r="AO10" s="912"/>
      <c r="AQ10" s="911"/>
      <c r="AR10" s="910"/>
      <c r="AS10" s="910"/>
      <c r="AT10" s="910"/>
      <c r="AU10" s="912"/>
      <c r="AV10" s="910"/>
      <c r="AW10" s="910"/>
      <c r="AX10" s="910"/>
      <c r="AY10" s="910"/>
      <c r="AZ10" s="912"/>
      <c r="BB10" s="913"/>
      <c r="BC10" s="916"/>
      <c r="BD10" s="910"/>
      <c r="BE10" s="914"/>
      <c r="BF10" s="910"/>
      <c r="BG10" s="910"/>
      <c r="BH10" s="914"/>
      <c r="BI10" s="910"/>
      <c r="BJ10" s="910"/>
      <c r="BK10" s="842">
        <f t="shared" ref="BK10:BK73" si="1">AA10</f>
        <v>107.86131567920876</v>
      </c>
      <c r="BL10" s="1085">
        <f t="shared" ref="BL10:BL73" si="2">K10+V10+AM10</f>
        <v>1045.0374249313829</v>
      </c>
      <c r="BM10" s="910"/>
      <c r="BN10" s="921"/>
    </row>
    <row r="11" spans="1:66" ht="10.5" customHeight="1" x14ac:dyDescent="0.35">
      <c r="A11" s="841">
        <v>1701</v>
      </c>
      <c r="B11" s="910"/>
      <c r="C11" s="910"/>
      <c r="D11" s="910"/>
      <c r="E11" s="910"/>
      <c r="F11" s="910"/>
      <c r="G11" s="910"/>
      <c r="H11" s="945">
        <f>'1.8.3 RenPTLR'!B11</f>
        <v>1.0210677709372316</v>
      </c>
      <c r="I11" s="945">
        <f>'1.8.3 RenPTLR'!E11</f>
        <v>12.162510748065348</v>
      </c>
      <c r="J11" s="910"/>
      <c r="K11" s="842">
        <f>'1.8.2 RenHLR'!I11+'1.8.3 RenPTLR'!G11</f>
        <v>525.73358037223522</v>
      </c>
      <c r="L11" s="910"/>
      <c r="M11" s="910"/>
      <c r="N11" s="911"/>
      <c r="O11" s="910"/>
      <c r="P11" s="910"/>
      <c r="Q11" s="912"/>
      <c r="R11" s="910"/>
      <c r="S11" s="910"/>
      <c r="T11" s="910"/>
      <c r="U11" s="910"/>
      <c r="V11" s="945"/>
      <c r="W11" s="910"/>
      <c r="X11" s="910"/>
      <c r="Y11" s="910"/>
      <c r="Z11" s="910"/>
      <c r="AA11" s="945">
        <f>'1.8.3 RenPTLR'!C11</f>
        <v>107.61836002960247</v>
      </c>
      <c r="AB11" s="910"/>
      <c r="AC11" s="910"/>
      <c r="AD11" s="950">
        <f t="shared" si="0"/>
        <v>107.61836002960247</v>
      </c>
      <c r="AF11" s="911"/>
      <c r="AG11" s="910"/>
      <c r="AH11" s="910"/>
      <c r="AI11" s="910"/>
      <c r="AJ11" s="912"/>
      <c r="AK11" s="910"/>
      <c r="AL11" s="910"/>
      <c r="AM11" s="945">
        <f>'1.8.2 RenHLR'!H11</f>
        <v>517.83299425150642</v>
      </c>
      <c r="AN11" s="910"/>
      <c r="AO11" s="912"/>
      <c r="AQ11" s="911"/>
      <c r="AR11" s="910"/>
      <c r="AS11" s="910"/>
      <c r="AT11" s="910"/>
      <c r="AU11" s="912"/>
      <c r="AV11" s="910"/>
      <c r="AW11" s="910"/>
      <c r="AX11" s="910"/>
      <c r="AY11" s="910"/>
      <c r="AZ11" s="912"/>
      <c r="BB11" s="913"/>
      <c r="BC11" s="916"/>
      <c r="BD11" s="910"/>
      <c r="BE11" s="914"/>
      <c r="BF11" s="910"/>
      <c r="BG11" s="910"/>
      <c r="BH11" s="914"/>
      <c r="BI11" s="910"/>
      <c r="BJ11" s="910"/>
      <c r="BK11" s="842">
        <f t="shared" si="1"/>
        <v>107.61836002960247</v>
      </c>
      <c r="BL11" s="1085">
        <f t="shared" si="2"/>
        <v>1043.5665746237416</v>
      </c>
      <c r="BM11" s="910"/>
      <c r="BN11" s="921"/>
    </row>
    <row r="12" spans="1:66" ht="10.5" customHeight="1" x14ac:dyDescent="0.35">
      <c r="A12" s="841">
        <v>1702</v>
      </c>
      <c r="B12" s="910"/>
      <c r="C12" s="910"/>
      <c r="D12" s="910"/>
      <c r="E12" s="910"/>
      <c r="F12" s="910"/>
      <c r="G12" s="910"/>
      <c r="H12" s="945">
        <f>'1.8.3 RenPTLR'!B12</f>
        <v>1.0247303484092869</v>
      </c>
      <c r="I12" s="945">
        <f>'1.8.3 RenPTLR'!E12</f>
        <v>12.201203783319002</v>
      </c>
      <c r="J12" s="910"/>
      <c r="K12" s="842">
        <f>'1.8.2 RenHLR'!I12+'1.8.3 RenPTLR'!G12</f>
        <v>525.05802087279449</v>
      </c>
      <c r="L12" s="910"/>
      <c r="M12" s="910"/>
      <c r="N12" s="911"/>
      <c r="O12" s="910"/>
      <c r="P12" s="910"/>
      <c r="Q12" s="912"/>
      <c r="R12" s="910"/>
      <c r="S12" s="910"/>
      <c r="T12" s="910"/>
      <c r="U12" s="910"/>
      <c r="V12" s="945"/>
      <c r="W12" s="910"/>
      <c r="X12" s="910"/>
      <c r="Y12" s="910"/>
      <c r="Z12" s="910"/>
      <c r="AA12" s="945">
        <f>'1.8.3 RenPTLR'!C12</f>
        <v>107.37500904317889</v>
      </c>
      <c r="AB12" s="910"/>
      <c r="AC12" s="910"/>
      <c r="AD12" s="950">
        <f t="shared" si="0"/>
        <v>107.37500904317889</v>
      </c>
      <c r="AF12" s="911"/>
      <c r="AG12" s="910"/>
      <c r="AH12" s="910"/>
      <c r="AI12" s="910"/>
      <c r="AJ12" s="912"/>
      <c r="AK12" s="910"/>
      <c r="AL12" s="910"/>
      <c r="AM12" s="945">
        <f>'1.8.2 RenHLR'!H12</f>
        <v>518.03461575801884</v>
      </c>
      <c r="AN12" s="910"/>
      <c r="AO12" s="912"/>
      <c r="AQ12" s="911"/>
      <c r="AR12" s="910"/>
      <c r="AS12" s="910"/>
      <c r="AT12" s="910"/>
      <c r="AU12" s="912"/>
      <c r="AV12" s="910"/>
      <c r="AW12" s="910"/>
      <c r="AX12" s="910"/>
      <c r="AY12" s="910"/>
      <c r="AZ12" s="912"/>
      <c r="BB12" s="913"/>
      <c r="BC12" s="916"/>
      <c r="BD12" s="910"/>
      <c r="BE12" s="914"/>
      <c r="BF12" s="910"/>
      <c r="BG12" s="910"/>
      <c r="BH12" s="914"/>
      <c r="BI12" s="910"/>
      <c r="BJ12" s="910"/>
      <c r="BK12" s="842">
        <f t="shared" si="1"/>
        <v>107.37500904317889</v>
      </c>
      <c r="BL12" s="1085">
        <f t="shared" si="2"/>
        <v>1043.0926366308133</v>
      </c>
      <c r="BM12" s="910"/>
      <c r="BN12" s="921"/>
    </row>
    <row r="13" spans="1:66" ht="10.5" customHeight="1" x14ac:dyDescent="0.35">
      <c r="A13" s="841">
        <v>1703</v>
      </c>
      <c r="B13" s="910"/>
      <c r="C13" s="910"/>
      <c r="D13" s="910"/>
      <c r="E13" s="910"/>
      <c r="F13" s="910"/>
      <c r="G13" s="910"/>
      <c r="H13" s="945">
        <f>'1.8.3 RenPTLR'!B13</f>
        <v>1.0283929258813418</v>
      </c>
      <c r="I13" s="945">
        <f>'1.8.3 RenPTLR'!E13</f>
        <v>12.239896818572657</v>
      </c>
      <c r="J13" s="910"/>
      <c r="K13" s="842">
        <f>'1.8.2 RenHLR'!I13+'1.8.3 RenPTLR'!G13</f>
        <v>524.14095839389461</v>
      </c>
      <c r="L13" s="910"/>
      <c r="M13" s="910"/>
      <c r="N13" s="911"/>
      <c r="O13" s="910"/>
      <c r="P13" s="910"/>
      <c r="Q13" s="912"/>
      <c r="R13" s="910"/>
      <c r="S13" s="910"/>
      <c r="T13" s="910"/>
      <c r="U13" s="910"/>
      <c r="V13" s="945"/>
      <c r="W13" s="910"/>
      <c r="X13" s="910"/>
      <c r="Y13" s="910"/>
      <c r="Z13" s="910"/>
      <c r="AA13" s="945">
        <f>'1.8.3 RenPTLR'!C13</f>
        <v>108.04864734141351</v>
      </c>
      <c r="AB13" s="910"/>
      <c r="AC13" s="910"/>
      <c r="AD13" s="950">
        <f t="shared" si="0"/>
        <v>108.04864734141351</v>
      </c>
      <c r="AF13" s="911"/>
      <c r="AG13" s="910"/>
      <c r="AH13" s="910"/>
      <c r="AI13" s="910"/>
      <c r="AJ13" s="912"/>
      <c r="AK13" s="910"/>
      <c r="AL13" s="910"/>
      <c r="AM13" s="945">
        <f>'1.8.2 RenHLR'!H13</f>
        <v>518.15554600045505</v>
      </c>
      <c r="AN13" s="910"/>
      <c r="AO13" s="912"/>
      <c r="AQ13" s="911"/>
      <c r="AR13" s="910"/>
      <c r="AS13" s="910"/>
      <c r="AT13" s="910"/>
      <c r="AU13" s="912"/>
      <c r="AV13" s="910"/>
      <c r="AW13" s="910"/>
      <c r="AX13" s="910"/>
      <c r="AY13" s="910"/>
      <c r="AZ13" s="912"/>
      <c r="BB13" s="913"/>
      <c r="BC13" s="916"/>
      <c r="BD13" s="910"/>
      <c r="BE13" s="914"/>
      <c r="BF13" s="910"/>
      <c r="BG13" s="910"/>
      <c r="BH13" s="914"/>
      <c r="BI13" s="910"/>
      <c r="BJ13" s="910"/>
      <c r="BK13" s="842">
        <f t="shared" si="1"/>
        <v>108.04864734141351</v>
      </c>
      <c r="BL13" s="1085">
        <f t="shared" si="2"/>
        <v>1042.2965043943495</v>
      </c>
      <c r="BM13" s="910"/>
      <c r="BN13" s="921"/>
    </row>
    <row r="14" spans="1:66" ht="10.5" customHeight="1" x14ac:dyDescent="0.35">
      <c r="A14" s="841">
        <v>1704</v>
      </c>
      <c r="B14" s="910"/>
      <c r="C14" s="910"/>
      <c r="D14" s="910"/>
      <c r="E14" s="910"/>
      <c r="F14" s="910"/>
      <c r="G14" s="910"/>
      <c r="H14" s="945">
        <f>'1.8.3 RenPTLR'!B14</f>
        <v>1.0320555033533965</v>
      </c>
      <c r="I14" s="945">
        <f>'1.8.3 RenPTLR'!E14</f>
        <v>12.278589853826311</v>
      </c>
      <c r="J14" s="910"/>
      <c r="K14" s="842">
        <f>'1.8.2 RenHLR'!I14+'1.8.3 RenPTLR'!G14</f>
        <v>523.49820385335806</v>
      </c>
      <c r="L14" s="910"/>
      <c r="M14" s="910"/>
      <c r="N14" s="911"/>
      <c r="O14" s="910"/>
      <c r="P14" s="910"/>
      <c r="Q14" s="912"/>
      <c r="R14" s="910"/>
      <c r="S14" s="910"/>
      <c r="T14" s="910"/>
      <c r="U14" s="910"/>
      <c r="V14" s="945"/>
      <c r="W14" s="910"/>
      <c r="X14" s="910"/>
      <c r="Y14" s="910"/>
      <c r="Z14" s="910"/>
      <c r="AA14" s="945">
        <f>'1.8.3 RenPTLR'!C14</f>
        <v>108.72356927961995</v>
      </c>
      <c r="AB14" s="910"/>
      <c r="AC14" s="910"/>
      <c r="AD14" s="950">
        <f t="shared" si="0"/>
        <v>108.72356927961995</v>
      </c>
      <c r="AF14" s="911"/>
      <c r="AG14" s="910"/>
      <c r="AH14" s="910"/>
      <c r="AI14" s="910"/>
      <c r="AJ14" s="912"/>
      <c r="AK14" s="910"/>
      <c r="AL14" s="910"/>
      <c r="AM14" s="945">
        <f>'1.8.2 RenHLR'!H14</f>
        <v>518.19674636786237</v>
      </c>
      <c r="AN14" s="910"/>
      <c r="AO14" s="912"/>
      <c r="AQ14" s="911"/>
      <c r="AR14" s="910"/>
      <c r="AS14" s="910"/>
      <c r="AT14" s="910"/>
      <c r="AU14" s="912"/>
      <c r="AV14" s="910"/>
      <c r="AW14" s="910"/>
      <c r="AX14" s="910"/>
      <c r="AY14" s="910"/>
      <c r="AZ14" s="912"/>
      <c r="BB14" s="913"/>
      <c r="BC14" s="916"/>
      <c r="BD14" s="910"/>
      <c r="BE14" s="914"/>
      <c r="BF14" s="910"/>
      <c r="BG14" s="910"/>
      <c r="BH14" s="914"/>
      <c r="BI14" s="910"/>
      <c r="BJ14" s="910"/>
      <c r="BK14" s="842">
        <f t="shared" si="1"/>
        <v>108.72356927961995</v>
      </c>
      <c r="BL14" s="1085">
        <f t="shared" si="2"/>
        <v>1041.6949502212206</v>
      </c>
      <c r="BM14" s="910"/>
      <c r="BN14" s="921"/>
    </row>
    <row r="15" spans="1:66" ht="10.5" customHeight="1" x14ac:dyDescent="0.35">
      <c r="A15" s="841">
        <v>1705</v>
      </c>
      <c r="B15" s="910"/>
      <c r="C15" s="910"/>
      <c r="D15" s="910"/>
      <c r="E15" s="910"/>
      <c r="F15" s="910"/>
      <c r="G15" s="910"/>
      <c r="H15" s="945">
        <f>'1.8.3 RenPTLR'!B15</f>
        <v>1.0357180808254518</v>
      </c>
      <c r="I15" s="945">
        <f>'1.8.3 RenPTLR'!E15</f>
        <v>12.317282889079962</v>
      </c>
      <c r="J15" s="910"/>
      <c r="K15" s="842">
        <f>'1.8.2 RenHLR'!I15+'1.8.3 RenPTLR'!G15</f>
        <v>521.83940922463933</v>
      </c>
      <c r="L15" s="910"/>
      <c r="M15" s="910"/>
      <c r="N15" s="911"/>
      <c r="O15" s="910"/>
      <c r="P15" s="910"/>
      <c r="Q15" s="912"/>
      <c r="R15" s="910"/>
      <c r="S15" s="910"/>
      <c r="T15" s="910"/>
      <c r="U15" s="910"/>
      <c r="V15" s="945"/>
      <c r="W15" s="910"/>
      <c r="X15" s="910"/>
      <c r="Y15" s="910"/>
      <c r="Z15" s="910"/>
      <c r="AA15" s="945">
        <f>'1.8.3 RenPTLR'!C15</f>
        <v>109.39977924394162</v>
      </c>
      <c r="AB15" s="910"/>
      <c r="AC15" s="910"/>
      <c r="AD15" s="950">
        <f t="shared" si="0"/>
        <v>109.39977924394162</v>
      </c>
      <c r="AF15" s="911"/>
      <c r="AG15" s="910"/>
      <c r="AH15" s="910"/>
      <c r="AI15" s="910"/>
      <c r="AJ15" s="912"/>
      <c r="AK15" s="910"/>
      <c r="AL15" s="910"/>
      <c r="AM15" s="945">
        <f>'1.8.2 RenHLR'!H15</f>
        <v>518.1591630371878</v>
      </c>
      <c r="AN15" s="910"/>
      <c r="AO15" s="912"/>
      <c r="AQ15" s="911"/>
      <c r="AR15" s="910"/>
      <c r="AS15" s="910"/>
      <c r="AT15" s="910"/>
      <c r="AU15" s="912"/>
      <c r="AV15" s="910"/>
      <c r="AW15" s="910"/>
      <c r="AX15" s="910"/>
      <c r="AY15" s="910"/>
      <c r="AZ15" s="912"/>
      <c r="BB15" s="913"/>
      <c r="BC15" s="916"/>
      <c r="BD15" s="910"/>
      <c r="BE15" s="914"/>
      <c r="BF15" s="910"/>
      <c r="BG15" s="910"/>
      <c r="BH15" s="914"/>
      <c r="BI15" s="910"/>
      <c r="BJ15" s="910"/>
      <c r="BK15" s="842">
        <f t="shared" si="1"/>
        <v>109.39977924394162</v>
      </c>
      <c r="BL15" s="1085">
        <f t="shared" si="2"/>
        <v>1039.9985722618271</v>
      </c>
      <c r="BM15" s="910"/>
      <c r="BN15" s="921"/>
    </row>
    <row r="16" spans="1:66" ht="10.5" customHeight="1" x14ac:dyDescent="0.35">
      <c r="A16" s="841">
        <v>1706</v>
      </c>
      <c r="B16" s="910"/>
      <c r="C16" s="910"/>
      <c r="D16" s="910"/>
      <c r="E16" s="910"/>
      <c r="F16" s="910"/>
      <c r="G16" s="910"/>
      <c r="H16" s="945">
        <f>'1.8.3 RenPTLR'!B16</f>
        <v>1.0393806582975071</v>
      </c>
      <c r="I16" s="945">
        <f>'1.8.3 RenPTLR'!E16</f>
        <v>12.355975924333618</v>
      </c>
      <c r="J16" s="910"/>
      <c r="K16" s="842">
        <f>'1.8.2 RenHLR'!I16+'1.8.3 RenPTLR'!G16</f>
        <v>520.90806884655012</v>
      </c>
      <c r="L16" s="910"/>
      <c r="M16" s="910"/>
      <c r="N16" s="911"/>
      <c r="O16" s="910"/>
      <c r="P16" s="910"/>
      <c r="Q16" s="912"/>
      <c r="R16" s="910"/>
      <c r="S16" s="910"/>
      <c r="T16" s="910"/>
      <c r="U16" s="910"/>
      <c r="V16" s="945"/>
      <c r="W16" s="910"/>
      <c r="X16" s="910"/>
      <c r="Y16" s="910"/>
      <c r="Z16" s="910"/>
      <c r="AA16" s="945">
        <f>'1.8.3 RenPTLR'!C16</f>
        <v>110.0772816375389</v>
      </c>
      <c r="AB16" s="910"/>
      <c r="AC16" s="910"/>
      <c r="AD16" s="950">
        <f t="shared" si="0"/>
        <v>110.0772816375389</v>
      </c>
      <c r="AF16" s="911"/>
      <c r="AG16" s="910"/>
      <c r="AH16" s="910"/>
      <c r="AI16" s="910"/>
      <c r="AJ16" s="912"/>
      <c r="AK16" s="910"/>
      <c r="AL16" s="910"/>
      <c r="AM16" s="945">
        <f>'1.8.2 RenHLR'!H16</f>
        <v>518.04372727296925</v>
      </c>
      <c r="AN16" s="910"/>
      <c r="AO16" s="912"/>
      <c r="AQ16" s="911"/>
      <c r="AR16" s="910"/>
      <c r="AS16" s="910"/>
      <c r="AT16" s="910"/>
      <c r="AU16" s="912"/>
      <c r="AV16" s="910"/>
      <c r="AW16" s="910"/>
      <c r="AX16" s="910"/>
      <c r="AY16" s="910"/>
      <c r="AZ16" s="912"/>
      <c r="BB16" s="913"/>
      <c r="BC16" s="916"/>
      <c r="BD16" s="910"/>
      <c r="BE16" s="914"/>
      <c r="BF16" s="910"/>
      <c r="BG16" s="910"/>
      <c r="BH16" s="914"/>
      <c r="BI16" s="910"/>
      <c r="BJ16" s="910"/>
      <c r="BK16" s="842">
        <f t="shared" si="1"/>
        <v>110.0772816375389</v>
      </c>
      <c r="BL16" s="1085">
        <f t="shared" si="2"/>
        <v>1038.9517961195193</v>
      </c>
      <c r="BM16" s="910"/>
      <c r="BN16" s="921"/>
    </row>
    <row r="17" spans="1:66" ht="10.5" customHeight="1" x14ac:dyDescent="0.35">
      <c r="A17" s="841">
        <v>1707</v>
      </c>
      <c r="B17" s="910"/>
      <c r="C17" s="910"/>
      <c r="D17" s="910"/>
      <c r="E17" s="910"/>
      <c r="F17" s="910"/>
      <c r="G17" s="910"/>
      <c r="H17" s="945">
        <f>'1.8.3 RenPTLR'!B17</f>
        <v>1.043043235769562</v>
      </c>
      <c r="I17" s="945">
        <f>'1.8.3 RenPTLR'!E17</f>
        <v>12.394668959587273</v>
      </c>
      <c r="J17" s="910"/>
      <c r="K17" s="842">
        <f>'1.8.2 RenHLR'!I17+'1.8.3 RenPTLR'!G17</f>
        <v>519.62702571455293</v>
      </c>
      <c r="L17" s="910"/>
      <c r="M17" s="910"/>
      <c r="N17" s="911"/>
      <c r="O17" s="910"/>
      <c r="P17" s="910"/>
      <c r="Q17" s="912"/>
      <c r="R17" s="910"/>
      <c r="S17" s="910"/>
      <c r="T17" s="910"/>
      <c r="U17" s="910"/>
      <c r="V17" s="945"/>
      <c r="W17" s="910"/>
      <c r="X17" s="910"/>
      <c r="Y17" s="910"/>
      <c r="Z17" s="910"/>
      <c r="AA17" s="945">
        <f>'1.8.3 RenPTLR'!C17</f>
        <v>110.7560808806473</v>
      </c>
      <c r="AB17" s="910"/>
      <c r="AC17" s="910"/>
      <c r="AD17" s="950">
        <f t="shared" si="0"/>
        <v>110.7560808806473</v>
      </c>
      <c r="AF17" s="911"/>
      <c r="AG17" s="910"/>
      <c r="AH17" s="910"/>
      <c r="AI17" s="910"/>
      <c r="AJ17" s="912"/>
      <c r="AK17" s="910"/>
      <c r="AL17" s="910"/>
      <c r="AM17" s="945">
        <f>'1.8.2 RenHLR'!H17</f>
        <v>517.85135571996989</v>
      </c>
      <c r="AN17" s="910"/>
      <c r="AO17" s="912"/>
      <c r="AQ17" s="911"/>
      <c r="AR17" s="910"/>
      <c r="AS17" s="910"/>
      <c r="AT17" s="910"/>
      <c r="AU17" s="912"/>
      <c r="AV17" s="910"/>
      <c r="AW17" s="910"/>
      <c r="AX17" s="910"/>
      <c r="AY17" s="910"/>
      <c r="AZ17" s="912"/>
      <c r="BB17" s="913"/>
      <c r="BC17" s="916"/>
      <c r="BD17" s="910"/>
      <c r="BE17" s="914"/>
      <c r="BF17" s="910"/>
      <c r="BG17" s="910"/>
      <c r="BH17" s="914"/>
      <c r="BI17" s="910"/>
      <c r="BJ17" s="910"/>
      <c r="BK17" s="842">
        <f t="shared" si="1"/>
        <v>110.7560808806473</v>
      </c>
      <c r="BL17" s="1085">
        <f t="shared" si="2"/>
        <v>1037.4783814345228</v>
      </c>
      <c r="BM17" s="910"/>
      <c r="BN17" s="921"/>
    </row>
    <row r="18" spans="1:66" ht="10.5" customHeight="1" x14ac:dyDescent="0.35">
      <c r="A18" s="841">
        <v>1708</v>
      </c>
      <c r="B18" s="910"/>
      <c r="C18" s="910"/>
      <c r="D18" s="910"/>
      <c r="E18" s="910"/>
      <c r="F18" s="910"/>
      <c r="G18" s="910"/>
      <c r="H18" s="945">
        <f>'1.8.3 RenPTLR'!B18</f>
        <v>1.0467058132416172</v>
      </c>
      <c r="I18" s="945">
        <f>'1.8.3 RenPTLR'!E18</f>
        <v>12.433361994840929</v>
      </c>
      <c r="J18" s="910"/>
      <c r="K18" s="842">
        <f>'1.8.2 RenHLR'!I18+'1.8.3 RenPTLR'!G18</f>
        <v>517.9973687477459</v>
      </c>
      <c r="L18" s="910"/>
      <c r="M18" s="910"/>
      <c r="N18" s="911"/>
      <c r="O18" s="910"/>
      <c r="P18" s="910"/>
      <c r="Q18" s="912"/>
      <c r="R18" s="910"/>
      <c r="S18" s="910"/>
      <c r="T18" s="910"/>
      <c r="U18" s="910"/>
      <c r="V18" s="945"/>
      <c r="W18" s="910"/>
      <c r="X18" s="910"/>
      <c r="Y18" s="910"/>
      <c r="Z18" s="910"/>
      <c r="AA18" s="945">
        <f>'1.8.3 RenPTLR'!C18</f>
        <v>111.43618141063594</v>
      </c>
      <c r="AB18" s="910"/>
      <c r="AC18" s="910"/>
      <c r="AD18" s="950">
        <f t="shared" si="0"/>
        <v>111.43618141063594</v>
      </c>
      <c r="AF18" s="911"/>
      <c r="AG18" s="910"/>
      <c r="AH18" s="910"/>
      <c r="AI18" s="910"/>
      <c r="AJ18" s="912"/>
      <c r="AK18" s="910"/>
      <c r="AL18" s="910"/>
      <c r="AM18" s="945">
        <f>'1.8.2 RenHLR'!H18</f>
        <v>517.58295068894972</v>
      </c>
      <c r="AN18" s="910"/>
      <c r="AO18" s="912"/>
      <c r="AQ18" s="911"/>
      <c r="AR18" s="910"/>
      <c r="AS18" s="910"/>
      <c r="AT18" s="910"/>
      <c r="AU18" s="912"/>
      <c r="AV18" s="910"/>
      <c r="AW18" s="910"/>
      <c r="AX18" s="910"/>
      <c r="AY18" s="910"/>
      <c r="AZ18" s="912"/>
      <c r="BB18" s="913"/>
      <c r="BC18" s="916"/>
      <c r="BD18" s="910"/>
      <c r="BE18" s="914"/>
      <c r="BF18" s="910"/>
      <c r="BG18" s="910"/>
      <c r="BH18" s="914"/>
      <c r="BI18" s="910"/>
      <c r="BJ18" s="910"/>
      <c r="BK18" s="842">
        <f t="shared" si="1"/>
        <v>111.43618141063594</v>
      </c>
      <c r="BL18" s="1085">
        <f t="shared" si="2"/>
        <v>1035.5803194366956</v>
      </c>
      <c r="BM18" s="910"/>
      <c r="BN18" s="921"/>
    </row>
    <row r="19" spans="1:66" ht="10.5" customHeight="1" x14ac:dyDescent="0.35">
      <c r="A19" s="841">
        <v>1709</v>
      </c>
      <c r="B19" s="910"/>
      <c r="C19" s="910"/>
      <c r="D19" s="910"/>
      <c r="E19" s="910"/>
      <c r="F19" s="910"/>
      <c r="G19" s="910"/>
      <c r="H19" s="945">
        <f>'1.8.3 RenPTLR'!B19</f>
        <v>1.0503683907136721</v>
      </c>
      <c r="I19" s="945">
        <f>'1.8.3 RenPTLR'!E19</f>
        <v>12.472055030094582</v>
      </c>
      <c r="J19" s="910"/>
      <c r="K19" s="842">
        <f>'1.8.2 RenHLR'!I19+'1.8.3 RenPTLR'!G19</f>
        <v>516.64511840675345</v>
      </c>
      <c r="L19" s="910"/>
      <c r="M19" s="910"/>
      <c r="N19" s="911"/>
      <c r="O19" s="910"/>
      <c r="P19" s="910"/>
      <c r="Q19" s="912"/>
      <c r="R19" s="910"/>
      <c r="S19" s="910"/>
      <c r="T19" s="910"/>
      <c r="U19" s="910"/>
      <c r="V19" s="945"/>
      <c r="W19" s="910"/>
      <c r="X19" s="910"/>
      <c r="Y19" s="910"/>
      <c r="Z19" s="910"/>
      <c r="AA19" s="945">
        <f>'1.8.3 RenPTLR'!C19</f>
        <v>112.11758768206587</v>
      </c>
      <c r="AB19" s="910"/>
      <c r="AC19" s="910"/>
      <c r="AD19" s="950">
        <f t="shared" si="0"/>
        <v>112.11758768206587</v>
      </c>
      <c r="AF19" s="911"/>
      <c r="AG19" s="910"/>
      <c r="AH19" s="910"/>
      <c r="AI19" s="910"/>
      <c r="AJ19" s="912"/>
      <c r="AK19" s="910"/>
      <c r="AL19" s="910"/>
      <c r="AM19" s="945">
        <f>'1.8.2 RenHLR'!H19</f>
        <v>517.2394004357576</v>
      </c>
      <c r="AN19" s="910"/>
      <c r="AO19" s="912"/>
      <c r="AQ19" s="911"/>
      <c r="AR19" s="910"/>
      <c r="AS19" s="910"/>
      <c r="AT19" s="910"/>
      <c r="AU19" s="912"/>
      <c r="AV19" s="910"/>
      <c r="AW19" s="910"/>
      <c r="AX19" s="910"/>
      <c r="AY19" s="910"/>
      <c r="AZ19" s="912"/>
      <c r="BB19" s="913"/>
      <c r="BC19" s="916"/>
      <c r="BD19" s="910"/>
      <c r="BE19" s="914"/>
      <c r="BF19" s="910"/>
      <c r="BG19" s="910"/>
      <c r="BH19" s="914"/>
      <c r="BI19" s="910"/>
      <c r="BJ19" s="910"/>
      <c r="BK19" s="842">
        <f t="shared" si="1"/>
        <v>112.11758768206587</v>
      </c>
      <c r="BL19" s="1085">
        <f t="shared" si="2"/>
        <v>1033.8845188425112</v>
      </c>
      <c r="BM19" s="910"/>
      <c r="BN19" s="921"/>
    </row>
    <row r="20" spans="1:66" ht="10.5" customHeight="1" x14ac:dyDescent="0.35">
      <c r="A20" s="841">
        <v>1710</v>
      </c>
      <c r="B20" s="910"/>
      <c r="C20" s="910"/>
      <c r="D20" s="910"/>
      <c r="E20" s="910"/>
      <c r="F20" s="910"/>
      <c r="G20" s="910"/>
      <c r="H20" s="945">
        <f>'1.8.3 RenPTLR'!B20</f>
        <v>1.0540309681857274</v>
      </c>
      <c r="I20" s="945">
        <f>'1.8.3 RenPTLR'!E20</f>
        <v>12.510748065348237</v>
      </c>
      <c r="J20" s="910"/>
      <c r="K20" s="842">
        <f>'1.8.2 RenHLR'!I20+'1.8.3 RenPTLR'!G20</f>
        <v>516.05454889384703</v>
      </c>
      <c r="L20" s="910"/>
      <c r="M20" s="910"/>
      <c r="N20" s="911"/>
      <c r="O20" s="910"/>
      <c r="P20" s="910"/>
      <c r="Q20" s="912"/>
      <c r="R20" s="910"/>
      <c r="S20" s="910"/>
      <c r="T20" s="910"/>
      <c r="U20" s="910"/>
      <c r="V20" s="945"/>
      <c r="W20" s="910"/>
      <c r="X20" s="910"/>
      <c r="Y20" s="910"/>
      <c r="Z20" s="910"/>
      <c r="AA20" s="945">
        <f>'1.8.3 RenPTLR'!C20</f>
        <v>112.80030416674897</v>
      </c>
      <c r="AB20" s="910"/>
      <c r="AC20" s="910"/>
      <c r="AD20" s="950">
        <f t="shared" si="0"/>
        <v>112.80030416674897</v>
      </c>
      <c r="AF20" s="911"/>
      <c r="AG20" s="910"/>
      <c r="AH20" s="910"/>
      <c r="AI20" s="910"/>
      <c r="AJ20" s="912"/>
      <c r="AK20" s="910"/>
      <c r="AL20" s="910"/>
      <c r="AM20" s="945">
        <f>'1.8.2 RenHLR'!H20</f>
        <v>516.82157943392883</v>
      </c>
      <c r="AN20" s="910"/>
      <c r="AO20" s="912"/>
      <c r="AQ20" s="911"/>
      <c r="AR20" s="910"/>
      <c r="AS20" s="910"/>
      <c r="AT20" s="910"/>
      <c r="AU20" s="912"/>
      <c r="AV20" s="910"/>
      <c r="AW20" s="910"/>
      <c r="AX20" s="910"/>
      <c r="AY20" s="910"/>
      <c r="AZ20" s="912"/>
      <c r="BB20" s="913"/>
      <c r="BC20" s="916"/>
      <c r="BD20" s="910"/>
      <c r="BE20" s="914"/>
      <c r="BF20" s="910"/>
      <c r="BG20" s="910"/>
      <c r="BH20" s="914"/>
      <c r="BI20" s="910"/>
      <c r="BJ20" s="910"/>
      <c r="BK20" s="842">
        <f t="shared" si="1"/>
        <v>112.80030416674897</v>
      </c>
      <c r="BL20" s="1085">
        <f t="shared" si="2"/>
        <v>1032.8761283277759</v>
      </c>
      <c r="BM20" s="910"/>
      <c r="BN20" s="921"/>
    </row>
    <row r="21" spans="1:66" ht="10.5" customHeight="1" x14ac:dyDescent="0.35">
      <c r="A21" s="841">
        <v>1711</v>
      </c>
      <c r="B21" s="910"/>
      <c r="C21" s="910"/>
      <c r="D21" s="910"/>
      <c r="E21" s="910"/>
      <c r="F21" s="910"/>
      <c r="G21" s="910"/>
      <c r="H21" s="945">
        <f>'1.8.3 RenPTLR'!B21</f>
        <v>1.0576935456577823</v>
      </c>
      <c r="I21" s="945">
        <f>'1.8.3 RenPTLR'!E21</f>
        <v>12.549441100601891</v>
      </c>
      <c r="J21" s="910"/>
      <c r="K21" s="842">
        <f>'1.8.2 RenHLR'!I21+'1.8.3 RenPTLR'!G21</f>
        <v>515.81487100693732</v>
      </c>
      <c r="L21" s="910"/>
      <c r="M21" s="910"/>
      <c r="N21" s="911"/>
      <c r="O21" s="910"/>
      <c r="P21" s="910"/>
      <c r="Q21" s="912"/>
      <c r="R21" s="910"/>
      <c r="S21" s="910"/>
      <c r="T21" s="910"/>
      <c r="U21" s="910"/>
      <c r="V21" s="945"/>
      <c r="W21" s="910"/>
      <c r="X21" s="910"/>
      <c r="Y21" s="910"/>
      <c r="Z21" s="910"/>
      <c r="AA21" s="945">
        <f>'1.8.3 RenPTLR'!C21</f>
        <v>113.4843353538069</v>
      </c>
      <c r="AB21" s="910"/>
      <c r="AC21" s="910"/>
      <c r="AD21" s="950">
        <f t="shared" si="0"/>
        <v>113.4843353538069</v>
      </c>
      <c r="AF21" s="911"/>
      <c r="AG21" s="910"/>
      <c r="AH21" s="910"/>
      <c r="AI21" s="910"/>
      <c r="AJ21" s="912"/>
      <c r="AK21" s="910"/>
      <c r="AL21" s="910"/>
      <c r="AM21" s="945">
        <f>'1.8.2 RenHLR'!H21</f>
        <v>516.33034864096385</v>
      </c>
      <c r="AN21" s="910"/>
      <c r="AO21" s="912"/>
      <c r="AQ21" s="911"/>
      <c r="AR21" s="910"/>
      <c r="AS21" s="910"/>
      <c r="AT21" s="910"/>
      <c r="AU21" s="912"/>
      <c r="AV21" s="910"/>
      <c r="AW21" s="910"/>
      <c r="AX21" s="910"/>
      <c r="AY21" s="910"/>
      <c r="AZ21" s="912"/>
      <c r="BB21" s="913"/>
      <c r="BC21" s="916"/>
      <c r="BD21" s="910"/>
      <c r="BE21" s="914"/>
      <c r="BF21" s="910"/>
      <c r="BG21" s="910"/>
      <c r="BH21" s="914"/>
      <c r="BI21" s="910"/>
      <c r="BJ21" s="910"/>
      <c r="BK21" s="842">
        <f t="shared" si="1"/>
        <v>113.4843353538069</v>
      </c>
      <c r="BL21" s="1085">
        <f t="shared" si="2"/>
        <v>1032.1452196479013</v>
      </c>
      <c r="BM21" s="910"/>
      <c r="BN21" s="921"/>
    </row>
    <row r="22" spans="1:66" ht="10.5" customHeight="1" x14ac:dyDescent="0.35">
      <c r="A22" s="841">
        <v>1712</v>
      </c>
      <c r="B22" s="910"/>
      <c r="C22" s="910"/>
      <c r="D22" s="910"/>
      <c r="E22" s="910"/>
      <c r="F22" s="910"/>
      <c r="G22" s="910"/>
      <c r="H22" s="945">
        <f>'1.8.3 RenPTLR'!B22</f>
        <v>1.0613561231298376</v>
      </c>
      <c r="I22" s="945">
        <f>'1.8.3 RenPTLR'!E22</f>
        <v>12.588134135855544</v>
      </c>
      <c r="J22" s="910"/>
      <c r="K22" s="842">
        <f>'1.8.2 RenHLR'!I22+'1.8.3 RenPTLR'!G22</f>
        <v>515.23032058251192</v>
      </c>
      <c r="L22" s="910"/>
      <c r="M22" s="910"/>
      <c r="N22" s="911"/>
      <c r="O22" s="910"/>
      <c r="P22" s="910"/>
      <c r="Q22" s="912"/>
      <c r="R22" s="910"/>
      <c r="S22" s="910"/>
      <c r="T22" s="910"/>
      <c r="U22" s="910"/>
      <c r="V22" s="945"/>
      <c r="W22" s="910"/>
      <c r="X22" s="910"/>
      <c r="Y22" s="910"/>
      <c r="Z22" s="910"/>
      <c r="AA22" s="945">
        <f>'1.8.3 RenPTLR'!C22</f>
        <v>114.16968574972991</v>
      </c>
      <c r="AB22" s="910"/>
      <c r="AC22" s="910"/>
      <c r="AD22" s="950">
        <f t="shared" si="0"/>
        <v>114.16968574972991</v>
      </c>
      <c r="AF22" s="911"/>
      <c r="AG22" s="910"/>
      <c r="AH22" s="910"/>
      <c r="AI22" s="910"/>
      <c r="AJ22" s="912"/>
      <c r="AK22" s="910"/>
      <c r="AL22" s="910"/>
      <c r="AM22" s="945">
        <f>'1.8.2 RenHLR'!H22</f>
        <v>515.76655575845598</v>
      </c>
      <c r="AN22" s="910"/>
      <c r="AO22" s="912"/>
      <c r="AQ22" s="911"/>
      <c r="AR22" s="910"/>
      <c r="AS22" s="910"/>
      <c r="AT22" s="910"/>
      <c r="AU22" s="912"/>
      <c r="AV22" s="910"/>
      <c r="AW22" s="910"/>
      <c r="AX22" s="910"/>
      <c r="AY22" s="910"/>
      <c r="AZ22" s="912"/>
      <c r="BB22" s="913"/>
      <c r="BC22" s="916"/>
      <c r="BD22" s="910"/>
      <c r="BE22" s="914"/>
      <c r="BF22" s="910"/>
      <c r="BG22" s="910"/>
      <c r="BH22" s="914"/>
      <c r="BI22" s="910"/>
      <c r="BJ22" s="910"/>
      <c r="BK22" s="842">
        <f t="shared" si="1"/>
        <v>114.16968574972991</v>
      </c>
      <c r="BL22" s="1085">
        <f t="shared" si="2"/>
        <v>1030.9968763409679</v>
      </c>
      <c r="BM22" s="910"/>
      <c r="BN22" s="921"/>
    </row>
    <row r="23" spans="1:66" ht="10.5" customHeight="1" x14ac:dyDescent="0.35">
      <c r="A23" s="841">
        <v>1713</v>
      </c>
      <c r="B23" s="910"/>
      <c r="C23" s="910"/>
      <c r="D23" s="910"/>
      <c r="E23" s="910"/>
      <c r="F23" s="910"/>
      <c r="G23" s="910"/>
      <c r="H23" s="945">
        <f>'1.8.3 RenPTLR'!B23</f>
        <v>1.0650187006018925</v>
      </c>
      <c r="I23" s="945">
        <f>'1.8.3 RenPTLR'!E23</f>
        <v>12.626827171109198</v>
      </c>
      <c r="J23" s="910"/>
      <c r="K23" s="842">
        <f>'1.8.2 RenHLR'!I23+'1.8.3 RenPTLR'!G23</f>
        <v>514.43294262094184</v>
      </c>
      <c r="L23" s="910"/>
      <c r="M23" s="910"/>
      <c r="N23" s="911"/>
      <c r="O23" s="910"/>
      <c r="P23" s="910"/>
      <c r="Q23" s="912"/>
      <c r="R23" s="910"/>
      <c r="S23" s="910"/>
      <c r="T23" s="910"/>
      <c r="U23" s="910"/>
      <c r="V23" s="945"/>
      <c r="W23" s="910"/>
      <c r="X23" s="910"/>
      <c r="Y23" s="910"/>
      <c r="Z23" s="910"/>
      <c r="AA23" s="945">
        <f>'1.8.3 RenPTLR'!C23</f>
        <v>114.85635987843644</v>
      </c>
      <c r="AB23" s="910"/>
      <c r="AC23" s="910"/>
      <c r="AD23" s="950">
        <f t="shared" si="0"/>
        <v>114.85635987843644</v>
      </c>
      <c r="AF23" s="911"/>
      <c r="AG23" s="910"/>
      <c r="AH23" s="910"/>
      <c r="AI23" s="910"/>
      <c r="AJ23" s="912"/>
      <c r="AK23" s="910"/>
      <c r="AL23" s="910"/>
      <c r="AM23" s="945">
        <f>'1.8.2 RenHLR'!H23</f>
        <v>515.13103548623405</v>
      </c>
      <c r="AN23" s="910"/>
      <c r="AO23" s="912"/>
      <c r="AQ23" s="911"/>
      <c r="AR23" s="910"/>
      <c r="AS23" s="910"/>
      <c r="AT23" s="910"/>
      <c r="AU23" s="912"/>
      <c r="AV23" s="910"/>
      <c r="AW23" s="910"/>
      <c r="AX23" s="910"/>
      <c r="AY23" s="910"/>
      <c r="AZ23" s="912"/>
      <c r="BB23" s="913"/>
      <c r="BC23" s="916"/>
      <c r="BD23" s="910"/>
      <c r="BE23" s="914"/>
      <c r="BF23" s="910"/>
      <c r="BG23" s="910"/>
      <c r="BH23" s="914"/>
      <c r="BI23" s="910"/>
      <c r="BJ23" s="910"/>
      <c r="BK23" s="842">
        <f t="shared" si="1"/>
        <v>114.85635987843644</v>
      </c>
      <c r="BL23" s="1085">
        <f t="shared" si="2"/>
        <v>1029.5639781071759</v>
      </c>
      <c r="BM23" s="910"/>
      <c r="BN23" s="921"/>
    </row>
    <row r="24" spans="1:66" ht="10.5" customHeight="1" x14ac:dyDescent="0.35">
      <c r="A24" s="841">
        <v>1714</v>
      </c>
      <c r="B24" s="910"/>
      <c r="C24" s="910"/>
      <c r="D24" s="910"/>
      <c r="E24" s="910"/>
      <c r="F24" s="910"/>
      <c r="G24" s="910"/>
      <c r="H24" s="945">
        <f>'1.8.3 RenPTLR'!B24</f>
        <v>1.0686812780739476</v>
      </c>
      <c r="I24" s="945">
        <f>'1.8.3 RenPTLR'!E24</f>
        <v>12.665520206362855</v>
      </c>
      <c r="J24" s="910"/>
      <c r="K24" s="842">
        <f>'1.8.2 RenHLR'!I24+'1.8.3 RenPTLR'!G24</f>
        <v>514.2310883966577</v>
      </c>
      <c r="L24" s="910"/>
      <c r="M24" s="910"/>
      <c r="N24" s="911"/>
      <c r="O24" s="910"/>
      <c r="P24" s="910"/>
      <c r="Q24" s="912"/>
      <c r="R24" s="910"/>
      <c r="S24" s="910"/>
      <c r="T24" s="910"/>
      <c r="U24" s="910"/>
      <c r="V24" s="945"/>
      <c r="W24" s="910"/>
      <c r="X24" s="910"/>
      <c r="Y24" s="910"/>
      <c r="Z24" s="910"/>
      <c r="AA24" s="945">
        <f>'1.8.3 RenPTLR'!C24</f>
        <v>115.54436228133225</v>
      </c>
      <c r="AB24" s="910"/>
      <c r="AC24" s="910"/>
      <c r="AD24" s="950">
        <f t="shared" si="0"/>
        <v>115.54436228133225</v>
      </c>
      <c r="AF24" s="911"/>
      <c r="AG24" s="910"/>
      <c r="AH24" s="910"/>
      <c r="AI24" s="910"/>
      <c r="AJ24" s="912"/>
      <c r="AK24" s="910"/>
      <c r="AL24" s="910"/>
      <c r="AM24" s="945">
        <f>'1.8.2 RenHLR'!H24</f>
        <v>514.42460977068117</v>
      </c>
      <c r="AN24" s="910"/>
      <c r="AO24" s="912"/>
      <c r="AQ24" s="911"/>
      <c r="AR24" s="910"/>
      <c r="AS24" s="910"/>
      <c r="AT24" s="910"/>
      <c r="AU24" s="912"/>
      <c r="AV24" s="910"/>
      <c r="AW24" s="910"/>
      <c r="AX24" s="910"/>
      <c r="AY24" s="910"/>
      <c r="AZ24" s="912"/>
      <c r="BB24" s="913"/>
      <c r="BC24" s="916"/>
      <c r="BD24" s="910"/>
      <c r="BE24" s="914"/>
      <c r="BF24" s="910"/>
      <c r="BG24" s="910"/>
      <c r="BH24" s="914"/>
      <c r="BI24" s="910"/>
      <c r="BJ24" s="910"/>
      <c r="BK24" s="842">
        <f t="shared" si="1"/>
        <v>115.54436228133225</v>
      </c>
      <c r="BL24" s="1085">
        <f t="shared" si="2"/>
        <v>1028.6556981673389</v>
      </c>
      <c r="BM24" s="910"/>
      <c r="BN24" s="921"/>
    </row>
    <row r="25" spans="1:66" ht="10.5" customHeight="1" x14ac:dyDescent="0.35">
      <c r="A25" s="841">
        <v>1715</v>
      </c>
      <c r="B25" s="910"/>
      <c r="C25" s="910"/>
      <c r="D25" s="910"/>
      <c r="E25" s="910"/>
      <c r="F25" s="910"/>
      <c r="G25" s="910"/>
      <c r="H25" s="945">
        <f>'1.8.3 RenPTLR'!B25</f>
        <v>1.072343855546003</v>
      </c>
      <c r="I25" s="945">
        <f>'1.8.3 RenPTLR'!E25</f>
        <v>12.704213241616507</v>
      </c>
      <c r="J25" s="910"/>
      <c r="K25" s="842">
        <f>'1.8.2 RenHLR'!I25+'1.8.3 RenPTLR'!G25</f>
        <v>517.37794164925845</v>
      </c>
      <c r="L25" s="910"/>
      <c r="M25" s="910"/>
      <c r="N25" s="911"/>
      <c r="O25" s="910"/>
      <c r="P25" s="910"/>
      <c r="Q25" s="912"/>
      <c r="R25" s="910"/>
      <c r="S25" s="910"/>
      <c r="T25" s="910"/>
      <c r="U25" s="910"/>
      <c r="V25" s="945">
        <f>'1.8.3 RenPTLR'!H25</f>
        <v>3.8597964788698511</v>
      </c>
      <c r="W25" s="910"/>
      <c r="X25" s="910"/>
      <c r="Y25" s="910"/>
      <c r="Z25" s="910"/>
      <c r="AA25" s="945">
        <f>'1.8.3 RenPTLR'!C25</f>
        <v>116.23369751737027</v>
      </c>
      <c r="AB25" s="910"/>
      <c r="AC25" s="910"/>
      <c r="AD25" s="950">
        <f t="shared" si="0"/>
        <v>120.09349399624013</v>
      </c>
      <c r="AF25" s="911"/>
      <c r="AG25" s="910"/>
      <c r="AH25" s="910"/>
      <c r="AI25" s="910"/>
      <c r="AJ25" s="912"/>
      <c r="AK25" s="910"/>
      <c r="AL25" s="910"/>
      <c r="AM25" s="945">
        <f>'1.8.2 RenHLR'!H25</f>
        <v>513.64808804738539</v>
      </c>
      <c r="AN25" s="910"/>
      <c r="AO25" s="912"/>
      <c r="AQ25" s="911"/>
      <c r="AR25" s="910"/>
      <c r="AS25" s="910"/>
      <c r="AT25" s="910"/>
      <c r="AU25" s="912"/>
      <c r="AV25" s="910"/>
      <c r="AW25" s="910"/>
      <c r="AX25" s="910"/>
      <c r="AY25" s="910"/>
      <c r="AZ25" s="912"/>
      <c r="BB25" s="913"/>
      <c r="BC25" s="916"/>
      <c r="BD25" s="910"/>
      <c r="BE25" s="914"/>
      <c r="BF25" s="910"/>
      <c r="BG25" s="910"/>
      <c r="BH25" s="914"/>
      <c r="BI25" s="910"/>
      <c r="BJ25" s="910"/>
      <c r="BK25" s="842">
        <f t="shared" si="1"/>
        <v>116.23369751737027</v>
      </c>
      <c r="BL25" s="1085">
        <f t="shared" si="2"/>
        <v>1034.8858261755136</v>
      </c>
      <c r="BM25" s="910"/>
      <c r="BN25" s="921"/>
    </row>
    <row r="26" spans="1:66" ht="10.5" customHeight="1" x14ac:dyDescent="0.35">
      <c r="A26" s="841">
        <v>1716</v>
      </c>
      <c r="B26" s="910"/>
      <c r="C26" s="910"/>
      <c r="D26" s="910"/>
      <c r="E26" s="910"/>
      <c r="F26" s="910"/>
      <c r="G26" s="910"/>
      <c r="H26" s="945">
        <f>'1.8.3 RenPTLR'!B26</f>
        <v>1.0760064330180579</v>
      </c>
      <c r="I26" s="945">
        <f>'1.8.3 RenPTLR'!E26</f>
        <v>12.742906276870162</v>
      </c>
      <c r="J26" s="910"/>
      <c r="K26" s="842">
        <f>'1.8.2 RenHLR'!I26+'1.8.3 RenPTLR'!G26</f>
        <v>522.34822974955921</v>
      </c>
      <c r="L26" s="910"/>
      <c r="M26" s="910"/>
      <c r="N26" s="911"/>
      <c r="O26" s="910"/>
      <c r="P26" s="910"/>
      <c r="Q26" s="912"/>
      <c r="R26" s="910"/>
      <c r="S26" s="910"/>
      <c r="T26" s="910"/>
      <c r="U26" s="910"/>
      <c r="V26" s="945">
        <f>'1.8.3 RenPTLR'!H26</f>
        <v>4.1397738720386963</v>
      </c>
      <c r="W26" s="910"/>
      <c r="X26" s="910"/>
      <c r="Y26" s="910"/>
      <c r="Z26" s="910"/>
      <c r="AA26" s="945">
        <f>'1.8.3 RenPTLR'!C26</f>
        <v>116.92437016311025</v>
      </c>
      <c r="AB26" s="910"/>
      <c r="AC26" s="910"/>
      <c r="AD26" s="950">
        <f t="shared" si="0"/>
        <v>121.06414403514896</v>
      </c>
      <c r="AF26" s="911"/>
      <c r="AG26" s="910"/>
      <c r="AH26" s="910"/>
      <c r="AI26" s="910"/>
      <c r="AJ26" s="912"/>
      <c r="AK26" s="910"/>
      <c r="AL26" s="910"/>
      <c r="AM26" s="945">
        <f>'1.8.2 RenHLR'!H26</f>
        <v>512.80226747826862</v>
      </c>
      <c r="AN26" s="910"/>
      <c r="AO26" s="912"/>
      <c r="AQ26" s="911"/>
      <c r="AR26" s="910"/>
      <c r="AS26" s="910"/>
      <c r="AT26" s="910"/>
      <c r="AU26" s="912"/>
      <c r="AV26" s="910"/>
      <c r="AW26" s="910"/>
      <c r="AX26" s="910"/>
      <c r="AY26" s="910"/>
      <c r="AZ26" s="912"/>
      <c r="BB26" s="913"/>
      <c r="BC26" s="916"/>
      <c r="BD26" s="910"/>
      <c r="BE26" s="914"/>
      <c r="BF26" s="910"/>
      <c r="BG26" s="910"/>
      <c r="BH26" s="914"/>
      <c r="BI26" s="910"/>
      <c r="BJ26" s="910"/>
      <c r="BK26" s="842">
        <f t="shared" si="1"/>
        <v>116.92437016311025</v>
      </c>
      <c r="BL26" s="1085">
        <f t="shared" si="2"/>
        <v>1039.2902710998665</v>
      </c>
      <c r="BM26" s="910"/>
      <c r="BN26" s="921"/>
    </row>
    <row r="27" spans="1:66" ht="10.5" customHeight="1" x14ac:dyDescent="0.35">
      <c r="A27" s="841">
        <v>1717</v>
      </c>
      <c r="B27" s="910"/>
      <c r="C27" s="910"/>
      <c r="D27" s="910"/>
      <c r="E27" s="910"/>
      <c r="F27" s="910"/>
      <c r="G27" s="910"/>
      <c r="H27" s="945">
        <f>'1.8.3 RenPTLR'!B27</f>
        <v>1.0796690104901128</v>
      </c>
      <c r="I27" s="945">
        <f>'1.8.3 RenPTLR'!E27</f>
        <v>12.781599312123818</v>
      </c>
      <c r="J27" s="910"/>
      <c r="K27" s="842">
        <f>'1.8.2 RenHLR'!I27+'1.8.3 RenPTLR'!G27</f>
        <v>527.25153988362388</v>
      </c>
      <c r="L27" s="910"/>
      <c r="M27" s="910"/>
      <c r="N27" s="911"/>
      <c r="O27" s="910"/>
      <c r="P27" s="910"/>
      <c r="Q27" s="912"/>
      <c r="R27" s="910"/>
      <c r="S27" s="910"/>
      <c r="T27" s="910"/>
      <c r="U27" s="910"/>
      <c r="V27" s="945">
        <f>'1.8.3 RenPTLR'!H27</f>
        <v>4.4218317698198879</v>
      </c>
      <c r="W27" s="910"/>
      <c r="X27" s="910"/>
      <c r="Y27" s="910"/>
      <c r="Z27" s="910"/>
      <c r="AA27" s="945">
        <f>'1.8.3 RenPTLR'!C27</f>
        <v>117.6163848127788</v>
      </c>
      <c r="AB27" s="910"/>
      <c r="AC27" s="910"/>
      <c r="AD27" s="950">
        <f t="shared" si="0"/>
        <v>122.03821658259869</v>
      </c>
      <c r="AF27" s="911"/>
      <c r="AG27" s="910"/>
      <c r="AH27" s="910"/>
      <c r="AI27" s="910"/>
      <c r="AJ27" s="912"/>
      <c r="AK27" s="910"/>
      <c r="AL27" s="910"/>
      <c r="AM27" s="945">
        <f>'1.8.2 RenHLR'!H27</f>
        <v>511.8879331833437</v>
      </c>
      <c r="AN27" s="910"/>
      <c r="AO27" s="912"/>
      <c r="AQ27" s="911"/>
      <c r="AR27" s="910"/>
      <c r="AS27" s="910"/>
      <c r="AT27" s="910"/>
      <c r="AU27" s="912"/>
      <c r="AV27" s="910"/>
      <c r="AW27" s="910"/>
      <c r="AX27" s="910"/>
      <c r="AY27" s="910"/>
      <c r="AZ27" s="912"/>
      <c r="BB27" s="913"/>
      <c r="BC27" s="916"/>
      <c r="BD27" s="910"/>
      <c r="BE27" s="914"/>
      <c r="BF27" s="910"/>
      <c r="BG27" s="910"/>
      <c r="BH27" s="914"/>
      <c r="BI27" s="910"/>
      <c r="BJ27" s="910"/>
      <c r="BK27" s="842">
        <f t="shared" si="1"/>
        <v>117.6163848127788</v>
      </c>
      <c r="BL27" s="1085">
        <f t="shared" si="2"/>
        <v>1043.5613048367875</v>
      </c>
      <c r="BM27" s="910"/>
      <c r="BN27" s="921"/>
    </row>
    <row r="28" spans="1:66" ht="10.5" customHeight="1" x14ac:dyDescent="0.35">
      <c r="A28" s="841">
        <v>1718</v>
      </c>
      <c r="B28" s="910"/>
      <c r="C28" s="910"/>
      <c r="D28" s="910"/>
      <c r="E28" s="910"/>
      <c r="F28" s="910"/>
      <c r="G28" s="910"/>
      <c r="H28" s="945">
        <f>'1.8.3 RenPTLR'!B28</f>
        <v>1.0833315879621679</v>
      </c>
      <c r="I28" s="945">
        <f>'1.8.3 RenPTLR'!E28</f>
        <v>12.820292347377469</v>
      </c>
      <c r="J28" s="910"/>
      <c r="K28" s="842">
        <f>'1.8.2 RenHLR'!I28+'1.8.3 RenPTLR'!G28</f>
        <v>533.15083987054538</v>
      </c>
      <c r="L28" s="910"/>
      <c r="M28" s="910"/>
      <c r="N28" s="911"/>
      <c r="O28" s="910"/>
      <c r="P28" s="910"/>
      <c r="Q28" s="912"/>
      <c r="R28" s="910"/>
      <c r="S28" s="910"/>
      <c r="T28" s="910"/>
      <c r="U28" s="910"/>
      <c r="V28" s="945">
        <f>'1.8.3 RenPTLR'!H28</f>
        <v>4.7060058712790909</v>
      </c>
      <c r="W28" s="910"/>
      <c r="X28" s="910"/>
      <c r="Y28" s="910"/>
      <c r="Z28" s="910"/>
      <c r="AA28" s="945">
        <f>'1.8.3 RenPTLR'!C28</f>
        <v>118.30974607832954</v>
      </c>
      <c r="AB28" s="910"/>
      <c r="AC28" s="910"/>
      <c r="AD28" s="950">
        <f t="shared" si="0"/>
        <v>123.01575194960863</v>
      </c>
      <c r="AF28" s="911"/>
      <c r="AG28" s="910"/>
      <c r="AH28" s="910"/>
      <c r="AI28" s="910"/>
      <c r="AJ28" s="912"/>
      <c r="AK28" s="910"/>
      <c r="AL28" s="910"/>
      <c r="AM28" s="945">
        <f>'1.8.2 RenHLR'!H28</f>
        <v>510.90585846724082</v>
      </c>
      <c r="AN28" s="910"/>
      <c r="AO28" s="912"/>
      <c r="AQ28" s="911"/>
      <c r="AR28" s="910"/>
      <c r="AS28" s="910"/>
      <c r="AT28" s="910"/>
      <c r="AU28" s="912"/>
      <c r="AV28" s="910"/>
      <c r="AW28" s="910"/>
      <c r="AX28" s="910"/>
      <c r="AY28" s="910"/>
      <c r="AZ28" s="912"/>
      <c r="BB28" s="913"/>
      <c r="BC28" s="916"/>
      <c r="BD28" s="910"/>
      <c r="BE28" s="914"/>
      <c r="BF28" s="910"/>
      <c r="BG28" s="910"/>
      <c r="BH28" s="914"/>
      <c r="BI28" s="910"/>
      <c r="BJ28" s="910"/>
      <c r="BK28" s="842">
        <f t="shared" si="1"/>
        <v>118.30974607832954</v>
      </c>
      <c r="BL28" s="1085">
        <f t="shared" si="2"/>
        <v>1048.7627042090653</v>
      </c>
      <c r="BM28" s="910"/>
      <c r="BN28" s="921"/>
    </row>
    <row r="29" spans="1:66" ht="10.5" customHeight="1" x14ac:dyDescent="0.35">
      <c r="A29" s="841">
        <v>1719</v>
      </c>
      <c r="B29" s="910"/>
      <c r="C29" s="910"/>
      <c r="D29" s="910"/>
      <c r="E29" s="910"/>
      <c r="F29" s="910"/>
      <c r="G29" s="910"/>
      <c r="H29" s="945">
        <f>'1.8.3 RenPTLR'!B29</f>
        <v>1.086994165434223</v>
      </c>
      <c r="I29" s="945">
        <f>'1.8.3 RenPTLR'!E29</f>
        <v>12.858985382631126</v>
      </c>
      <c r="J29" s="910"/>
      <c r="K29" s="842">
        <f>'1.8.2 RenHLR'!I29+'1.8.3 RenPTLR'!G29</f>
        <v>536.57690800568332</v>
      </c>
      <c r="L29" s="910"/>
      <c r="M29" s="910"/>
      <c r="N29" s="911"/>
      <c r="O29" s="910"/>
      <c r="P29" s="910"/>
      <c r="Q29" s="912"/>
      <c r="R29" s="910"/>
      <c r="S29" s="910"/>
      <c r="T29" s="910"/>
      <c r="U29" s="910"/>
      <c r="V29" s="945">
        <f>'1.8.3 RenPTLR'!H29</f>
        <v>4.9923326526966658</v>
      </c>
      <c r="W29" s="910"/>
      <c r="X29" s="910"/>
      <c r="Y29" s="910"/>
      <c r="Z29" s="910"/>
      <c r="AA29" s="945">
        <f>'1.8.3 RenPTLR'!C29</f>
        <v>119.00445858950357</v>
      </c>
      <c r="AB29" s="910"/>
      <c r="AC29" s="910"/>
      <c r="AD29" s="950">
        <f t="shared" si="0"/>
        <v>123.99679124220023</v>
      </c>
      <c r="AF29" s="911"/>
      <c r="AG29" s="910"/>
      <c r="AH29" s="910"/>
      <c r="AI29" s="910"/>
      <c r="AJ29" s="912"/>
      <c r="AK29" s="910"/>
      <c r="AL29" s="910"/>
      <c r="AM29" s="945">
        <f>'1.8.2 RenHLR'!H29</f>
        <v>509.85680504063799</v>
      </c>
      <c r="AN29" s="910"/>
      <c r="AO29" s="912"/>
      <c r="AQ29" s="911"/>
      <c r="AR29" s="910"/>
      <c r="AS29" s="910"/>
      <c r="AT29" s="910"/>
      <c r="AU29" s="912"/>
      <c r="AV29" s="910"/>
      <c r="AW29" s="910"/>
      <c r="AX29" s="910"/>
      <c r="AY29" s="910"/>
      <c r="AZ29" s="912"/>
      <c r="BB29" s="913"/>
      <c r="BC29" s="916"/>
      <c r="BD29" s="910"/>
      <c r="BE29" s="914"/>
      <c r="BF29" s="910"/>
      <c r="BG29" s="910"/>
      <c r="BH29" s="914"/>
      <c r="BI29" s="910"/>
      <c r="BJ29" s="910"/>
      <c r="BK29" s="842">
        <f t="shared" si="1"/>
        <v>119.00445858950357</v>
      </c>
      <c r="BL29" s="1085">
        <f t="shared" si="2"/>
        <v>1051.426045699018</v>
      </c>
      <c r="BM29" s="910"/>
      <c r="BN29" s="921"/>
    </row>
    <row r="30" spans="1:66" ht="10.5" customHeight="1" x14ac:dyDescent="0.35">
      <c r="A30" s="841">
        <v>1720</v>
      </c>
      <c r="B30" s="910"/>
      <c r="C30" s="910"/>
      <c r="D30" s="910"/>
      <c r="E30" s="910"/>
      <c r="F30" s="910"/>
      <c r="G30" s="910"/>
      <c r="H30" s="945">
        <f>'1.8.3 RenPTLR'!B30</f>
        <v>1.0906567429062781</v>
      </c>
      <c r="I30" s="945">
        <f>'1.8.3 RenPTLR'!E30</f>
        <v>12.89767841788478</v>
      </c>
      <c r="J30" s="910"/>
      <c r="K30" s="842">
        <f>'1.8.2 RenHLR'!I30+'1.8.3 RenPTLR'!G30</f>
        <v>541.05137753716429</v>
      </c>
      <c r="L30" s="910"/>
      <c r="M30" s="910"/>
      <c r="N30" s="911"/>
      <c r="O30" s="910"/>
      <c r="P30" s="910"/>
      <c r="Q30" s="912"/>
      <c r="R30" s="910"/>
      <c r="S30" s="910"/>
      <c r="T30" s="910"/>
      <c r="U30" s="910"/>
      <c r="V30" s="945">
        <f>'1.8.3 RenPTLR'!H30</f>
        <v>5.2808493893508359</v>
      </c>
      <c r="W30" s="910"/>
      <c r="X30" s="910"/>
      <c r="Y30" s="910"/>
      <c r="Z30" s="910"/>
      <c r="AA30" s="945">
        <f>'1.8.3 RenPTLR'!C30</f>
        <v>119.70052699388975</v>
      </c>
      <c r="AB30" s="910"/>
      <c r="AC30" s="910"/>
      <c r="AD30" s="950">
        <f t="shared" si="0"/>
        <v>124.98137638324059</v>
      </c>
      <c r="AF30" s="911"/>
      <c r="AG30" s="910"/>
      <c r="AH30" s="910"/>
      <c r="AI30" s="910"/>
      <c r="AJ30" s="912"/>
      <c r="AK30" s="910"/>
      <c r="AL30" s="910"/>
      <c r="AM30" s="945">
        <f>'1.8.2 RenHLR'!H30</f>
        <v>508.74152323673104</v>
      </c>
      <c r="AN30" s="910"/>
      <c r="AO30" s="912"/>
      <c r="AQ30" s="911"/>
      <c r="AR30" s="910"/>
      <c r="AS30" s="910"/>
      <c r="AT30" s="910"/>
      <c r="AU30" s="912"/>
      <c r="AV30" s="910"/>
      <c r="AW30" s="910"/>
      <c r="AX30" s="910"/>
      <c r="AY30" s="910"/>
      <c r="AZ30" s="912"/>
      <c r="BB30" s="913"/>
      <c r="BC30" s="916"/>
      <c r="BD30" s="910"/>
      <c r="BE30" s="914"/>
      <c r="BF30" s="910"/>
      <c r="BG30" s="910"/>
      <c r="BH30" s="914"/>
      <c r="BI30" s="910"/>
      <c r="BJ30" s="910"/>
      <c r="BK30" s="842">
        <f t="shared" si="1"/>
        <v>119.70052699388975</v>
      </c>
      <c r="BL30" s="1085">
        <f t="shared" si="2"/>
        <v>1055.0737501632461</v>
      </c>
      <c r="BM30" s="910"/>
      <c r="BN30" s="921"/>
    </row>
    <row r="31" spans="1:66" ht="10.5" customHeight="1" x14ac:dyDescent="0.35">
      <c r="A31" s="841">
        <v>1721</v>
      </c>
      <c r="B31" s="910"/>
      <c r="C31" s="910"/>
      <c r="D31" s="910"/>
      <c r="E31" s="910"/>
      <c r="F31" s="910"/>
      <c r="G31" s="910"/>
      <c r="H31" s="945">
        <f>'1.8.3 RenPTLR'!B31</f>
        <v>1.094319320378333</v>
      </c>
      <c r="I31" s="945">
        <f>'1.8.3 RenPTLR'!E31</f>
        <v>12.936371453138435</v>
      </c>
      <c r="J31" s="910"/>
      <c r="K31" s="842">
        <f>'1.8.2 RenHLR'!I31+'1.8.3 RenPTLR'!G31</f>
        <v>542.68571357659084</v>
      </c>
      <c r="L31" s="910"/>
      <c r="M31" s="910"/>
      <c r="N31" s="911"/>
      <c r="O31" s="910"/>
      <c r="P31" s="910"/>
      <c r="Q31" s="912"/>
      <c r="R31" s="910"/>
      <c r="S31" s="910"/>
      <c r="T31" s="910"/>
      <c r="U31" s="910"/>
      <c r="V31" s="945">
        <f>'1.8.3 RenPTLR'!H31</f>
        <v>5.5715941780518161</v>
      </c>
      <c r="W31" s="910"/>
      <c r="X31" s="910"/>
      <c r="Y31" s="910"/>
      <c r="Z31" s="910"/>
      <c r="AA31" s="945">
        <f>'1.8.3 RenPTLR'!C31</f>
        <v>120.39795595698568</v>
      </c>
      <c r="AB31" s="910"/>
      <c r="AC31" s="910"/>
      <c r="AD31" s="950">
        <f t="shared" si="0"/>
        <v>125.96955013503749</v>
      </c>
      <c r="AF31" s="911"/>
      <c r="AG31" s="910"/>
      <c r="AH31" s="910"/>
      <c r="AI31" s="910"/>
      <c r="AJ31" s="912"/>
      <c r="AK31" s="910"/>
      <c r="AL31" s="910"/>
      <c r="AM31" s="945">
        <f>'1.8.2 RenHLR'!H31</f>
        <v>507.56075222287211</v>
      </c>
      <c r="AN31" s="910"/>
      <c r="AO31" s="912"/>
      <c r="AQ31" s="911"/>
      <c r="AR31" s="910"/>
      <c r="AS31" s="910"/>
      <c r="AT31" s="910"/>
      <c r="AU31" s="912"/>
      <c r="AV31" s="910"/>
      <c r="AW31" s="910"/>
      <c r="AX31" s="910"/>
      <c r="AY31" s="910"/>
      <c r="AZ31" s="912"/>
      <c r="BB31" s="913"/>
      <c r="BC31" s="916"/>
      <c r="BD31" s="910"/>
      <c r="BE31" s="914"/>
      <c r="BF31" s="910"/>
      <c r="BG31" s="910"/>
      <c r="BH31" s="914"/>
      <c r="BI31" s="910"/>
      <c r="BJ31" s="910"/>
      <c r="BK31" s="842">
        <f t="shared" si="1"/>
        <v>120.39795595698568</v>
      </c>
      <c r="BL31" s="1085">
        <f t="shared" si="2"/>
        <v>1055.8180599775146</v>
      </c>
      <c r="BM31" s="910"/>
      <c r="BN31" s="921"/>
    </row>
    <row r="32" spans="1:66" ht="10.5" customHeight="1" x14ac:dyDescent="0.35">
      <c r="A32" s="841">
        <v>1722</v>
      </c>
      <c r="B32" s="910"/>
      <c r="C32" s="910"/>
      <c r="D32" s="910"/>
      <c r="E32" s="910"/>
      <c r="F32" s="910"/>
      <c r="G32" s="910"/>
      <c r="H32" s="945">
        <f>'1.8.3 RenPTLR'!B32</f>
        <v>1.0979818978503884</v>
      </c>
      <c r="I32" s="945">
        <f>'1.8.3 RenPTLR'!E32</f>
        <v>12.975064488392089</v>
      </c>
      <c r="J32" s="910"/>
      <c r="K32" s="842">
        <f>'1.8.2 RenHLR'!I32+'1.8.3 RenPTLR'!G32</f>
        <v>544.66682871814248</v>
      </c>
      <c r="L32" s="910"/>
      <c r="M32" s="910"/>
      <c r="N32" s="911"/>
      <c r="O32" s="910"/>
      <c r="P32" s="910"/>
      <c r="Q32" s="912"/>
      <c r="R32" s="910"/>
      <c r="S32" s="910"/>
      <c r="T32" s="910"/>
      <c r="U32" s="910"/>
      <c r="V32" s="945">
        <f>'1.8.3 RenPTLR'!H32</f>
        <v>5.8646059604579843</v>
      </c>
      <c r="W32" s="910"/>
      <c r="X32" s="910"/>
      <c r="Y32" s="910"/>
      <c r="Z32" s="910"/>
      <c r="AA32" s="945">
        <f>'1.8.3 RenPTLR'!C32</f>
        <v>121.09675016225826</v>
      </c>
      <c r="AB32" s="910"/>
      <c r="AC32" s="910"/>
      <c r="AD32" s="950">
        <f t="shared" si="0"/>
        <v>126.96135612271624</v>
      </c>
      <c r="AF32" s="911"/>
      <c r="AG32" s="910"/>
      <c r="AH32" s="910"/>
      <c r="AI32" s="910"/>
      <c r="AJ32" s="912"/>
      <c r="AK32" s="910"/>
      <c r="AL32" s="910"/>
      <c r="AM32" s="945">
        <f>'1.8.2 RenHLR'!H32</f>
        <v>506.31522020749986</v>
      </c>
      <c r="AN32" s="910"/>
      <c r="AO32" s="912"/>
      <c r="AQ32" s="911"/>
      <c r="AR32" s="910"/>
      <c r="AS32" s="910"/>
      <c r="AT32" s="910"/>
      <c r="AU32" s="912"/>
      <c r="AV32" s="910"/>
      <c r="AW32" s="910"/>
      <c r="AX32" s="910"/>
      <c r="AY32" s="910"/>
      <c r="AZ32" s="912"/>
      <c r="BB32" s="913"/>
      <c r="BC32" s="916"/>
      <c r="BD32" s="910"/>
      <c r="BE32" s="914"/>
      <c r="BF32" s="910"/>
      <c r="BG32" s="910"/>
      <c r="BH32" s="914"/>
      <c r="BI32" s="910"/>
      <c r="BJ32" s="910"/>
      <c r="BK32" s="842">
        <f t="shared" si="1"/>
        <v>121.09675016225826</v>
      </c>
      <c r="BL32" s="1085">
        <f t="shared" si="2"/>
        <v>1056.8466548861004</v>
      </c>
      <c r="BM32" s="910"/>
      <c r="BN32" s="921"/>
    </row>
    <row r="33" spans="1:66" ht="10.5" customHeight="1" x14ac:dyDescent="0.35">
      <c r="A33" s="841">
        <v>1723</v>
      </c>
      <c r="B33" s="910"/>
      <c r="C33" s="910"/>
      <c r="D33" s="910"/>
      <c r="E33" s="910"/>
      <c r="F33" s="910"/>
      <c r="G33" s="910"/>
      <c r="H33" s="945">
        <f>'1.8.3 RenPTLR'!B33</f>
        <v>1.1016444753224435</v>
      </c>
      <c r="I33" s="945">
        <f>'1.8.3 RenPTLR'!E33</f>
        <v>13.013757523645742</v>
      </c>
      <c r="J33" s="910"/>
      <c r="K33" s="842">
        <f>'1.8.2 RenHLR'!I33+'1.8.3 RenPTLR'!G33</f>
        <v>548.08394987619158</v>
      </c>
      <c r="L33" s="910"/>
      <c r="M33" s="910"/>
      <c r="N33" s="911"/>
      <c r="O33" s="910"/>
      <c r="P33" s="910"/>
      <c r="Q33" s="912"/>
      <c r="R33" s="910"/>
      <c r="S33" s="910"/>
      <c r="T33" s="910"/>
      <c r="U33" s="910"/>
      <c r="V33" s="945">
        <f>'1.8.3 RenPTLR'!H33</f>
        <v>6.1599245472065673</v>
      </c>
      <c r="W33" s="910"/>
      <c r="X33" s="910"/>
      <c r="Y33" s="910"/>
      <c r="Z33" s="910"/>
      <c r="AA33" s="945">
        <f>'1.8.3 RenPTLR'!C33</f>
        <v>121.79691431120524</v>
      </c>
      <c r="AB33" s="910"/>
      <c r="AC33" s="910"/>
      <c r="AD33" s="950">
        <f t="shared" si="0"/>
        <v>127.95683885841181</v>
      </c>
      <c r="AF33" s="911"/>
      <c r="AG33" s="910"/>
      <c r="AH33" s="910"/>
      <c r="AI33" s="910"/>
      <c r="AJ33" s="912"/>
      <c r="AK33" s="910"/>
      <c r="AL33" s="910"/>
      <c r="AM33" s="945">
        <f>'1.8.2 RenHLR'!H33</f>
        <v>505.00564464248743</v>
      </c>
      <c r="AN33" s="910"/>
      <c r="AO33" s="912"/>
      <c r="AQ33" s="911"/>
      <c r="AR33" s="910"/>
      <c r="AS33" s="910"/>
      <c r="AT33" s="910"/>
      <c r="AU33" s="912"/>
      <c r="AV33" s="910"/>
      <c r="AW33" s="910"/>
      <c r="AX33" s="910"/>
      <c r="AY33" s="910"/>
      <c r="AZ33" s="912"/>
      <c r="BB33" s="913"/>
      <c r="BC33" s="916"/>
      <c r="BD33" s="910"/>
      <c r="BE33" s="914"/>
      <c r="BF33" s="910"/>
      <c r="BG33" s="910"/>
      <c r="BH33" s="914"/>
      <c r="BI33" s="910"/>
      <c r="BJ33" s="910"/>
      <c r="BK33" s="842">
        <f t="shared" si="1"/>
        <v>121.79691431120524</v>
      </c>
      <c r="BL33" s="1085">
        <f t="shared" si="2"/>
        <v>1059.2495190658856</v>
      </c>
      <c r="BM33" s="910"/>
      <c r="BN33" s="921"/>
    </row>
    <row r="34" spans="1:66" ht="10.5" customHeight="1" x14ac:dyDescent="0.35">
      <c r="A34" s="841">
        <v>1724</v>
      </c>
      <c r="B34" s="910"/>
      <c r="C34" s="910"/>
      <c r="D34" s="910"/>
      <c r="E34" s="910"/>
      <c r="F34" s="910"/>
      <c r="G34" s="910"/>
      <c r="H34" s="945">
        <f>'1.8.3 RenPTLR'!B34</f>
        <v>1.1053070527944984</v>
      </c>
      <c r="I34" s="945">
        <f>'1.8.3 RenPTLR'!E34</f>
        <v>13.0524505588994</v>
      </c>
      <c r="J34" s="910"/>
      <c r="K34" s="842">
        <f>'1.8.2 RenHLR'!I34+'1.8.3 RenPTLR'!G34</f>
        <v>551.38155748788984</v>
      </c>
      <c r="L34" s="910"/>
      <c r="M34" s="910"/>
      <c r="N34" s="911"/>
      <c r="O34" s="910"/>
      <c r="P34" s="910"/>
      <c r="Q34" s="912"/>
      <c r="R34" s="910"/>
      <c r="S34" s="910"/>
      <c r="T34" s="910"/>
      <c r="U34" s="910"/>
      <c r="V34" s="945">
        <f>'1.8.3 RenPTLR'!H34</f>
        <v>6.4575906428930399</v>
      </c>
      <c r="W34" s="910"/>
      <c r="X34" s="910"/>
      <c r="Y34" s="910"/>
      <c r="Z34" s="910"/>
      <c r="AA34" s="945">
        <f>'1.8.3 RenPTLR'!C34</f>
        <v>122.49845312341606</v>
      </c>
      <c r="AB34" s="910"/>
      <c r="AC34" s="910"/>
      <c r="AD34" s="950">
        <f t="shared" si="0"/>
        <v>128.95604376630911</v>
      </c>
      <c r="AF34" s="911"/>
      <c r="AG34" s="910"/>
      <c r="AH34" s="910"/>
      <c r="AI34" s="910"/>
      <c r="AJ34" s="912"/>
      <c r="AK34" s="910"/>
      <c r="AL34" s="910"/>
      <c r="AM34" s="945">
        <f>'1.8.2 RenHLR'!H34</f>
        <v>503.63273242102036</v>
      </c>
      <c r="AN34" s="910"/>
      <c r="AO34" s="912"/>
      <c r="AQ34" s="911"/>
      <c r="AR34" s="910"/>
      <c r="AS34" s="910"/>
      <c r="AT34" s="910"/>
      <c r="AU34" s="912"/>
      <c r="AV34" s="910"/>
      <c r="AW34" s="910"/>
      <c r="AX34" s="910"/>
      <c r="AY34" s="910"/>
      <c r="AZ34" s="912"/>
      <c r="BB34" s="913"/>
      <c r="BC34" s="916"/>
      <c r="BD34" s="910"/>
      <c r="BE34" s="914"/>
      <c r="BF34" s="910"/>
      <c r="BG34" s="910"/>
      <c r="BH34" s="914"/>
      <c r="BI34" s="910"/>
      <c r="BJ34" s="910"/>
      <c r="BK34" s="842">
        <f t="shared" si="1"/>
        <v>122.49845312341606</v>
      </c>
      <c r="BL34" s="1085">
        <f t="shared" si="2"/>
        <v>1061.4718805518032</v>
      </c>
      <c r="BM34" s="910"/>
      <c r="BN34" s="921"/>
    </row>
    <row r="35" spans="1:66" ht="10.5" customHeight="1" x14ac:dyDescent="0.35">
      <c r="A35" s="841">
        <v>1725</v>
      </c>
      <c r="B35" s="910"/>
      <c r="C35" s="910"/>
      <c r="D35" s="910"/>
      <c r="E35" s="910"/>
      <c r="F35" s="910"/>
      <c r="G35" s="910"/>
      <c r="H35" s="945">
        <f>'1.8.3 RenPTLR'!B35</f>
        <v>1.1089696302665533</v>
      </c>
      <c r="I35" s="945">
        <f>'1.8.3 RenPTLR'!E35</f>
        <v>13.091143594153051</v>
      </c>
      <c r="J35" s="910"/>
      <c r="K35" s="842">
        <f>'1.8.2 RenHLR'!I35+'1.8.3 RenPTLR'!G35</f>
        <v>555.10559854299652</v>
      </c>
      <c r="L35" s="910"/>
      <c r="M35" s="910"/>
      <c r="N35" s="911"/>
      <c r="O35" s="910"/>
      <c r="P35" s="910"/>
      <c r="Q35" s="912"/>
      <c r="R35" s="910"/>
      <c r="S35" s="910"/>
      <c r="T35" s="910"/>
      <c r="U35" s="910"/>
      <c r="V35" s="945">
        <f>'1.8.3 RenPTLR'!H35</f>
        <v>6.7576458719350629</v>
      </c>
      <c r="W35" s="910"/>
      <c r="X35" s="910"/>
      <c r="Y35" s="910"/>
      <c r="Z35" s="910"/>
      <c r="AA35" s="945">
        <f>'1.8.3 RenPTLR'!C35</f>
        <v>123.20137133663364</v>
      </c>
      <c r="AB35" s="910"/>
      <c r="AC35" s="910"/>
      <c r="AD35" s="950">
        <f t="shared" si="0"/>
        <v>129.9590172085687</v>
      </c>
      <c r="AF35" s="911"/>
      <c r="AG35" s="910"/>
      <c r="AH35" s="910"/>
      <c r="AI35" s="910"/>
      <c r="AJ35" s="912"/>
      <c r="AK35" s="910"/>
      <c r="AL35" s="910"/>
      <c r="AM35" s="945">
        <f>'1.8.2 RenHLR'!H35</f>
        <v>502.1971800711251</v>
      </c>
      <c r="AN35" s="910"/>
      <c r="AO35" s="912"/>
      <c r="AQ35" s="911"/>
      <c r="AR35" s="910"/>
      <c r="AS35" s="910"/>
      <c r="AT35" s="910"/>
      <c r="AU35" s="912"/>
      <c r="AV35" s="910"/>
      <c r="AW35" s="910"/>
      <c r="AX35" s="910"/>
      <c r="AY35" s="910"/>
      <c r="AZ35" s="912"/>
      <c r="BB35" s="913"/>
      <c r="BC35" s="916"/>
      <c r="BD35" s="910"/>
      <c r="BE35" s="914"/>
      <c r="BF35" s="910"/>
      <c r="BG35" s="910"/>
      <c r="BH35" s="914"/>
      <c r="BI35" s="910"/>
      <c r="BJ35" s="910"/>
      <c r="BK35" s="842">
        <f t="shared" si="1"/>
        <v>123.20137133663364</v>
      </c>
      <c r="BL35" s="1085">
        <f t="shared" si="2"/>
        <v>1064.0604244860567</v>
      </c>
      <c r="BM35" s="910"/>
      <c r="BN35" s="921"/>
    </row>
    <row r="36" spans="1:66" ht="10.5" customHeight="1" x14ac:dyDescent="0.35">
      <c r="A36" s="841">
        <v>1726</v>
      </c>
      <c r="B36" s="910"/>
      <c r="C36" s="910"/>
      <c r="D36" s="910"/>
      <c r="E36" s="910"/>
      <c r="F36" s="910"/>
      <c r="G36" s="910"/>
      <c r="H36" s="945">
        <f>'1.8.3 RenPTLR'!B36</f>
        <v>1.1126322077386086</v>
      </c>
      <c r="I36" s="945">
        <f>'1.8.3 RenPTLR'!E36</f>
        <v>13.129836629406705</v>
      </c>
      <c r="J36" s="910"/>
      <c r="K36" s="842">
        <f>'1.8.2 RenHLR'!I36+'1.8.3 RenPTLR'!G36</f>
        <v>558.36492440309848</v>
      </c>
      <c r="L36" s="910"/>
      <c r="M36" s="910"/>
      <c r="N36" s="911"/>
      <c r="O36" s="910"/>
      <c r="P36" s="910"/>
      <c r="Q36" s="912"/>
      <c r="R36" s="910"/>
      <c r="S36" s="910"/>
      <c r="T36" s="910"/>
      <c r="U36" s="910"/>
      <c r="V36" s="945">
        <f>'1.8.3 RenPTLR'!H36</f>
        <v>7.0601328053585055</v>
      </c>
      <c r="W36" s="910"/>
      <c r="X36" s="910"/>
      <c r="Y36" s="910"/>
      <c r="Z36" s="910"/>
      <c r="AA36" s="945">
        <f>'1.8.3 RenPTLR'!C36</f>
        <v>123.90567370681556</v>
      </c>
      <c r="AB36" s="910"/>
      <c r="AC36" s="910"/>
      <c r="AD36" s="950">
        <f t="shared" si="0"/>
        <v>130.96580651217405</v>
      </c>
      <c r="AF36" s="911"/>
      <c r="AG36" s="910"/>
      <c r="AH36" s="910"/>
      <c r="AI36" s="910"/>
      <c r="AJ36" s="912"/>
      <c r="AK36" s="910"/>
      <c r="AL36" s="910"/>
      <c r="AM36" s="945">
        <f>'1.8.2 RenHLR'!H36</f>
        <v>500.69967394495472</v>
      </c>
      <c r="AN36" s="910"/>
      <c r="AO36" s="912"/>
      <c r="AQ36" s="911"/>
      <c r="AR36" s="910"/>
      <c r="AS36" s="910"/>
      <c r="AT36" s="910"/>
      <c r="AU36" s="912"/>
      <c r="AV36" s="910"/>
      <c r="AW36" s="910"/>
      <c r="AX36" s="910"/>
      <c r="AY36" s="910"/>
      <c r="AZ36" s="912"/>
      <c r="BB36" s="913"/>
      <c r="BC36" s="916"/>
      <c r="BD36" s="910"/>
      <c r="BE36" s="914"/>
      <c r="BF36" s="910"/>
      <c r="BG36" s="910"/>
      <c r="BH36" s="914"/>
      <c r="BI36" s="910"/>
      <c r="BJ36" s="910"/>
      <c r="BK36" s="842">
        <f t="shared" si="1"/>
        <v>123.90567370681556</v>
      </c>
      <c r="BL36" s="1085">
        <f t="shared" si="2"/>
        <v>1066.1247311534116</v>
      </c>
      <c r="BM36" s="910"/>
      <c r="BN36" s="921"/>
    </row>
    <row r="37" spans="1:66" ht="10.5" customHeight="1" x14ac:dyDescent="0.35">
      <c r="A37" s="841">
        <v>1727</v>
      </c>
      <c r="B37" s="910"/>
      <c r="C37" s="910"/>
      <c r="D37" s="910"/>
      <c r="E37" s="910"/>
      <c r="F37" s="910"/>
      <c r="G37" s="910"/>
      <c r="H37" s="945">
        <f>'1.8.3 RenPTLR'!B37</f>
        <v>1.1162947852106637</v>
      </c>
      <c r="I37" s="945">
        <f>'1.8.3 RenPTLR'!E37</f>
        <v>13.168529664660362</v>
      </c>
      <c r="J37" s="910"/>
      <c r="K37" s="842">
        <f>'1.8.2 RenHLR'!I37+'1.8.3 RenPTLR'!G37</f>
        <v>562.14442450420813</v>
      </c>
      <c r="L37" s="910"/>
      <c r="M37" s="910"/>
      <c r="N37" s="911"/>
      <c r="O37" s="910"/>
      <c r="P37" s="910"/>
      <c r="Q37" s="912"/>
      <c r="R37" s="910"/>
      <c r="S37" s="910"/>
      <c r="T37" s="910"/>
      <c r="U37" s="910"/>
      <c r="V37" s="945">
        <f>'1.8.3 RenPTLR'!H37</f>
        <v>7.36509498854514</v>
      </c>
      <c r="W37" s="910"/>
      <c r="X37" s="910"/>
      <c r="Y37" s="910"/>
      <c r="Z37" s="910"/>
      <c r="AA37" s="945">
        <f>'1.8.3 RenPTLR'!C37</f>
        <v>124.61136500819647</v>
      </c>
      <c r="AB37" s="910"/>
      <c r="AC37" s="910"/>
      <c r="AD37" s="950">
        <f t="shared" si="0"/>
        <v>131.97645999674162</v>
      </c>
      <c r="AF37" s="911"/>
      <c r="AG37" s="910"/>
      <c r="AH37" s="910"/>
      <c r="AI37" s="910"/>
      <c r="AJ37" s="912"/>
      <c r="AK37" s="910"/>
      <c r="AL37" s="910"/>
      <c r="AM37" s="945">
        <f>'1.8.2 RenHLR'!H37</f>
        <v>499.1408904039418</v>
      </c>
      <c r="AN37" s="910"/>
      <c r="AO37" s="912"/>
      <c r="AQ37" s="911"/>
      <c r="AR37" s="910"/>
      <c r="AS37" s="910"/>
      <c r="AT37" s="910"/>
      <c r="AU37" s="912"/>
      <c r="AV37" s="910"/>
      <c r="AW37" s="910"/>
      <c r="AX37" s="910"/>
      <c r="AY37" s="910"/>
      <c r="AZ37" s="912"/>
      <c r="BB37" s="913"/>
      <c r="BC37" s="916"/>
      <c r="BD37" s="910"/>
      <c r="BE37" s="914"/>
      <c r="BF37" s="910"/>
      <c r="BG37" s="910"/>
      <c r="BH37" s="914"/>
      <c r="BI37" s="910"/>
      <c r="BJ37" s="910"/>
      <c r="BK37" s="842">
        <f t="shared" si="1"/>
        <v>124.61136500819647</v>
      </c>
      <c r="BL37" s="1085">
        <f t="shared" si="2"/>
        <v>1068.650409896695</v>
      </c>
      <c r="BM37" s="910"/>
      <c r="BN37" s="921"/>
    </row>
    <row r="38" spans="1:66" ht="10.5" customHeight="1" x14ac:dyDescent="0.35">
      <c r="A38" s="841">
        <v>1728</v>
      </c>
      <c r="B38" s="910"/>
      <c r="C38" s="910"/>
      <c r="D38" s="910"/>
      <c r="E38" s="910"/>
      <c r="F38" s="910"/>
      <c r="G38" s="910"/>
      <c r="H38" s="945">
        <f>'1.8.3 RenPTLR'!B38</f>
        <v>1.1199573626827184</v>
      </c>
      <c r="I38" s="945">
        <f>'1.8.3 RenPTLR'!E38</f>
        <v>13.207222699914013</v>
      </c>
      <c r="J38" s="910"/>
      <c r="K38" s="842">
        <f>'1.8.2 RenHLR'!I38+'1.8.3 RenPTLR'!G38</f>
        <v>564.51533185926746</v>
      </c>
      <c r="L38" s="910"/>
      <c r="M38" s="910"/>
      <c r="N38" s="911"/>
      <c r="O38" s="910"/>
      <c r="P38" s="910"/>
      <c r="Q38" s="912"/>
      <c r="R38" s="910"/>
      <c r="S38" s="910"/>
      <c r="T38" s="910"/>
      <c r="U38" s="910"/>
      <c r="V38" s="945">
        <f>'1.8.3 RenPTLR'!H38</f>
        <v>7.6725769699833783</v>
      </c>
      <c r="W38" s="910"/>
      <c r="X38" s="910"/>
      <c r="Y38" s="910"/>
      <c r="Z38" s="910"/>
      <c r="AA38" s="945">
        <f>'1.8.3 RenPTLR'!C38</f>
        <v>125.31845003334971</v>
      </c>
      <c r="AB38" s="910"/>
      <c r="AC38" s="910"/>
      <c r="AD38" s="950">
        <f t="shared" si="0"/>
        <v>132.99102700333307</v>
      </c>
      <c r="AF38" s="911"/>
      <c r="AG38" s="910"/>
      <c r="AH38" s="910"/>
      <c r="AI38" s="910"/>
      <c r="AJ38" s="912"/>
      <c r="AK38" s="910"/>
      <c r="AL38" s="910"/>
      <c r="AM38" s="945">
        <f>'1.8.2 RenHLR'!H38</f>
        <v>497.52149599992435</v>
      </c>
      <c r="AN38" s="910"/>
      <c r="AO38" s="912"/>
      <c r="AQ38" s="911"/>
      <c r="AR38" s="910"/>
      <c r="AS38" s="910"/>
      <c r="AT38" s="910"/>
      <c r="AU38" s="912"/>
      <c r="AV38" s="910"/>
      <c r="AW38" s="910"/>
      <c r="AX38" s="910"/>
      <c r="AY38" s="910"/>
      <c r="AZ38" s="912"/>
      <c r="BB38" s="913"/>
      <c r="BC38" s="916"/>
      <c r="BD38" s="910"/>
      <c r="BE38" s="914"/>
      <c r="BF38" s="910"/>
      <c r="BG38" s="910"/>
      <c r="BH38" s="914"/>
      <c r="BI38" s="910"/>
      <c r="BJ38" s="910"/>
      <c r="BK38" s="842">
        <f t="shared" si="1"/>
        <v>125.31845003334971</v>
      </c>
      <c r="BL38" s="1085">
        <f t="shared" si="2"/>
        <v>1069.7094048291751</v>
      </c>
      <c r="BM38" s="910"/>
      <c r="BN38" s="921"/>
    </row>
    <row r="39" spans="1:66" ht="10.5" customHeight="1" x14ac:dyDescent="0.35">
      <c r="A39" s="841">
        <v>1729</v>
      </c>
      <c r="B39" s="910"/>
      <c r="C39" s="910"/>
      <c r="D39" s="910"/>
      <c r="E39" s="910"/>
      <c r="F39" s="910"/>
      <c r="G39" s="910"/>
      <c r="H39" s="945">
        <f>'1.8.3 RenPTLR'!B39</f>
        <v>1.123619940154774</v>
      </c>
      <c r="I39" s="945">
        <f>'1.8.3 RenPTLR'!E39</f>
        <v>13.245915735167671</v>
      </c>
      <c r="J39" s="910"/>
      <c r="K39" s="842">
        <f>'1.8.2 RenHLR'!I39+'1.8.3 RenPTLR'!G39</f>
        <v>566.85108513807347</v>
      </c>
      <c r="L39" s="910"/>
      <c r="M39" s="910"/>
      <c r="N39" s="911"/>
      <c r="O39" s="910"/>
      <c r="P39" s="910"/>
      <c r="Q39" s="912"/>
      <c r="R39" s="910"/>
      <c r="S39" s="910"/>
      <c r="T39" s="910"/>
      <c r="U39" s="910"/>
      <c r="V39" s="945">
        <f>'1.8.3 RenPTLR'!H39</f>
        <v>7.9826243310657485</v>
      </c>
      <c r="W39" s="910"/>
      <c r="X39" s="910"/>
      <c r="Y39" s="910"/>
      <c r="Z39" s="910"/>
      <c r="AA39" s="945">
        <f>'1.8.3 RenPTLR'!C39</f>
        <v>126.02693359324954</v>
      </c>
      <c r="AB39" s="910"/>
      <c r="AC39" s="910"/>
      <c r="AD39" s="950">
        <f t="shared" si="0"/>
        <v>134.00955792431529</v>
      </c>
      <c r="AF39" s="911"/>
      <c r="AG39" s="910"/>
      <c r="AH39" s="910"/>
      <c r="AI39" s="910"/>
      <c r="AJ39" s="912"/>
      <c r="AK39" s="910"/>
      <c r="AL39" s="910"/>
      <c r="AM39" s="945">
        <f>'1.8.2 RenHLR'!H39</f>
        <v>495.84214765234492</v>
      </c>
      <c r="AN39" s="910"/>
      <c r="AO39" s="912"/>
      <c r="AQ39" s="911"/>
      <c r="AR39" s="910"/>
      <c r="AS39" s="910"/>
      <c r="AT39" s="910"/>
      <c r="AU39" s="912"/>
      <c r="AV39" s="910"/>
      <c r="AW39" s="910"/>
      <c r="AX39" s="910"/>
      <c r="AY39" s="910"/>
      <c r="AZ39" s="912"/>
      <c r="BB39" s="913"/>
      <c r="BC39" s="916"/>
      <c r="BD39" s="910"/>
      <c r="BE39" s="914"/>
      <c r="BF39" s="910"/>
      <c r="BG39" s="910"/>
      <c r="BH39" s="914"/>
      <c r="BI39" s="910"/>
      <c r="BJ39" s="910"/>
      <c r="BK39" s="842">
        <f t="shared" si="1"/>
        <v>126.02693359324954</v>
      </c>
      <c r="BL39" s="1085">
        <f t="shared" si="2"/>
        <v>1070.6758571214841</v>
      </c>
      <c r="BM39" s="910"/>
      <c r="BN39" s="921"/>
    </row>
    <row r="40" spans="1:66" ht="10.5" customHeight="1" x14ac:dyDescent="0.35">
      <c r="A40" s="841">
        <v>1730</v>
      </c>
      <c r="B40" s="910"/>
      <c r="C40" s="910"/>
      <c r="D40" s="910"/>
      <c r="E40" s="910"/>
      <c r="F40" s="910"/>
      <c r="G40" s="910"/>
      <c r="H40" s="945">
        <f>'1.8.3 RenPTLR'!B40</f>
        <v>1.1272825176268289</v>
      </c>
      <c r="I40" s="945">
        <f>'1.8.3 RenPTLR'!E40</f>
        <v>13.284608770421324</v>
      </c>
      <c r="J40" s="910"/>
      <c r="K40" s="842">
        <f>'1.8.2 RenHLR'!I40+'1.8.3 RenPTLR'!G40</f>
        <v>569.20456423102439</v>
      </c>
      <c r="L40" s="910"/>
      <c r="M40" s="910"/>
      <c r="N40" s="911"/>
      <c r="O40" s="910"/>
      <c r="P40" s="910"/>
      <c r="Q40" s="912"/>
      <c r="R40" s="910"/>
      <c r="S40" s="910"/>
      <c r="T40" s="910"/>
      <c r="U40" s="910"/>
      <c r="V40" s="945">
        <f>'1.8.3 RenPTLR'!H40</f>
        <v>8.2952837169788278</v>
      </c>
      <c r="W40" s="910"/>
      <c r="X40" s="910"/>
      <c r="Y40" s="910"/>
      <c r="Z40" s="910"/>
      <c r="AA40" s="945">
        <f>'1.8.3 RenPTLR'!C40</f>
        <v>126.73682051733378</v>
      </c>
      <c r="AB40" s="910"/>
      <c r="AC40" s="910"/>
      <c r="AD40" s="950">
        <f t="shared" si="0"/>
        <v>135.03210423431261</v>
      </c>
      <c r="AF40" s="911"/>
      <c r="AG40" s="910"/>
      <c r="AH40" s="910"/>
      <c r="AI40" s="910"/>
      <c r="AJ40" s="912"/>
      <c r="AK40" s="910"/>
      <c r="AL40" s="910"/>
      <c r="AM40" s="945">
        <f>'1.8.2 RenHLR'!H40</f>
        <v>494.10349282162201</v>
      </c>
      <c r="AN40" s="910"/>
      <c r="AO40" s="912"/>
      <c r="AQ40" s="911"/>
      <c r="AR40" s="910"/>
      <c r="AS40" s="910"/>
      <c r="AT40" s="910"/>
      <c r="AU40" s="912"/>
      <c r="AV40" s="910"/>
      <c r="AW40" s="910"/>
      <c r="AX40" s="910"/>
      <c r="AY40" s="910"/>
      <c r="AZ40" s="912"/>
      <c r="BB40" s="913"/>
      <c r="BC40" s="916"/>
      <c r="BD40" s="910"/>
      <c r="BE40" s="914"/>
      <c r="BF40" s="910"/>
      <c r="BG40" s="910"/>
      <c r="BH40" s="914"/>
      <c r="BI40" s="910"/>
      <c r="BJ40" s="910"/>
      <c r="BK40" s="842">
        <f t="shared" si="1"/>
        <v>126.73682051733378</v>
      </c>
      <c r="BL40" s="1085">
        <f t="shared" si="2"/>
        <v>1071.6033407696252</v>
      </c>
      <c r="BM40" s="910"/>
      <c r="BN40" s="921"/>
    </row>
    <row r="41" spans="1:66" ht="10.5" customHeight="1" x14ac:dyDescent="0.35">
      <c r="A41" s="841">
        <v>1731</v>
      </c>
      <c r="B41" s="910"/>
      <c r="C41" s="910"/>
      <c r="D41" s="910"/>
      <c r="E41" s="910"/>
      <c r="F41" s="910"/>
      <c r="G41" s="910"/>
      <c r="H41" s="945">
        <f>'1.8.3 RenPTLR'!B41</f>
        <v>1.130945095098884</v>
      </c>
      <c r="I41" s="945">
        <f>'1.8.3 RenPTLR'!E41</f>
        <v>13.323301805674976</v>
      </c>
      <c r="J41" s="910"/>
      <c r="K41" s="842">
        <f>'1.8.2 RenHLR'!I41+'1.8.3 RenPTLR'!G41</f>
        <v>572.69078869708812</v>
      </c>
      <c r="L41" s="910"/>
      <c r="M41" s="910"/>
      <c r="N41" s="911"/>
      <c r="O41" s="910"/>
      <c r="P41" s="910"/>
      <c r="Q41" s="912"/>
      <c r="R41" s="910"/>
      <c r="S41" s="910"/>
      <c r="T41" s="910"/>
      <c r="U41" s="910"/>
      <c r="V41" s="945">
        <f>'1.8.3 RenPTLR'!H41</f>
        <v>8.6106028687339151</v>
      </c>
      <c r="W41" s="910"/>
      <c r="X41" s="910"/>
      <c r="Y41" s="910"/>
      <c r="Z41" s="910"/>
      <c r="AA41" s="945">
        <f>'1.8.3 RenPTLR'!C41</f>
        <v>127.44811565356601</v>
      </c>
      <c r="AB41" s="910"/>
      <c r="AC41" s="910"/>
      <c r="AD41" s="950">
        <f t="shared" si="0"/>
        <v>136.05871852229993</v>
      </c>
      <c r="AF41" s="911"/>
      <c r="AG41" s="910"/>
      <c r="AH41" s="910"/>
      <c r="AI41" s="910"/>
      <c r="AJ41" s="912"/>
      <c r="AK41" s="910"/>
      <c r="AL41" s="910"/>
      <c r="AM41" s="945">
        <f>'1.8.2 RenHLR'!H41</f>
        <v>492.30616967879087</v>
      </c>
      <c r="AN41" s="910"/>
      <c r="AO41" s="912"/>
      <c r="AQ41" s="911"/>
      <c r="AR41" s="910"/>
      <c r="AS41" s="910"/>
      <c r="AT41" s="910"/>
      <c r="AU41" s="912"/>
      <c r="AV41" s="910"/>
      <c r="AW41" s="910"/>
      <c r="AX41" s="910"/>
      <c r="AY41" s="910"/>
      <c r="AZ41" s="912"/>
      <c r="BB41" s="913"/>
      <c r="BC41" s="916"/>
      <c r="BD41" s="910"/>
      <c r="BE41" s="914"/>
      <c r="BF41" s="910"/>
      <c r="BG41" s="910"/>
      <c r="BH41" s="914"/>
      <c r="BI41" s="910"/>
      <c r="BJ41" s="910"/>
      <c r="BK41" s="842">
        <f t="shared" si="1"/>
        <v>127.44811565356601</v>
      </c>
      <c r="BL41" s="1085">
        <f t="shared" si="2"/>
        <v>1073.607561244613</v>
      </c>
      <c r="BM41" s="910"/>
      <c r="BN41" s="921"/>
    </row>
    <row r="42" spans="1:66" ht="10.5" customHeight="1" x14ac:dyDescent="0.35">
      <c r="A42" s="841">
        <v>1732</v>
      </c>
      <c r="B42" s="910"/>
      <c r="C42" s="910"/>
      <c r="D42" s="910"/>
      <c r="E42" s="910"/>
      <c r="F42" s="910"/>
      <c r="G42" s="910"/>
      <c r="H42" s="945">
        <f>'1.8.3 RenPTLR'!B42</f>
        <v>1.1346076725709391</v>
      </c>
      <c r="I42" s="945">
        <f>'1.8.3 RenPTLR'!E42</f>
        <v>13.361994840928633</v>
      </c>
      <c r="J42" s="910"/>
      <c r="K42" s="842">
        <f>'1.8.2 RenHLR'!I42+'1.8.3 RenPTLR'!G42</f>
        <v>574.5069450708271</v>
      </c>
      <c r="L42" s="910"/>
      <c r="M42" s="910"/>
      <c r="N42" s="911"/>
      <c r="O42" s="910"/>
      <c r="P42" s="910"/>
      <c r="Q42" s="912"/>
      <c r="R42" s="910"/>
      <c r="S42" s="910"/>
      <c r="T42" s="910"/>
      <c r="U42" s="910"/>
      <c r="V42" s="945">
        <f>'1.8.3 RenPTLR'!H42</f>
        <v>8.9286306563890534</v>
      </c>
      <c r="W42" s="910"/>
      <c r="X42" s="910"/>
      <c r="Y42" s="910"/>
      <c r="Z42" s="910"/>
      <c r="AA42" s="945">
        <f>'1.8.3 RenPTLR'!C42</f>
        <v>128.16082386849874</v>
      </c>
      <c r="AB42" s="910"/>
      <c r="AC42" s="910"/>
      <c r="AD42" s="950">
        <f t="shared" si="0"/>
        <v>137.0894545248878</v>
      </c>
      <c r="AF42" s="911"/>
      <c r="AG42" s="910"/>
      <c r="AH42" s="910"/>
      <c r="AI42" s="910"/>
      <c r="AJ42" s="912"/>
      <c r="AK42" s="910"/>
      <c r="AL42" s="910"/>
      <c r="AM42" s="945">
        <f>'1.8.2 RenHLR'!H42</f>
        <v>490.45080727150679</v>
      </c>
      <c r="AN42" s="910"/>
      <c r="AO42" s="912"/>
      <c r="AQ42" s="911"/>
      <c r="AR42" s="910"/>
      <c r="AS42" s="910"/>
      <c r="AT42" s="910"/>
      <c r="AU42" s="912"/>
      <c r="AV42" s="910"/>
      <c r="AW42" s="910"/>
      <c r="AX42" s="910"/>
      <c r="AY42" s="910"/>
      <c r="AZ42" s="912"/>
      <c r="BB42" s="913"/>
      <c r="BC42" s="916"/>
      <c r="BD42" s="910"/>
      <c r="BE42" s="914"/>
      <c r="BF42" s="910"/>
      <c r="BG42" s="910"/>
      <c r="BH42" s="914"/>
      <c r="BI42" s="910"/>
      <c r="BJ42" s="910"/>
      <c r="BK42" s="842">
        <f t="shared" si="1"/>
        <v>128.16082386849874</v>
      </c>
      <c r="BL42" s="1085">
        <f t="shared" si="2"/>
        <v>1073.8863829987229</v>
      </c>
      <c r="BM42" s="910"/>
      <c r="BN42" s="921"/>
    </row>
    <row r="43" spans="1:66" ht="10.5" customHeight="1" x14ac:dyDescent="0.35">
      <c r="A43" s="841">
        <v>1733</v>
      </c>
      <c r="B43" s="910"/>
      <c r="C43" s="910"/>
      <c r="D43" s="910"/>
      <c r="E43" s="910"/>
      <c r="F43" s="910"/>
      <c r="G43" s="910"/>
      <c r="H43" s="945">
        <f>'1.8.3 RenPTLR'!B43</f>
        <v>1.1382702500429942</v>
      </c>
      <c r="I43" s="945">
        <f>'1.8.3 RenPTLR'!E43</f>
        <v>13.400687876182285</v>
      </c>
      <c r="J43" s="910"/>
      <c r="K43" s="842">
        <f>'1.8.2 RenHLR'!I43+'1.8.3 RenPTLR'!G43</f>
        <v>577.88597377001076</v>
      </c>
      <c r="L43" s="910"/>
      <c r="M43" s="910"/>
      <c r="N43" s="911"/>
      <c r="O43" s="910"/>
      <c r="P43" s="910"/>
      <c r="Q43" s="912"/>
      <c r="R43" s="910"/>
      <c r="S43" s="910"/>
      <c r="T43" s="910"/>
      <c r="U43" s="910"/>
      <c r="V43" s="945">
        <f>'1.8.3 RenPTLR'!H43</f>
        <v>9.2494171135158414</v>
      </c>
      <c r="W43" s="910"/>
      <c r="X43" s="910"/>
      <c r="Y43" s="910"/>
      <c r="Z43" s="910"/>
      <c r="AA43" s="945">
        <f>'1.8.3 RenPTLR'!C43</f>
        <v>128.87495004733597</v>
      </c>
      <c r="AB43" s="910"/>
      <c r="AC43" s="910"/>
      <c r="AD43" s="950">
        <f t="shared" si="0"/>
        <v>138.12436716085182</v>
      </c>
      <c r="AF43" s="911"/>
      <c r="AG43" s="910"/>
      <c r="AH43" s="910"/>
      <c r="AI43" s="910"/>
      <c r="AJ43" s="912"/>
      <c r="AK43" s="910"/>
      <c r="AL43" s="910"/>
      <c r="AM43" s="945">
        <f>'1.8.2 RenHLR'!H43</f>
        <v>488.53802568649979</v>
      </c>
      <c r="AN43" s="910"/>
      <c r="AO43" s="912"/>
      <c r="AQ43" s="911"/>
      <c r="AR43" s="910"/>
      <c r="AS43" s="910"/>
      <c r="AT43" s="910"/>
      <c r="AU43" s="912"/>
      <c r="AV43" s="910"/>
      <c r="AW43" s="910"/>
      <c r="AX43" s="910"/>
      <c r="AY43" s="910"/>
      <c r="AZ43" s="912"/>
      <c r="BB43" s="913"/>
      <c r="BC43" s="916"/>
      <c r="BD43" s="910"/>
      <c r="BE43" s="914"/>
      <c r="BF43" s="910"/>
      <c r="BG43" s="910"/>
      <c r="BH43" s="914"/>
      <c r="BI43" s="910"/>
      <c r="BJ43" s="910"/>
      <c r="BK43" s="842">
        <f t="shared" si="1"/>
        <v>128.87495004733597</v>
      </c>
      <c r="BL43" s="1085">
        <f t="shared" si="2"/>
        <v>1075.6734165700263</v>
      </c>
      <c r="BM43" s="910"/>
      <c r="BN43" s="921"/>
    </row>
    <row r="44" spans="1:66" ht="10.5" customHeight="1" x14ac:dyDescent="0.35">
      <c r="A44" s="841">
        <v>1734</v>
      </c>
      <c r="B44" s="910"/>
      <c r="C44" s="910"/>
      <c r="D44" s="910"/>
      <c r="E44" s="910"/>
      <c r="F44" s="910"/>
      <c r="G44" s="910"/>
      <c r="H44" s="945">
        <f>'1.8.3 RenPTLR'!B44</f>
        <v>1.1419328275150493</v>
      </c>
      <c r="I44" s="945">
        <f>'1.8.3 RenPTLR'!E44</f>
        <v>13.439380911435943</v>
      </c>
      <c r="J44" s="910"/>
      <c r="K44" s="842">
        <f>'1.8.2 RenHLR'!I44+'1.8.3 RenPTLR'!G44</f>
        <v>581.0467302077177</v>
      </c>
      <c r="L44" s="910"/>
      <c r="M44" s="910"/>
      <c r="N44" s="911"/>
      <c r="O44" s="910"/>
      <c r="P44" s="910"/>
      <c r="Q44" s="912"/>
      <c r="R44" s="910"/>
      <c r="S44" s="910"/>
      <c r="T44" s="910"/>
      <c r="U44" s="910"/>
      <c r="V44" s="945">
        <f>'1.8.3 RenPTLR'!H44</f>
        <v>9.5730134729671068</v>
      </c>
      <c r="W44" s="910"/>
      <c r="X44" s="910"/>
      <c r="Y44" s="910"/>
      <c r="Z44" s="910"/>
      <c r="AA44" s="945">
        <f>'1.8.3 RenPTLR'!C44</f>
        <v>129.59049909399675</v>
      </c>
      <c r="AB44" s="910"/>
      <c r="AC44" s="910"/>
      <c r="AD44" s="950">
        <f t="shared" si="0"/>
        <v>139.16351256696387</v>
      </c>
      <c r="AF44" s="911"/>
      <c r="AG44" s="910"/>
      <c r="AH44" s="910"/>
      <c r="AI44" s="910"/>
      <c r="AJ44" s="912"/>
      <c r="AK44" s="910"/>
      <c r="AL44" s="910"/>
      <c r="AM44" s="945">
        <f>'1.8.2 RenHLR'!H44</f>
        <v>486.56843620857273</v>
      </c>
      <c r="AN44" s="910"/>
      <c r="AO44" s="912"/>
      <c r="AQ44" s="911"/>
      <c r="AR44" s="910"/>
      <c r="AS44" s="910"/>
      <c r="AT44" s="910"/>
      <c r="AU44" s="912"/>
      <c r="AV44" s="910"/>
      <c r="AW44" s="910"/>
      <c r="AX44" s="910"/>
      <c r="AY44" s="910"/>
      <c r="AZ44" s="912"/>
      <c r="BB44" s="913"/>
      <c r="BC44" s="916"/>
      <c r="BD44" s="910"/>
      <c r="BE44" s="914"/>
      <c r="BF44" s="910"/>
      <c r="BG44" s="910"/>
      <c r="BH44" s="914"/>
      <c r="BI44" s="910"/>
      <c r="BJ44" s="910"/>
      <c r="BK44" s="842">
        <f t="shared" si="1"/>
        <v>129.59049909399675</v>
      </c>
      <c r="BL44" s="1085">
        <f t="shared" si="2"/>
        <v>1077.1881798892575</v>
      </c>
      <c r="BM44" s="910"/>
      <c r="BN44" s="921"/>
    </row>
    <row r="45" spans="1:66" ht="10.5" customHeight="1" x14ac:dyDescent="0.35">
      <c r="A45" s="841">
        <v>1735</v>
      </c>
      <c r="B45" s="910"/>
      <c r="C45" s="910"/>
      <c r="D45" s="910"/>
      <c r="E45" s="910"/>
      <c r="F45" s="910"/>
      <c r="G45" s="910"/>
      <c r="H45" s="945">
        <f>'1.8.3 RenPTLR'!B45</f>
        <v>1.1455954049871042</v>
      </c>
      <c r="I45" s="945">
        <f>'1.8.3 RenPTLR'!E45</f>
        <v>13.478073946689594</v>
      </c>
      <c r="J45" s="910"/>
      <c r="K45" s="842">
        <f>'1.8.2 RenHLR'!I45+'1.8.3 RenPTLR'!G45</f>
        <v>585.36674085495895</v>
      </c>
      <c r="L45" s="910"/>
      <c r="M45" s="910"/>
      <c r="N45" s="911"/>
      <c r="O45" s="910"/>
      <c r="P45" s="910"/>
      <c r="Q45" s="912"/>
      <c r="R45" s="910"/>
      <c r="S45" s="910"/>
      <c r="T45" s="910"/>
      <c r="U45" s="910"/>
      <c r="V45" s="945">
        <f>'1.8.3 RenPTLR'!H45</f>
        <v>9.8994722040047129</v>
      </c>
      <c r="W45" s="910"/>
      <c r="X45" s="910"/>
      <c r="Y45" s="910"/>
      <c r="Z45" s="910"/>
      <c r="AA45" s="945">
        <f>'1.8.3 RenPTLR'!C45</f>
        <v>130.30747593117817</v>
      </c>
      <c r="AB45" s="910"/>
      <c r="AC45" s="910"/>
      <c r="AD45" s="950">
        <f t="shared" si="0"/>
        <v>140.2069481351829</v>
      </c>
      <c r="AF45" s="911"/>
      <c r="AG45" s="910"/>
      <c r="AH45" s="910"/>
      <c r="AI45" s="910"/>
      <c r="AJ45" s="912"/>
      <c r="AK45" s="910"/>
      <c r="AL45" s="910"/>
      <c r="AM45" s="945">
        <f>'1.8.2 RenHLR'!H45</f>
        <v>484.54264147622354</v>
      </c>
      <c r="AN45" s="910"/>
      <c r="AO45" s="912"/>
      <c r="AQ45" s="911"/>
      <c r="AR45" s="910"/>
      <c r="AS45" s="910"/>
      <c r="AT45" s="910"/>
      <c r="AU45" s="912"/>
      <c r="AV45" s="910"/>
      <c r="AW45" s="910"/>
      <c r="AX45" s="910"/>
      <c r="AY45" s="910"/>
      <c r="AZ45" s="912"/>
      <c r="BB45" s="913"/>
      <c r="BC45" s="916"/>
      <c r="BD45" s="910"/>
      <c r="BE45" s="914"/>
      <c r="BF45" s="910"/>
      <c r="BG45" s="910"/>
      <c r="BH45" s="914"/>
      <c r="BI45" s="910"/>
      <c r="BJ45" s="910"/>
      <c r="BK45" s="842">
        <f t="shared" si="1"/>
        <v>130.30747593117817</v>
      </c>
      <c r="BL45" s="1085">
        <f t="shared" si="2"/>
        <v>1079.8088545351873</v>
      </c>
      <c r="BM45" s="910"/>
      <c r="BN45" s="921"/>
    </row>
    <row r="46" spans="1:66" ht="10.5" customHeight="1" x14ac:dyDescent="0.35">
      <c r="A46" s="841">
        <v>1736</v>
      </c>
      <c r="B46" s="910"/>
      <c r="C46" s="910"/>
      <c r="D46" s="910"/>
      <c r="E46" s="910"/>
      <c r="F46" s="910"/>
      <c r="G46" s="910"/>
      <c r="H46" s="945">
        <f>'1.8.3 RenPTLR'!B46</f>
        <v>1.1492579824591591</v>
      </c>
      <c r="I46" s="945">
        <f>'1.8.3 RenPTLR'!E46</f>
        <v>13.516766981943247</v>
      </c>
      <c r="J46" s="910"/>
      <c r="K46" s="842">
        <f>'1.8.2 RenHLR'!I46+'1.8.3 RenPTLR'!G46</f>
        <v>587.98305094363991</v>
      </c>
      <c r="L46" s="910"/>
      <c r="M46" s="910"/>
      <c r="N46" s="911"/>
      <c r="O46" s="910"/>
      <c r="P46" s="910"/>
      <c r="Q46" s="912"/>
      <c r="R46" s="910"/>
      <c r="S46" s="910"/>
      <c r="T46" s="910"/>
      <c r="U46" s="910"/>
      <c r="V46" s="945">
        <f>'1.8.3 RenPTLR'!H46</f>
        <v>10.228847050849762</v>
      </c>
      <c r="W46" s="910"/>
      <c r="X46" s="910"/>
      <c r="Y46" s="910"/>
      <c r="Z46" s="910"/>
      <c r="AA46" s="945">
        <f>'1.8.3 RenPTLR'!C46</f>
        <v>131.02588550041892</v>
      </c>
      <c r="AB46" s="910"/>
      <c r="AC46" s="910"/>
      <c r="AD46" s="950">
        <f t="shared" si="0"/>
        <v>141.25473255126869</v>
      </c>
      <c r="AF46" s="911"/>
      <c r="AG46" s="910"/>
      <c r="AH46" s="910"/>
      <c r="AI46" s="910"/>
      <c r="AJ46" s="912"/>
      <c r="AK46" s="910"/>
      <c r="AL46" s="910"/>
      <c r="AM46" s="945">
        <f>'1.8.2 RenHLR'!H46</f>
        <v>482.46123563397907</v>
      </c>
      <c r="AN46" s="910"/>
      <c r="AO46" s="912"/>
      <c r="AQ46" s="911"/>
      <c r="AR46" s="910"/>
      <c r="AS46" s="910"/>
      <c r="AT46" s="910"/>
      <c r="AU46" s="912"/>
      <c r="AV46" s="910"/>
      <c r="AW46" s="910"/>
      <c r="AX46" s="910"/>
      <c r="AY46" s="910"/>
      <c r="AZ46" s="912"/>
      <c r="BB46" s="913"/>
      <c r="BC46" s="916"/>
      <c r="BD46" s="910"/>
      <c r="BE46" s="914"/>
      <c r="BF46" s="910"/>
      <c r="BG46" s="910"/>
      <c r="BH46" s="914"/>
      <c r="BI46" s="910"/>
      <c r="BJ46" s="910"/>
      <c r="BK46" s="842">
        <f t="shared" si="1"/>
        <v>131.02588550041892</v>
      </c>
      <c r="BL46" s="1085">
        <f t="shared" si="2"/>
        <v>1080.6731336284688</v>
      </c>
      <c r="BM46" s="910"/>
      <c r="BN46" s="921"/>
    </row>
    <row r="47" spans="1:66" ht="10.5" customHeight="1" x14ac:dyDescent="0.35">
      <c r="A47" s="841">
        <v>1737</v>
      </c>
      <c r="B47" s="910"/>
      <c r="C47" s="910"/>
      <c r="D47" s="910"/>
      <c r="E47" s="910"/>
      <c r="F47" s="910"/>
      <c r="G47" s="910"/>
      <c r="H47" s="945">
        <f>'1.8.3 RenPTLR'!B47</f>
        <v>1.1529205599312145</v>
      </c>
      <c r="I47" s="945">
        <f>'1.8.3 RenPTLR'!E47</f>
        <v>13.555460017196905</v>
      </c>
      <c r="J47" s="910"/>
      <c r="K47" s="842">
        <f>'1.8.2 RenHLR'!I47+'1.8.3 RenPTLR'!G47</f>
        <v>591.85020326623987</v>
      </c>
      <c r="L47" s="910"/>
      <c r="M47" s="910"/>
      <c r="N47" s="911"/>
      <c r="O47" s="910"/>
      <c r="P47" s="910"/>
      <c r="Q47" s="912"/>
      <c r="R47" s="910"/>
      <c r="S47" s="910"/>
      <c r="T47" s="910"/>
      <c r="U47" s="910"/>
      <c r="V47" s="945">
        <f>'1.8.3 RenPTLR'!H47</f>
        <v>10.561193072720963</v>
      </c>
      <c r="W47" s="910"/>
      <c r="X47" s="910"/>
      <c r="Y47" s="910"/>
      <c r="Z47" s="910"/>
      <c r="AA47" s="945">
        <f>'1.8.3 RenPTLR'!C47</f>
        <v>134.63489666980686</v>
      </c>
      <c r="AB47" s="910"/>
      <c r="AC47" s="910"/>
      <c r="AD47" s="950">
        <f t="shared" si="0"/>
        <v>145.19608974252782</v>
      </c>
      <c r="AF47" s="911"/>
      <c r="AG47" s="910"/>
      <c r="AH47" s="910"/>
      <c r="AI47" s="910"/>
      <c r="AJ47" s="912"/>
      <c r="AK47" s="910"/>
      <c r="AL47" s="910"/>
      <c r="AM47" s="945">
        <f>'1.8.2 RenHLR'!H47</f>
        <v>480.32480448151864</v>
      </c>
      <c r="AN47" s="910"/>
      <c r="AO47" s="912"/>
      <c r="AQ47" s="911"/>
      <c r="AR47" s="910"/>
      <c r="AS47" s="910"/>
      <c r="AT47" s="910"/>
      <c r="AU47" s="912"/>
      <c r="AV47" s="910"/>
      <c r="AW47" s="910"/>
      <c r="AX47" s="910"/>
      <c r="AY47" s="910"/>
      <c r="AZ47" s="912"/>
      <c r="BB47" s="913"/>
      <c r="BC47" s="916"/>
      <c r="BD47" s="910"/>
      <c r="BE47" s="914"/>
      <c r="BF47" s="910"/>
      <c r="BG47" s="910"/>
      <c r="BH47" s="914"/>
      <c r="BI47" s="910"/>
      <c r="BJ47" s="910"/>
      <c r="BK47" s="842">
        <f t="shared" si="1"/>
        <v>134.63489666980686</v>
      </c>
      <c r="BL47" s="1085">
        <f t="shared" si="2"/>
        <v>1082.7362008204796</v>
      </c>
      <c r="BM47" s="910"/>
      <c r="BN47" s="921"/>
    </row>
    <row r="48" spans="1:66" ht="10.5" customHeight="1" x14ac:dyDescent="0.35">
      <c r="A48" s="841">
        <v>1738</v>
      </c>
      <c r="B48" s="910"/>
      <c r="C48" s="910"/>
      <c r="D48" s="910"/>
      <c r="E48" s="910"/>
      <c r="F48" s="910"/>
      <c r="G48" s="910"/>
      <c r="H48" s="945">
        <f>'1.8.3 RenPTLR'!B48</f>
        <v>1.1565831374032693</v>
      </c>
      <c r="I48" s="945">
        <f>'1.8.3 RenPTLR'!E48</f>
        <v>13.594153052450558</v>
      </c>
      <c r="J48" s="910"/>
      <c r="K48" s="842">
        <f>'1.8.2 RenHLR'!I48+'1.8.3 RenPTLR'!G48</f>
        <v>596.48630835018014</v>
      </c>
      <c r="L48" s="910"/>
      <c r="M48" s="910"/>
      <c r="N48" s="911"/>
      <c r="O48" s="910"/>
      <c r="P48" s="910"/>
      <c r="Q48" s="912"/>
      <c r="R48" s="910"/>
      <c r="S48" s="910"/>
      <c r="T48" s="910"/>
      <c r="U48" s="910"/>
      <c r="V48" s="945">
        <f>'1.8.3 RenPTLR'!H48</f>
        <v>10.896566685430473</v>
      </c>
      <c r="W48" s="910"/>
      <c r="X48" s="910"/>
      <c r="Y48" s="910"/>
      <c r="Z48" s="910"/>
      <c r="AA48" s="945">
        <f>'1.8.3 RenPTLR'!C48</f>
        <v>138.25090875491705</v>
      </c>
      <c r="AB48" s="910"/>
      <c r="AC48" s="910"/>
      <c r="AD48" s="950">
        <f t="shared" si="0"/>
        <v>149.14747544034753</v>
      </c>
      <c r="AF48" s="911"/>
      <c r="AG48" s="910"/>
      <c r="AH48" s="910"/>
      <c r="AI48" s="910"/>
      <c r="AJ48" s="912"/>
      <c r="AK48" s="910"/>
      <c r="AL48" s="910"/>
      <c r="AM48" s="945">
        <f>'1.8.2 RenHLR'!H48</f>
        <v>478.1339256196668</v>
      </c>
      <c r="AN48" s="910"/>
      <c r="AO48" s="912"/>
      <c r="AQ48" s="911"/>
      <c r="AR48" s="910"/>
      <c r="AS48" s="910"/>
      <c r="AT48" s="910"/>
      <c r="AU48" s="912"/>
      <c r="AV48" s="910"/>
      <c r="AW48" s="910"/>
      <c r="AX48" s="910"/>
      <c r="AY48" s="910"/>
      <c r="AZ48" s="912"/>
      <c r="BB48" s="913"/>
      <c r="BC48" s="916"/>
      <c r="BD48" s="910"/>
      <c r="BE48" s="914"/>
      <c r="BF48" s="910"/>
      <c r="BG48" s="910"/>
      <c r="BH48" s="914"/>
      <c r="BI48" s="910"/>
      <c r="BJ48" s="910"/>
      <c r="BK48" s="842">
        <f t="shared" si="1"/>
        <v>138.25090875491705</v>
      </c>
      <c r="BL48" s="1085">
        <f t="shared" si="2"/>
        <v>1085.5168006552774</v>
      </c>
      <c r="BM48" s="910"/>
      <c r="BN48" s="921"/>
    </row>
    <row r="49" spans="1:66" ht="10.5" customHeight="1" x14ac:dyDescent="0.35">
      <c r="A49" s="841">
        <v>1739</v>
      </c>
      <c r="B49" s="910"/>
      <c r="C49" s="910"/>
      <c r="D49" s="910"/>
      <c r="E49" s="910"/>
      <c r="F49" s="910"/>
      <c r="G49" s="910"/>
      <c r="H49" s="945">
        <f>'1.8.3 RenPTLR'!B49</f>
        <v>1.1602457148753249</v>
      </c>
      <c r="I49" s="945">
        <f>'1.8.3 RenPTLR'!E49</f>
        <v>13.632846087704214</v>
      </c>
      <c r="J49" s="910"/>
      <c r="K49" s="842">
        <f>'1.8.2 RenHLR'!I49+'1.8.3 RenPTLR'!G49</f>
        <v>602.34808300915233</v>
      </c>
      <c r="L49" s="910"/>
      <c r="M49" s="910"/>
      <c r="N49" s="911"/>
      <c r="O49" s="910"/>
      <c r="P49" s="910"/>
      <c r="Q49" s="912"/>
      <c r="R49" s="910"/>
      <c r="S49" s="910"/>
      <c r="T49" s="910"/>
      <c r="U49" s="910"/>
      <c r="V49" s="945">
        <f>'1.8.3 RenPTLR'!H49</f>
        <v>11.235025704610345</v>
      </c>
      <c r="W49" s="910"/>
      <c r="X49" s="910"/>
      <c r="Y49" s="910"/>
      <c r="Z49" s="910"/>
      <c r="AA49" s="945">
        <f>'1.8.3 RenPTLR'!C49</f>
        <v>141.87394663654777</v>
      </c>
      <c r="AB49" s="910"/>
      <c r="AC49" s="910"/>
      <c r="AD49" s="950">
        <f t="shared" si="0"/>
        <v>153.10897234115811</v>
      </c>
      <c r="AF49" s="911"/>
      <c r="AG49" s="910"/>
      <c r="AH49" s="910"/>
      <c r="AI49" s="910"/>
      <c r="AJ49" s="912"/>
      <c r="AK49" s="910"/>
      <c r="AL49" s="910"/>
      <c r="AM49" s="945">
        <f>'1.8.2 RenHLR'!H49</f>
        <v>475.88916859333307</v>
      </c>
      <c r="AN49" s="910"/>
      <c r="AO49" s="912"/>
      <c r="AQ49" s="911"/>
      <c r="AR49" s="910"/>
      <c r="AS49" s="910"/>
      <c r="AT49" s="910"/>
      <c r="AU49" s="912"/>
      <c r="AV49" s="910"/>
      <c r="AW49" s="910"/>
      <c r="AX49" s="910"/>
      <c r="AY49" s="910"/>
      <c r="AZ49" s="912"/>
      <c r="BB49" s="913"/>
      <c r="BC49" s="916"/>
      <c r="BD49" s="910"/>
      <c r="BE49" s="914"/>
      <c r="BF49" s="910"/>
      <c r="BG49" s="910"/>
      <c r="BH49" s="914"/>
      <c r="BI49" s="910"/>
      <c r="BJ49" s="910"/>
      <c r="BK49" s="842">
        <f t="shared" si="1"/>
        <v>141.87394663654777</v>
      </c>
      <c r="BL49" s="1085">
        <f t="shared" si="2"/>
        <v>1089.4722773070957</v>
      </c>
      <c r="BM49" s="910"/>
      <c r="BN49" s="921"/>
    </row>
    <row r="50" spans="1:66" ht="10.5" customHeight="1" x14ac:dyDescent="0.35">
      <c r="A50" s="841">
        <v>1740</v>
      </c>
      <c r="B50" s="910"/>
      <c r="C50" s="910"/>
      <c r="D50" s="910"/>
      <c r="E50" s="910"/>
      <c r="F50" s="910"/>
      <c r="G50" s="910"/>
      <c r="H50" s="945">
        <f>'1.8.3 RenPTLR'!B50</f>
        <v>1.1639082923473798</v>
      </c>
      <c r="I50" s="945">
        <f>'1.8.3 RenPTLR'!E50</f>
        <v>13.671539122957865</v>
      </c>
      <c r="J50" s="910"/>
      <c r="K50" s="842">
        <f>'1.8.2 RenHLR'!I50+'1.8.3 RenPTLR'!G50</f>
        <v>607.34393595709321</v>
      </c>
      <c r="L50" s="910"/>
      <c r="M50" s="910"/>
      <c r="N50" s="911"/>
      <c r="O50" s="910"/>
      <c r="P50" s="910"/>
      <c r="Q50" s="912"/>
      <c r="R50" s="910"/>
      <c r="S50" s="910"/>
      <c r="T50" s="910"/>
      <c r="U50" s="910"/>
      <c r="V50" s="945">
        <f>'1.8.3 RenPTLR'!H50</f>
        <v>11.576629390646742</v>
      </c>
      <c r="W50" s="910"/>
      <c r="X50" s="910"/>
      <c r="Y50" s="910"/>
      <c r="Z50" s="910"/>
      <c r="AA50" s="945">
        <f>'1.8.3 RenPTLR'!C50</f>
        <v>145.504035295075</v>
      </c>
      <c r="AB50" s="910"/>
      <c r="AC50" s="910"/>
      <c r="AD50" s="950">
        <f t="shared" si="0"/>
        <v>157.08066468572173</v>
      </c>
      <c r="AF50" s="911"/>
      <c r="AG50" s="910"/>
      <c r="AH50" s="910"/>
      <c r="AI50" s="910"/>
      <c r="AJ50" s="912"/>
      <c r="AK50" s="910"/>
      <c r="AL50" s="910"/>
      <c r="AM50" s="945">
        <f>'1.8.2 RenHLR'!H50</f>
        <v>473.59109503147067</v>
      </c>
      <c r="AN50" s="910"/>
      <c r="AO50" s="912"/>
      <c r="AQ50" s="911"/>
      <c r="AR50" s="910"/>
      <c r="AS50" s="910"/>
      <c r="AT50" s="910"/>
      <c r="AU50" s="912"/>
      <c r="AV50" s="910"/>
      <c r="AW50" s="910"/>
      <c r="AX50" s="910"/>
      <c r="AY50" s="910"/>
      <c r="AZ50" s="912"/>
      <c r="BB50" s="913"/>
      <c r="BC50" s="916"/>
      <c r="BD50" s="910"/>
      <c r="BE50" s="914"/>
      <c r="BF50" s="910"/>
      <c r="BG50" s="910"/>
      <c r="BH50" s="914"/>
      <c r="BI50" s="910"/>
      <c r="BJ50" s="910"/>
      <c r="BK50" s="842">
        <f t="shared" si="1"/>
        <v>145.504035295075</v>
      </c>
      <c r="BL50" s="1085">
        <f t="shared" si="2"/>
        <v>1092.5116603792108</v>
      </c>
      <c r="BM50" s="910"/>
      <c r="BN50" s="921"/>
    </row>
    <row r="51" spans="1:66" ht="10.5" customHeight="1" x14ac:dyDescent="0.35">
      <c r="A51" s="841">
        <v>1741</v>
      </c>
      <c r="B51" s="910"/>
      <c r="C51" s="910"/>
      <c r="D51" s="910"/>
      <c r="E51" s="910"/>
      <c r="F51" s="910"/>
      <c r="G51" s="910"/>
      <c r="H51" s="945">
        <f>'1.8.3 RenPTLR'!B51</f>
        <v>1.1675708698194347</v>
      </c>
      <c r="I51" s="945">
        <f>'1.8.3 RenPTLR'!E51</f>
        <v>13.71023215821152</v>
      </c>
      <c r="J51" s="910"/>
      <c r="K51" s="842">
        <f>'1.8.2 RenHLR'!I51+'1.8.3 RenPTLR'!G51</f>
        <v>611.35068404818458</v>
      </c>
      <c r="L51" s="910"/>
      <c r="M51" s="910"/>
      <c r="N51" s="911"/>
      <c r="O51" s="910"/>
      <c r="P51" s="910"/>
      <c r="Q51" s="912"/>
      <c r="R51" s="910"/>
      <c r="S51" s="910"/>
      <c r="T51" s="910"/>
      <c r="U51" s="910"/>
      <c r="V51" s="945">
        <f>'1.8.3 RenPTLR'!H51</f>
        <v>11.921438495403526</v>
      </c>
      <c r="W51" s="910"/>
      <c r="X51" s="910"/>
      <c r="Y51" s="910"/>
      <c r="Z51" s="910"/>
      <c r="AA51" s="945">
        <f>'1.8.3 RenPTLR'!C51</f>
        <v>149.1411998107987</v>
      </c>
      <c r="AB51" s="910"/>
      <c r="AC51" s="910"/>
      <c r="AD51" s="950">
        <f t="shared" si="0"/>
        <v>161.06263830620222</v>
      </c>
      <c r="AF51" s="911"/>
      <c r="AG51" s="910"/>
      <c r="AH51" s="910"/>
      <c r="AI51" s="910"/>
      <c r="AJ51" s="912"/>
      <c r="AK51" s="910"/>
      <c r="AL51" s="910"/>
      <c r="AM51" s="945">
        <f>'1.8.2 RenHLR'!H51</f>
        <v>471.24025878412607</v>
      </c>
      <c r="AN51" s="910"/>
      <c r="AO51" s="912"/>
      <c r="AQ51" s="911"/>
      <c r="AR51" s="910"/>
      <c r="AS51" s="910"/>
      <c r="AT51" s="910"/>
      <c r="AU51" s="912"/>
      <c r="AV51" s="910"/>
      <c r="AW51" s="910"/>
      <c r="AX51" s="910"/>
      <c r="AY51" s="910"/>
      <c r="AZ51" s="912"/>
      <c r="BB51" s="913"/>
      <c r="BC51" s="916"/>
      <c r="BD51" s="910"/>
      <c r="BE51" s="914"/>
      <c r="BF51" s="910"/>
      <c r="BG51" s="910"/>
      <c r="BH51" s="914"/>
      <c r="BI51" s="910"/>
      <c r="BJ51" s="910"/>
      <c r="BK51" s="842">
        <f t="shared" si="1"/>
        <v>149.1411998107987</v>
      </c>
      <c r="BL51" s="1085">
        <f t="shared" si="2"/>
        <v>1094.5123813277141</v>
      </c>
      <c r="BM51" s="910"/>
      <c r="BN51" s="921"/>
    </row>
    <row r="52" spans="1:66" ht="10.5" customHeight="1" x14ac:dyDescent="0.35">
      <c r="A52" s="841">
        <v>1742</v>
      </c>
      <c r="B52" s="910"/>
      <c r="C52" s="910"/>
      <c r="D52" s="910"/>
      <c r="E52" s="910"/>
      <c r="F52" s="910"/>
      <c r="G52" s="910"/>
      <c r="H52" s="945">
        <f>'1.8.3 RenPTLR'!B52</f>
        <v>1.1712334472914896</v>
      </c>
      <c r="I52" s="945">
        <f>'1.8.3 RenPTLR'!E52</f>
        <v>13.748925193465176</v>
      </c>
      <c r="J52" s="910"/>
      <c r="K52" s="842">
        <f>'1.8.2 RenHLR'!I52+'1.8.3 RenPTLR'!G52</f>
        <v>615.80325943383252</v>
      </c>
      <c r="L52" s="910"/>
      <c r="M52" s="910"/>
      <c r="N52" s="911"/>
      <c r="O52" s="910"/>
      <c r="P52" s="910"/>
      <c r="Q52" s="912"/>
      <c r="R52" s="910"/>
      <c r="S52" s="910"/>
      <c r="T52" s="910"/>
      <c r="U52" s="910"/>
      <c r="V52" s="945">
        <f>'1.8.3 RenPTLR'!H52</f>
        <v>12.269515310821253</v>
      </c>
      <c r="W52" s="910"/>
      <c r="X52" s="910"/>
      <c r="Y52" s="910"/>
      <c r="Z52" s="910"/>
      <c r="AA52" s="945">
        <f>'1.8.3 RenPTLR'!C52</f>
        <v>152.78546536429022</v>
      </c>
      <c r="AB52" s="910"/>
      <c r="AC52" s="910"/>
      <c r="AD52" s="950">
        <f t="shared" si="0"/>
        <v>165.05498067511147</v>
      </c>
      <c r="AF52" s="911"/>
      <c r="AG52" s="910"/>
      <c r="AH52" s="910"/>
      <c r="AI52" s="910"/>
      <c r="AJ52" s="912"/>
      <c r="AK52" s="910"/>
      <c r="AL52" s="910"/>
      <c r="AM52" s="945">
        <f>'1.8.2 RenHLR'!H52</f>
        <v>468.83720605665479</v>
      </c>
      <c r="AN52" s="910"/>
      <c r="AO52" s="912"/>
      <c r="AQ52" s="911"/>
      <c r="AR52" s="910"/>
      <c r="AS52" s="910"/>
      <c r="AT52" s="910"/>
      <c r="AU52" s="912"/>
      <c r="AV52" s="910"/>
      <c r="AW52" s="910"/>
      <c r="AX52" s="910"/>
      <c r="AY52" s="910"/>
      <c r="AZ52" s="912"/>
      <c r="BB52" s="913"/>
      <c r="BC52" s="916"/>
      <c r="BD52" s="910"/>
      <c r="BE52" s="914"/>
      <c r="BF52" s="910"/>
      <c r="BG52" s="910"/>
      <c r="BH52" s="914"/>
      <c r="BI52" s="910"/>
      <c r="BJ52" s="910"/>
      <c r="BK52" s="842">
        <f t="shared" si="1"/>
        <v>152.78546536429022</v>
      </c>
      <c r="BL52" s="1085">
        <f t="shared" si="2"/>
        <v>1096.9099808013086</v>
      </c>
      <c r="BM52" s="910"/>
      <c r="BN52" s="921"/>
    </row>
    <row r="53" spans="1:66" ht="10.5" customHeight="1" x14ac:dyDescent="0.35">
      <c r="A53" s="841">
        <v>1743</v>
      </c>
      <c r="B53" s="910"/>
      <c r="C53" s="910"/>
      <c r="D53" s="910"/>
      <c r="E53" s="910"/>
      <c r="F53" s="910"/>
      <c r="G53" s="910"/>
      <c r="H53" s="945">
        <f>'1.8.3 RenPTLR'!B53</f>
        <v>1.1748960247635449</v>
      </c>
      <c r="I53" s="945">
        <f>'1.8.3 RenPTLR'!E53</f>
        <v>13.787618228718829</v>
      </c>
      <c r="J53" s="910"/>
      <c r="K53" s="842">
        <f>'1.8.2 RenHLR'!I53+'1.8.3 RenPTLR'!G53</f>
        <v>619.47300773494851</v>
      </c>
      <c r="L53" s="910"/>
      <c r="M53" s="910"/>
      <c r="N53" s="911"/>
      <c r="O53" s="910"/>
      <c r="P53" s="910"/>
      <c r="Q53" s="912"/>
      <c r="R53" s="910"/>
      <c r="S53" s="910"/>
      <c r="T53" s="910"/>
      <c r="U53" s="910"/>
      <c r="V53" s="945">
        <f>'1.8.3 RenPTLR'!H53</f>
        <v>12.62092371948269</v>
      </c>
      <c r="W53" s="910"/>
      <c r="X53" s="910"/>
      <c r="Y53" s="910"/>
      <c r="Z53" s="910"/>
      <c r="AA53" s="945">
        <f>'1.8.3 RenPTLR'!C53</f>
        <v>156.43685723674076</v>
      </c>
      <c r="AB53" s="910"/>
      <c r="AC53" s="910"/>
      <c r="AD53" s="950">
        <f t="shared" si="0"/>
        <v>169.05778095622344</v>
      </c>
      <c r="AF53" s="911"/>
      <c r="AG53" s="910"/>
      <c r="AH53" s="910"/>
      <c r="AI53" s="910"/>
      <c r="AJ53" s="912"/>
      <c r="AK53" s="910"/>
      <c r="AL53" s="910"/>
      <c r="AM53" s="945">
        <f>'1.8.2 RenHLR'!H53</f>
        <v>466.38247554116379</v>
      </c>
      <c r="AN53" s="910"/>
      <c r="AO53" s="912"/>
      <c r="AQ53" s="911"/>
      <c r="AR53" s="910"/>
      <c r="AS53" s="910"/>
      <c r="AT53" s="910"/>
      <c r="AU53" s="912"/>
      <c r="AV53" s="910"/>
      <c r="AW53" s="910"/>
      <c r="AX53" s="910"/>
      <c r="AY53" s="910"/>
      <c r="AZ53" s="912"/>
      <c r="BB53" s="913"/>
      <c r="BC53" s="916"/>
      <c r="BD53" s="910"/>
      <c r="BE53" s="914"/>
      <c r="BF53" s="910"/>
      <c r="BG53" s="910"/>
      <c r="BH53" s="914"/>
      <c r="BI53" s="910"/>
      <c r="BJ53" s="910"/>
      <c r="BK53" s="842">
        <f t="shared" si="1"/>
        <v>156.43685723674076</v>
      </c>
      <c r="BL53" s="1085">
        <f t="shared" si="2"/>
        <v>1098.476406995595</v>
      </c>
      <c r="BM53" s="910"/>
      <c r="BN53" s="921"/>
    </row>
    <row r="54" spans="1:66" ht="10.5" customHeight="1" x14ac:dyDescent="0.35">
      <c r="A54" s="841">
        <v>1744</v>
      </c>
      <c r="B54" s="910"/>
      <c r="C54" s="910"/>
      <c r="D54" s="910"/>
      <c r="E54" s="910"/>
      <c r="F54" s="910"/>
      <c r="G54" s="910"/>
      <c r="H54" s="945">
        <f>'1.8.3 RenPTLR'!B54</f>
        <v>1.1785586022355998</v>
      </c>
      <c r="I54" s="945">
        <f>'1.8.3 RenPTLR'!E54</f>
        <v>13.826311263972483</v>
      </c>
      <c r="J54" s="910"/>
      <c r="K54" s="842">
        <f>'1.8.2 RenHLR'!I54+'1.8.3 RenPTLR'!G54</f>
        <v>623.89502851831264</v>
      </c>
      <c r="L54" s="910"/>
      <c r="M54" s="910"/>
      <c r="N54" s="911"/>
      <c r="O54" s="910"/>
      <c r="P54" s="910"/>
      <c r="Q54" s="912"/>
      <c r="R54" s="910"/>
      <c r="S54" s="910"/>
      <c r="T54" s="910"/>
      <c r="U54" s="910"/>
      <c r="V54" s="945">
        <f>'1.8.3 RenPTLR'!H54</f>
        <v>12.975729247241082</v>
      </c>
      <c r="W54" s="910"/>
      <c r="X54" s="910"/>
      <c r="Y54" s="910"/>
      <c r="Z54" s="910"/>
      <c r="AA54" s="945">
        <f>'1.8.3 RenPTLR'!C54</f>
        <v>160.09540081031076</v>
      </c>
      <c r="AB54" s="910"/>
      <c r="AC54" s="910"/>
      <c r="AD54" s="950">
        <f t="shared" si="0"/>
        <v>173.07113005755184</v>
      </c>
      <c r="AF54" s="911"/>
      <c r="AG54" s="910"/>
      <c r="AH54" s="910"/>
      <c r="AI54" s="910"/>
      <c r="AJ54" s="912"/>
      <c r="AK54" s="910"/>
      <c r="AL54" s="910"/>
      <c r="AM54" s="945">
        <f>'1.8.2 RenHLR'!H54</f>
        <v>463.87659854525469</v>
      </c>
      <c r="AN54" s="910"/>
      <c r="AO54" s="912"/>
      <c r="AQ54" s="911"/>
      <c r="AR54" s="910"/>
      <c r="AS54" s="910"/>
      <c r="AT54" s="910"/>
      <c r="AU54" s="912"/>
      <c r="AV54" s="910"/>
      <c r="AW54" s="910"/>
      <c r="AX54" s="910"/>
      <c r="AY54" s="910"/>
      <c r="AZ54" s="912"/>
      <c r="BB54" s="913"/>
      <c r="BC54" s="916"/>
      <c r="BD54" s="910"/>
      <c r="BE54" s="914"/>
      <c r="BF54" s="910"/>
      <c r="BG54" s="910"/>
      <c r="BH54" s="914"/>
      <c r="BI54" s="910"/>
      <c r="BJ54" s="910"/>
      <c r="BK54" s="842">
        <f t="shared" si="1"/>
        <v>160.09540081031076</v>
      </c>
      <c r="BL54" s="1085">
        <f t="shared" si="2"/>
        <v>1100.7473563108085</v>
      </c>
      <c r="BM54" s="910"/>
      <c r="BN54" s="921"/>
    </row>
    <row r="55" spans="1:66" ht="10.5" customHeight="1" x14ac:dyDescent="0.35">
      <c r="A55" s="841">
        <v>1745</v>
      </c>
      <c r="B55" s="910"/>
      <c r="C55" s="910"/>
      <c r="D55" s="910"/>
      <c r="E55" s="910"/>
      <c r="F55" s="910"/>
      <c r="G55" s="910"/>
      <c r="H55" s="945">
        <f>'1.8.3 RenPTLR'!B55</f>
        <v>1.1822211797076549</v>
      </c>
      <c r="I55" s="945">
        <f>'1.8.3 RenPTLR'!E55</f>
        <v>13.86500429922614</v>
      </c>
      <c r="J55" s="910"/>
      <c r="K55" s="842">
        <f>'1.8.2 RenHLR'!I55+'1.8.3 RenPTLR'!G55</f>
        <v>628.83437789338825</v>
      </c>
      <c r="L55" s="910"/>
      <c r="M55" s="910"/>
      <c r="N55" s="911"/>
      <c r="O55" s="910"/>
      <c r="P55" s="910"/>
      <c r="Q55" s="912"/>
      <c r="R55" s="910"/>
      <c r="S55" s="910"/>
      <c r="T55" s="910"/>
      <c r="U55" s="910"/>
      <c r="V55" s="945">
        <f>'1.8.3 RenPTLR'!H55</f>
        <v>13.33399911801313</v>
      </c>
      <c r="W55" s="910"/>
      <c r="X55" s="910"/>
      <c r="Y55" s="910"/>
      <c r="Z55" s="910"/>
      <c r="AA55" s="945">
        <f>'1.8.3 RenPTLR'!C55</f>
        <v>163.76112156848049</v>
      </c>
      <c r="AB55" s="910"/>
      <c r="AC55" s="910"/>
      <c r="AD55" s="950">
        <f t="shared" si="0"/>
        <v>177.09512068649363</v>
      </c>
      <c r="AF55" s="911"/>
      <c r="AG55" s="910"/>
      <c r="AH55" s="910"/>
      <c r="AI55" s="910"/>
      <c r="AJ55" s="912"/>
      <c r="AK55" s="910"/>
      <c r="AL55" s="910"/>
      <c r="AM55" s="945">
        <f>'1.8.2 RenHLR'!H55</f>
        <v>461.32009911812526</v>
      </c>
      <c r="AN55" s="910"/>
      <c r="AO55" s="912"/>
      <c r="AQ55" s="911"/>
      <c r="AR55" s="910"/>
      <c r="AS55" s="910"/>
      <c r="AT55" s="910"/>
      <c r="AU55" s="912"/>
      <c r="AV55" s="910"/>
      <c r="AW55" s="910"/>
      <c r="AX55" s="910"/>
      <c r="AY55" s="910"/>
      <c r="AZ55" s="912"/>
      <c r="BB55" s="913"/>
      <c r="BC55" s="916"/>
      <c r="BD55" s="910"/>
      <c r="BE55" s="914"/>
      <c r="BF55" s="910"/>
      <c r="BG55" s="910"/>
      <c r="BH55" s="914"/>
      <c r="BI55" s="910"/>
      <c r="BJ55" s="910"/>
      <c r="BK55" s="842">
        <f t="shared" si="1"/>
        <v>163.76112156848049</v>
      </c>
      <c r="BL55" s="1085">
        <f t="shared" si="2"/>
        <v>1103.4884761295266</v>
      </c>
      <c r="BM55" s="910"/>
      <c r="BN55" s="921"/>
    </row>
    <row r="56" spans="1:66" ht="10.5" customHeight="1" x14ac:dyDescent="0.35">
      <c r="A56" s="841">
        <v>1746</v>
      </c>
      <c r="B56" s="910"/>
      <c r="C56" s="910"/>
      <c r="D56" s="910"/>
      <c r="E56" s="910"/>
      <c r="F56" s="910"/>
      <c r="G56" s="910"/>
      <c r="H56" s="945">
        <f>'1.8.3 RenPTLR'!B56</f>
        <v>1.1858837571797103</v>
      </c>
      <c r="I56" s="945">
        <f>'1.8.3 RenPTLR'!E56</f>
        <v>13.903697334479791</v>
      </c>
      <c r="J56" s="910"/>
      <c r="K56" s="842">
        <f>'1.8.2 RenHLR'!I56+'1.8.3 RenPTLR'!G56</f>
        <v>634.63854588783556</v>
      </c>
      <c r="L56" s="910"/>
      <c r="M56" s="910"/>
      <c r="N56" s="911"/>
      <c r="O56" s="910"/>
      <c r="P56" s="910"/>
      <c r="Q56" s="912"/>
      <c r="R56" s="910"/>
      <c r="S56" s="910"/>
      <c r="T56" s="910"/>
      <c r="U56" s="910"/>
      <c r="V56" s="945">
        <f>'1.8.3 RenPTLR'!H56</f>
        <v>13.695802310844359</v>
      </c>
      <c r="W56" s="910"/>
      <c r="X56" s="910"/>
      <c r="Y56" s="910"/>
      <c r="Z56" s="910"/>
      <c r="AA56" s="945">
        <f>'1.8.3 RenPTLR'!C56</f>
        <v>167.43404509640155</v>
      </c>
      <c r="AB56" s="910"/>
      <c r="AC56" s="910"/>
      <c r="AD56" s="950">
        <f t="shared" si="0"/>
        <v>181.1298474072459</v>
      </c>
      <c r="AF56" s="911"/>
      <c r="AG56" s="910"/>
      <c r="AH56" s="910"/>
      <c r="AI56" s="910"/>
      <c r="AJ56" s="912"/>
      <c r="AK56" s="910"/>
      <c r="AL56" s="910"/>
      <c r="AM56" s="945">
        <f>'1.8.2 RenHLR'!H56</f>
        <v>458.71349417409908</v>
      </c>
      <c r="AN56" s="910"/>
      <c r="AO56" s="912"/>
      <c r="AQ56" s="911"/>
      <c r="AR56" s="910"/>
      <c r="AS56" s="910"/>
      <c r="AT56" s="910"/>
      <c r="AU56" s="912"/>
      <c r="AV56" s="910"/>
      <c r="AW56" s="910"/>
      <c r="AX56" s="910"/>
      <c r="AY56" s="910"/>
      <c r="AZ56" s="912"/>
      <c r="BB56" s="913"/>
      <c r="BC56" s="916"/>
      <c r="BD56" s="910"/>
      <c r="BE56" s="914"/>
      <c r="BF56" s="910"/>
      <c r="BG56" s="910"/>
      <c r="BH56" s="914"/>
      <c r="BI56" s="910"/>
      <c r="BJ56" s="910"/>
      <c r="BK56" s="842">
        <f t="shared" si="1"/>
        <v>167.43404509640155</v>
      </c>
      <c r="BL56" s="1085">
        <f t="shared" si="2"/>
        <v>1107.0478423727791</v>
      </c>
      <c r="BM56" s="910"/>
      <c r="BN56" s="921"/>
    </row>
    <row r="57" spans="1:66" ht="10.5" customHeight="1" x14ac:dyDescent="0.35">
      <c r="A57" s="841">
        <v>1747</v>
      </c>
      <c r="B57" s="910"/>
      <c r="C57" s="910"/>
      <c r="D57" s="910"/>
      <c r="E57" s="910"/>
      <c r="F57" s="910"/>
      <c r="G57" s="910"/>
      <c r="H57" s="945">
        <f>'1.8.3 RenPTLR'!B57</f>
        <v>1.1895463346517654</v>
      </c>
      <c r="I57" s="945">
        <f>'1.8.3 RenPTLR'!E57</f>
        <v>13.942390369733447</v>
      </c>
      <c r="J57" s="910"/>
      <c r="K57" s="842">
        <f>'1.8.2 RenHLR'!I57+'1.8.3 RenPTLR'!G57</f>
        <v>639.95629173098246</v>
      </c>
      <c r="L57" s="910"/>
      <c r="M57" s="910"/>
      <c r="N57" s="911"/>
      <c r="O57" s="910"/>
      <c r="P57" s="910"/>
      <c r="Q57" s="912"/>
      <c r="R57" s="910"/>
      <c r="S57" s="910"/>
      <c r="T57" s="910"/>
      <c r="U57" s="910"/>
      <c r="V57" s="945">
        <f>'1.8.3 RenPTLR'!H57</f>
        <v>14.061209619361266</v>
      </c>
      <c r="W57" s="910"/>
      <c r="X57" s="910"/>
      <c r="Y57" s="910"/>
      <c r="Z57" s="910"/>
      <c r="AA57" s="945">
        <f>'1.8.3 RenPTLR'!C57</f>
        <v>171.11419708124984</v>
      </c>
      <c r="AB57" s="910"/>
      <c r="AC57" s="910"/>
      <c r="AD57" s="950">
        <f t="shared" si="0"/>
        <v>185.17540670061112</v>
      </c>
      <c r="AF57" s="911"/>
      <c r="AG57" s="910"/>
      <c r="AH57" s="910"/>
      <c r="AI57" s="910"/>
      <c r="AJ57" s="912"/>
      <c r="AK57" s="910"/>
      <c r="AL57" s="910"/>
      <c r="AM57" s="945">
        <f>'1.8.2 RenHLR'!H57</f>
        <v>456.05729361363836</v>
      </c>
      <c r="AN57" s="910"/>
      <c r="AO57" s="912"/>
      <c r="AQ57" s="911"/>
      <c r="AR57" s="910"/>
      <c r="AS57" s="910"/>
      <c r="AT57" s="910"/>
      <c r="AU57" s="912"/>
      <c r="AV57" s="910"/>
      <c r="AW57" s="910"/>
      <c r="AX57" s="910"/>
      <c r="AY57" s="910"/>
      <c r="AZ57" s="912"/>
      <c r="BB57" s="913"/>
      <c r="BC57" s="916"/>
      <c r="BD57" s="910"/>
      <c r="BE57" s="914"/>
      <c r="BF57" s="910"/>
      <c r="BG57" s="910"/>
      <c r="BH57" s="914"/>
      <c r="BI57" s="910"/>
      <c r="BJ57" s="910"/>
      <c r="BK57" s="842">
        <f t="shared" si="1"/>
        <v>171.11419708124984</v>
      </c>
      <c r="BL57" s="1085">
        <f t="shared" si="2"/>
        <v>1110.0747949639822</v>
      </c>
      <c r="BM57" s="910"/>
      <c r="BN57" s="921"/>
    </row>
    <row r="58" spans="1:66" ht="10.5" customHeight="1" x14ac:dyDescent="0.35">
      <c r="A58" s="841">
        <v>1748</v>
      </c>
      <c r="B58" s="910"/>
      <c r="C58" s="910"/>
      <c r="D58" s="910"/>
      <c r="E58" s="910"/>
      <c r="F58" s="910"/>
      <c r="G58" s="910"/>
      <c r="H58" s="945">
        <f>'1.8.3 RenPTLR'!B58</f>
        <v>1.1932089121238203</v>
      </c>
      <c r="I58" s="945">
        <f>'1.8.3 RenPTLR'!E58</f>
        <v>13.981083404987102</v>
      </c>
      <c r="J58" s="910"/>
      <c r="K58" s="842">
        <f>'1.8.2 RenHLR'!I58+'1.8.3 RenPTLR'!G58</f>
        <v>645.81492135411031</v>
      </c>
      <c r="L58" s="910"/>
      <c r="M58" s="910"/>
      <c r="N58" s="911"/>
      <c r="O58" s="910"/>
      <c r="P58" s="910"/>
      <c r="Q58" s="912"/>
      <c r="R58" s="910"/>
      <c r="S58" s="910"/>
      <c r="T58" s="910"/>
      <c r="U58" s="910"/>
      <c r="V58" s="945">
        <f>'1.8.3 RenPTLR'!H58</f>
        <v>14.430293713731141</v>
      </c>
      <c r="W58" s="910"/>
      <c r="X58" s="910"/>
      <c r="Y58" s="910"/>
      <c r="Z58" s="910"/>
      <c r="AA58" s="945">
        <f>'1.8.3 RenPTLR'!C58</f>
        <v>174.8016033125792</v>
      </c>
      <c r="AB58" s="910"/>
      <c r="AC58" s="910"/>
      <c r="AD58" s="950">
        <f t="shared" si="0"/>
        <v>189.23189702631035</v>
      </c>
      <c r="AF58" s="911"/>
      <c r="AG58" s="910"/>
      <c r="AH58" s="910"/>
      <c r="AI58" s="910"/>
      <c r="AJ58" s="912"/>
      <c r="AK58" s="910"/>
      <c r="AL58" s="910"/>
      <c r="AM58" s="945">
        <f>'1.8.2 RenHLR'!H58</f>
        <v>453.35200044190276</v>
      </c>
      <c r="AN58" s="910"/>
      <c r="AO58" s="912"/>
      <c r="AQ58" s="911"/>
      <c r="AR58" s="910"/>
      <c r="AS58" s="910"/>
      <c r="AT58" s="910"/>
      <c r="AU58" s="912"/>
      <c r="AV58" s="910"/>
      <c r="AW58" s="910"/>
      <c r="AX58" s="910"/>
      <c r="AY58" s="910"/>
      <c r="AZ58" s="912"/>
      <c r="BB58" s="913"/>
      <c r="BC58" s="916"/>
      <c r="BD58" s="910"/>
      <c r="BE58" s="914"/>
      <c r="BF58" s="910"/>
      <c r="BG58" s="910"/>
      <c r="BH58" s="914"/>
      <c r="BI58" s="910"/>
      <c r="BJ58" s="910"/>
      <c r="BK58" s="842">
        <f t="shared" si="1"/>
        <v>174.8016033125792</v>
      </c>
      <c r="BL58" s="1085">
        <f t="shared" si="2"/>
        <v>1113.5972155097443</v>
      </c>
      <c r="BM58" s="910"/>
      <c r="BN58" s="921"/>
    </row>
    <row r="59" spans="1:66" ht="10.5" customHeight="1" x14ac:dyDescent="0.35">
      <c r="A59" s="841">
        <v>1749</v>
      </c>
      <c r="B59" s="910"/>
      <c r="C59" s="910"/>
      <c r="D59" s="910"/>
      <c r="E59" s="910"/>
      <c r="F59" s="910"/>
      <c r="G59" s="910"/>
      <c r="H59" s="945">
        <f>'1.8.3 RenPTLR'!B59</f>
        <v>1.1968714895958752</v>
      </c>
      <c r="I59" s="945">
        <f>'1.8.3 RenPTLR'!E59</f>
        <v>14.019776440240756</v>
      </c>
      <c r="J59" s="910"/>
      <c r="K59" s="842">
        <f>'1.8.2 RenHLR'!I59+'1.8.3 RenPTLR'!G59</f>
        <v>650.60439667346202</v>
      </c>
      <c r="L59" s="910"/>
      <c r="M59" s="910"/>
      <c r="N59" s="911"/>
      <c r="O59" s="910"/>
      <c r="P59" s="910"/>
      <c r="Q59" s="912"/>
      <c r="R59" s="910"/>
      <c r="S59" s="910"/>
      <c r="T59" s="910"/>
      <c r="U59" s="910"/>
      <c r="V59" s="945">
        <f>'1.8.3 RenPTLR'!H59</f>
        <v>14.803129205257955</v>
      </c>
      <c r="W59" s="910"/>
      <c r="X59" s="910"/>
      <c r="Y59" s="910"/>
      <c r="Z59" s="910"/>
      <c r="AA59" s="945">
        <f>'1.8.3 RenPTLR'!C59</f>
        <v>178.49628968267615</v>
      </c>
      <c r="AB59" s="910"/>
      <c r="AC59" s="910"/>
      <c r="AD59" s="950">
        <f t="shared" si="0"/>
        <v>193.29941888793411</v>
      </c>
      <c r="AF59" s="911"/>
      <c r="AG59" s="910"/>
      <c r="AH59" s="910"/>
      <c r="AI59" s="910"/>
      <c r="AJ59" s="912"/>
      <c r="AK59" s="910"/>
      <c r="AL59" s="910"/>
      <c r="AM59" s="945">
        <f>'1.8.2 RenHLR'!H59</f>
        <v>450.59811088491324</v>
      </c>
      <c r="AN59" s="910"/>
      <c r="AO59" s="912"/>
      <c r="AQ59" s="911"/>
      <c r="AR59" s="910"/>
      <c r="AS59" s="910"/>
      <c r="AT59" s="910"/>
      <c r="AU59" s="912"/>
      <c r="AV59" s="910"/>
      <c r="AW59" s="910"/>
      <c r="AX59" s="910"/>
      <c r="AY59" s="910"/>
      <c r="AZ59" s="912"/>
      <c r="BB59" s="913"/>
      <c r="BC59" s="916"/>
      <c r="BD59" s="910"/>
      <c r="BE59" s="914"/>
      <c r="BF59" s="910"/>
      <c r="BG59" s="910"/>
      <c r="BH59" s="914"/>
      <c r="BI59" s="910"/>
      <c r="BJ59" s="910"/>
      <c r="BK59" s="842">
        <f t="shared" si="1"/>
        <v>178.49628968267615</v>
      </c>
      <c r="BL59" s="1085">
        <f t="shared" si="2"/>
        <v>1116.0056367636332</v>
      </c>
      <c r="BM59" s="910"/>
      <c r="BN59" s="921"/>
    </row>
    <row r="60" spans="1:66" ht="10.5" customHeight="1" x14ac:dyDescent="0.35">
      <c r="A60" s="841">
        <v>1750</v>
      </c>
      <c r="B60" s="910"/>
      <c r="C60" s="910"/>
      <c r="D60" s="910"/>
      <c r="E60" s="910"/>
      <c r="F60" s="910"/>
      <c r="G60" s="910"/>
      <c r="H60" s="945">
        <f>'1.8.3 RenPTLR'!B60</f>
        <v>1.2005340670679305</v>
      </c>
      <c r="I60" s="945">
        <f>'1.8.3 RenPTLR'!E60</f>
        <v>14.058469475494411</v>
      </c>
      <c r="J60" s="910"/>
      <c r="K60" s="842">
        <f>'1.8.2 RenHLR'!I60+'1.8.3 RenPTLR'!G60</f>
        <v>655.28638748493779</v>
      </c>
      <c r="L60" s="910"/>
      <c r="M60" s="910"/>
      <c r="N60" s="911"/>
      <c r="O60" s="910"/>
      <c r="P60" s="910"/>
      <c r="Q60" s="912"/>
      <c r="R60" s="910"/>
      <c r="S60" s="910"/>
      <c r="T60" s="910"/>
      <c r="U60" s="910"/>
      <c r="V60" s="945">
        <f>'1.8.3 RenPTLR'!H60</f>
        <v>15.179792713750363</v>
      </c>
      <c r="W60" s="910"/>
      <c r="X60" s="910"/>
      <c r="Y60" s="910"/>
      <c r="Z60" s="910"/>
      <c r="AA60" s="945">
        <f>'1.8.3 RenPTLR'!C60</f>
        <v>182.19828218691617</v>
      </c>
      <c r="AB60" s="910"/>
      <c r="AC60" s="910"/>
      <c r="AD60" s="950">
        <f t="shared" si="0"/>
        <v>197.37807490066655</v>
      </c>
      <c r="AF60" s="911"/>
      <c r="AG60" s="910"/>
      <c r="AH60" s="910"/>
      <c r="AI60" s="910"/>
      <c r="AJ60" s="912"/>
      <c r="AK60" s="910"/>
      <c r="AL60" s="910"/>
      <c r="AM60" s="945">
        <f>'1.8.2 RenHLR'!H60</f>
        <v>447.79611450337262</v>
      </c>
      <c r="AN60" s="910"/>
      <c r="AO60" s="912"/>
      <c r="AQ60" s="911"/>
      <c r="AR60" s="910"/>
      <c r="AS60" s="910"/>
      <c r="AT60" s="910"/>
      <c r="AU60" s="912"/>
      <c r="AV60" s="910"/>
      <c r="AW60" s="910"/>
      <c r="AX60" s="910"/>
      <c r="AY60" s="910"/>
      <c r="AZ60" s="912"/>
      <c r="BB60" s="913"/>
      <c r="BC60" s="916"/>
      <c r="BD60" s="910"/>
      <c r="BE60" s="914"/>
      <c r="BF60" s="910"/>
      <c r="BG60" s="910"/>
      <c r="BH60" s="914"/>
      <c r="BI60" s="910"/>
      <c r="BJ60" s="910"/>
      <c r="BK60" s="842">
        <f t="shared" si="1"/>
        <v>182.19828218691617</v>
      </c>
      <c r="BL60" s="1085">
        <f t="shared" si="2"/>
        <v>1118.2622947020607</v>
      </c>
      <c r="BM60" s="910"/>
      <c r="BN60" s="921"/>
    </row>
    <row r="61" spans="1:66" ht="10.5" customHeight="1" x14ac:dyDescent="0.35">
      <c r="A61" s="841">
        <v>1751</v>
      </c>
      <c r="B61" s="910"/>
      <c r="C61" s="910"/>
      <c r="D61" s="910"/>
      <c r="E61" s="910"/>
      <c r="F61" s="910"/>
      <c r="G61" s="910"/>
      <c r="H61" s="945">
        <f>'1.8.3 RenPTLR'!B61</f>
        <v>1.2041966445399857</v>
      </c>
      <c r="I61" s="945">
        <f>'1.8.3 RenPTLR'!E61</f>
        <v>14.097162510748063</v>
      </c>
      <c r="J61" s="910"/>
      <c r="K61" s="842">
        <f>'1.8.2 RenHLR'!I61+'1.8.3 RenPTLR'!G61</f>
        <v>660.51431211510157</v>
      </c>
      <c r="L61" s="910"/>
      <c r="M61" s="910"/>
      <c r="N61" s="911"/>
      <c r="O61" s="910"/>
      <c r="P61" s="910"/>
      <c r="Q61" s="912"/>
      <c r="R61" s="910"/>
      <c r="S61" s="910"/>
      <c r="T61" s="910"/>
      <c r="U61" s="910"/>
      <c r="V61" s="945">
        <f>'1.8.3 RenPTLR'!H61</f>
        <v>15.560362937806419</v>
      </c>
      <c r="W61" s="910"/>
      <c r="X61" s="910"/>
      <c r="Y61" s="910"/>
      <c r="Z61" s="910"/>
      <c r="AA61" s="945">
        <f>'1.8.3 RenPTLR'!C61</f>
        <v>185.90760692412064</v>
      </c>
      <c r="AB61" s="910"/>
      <c r="AC61" s="910"/>
      <c r="AD61" s="950">
        <f t="shared" si="0"/>
        <v>201.46796986192706</v>
      </c>
      <c r="AF61" s="911"/>
      <c r="AG61" s="910"/>
      <c r="AH61" s="910"/>
      <c r="AI61" s="910"/>
      <c r="AJ61" s="912"/>
      <c r="AK61" s="910"/>
      <c r="AL61" s="910"/>
      <c r="AM61" s="945">
        <f>'1.8.2 RenHLR'!H61</f>
        <v>453.29928047886619</v>
      </c>
      <c r="AN61" s="910"/>
      <c r="AO61" s="912"/>
      <c r="AQ61" s="911"/>
      <c r="AR61" s="910"/>
      <c r="AS61" s="910"/>
      <c r="AT61" s="910"/>
      <c r="AU61" s="912"/>
      <c r="AV61" s="910"/>
      <c r="AW61" s="910"/>
      <c r="AX61" s="910"/>
      <c r="AY61" s="910"/>
      <c r="AZ61" s="912"/>
      <c r="BB61" s="913"/>
      <c r="BC61" s="916"/>
      <c r="BD61" s="910"/>
      <c r="BE61" s="914"/>
      <c r="BF61" s="910"/>
      <c r="BG61" s="910"/>
      <c r="BH61" s="914"/>
      <c r="BI61" s="910"/>
      <c r="BJ61" s="910"/>
      <c r="BK61" s="842">
        <f t="shared" si="1"/>
        <v>185.90760692412064</v>
      </c>
      <c r="BL61" s="1085">
        <f t="shared" si="2"/>
        <v>1129.3739555317743</v>
      </c>
      <c r="BM61" s="910"/>
      <c r="BN61" s="921"/>
    </row>
    <row r="62" spans="1:66" ht="10.5" customHeight="1" x14ac:dyDescent="0.35">
      <c r="A62" s="841">
        <v>1752</v>
      </c>
      <c r="B62" s="910"/>
      <c r="C62" s="910"/>
      <c r="D62" s="910"/>
      <c r="E62" s="910"/>
      <c r="F62" s="910"/>
      <c r="G62" s="910"/>
      <c r="H62" s="945">
        <f>'1.8.3 RenPTLR'!B62</f>
        <v>1.2078592220120405</v>
      </c>
      <c r="I62" s="945">
        <f>'1.8.3 RenPTLR'!E62</f>
        <v>14.13585554600172</v>
      </c>
      <c r="J62" s="910"/>
      <c r="K62" s="842">
        <f>'1.8.2 RenHLR'!I62+'1.8.3 RenPTLR'!G62</f>
        <v>664.85093521333931</v>
      </c>
      <c r="L62" s="910"/>
      <c r="M62" s="910"/>
      <c r="N62" s="911"/>
      <c r="O62" s="910"/>
      <c r="P62" s="910"/>
      <c r="Q62" s="912"/>
      <c r="R62" s="910"/>
      <c r="S62" s="910"/>
      <c r="T62" s="910"/>
      <c r="U62" s="910"/>
      <c r="V62" s="945">
        <f>'1.8.3 RenPTLR'!H62</f>
        <v>15.944920728168201</v>
      </c>
      <c r="W62" s="910"/>
      <c r="X62" s="910"/>
      <c r="Y62" s="910"/>
      <c r="Z62" s="910"/>
      <c r="AA62" s="945">
        <f>'1.8.3 RenPTLR'!C62</f>
        <v>189.62429009691479</v>
      </c>
      <c r="AB62" s="910"/>
      <c r="AC62" s="910"/>
      <c r="AD62" s="950">
        <f t="shared" si="0"/>
        <v>205.56921082508299</v>
      </c>
      <c r="AF62" s="911"/>
      <c r="AG62" s="910"/>
      <c r="AH62" s="910"/>
      <c r="AI62" s="910"/>
      <c r="AJ62" s="912"/>
      <c r="AK62" s="910"/>
      <c r="AL62" s="910"/>
      <c r="AM62" s="945">
        <f>'1.8.2 RenHLR'!H62</f>
        <v>458.52756613027128</v>
      </c>
      <c r="AN62" s="910"/>
      <c r="AO62" s="912"/>
      <c r="AQ62" s="911"/>
      <c r="AR62" s="910"/>
      <c r="AS62" s="910"/>
      <c r="AT62" s="910"/>
      <c r="AU62" s="912"/>
      <c r="AV62" s="910"/>
      <c r="AW62" s="910"/>
      <c r="AX62" s="910"/>
      <c r="AY62" s="910"/>
      <c r="AZ62" s="912"/>
      <c r="BB62" s="913"/>
      <c r="BC62" s="916"/>
      <c r="BD62" s="910"/>
      <c r="BE62" s="914"/>
      <c r="BF62" s="910"/>
      <c r="BG62" s="910"/>
      <c r="BH62" s="914"/>
      <c r="BI62" s="910"/>
      <c r="BJ62" s="910"/>
      <c r="BK62" s="842">
        <f t="shared" si="1"/>
        <v>189.62429009691479</v>
      </c>
      <c r="BL62" s="1085">
        <f t="shared" si="2"/>
        <v>1139.3234220717789</v>
      </c>
      <c r="BM62" s="910"/>
      <c r="BN62" s="921"/>
    </row>
    <row r="63" spans="1:66" ht="10.5" customHeight="1" x14ac:dyDescent="0.35">
      <c r="A63" s="841">
        <v>1753</v>
      </c>
      <c r="B63" s="910"/>
      <c r="C63" s="910"/>
      <c r="D63" s="910"/>
      <c r="E63" s="910"/>
      <c r="F63" s="910"/>
      <c r="G63" s="910"/>
      <c r="H63" s="945">
        <f>'1.8.3 RenPTLR'!B63</f>
        <v>1.2115217994840957</v>
      </c>
      <c r="I63" s="945">
        <f>'1.8.3 RenPTLR'!E63</f>
        <v>14.174548581255372</v>
      </c>
      <c r="J63" s="910"/>
      <c r="K63" s="842">
        <f>'1.8.2 RenHLR'!I63+'1.8.3 RenPTLR'!G63</f>
        <v>668.98453792592341</v>
      </c>
      <c r="L63" s="910"/>
      <c r="M63" s="910"/>
      <c r="N63" s="911"/>
      <c r="O63" s="910"/>
      <c r="P63" s="910"/>
      <c r="Q63" s="912"/>
      <c r="R63" s="910"/>
      <c r="S63" s="910"/>
      <c r="T63" s="910"/>
      <c r="U63" s="910"/>
      <c r="V63" s="945">
        <f>'1.8.3 RenPTLR'!H63</f>
        <v>16.333549164309652</v>
      </c>
      <c r="W63" s="910"/>
      <c r="X63" s="910"/>
      <c r="Y63" s="910"/>
      <c r="Z63" s="910"/>
      <c r="AA63" s="945">
        <f>'1.8.3 RenPTLR'!C63</f>
        <v>193.3483580120872</v>
      </c>
      <c r="AB63" s="910"/>
      <c r="AC63" s="910"/>
      <c r="AD63" s="950">
        <f t="shared" si="0"/>
        <v>209.68190717639686</v>
      </c>
      <c r="AF63" s="911"/>
      <c r="AG63" s="910"/>
      <c r="AH63" s="910"/>
      <c r="AI63" s="910"/>
      <c r="AJ63" s="912"/>
      <c r="AK63" s="910"/>
      <c r="AL63" s="910"/>
      <c r="AM63" s="945">
        <f>'1.8.2 RenHLR'!H63</f>
        <v>463.48371298781728</v>
      </c>
      <c r="AN63" s="910"/>
      <c r="AO63" s="912"/>
      <c r="AQ63" s="911"/>
      <c r="AR63" s="910"/>
      <c r="AS63" s="910"/>
      <c r="AT63" s="910"/>
      <c r="AU63" s="912"/>
      <c r="AV63" s="910"/>
      <c r="AW63" s="910"/>
      <c r="AX63" s="910"/>
      <c r="AY63" s="910"/>
      <c r="AZ63" s="912"/>
      <c r="BB63" s="913"/>
      <c r="BC63" s="916"/>
      <c r="BD63" s="910"/>
      <c r="BE63" s="914"/>
      <c r="BF63" s="910"/>
      <c r="BG63" s="910"/>
      <c r="BH63" s="914"/>
      <c r="BI63" s="910"/>
      <c r="BJ63" s="910"/>
      <c r="BK63" s="842">
        <f t="shared" si="1"/>
        <v>193.3483580120872</v>
      </c>
      <c r="BL63" s="1085">
        <f t="shared" si="2"/>
        <v>1148.8018000780503</v>
      </c>
      <c r="BM63" s="910"/>
      <c r="BN63" s="921"/>
    </row>
    <row r="64" spans="1:66" ht="10.5" customHeight="1" x14ac:dyDescent="0.35">
      <c r="A64" s="841">
        <v>1754</v>
      </c>
      <c r="B64" s="910"/>
      <c r="C64" s="910"/>
      <c r="D64" s="910"/>
      <c r="E64" s="910"/>
      <c r="F64" s="910"/>
      <c r="G64" s="910"/>
      <c r="H64" s="945">
        <f>'1.8.3 RenPTLR'!B64</f>
        <v>1.2151843769561508</v>
      </c>
      <c r="I64" s="945">
        <f>'1.8.3 RenPTLR'!E64</f>
        <v>14.213241616509027</v>
      </c>
      <c r="J64" s="910"/>
      <c r="K64" s="842">
        <f>'1.8.2 RenHLR'!I64+'1.8.3 RenPTLR'!G64</f>
        <v>673.95670504395525</v>
      </c>
      <c r="L64" s="910"/>
      <c r="M64" s="910"/>
      <c r="N64" s="911"/>
      <c r="O64" s="910"/>
      <c r="P64" s="910"/>
      <c r="Q64" s="912"/>
      <c r="R64" s="910"/>
      <c r="S64" s="910"/>
      <c r="T64" s="910"/>
      <c r="U64" s="910"/>
      <c r="V64" s="945">
        <f>'1.8.3 RenPTLR'!H64</f>
        <v>16.726333634430706</v>
      </c>
      <c r="W64" s="910"/>
      <c r="X64" s="910"/>
      <c r="Y64" s="910"/>
      <c r="Z64" s="910"/>
      <c r="AA64" s="945">
        <f>'1.8.3 RenPTLR'!C64</f>
        <v>197.07983708095011</v>
      </c>
      <c r="AB64" s="910"/>
      <c r="AC64" s="910"/>
      <c r="AD64" s="950">
        <f t="shared" si="0"/>
        <v>213.80617071538083</v>
      </c>
      <c r="AF64" s="911"/>
      <c r="AG64" s="910"/>
      <c r="AH64" s="910"/>
      <c r="AI64" s="910"/>
      <c r="AJ64" s="912"/>
      <c r="AK64" s="910"/>
      <c r="AL64" s="910"/>
      <c r="AM64" s="945">
        <f>'1.8.2 RenHLR'!H64</f>
        <v>468.17042624551385</v>
      </c>
      <c r="AN64" s="910"/>
      <c r="AO64" s="912"/>
      <c r="AQ64" s="911"/>
      <c r="AR64" s="910"/>
      <c r="AS64" s="910"/>
      <c r="AT64" s="910"/>
      <c r="AU64" s="912"/>
      <c r="AV64" s="910"/>
      <c r="AW64" s="910"/>
      <c r="AX64" s="910"/>
      <c r="AY64" s="910"/>
      <c r="AZ64" s="912"/>
      <c r="BB64" s="913"/>
      <c r="BC64" s="916"/>
      <c r="BD64" s="910"/>
      <c r="BE64" s="914"/>
      <c r="BF64" s="910"/>
      <c r="BG64" s="910"/>
      <c r="BH64" s="914"/>
      <c r="BI64" s="910"/>
      <c r="BJ64" s="910"/>
      <c r="BK64" s="842">
        <f t="shared" si="1"/>
        <v>197.07983708095011</v>
      </c>
      <c r="BL64" s="1085">
        <f t="shared" si="2"/>
        <v>1158.8534649238998</v>
      </c>
      <c r="BM64" s="910"/>
      <c r="BN64" s="921"/>
    </row>
    <row r="65" spans="1:66" ht="10.5" customHeight="1" x14ac:dyDescent="0.35">
      <c r="A65" s="841">
        <v>1755</v>
      </c>
      <c r="B65" s="910"/>
      <c r="C65" s="910"/>
      <c r="D65" s="910"/>
      <c r="E65" s="910"/>
      <c r="F65" s="910"/>
      <c r="G65" s="910"/>
      <c r="H65" s="945">
        <f>'1.8.3 RenPTLR'!B65</f>
        <v>1.2188469544282059</v>
      </c>
      <c r="I65" s="945">
        <f>'1.8.3 RenPTLR'!E65</f>
        <v>14.251934651762683</v>
      </c>
      <c r="J65" s="910"/>
      <c r="K65" s="842">
        <f>'1.8.2 RenHLR'!I65+'1.8.3 RenPTLR'!G65</f>
        <v>680.01187258964228</v>
      </c>
      <c r="L65" s="910"/>
      <c r="M65" s="910"/>
      <c r="N65" s="911"/>
      <c r="O65" s="910"/>
      <c r="P65" s="910"/>
      <c r="Q65" s="912"/>
      <c r="R65" s="910"/>
      <c r="S65" s="910"/>
      <c r="T65" s="910"/>
      <c r="U65" s="910"/>
      <c r="V65" s="945">
        <f>'1.8.3 RenPTLR'!H65</f>
        <v>17.123361919042296</v>
      </c>
      <c r="W65" s="910"/>
      <c r="X65" s="910"/>
      <c r="Y65" s="910"/>
      <c r="Z65" s="910"/>
      <c r="AA65" s="945">
        <f>'1.8.3 RenPTLR'!C65</f>
        <v>200.81875381970087</v>
      </c>
      <c r="AB65" s="910"/>
      <c r="AC65" s="910"/>
      <c r="AD65" s="950">
        <f t="shared" si="0"/>
        <v>217.94211573874315</v>
      </c>
      <c r="AF65" s="911"/>
      <c r="AG65" s="910"/>
      <c r="AH65" s="910"/>
      <c r="AI65" s="910"/>
      <c r="AJ65" s="912"/>
      <c r="AK65" s="910"/>
      <c r="AL65" s="910"/>
      <c r="AM65" s="945">
        <f>'1.8.2 RenHLR'!H65</f>
        <v>472.59037536116386</v>
      </c>
      <c r="AN65" s="910"/>
      <c r="AO65" s="912"/>
      <c r="AQ65" s="911"/>
      <c r="AR65" s="910"/>
      <c r="AS65" s="910"/>
      <c r="AT65" s="910"/>
      <c r="AU65" s="912"/>
      <c r="AV65" s="910"/>
      <c r="AW65" s="910"/>
      <c r="AX65" s="910"/>
      <c r="AY65" s="910"/>
      <c r="AZ65" s="912"/>
      <c r="BB65" s="913"/>
      <c r="BC65" s="916"/>
      <c r="BD65" s="910"/>
      <c r="BE65" s="914"/>
      <c r="BF65" s="910"/>
      <c r="BG65" s="910"/>
      <c r="BH65" s="914"/>
      <c r="BI65" s="910"/>
      <c r="BJ65" s="910"/>
      <c r="BK65" s="842">
        <f t="shared" si="1"/>
        <v>200.81875381970087</v>
      </c>
      <c r="BL65" s="1085">
        <f t="shared" si="2"/>
        <v>1169.7256098698485</v>
      </c>
      <c r="BM65" s="910"/>
      <c r="BN65" s="921"/>
    </row>
    <row r="66" spans="1:66" ht="10.5" customHeight="1" x14ac:dyDescent="0.35">
      <c r="A66" s="841">
        <v>1756</v>
      </c>
      <c r="B66" s="910"/>
      <c r="C66" s="910"/>
      <c r="D66" s="910"/>
      <c r="E66" s="910"/>
      <c r="F66" s="910"/>
      <c r="G66" s="910"/>
      <c r="H66" s="945">
        <f>'1.8.3 RenPTLR'!B66</f>
        <v>1.222509531900261</v>
      </c>
      <c r="I66" s="945">
        <f>'1.8.3 RenPTLR'!E66</f>
        <v>14.290627687016334</v>
      </c>
      <c r="J66" s="910"/>
      <c r="K66" s="842">
        <f>'1.8.2 RenHLR'!I66+'1.8.3 RenPTLR'!G66</f>
        <v>684.83759576908017</v>
      </c>
      <c r="L66" s="910"/>
      <c r="M66" s="910"/>
      <c r="N66" s="911"/>
      <c r="O66" s="910"/>
      <c r="P66" s="910"/>
      <c r="Q66" s="912"/>
      <c r="R66" s="910"/>
      <c r="S66" s="910"/>
      <c r="T66" s="910"/>
      <c r="U66" s="910"/>
      <c r="V66" s="945">
        <f>'1.8.3 RenPTLR'!H66</f>
        <v>17.524724278338336</v>
      </c>
      <c r="W66" s="910"/>
      <c r="X66" s="910"/>
      <c r="Y66" s="910"/>
      <c r="Z66" s="910"/>
      <c r="AA66" s="945">
        <f>'1.8.3 RenPTLR'!C66</f>
        <v>204.56513484978436</v>
      </c>
      <c r="AB66" s="910"/>
      <c r="AC66" s="910"/>
      <c r="AD66" s="950">
        <f t="shared" si="0"/>
        <v>222.0898591281227</v>
      </c>
      <c r="AF66" s="911"/>
      <c r="AG66" s="910"/>
      <c r="AH66" s="910"/>
      <c r="AI66" s="910"/>
      <c r="AJ66" s="912"/>
      <c r="AK66" s="910"/>
      <c r="AL66" s="910"/>
      <c r="AM66" s="945">
        <f>'1.8.2 RenHLR'!H66</f>
        <v>476.746194644524</v>
      </c>
      <c r="AN66" s="910"/>
      <c r="AO66" s="912"/>
      <c r="AQ66" s="911"/>
      <c r="AR66" s="910"/>
      <c r="AS66" s="910"/>
      <c r="AT66" s="910"/>
      <c r="AU66" s="912"/>
      <c r="AV66" s="910"/>
      <c r="AW66" s="910"/>
      <c r="AX66" s="910"/>
      <c r="AY66" s="910"/>
      <c r="AZ66" s="912"/>
      <c r="BB66" s="913"/>
      <c r="BC66" s="916"/>
      <c r="BD66" s="910"/>
      <c r="BE66" s="914"/>
      <c r="BF66" s="910"/>
      <c r="BG66" s="910"/>
      <c r="BH66" s="914"/>
      <c r="BI66" s="910"/>
      <c r="BJ66" s="910"/>
      <c r="BK66" s="842">
        <f t="shared" si="1"/>
        <v>204.56513484978436</v>
      </c>
      <c r="BL66" s="1085">
        <f t="shared" si="2"/>
        <v>1179.1085146919424</v>
      </c>
      <c r="BM66" s="910"/>
      <c r="BN66" s="921"/>
    </row>
    <row r="67" spans="1:66" ht="10.5" customHeight="1" x14ac:dyDescent="0.35">
      <c r="A67" s="841">
        <v>1757</v>
      </c>
      <c r="B67" s="910"/>
      <c r="C67" s="910"/>
      <c r="D67" s="910"/>
      <c r="E67" s="910"/>
      <c r="F67" s="910"/>
      <c r="G67" s="910"/>
      <c r="H67" s="945">
        <f>'1.8.3 RenPTLR'!B67</f>
        <v>1.2261721093723157</v>
      </c>
      <c r="I67" s="945">
        <f>'1.8.3 RenPTLR'!E67</f>
        <v>14.329320722269991</v>
      </c>
      <c r="J67" s="910"/>
      <c r="K67" s="842">
        <f>'1.8.2 RenHLR'!I67+'1.8.3 RenPTLR'!G67</f>
        <v>690.93654156767548</v>
      </c>
      <c r="L67" s="910"/>
      <c r="M67" s="910"/>
      <c r="N67" s="911"/>
      <c r="O67" s="910"/>
      <c r="P67" s="910"/>
      <c r="Q67" s="912"/>
      <c r="R67" s="910"/>
      <c r="S67" s="910"/>
      <c r="T67" s="910"/>
      <c r="U67" s="910"/>
      <c r="V67" s="945">
        <f>'1.8.3 RenPTLR'!H67</f>
        <v>17.93051354356394</v>
      </c>
      <c r="W67" s="910"/>
      <c r="X67" s="910"/>
      <c r="Y67" s="910"/>
      <c r="Z67" s="910"/>
      <c r="AA67" s="945">
        <f>'1.8.3 RenPTLR'!C67</f>
        <v>208.31900689825693</v>
      </c>
      <c r="AB67" s="910"/>
      <c r="AC67" s="910"/>
      <c r="AD67" s="950">
        <f t="shared" si="0"/>
        <v>226.24952044182086</v>
      </c>
      <c r="AF67" s="911"/>
      <c r="AG67" s="910"/>
      <c r="AH67" s="910"/>
      <c r="AI67" s="910"/>
      <c r="AJ67" s="912"/>
      <c r="AK67" s="910"/>
      <c r="AL67" s="910"/>
      <c r="AM67" s="945">
        <f>'1.8.2 RenHLR'!H67</f>
        <v>480.64048383388871</v>
      </c>
      <c r="AN67" s="910"/>
      <c r="AO67" s="912"/>
      <c r="AQ67" s="911"/>
      <c r="AR67" s="910"/>
      <c r="AS67" s="910"/>
      <c r="AT67" s="910"/>
      <c r="AU67" s="912"/>
      <c r="AV67" s="910"/>
      <c r="AW67" s="910"/>
      <c r="AX67" s="910"/>
      <c r="AY67" s="910"/>
      <c r="AZ67" s="912"/>
      <c r="BB67" s="913"/>
      <c r="BC67" s="916"/>
      <c r="BD67" s="910"/>
      <c r="BE67" s="914"/>
      <c r="BF67" s="910"/>
      <c r="BG67" s="910"/>
      <c r="BH67" s="914"/>
      <c r="BI67" s="910"/>
      <c r="BJ67" s="910"/>
      <c r="BK67" s="842">
        <f t="shared" si="1"/>
        <v>208.31900689825693</v>
      </c>
      <c r="BL67" s="1085">
        <f t="shared" si="2"/>
        <v>1189.5075389451281</v>
      </c>
      <c r="BM67" s="910"/>
      <c r="BN67" s="921"/>
    </row>
    <row r="68" spans="1:66" ht="10.5" customHeight="1" x14ac:dyDescent="0.35">
      <c r="A68" s="841">
        <v>1758</v>
      </c>
      <c r="B68" s="910"/>
      <c r="C68" s="910"/>
      <c r="D68" s="910"/>
      <c r="E68" s="910"/>
      <c r="F68" s="910"/>
      <c r="G68" s="910"/>
      <c r="H68" s="945">
        <f>'1.8.3 RenPTLR'!B68</f>
        <v>1.229834686844371</v>
      </c>
      <c r="I68" s="945">
        <f>'1.8.3 RenPTLR'!E68</f>
        <v>14.368013757523645</v>
      </c>
      <c r="J68" s="910"/>
      <c r="K68" s="842">
        <f>'1.8.2 RenHLR'!I68+'1.8.3 RenPTLR'!G68</f>
        <v>695.97375493538755</v>
      </c>
      <c r="L68" s="910"/>
      <c r="M68" s="910"/>
      <c r="N68" s="911"/>
      <c r="O68" s="910"/>
      <c r="P68" s="910"/>
      <c r="Q68" s="912"/>
      <c r="R68" s="910"/>
      <c r="S68" s="910"/>
      <c r="T68" s="910"/>
      <c r="U68" s="910"/>
      <c r="V68" s="945">
        <f>'1.8.3 RenPTLR'!H68</f>
        <v>18.340825212602486</v>
      </c>
      <c r="W68" s="910"/>
      <c r="X68" s="910"/>
      <c r="Y68" s="910"/>
      <c r="Z68" s="910"/>
      <c r="AA68" s="945">
        <f>'1.8.3 RenPTLR'!C68</f>
        <v>212.08039679815104</v>
      </c>
      <c r="AB68" s="910"/>
      <c r="AC68" s="910"/>
      <c r="AD68" s="950">
        <f t="shared" si="0"/>
        <v>230.42122201075352</v>
      </c>
      <c r="AF68" s="911"/>
      <c r="AG68" s="910"/>
      <c r="AH68" s="910"/>
      <c r="AI68" s="910"/>
      <c r="AJ68" s="912"/>
      <c r="AK68" s="910"/>
      <c r="AL68" s="910"/>
      <c r="AM68" s="945">
        <f>'1.8.2 RenHLR'!H68</f>
        <v>484.27580866135912</v>
      </c>
      <c r="AN68" s="910"/>
      <c r="AO68" s="912"/>
      <c r="AQ68" s="911"/>
      <c r="AR68" s="910"/>
      <c r="AS68" s="910"/>
      <c r="AT68" s="910"/>
      <c r="AU68" s="912"/>
      <c r="AV68" s="910"/>
      <c r="AW68" s="910"/>
      <c r="AX68" s="910"/>
      <c r="AY68" s="910"/>
      <c r="AZ68" s="912"/>
      <c r="BB68" s="913"/>
      <c r="BC68" s="916"/>
      <c r="BD68" s="910"/>
      <c r="BE68" s="914"/>
      <c r="BF68" s="910"/>
      <c r="BG68" s="910"/>
      <c r="BH68" s="914"/>
      <c r="BI68" s="910"/>
      <c r="BJ68" s="910"/>
      <c r="BK68" s="842">
        <f t="shared" si="1"/>
        <v>212.08039679815104</v>
      </c>
      <c r="BL68" s="1085">
        <f t="shared" si="2"/>
        <v>1198.5903888093492</v>
      </c>
      <c r="BM68" s="910"/>
      <c r="BN68" s="921"/>
    </row>
    <row r="69" spans="1:66" ht="10.5" customHeight="1" x14ac:dyDescent="0.35">
      <c r="A69" s="841">
        <v>1759</v>
      </c>
      <c r="B69" s="910"/>
      <c r="C69" s="910"/>
      <c r="D69" s="910"/>
      <c r="E69" s="910"/>
      <c r="F69" s="910"/>
      <c r="G69" s="910"/>
      <c r="H69" s="945">
        <f>'1.8.3 RenPTLR'!B69</f>
        <v>1.2334972643164259</v>
      </c>
      <c r="I69" s="945">
        <f>'1.8.3 RenPTLR'!E69</f>
        <v>14.406706792777298</v>
      </c>
      <c r="J69" s="910"/>
      <c r="K69" s="842">
        <f>'1.8.2 RenHLR'!I69+'1.8.3 RenPTLR'!G69</f>
        <v>702.36815182153975</v>
      </c>
      <c r="L69" s="910"/>
      <c r="M69" s="910"/>
      <c r="N69" s="911"/>
      <c r="O69" s="910"/>
      <c r="P69" s="910"/>
      <c r="Q69" s="912"/>
      <c r="R69" s="910"/>
      <c r="S69" s="910"/>
      <c r="T69" s="910"/>
      <c r="U69" s="910"/>
      <c r="V69" s="945">
        <f>'1.8.3 RenPTLR'!H69</f>
        <v>18.755757550019428</v>
      </c>
      <c r="W69" s="910"/>
      <c r="X69" s="910"/>
      <c r="Y69" s="910"/>
      <c r="Z69" s="910"/>
      <c r="AA69" s="945">
        <f>'1.8.3 RenPTLR'!C69</f>
        <v>215.84933148884105</v>
      </c>
      <c r="AB69" s="910"/>
      <c r="AC69" s="910"/>
      <c r="AD69" s="950">
        <f t="shared" si="0"/>
        <v>234.60508903886048</v>
      </c>
      <c r="AF69" s="911"/>
      <c r="AG69" s="910"/>
      <c r="AH69" s="910"/>
      <c r="AI69" s="910"/>
      <c r="AJ69" s="912"/>
      <c r="AK69" s="910"/>
      <c r="AL69" s="910"/>
      <c r="AM69" s="945">
        <f>'1.8.2 RenHLR'!H69</f>
        <v>487.65470140706083</v>
      </c>
      <c r="AN69" s="910"/>
      <c r="AO69" s="912"/>
      <c r="AQ69" s="911"/>
      <c r="AR69" s="910"/>
      <c r="AS69" s="910"/>
      <c r="AT69" s="910"/>
      <c r="AU69" s="912"/>
      <c r="AV69" s="910"/>
      <c r="AW69" s="910"/>
      <c r="AX69" s="910"/>
      <c r="AY69" s="910"/>
      <c r="AZ69" s="912"/>
      <c r="BB69" s="913"/>
      <c r="BC69" s="916"/>
      <c r="BD69" s="910"/>
      <c r="BE69" s="914"/>
      <c r="BF69" s="910"/>
      <c r="BG69" s="910"/>
      <c r="BH69" s="914"/>
      <c r="BI69" s="910"/>
      <c r="BJ69" s="910"/>
      <c r="BK69" s="842">
        <f t="shared" si="1"/>
        <v>215.84933148884105</v>
      </c>
      <c r="BL69" s="1085">
        <f t="shared" si="2"/>
        <v>1208.7786107786201</v>
      </c>
      <c r="BM69" s="910"/>
      <c r="BN69" s="921"/>
    </row>
    <row r="70" spans="1:66" ht="10.5" customHeight="1" x14ac:dyDescent="0.35">
      <c r="A70" s="841">
        <v>1760</v>
      </c>
      <c r="B70" s="910"/>
      <c r="C70" s="910"/>
      <c r="D70" s="910"/>
      <c r="E70" s="910"/>
      <c r="F70" s="910"/>
      <c r="G70" s="910"/>
      <c r="H70" s="945">
        <f>'1.8.3 RenPTLR'!B70</f>
        <v>1.2371598417884813</v>
      </c>
      <c r="I70" s="945">
        <f>'1.8.3 RenPTLR'!E70</f>
        <v>14.445399828030954</v>
      </c>
      <c r="J70" s="910"/>
      <c r="K70" s="842">
        <f>'1.8.2 RenHLR'!I70+'1.8.3 RenPTLR'!G70</f>
        <v>707.47927460970084</v>
      </c>
      <c r="L70" s="910"/>
      <c r="M70" s="910"/>
      <c r="N70" s="911"/>
      <c r="O70" s="910"/>
      <c r="P70" s="910"/>
      <c r="Q70" s="912"/>
      <c r="R70" s="910"/>
      <c r="S70" s="910"/>
      <c r="T70" s="910"/>
      <c r="U70" s="910"/>
      <c r="V70" s="945">
        <f>'1.8.3 RenPTLR'!H70</f>
        <v>19.175411691816151</v>
      </c>
      <c r="W70" s="910"/>
      <c r="X70" s="910"/>
      <c r="Y70" s="910"/>
      <c r="Z70" s="910"/>
      <c r="AA70" s="945">
        <f>'1.8.3 RenPTLR'!C70</f>
        <v>219.62583801640827</v>
      </c>
      <c r="AB70" s="910"/>
      <c r="AC70" s="910"/>
      <c r="AD70" s="950">
        <f t="shared" si="0"/>
        <v>238.80124970822442</v>
      </c>
      <c r="AF70" s="911"/>
      <c r="AG70" s="910"/>
      <c r="AH70" s="910"/>
      <c r="AI70" s="910"/>
      <c r="AJ70" s="912"/>
      <c r="AK70" s="910"/>
      <c r="AL70" s="910"/>
      <c r="AM70" s="945">
        <f>'1.8.2 RenHLR'!H70</f>
        <v>490.77966144255282</v>
      </c>
      <c r="AN70" s="910"/>
      <c r="AO70" s="912"/>
      <c r="AQ70" s="911"/>
      <c r="AR70" s="910"/>
      <c r="AS70" s="910"/>
      <c r="AT70" s="910"/>
      <c r="AU70" s="912"/>
      <c r="AV70" s="910"/>
      <c r="AW70" s="910"/>
      <c r="AX70" s="910"/>
      <c r="AY70" s="910"/>
      <c r="AZ70" s="912"/>
      <c r="BB70" s="913"/>
      <c r="BC70" s="916"/>
      <c r="BD70" s="910"/>
      <c r="BE70" s="914"/>
      <c r="BF70" s="910"/>
      <c r="BG70" s="910"/>
      <c r="BH70" s="914"/>
      <c r="BI70" s="910"/>
      <c r="BJ70" s="910"/>
      <c r="BK70" s="842">
        <f t="shared" si="1"/>
        <v>219.62583801640827</v>
      </c>
      <c r="BL70" s="1085">
        <f t="shared" si="2"/>
        <v>1217.4343477440698</v>
      </c>
      <c r="BM70" s="910"/>
      <c r="BN70" s="921"/>
    </row>
    <row r="71" spans="1:66" ht="10.5" customHeight="1" x14ac:dyDescent="0.35">
      <c r="A71" s="841">
        <v>1761</v>
      </c>
      <c r="B71" s="910"/>
      <c r="C71" s="910"/>
      <c r="D71" s="910"/>
      <c r="E71" s="910"/>
      <c r="F71" s="910"/>
      <c r="G71" s="910"/>
      <c r="H71" s="945">
        <f>'1.8.3 RenPTLR'!B71</f>
        <v>1.2408224192605364</v>
      </c>
      <c r="I71" s="945">
        <f>'1.8.3 RenPTLR'!E71</f>
        <v>14.70335339638865</v>
      </c>
      <c r="J71" s="910"/>
      <c r="K71" s="842">
        <f>'1.8.2 RenHLR'!I71+'1.8.3 RenPTLR'!G71</f>
        <v>710.36409107173051</v>
      </c>
      <c r="L71" s="910"/>
      <c r="M71" s="910"/>
      <c r="N71" s="911"/>
      <c r="O71" s="910"/>
      <c r="P71" s="910"/>
      <c r="Q71" s="912"/>
      <c r="R71" s="910"/>
      <c r="S71" s="910"/>
      <c r="T71" s="910"/>
      <c r="U71" s="910"/>
      <c r="V71" s="945">
        <f>'1.8.3 RenPTLR'!H71</f>
        <v>19.599891755165057</v>
      </c>
      <c r="W71" s="910"/>
      <c r="X71" s="910"/>
      <c r="Y71" s="910"/>
      <c r="Z71" s="910"/>
      <c r="AA71" s="945">
        <f>'1.8.3 RenPTLR'!C71</f>
        <v>222.75452318386078</v>
      </c>
      <c r="AB71" s="910"/>
      <c r="AC71" s="910"/>
      <c r="AD71" s="950">
        <f t="shared" si="0"/>
        <v>242.35441493902584</v>
      </c>
      <c r="AF71" s="911"/>
      <c r="AG71" s="910"/>
      <c r="AH71" s="910"/>
      <c r="AI71" s="910"/>
      <c r="AJ71" s="912"/>
      <c r="AK71" s="910"/>
      <c r="AL71" s="910"/>
      <c r="AM71" s="945">
        <f>'1.8.2 RenHLR'!H71</f>
        <v>493.65315576368289</v>
      </c>
      <c r="AN71" s="910"/>
      <c r="AO71" s="912"/>
      <c r="AQ71" s="911"/>
      <c r="AR71" s="910"/>
      <c r="AS71" s="910"/>
      <c r="AT71" s="910"/>
      <c r="AU71" s="912"/>
      <c r="AV71" s="910"/>
      <c r="AW71" s="910"/>
      <c r="AX71" s="910"/>
      <c r="AY71" s="910"/>
      <c r="AZ71" s="912"/>
      <c r="BB71" s="913"/>
      <c r="BC71" s="916"/>
      <c r="BD71" s="910"/>
      <c r="BE71" s="914"/>
      <c r="BF71" s="910"/>
      <c r="BG71" s="910"/>
      <c r="BH71" s="914"/>
      <c r="BI71" s="910"/>
      <c r="BJ71" s="910"/>
      <c r="BK71" s="842">
        <f t="shared" si="1"/>
        <v>222.75452318386078</v>
      </c>
      <c r="BL71" s="1085">
        <f t="shared" si="2"/>
        <v>1223.6171385905784</v>
      </c>
      <c r="BM71" s="910"/>
      <c r="BN71" s="921"/>
    </row>
    <row r="72" spans="1:66" ht="10.5" customHeight="1" x14ac:dyDescent="0.35">
      <c r="A72" s="841">
        <v>1762</v>
      </c>
      <c r="B72" s="910"/>
      <c r="C72" s="910"/>
      <c r="D72" s="910"/>
      <c r="E72" s="910"/>
      <c r="F72" s="910"/>
      <c r="G72" s="910"/>
      <c r="H72" s="945">
        <f>'1.8.3 RenPTLR'!B72</f>
        <v>1.2444849967325913</v>
      </c>
      <c r="I72" s="945">
        <f>'1.8.3 RenPTLR'!E72</f>
        <v>14.961306964746344</v>
      </c>
      <c r="J72" s="910"/>
      <c r="K72" s="842">
        <f>'1.8.2 RenHLR'!I72+'1.8.3 RenPTLR'!G72</f>
        <v>715.43316194730562</v>
      </c>
      <c r="L72" s="910"/>
      <c r="M72" s="910"/>
      <c r="N72" s="911"/>
      <c r="O72" s="910"/>
      <c r="P72" s="910"/>
      <c r="Q72" s="912"/>
      <c r="R72" s="910"/>
      <c r="S72" s="910"/>
      <c r="T72" s="910"/>
      <c r="U72" s="910"/>
      <c r="V72" s="945">
        <f>'1.8.3 RenPTLR'!H72</f>
        <v>20.029304953414997</v>
      </c>
      <c r="W72" s="910"/>
      <c r="X72" s="910"/>
      <c r="Y72" s="910"/>
      <c r="Z72" s="910"/>
      <c r="AA72" s="945">
        <f>'1.8.3 RenPTLR'!C72</f>
        <v>225.86871945562575</v>
      </c>
      <c r="AB72" s="910"/>
      <c r="AC72" s="910"/>
      <c r="AD72" s="950">
        <f t="shared" si="0"/>
        <v>245.89802440904074</v>
      </c>
      <c r="AF72" s="911"/>
      <c r="AG72" s="910"/>
      <c r="AH72" s="910"/>
      <c r="AI72" s="910"/>
      <c r="AJ72" s="912"/>
      <c r="AK72" s="910"/>
      <c r="AL72" s="910"/>
      <c r="AM72" s="945">
        <f>'1.8.2 RenHLR'!H72</f>
        <v>496.27761951311925</v>
      </c>
      <c r="AN72" s="910"/>
      <c r="AO72" s="912"/>
      <c r="AQ72" s="911"/>
      <c r="AR72" s="910"/>
      <c r="AS72" s="910"/>
      <c r="AT72" s="910"/>
      <c r="AU72" s="912"/>
      <c r="AV72" s="910"/>
      <c r="AW72" s="910"/>
      <c r="AX72" s="910"/>
      <c r="AY72" s="910"/>
      <c r="AZ72" s="912"/>
      <c r="BB72" s="913"/>
      <c r="BC72" s="916"/>
      <c r="BD72" s="910"/>
      <c r="BE72" s="914"/>
      <c r="BF72" s="910"/>
      <c r="BG72" s="910"/>
      <c r="BH72" s="914"/>
      <c r="BI72" s="910"/>
      <c r="BJ72" s="910"/>
      <c r="BK72" s="842">
        <f t="shared" si="1"/>
        <v>225.86871945562575</v>
      </c>
      <c r="BL72" s="1085">
        <f t="shared" si="2"/>
        <v>1231.7400864138399</v>
      </c>
      <c r="BM72" s="910"/>
      <c r="BN72" s="921"/>
    </row>
    <row r="73" spans="1:66" ht="10.5" customHeight="1" x14ac:dyDescent="0.35">
      <c r="A73" s="841">
        <v>1763</v>
      </c>
      <c r="B73" s="910"/>
      <c r="C73" s="910"/>
      <c r="D73" s="910"/>
      <c r="E73" s="910"/>
      <c r="F73" s="910"/>
      <c r="G73" s="910"/>
      <c r="H73" s="945">
        <f>'1.8.3 RenPTLR'!B73</f>
        <v>1.2481475742046466</v>
      </c>
      <c r="I73" s="945">
        <f>'1.8.3 RenPTLR'!E73</f>
        <v>15.219260533104039</v>
      </c>
      <c r="J73" s="910"/>
      <c r="K73" s="842">
        <f>'1.8.2 RenHLR'!I73+'1.8.3 RenPTLR'!G73</f>
        <v>719.00751252252974</v>
      </c>
      <c r="L73" s="910"/>
      <c r="M73" s="910"/>
      <c r="N73" s="911"/>
      <c r="O73" s="910"/>
      <c r="P73" s="910"/>
      <c r="Q73" s="912"/>
      <c r="R73" s="910"/>
      <c r="S73" s="910"/>
      <c r="T73" s="910"/>
      <c r="U73" s="910"/>
      <c r="V73" s="945">
        <f>'1.8.3 RenPTLR'!H73</f>
        <v>20.463761716676853</v>
      </c>
      <c r="W73" s="910"/>
      <c r="X73" s="910"/>
      <c r="Y73" s="910"/>
      <c r="Z73" s="910"/>
      <c r="AA73" s="945">
        <f>'1.8.3 RenPTLR'!C73</f>
        <v>228.96839658067861</v>
      </c>
      <c r="AB73" s="910"/>
      <c r="AC73" s="910"/>
      <c r="AD73" s="950">
        <f t="shared" si="0"/>
        <v>249.43215829735547</v>
      </c>
      <c r="AF73" s="911"/>
      <c r="AG73" s="910"/>
      <c r="AH73" s="910"/>
      <c r="AI73" s="910"/>
      <c r="AJ73" s="912"/>
      <c r="AK73" s="910"/>
      <c r="AL73" s="910"/>
      <c r="AM73" s="945">
        <f>'1.8.2 RenHLR'!H73</f>
        <v>498.65545649279591</v>
      </c>
      <c r="AN73" s="910"/>
      <c r="AO73" s="912"/>
      <c r="AQ73" s="911"/>
      <c r="AR73" s="910"/>
      <c r="AS73" s="910"/>
      <c r="AT73" s="910"/>
      <c r="AU73" s="912"/>
      <c r="AV73" s="910"/>
      <c r="AW73" s="910"/>
      <c r="AX73" s="910"/>
      <c r="AY73" s="910"/>
      <c r="AZ73" s="912"/>
      <c r="BB73" s="913"/>
      <c r="BC73" s="916"/>
      <c r="BD73" s="910"/>
      <c r="BE73" s="914"/>
      <c r="BF73" s="910"/>
      <c r="BG73" s="910"/>
      <c r="BH73" s="914"/>
      <c r="BI73" s="910"/>
      <c r="BJ73" s="910"/>
      <c r="BK73" s="842">
        <f t="shared" si="1"/>
        <v>228.96839658067861</v>
      </c>
      <c r="BL73" s="1085">
        <f t="shared" si="2"/>
        <v>1238.1267307320024</v>
      </c>
      <c r="BM73" s="910"/>
      <c r="BN73" s="921"/>
    </row>
    <row r="74" spans="1:66" ht="10.5" customHeight="1" x14ac:dyDescent="0.35">
      <c r="A74" s="841">
        <v>1764</v>
      </c>
      <c r="B74" s="910"/>
      <c r="C74" s="910"/>
      <c r="D74" s="910"/>
      <c r="E74" s="910"/>
      <c r="F74" s="910"/>
      <c r="G74" s="910"/>
      <c r="H74" s="945">
        <f>'1.8.3 RenPTLR'!B74</f>
        <v>1.2518101516767017</v>
      </c>
      <c r="I74" s="945">
        <f>'1.8.3 RenPTLR'!E74</f>
        <v>15.477214101461737</v>
      </c>
      <c r="J74" s="910"/>
      <c r="K74" s="842">
        <f>'1.8.2 RenHLR'!I74+'1.8.3 RenPTLR'!G74</f>
        <v>724.35239635683104</v>
      </c>
      <c r="L74" s="910"/>
      <c r="M74" s="910"/>
      <c r="N74" s="911"/>
      <c r="O74" s="910"/>
      <c r="P74" s="910"/>
      <c r="Q74" s="912"/>
      <c r="R74" s="910"/>
      <c r="S74" s="910"/>
      <c r="T74" s="910"/>
      <c r="U74" s="910"/>
      <c r="V74" s="945">
        <f>'1.8.3 RenPTLR'!H74</f>
        <v>20.903375818320349</v>
      </c>
      <c r="W74" s="910"/>
      <c r="X74" s="910"/>
      <c r="Y74" s="910"/>
      <c r="Z74" s="910"/>
      <c r="AA74" s="945">
        <f>'1.8.3 RenPTLR'!C74</f>
        <v>232.05352432915751</v>
      </c>
      <c r="AB74" s="910"/>
      <c r="AC74" s="910"/>
      <c r="AD74" s="950">
        <f t="shared" ref="AD74:AD137" si="3">O74+P74+Q74+R74+T74+U74+V74+Y74+AA74+AC74</f>
        <v>252.95690014747785</v>
      </c>
      <c r="AF74" s="911"/>
      <c r="AG74" s="910"/>
      <c r="AH74" s="910"/>
      <c r="AI74" s="910"/>
      <c r="AJ74" s="912"/>
      <c r="AK74" s="910"/>
      <c r="AL74" s="910"/>
      <c r="AM74" s="945">
        <f>'1.8.2 RenHLR'!H74</f>
        <v>500.78903966649779</v>
      </c>
      <c r="AN74" s="910"/>
      <c r="AO74" s="912"/>
      <c r="AQ74" s="911"/>
      <c r="AR74" s="910"/>
      <c r="AS74" s="910"/>
      <c r="AT74" s="910"/>
      <c r="AU74" s="912"/>
      <c r="AV74" s="910"/>
      <c r="AW74" s="910"/>
      <c r="AX74" s="910"/>
      <c r="AY74" s="910"/>
      <c r="AZ74" s="912"/>
      <c r="BB74" s="913"/>
      <c r="BC74" s="916"/>
      <c r="BD74" s="910"/>
      <c r="BE74" s="914"/>
      <c r="BF74" s="910"/>
      <c r="BG74" s="910"/>
      <c r="BH74" s="914"/>
      <c r="BI74" s="910"/>
      <c r="BJ74" s="910"/>
      <c r="BK74" s="842">
        <f t="shared" ref="BK74:BK137" si="4">AA74</f>
        <v>232.05352432915751</v>
      </c>
      <c r="BL74" s="1085">
        <f t="shared" ref="BL74:BL137" si="5">K74+V74+AM74</f>
        <v>1246.0448118416491</v>
      </c>
      <c r="BM74" s="910"/>
      <c r="BN74" s="921"/>
    </row>
    <row r="75" spans="1:66" ht="10.5" customHeight="1" x14ac:dyDescent="0.35">
      <c r="A75" s="841">
        <v>1765</v>
      </c>
      <c r="B75" s="910"/>
      <c r="C75" s="910"/>
      <c r="D75" s="910"/>
      <c r="E75" s="910"/>
      <c r="F75" s="910"/>
      <c r="G75" s="910"/>
      <c r="H75" s="945">
        <f>'1.8.3 RenPTLR'!B75</f>
        <v>1.2554727291487566</v>
      </c>
      <c r="I75" s="945">
        <f>'1.8.3 RenPTLR'!E75</f>
        <v>15.735167669819431</v>
      </c>
      <c r="J75" s="910"/>
      <c r="K75" s="842">
        <f>'1.8.2 RenHLR'!I75+'1.8.3 RenPTLR'!G75</f>
        <v>729.91896314720566</v>
      </c>
      <c r="L75" s="910"/>
      <c r="M75" s="910"/>
      <c r="N75" s="911"/>
      <c r="O75" s="910"/>
      <c r="P75" s="910"/>
      <c r="Q75" s="912"/>
      <c r="R75" s="910"/>
      <c r="S75" s="910"/>
      <c r="T75" s="910"/>
      <c r="U75" s="910"/>
      <c r="V75" s="945">
        <f>'1.8.3 RenPTLR'!H75</f>
        <v>21.348264507736953</v>
      </c>
      <c r="W75" s="910"/>
      <c r="X75" s="910"/>
      <c r="Y75" s="910"/>
      <c r="Z75" s="910"/>
      <c r="AA75" s="945">
        <f>'1.8.3 RenPTLR'!C75</f>
        <v>235.12407249268142</v>
      </c>
      <c r="AB75" s="910"/>
      <c r="AC75" s="910"/>
      <c r="AD75" s="950">
        <f t="shared" si="3"/>
        <v>256.47233700041835</v>
      </c>
      <c r="AF75" s="911"/>
      <c r="AG75" s="910"/>
      <c r="AH75" s="910"/>
      <c r="AI75" s="910"/>
      <c r="AJ75" s="912"/>
      <c r="AK75" s="910"/>
      <c r="AL75" s="910"/>
      <c r="AM75" s="945">
        <f>'1.8.2 RenHLR'!H75</f>
        <v>502.68071165280327</v>
      </c>
      <c r="AN75" s="910"/>
      <c r="AO75" s="912"/>
      <c r="AQ75" s="911"/>
      <c r="AR75" s="910"/>
      <c r="AS75" s="910"/>
      <c r="AT75" s="910"/>
      <c r="AU75" s="912"/>
      <c r="AV75" s="910"/>
      <c r="AW75" s="910"/>
      <c r="AX75" s="910"/>
      <c r="AY75" s="910"/>
      <c r="AZ75" s="912"/>
      <c r="BB75" s="913"/>
      <c r="BC75" s="916"/>
      <c r="BD75" s="910"/>
      <c r="BE75" s="914"/>
      <c r="BF75" s="910"/>
      <c r="BG75" s="910"/>
      <c r="BH75" s="914"/>
      <c r="BI75" s="910"/>
      <c r="BJ75" s="910"/>
      <c r="BK75" s="842">
        <f t="shared" si="4"/>
        <v>235.12407249268142</v>
      </c>
      <c r="BL75" s="1085">
        <f t="shared" si="5"/>
        <v>1253.9479393077459</v>
      </c>
      <c r="BM75" s="910"/>
      <c r="BN75" s="921"/>
    </row>
    <row r="76" spans="1:66" ht="10.5" customHeight="1" x14ac:dyDescent="0.35">
      <c r="A76" s="841">
        <v>1766</v>
      </c>
      <c r="B76" s="910"/>
      <c r="C76" s="910"/>
      <c r="D76" s="910"/>
      <c r="E76" s="910"/>
      <c r="F76" s="910"/>
      <c r="G76" s="910"/>
      <c r="H76" s="945">
        <f>'1.8.3 RenPTLR'!B76</f>
        <v>1.2591353066208117</v>
      </c>
      <c r="I76" s="945">
        <f>'1.8.3 RenPTLR'!E76</f>
        <v>15.993121238177126</v>
      </c>
      <c r="J76" s="910"/>
      <c r="K76" s="842">
        <f>'1.8.2 RenHLR'!I76+'1.8.3 RenPTLR'!G76</f>
        <v>732.45780947475725</v>
      </c>
      <c r="L76" s="910"/>
      <c r="M76" s="910"/>
      <c r="N76" s="911"/>
      <c r="O76" s="910"/>
      <c r="P76" s="910"/>
      <c r="Q76" s="912"/>
      <c r="R76" s="910"/>
      <c r="S76" s="910"/>
      <c r="T76" s="910"/>
      <c r="U76" s="910"/>
      <c r="V76" s="945">
        <f>'1.8.3 RenPTLR'!H76</f>
        <v>22.534820749833894</v>
      </c>
      <c r="W76" s="910"/>
      <c r="X76" s="910"/>
      <c r="Y76" s="910"/>
      <c r="Z76" s="910"/>
      <c r="AA76" s="945">
        <f>'1.8.3 RenPTLR'!C76</f>
        <v>238.18001088466943</v>
      </c>
      <c r="AB76" s="910"/>
      <c r="AC76" s="910"/>
      <c r="AD76" s="950">
        <f t="shared" si="3"/>
        <v>260.7148316345033</v>
      </c>
      <c r="AF76" s="911"/>
      <c r="AG76" s="910"/>
      <c r="AH76" s="910"/>
      <c r="AI76" s="910"/>
      <c r="AJ76" s="912"/>
      <c r="AK76" s="910"/>
      <c r="AL76" s="910"/>
      <c r="AM76" s="945">
        <f>'1.8.2 RenHLR'!H76</f>
        <v>504.33278520860301</v>
      </c>
      <c r="AN76" s="910"/>
      <c r="AO76" s="912"/>
      <c r="AQ76" s="911"/>
      <c r="AR76" s="910"/>
      <c r="AS76" s="910"/>
      <c r="AT76" s="910"/>
      <c r="AU76" s="912"/>
      <c r="AV76" s="910"/>
      <c r="AW76" s="910"/>
      <c r="AX76" s="910"/>
      <c r="AY76" s="910"/>
      <c r="AZ76" s="912"/>
      <c r="BB76" s="913"/>
      <c r="BC76" s="916"/>
      <c r="BD76" s="910"/>
      <c r="BE76" s="914"/>
      <c r="BF76" s="910"/>
      <c r="BG76" s="910"/>
      <c r="BH76" s="914"/>
      <c r="BI76" s="910"/>
      <c r="BJ76" s="910"/>
      <c r="BK76" s="842">
        <f t="shared" si="4"/>
        <v>238.18001088466943</v>
      </c>
      <c r="BL76" s="1085">
        <f t="shared" si="5"/>
        <v>1259.3254154331942</v>
      </c>
      <c r="BM76" s="910"/>
      <c r="BN76" s="921"/>
    </row>
    <row r="77" spans="1:66" ht="10.5" customHeight="1" x14ac:dyDescent="0.35">
      <c r="A77" s="841">
        <v>1767</v>
      </c>
      <c r="B77" s="910"/>
      <c r="C77" s="910"/>
      <c r="D77" s="910"/>
      <c r="E77" s="910"/>
      <c r="F77" s="910"/>
      <c r="G77" s="910"/>
      <c r="H77" s="945">
        <f>'1.8.3 RenPTLR'!B77</f>
        <v>1.2627978840928669</v>
      </c>
      <c r="I77" s="945">
        <f>'1.8.3 RenPTLR'!E77</f>
        <v>16.251074806534824</v>
      </c>
      <c r="J77" s="910"/>
      <c r="K77" s="842">
        <f>'1.8.2 RenHLR'!I77+'1.8.3 RenPTLR'!G77</f>
        <v>736.88476868425596</v>
      </c>
      <c r="L77" s="910"/>
      <c r="M77" s="910"/>
      <c r="N77" s="911"/>
      <c r="O77" s="910"/>
      <c r="P77" s="910"/>
      <c r="Q77" s="912"/>
      <c r="R77" s="910"/>
      <c r="S77" s="910"/>
      <c r="T77" s="910"/>
      <c r="U77" s="910"/>
      <c r="V77" s="945">
        <f>'1.8.3 RenPTLR'!H77</f>
        <v>23.815494808471676</v>
      </c>
      <c r="W77" s="910"/>
      <c r="X77" s="910"/>
      <c r="Y77" s="910"/>
      <c r="Z77" s="910"/>
      <c r="AA77" s="945">
        <f>'1.8.3 RenPTLR'!C77</f>
        <v>241.22130934066124</v>
      </c>
      <c r="AB77" s="910"/>
      <c r="AC77" s="910"/>
      <c r="AD77" s="950">
        <f t="shared" si="3"/>
        <v>265.03680414913293</v>
      </c>
      <c r="AF77" s="911"/>
      <c r="AG77" s="910"/>
      <c r="AH77" s="910"/>
      <c r="AI77" s="910"/>
      <c r="AJ77" s="912"/>
      <c r="AK77" s="910"/>
      <c r="AL77" s="910"/>
      <c r="AM77" s="945">
        <f>'1.8.2 RenHLR'!H77</f>
        <v>505.74754370340258</v>
      </c>
      <c r="AN77" s="910"/>
      <c r="AO77" s="912"/>
      <c r="AQ77" s="911"/>
      <c r="AR77" s="910"/>
      <c r="AS77" s="910"/>
      <c r="AT77" s="910"/>
      <c r="AU77" s="912"/>
      <c r="AV77" s="910"/>
      <c r="AW77" s="910"/>
      <c r="AX77" s="910"/>
      <c r="AY77" s="910"/>
      <c r="AZ77" s="912"/>
      <c r="BB77" s="913"/>
      <c r="BC77" s="916"/>
      <c r="BD77" s="910"/>
      <c r="BE77" s="914"/>
      <c r="BF77" s="910"/>
      <c r="BG77" s="910"/>
      <c r="BH77" s="914"/>
      <c r="BI77" s="910"/>
      <c r="BJ77" s="910"/>
      <c r="BK77" s="842">
        <f t="shared" si="4"/>
        <v>241.22130934066124</v>
      </c>
      <c r="BL77" s="1085">
        <f t="shared" si="5"/>
        <v>1266.4478071961303</v>
      </c>
      <c r="BM77" s="910"/>
      <c r="BN77" s="921"/>
    </row>
    <row r="78" spans="1:66" ht="10.5" customHeight="1" x14ac:dyDescent="0.35">
      <c r="A78" s="841">
        <v>1768</v>
      </c>
      <c r="B78" s="910"/>
      <c r="C78" s="910"/>
      <c r="D78" s="910"/>
      <c r="E78" s="910"/>
      <c r="F78" s="910"/>
      <c r="G78" s="910"/>
      <c r="H78" s="945">
        <f>'1.8.3 RenPTLR'!B78</f>
        <v>1.2664604615649218</v>
      </c>
      <c r="I78" s="945">
        <f>'1.8.3 RenPTLR'!E78</f>
        <v>16.50902837489252</v>
      </c>
      <c r="J78" s="910"/>
      <c r="K78" s="842">
        <f>'1.8.2 RenHLR'!I78+'1.8.3 RenPTLR'!G78</f>
        <v>741.41755789733202</v>
      </c>
      <c r="L78" s="910"/>
      <c r="M78" s="910"/>
      <c r="N78" s="911"/>
      <c r="O78" s="910"/>
      <c r="P78" s="910"/>
      <c r="Q78" s="912"/>
      <c r="R78" s="910"/>
      <c r="S78" s="910"/>
      <c r="T78" s="910"/>
      <c r="U78" s="910"/>
      <c r="V78" s="945">
        <f>'1.8.3 RenPTLR'!H78</f>
        <v>25.202714576060828</v>
      </c>
      <c r="W78" s="910"/>
      <c r="X78" s="910"/>
      <c r="Y78" s="910"/>
      <c r="Z78" s="910"/>
      <c r="AA78" s="945">
        <f>'1.8.3 RenPTLR'!C78</f>
        <v>244.2479377186398</v>
      </c>
      <c r="AB78" s="910"/>
      <c r="AC78" s="910"/>
      <c r="AD78" s="950">
        <f t="shared" si="3"/>
        <v>269.4506522947006</v>
      </c>
      <c r="AF78" s="911"/>
      <c r="AG78" s="910"/>
      <c r="AH78" s="910"/>
      <c r="AI78" s="910"/>
      <c r="AJ78" s="912"/>
      <c r="AK78" s="910"/>
      <c r="AL78" s="910"/>
      <c r="AM78" s="945">
        <f>'1.8.2 RenHLR'!H78</f>
        <v>506.92724158461311</v>
      </c>
      <c r="AN78" s="910"/>
      <c r="AO78" s="912"/>
      <c r="AQ78" s="911"/>
      <c r="AR78" s="910"/>
      <c r="AS78" s="910"/>
      <c r="AT78" s="910"/>
      <c r="AU78" s="912"/>
      <c r="AV78" s="910"/>
      <c r="AW78" s="910"/>
      <c r="AX78" s="910"/>
      <c r="AY78" s="910"/>
      <c r="AZ78" s="912"/>
      <c r="BB78" s="913"/>
      <c r="BC78" s="916"/>
      <c r="BD78" s="910"/>
      <c r="BE78" s="914"/>
      <c r="BF78" s="910"/>
      <c r="BG78" s="910"/>
      <c r="BH78" s="914"/>
      <c r="BI78" s="910"/>
      <c r="BJ78" s="910"/>
      <c r="BK78" s="842">
        <f t="shared" si="4"/>
        <v>244.2479377186398</v>
      </c>
      <c r="BL78" s="1085">
        <f t="shared" si="5"/>
        <v>1273.5475140580058</v>
      </c>
      <c r="BM78" s="910"/>
      <c r="BN78" s="921"/>
    </row>
    <row r="79" spans="1:66" ht="10.5" customHeight="1" x14ac:dyDescent="0.35">
      <c r="A79" s="841">
        <v>1769</v>
      </c>
      <c r="B79" s="910"/>
      <c r="C79" s="910"/>
      <c r="D79" s="910"/>
      <c r="E79" s="910"/>
      <c r="F79" s="910"/>
      <c r="G79" s="910"/>
      <c r="H79" s="945">
        <f>'1.8.3 RenPTLR'!B79</f>
        <v>1.2701230390369767</v>
      </c>
      <c r="I79" s="945">
        <f>'1.8.3 RenPTLR'!E79</f>
        <v>16.766981943250215</v>
      </c>
      <c r="J79" s="910"/>
      <c r="K79" s="842">
        <f>'1.8.2 RenHLR'!I79+'1.8.3 RenPTLR'!G79</f>
        <v>746.43406336263206</v>
      </c>
      <c r="L79" s="910"/>
      <c r="M79" s="910"/>
      <c r="N79" s="911"/>
      <c r="O79" s="910"/>
      <c r="P79" s="910"/>
      <c r="Q79" s="912"/>
      <c r="R79" s="910"/>
      <c r="S79" s="910"/>
      <c r="T79" s="910"/>
      <c r="U79" s="910"/>
      <c r="V79" s="945">
        <f>'1.8.3 RenPTLR'!H79</f>
        <v>26.711274279107773</v>
      </c>
      <c r="W79" s="910"/>
      <c r="X79" s="910"/>
      <c r="Y79" s="910"/>
      <c r="Z79" s="910"/>
      <c r="AA79" s="945">
        <f>'1.8.3 RenPTLR'!C79</f>
        <v>247.2598658993542</v>
      </c>
      <c r="AB79" s="910"/>
      <c r="AC79" s="910"/>
      <c r="AD79" s="950">
        <f t="shared" si="3"/>
        <v>273.97114017846195</v>
      </c>
      <c r="AF79" s="911"/>
      <c r="AG79" s="910"/>
      <c r="AH79" s="910"/>
      <c r="AI79" s="910"/>
      <c r="AJ79" s="912"/>
      <c r="AK79" s="910"/>
      <c r="AL79" s="910"/>
      <c r="AM79" s="945">
        <f>'1.8.2 RenHLR'!H79</f>
        <v>507.87410483402908</v>
      </c>
      <c r="AN79" s="910"/>
      <c r="AO79" s="912"/>
      <c r="AQ79" s="911"/>
      <c r="AR79" s="910"/>
      <c r="AS79" s="910"/>
      <c r="AT79" s="910"/>
      <c r="AU79" s="912"/>
      <c r="AV79" s="910"/>
      <c r="AW79" s="910"/>
      <c r="AX79" s="910"/>
      <c r="AY79" s="910"/>
      <c r="AZ79" s="912"/>
      <c r="BB79" s="913"/>
      <c r="BC79" s="916"/>
      <c r="BD79" s="910"/>
      <c r="BE79" s="914"/>
      <c r="BF79" s="910"/>
      <c r="BG79" s="910"/>
      <c r="BH79" s="914"/>
      <c r="BI79" s="910"/>
      <c r="BJ79" s="910"/>
      <c r="BK79" s="842">
        <f t="shared" si="4"/>
        <v>247.2598658993542</v>
      </c>
      <c r="BL79" s="1085">
        <f t="shared" si="5"/>
        <v>1281.019442475769</v>
      </c>
      <c r="BM79" s="910"/>
      <c r="BN79" s="921"/>
    </row>
    <row r="80" spans="1:66" ht="10.5" customHeight="1" x14ac:dyDescent="0.35">
      <c r="A80" s="841">
        <v>1770</v>
      </c>
      <c r="B80" s="910"/>
      <c r="C80" s="910"/>
      <c r="D80" s="910"/>
      <c r="E80" s="910"/>
      <c r="F80" s="910"/>
      <c r="G80" s="910"/>
      <c r="H80" s="945">
        <f>'1.8.3 RenPTLR'!B80</f>
        <v>1.273785616509032</v>
      </c>
      <c r="I80" s="945">
        <f>'1.8.3 RenPTLR'!E80</f>
        <v>17.024935511607911</v>
      </c>
      <c r="J80" s="910"/>
      <c r="K80" s="842">
        <f>'1.8.2 RenHLR'!I80+'1.8.3 RenPTLR'!G80</f>
        <v>751.56089581045103</v>
      </c>
      <c r="L80" s="910"/>
      <c r="M80" s="910"/>
      <c r="N80" s="911"/>
      <c r="O80" s="910"/>
      <c r="P80" s="910"/>
      <c r="Q80" s="912"/>
      <c r="R80" s="910"/>
      <c r="S80" s="910"/>
      <c r="T80" s="910"/>
      <c r="U80" s="910"/>
      <c r="V80" s="945">
        <f>'1.8.3 RenPTLR'!H80</f>
        <v>28.358939267811405</v>
      </c>
      <c r="W80" s="910"/>
      <c r="X80" s="910"/>
      <c r="Y80" s="910"/>
      <c r="Z80" s="910"/>
      <c r="AA80" s="945">
        <f>'1.8.3 RenPTLR'!C80</f>
        <v>250.25706378664452</v>
      </c>
      <c r="AB80" s="910"/>
      <c r="AC80" s="910"/>
      <c r="AD80" s="950">
        <f t="shared" si="3"/>
        <v>278.61600305445592</v>
      </c>
      <c r="AF80" s="911"/>
      <c r="AG80" s="910"/>
      <c r="AH80" s="910"/>
      <c r="AI80" s="910"/>
      <c r="AJ80" s="912"/>
      <c r="AK80" s="910"/>
      <c r="AL80" s="910"/>
      <c r="AM80" s="945">
        <f>'1.8.2 RenHLR'!H80</f>
        <v>508.59033141568932</v>
      </c>
      <c r="AN80" s="910"/>
      <c r="AO80" s="912"/>
      <c r="AQ80" s="911"/>
      <c r="AR80" s="910"/>
      <c r="AS80" s="910"/>
      <c r="AT80" s="910"/>
      <c r="AU80" s="912"/>
      <c r="AV80" s="910"/>
      <c r="AW80" s="910"/>
      <c r="AX80" s="910"/>
      <c r="AY80" s="910"/>
      <c r="AZ80" s="912"/>
      <c r="BB80" s="913"/>
      <c r="BC80" s="916"/>
      <c r="BD80" s="910"/>
      <c r="BE80" s="914"/>
      <c r="BF80" s="910"/>
      <c r="BG80" s="910"/>
      <c r="BH80" s="914"/>
      <c r="BI80" s="910"/>
      <c r="BJ80" s="910"/>
      <c r="BK80" s="842">
        <f t="shared" si="4"/>
        <v>250.25706378664452</v>
      </c>
      <c r="BL80" s="1085">
        <f t="shared" si="5"/>
        <v>1288.5101664939516</v>
      </c>
      <c r="BM80" s="910"/>
      <c r="BN80" s="921"/>
    </row>
    <row r="81" spans="1:66" ht="10.5" customHeight="1" x14ac:dyDescent="0.35">
      <c r="A81" s="841">
        <v>1771</v>
      </c>
      <c r="B81" s="910"/>
      <c r="C81" s="910"/>
      <c r="D81" s="910"/>
      <c r="E81" s="910"/>
      <c r="F81" s="910"/>
      <c r="G81" s="910"/>
      <c r="H81" s="945">
        <f>'1.8.3 RenPTLR'!B81</f>
        <v>1.2774481939810871</v>
      </c>
      <c r="I81" s="945">
        <f>'1.8.3 RenPTLR'!E81</f>
        <v>17.282889079965607</v>
      </c>
      <c r="J81" s="910"/>
      <c r="K81" s="842">
        <f>'1.8.2 RenHLR'!I81+'1.8.3 RenPTLR'!G81</f>
        <v>756.46523343060926</v>
      </c>
      <c r="L81" s="910"/>
      <c r="M81" s="910"/>
      <c r="N81" s="911"/>
      <c r="O81" s="910"/>
      <c r="P81" s="910"/>
      <c r="Q81" s="912"/>
      <c r="R81" s="910"/>
      <c r="S81" s="910"/>
      <c r="T81" s="910"/>
      <c r="U81" s="910"/>
      <c r="V81" s="945">
        <f>'1.8.3 RenPTLR'!H81</f>
        <v>30.167249062303974</v>
      </c>
      <c r="W81" s="910"/>
      <c r="X81" s="910"/>
      <c r="Y81" s="910"/>
      <c r="Z81" s="910"/>
      <c r="AA81" s="945">
        <f>'1.8.3 RenPTLR'!C81</f>
        <v>253.23950130776791</v>
      </c>
      <c r="AB81" s="910"/>
      <c r="AC81" s="910"/>
      <c r="AD81" s="950">
        <f t="shared" si="3"/>
        <v>283.4067503700719</v>
      </c>
      <c r="AF81" s="911"/>
      <c r="AG81" s="910"/>
      <c r="AH81" s="910"/>
      <c r="AI81" s="910"/>
      <c r="AJ81" s="912"/>
      <c r="AK81" s="910"/>
      <c r="AL81" s="910"/>
      <c r="AM81" s="945">
        <f>'1.8.2 RenHLR'!H81</f>
        <v>509.07809171530738</v>
      </c>
      <c r="AN81" s="910"/>
      <c r="AO81" s="912"/>
      <c r="AQ81" s="911"/>
      <c r="AR81" s="910"/>
      <c r="AS81" s="910"/>
      <c r="AT81" s="910"/>
      <c r="AU81" s="912"/>
      <c r="AV81" s="910"/>
      <c r="AW81" s="910"/>
      <c r="AX81" s="910"/>
      <c r="AY81" s="910"/>
      <c r="AZ81" s="912"/>
      <c r="BB81" s="913"/>
      <c r="BC81" s="916"/>
      <c r="BD81" s="910"/>
      <c r="BE81" s="914"/>
      <c r="BF81" s="910"/>
      <c r="BG81" s="910"/>
      <c r="BH81" s="914"/>
      <c r="BI81" s="910"/>
      <c r="BJ81" s="910"/>
      <c r="BK81" s="842">
        <f t="shared" si="4"/>
        <v>253.23950130776791</v>
      </c>
      <c r="BL81" s="1085">
        <f t="shared" si="5"/>
        <v>1295.7105742082206</v>
      </c>
      <c r="BM81" s="910"/>
      <c r="BN81" s="921"/>
    </row>
    <row r="82" spans="1:66" ht="10.5" customHeight="1" x14ac:dyDescent="0.35">
      <c r="A82" s="841">
        <v>1772</v>
      </c>
      <c r="B82" s="910"/>
      <c r="C82" s="910"/>
      <c r="D82" s="910"/>
      <c r="E82" s="910"/>
      <c r="F82" s="910"/>
      <c r="G82" s="910"/>
      <c r="H82" s="945">
        <f>'1.8.3 RenPTLR'!B82</f>
        <v>1.2811107714531422</v>
      </c>
      <c r="I82" s="945">
        <f>'1.8.3 RenPTLR'!E82</f>
        <v>17.540842648323299</v>
      </c>
      <c r="J82" s="910"/>
      <c r="K82" s="842">
        <f>'1.8.2 RenHLR'!I82+'1.8.3 RenPTLR'!G82</f>
        <v>760.22144824579618</v>
      </c>
      <c r="L82" s="910"/>
      <c r="M82" s="910"/>
      <c r="N82" s="911"/>
      <c r="O82" s="910"/>
      <c r="P82" s="910"/>
      <c r="Q82" s="912"/>
      <c r="R82" s="910"/>
      <c r="S82" s="910"/>
      <c r="T82" s="910"/>
      <c r="U82" s="910"/>
      <c r="V82" s="945">
        <f>'1.8.3 RenPTLR'!H82</f>
        <v>32.162599540489424</v>
      </c>
      <c r="W82" s="910"/>
      <c r="X82" s="910"/>
      <c r="Y82" s="910"/>
      <c r="Z82" s="910"/>
      <c r="AA82" s="945">
        <f>'1.8.3 RenPTLR'!C82</f>
        <v>256.20714841372626</v>
      </c>
      <c r="AB82" s="910"/>
      <c r="AC82" s="910"/>
      <c r="AD82" s="950">
        <f t="shared" si="3"/>
        <v>288.36974795421565</v>
      </c>
      <c r="AF82" s="911"/>
      <c r="AG82" s="910"/>
      <c r="AH82" s="910"/>
      <c r="AI82" s="910"/>
      <c r="AJ82" s="912"/>
      <c r="AK82" s="910"/>
      <c r="AL82" s="910"/>
      <c r="AM82" s="945">
        <f>'1.8.2 RenHLR'!H82</f>
        <v>509.33952897145872</v>
      </c>
      <c r="AN82" s="910"/>
      <c r="AO82" s="912"/>
      <c r="AQ82" s="911"/>
      <c r="AR82" s="910"/>
      <c r="AS82" s="910"/>
      <c r="AT82" s="910"/>
      <c r="AU82" s="912"/>
      <c r="AV82" s="910"/>
      <c r="AW82" s="910"/>
      <c r="AX82" s="910"/>
      <c r="AY82" s="910"/>
      <c r="AZ82" s="912"/>
      <c r="BB82" s="913"/>
      <c r="BC82" s="916"/>
      <c r="BD82" s="910"/>
      <c r="BE82" s="914"/>
      <c r="BF82" s="910"/>
      <c r="BG82" s="910"/>
      <c r="BH82" s="914"/>
      <c r="BI82" s="910"/>
      <c r="BJ82" s="910"/>
      <c r="BK82" s="842">
        <f t="shared" si="4"/>
        <v>256.20714841372626</v>
      </c>
      <c r="BL82" s="1085">
        <f t="shared" si="5"/>
        <v>1301.7235767577442</v>
      </c>
      <c r="BM82" s="910"/>
      <c r="BN82" s="921"/>
    </row>
    <row r="83" spans="1:66" ht="10.5" customHeight="1" x14ac:dyDescent="0.35">
      <c r="A83" s="841">
        <v>1773</v>
      </c>
      <c r="B83" s="910"/>
      <c r="C83" s="910"/>
      <c r="D83" s="910"/>
      <c r="E83" s="910"/>
      <c r="F83" s="910"/>
      <c r="G83" s="910"/>
      <c r="H83" s="945">
        <f>'1.8.3 RenPTLR'!B83</f>
        <v>1.2847733489251971</v>
      </c>
      <c r="I83" s="945">
        <f>'1.8.3 RenPTLR'!E83</f>
        <v>17.798796216680994</v>
      </c>
      <c r="J83" s="910"/>
      <c r="K83" s="842">
        <f>'1.8.2 RenHLR'!I83+'1.8.3 RenPTLR'!G83</f>
        <v>763.98119573528788</v>
      </c>
      <c r="L83" s="910"/>
      <c r="M83" s="910"/>
      <c r="N83" s="911"/>
      <c r="O83" s="910"/>
      <c r="P83" s="910"/>
      <c r="Q83" s="912"/>
      <c r="R83" s="910"/>
      <c r="S83" s="910"/>
      <c r="T83" s="910"/>
      <c r="U83" s="910"/>
      <c r="V83" s="945">
        <f>'1.8.3 RenPTLR'!H83</f>
        <v>34.377725395655332</v>
      </c>
      <c r="W83" s="910"/>
      <c r="X83" s="910"/>
      <c r="Y83" s="910"/>
      <c r="Z83" s="910"/>
      <c r="AA83" s="945">
        <f>'1.8.3 RenPTLR'!C83</f>
        <v>259.15997507959435</v>
      </c>
      <c r="AB83" s="910"/>
      <c r="AC83" s="910"/>
      <c r="AD83" s="950">
        <f t="shared" si="3"/>
        <v>293.53770047524966</v>
      </c>
      <c r="AF83" s="911"/>
      <c r="AG83" s="910"/>
      <c r="AH83" s="910"/>
      <c r="AI83" s="910"/>
      <c r="AJ83" s="912"/>
      <c r="AK83" s="910"/>
      <c r="AL83" s="910"/>
      <c r="AM83" s="945">
        <f>'1.8.2 RenHLR'!H83</f>
        <v>509.37675969870077</v>
      </c>
      <c r="AN83" s="910"/>
      <c r="AO83" s="912"/>
      <c r="AQ83" s="911"/>
      <c r="AR83" s="910"/>
      <c r="AS83" s="910"/>
      <c r="AT83" s="910"/>
      <c r="AU83" s="912"/>
      <c r="AV83" s="910"/>
      <c r="AW83" s="910"/>
      <c r="AX83" s="910"/>
      <c r="AY83" s="910"/>
      <c r="AZ83" s="912"/>
      <c r="BB83" s="913"/>
      <c r="BC83" s="916"/>
      <c r="BD83" s="910"/>
      <c r="BE83" s="914"/>
      <c r="BF83" s="910"/>
      <c r="BG83" s="910"/>
      <c r="BH83" s="914"/>
      <c r="BI83" s="910"/>
      <c r="BJ83" s="910"/>
      <c r="BK83" s="842">
        <f t="shared" si="4"/>
        <v>259.15997507959435</v>
      </c>
      <c r="BL83" s="1085">
        <f t="shared" si="5"/>
        <v>1307.735680829644</v>
      </c>
      <c r="BM83" s="910"/>
      <c r="BN83" s="921"/>
    </row>
    <row r="84" spans="1:66" ht="10.5" customHeight="1" x14ac:dyDescent="0.35">
      <c r="A84" s="841">
        <v>1774</v>
      </c>
      <c r="B84" s="910"/>
      <c r="C84" s="910"/>
      <c r="D84" s="910"/>
      <c r="E84" s="910"/>
      <c r="F84" s="910"/>
      <c r="G84" s="910"/>
      <c r="H84" s="945">
        <f>'1.8.3 RenPTLR'!B84</f>
        <v>1.2884359263972522</v>
      </c>
      <c r="I84" s="945">
        <f>'1.8.3 RenPTLR'!E84</f>
        <v>18.05674978503869</v>
      </c>
      <c r="J84" s="910"/>
      <c r="K84" s="842">
        <f>'1.8.2 RenHLR'!I84+'1.8.3 RenPTLR'!G84</f>
        <v>768.61927951049711</v>
      </c>
      <c r="L84" s="910"/>
      <c r="M84" s="910"/>
      <c r="N84" s="911"/>
      <c r="O84" s="910"/>
      <c r="P84" s="910"/>
      <c r="Q84" s="912"/>
      <c r="R84" s="910"/>
      <c r="S84" s="910"/>
      <c r="T84" s="910"/>
      <c r="U84" s="910"/>
      <c r="V84" s="945">
        <f>'1.8.3 RenPTLR'!H84</f>
        <v>37.270723205032958</v>
      </c>
      <c r="W84" s="910"/>
      <c r="X84" s="910"/>
      <c r="Y84" s="910"/>
      <c r="Z84" s="910"/>
      <c r="AA84" s="945">
        <f>'1.8.3 RenPTLR'!C84</f>
        <v>262.09795130485094</v>
      </c>
      <c r="AB84" s="910"/>
      <c r="AC84" s="910"/>
      <c r="AD84" s="950">
        <f t="shared" si="3"/>
        <v>299.36867450988387</v>
      </c>
      <c r="AF84" s="911"/>
      <c r="AG84" s="910"/>
      <c r="AH84" s="910"/>
      <c r="AI84" s="910"/>
      <c r="AJ84" s="912"/>
      <c r="AK84" s="910"/>
      <c r="AL84" s="910"/>
      <c r="AM84" s="945">
        <f>'1.8.2 RenHLR'!H84</f>
        <v>509.19187410280676</v>
      </c>
      <c r="AN84" s="910"/>
      <c r="AO84" s="912"/>
      <c r="AQ84" s="911"/>
      <c r="AR84" s="910"/>
      <c r="AS84" s="910"/>
      <c r="AT84" s="910"/>
      <c r="AU84" s="912"/>
      <c r="AV84" s="910"/>
      <c r="AW84" s="910"/>
      <c r="AX84" s="910"/>
      <c r="AY84" s="910"/>
      <c r="AZ84" s="912"/>
      <c r="BB84" s="913"/>
      <c r="BC84" s="916"/>
      <c r="BD84" s="910"/>
      <c r="BE84" s="914"/>
      <c r="BF84" s="910"/>
      <c r="BG84" s="910"/>
      <c r="BH84" s="914"/>
      <c r="BI84" s="910"/>
      <c r="BJ84" s="910"/>
      <c r="BK84" s="842">
        <f t="shared" si="4"/>
        <v>262.09795130485094</v>
      </c>
      <c r="BL84" s="1085">
        <f t="shared" si="5"/>
        <v>1315.0818768183367</v>
      </c>
      <c r="BM84" s="910"/>
      <c r="BN84" s="921"/>
    </row>
    <row r="85" spans="1:66" ht="10.5" customHeight="1" x14ac:dyDescent="0.35">
      <c r="A85" s="841">
        <v>1775</v>
      </c>
      <c r="B85" s="910"/>
      <c r="C85" s="910"/>
      <c r="D85" s="910"/>
      <c r="E85" s="910"/>
      <c r="F85" s="910"/>
      <c r="G85" s="910"/>
      <c r="H85" s="945">
        <f>'1.8.3 RenPTLR'!B85</f>
        <v>1.2920985038693074</v>
      </c>
      <c r="I85" s="945">
        <f>'1.8.3 RenPTLR'!E85</f>
        <v>18.314703353396386</v>
      </c>
      <c r="J85" s="910"/>
      <c r="K85" s="842">
        <f>'1.8.2 RenHLR'!I85+'1.8.3 RenPTLR'!G85</f>
        <v>773.49163136155221</v>
      </c>
      <c r="L85" s="910"/>
      <c r="M85" s="910"/>
      <c r="N85" s="911"/>
      <c r="O85" s="910"/>
      <c r="P85" s="910"/>
      <c r="Q85" s="912"/>
      <c r="R85" s="910"/>
      <c r="S85" s="910"/>
      <c r="T85" s="910"/>
      <c r="U85" s="910"/>
      <c r="V85" s="945">
        <f>'1.8.3 RenPTLR'!H85</f>
        <v>40.287997700612216</v>
      </c>
      <c r="W85" s="910"/>
      <c r="X85" s="910"/>
      <c r="Y85" s="910"/>
      <c r="Z85" s="910"/>
      <c r="AA85" s="945">
        <f>'1.8.3 RenPTLR'!C85</f>
        <v>265.0210471137093</v>
      </c>
      <c r="AB85" s="910"/>
      <c r="AC85" s="910"/>
      <c r="AD85" s="950">
        <f t="shared" si="3"/>
        <v>305.30904481432151</v>
      </c>
      <c r="AF85" s="911"/>
      <c r="AG85" s="910"/>
      <c r="AH85" s="910"/>
      <c r="AI85" s="910"/>
      <c r="AJ85" s="912"/>
      <c r="AK85" s="910"/>
      <c r="AL85" s="910"/>
      <c r="AM85" s="945">
        <f>'1.8.2 RenHLR'!H85</f>
        <v>508.78693648828067</v>
      </c>
      <c r="AN85" s="910"/>
      <c r="AO85" s="912"/>
      <c r="AQ85" s="911"/>
      <c r="AR85" s="910"/>
      <c r="AS85" s="910"/>
      <c r="AT85" s="910"/>
      <c r="AU85" s="912"/>
      <c r="AV85" s="910"/>
      <c r="AW85" s="910"/>
      <c r="AX85" s="910"/>
      <c r="AY85" s="910"/>
      <c r="AZ85" s="912"/>
      <c r="BB85" s="913"/>
      <c r="BC85" s="916"/>
      <c r="BD85" s="910"/>
      <c r="BE85" s="914"/>
      <c r="BF85" s="910"/>
      <c r="BG85" s="910"/>
      <c r="BH85" s="914"/>
      <c r="BI85" s="910"/>
      <c r="BJ85" s="910"/>
      <c r="BK85" s="842">
        <f t="shared" si="4"/>
        <v>265.0210471137093</v>
      </c>
      <c r="BL85" s="1085">
        <f t="shared" si="5"/>
        <v>1322.5665655504451</v>
      </c>
      <c r="BM85" s="910"/>
      <c r="BN85" s="921"/>
    </row>
    <row r="86" spans="1:66" ht="10.5" customHeight="1" x14ac:dyDescent="0.35">
      <c r="A86" s="841">
        <v>1776</v>
      </c>
      <c r="B86" s="910"/>
      <c r="C86" s="910"/>
      <c r="D86" s="910"/>
      <c r="E86" s="910"/>
      <c r="F86" s="910"/>
      <c r="G86" s="910"/>
      <c r="H86" s="945">
        <f>'1.8.3 RenPTLR'!B86</f>
        <v>1.2957610813413625</v>
      </c>
      <c r="I86" s="945">
        <f>'1.8.3 RenPTLR'!E86</f>
        <v>18.572656921754081</v>
      </c>
      <c r="J86" s="910"/>
      <c r="K86" s="842">
        <f>'1.8.2 RenHLR'!I86+'1.8.3 RenPTLR'!G86</f>
        <v>778.67839403208552</v>
      </c>
      <c r="L86" s="910"/>
      <c r="M86" s="910"/>
      <c r="N86" s="911"/>
      <c r="O86" s="910"/>
      <c r="P86" s="910"/>
      <c r="Q86" s="912"/>
      <c r="R86" s="910"/>
      <c r="S86" s="910"/>
      <c r="T86" s="910"/>
      <c r="U86" s="910"/>
      <c r="V86" s="945">
        <f>'1.8.3 RenPTLR'!H86</f>
        <v>43.438237573538125</v>
      </c>
      <c r="W86" s="910"/>
      <c r="X86" s="910"/>
      <c r="Y86" s="910"/>
      <c r="Z86" s="910"/>
      <c r="AA86" s="945">
        <f>'1.8.3 RenPTLR'!C86</f>
        <v>267.92923255545122</v>
      </c>
      <c r="AB86" s="910"/>
      <c r="AC86" s="910"/>
      <c r="AD86" s="950">
        <f t="shared" si="3"/>
        <v>311.36747012898934</v>
      </c>
      <c r="AF86" s="911"/>
      <c r="AG86" s="910"/>
      <c r="AH86" s="910"/>
      <c r="AI86" s="910"/>
      <c r="AJ86" s="912"/>
      <c r="AK86" s="910"/>
      <c r="AL86" s="910"/>
      <c r="AM86" s="945">
        <f>'1.8.2 RenHLR'!H86</f>
        <v>508.16398565831713</v>
      </c>
      <c r="AN86" s="910"/>
      <c r="AO86" s="912"/>
      <c r="AQ86" s="911"/>
      <c r="AR86" s="910"/>
      <c r="AS86" s="910"/>
      <c r="AT86" s="910"/>
      <c r="AU86" s="912"/>
      <c r="AV86" s="910"/>
      <c r="AW86" s="910"/>
      <c r="AX86" s="910"/>
      <c r="AY86" s="910"/>
      <c r="AZ86" s="912"/>
      <c r="BB86" s="913"/>
      <c r="BC86" s="916"/>
      <c r="BD86" s="910"/>
      <c r="BE86" s="914"/>
      <c r="BF86" s="910"/>
      <c r="BG86" s="910"/>
      <c r="BH86" s="914"/>
      <c r="BI86" s="910"/>
      <c r="BJ86" s="910"/>
      <c r="BK86" s="842">
        <f t="shared" si="4"/>
        <v>267.92923255545122</v>
      </c>
      <c r="BL86" s="1085">
        <f t="shared" si="5"/>
        <v>1330.2806172639407</v>
      </c>
      <c r="BM86" s="910"/>
      <c r="BN86" s="921"/>
    </row>
    <row r="87" spans="1:66" ht="10.5" customHeight="1" x14ac:dyDescent="0.35">
      <c r="A87" s="841">
        <v>1777</v>
      </c>
      <c r="B87" s="910"/>
      <c r="C87" s="910"/>
      <c r="D87" s="910"/>
      <c r="E87" s="910"/>
      <c r="F87" s="910"/>
      <c r="G87" s="910"/>
      <c r="H87" s="945">
        <f>'1.8.3 RenPTLR'!B87</f>
        <v>1.2994236588134178</v>
      </c>
      <c r="I87" s="945">
        <f>'1.8.3 RenPTLR'!E87</f>
        <v>18.830610490111777</v>
      </c>
      <c r="J87" s="910"/>
      <c r="K87" s="842">
        <f>'1.8.2 RenHLR'!I87+'1.8.3 RenPTLR'!G87</f>
        <v>784.84290622547428</v>
      </c>
      <c r="L87" s="910"/>
      <c r="M87" s="910"/>
      <c r="N87" s="911"/>
      <c r="O87" s="910"/>
      <c r="P87" s="910"/>
      <c r="Q87" s="912"/>
      <c r="R87" s="910"/>
      <c r="S87" s="910"/>
      <c r="T87" s="910"/>
      <c r="U87" s="910"/>
      <c r="V87" s="945">
        <f>'1.8.3 RenPTLR'!H87</f>
        <v>46.73095896854629</v>
      </c>
      <c r="W87" s="910"/>
      <c r="X87" s="910"/>
      <c r="Y87" s="910"/>
      <c r="Z87" s="910"/>
      <c r="AA87" s="945">
        <f>'1.8.3 RenPTLR'!C87</f>
        <v>268.30020032598884</v>
      </c>
      <c r="AB87" s="910"/>
      <c r="AC87" s="910"/>
      <c r="AD87" s="950">
        <f t="shared" si="3"/>
        <v>315.03115929453514</v>
      </c>
      <c r="AF87" s="911"/>
      <c r="AG87" s="910"/>
      <c r="AH87" s="910"/>
      <c r="AI87" s="910"/>
      <c r="AJ87" s="912"/>
      <c r="AK87" s="910"/>
      <c r="AL87" s="910"/>
      <c r="AM87" s="945">
        <f>'1.8.2 RenHLR'!H87</f>
        <v>507.32503530737995</v>
      </c>
      <c r="AN87" s="910"/>
      <c r="AO87" s="912"/>
      <c r="AQ87" s="911"/>
      <c r="AR87" s="910"/>
      <c r="AS87" s="910"/>
      <c r="AT87" s="910"/>
      <c r="AU87" s="912"/>
      <c r="AV87" s="910"/>
      <c r="AW87" s="910"/>
      <c r="AX87" s="910"/>
      <c r="AY87" s="910"/>
      <c r="AZ87" s="912"/>
      <c r="BB87" s="913"/>
      <c r="BC87" s="916"/>
      <c r="BD87" s="910"/>
      <c r="BE87" s="914"/>
      <c r="BF87" s="910"/>
      <c r="BG87" s="910"/>
      <c r="BH87" s="914"/>
      <c r="BI87" s="910"/>
      <c r="BJ87" s="910"/>
      <c r="BK87" s="842">
        <f t="shared" si="4"/>
        <v>268.30020032598884</v>
      </c>
      <c r="BL87" s="1085">
        <f t="shared" si="5"/>
        <v>1338.8989005014005</v>
      </c>
      <c r="BM87" s="910"/>
      <c r="BN87" s="921"/>
    </row>
    <row r="88" spans="1:66" ht="10.5" customHeight="1" x14ac:dyDescent="0.35">
      <c r="A88" s="841">
        <v>1778</v>
      </c>
      <c r="B88" s="910"/>
      <c r="C88" s="910"/>
      <c r="D88" s="910"/>
      <c r="E88" s="910"/>
      <c r="F88" s="910"/>
      <c r="G88" s="910"/>
      <c r="H88" s="945">
        <f>'1.8.3 RenPTLR'!B88</f>
        <v>1.3030862362854727</v>
      </c>
      <c r="I88" s="945">
        <f>'1.8.3 RenPTLR'!E88</f>
        <v>19.088564058469476</v>
      </c>
      <c r="J88" s="910"/>
      <c r="K88" s="842">
        <f>'1.8.2 RenHLR'!I88+'1.8.3 RenPTLR'!G88</f>
        <v>789.75269041452759</v>
      </c>
      <c r="L88" s="910"/>
      <c r="M88" s="910"/>
      <c r="N88" s="911"/>
      <c r="O88" s="910"/>
      <c r="P88" s="910"/>
      <c r="Q88" s="912"/>
      <c r="R88" s="910"/>
      <c r="S88" s="910"/>
      <c r="T88" s="910"/>
      <c r="U88" s="910"/>
      <c r="V88" s="945">
        <f>'1.8.3 RenPTLR'!H88</f>
        <v>50.176606393022901</v>
      </c>
      <c r="W88" s="910"/>
      <c r="X88" s="910"/>
      <c r="Y88" s="910"/>
      <c r="Z88" s="910"/>
      <c r="AA88" s="945">
        <f>'1.8.3 RenPTLR'!C88</f>
        <v>268.66658946506004</v>
      </c>
      <c r="AB88" s="910"/>
      <c r="AC88" s="910"/>
      <c r="AD88" s="950">
        <f t="shared" si="3"/>
        <v>318.84319585808294</v>
      </c>
      <c r="AF88" s="911"/>
      <c r="AG88" s="910"/>
      <c r="AH88" s="910"/>
      <c r="AI88" s="910"/>
      <c r="AJ88" s="912"/>
      <c r="AK88" s="910"/>
      <c r="AL88" s="910"/>
      <c r="AM88" s="945">
        <f>'1.8.2 RenHLR'!H88</f>
        <v>506.27207440654274</v>
      </c>
      <c r="AN88" s="910"/>
      <c r="AO88" s="912"/>
      <c r="AQ88" s="911"/>
      <c r="AR88" s="910"/>
      <c r="AS88" s="910"/>
      <c r="AT88" s="910"/>
      <c r="AU88" s="912"/>
      <c r="AV88" s="910"/>
      <c r="AW88" s="910"/>
      <c r="AX88" s="910"/>
      <c r="AY88" s="910"/>
      <c r="AZ88" s="912"/>
      <c r="BB88" s="913"/>
      <c r="BC88" s="916"/>
      <c r="BD88" s="910"/>
      <c r="BE88" s="914"/>
      <c r="BF88" s="910"/>
      <c r="BG88" s="910"/>
      <c r="BH88" s="914"/>
      <c r="BI88" s="910"/>
      <c r="BJ88" s="910"/>
      <c r="BK88" s="842">
        <f t="shared" si="4"/>
        <v>268.66658946506004</v>
      </c>
      <c r="BL88" s="1085">
        <f t="shared" si="5"/>
        <v>1346.2013712140933</v>
      </c>
      <c r="BM88" s="910"/>
      <c r="BN88" s="921"/>
    </row>
    <row r="89" spans="1:66" ht="10.5" customHeight="1" x14ac:dyDescent="0.35">
      <c r="A89" s="841">
        <v>1779</v>
      </c>
      <c r="B89" s="910"/>
      <c r="C89" s="910"/>
      <c r="D89" s="910"/>
      <c r="E89" s="910"/>
      <c r="F89" s="910"/>
      <c r="G89" s="910"/>
      <c r="H89" s="945">
        <f>'1.8.3 RenPTLR'!B89</f>
        <v>1.3067488137575278</v>
      </c>
      <c r="I89" s="945">
        <f>'1.8.3 RenPTLR'!E89</f>
        <v>19.346517626827172</v>
      </c>
      <c r="J89" s="910"/>
      <c r="K89" s="842">
        <f>'1.8.2 RenHLR'!I89+'1.8.3 RenPTLR'!G89</f>
        <v>794.31703364578084</v>
      </c>
      <c r="L89" s="910"/>
      <c r="M89" s="910"/>
      <c r="N89" s="911"/>
      <c r="O89" s="910"/>
      <c r="P89" s="910"/>
      <c r="Q89" s="912"/>
      <c r="R89" s="910"/>
      <c r="S89" s="910"/>
      <c r="T89" s="910"/>
      <c r="U89" s="910"/>
      <c r="V89" s="945">
        <f>'1.8.3 RenPTLR'!H89</f>
        <v>53.786668762423595</v>
      </c>
      <c r="W89" s="910"/>
      <c r="X89" s="910"/>
      <c r="Y89" s="910"/>
      <c r="Z89" s="910"/>
      <c r="AA89" s="945">
        <f>'1.8.3 RenPTLR'!C89</f>
        <v>269.02839228334352</v>
      </c>
      <c r="AB89" s="910"/>
      <c r="AC89" s="910"/>
      <c r="AD89" s="950">
        <f t="shared" si="3"/>
        <v>322.8150610457671</v>
      </c>
      <c r="AF89" s="911"/>
      <c r="AG89" s="910"/>
      <c r="AH89" s="910"/>
      <c r="AI89" s="910"/>
      <c r="AJ89" s="912"/>
      <c r="AK89" s="910"/>
      <c r="AL89" s="910"/>
      <c r="AM89" s="945">
        <f>'1.8.2 RenHLR'!H89</f>
        <v>505.00706758176193</v>
      </c>
      <c r="AN89" s="910"/>
      <c r="AO89" s="912"/>
      <c r="AQ89" s="911"/>
      <c r="AR89" s="910"/>
      <c r="AS89" s="910"/>
      <c r="AT89" s="910"/>
      <c r="AU89" s="912"/>
      <c r="AV89" s="910"/>
      <c r="AW89" s="910"/>
      <c r="AX89" s="910"/>
      <c r="AY89" s="910"/>
      <c r="AZ89" s="912"/>
      <c r="BB89" s="913"/>
      <c r="BC89" s="916"/>
      <c r="BD89" s="910"/>
      <c r="BE89" s="914"/>
      <c r="BF89" s="910"/>
      <c r="BG89" s="910"/>
      <c r="BH89" s="914"/>
      <c r="BI89" s="910"/>
      <c r="BJ89" s="910"/>
      <c r="BK89" s="842">
        <f t="shared" si="4"/>
        <v>269.02839228334352</v>
      </c>
      <c r="BL89" s="1085">
        <f t="shared" si="5"/>
        <v>1353.1107699899662</v>
      </c>
      <c r="BM89" s="910"/>
      <c r="BN89" s="921"/>
    </row>
    <row r="90" spans="1:66" ht="10.5" customHeight="1" x14ac:dyDescent="0.35">
      <c r="A90" s="841">
        <v>1780</v>
      </c>
      <c r="B90" s="910"/>
      <c r="C90" s="910"/>
      <c r="D90" s="910"/>
      <c r="E90" s="910"/>
      <c r="F90" s="910"/>
      <c r="G90" s="910"/>
      <c r="H90" s="945">
        <f>'1.8.3 RenPTLR'!B90</f>
        <v>1.3104113912295827</v>
      </c>
      <c r="I90" s="945">
        <f>'1.8.3 RenPTLR'!E90</f>
        <v>19.604471195184868</v>
      </c>
      <c r="J90" s="910"/>
      <c r="K90" s="842">
        <f>'1.8.2 RenHLR'!I90+'1.8.3 RenPTLR'!G90</f>
        <v>798.38657939225254</v>
      </c>
      <c r="L90" s="910"/>
      <c r="M90" s="910"/>
      <c r="N90" s="911"/>
      <c r="O90" s="910"/>
      <c r="P90" s="910"/>
      <c r="Q90" s="912"/>
      <c r="R90" s="910"/>
      <c r="S90" s="910"/>
      <c r="T90" s="910"/>
      <c r="U90" s="910"/>
      <c r="V90" s="945">
        <f>'1.8.3 RenPTLR'!H90</f>
        <v>57.573813298833713</v>
      </c>
      <c r="W90" s="910"/>
      <c r="X90" s="910"/>
      <c r="Y90" s="910"/>
      <c r="Z90" s="910"/>
      <c r="AA90" s="945">
        <f>'1.8.3 RenPTLR'!C90</f>
        <v>269.38560110223756</v>
      </c>
      <c r="AB90" s="910"/>
      <c r="AC90" s="910"/>
      <c r="AD90" s="950">
        <f t="shared" si="3"/>
        <v>326.95941440107129</v>
      </c>
      <c r="AF90" s="911"/>
      <c r="AG90" s="910"/>
      <c r="AH90" s="910"/>
      <c r="AI90" s="910"/>
      <c r="AJ90" s="912"/>
      <c r="AK90" s="910"/>
      <c r="AL90" s="910"/>
      <c r="AM90" s="945">
        <f>'1.8.2 RenHLR'!H90</f>
        <v>503.53195548522001</v>
      </c>
      <c r="AN90" s="910"/>
      <c r="AO90" s="912"/>
      <c r="AQ90" s="911"/>
      <c r="AR90" s="910"/>
      <c r="AS90" s="910"/>
      <c r="AT90" s="910"/>
      <c r="AU90" s="912"/>
      <c r="AV90" s="910"/>
      <c r="AW90" s="910"/>
      <c r="AX90" s="910"/>
      <c r="AY90" s="910"/>
      <c r="AZ90" s="912"/>
      <c r="BB90" s="913"/>
      <c r="BC90" s="916"/>
      <c r="BD90" s="910"/>
      <c r="BE90" s="914"/>
      <c r="BF90" s="910"/>
      <c r="BG90" s="910"/>
      <c r="BH90" s="914"/>
      <c r="BI90" s="910"/>
      <c r="BJ90" s="910"/>
      <c r="BK90" s="842">
        <f t="shared" si="4"/>
        <v>269.38560110223756</v>
      </c>
      <c r="BL90" s="1085">
        <f t="shared" si="5"/>
        <v>1359.4923481763062</v>
      </c>
      <c r="BM90" s="910"/>
      <c r="BN90" s="921"/>
    </row>
    <row r="91" spans="1:66" ht="10.5" customHeight="1" x14ac:dyDescent="0.35">
      <c r="A91" s="841">
        <v>1781</v>
      </c>
      <c r="B91" s="910"/>
      <c r="C91" s="910"/>
      <c r="D91" s="910"/>
      <c r="E91" s="910"/>
      <c r="F91" s="910"/>
      <c r="G91" s="910"/>
      <c r="H91" s="945">
        <f>'1.8.3 RenPTLR'!B91</f>
        <v>1.3140739687016378</v>
      </c>
      <c r="I91" s="945">
        <f>'1.8.3 RenPTLR'!E91</f>
        <v>19.862424763542563</v>
      </c>
      <c r="J91" s="910"/>
      <c r="K91" s="842">
        <f>'1.8.2 RenHLR'!I91+'1.8.3 RenPTLR'!G91</f>
        <v>801.49021648100029</v>
      </c>
      <c r="L91" s="910"/>
      <c r="M91" s="910"/>
      <c r="N91" s="911"/>
      <c r="O91" s="910"/>
      <c r="P91" s="910"/>
      <c r="Q91" s="912"/>
      <c r="R91" s="910"/>
      <c r="S91" s="910"/>
      <c r="T91" s="910"/>
      <c r="U91" s="910"/>
      <c r="V91" s="945">
        <f>'1.8.3 RenPTLR'!H91</f>
        <v>61.552040571405996</v>
      </c>
      <c r="W91" s="910"/>
      <c r="X91" s="910"/>
      <c r="Y91" s="910"/>
      <c r="Z91" s="910"/>
      <c r="AA91" s="945">
        <f>'1.8.3 RenPTLR'!C91</f>
        <v>269.73820825396388</v>
      </c>
      <c r="AB91" s="910"/>
      <c r="AC91" s="910"/>
      <c r="AD91" s="950">
        <f t="shared" si="3"/>
        <v>331.29024882536987</v>
      </c>
      <c r="AF91" s="911"/>
      <c r="AG91" s="910"/>
      <c r="AH91" s="910"/>
      <c r="AI91" s="910"/>
      <c r="AJ91" s="912"/>
      <c r="AK91" s="910"/>
      <c r="AL91" s="910"/>
      <c r="AM91" s="945">
        <f>'1.8.2 RenHLR'!H91</f>
        <v>501.8486551598952</v>
      </c>
      <c r="AN91" s="910"/>
      <c r="AO91" s="912"/>
      <c r="AQ91" s="911"/>
      <c r="AR91" s="910"/>
      <c r="AS91" s="910"/>
      <c r="AT91" s="910"/>
      <c r="AU91" s="912"/>
      <c r="AV91" s="910"/>
      <c r="AW91" s="910"/>
      <c r="AX91" s="910"/>
      <c r="AY91" s="910"/>
      <c r="AZ91" s="912"/>
      <c r="BB91" s="913"/>
      <c r="BC91" s="916"/>
      <c r="BD91" s="910"/>
      <c r="BE91" s="914"/>
      <c r="BF91" s="910"/>
      <c r="BG91" s="910"/>
      <c r="BH91" s="914"/>
      <c r="BI91" s="910"/>
      <c r="BJ91" s="910"/>
      <c r="BK91" s="842">
        <f t="shared" si="4"/>
        <v>269.73820825396388</v>
      </c>
      <c r="BL91" s="1085">
        <f t="shared" si="5"/>
        <v>1364.8909122123014</v>
      </c>
      <c r="BM91" s="910"/>
      <c r="BN91" s="921"/>
    </row>
    <row r="92" spans="1:66" ht="10.5" customHeight="1" x14ac:dyDescent="0.35">
      <c r="A92" s="841">
        <v>1782</v>
      </c>
      <c r="B92" s="910"/>
      <c r="C92" s="910"/>
      <c r="D92" s="910"/>
      <c r="E92" s="910"/>
      <c r="F92" s="910"/>
      <c r="G92" s="910"/>
      <c r="H92" s="945">
        <f>'1.8.3 RenPTLR'!B92</f>
        <v>1.317736546173693</v>
      </c>
      <c r="I92" s="945">
        <f>'1.8.3 RenPTLR'!E92</f>
        <v>20.120378331900259</v>
      </c>
      <c r="J92" s="910"/>
      <c r="K92" s="842">
        <f>'1.8.2 RenHLR'!I92+'1.8.3 RenPTLR'!G92</f>
        <v>807.09806705659446</v>
      </c>
      <c r="L92" s="910"/>
      <c r="M92" s="910"/>
      <c r="N92" s="911"/>
      <c r="O92" s="910"/>
      <c r="P92" s="910"/>
      <c r="Q92" s="912"/>
      <c r="R92" s="910"/>
      <c r="S92" s="910"/>
      <c r="T92" s="910"/>
      <c r="U92" s="910"/>
      <c r="V92" s="945">
        <f>'1.8.3 RenPTLR'!H92</f>
        <v>65.736864678490861</v>
      </c>
      <c r="W92" s="910"/>
      <c r="X92" s="910"/>
      <c r="Y92" s="910"/>
      <c r="Z92" s="910"/>
      <c r="AA92" s="945">
        <f>'1.8.3 RenPTLR'!C92</f>
        <v>270.08620608167189</v>
      </c>
      <c r="AB92" s="910"/>
      <c r="AC92" s="910"/>
      <c r="AD92" s="950">
        <f t="shared" si="3"/>
        <v>335.82307076016275</v>
      </c>
      <c r="AF92" s="911"/>
      <c r="AG92" s="910"/>
      <c r="AH92" s="910"/>
      <c r="AI92" s="910"/>
      <c r="AJ92" s="912"/>
      <c r="AK92" s="910"/>
      <c r="AL92" s="910"/>
      <c r="AM92" s="945">
        <f>'1.8.2 RenHLR'!H92</f>
        <v>499.95906039749877</v>
      </c>
      <c r="AN92" s="910"/>
      <c r="AO92" s="912"/>
      <c r="AQ92" s="911"/>
      <c r="AR92" s="910"/>
      <c r="AS92" s="910"/>
      <c r="AT92" s="910"/>
      <c r="AU92" s="912"/>
      <c r="AV92" s="910"/>
      <c r="AW92" s="910"/>
      <c r="AX92" s="910"/>
      <c r="AY92" s="910"/>
      <c r="AZ92" s="912"/>
      <c r="BB92" s="913"/>
      <c r="BC92" s="916"/>
      <c r="BD92" s="910"/>
      <c r="BE92" s="914"/>
      <c r="BF92" s="910"/>
      <c r="BG92" s="910"/>
      <c r="BH92" s="914"/>
      <c r="BI92" s="910"/>
      <c r="BJ92" s="910"/>
      <c r="BK92" s="842">
        <f t="shared" si="4"/>
        <v>270.08620608167189</v>
      </c>
      <c r="BL92" s="1085">
        <f t="shared" si="5"/>
        <v>1372.7939921325842</v>
      </c>
      <c r="BM92" s="910"/>
      <c r="BN92" s="921"/>
    </row>
    <row r="93" spans="1:66" ht="10.5" customHeight="1" x14ac:dyDescent="0.35">
      <c r="A93" s="841">
        <v>1783</v>
      </c>
      <c r="B93" s="910"/>
      <c r="C93" s="910"/>
      <c r="D93" s="910"/>
      <c r="E93" s="910"/>
      <c r="F93" s="910"/>
      <c r="G93" s="910"/>
      <c r="H93" s="945">
        <f>'1.8.3 RenPTLR'!B93</f>
        <v>1.3213991236457479</v>
      </c>
      <c r="I93" s="945">
        <f>'1.8.3 RenPTLR'!E93</f>
        <v>20.378331900257951</v>
      </c>
      <c r="J93" s="910"/>
      <c r="K93" s="842">
        <f>'1.8.2 RenHLR'!I93+'1.8.3 RenPTLR'!G93</f>
        <v>812.86693308445729</v>
      </c>
      <c r="L93" s="910"/>
      <c r="M93" s="910"/>
      <c r="N93" s="911"/>
      <c r="O93" s="910"/>
      <c r="P93" s="910"/>
      <c r="Q93" s="912"/>
      <c r="R93" s="910"/>
      <c r="S93" s="910"/>
      <c r="T93" s="910"/>
      <c r="U93" s="910"/>
      <c r="V93" s="945">
        <f>'1.8.3 RenPTLR'!H93</f>
        <v>70.145523460121737</v>
      </c>
      <c r="W93" s="910"/>
      <c r="X93" s="910"/>
      <c r="Y93" s="910"/>
      <c r="Z93" s="910"/>
      <c r="AA93" s="945">
        <f>'1.8.3 RenPTLR'!C93</f>
        <v>270.42958693954267</v>
      </c>
      <c r="AB93" s="910"/>
      <c r="AC93" s="910"/>
      <c r="AD93" s="950">
        <f t="shared" si="3"/>
        <v>340.57511039966442</v>
      </c>
      <c r="AF93" s="911"/>
      <c r="AG93" s="910"/>
      <c r="AH93" s="910"/>
      <c r="AI93" s="910"/>
      <c r="AJ93" s="912"/>
      <c r="AK93" s="910"/>
      <c r="AL93" s="910"/>
      <c r="AM93" s="945">
        <f>'1.8.2 RenHLR'!H93</f>
        <v>497.86504208991988</v>
      </c>
      <c r="AN93" s="910"/>
      <c r="AO93" s="912"/>
      <c r="AQ93" s="911"/>
      <c r="AR93" s="910"/>
      <c r="AS93" s="910"/>
      <c r="AT93" s="910"/>
      <c r="AU93" s="912"/>
      <c r="AV93" s="910"/>
      <c r="AW93" s="910"/>
      <c r="AX93" s="910"/>
      <c r="AY93" s="910"/>
      <c r="AZ93" s="912"/>
      <c r="BB93" s="913"/>
      <c r="BC93" s="916"/>
      <c r="BD93" s="910"/>
      <c r="BE93" s="914"/>
      <c r="BF93" s="910"/>
      <c r="BG93" s="910"/>
      <c r="BH93" s="914"/>
      <c r="BI93" s="910"/>
      <c r="BJ93" s="910"/>
      <c r="BK93" s="842">
        <f t="shared" si="4"/>
        <v>270.42958693954267</v>
      </c>
      <c r="BL93" s="1085">
        <f t="shared" si="5"/>
        <v>1380.8774986344988</v>
      </c>
      <c r="BM93" s="910"/>
      <c r="BN93" s="921"/>
    </row>
    <row r="94" spans="1:66" ht="10.5" customHeight="1" x14ac:dyDescent="0.35">
      <c r="A94" s="841">
        <v>1784</v>
      </c>
      <c r="B94" s="910"/>
      <c r="C94" s="910"/>
      <c r="D94" s="910"/>
      <c r="E94" s="910"/>
      <c r="F94" s="910"/>
      <c r="G94" s="910"/>
      <c r="H94" s="945">
        <f>'1.8.3 RenPTLR'!B94</f>
        <v>1.3250617011178032</v>
      </c>
      <c r="I94" s="945">
        <f>'1.8.3 RenPTLR'!E94</f>
        <v>20.636285468615647</v>
      </c>
      <c r="J94" s="910"/>
      <c r="K94" s="842">
        <f>'1.8.2 RenHLR'!I94+'1.8.3 RenPTLR'!G94</f>
        <v>817.00489190566282</v>
      </c>
      <c r="L94" s="910"/>
      <c r="M94" s="910"/>
      <c r="N94" s="911"/>
      <c r="O94" s="910"/>
      <c r="P94" s="910"/>
      <c r="Q94" s="912"/>
      <c r="R94" s="910"/>
      <c r="S94" s="910"/>
      <c r="T94" s="910"/>
      <c r="U94" s="910"/>
      <c r="V94" s="945">
        <f>'1.8.3 RenPTLR'!H94</f>
        <v>74.79722474692565</v>
      </c>
      <c r="W94" s="910"/>
      <c r="X94" s="910"/>
      <c r="Y94" s="910"/>
      <c r="Z94" s="910"/>
      <c r="AA94" s="945">
        <f>'1.8.3 RenPTLR'!C94</f>
        <v>270.76834319289389</v>
      </c>
      <c r="AB94" s="910"/>
      <c r="AC94" s="910"/>
      <c r="AD94" s="950">
        <f t="shared" si="3"/>
        <v>345.56556793981952</v>
      </c>
      <c r="AF94" s="911"/>
      <c r="AG94" s="910"/>
      <c r="AH94" s="910"/>
      <c r="AI94" s="910"/>
      <c r="AJ94" s="912"/>
      <c r="AK94" s="910"/>
      <c r="AL94" s="910"/>
      <c r="AM94" s="945">
        <f>'1.8.2 RenHLR'!H94</f>
        <v>495.56844857431253</v>
      </c>
      <c r="AN94" s="910"/>
      <c r="AO94" s="912"/>
      <c r="AQ94" s="911"/>
      <c r="AR94" s="910"/>
      <c r="AS94" s="910"/>
      <c r="AT94" s="910"/>
      <c r="AU94" s="912"/>
      <c r="AV94" s="910"/>
      <c r="AW94" s="910"/>
      <c r="AX94" s="910"/>
      <c r="AY94" s="910"/>
      <c r="AZ94" s="912"/>
      <c r="BB94" s="913"/>
      <c r="BC94" s="916"/>
      <c r="BD94" s="910"/>
      <c r="BE94" s="914"/>
      <c r="BF94" s="910"/>
      <c r="BG94" s="910"/>
      <c r="BH94" s="914"/>
      <c r="BI94" s="910"/>
      <c r="BJ94" s="910"/>
      <c r="BK94" s="842">
        <f t="shared" si="4"/>
        <v>270.76834319289389</v>
      </c>
      <c r="BL94" s="1085">
        <f t="shared" si="5"/>
        <v>1387.3705652269009</v>
      </c>
      <c r="BM94" s="910"/>
      <c r="BN94" s="921"/>
    </row>
    <row r="95" spans="1:66" ht="10.5" customHeight="1" x14ac:dyDescent="0.35">
      <c r="A95" s="841">
        <v>1785</v>
      </c>
      <c r="B95" s="910"/>
      <c r="C95" s="910"/>
      <c r="D95" s="910"/>
      <c r="E95" s="910"/>
      <c r="F95" s="910"/>
      <c r="G95" s="910"/>
      <c r="H95" s="945">
        <f>'1.8.3 RenPTLR'!B95</f>
        <v>1.3287242785898583</v>
      </c>
      <c r="I95" s="945">
        <f>'1.8.3 RenPTLR'!E95</f>
        <v>20.894239036973342</v>
      </c>
      <c r="J95" s="910"/>
      <c r="K95" s="842">
        <f>'1.8.2 RenHLR'!I95+'1.8.3 RenPTLR'!G95</f>
        <v>821.89360305939329</v>
      </c>
      <c r="L95" s="910"/>
      <c r="M95" s="910"/>
      <c r="N95" s="911"/>
      <c r="O95" s="910"/>
      <c r="P95" s="910"/>
      <c r="Q95" s="912"/>
      <c r="R95" s="910"/>
      <c r="S95" s="910"/>
      <c r="T95" s="910"/>
      <c r="U95" s="910"/>
      <c r="V95" s="945">
        <f>'1.8.3 RenPTLR'!H95</f>
        <v>79.713436064724633</v>
      </c>
      <c r="W95" s="910"/>
      <c r="X95" s="910"/>
      <c r="Y95" s="910"/>
      <c r="Z95" s="910"/>
      <c r="AA95" s="945">
        <f>'1.8.3 RenPTLR'!C95</f>
        <v>271.10246721828554</v>
      </c>
      <c r="AB95" s="910"/>
      <c r="AC95" s="910"/>
      <c r="AD95" s="950">
        <f t="shared" si="3"/>
        <v>350.81590328301019</v>
      </c>
      <c r="AF95" s="911"/>
      <c r="AG95" s="910"/>
      <c r="AH95" s="910"/>
      <c r="AI95" s="910"/>
      <c r="AJ95" s="912"/>
      <c r="AK95" s="910"/>
      <c r="AL95" s="910"/>
      <c r="AM95" s="945">
        <f>'1.8.2 RenHLR'!H95</f>
        <v>493.07110597196584</v>
      </c>
      <c r="AN95" s="910"/>
      <c r="AO95" s="912"/>
      <c r="AQ95" s="911"/>
      <c r="AR95" s="910"/>
      <c r="AS95" s="910"/>
      <c r="AT95" s="910"/>
      <c r="AU95" s="912"/>
      <c r="AV95" s="910"/>
      <c r="AW95" s="910"/>
      <c r="AX95" s="910"/>
      <c r="AY95" s="910"/>
      <c r="AZ95" s="912"/>
      <c r="BB95" s="913"/>
      <c r="BC95" s="916"/>
      <c r="BD95" s="910"/>
      <c r="BE95" s="914"/>
      <c r="BF95" s="910"/>
      <c r="BG95" s="910"/>
      <c r="BH95" s="914"/>
      <c r="BI95" s="910"/>
      <c r="BJ95" s="910"/>
      <c r="BK95" s="842">
        <f t="shared" si="4"/>
        <v>271.10246721828554</v>
      </c>
      <c r="BL95" s="1085">
        <f t="shared" si="5"/>
        <v>1394.6781450960839</v>
      </c>
      <c r="BM95" s="910"/>
      <c r="BN95" s="921"/>
    </row>
    <row r="96" spans="1:66" ht="10.5" customHeight="1" x14ac:dyDescent="0.35">
      <c r="A96" s="841">
        <v>1786</v>
      </c>
      <c r="B96" s="910"/>
      <c r="C96" s="910"/>
      <c r="D96" s="910"/>
      <c r="E96" s="910"/>
      <c r="F96" s="910"/>
      <c r="G96" s="910"/>
      <c r="H96" s="945">
        <f>'1.8.3 RenPTLR'!B96</f>
        <v>1.3323868560619132</v>
      </c>
      <c r="I96" s="945">
        <f>'1.8.3 RenPTLR'!E96</f>
        <v>21.152192605331038</v>
      </c>
      <c r="J96" s="910"/>
      <c r="K96" s="842">
        <f>'1.8.2 RenHLR'!I96+'1.8.3 RenPTLR'!G96</f>
        <v>826.96891039990567</v>
      </c>
      <c r="L96" s="910"/>
      <c r="M96" s="910"/>
      <c r="N96" s="911"/>
      <c r="O96" s="910"/>
      <c r="P96" s="910"/>
      <c r="Q96" s="912"/>
      <c r="R96" s="910"/>
      <c r="S96" s="910"/>
      <c r="T96" s="910"/>
      <c r="U96" s="910"/>
      <c r="V96" s="945">
        <f>'1.8.3 RenPTLR'!H96</f>
        <v>84.918227012699717</v>
      </c>
      <c r="W96" s="910"/>
      <c r="X96" s="910"/>
      <c r="Y96" s="910"/>
      <c r="Z96" s="910"/>
      <c r="AA96" s="945">
        <f>'1.8.3 RenPTLR'!C96</f>
        <v>271.43195140362513</v>
      </c>
      <c r="AB96" s="910"/>
      <c r="AC96" s="910"/>
      <c r="AD96" s="950">
        <f t="shared" si="3"/>
        <v>356.35017841632487</v>
      </c>
      <c r="AF96" s="911"/>
      <c r="AG96" s="910"/>
      <c r="AH96" s="910"/>
      <c r="AI96" s="910"/>
      <c r="AJ96" s="912"/>
      <c r="AK96" s="910"/>
      <c r="AL96" s="910"/>
      <c r="AM96" s="945">
        <f>'1.8.2 RenHLR'!H96</f>
        <v>490.37481852107777</v>
      </c>
      <c r="AN96" s="910"/>
      <c r="AO96" s="912"/>
      <c r="AQ96" s="911"/>
      <c r="AR96" s="910"/>
      <c r="AS96" s="910"/>
      <c r="AT96" s="910"/>
      <c r="AU96" s="912"/>
      <c r="AV96" s="910"/>
      <c r="AW96" s="910"/>
      <c r="AX96" s="910"/>
      <c r="AY96" s="910"/>
      <c r="AZ96" s="912"/>
      <c r="BB96" s="913"/>
      <c r="BC96" s="916"/>
      <c r="BD96" s="910"/>
      <c r="BE96" s="914"/>
      <c r="BF96" s="910"/>
      <c r="BG96" s="910"/>
      <c r="BH96" s="914"/>
      <c r="BI96" s="910"/>
      <c r="BJ96" s="910"/>
      <c r="BK96" s="842">
        <f t="shared" si="4"/>
        <v>271.43195140362513</v>
      </c>
      <c r="BL96" s="1085">
        <f t="shared" si="5"/>
        <v>1402.2619559336831</v>
      </c>
      <c r="BM96" s="910"/>
      <c r="BN96" s="921"/>
    </row>
    <row r="97" spans="1:66" ht="10.5" customHeight="1" x14ac:dyDescent="0.35">
      <c r="A97" s="841">
        <v>1787</v>
      </c>
      <c r="B97" s="910"/>
      <c r="C97" s="910"/>
      <c r="D97" s="910"/>
      <c r="E97" s="910"/>
      <c r="F97" s="910"/>
      <c r="G97" s="910"/>
      <c r="H97" s="945">
        <f>'1.8.3 RenPTLR'!B97</f>
        <v>1.3360494335339685</v>
      </c>
      <c r="I97" s="945">
        <f>'1.8.3 RenPTLR'!E97</f>
        <v>21.410146173688734</v>
      </c>
      <c r="J97" s="910"/>
      <c r="K97" s="842">
        <f>'1.8.2 RenHLR'!I97+'1.8.3 RenPTLR'!G97</f>
        <v>832.03948268438546</v>
      </c>
      <c r="L97" s="910"/>
      <c r="M97" s="910"/>
      <c r="N97" s="911"/>
      <c r="O97" s="910"/>
      <c r="P97" s="910"/>
      <c r="Q97" s="912"/>
      <c r="R97" s="910"/>
      <c r="S97" s="910"/>
      <c r="T97" s="910"/>
      <c r="U97" s="910"/>
      <c r="V97" s="945">
        <f>'1.8.3 RenPTLR'!H97</f>
        <v>90.438675837461645</v>
      </c>
      <c r="W97" s="910"/>
      <c r="X97" s="910"/>
      <c r="Y97" s="910"/>
      <c r="Z97" s="910"/>
      <c r="AA97" s="945">
        <f>'1.8.3 RenPTLR'!C97</f>
        <v>271.75678814827376</v>
      </c>
      <c r="AB97" s="910"/>
      <c r="AC97" s="910"/>
      <c r="AD97" s="950">
        <f t="shared" si="3"/>
        <v>362.19546398573539</v>
      </c>
      <c r="AF97" s="911"/>
      <c r="AG97" s="910"/>
      <c r="AH97" s="910"/>
      <c r="AI97" s="910"/>
      <c r="AJ97" s="912"/>
      <c r="AK97" s="910"/>
      <c r="AL97" s="910"/>
      <c r="AM97" s="945">
        <f>'1.8.2 RenHLR'!H97</f>
        <v>487.48136890356869</v>
      </c>
      <c r="AN97" s="910"/>
      <c r="AO97" s="912"/>
      <c r="AQ97" s="911"/>
      <c r="AR97" s="910"/>
      <c r="AS97" s="910"/>
      <c r="AT97" s="910"/>
      <c r="AU97" s="912"/>
      <c r="AV97" s="910"/>
      <c r="AW97" s="910"/>
      <c r="AX97" s="910"/>
      <c r="AY97" s="910"/>
      <c r="AZ97" s="912"/>
      <c r="BB97" s="913"/>
      <c r="BC97" s="916"/>
      <c r="BD97" s="910"/>
      <c r="BE97" s="914"/>
      <c r="BF97" s="910"/>
      <c r="BG97" s="910"/>
      <c r="BH97" s="914"/>
      <c r="BI97" s="910"/>
      <c r="BJ97" s="910"/>
      <c r="BK97" s="842">
        <f t="shared" si="4"/>
        <v>271.75678814827376</v>
      </c>
      <c r="BL97" s="1085">
        <f t="shared" si="5"/>
        <v>1409.9595274254159</v>
      </c>
      <c r="BM97" s="910"/>
      <c r="BN97" s="921"/>
    </row>
    <row r="98" spans="1:66" ht="10.5" customHeight="1" x14ac:dyDescent="0.35">
      <c r="A98" s="841">
        <v>1788</v>
      </c>
      <c r="B98" s="910"/>
      <c r="C98" s="910"/>
      <c r="D98" s="910"/>
      <c r="E98" s="910"/>
      <c r="F98" s="910"/>
      <c r="G98" s="910"/>
      <c r="H98" s="945">
        <f>'1.8.3 RenPTLR'!B98</f>
        <v>1.3397120110060234</v>
      </c>
      <c r="I98" s="945">
        <f>'1.8.3 RenPTLR'!E98</f>
        <v>21.668099742046429</v>
      </c>
      <c r="J98" s="910"/>
      <c r="K98" s="842">
        <f>'1.8.2 RenHLR'!I98+'1.8.3 RenPTLR'!G98</f>
        <v>837.25515736177022</v>
      </c>
      <c r="L98" s="910"/>
      <c r="M98" s="910"/>
      <c r="N98" s="911"/>
      <c r="O98" s="910"/>
      <c r="P98" s="910"/>
      <c r="Q98" s="912"/>
      <c r="R98" s="910"/>
      <c r="S98" s="910"/>
      <c r="T98" s="910"/>
      <c r="U98" s="910"/>
      <c r="V98" s="945">
        <f>'1.8.3 RenPTLR'!H98</f>
        <v>96.30535469887586</v>
      </c>
      <c r="W98" s="910"/>
      <c r="X98" s="910"/>
      <c r="Y98" s="910"/>
      <c r="Z98" s="910"/>
      <c r="AA98" s="945">
        <f>'1.8.3 RenPTLR'!C98</f>
        <v>272.07696986315295</v>
      </c>
      <c r="AB98" s="910"/>
      <c r="AC98" s="910"/>
      <c r="AD98" s="950">
        <f t="shared" si="3"/>
        <v>368.38232456202883</v>
      </c>
      <c r="AF98" s="911"/>
      <c r="AG98" s="910"/>
      <c r="AH98" s="910"/>
      <c r="AI98" s="910"/>
      <c r="AJ98" s="912"/>
      <c r="AK98" s="910"/>
      <c r="AL98" s="910"/>
      <c r="AM98" s="945">
        <f>'1.8.2 RenHLR'!H98</f>
        <v>484.39251856605324</v>
      </c>
      <c r="AN98" s="910"/>
      <c r="AO98" s="912"/>
      <c r="AQ98" s="911"/>
      <c r="AR98" s="910"/>
      <c r="AS98" s="910"/>
      <c r="AT98" s="910"/>
      <c r="AU98" s="912"/>
      <c r="AV98" s="910"/>
      <c r="AW98" s="910"/>
      <c r="AX98" s="910"/>
      <c r="AY98" s="910"/>
      <c r="AZ98" s="912"/>
      <c r="BB98" s="913"/>
      <c r="BC98" s="916"/>
      <c r="BD98" s="910"/>
      <c r="BE98" s="914"/>
      <c r="BF98" s="910"/>
      <c r="BG98" s="910"/>
      <c r="BH98" s="914"/>
      <c r="BI98" s="910"/>
      <c r="BJ98" s="910"/>
      <c r="BK98" s="842">
        <f t="shared" si="4"/>
        <v>272.07696986315295</v>
      </c>
      <c r="BL98" s="1085">
        <f t="shared" si="5"/>
        <v>1417.9530306266993</v>
      </c>
      <c r="BM98" s="910"/>
      <c r="BN98" s="921"/>
    </row>
    <row r="99" spans="1:66" ht="10.5" customHeight="1" x14ac:dyDescent="0.35">
      <c r="A99" s="841">
        <v>1789</v>
      </c>
      <c r="B99" s="910"/>
      <c r="C99" s="910"/>
      <c r="D99" s="910"/>
      <c r="E99" s="910"/>
      <c r="F99" s="910"/>
      <c r="G99" s="910"/>
      <c r="H99" s="945">
        <f>'1.8.3 RenPTLR'!B99</f>
        <v>1.3433745884780786</v>
      </c>
      <c r="I99" s="945">
        <f>'1.8.3 RenPTLR'!E99</f>
        <v>21.926053310404129</v>
      </c>
      <c r="J99" s="910"/>
      <c r="K99" s="842">
        <f>'1.8.2 RenHLR'!I99+'1.8.3 RenPTLR'!G99</f>
        <v>841.83392059825462</v>
      </c>
      <c r="L99" s="910"/>
      <c r="M99" s="910"/>
      <c r="N99" s="911"/>
      <c r="O99" s="910"/>
      <c r="P99" s="910"/>
      <c r="Q99" s="912"/>
      <c r="R99" s="910"/>
      <c r="S99" s="910"/>
      <c r="T99" s="910"/>
      <c r="U99" s="910"/>
      <c r="V99" s="945">
        <f>'1.8.3 RenPTLR'!H99</f>
        <v>102.55291198905311</v>
      </c>
      <c r="W99" s="910"/>
      <c r="X99" s="910"/>
      <c r="Y99" s="910"/>
      <c r="Z99" s="910"/>
      <c r="AA99" s="945">
        <f>'1.8.3 RenPTLR'!C99</f>
        <v>277.86756930856177</v>
      </c>
      <c r="AB99" s="910"/>
      <c r="AC99" s="910"/>
      <c r="AD99" s="950">
        <f t="shared" si="3"/>
        <v>380.42048129761486</v>
      </c>
      <c r="AF99" s="911"/>
      <c r="AG99" s="910"/>
      <c r="AH99" s="910"/>
      <c r="AI99" s="910"/>
      <c r="AJ99" s="912"/>
      <c r="AK99" s="910"/>
      <c r="AL99" s="910"/>
      <c r="AM99" s="945">
        <f>'1.8.2 RenHLR'!H99</f>
        <v>481.11000803509785</v>
      </c>
      <c r="AN99" s="910"/>
      <c r="AO99" s="912"/>
      <c r="AQ99" s="911"/>
      <c r="AR99" s="910"/>
      <c r="AS99" s="910"/>
      <c r="AT99" s="910"/>
      <c r="AU99" s="912"/>
      <c r="AV99" s="910"/>
      <c r="AW99" s="910"/>
      <c r="AX99" s="910"/>
      <c r="AY99" s="910"/>
      <c r="AZ99" s="912"/>
      <c r="BB99" s="913"/>
      <c r="BC99" s="916"/>
      <c r="BD99" s="910"/>
      <c r="BE99" s="914"/>
      <c r="BF99" s="910"/>
      <c r="BG99" s="910"/>
      <c r="BH99" s="914"/>
      <c r="BI99" s="910"/>
      <c r="BJ99" s="910"/>
      <c r="BK99" s="842">
        <f t="shared" si="4"/>
        <v>277.86756930856177</v>
      </c>
      <c r="BL99" s="1085">
        <f t="shared" si="5"/>
        <v>1425.4968406224057</v>
      </c>
      <c r="BM99" s="910"/>
      <c r="BN99" s="921"/>
    </row>
    <row r="100" spans="1:66" ht="10.5" customHeight="1" x14ac:dyDescent="0.35">
      <c r="A100" s="841">
        <v>1790</v>
      </c>
      <c r="B100" s="910"/>
      <c r="C100" s="910"/>
      <c r="D100" s="910"/>
      <c r="E100" s="910"/>
      <c r="F100" s="910"/>
      <c r="G100" s="910"/>
      <c r="H100" s="945">
        <f>'1.8.3 RenPTLR'!B100</f>
        <v>1.3470371659501337</v>
      </c>
      <c r="I100" s="945">
        <f>'1.8.3 RenPTLR'!E100</f>
        <v>22.184006878761824</v>
      </c>
      <c r="J100" s="910"/>
      <c r="K100" s="842">
        <f>'1.8.2 RenHLR'!I100+'1.8.3 RenPTLR'!G100</f>
        <v>846.38733796412703</v>
      </c>
      <c r="L100" s="910"/>
      <c r="M100" s="910"/>
      <c r="N100" s="911"/>
      <c r="O100" s="910"/>
      <c r="P100" s="910"/>
      <c r="Q100" s="912"/>
      <c r="R100" s="910"/>
      <c r="S100" s="910"/>
      <c r="T100" s="910"/>
      <c r="U100" s="910"/>
      <c r="V100" s="945">
        <f>'1.8.3 RenPTLR'!H100</f>
        <v>109.22077513113057</v>
      </c>
      <c r="W100" s="910"/>
      <c r="X100" s="910"/>
      <c r="Y100" s="910"/>
      <c r="Z100" s="910"/>
      <c r="AA100" s="945">
        <f>'1.8.3 RenPTLR'!C100</f>
        <v>293.16909614584813</v>
      </c>
      <c r="AB100" s="910"/>
      <c r="AC100" s="910"/>
      <c r="AD100" s="950">
        <f t="shared" si="3"/>
        <v>402.38987127697868</v>
      </c>
      <c r="AF100" s="911"/>
      <c r="AG100" s="910"/>
      <c r="AH100" s="910"/>
      <c r="AI100" s="910"/>
      <c r="AJ100" s="912"/>
      <c r="AK100" s="910"/>
      <c r="AL100" s="910"/>
      <c r="AM100" s="945">
        <f>'1.8.2 RenHLR'!H100</f>
        <v>477.63555722687227</v>
      </c>
      <c r="AN100" s="910"/>
      <c r="AO100" s="912"/>
      <c r="AQ100" s="911"/>
      <c r="AR100" s="910"/>
      <c r="AS100" s="910"/>
      <c r="AT100" s="910"/>
      <c r="AU100" s="912"/>
      <c r="AV100" s="910"/>
      <c r="AW100" s="910"/>
      <c r="AX100" s="910"/>
      <c r="AY100" s="910"/>
      <c r="AZ100" s="912"/>
      <c r="BB100" s="913"/>
      <c r="BC100" s="916"/>
      <c r="BD100" s="910"/>
      <c r="BE100" s="914"/>
      <c r="BF100" s="910"/>
      <c r="BG100" s="910"/>
      <c r="BH100" s="914"/>
      <c r="BI100" s="910"/>
      <c r="BJ100" s="910"/>
      <c r="BK100" s="842">
        <f t="shared" si="4"/>
        <v>293.16909614584813</v>
      </c>
      <c r="BL100" s="1085">
        <f t="shared" si="5"/>
        <v>1433.2436703221299</v>
      </c>
      <c r="BM100" s="910"/>
      <c r="BN100" s="921"/>
    </row>
    <row r="101" spans="1:66" ht="10.5" customHeight="1" x14ac:dyDescent="0.35">
      <c r="A101" s="841">
        <v>1791</v>
      </c>
      <c r="B101" s="910"/>
      <c r="C101" s="910"/>
      <c r="D101" s="910"/>
      <c r="E101" s="910"/>
      <c r="F101" s="910"/>
      <c r="G101" s="910"/>
      <c r="H101" s="945">
        <f>'1.8.3 RenPTLR'!B101</f>
        <v>1.3506997434221888</v>
      </c>
      <c r="I101" s="945">
        <f>'1.8.3 RenPTLR'!E101</f>
        <v>22.44196044711952</v>
      </c>
      <c r="J101" s="910"/>
      <c r="K101" s="842">
        <f>'1.8.2 RenHLR'!I101+'1.8.3 RenPTLR'!G101</f>
        <v>851.84763357705151</v>
      </c>
      <c r="L101" s="910"/>
      <c r="M101" s="910"/>
      <c r="N101" s="911"/>
      <c r="O101" s="910"/>
      <c r="P101" s="910"/>
      <c r="Q101" s="912"/>
      <c r="R101" s="910"/>
      <c r="S101" s="910"/>
      <c r="T101" s="910"/>
      <c r="U101" s="910"/>
      <c r="V101" s="945">
        <f>'1.8.3 RenPTLR'!H101</f>
        <v>116.35400397779163</v>
      </c>
      <c r="W101" s="910"/>
      <c r="X101" s="910"/>
      <c r="Y101" s="910"/>
      <c r="Z101" s="910"/>
      <c r="AA101" s="945">
        <f>'1.8.3 RenPTLR'!C101</f>
        <v>299.30572349780118</v>
      </c>
      <c r="AB101" s="910"/>
      <c r="AC101" s="910"/>
      <c r="AD101" s="950">
        <f t="shared" si="3"/>
        <v>415.65972747559283</v>
      </c>
      <c r="AF101" s="911"/>
      <c r="AG101" s="910"/>
      <c r="AH101" s="910"/>
      <c r="AI101" s="910"/>
      <c r="AJ101" s="912"/>
      <c r="AK101" s="910"/>
      <c r="AL101" s="910"/>
      <c r="AM101" s="945">
        <f>'1.8.2 RenHLR'!H101</f>
        <v>473.97086575132442</v>
      </c>
      <c r="AN101" s="910"/>
      <c r="AO101" s="912"/>
      <c r="AQ101" s="911"/>
      <c r="AR101" s="910"/>
      <c r="AS101" s="910"/>
      <c r="AT101" s="910"/>
      <c r="AU101" s="912"/>
      <c r="AV101" s="910"/>
      <c r="AW101" s="910"/>
      <c r="AX101" s="910"/>
      <c r="AY101" s="910"/>
      <c r="AZ101" s="912"/>
      <c r="BB101" s="913"/>
      <c r="BC101" s="916"/>
      <c r="BD101" s="910"/>
      <c r="BE101" s="914"/>
      <c r="BF101" s="910"/>
      <c r="BG101" s="910"/>
      <c r="BH101" s="914"/>
      <c r="BI101" s="910"/>
      <c r="BJ101" s="910"/>
      <c r="BK101" s="842">
        <f t="shared" si="4"/>
        <v>299.30572349780118</v>
      </c>
      <c r="BL101" s="1085">
        <f t="shared" si="5"/>
        <v>1442.1725033061675</v>
      </c>
      <c r="BM101" s="910"/>
      <c r="BN101" s="921"/>
    </row>
    <row r="102" spans="1:66" ht="10.5" customHeight="1" x14ac:dyDescent="0.35">
      <c r="A102" s="841">
        <v>1792</v>
      </c>
      <c r="B102" s="910"/>
      <c r="C102" s="910"/>
      <c r="D102" s="910"/>
      <c r="E102" s="910"/>
      <c r="F102" s="910"/>
      <c r="G102" s="910"/>
      <c r="H102" s="945">
        <f>'1.8.3 RenPTLR'!B102</f>
        <v>1.3543623208942437</v>
      </c>
      <c r="I102" s="945">
        <f>'1.8.3 RenPTLR'!E102</f>
        <v>22.699914015477216</v>
      </c>
      <c r="J102" s="910"/>
      <c r="K102" s="842">
        <f>'1.8.2 RenHLR'!I102+'1.8.3 RenPTLR'!G102</f>
        <v>858.00254817820519</v>
      </c>
      <c r="L102" s="910"/>
      <c r="M102" s="910"/>
      <c r="N102" s="911"/>
      <c r="O102" s="910"/>
      <c r="P102" s="910"/>
      <c r="Q102" s="912"/>
      <c r="R102" s="910"/>
      <c r="S102" s="910"/>
      <c r="T102" s="910"/>
      <c r="U102" s="910"/>
      <c r="V102" s="945">
        <f>'1.8.3 RenPTLR'!H102</f>
        <v>124.00433385390082</v>
      </c>
      <c r="W102" s="910"/>
      <c r="X102" s="910"/>
      <c r="Y102" s="910"/>
      <c r="Z102" s="910"/>
      <c r="AA102" s="945">
        <f>'1.8.3 RenPTLR'!C102</f>
        <v>303.3015233655405</v>
      </c>
      <c r="AB102" s="910"/>
      <c r="AC102" s="910"/>
      <c r="AD102" s="950">
        <f t="shared" si="3"/>
        <v>427.30585721944135</v>
      </c>
      <c r="AF102" s="911"/>
      <c r="AG102" s="910"/>
      <c r="AH102" s="910"/>
      <c r="AI102" s="910"/>
      <c r="AJ102" s="912"/>
      <c r="AK102" s="910"/>
      <c r="AL102" s="910"/>
      <c r="AM102" s="945">
        <f>'1.8.2 RenHLR'!H102</f>
        <v>470.11761321097731</v>
      </c>
      <c r="AN102" s="910"/>
      <c r="AO102" s="912"/>
      <c r="AQ102" s="911"/>
      <c r="AR102" s="910"/>
      <c r="AS102" s="910"/>
      <c r="AT102" s="910"/>
      <c r="AU102" s="912"/>
      <c r="AV102" s="910"/>
      <c r="AW102" s="910"/>
      <c r="AX102" s="910"/>
      <c r="AY102" s="910"/>
      <c r="AZ102" s="912"/>
      <c r="BB102" s="913"/>
      <c r="BC102" s="916"/>
      <c r="BD102" s="910"/>
      <c r="BE102" s="914"/>
      <c r="BF102" s="910"/>
      <c r="BG102" s="910"/>
      <c r="BH102" s="914"/>
      <c r="BI102" s="910"/>
      <c r="BJ102" s="910"/>
      <c r="BK102" s="842">
        <f t="shared" si="4"/>
        <v>303.3015233655405</v>
      </c>
      <c r="BL102" s="1085">
        <f t="shared" si="5"/>
        <v>1452.1244952430834</v>
      </c>
      <c r="BM102" s="910"/>
      <c r="BN102" s="921"/>
    </row>
    <row r="103" spans="1:66" ht="10.5" customHeight="1" x14ac:dyDescent="0.35">
      <c r="A103" s="841">
        <v>1793</v>
      </c>
      <c r="B103" s="910"/>
      <c r="C103" s="910"/>
      <c r="D103" s="910"/>
      <c r="E103" s="910"/>
      <c r="F103" s="910"/>
      <c r="G103" s="910"/>
      <c r="H103" s="945">
        <f>'1.8.3 RenPTLR'!B103</f>
        <v>1.358024898366299</v>
      </c>
      <c r="I103" s="945">
        <f>'1.8.3 RenPTLR'!E103</f>
        <v>22.957867583834911</v>
      </c>
      <c r="J103" s="910"/>
      <c r="K103" s="842">
        <f>'1.8.2 RenHLR'!I103+'1.8.3 RenPTLR'!G103</f>
        <v>864.47456702276429</v>
      </c>
      <c r="L103" s="910"/>
      <c r="M103" s="910"/>
      <c r="N103" s="911"/>
      <c r="O103" s="910"/>
      <c r="P103" s="910"/>
      <c r="Q103" s="912"/>
      <c r="R103" s="910"/>
      <c r="S103" s="910"/>
      <c r="T103" s="910"/>
      <c r="U103" s="910"/>
      <c r="V103" s="945">
        <f>'1.8.3 RenPTLR'!H103</f>
        <v>132.23145930128544</v>
      </c>
      <c r="W103" s="910"/>
      <c r="X103" s="910"/>
      <c r="Y103" s="910"/>
      <c r="Z103" s="910"/>
      <c r="AA103" s="945">
        <f>'1.8.3 RenPTLR'!C103</f>
        <v>306.0126152854246</v>
      </c>
      <c r="AB103" s="910"/>
      <c r="AC103" s="910"/>
      <c r="AD103" s="950">
        <f t="shared" si="3"/>
        <v>438.24407458671004</v>
      </c>
      <c r="AF103" s="911"/>
      <c r="AG103" s="910"/>
      <c r="AH103" s="910"/>
      <c r="AI103" s="910"/>
      <c r="AJ103" s="912"/>
      <c r="AK103" s="910"/>
      <c r="AL103" s="910"/>
      <c r="AM103" s="945">
        <f>'1.8.2 RenHLR'!H103</f>
        <v>466.07745949447178</v>
      </c>
      <c r="AN103" s="910"/>
      <c r="AO103" s="912"/>
      <c r="AQ103" s="911"/>
      <c r="AR103" s="910"/>
      <c r="AS103" s="910"/>
      <c r="AT103" s="910"/>
      <c r="AU103" s="912"/>
      <c r="AV103" s="910"/>
      <c r="AW103" s="910"/>
      <c r="AX103" s="910"/>
      <c r="AY103" s="910"/>
      <c r="AZ103" s="912"/>
      <c r="BB103" s="913"/>
      <c r="BC103" s="916"/>
      <c r="BD103" s="910"/>
      <c r="BE103" s="914"/>
      <c r="BF103" s="910"/>
      <c r="BG103" s="910"/>
      <c r="BH103" s="914"/>
      <c r="BI103" s="910"/>
      <c r="BJ103" s="910"/>
      <c r="BK103" s="842">
        <f t="shared" si="4"/>
        <v>306.0126152854246</v>
      </c>
      <c r="BL103" s="1085">
        <f t="shared" si="5"/>
        <v>1462.7834858185215</v>
      </c>
      <c r="BM103" s="910"/>
      <c r="BN103" s="921"/>
    </row>
    <row r="104" spans="1:66" ht="10.5" customHeight="1" x14ac:dyDescent="0.35">
      <c r="A104" s="841">
        <v>1794</v>
      </c>
      <c r="B104" s="910"/>
      <c r="C104" s="910"/>
      <c r="D104" s="910"/>
      <c r="E104" s="910"/>
      <c r="F104" s="910"/>
      <c r="G104" s="910"/>
      <c r="H104" s="945">
        <f>'1.8.3 RenPTLR'!B104</f>
        <v>1.3616874758383539</v>
      </c>
      <c r="I104" s="945">
        <f>'1.8.3 RenPTLR'!E104</f>
        <v>23.215821152192607</v>
      </c>
      <c r="J104" s="910"/>
      <c r="K104" s="842">
        <f>'1.8.2 RenHLR'!I104+'1.8.3 RenPTLR'!G104</f>
        <v>870.48114444682801</v>
      </c>
      <c r="L104" s="910"/>
      <c r="M104" s="910"/>
      <c r="N104" s="911"/>
      <c r="O104" s="910"/>
      <c r="P104" s="910"/>
      <c r="Q104" s="912"/>
      <c r="R104" s="910"/>
      <c r="S104" s="910"/>
      <c r="T104" s="910"/>
      <c r="U104" s="910"/>
      <c r="V104" s="945">
        <f>'1.8.3 RenPTLR'!H104</f>
        <v>141.10462592226381</v>
      </c>
      <c r="W104" s="910"/>
      <c r="X104" s="910"/>
      <c r="Y104" s="910"/>
      <c r="Z104" s="910"/>
      <c r="AA104" s="945">
        <f>'1.8.3 RenPTLR'!C104</f>
        <v>305.97618012528505</v>
      </c>
      <c r="AB104" s="910"/>
      <c r="AC104" s="910"/>
      <c r="AD104" s="950">
        <f t="shared" si="3"/>
        <v>447.08080604754889</v>
      </c>
      <c r="AF104" s="911"/>
      <c r="AG104" s="910"/>
      <c r="AH104" s="910"/>
      <c r="AI104" s="910"/>
      <c r="AJ104" s="912"/>
      <c r="AK104" s="910"/>
      <c r="AL104" s="910"/>
      <c r="AM104" s="945">
        <f>'1.8.2 RenHLR'!H104</f>
        <v>461.85204506495126</v>
      </c>
      <c r="AN104" s="910"/>
      <c r="AO104" s="912"/>
      <c r="AQ104" s="911"/>
      <c r="AR104" s="910"/>
      <c r="AS104" s="910"/>
      <c r="AT104" s="910"/>
      <c r="AU104" s="912"/>
      <c r="AV104" s="910"/>
      <c r="AW104" s="910"/>
      <c r="AX104" s="910"/>
      <c r="AY104" s="910"/>
      <c r="AZ104" s="912"/>
      <c r="BB104" s="913"/>
      <c r="BC104" s="916"/>
      <c r="BD104" s="910"/>
      <c r="BE104" s="914"/>
      <c r="BF104" s="910"/>
      <c r="BG104" s="910"/>
      <c r="BH104" s="914"/>
      <c r="BI104" s="910"/>
      <c r="BJ104" s="910"/>
      <c r="BK104" s="842">
        <f t="shared" si="4"/>
        <v>305.97618012528505</v>
      </c>
      <c r="BL104" s="1085">
        <f t="shared" si="5"/>
        <v>1473.4378154340432</v>
      </c>
      <c r="BM104" s="910"/>
      <c r="BN104" s="921"/>
    </row>
    <row r="105" spans="1:66" ht="10.5" customHeight="1" x14ac:dyDescent="0.35">
      <c r="A105" s="841">
        <v>1795</v>
      </c>
      <c r="B105" s="910"/>
      <c r="C105" s="910"/>
      <c r="D105" s="910"/>
      <c r="E105" s="910"/>
      <c r="F105" s="910"/>
      <c r="G105" s="910"/>
      <c r="H105" s="945">
        <f>'1.8.3 RenPTLR'!B105</f>
        <v>1.365350053310409</v>
      </c>
      <c r="I105" s="945">
        <f>'1.8.3 RenPTLR'!E105</f>
        <v>23.473774720550303</v>
      </c>
      <c r="J105" s="910"/>
      <c r="K105" s="842">
        <f>'1.8.2 RenHLR'!I105+'1.8.3 RenPTLR'!G105</f>
        <v>876.33314730029383</v>
      </c>
      <c r="L105" s="910"/>
      <c r="M105" s="910"/>
      <c r="N105" s="911"/>
      <c r="O105" s="910"/>
      <c r="P105" s="910"/>
      <c r="Q105" s="912"/>
      <c r="R105" s="910"/>
      <c r="S105" s="910"/>
      <c r="T105" s="910"/>
      <c r="U105" s="910"/>
      <c r="V105" s="945">
        <f>'1.8.3 RenPTLR'!H105</f>
        <v>150.70462018405584</v>
      </c>
      <c r="W105" s="910"/>
      <c r="X105" s="910"/>
      <c r="Y105" s="910"/>
      <c r="Z105" s="910"/>
      <c r="AA105" s="945">
        <f>'1.8.3 RenPTLR'!C105</f>
        <v>299.01633503121701</v>
      </c>
      <c r="AB105" s="910"/>
      <c r="AC105" s="910"/>
      <c r="AD105" s="950">
        <f t="shared" si="3"/>
        <v>449.72095521527285</v>
      </c>
      <c r="AF105" s="911"/>
      <c r="AG105" s="910"/>
      <c r="AH105" s="910"/>
      <c r="AI105" s="910"/>
      <c r="AJ105" s="912"/>
      <c r="AK105" s="910"/>
      <c r="AL105" s="910"/>
      <c r="AM105" s="945">
        <f>'1.8.2 RenHLR'!H105</f>
        <v>457.44299124340199</v>
      </c>
      <c r="AN105" s="910"/>
      <c r="AO105" s="912"/>
      <c r="AQ105" s="911"/>
      <c r="AR105" s="910"/>
      <c r="AS105" s="910"/>
      <c r="AT105" s="910"/>
      <c r="AU105" s="912"/>
      <c r="AV105" s="910"/>
      <c r="AW105" s="910"/>
      <c r="AX105" s="910"/>
      <c r="AY105" s="910"/>
      <c r="AZ105" s="912"/>
      <c r="BB105" s="913"/>
      <c r="BC105" s="916"/>
      <c r="BD105" s="910"/>
      <c r="BE105" s="914"/>
      <c r="BF105" s="910"/>
      <c r="BG105" s="910"/>
      <c r="BH105" s="914"/>
      <c r="BI105" s="910"/>
      <c r="BJ105" s="910"/>
      <c r="BK105" s="842">
        <f t="shared" si="4"/>
        <v>299.01633503121701</v>
      </c>
      <c r="BL105" s="1085">
        <f t="shared" si="5"/>
        <v>1484.4807587277517</v>
      </c>
      <c r="BM105" s="910"/>
      <c r="BN105" s="921"/>
    </row>
    <row r="106" spans="1:66" ht="10.5" customHeight="1" x14ac:dyDescent="0.35">
      <c r="A106" s="841">
        <v>1796</v>
      </c>
      <c r="B106" s="910"/>
      <c r="C106" s="910"/>
      <c r="D106" s="910"/>
      <c r="E106" s="910"/>
      <c r="F106" s="910"/>
      <c r="G106" s="910"/>
      <c r="H106" s="945">
        <f>'1.8.3 RenPTLR'!B106</f>
        <v>1.3690126307824639</v>
      </c>
      <c r="I106" s="945">
        <f>'1.8.3 RenPTLR'!E106</f>
        <v>23.731728288907995</v>
      </c>
      <c r="J106" s="910"/>
      <c r="K106" s="842">
        <f>'1.8.2 RenHLR'!I106+'1.8.3 RenPTLR'!G106</f>
        <v>882.14915371911002</v>
      </c>
      <c r="L106" s="910"/>
      <c r="M106" s="910"/>
      <c r="N106" s="911"/>
      <c r="O106" s="910"/>
      <c r="P106" s="910"/>
      <c r="Q106" s="912"/>
      <c r="R106" s="910"/>
      <c r="S106" s="910"/>
      <c r="T106" s="910"/>
      <c r="U106" s="910"/>
      <c r="V106" s="945">
        <f>'1.8.3 RenPTLR'!H106</f>
        <v>161.12627830260456</v>
      </c>
      <c r="W106" s="910"/>
      <c r="X106" s="910"/>
      <c r="Y106" s="910"/>
      <c r="Z106" s="910"/>
      <c r="AA106" s="945">
        <f>'1.8.3 RenPTLR'!C106</f>
        <v>284.76018071234296</v>
      </c>
      <c r="AB106" s="910"/>
      <c r="AC106" s="910"/>
      <c r="AD106" s="950">
        <f t="shared" si="3"/>
        <v>445.88645901494749</v>
      </c>
      <c r="AF106" s="911"/>
      <c r="AG106" s="910"/>
      <c r="AH106" s="910"/>
      <c r="AI106" s="910"/>
      <c r="AJ106" s="912"/>
      <c r="AK106" s="910"/>
      <c r="AL106" s="910"/>
      <c r="AM106" s="945">
        <f>'1.8.2 RenHLR'!H106</f>
        <v>452.85190048704646</v>
      </c>
      <c r="AN106" s="910"/>
      <c r="AO106" s="912"/>
      <c r="AQ106" s="911"/>
      <c r="AR106" s="910"/>
      <c r="AS106" s="910"/>
      <c r="AT106" s="910"/>
      <c r="AU106" s="912"/>
      <c r="AV106" s="910"/>
      <c r="AW106" s="910"/>
      <c r="AX106" s="910"/>
      <c r="AY106" s="910"/>
      <c r="AZ106" s="912"/>
      <c r="BB106" s="913"/>
      <c r="BC106" s="916"/>
      <c r="BD106" s="910"/>
      <c r="BE106" s="914"/>
      <c r="BF106" s="910"/>
      <c r="BG106" s="910"/>
      <c r="BH106" s="914"/>
      <c r="BI106" s="910"/>
      <c r="BJ106" s="910"/>
      <c r="BK106" s="842">
        <f t="shared" si="4"/>
        <v>284.76018071234296</v>
      </c>
      <c r="BL106" s="1085">
        <f t="shared" si="5"/>
        <v>1496.1273325087609</v>
      </c>
      <c r="BM106" s="910"/>
      <c r="BN106" s="921"/>
    </row>
    <row r="107" spans="1:66" ht="10.5" customHeight="1" x14ac:dyDescent="0.35">
      <c r="A107" s="841">
        <v>1797</v>
      </c>
      <c r="B107" s="910"/>
      <c r="C107" s="910"/>
      <c r="D107" s="910"/>
      <c r="E107" s="910"/>
      <c r="F107" s="910"/>
      <c r="G107" s="910"/>
      <c r="H107" s="945">
        <f>'1.8.3 RenPTLR'!B107</f>
        <v>1.3726752082545193</v>
      </c>
      <c r="I107" s="945">
        <f>'1.8.3 RenPTLR'!E107</f>
        <v>23.98968185726569</v>
      </c>
      <c r="J107" s="910"/>
      <c r="K107" s="842">
        <f>'1.8.2 RenHLR'!I107+'1.8.3 RenPTLR'!G107</f>
        <v>887.16427812583947</v>
      </c>
      <c r="L107" s="910"/>
      <c r="M107" s="910"/>
      <c r="N107" s="911"/>
      <c r="O107" s="910"/>
      <c r="P107" s="910"/>
      <c r="Q107" s="912"/>
      <c r="R107" s="910"/>
      <c r="S107" s="910"/>
      <c r="T107" s="910"/>
      <c r="U107" s="910"/>
      <c r="V107" s="945">
        <f>'1.8.3 RenPTLR'!H107</f>
        <v>170.92637845317353</v>
      </c>
      <c r="W107" s="910"/>
      <c r="X107" s="910"/>
      <c r="Y107" s="910"/>
      <c r="Z107" s="910"/>
      <c r="AA107" s="945">
        <f>'1.8.3 RenPTLR'!C107</f>
        <v>303.5483462595314</v>
      </c>
      <c r="AB107" s="910"/>
      <c r="AC107" s="910"/>
      <c r="AD107" s="950">
        <f t="shared" si="3"/>
        <v>474.47472471270493</v>
      </c>
      <c r="AF107" s="911"/>
      <c r="AG107" s="910"/>
      <c r="AH107" s="910"/>
      <c r="AI107" s="910"/>
      <c r="AJ107" s="912"/>
      <c r="AK107" s="910"/>
      <c r="AL107" s="910"/>
      <c r="AM107" s="945">
        <f>'1.8.2 RenHLR'!H107</f>
        <v>448.08035666289385</v>
      </c>
      <c r="AN107" s="910"/>
      <c r="AO107" s="912"/>
      <c r="AQ107" s="911"/>
      <c r="AR107" s="910"/>
      <c r="AS107" s="910"/>
      <c r="AT107" s="910"/>
      <c r="AU107" s="912"/>
      <c r="AV107" s="910"/>
      <c r="AW107" s="910"/>
      <c r="AX107" s="910"/>
      <c r="AY107" s="910"/>
      <c r="AZ107" s="912"/>
      <c r="BB107" s="913"/>
      <c r="BC107" s="916"/>
      <c r="BD107" s="910"/>
      <c r="BE107" s="914"/>
      <c r="BF107" s="910"/>
      <c r="BG107" s="910"/>
      <c r="BH107" s="914"/>
      <c r="BI107" s="910"/>
      <c r="BJ107" s="910"/>
      <c r="BK107" s="842">
        <f t="shared" si="4"/>
        <v>303.5483462595314</v>
      </c>
      <c r="BL107" s="1085">
        <f t="shared" si="5"/>
        <v>1506.1710132419068</v>
      </c>
      <c r="BM107" s="910"/>
      <c r="BN107" s="921"/>
    </row>
    <row r="108" spans="1:66" ht="10.5" customHeight="1" x14ac:dyDescent="0.35">
      <c r="A108" s="841">
        <v>1798</v>
      </c>
      <c r="B108" s="910"/>
      <c r="C108" s="910"/>
      <c r="D108" s="910"/>
      <c r="E108" s="910"/>
      <c r="F108" s="910"/>
      <c r="G108" s="910"/>
      <c r="H108" s="945">
        <f>'1.8.3 RenPTLR'!B108</f>
        <v>1.3763377857265744</v>
      </c>
      <c r="I108" s="945">
        <f>'1.8.3 RenPTLR'!E108</f>
        <v>24.247635425623383</v>
      </c>
      <c r="J108" s="910"/>
      <c r="K108" s="842">
        <f>'1.8.2 RenHLR'!I108+'1.8.3 RenPTLR'!G108</f>
        <v>891.9046411489802</v>
      </c>
      <c r="L108" s="910"/>
      <c r="M108" s="910"/>
      <c r="N108" s="911"/>
      <c r="O108" s="910"/>
      <c r="P108" s="910"/>
      <c r="Q108" s="912"/>
      <c r="R108" s="910"/>
      <c r="S108" s="910"/>
      <c r="T108" s="910"/>
      <c r="U108" s="910"/>
      <c r="V108" s="945">
        <f>'1.8.3 RenPTLR'!H108</f>
        <v>180.99523071222956</v>
      </c>
      <c r="W108" s="910"/>
      <c r="X108" s="910"/>
      <c r="Y108" s="910"/>
      <c r="Z108" s="910"/>
      <c r="AA108" s="945">
        <f>'1.8.3 RenPTLR'!C108</f>
        <v>311.20958102385805</v>
      </c>
      <c r="AB108" s="910"/>
      <c r="AC108" s="910"/>
      <c r="AD108" s="950">
        <f t="shared" si="3"/>
        <v>492.20481173608761</v>
      </c>
      <c r="AF108" s="911"/>
      <c r="AG108" s="910"/>
      <c r="AH108" s="910"/>
      <c r="AI108" s="910"/>
      <c r="AJ108" s="912"/>
      <c r="AK108" s="910"/>
      <c r="AL108" s="910"/>
      <c r="AM108" s="945">
        <f>'1.8.2 RenHLR'!H108</f>
        <v>443.12992531654265</v>
      </c>
      <c r="AN108" s="910"/>
      <c r="AO108" s="912"/>
      <c r="AQ108" s="911"/>
      <c r="AR108" s="910"/>
      <c r="AS108" s="910"/>
      <c r="AT108" s="910"/>
      <c r="AU108" s="912"/>
      <c r="AV108" s="910"/>
      <c r="AW108" s="910"/>
      <c r="AX108" s="910"/>
      <c r="AY108" s="910"/>
      <c r="AZ108" s="912"/>
      <c r="BB108" s="913"/>
      <c r="BC108" s="916"/>
      <c r="BD108" s="910"/>
      <c r="BE108" s="914"/>
      <c r="BF108" s="910"/>
      <c r="BG108" s="910"/>
      <c r="BH108" s="914"/>
      <c r="BI108" s="910"/>
      <c r="BJ108" s="910"/>
      <c r="BK108" s="842">
        <f t="shared" si="4"/>
        <v>311.20958102385805</v>
      </c>
      <c r="BL108" s="1085">
        <f t="shared" si="5"/>
        <v>1516.0297971777522</v>
      </c>
      <c r="BM108" s="910"/>
      <c r="BN108" s="921"/>
    </row>
    <row r="109" spans="1:66" ht="10.5" customHeight="1" x14ac:dyDescent="0.35">
      <c r="A109" s="841">
        <v>1799</v>
      </c>
      <c r="B109" s="910"/>
      <c r="C109" s="910"/>
      <c r="D109" s="910"/>
      <c r="E109" s="910"/>
      <c r="F109" s="910"/>
      <c r="G109" s="910"/>
      <c r="H109" s="945">
        <f>'1.8.3 RenPTLR'!B109</f>
        <v>1.3800003631986295</v>
      </c>
      <c r="I109" s="945">
        <f>'1.8.3 RenPTLR'!E109</f>
        <v>24.505588993981078</v>
      </c>
      <c r="J109" s="910"/>
      <c r="K109" s="842">
        <f>'1.8.2 RenHLR'!I109+'1.8.3 RenPTLR'!G109</f>
        <v>898.60089630345385</v>
      </c>
      <c r="L109" s="910"/>
      <c r="M109" s="910"/>
      <c r="N109" s="911"/>
      <c r="O109" s="910"/>
      <c r="P109" s="910"/>
      <c r="Q109" s="912"/>
      <c r="R109" s="910"/>
      <c r="S109" s="910"/>
      <c r="T109" s="910"/>
      <c r="U109" s="910"/>
      <c r="V109" s="945">
        <f>'1.8.3 RenPTLR'!H109</f>
        <v>191.35582269096565</v>
      </c>
      <c r="W109" s="910"/>
      <c r="X109" s="910"/>
      <c r="Y109" s="910"/>
      <c r="Z109" s="910"/>
      <c r="AA109" s="945">
        <f>'1.8.3 RenPTLR'!C109</f>
        <v>322.36627841299236</v>
      </c>
      <c r="AB109" s="910"/>
      <c r="AC109" s="910"/>
      <c r="AD109" s="950">
        <f t="shared" si="3"/>
        <v>513.72210110395804</v>
      </c>
      <c r="AF109" s="911"/>
      <c r="AG109" s="910"/>
      <c r="AH109" s="910"/>
      <c r="AI109" s="910"/>
      <c r="AJ109" s="912"/>
      <c r="AK109" s="910"/>
      <c r="AL109" s="910"/>
      <c r="AM109" s="945">
        <f>'1.8.2 RenHLR'!H109</f>
        <v>438.00215393633459</v>
      </c>
      <c r="AN109" s="910"/>
      <c r="AO109" s="912"/>
      <c r="AQ109" s="911"/>
      <c r="AR109" s="910"/>
      <c r="AS109" s="910"/>
      <c r="AT109" s="910"/>
      <c r="AU109" s="912"/>
      <c r="AV109" s="910"/>
      <c r="AW109" s="910"/>
      <c r="AX109" s="910"/>
      <c r="AY109" s="910"/>
      <c r="AZ109" s="912"/>
      <c r="BB109" s="913"/>
      <c r="BC109" s="916"/>
      <c r="BD109" s="910"/>
      <c r="BE109" s="914"/>
      <c r="BF109" s="910"/>
      <c r="BG109" s="910"/>
      <c r="BH109" s="914"/>
      <c r="BI109" s="910"/>
      <c r="BJ109" s="910"/>
      <c r="BK109" s="842">
        <f t="shared" si="4"/>
        <v>322.36627841299236</v>
      </c>
      <c r="BL109" s="1085">
        <f t="shared" si="5"/>
        <v>1527.9588729307543</v>
      </c>
      <c r="BM109" s="910"/>
      <c r="BN109" s="921"/>
    </row>
    <row r="110" spans="1:66" ht="10.5" customHeight="1" x14ac:dyDescent="0.35">
      <c r="A110" s="841">
        <v>1800</v>
      </c>
      <c r="B110" s="916"/>
      <c r="C110" s="910"/>
      <c r="D110" s="910"/>
      <c r="E110" s="910"/>
      <c r="F110" s="910"/>
      <c r="G110" s="910"/>
      <c r="H110" s="945">
        <f>'1.8.3 RenPTLR'!B110</f>
        <v>1.3836629406706791</v>
      </c>
      <c r="I110" s="945">
        <f>'1.8.3 RenPTLR'!E110</f>
        <v>24.763542562338777</v>
      </c>
      <c r="J110" s="910"/>
      <c r="K110" s="842">
        <f>'1.8.2 RenHLR'!I110+'1.8.3 RenPTLR'!G110</f>
        <v>905.11421313201345</v>
      </c>
      <c r="L110" s="910"/>
      <c r="M110" s="910"/>
      <c r="N110" s="911"/>
      <c r="O110" s="910"/>
      <c r="P110" s="910"/>
      <c r="Q110" s="912"/>
      <c r="R110" s="910"/>
      <c r="S110" s="910"/>
      <c r="T110" s="910"/>
      <c r="U110" s="910"/>
      <c r="V110" s="945">
        <f>'1.8.3 RenPTLR'!H110</f>
        <v>202.03369220832633</v>
      </c>
      <c r="W110" s="910"/>
      <c r="X110" s="910"/>
      <c r="Y110" s="910"/>
      <c r="Z110" s="910"/>
      <c r="AA110" s="945">
        <f>'1.8.3 RenPTLR'!C110</f>
        <v>352.34098569673176</v>
      </c>
      <c r="AB110" s="910"/>
      <c r="AC110" s="910"/>
      <c r="AD110" s="950">
        <f t="shared" si="3"/>
        <v>554.37467790505809</v>
      </c>
      <c r="AF110" s="911"/>
      <c r="AG110" s="910"/>
      <c r="AH110" s="910"/>
      <c r="AI110" s="910"/>
      <c r="AJ110" s="912"/>
      <c r="AK110" s="910"/>
      <c r="AL110" s="910"/>
      <c r="AM110" s="945">
        <f>'1.8.2 RenHLR'!H110</f>
        <v>432.69857221294831</v>
      </c>
      <c r="AN110" s="910"/>
      <c r="AO110" s="912"/>
      <c r="AQ110" s="911"/>
      <c r="AR110" s="910"/>
      <c r="AS110" s="910"/>
      <c r="AT110" s="910"/>
      <c r="AU110" s="912"/>
      <c r="AV110" s="910"/>
      <c r="AW110" s="910"/>
      <c r="AX110" s="910"/>
      <c r="AY110" s="910"/>
      <c r="AZ110" s="912"/>
      <c r="BB110" s="913"/>
      <c r="BC110" s="916"/>
      <c r="BD110" s="910"/>
      <c r="BE110" s="914"/>
      <c r="BF110" s="910"/>
      <c r="BG110" s="910"/>
      <c r="BH110" s="914"/>
      <c r="BI110" s="910"/>
      <c r="BJ110" s="910"/>
      <c r="BK110" s="842">
        <f t="shared" si="4"/>
        <v>352.34098569673176</v>
      </c>
      <c r="BL110" s="1085">
        <f t="shared" si="5"/>
        <v>1539.846477553288</v>
      </c>
      <c r="BM110" s="910"/>
      <c r="BN110" s="921"/>
    </row>
    <row r="111" spans="1:66" ht="10.5" customHeight="1" x14ac:dyDescent="0.35">
      <c r="A111" s="841">
        <v>1801</v>
      </c>
      <c r="B111" s="916"/>
      <c r="C111" s="910"/>
      <c r="D111" s="910"/>
      <c r="E111" s="910"/>
      <c r="F111" s="910"/>
      <c r="G111" s="910"/>
      <c r="H111" s="945">
        <f>'1.8.3 RenPTLR'!B111</f>
        <v>1.399036973344798</v>
      </c>
      <c r="I111" s="945">
        <f>'1.8.3 RenPTLR'!E111</f>
        <v>24.783662940670677</v>
      </c>
      <c r="J111" s="910"/>
      <c r="K111" s="842">
        <f>'1.8.2 RenHLR'!I111+'1.8.3 RenPTLR'!G111</f>
        <v>911.62218646045233</v>
      </c>
      <c r="L111" s="910"/>
      <c r="M111" s="910"/>
      <c r="N111" s="911"/>
      <c r="O111" s="910"/>
      <c r="P111" s="910"/>
      <c r="Q111" s="912"/>
      <c r="R111" s="910"/>
      <c r="S111" s="910"/>
      <c r="T111" s="910"/>
      <c r="U111" s="910"/>
      <c r="V111" s="945">
        <f>'1.8.3 RenPTLR'!H111</f>
        <v>213.05729161746427</v>
      </c>
      <c r="W111" s="910"/>
      <c r="X111" s="910"/>
      <c r="Y111" s="910"/>
      <c r="Z111" s="910"/>
      <c r="AA111" s="945">
        <f>'1.8.3 RenPTLR'!C111</f>
        <v>371.83165204889661</v>
      </c>
      <c r="AB111" s="910"/>
      <c r="AC111" s="910"/>
      <c r="AD111" s="950">
        <f t="shared" si="3"/>
        <v>584.88894366636089</v>
      </c>
      <c r="AF111" s="911"/>
      <c r="AG111" s="910"/>
      <c r="AH111" s="910"/>
      <c r="AI111" s="910"/>
      <c r="AJ111" s="912"/>
      <c r="AK111" s="910"/>
      <c r="AL111" s="910"/>
      <c r="AM111" s="945">
        <f>'1.8.2 RenHLR'!H111</f>
        <v>444.36323856448553</v>
      </c>
      <c r="AN111" s="910"/>
      <c r="AO111" s="912"/>
      <c r="AQ111" s="911"/>
      <c r="AR111" s="910"/>
      <c r="AS111" s="910"/>
      <c r="AT111" s="910"/>
      <c r="AU111" s="912"/>
      <c r="AV111" s="910"/>
      <c r="AW111" s="910"/>
      <c r="AX111" s="910"/>
      <c r="AY111" s="910"/>
      <c r="AZ111" s="912"/>
      <c r="BB111" s="913"/>
      <c r="BC111" s="916"/>
      <c r="BD111" s="910"/>
      <c r="BE111" s="914"/>
      <c r="BF111" s="910"/>
      <c r="BG111" s="910"/>
      <c r="BH111" s="914"/>
      <c r="BI111" s="910"/>
      <c r="BJ111" s="910"/>
      <c r="BK111" s="842">
        <f t="shared" si="4"/>
        <v>371.83165204889661</v>
      </c>
      <c r="BL111" s="1085">
        <f t="shared" si="5"/>
        <v>1569.0427166424022</v>
      </c>
      <c r="BM111" s="910"/>
      <c r="BN111" s="921"/>
    </row>
    <row r="112" spans="1:66" ht="10.5" customHeight="1" x14ac:dyDescent="0.35">
      <c r="A112" s="841">
        <v>1802</v>
      </c>
      <c r="B112" s="916"/>
      <c r="C112" s="910"/>
      <c r="D112" s="910"/>
      <c r="E112" s="910"/>
      <c r="F112" s="910"/>
      <c r="G112" s="910"/>
      <c r="H112" s="945">
        <f>'1.8.3 RenPTLR'!B112</f>
        <v>1.4144110060189168</v>
      </c>
      <c r="I112" s="945">
        <f>'1.8.3 RenPTLR'!E112</f>
        <v>24.803783319002576</v>
      </c>
      <c r="J112" s="910"/>
      <c r="K112" s="842">
        <f>'1.8.2 RenHLR'!I112+'1.8.3 RenPTLR'!G112</f>
        <v>918.00441529846239</v>
      </c>
      <c r="L112" s="910"/>
      <c r="M112" s="910"/>
      <c r="N112" s="911"/>
      <c r="O112" s="910"/>
      <c r="P112" s="910"/>
      <c r="Q112" s="912"/>
      <c r="R112" s="910"/>
      <c r="S112" s="910"/>
      <c r="T112" s="910"/>
      <c r="U112" s="910"/>
      <c r="V112" s="945">
        <f>'1.8.3 RenPTLR'!H112</f>
        <v>224.45841642507352</v>
      </c>
      <c r="W112" s="910"/>
      <c r="X112" s="910"/>
      <c r="Y112" s="910"/>
      <c r="Z112" s="910"/>
      <c r="AA112" s="945">
        <f>'1.8.3 RenPTLR'!C112</f>
        <v>392.46902444108503</v>
      </c>
      <c r="AB112" s="910"/>
      <c r="AC112" s="910"/>
      <c r="AD112" s="950">
        <f t="shared" si="3"/>
        <v>616.92744086615858</v>
      </c>
      <c r="AF112" s="911"/>
      <c r="AG112" s="910"/>
      <c r="AH112" s="910"/>
      <c r="AI112" s="910"/>
      <c r="AJ112" s="912"/>
      <c r="AK112" s="910"/>
      <c r="AL112" s="910"/>
      <c r="AM112" s="945">
        <f>'1.8.2 RenHLR'!H112</f>
        <v>455.02652942668425</v>
      </c>
      <c r="AN112" s="910"/>
      <c r="AO112" s="912"/>
      <c r="AQ112" s="911"/>
      <c r="AR112" s="910"/>
      <c r="AS112" s="910"/>
      <c r="AT112" s="910"/>
      <c r="AU112" s="912"/>
      <c r="AV112" s="910"/>
      <c r="AW112" s="910"/>
      <c r="AX112" s="910"/>
      <c r="AY112" s="910"/>
      <c r="AZ112" s="912"/>
      <c r="BB112" s="913"/>
      <c r="BC112" s="916"/>
      <c r="BD112" s="910"/>
      <c r="BE112" s="914"/>
      <c r="BF112" s="910"/>
      <c r="BG112" s="910"/>
      <c r="BH112" s="914"/>
      <c r="BI112" s="910"/>
      <c r="BJ112" s="910"/>
      <c r="BK112" s="842">
        <f t="shared" si="4"/>
        <v>392.46902444108503</v>
      </c>
      <c r="BL112" s="1085">
        <f t="shared" si="5"/>
        <v>1597.48936115022</v>
      </c>
      <c r="BM112" s="910"/>
      <c r="BN112" s="921"/>
    </row>
    <row r="113" spans="1:66" ht="10.5" customHeight="1" x14ac:dyDescent="0.35">
      <c r="A113" s="841">
        <v>1803</v>
      </c>
      <c r="B113" s="916"/>
      <c r="C113" s="910"/>
      <c r="D113" s="910"/>
      <c r="E113" s="910"/>
      <c r="F113" s="910"/>
      <c r="G113" s="910"/>
      <c r="H113" s="945">
        <f>'1.8.3 RenPTLR'!B113</f>
        <v>1.4297850386930355</v>
      </c>
      <c r="I113" s="945">
        <f>'1.8.3 RenPTLR'!E113</f>
        <v>24.82390369733448</v>
      </c>
      <c r="J113" s="910"/>
      <c r="K113" s="842">
        <f>'1.8.2 RenHLR'!I113+'1.8.3 RenPTLR'!G113</f>
        <v>925.20273519126999</v>
      </c>
      <c r="L113" s="910"/>
      <c r="M113" s="910"/>
      <c r="N113" s="911"/>
      <c r="O113" s="910"/>
      <c r="P113" s="910"/>
      <c r="Q113" s="912"/>
      <c r="R113" s="910"/>
      <c r="S113" s="910"/>
      <c r="T113" s="910"/>
      <c r="U113" s="910"/>
      <c r="V113" s="945">
        <f>'1.8.3 RenPTLR'!H113</f>
        <v>236.27271184148219</v>
      </c>
      <c r="W113" s="910"/>
      <c r="X113" s="910"/>
      <c r="Y113" s="910"/>
      <c r="Z113" s="910"/>
      <c r="AA113" s="945">
        <f>'1.8.3 RenPTLR'!C113</f>
        <v>409.09482148667541</v>
      </c>
      <c r="AB113" s="910"/>
      <c r="AC113" s="910"/>
      <c r="AD113" s="950">
        <f t="shared" si="3"/>
        <v>645.36753332815761</v>
      </c>
      <c r="AF113" s="911"/>
      <c r="AG113" s="910"/>
      <c r="AH113" s="910"/>
      <c r="AI113" s="910"/>
      <c r="AJ113" s="912"/>
      <c r="AK113" s="910"/>
      <c r="AL113" s="910"/>
      <c r="AM113" s="945">
        <f>'1.8.2 RenHLR'!H113</f>
        <v>464.69700854478566</v>
      </c>
      <c r="AN113" s="910"/>
      <c r="AO113" s="912"/>
      <c r="AQ113" s="911"/>
      <c r="AR113" s="910"/>
      <c r="AS113" s="910"/>
      <c r="AT113" s="910"/>
      <c r="AU113" s="912"/>
      <c r="AV113" s="910"/>
      <c r="AW113" s="910"/>
      <c r="AX113" s="910"/>
      <c r="AY113" s="910"/>
      <c r="AZ113" s="912"/>
      <c r="BB113" s="913"/>
      <c r="BC113" s="916"/>
      <c r="BD113" s="910"/>
      <c r="BE113" s="914"/>
      <c r="BF113" s="910"/>
      <c r="BG113" s="910"/>
      <c r="BH113" s="914"/>
      <c r="BI113" s="910"/>
      <c r="BJ113" s="910"/>
      <c r="BK113" s="842">
        <f t="shared" si="4"/>
        <v>409.09482148667541</v>
      </c>
      <c r="BL113" s="1085">
        <f t="shared" si="5"/>
        <v>1626.1724555775377</v>
      </c>
      <c r="BM113" s="910"/>
      <c r="BN113" s="921"/>
    </row>
    <row r="114" spans="1:66" ht="10.5" customHeight="1" x14ac:dyDescent="0.35">
      <c r="A114" s="841">
        <v>1804</v>
      </c>
      <c r="B114" s="916"/>
      <c r="C114" s="910"/>
      <c r="D114" s="910"/>
      <c r="E114" s="910"/>
      <c r="F114" s="910"/>
      <c r="G114" s="910"/>
      <c r="H114" s="945">
        <f>'1.8.3 RenPTLR'!B114</f>
        <v>1.4451590713671545</v>
      </c>
      <c r="I114" s="945">
        <f>'1.8.3 RenPTLR'!E114</f>
        <v>24.844024075666372</v>
      </c>
      <c r="J114" s="910"/>
      <c r="K114" s="842">
        <f>'1.8.2 RenHLR'!I114+'1.8.3 RenPTLR'!G114</f>
        <v>933.20172659831246</v>
      </c>
      <c r="L114" s="910"/>
      <c r="M114" s="910"/>
      <c r="N114" s="911"/>
      <c r="O114" s="910"/>
      <c r="P114" s="910"/>
      <c r="Q114" s="912"/>
      <c r="R114" s="910"/>
      <c r="S114" s="910"/>
      <c r="T114" s="910"/>
      <c r="U114" s="910"/>
      <c r="V114" s="945">
        <f>'1.8.3 RenPTLR'!H114</f>
        <v>248.54027430885691</v>
      </c>
      <c r="W114" s="910"/>
      <c r="X114" s="910"/>
      <c r="Y114" s="910"/>
      <c r="Z114" s="910"/>
      <c r="AA114" s="945">
        <f>'1.8.3 RenPTLR'!C114</f>
        <v>426.87347000786872</v>
      </c>
      <c r="AB114" s="910"/>
      <c r="AC114" s="910"/>
      <c r="AD114" s="950">
        <f t="shared" si="3"/>
        <v>675.41374431672557</v>
      </c>
      <c r="AF114" s="911"/>
      <c r="AG114" s="910"/>
      <c r="AH114" s="910"/>
      <c r="AI114" s="910"/>
      <c r="AJ114" s="912"/>
      <c r="AK114" s="910"/>
      <c r="AL114" s="910"/>
      <c r="AM114" s="945">
        <f>'1.8.2 RenHLR'!H114</f>
        <v>473.38314229227734</v>
      </c>
      <c r="AN114" s="910"/>
      <c r="AO114" s="912"/>
      <c r="AQ114" s="911"/>
      <c r="AR114" s="910"/>
      <c r="AS114" s="910"/>
      <c r="AT114" s="910"/>
      <c r="AU114" s="912"/>
      <c r="AV114" s="910"/>
      <c r="AW114" s="910"/>
      <c r="AX114" s="910"/>
      <c r="AY114" s="910"/>
      <c r="AZ114" s="912"/>
      <c r="BB114" s="913"/>
      <c r="BC114" s="916"/>
      <c r="BD114" s="910"/>
      <c r="BE114" s="914"/>
      <c r="BF114" s="910"/>
      <c r="BG114" s="910"/>
      <c r="BH114" s="914"/>
      <c r="BI114" s="910"/>
      <c r="BJ114" s="910"/>
      <c r="BK114" s="842">
        <f t="shared" si="4"/>
        <v>426.87347000786872</v>
      </c>
      <c r="BL114" s="1085">
        <f t="shared" si="5"/>
        <v>1655.1251431994467</v>
      </c>
      <c r="BM114" s="910"/>
      <c r="BN114" s="921"/>
    </row>
    <row r="115" spans="1:66" ht="10.5" customHeight="1" x14ac:dyDescent="0.35">
      <c r="A115" s="841">
        <v>1805</v>
      </c>
      <c r="B115" s="916"/>
      <c r="C115" s="910"/>
      <c r="D115" s="910"/>
      <c r="E115" s="910"/>
      <c r="F115" s="910"/>
      <c r="G115" s="910"/>
      <c r="H115" s="945">
        <f>'1.8.3 RenPTLR'!B115</f>
        <v>1.4605331040412732</v>
      </c>
      <c r="I115" s="945">
        <f>'1.8.3 RenPTLR'!E115</f>
        <v>24.864144453998279</v>
      </c>
      <c r="J115" s="910"/>
      <c r="K115" s="842">
        <f>'1.8.2 RenHLR'!I115+'1.8.3 RenPTLR'!G115</f>
        <v>940.93942074051279</v>
      </c>
      <c r="L115" s="910"/>
      <c r="M115" s="910"/>
      <c r="N115" s="911"/>
      <c r="O115" s="910"/>
      <c r="P115" s="910"/>
      <c r="Q115" s="912"/>
      <c r="R115" s="910"/>
      <c r="S115" s="910"/>
      <c r="T115" s="910"/>
      <c r="U115" s="910"/>
      <c r="V115" s="945">
        <f>'1.8.3 RenPTLR'!H115</f>
        <v>261.30636945419241</v>
      </c>
      <c r="W115" s="910"/>
      <c r="X115" s="910"/>
      <c r="Y115" s="910"/>
      <c r="Z115" s="910"/>
      <c r="AA115" s="945">
        <f>'1.8.3 RenPTLR'!C115</f>
        <v>429.18671388390561</v>
      </c>
      <c r="AB115" s="910"/>
      <c r="AC115" s="910"/>
      <c r="AD115" s="950">
        <f t="shared" si="3"/>
        <v>690.49308333809802</v>
      </c>
      <c r="AF115" s="911"/>
      <c r="AG115" s="910"/>
      <c r="AH115" s="910"/>
      <c r="AI115" s="910"/>
      <c r="AJ115" s="912"/>
      <c r="AK115" s="910"/>
      <c r="AL115" s="910"/>
      <c r="AM115" s="945">
        <f>'1.8.2 RenHLR'!H115</f>
        <v>481.09330105089316</v>
      </c>
      <c r="AN115" s="910"/>
      <c r="AO115" s="912"/>
      <c r="AQ115" s="911"/>
      <c r="AR115" s="910"/>
      <c r="AS115" s="910"/>
      <c r="AT115" s="910"/>
      <c r="AU115" s="912"/>
      <c r="AV115" s="910"/>
      <c r="AW115" s="910"/>
      <c r="AX115" s="910"/>
      <c r="AY115" s="910"/>
      <c r="AZ115" s="912"/>
      <c r="BB115" s="913"/>
      <c r="BC115" s="916"/>
      <c r="BD115" s="910"/>
      <c r="BE115" s="914"/>
      <c r="BF115" s="910"/>
      <c r="BG115" s="910"/>
      <c r="BH115" s="914"/>
      <c r="BI115" s="910"/>
      <c r="BJ115" s="910"/>
      <c r="BK115" s="842">
        <f t="shared" si="4"/>
        <v>429.18671388390561</v>
      </c>
      <c r="BL115" s="1085">
        <f t="shared" si="5"/>
        <v>1683.3390912455984</v>
      </c>
      <c r="BM115" s="910"/>
      <c r="BN115" s="921"/>
    </row>
    <row r="116" spans="1:66" ht="10.5" customHeight="1" x14ac:dyDescent="0.35">
      <c r="A116" s="841">
        <v>1806</v>
      </c>
      <c r="B116" s="916"/>
      <c r="C116" s="910"/>
      <c r="D116" s="910"/>
      <c r="E116" s="910"/>
      <c r="F116" s="910"/>
      <c r="G116" s="910"/>
      <c r="H116" s="945">
        <f>'1.8.3 RenPTLR'!B116</f>
        <v>1.475907136715392</v>
      </c>
      <c r="I116" s="945">
        <f>'1.8.3 RenPTLR'!E116</f>
        <v>24.884264832330174</v>
      </c>
      <c r="J116" s="910"/>
      <c r="K116" s="842">
        <f>'1.8.2 RenHLR'!I116+'1.8.3 RenPTLR'!G116</f>
        <v>948.62745186307404</v>
      </c>
      <c r="L116" s="910"/>
      <c r="M116" s="910"/>
      <c r="N116" s="911"/>
      <c r="O116" s="910"/>
      <c r="P116" s="910"/>
      <c r="Q116" s="912"/>
      <c r="R116" s="910"/>
      <c r="S116" s="910"/>
      <c r="T116" s="910"/>
      <c r="U116" s="910"/>
      <c r="V116" s="945">
        <f>'1.8.3 RenPTLR'!H116</f>
        <v>274.6222936328665</v>
      </c>
      <c r="W116" s="910"/>
      <c r="X116" s="910"/>
      <c r="Y116" s="910"/>
      <c r="Z116" s="910"/>
      <c r="AA116" s="945">
        <f>'1.8.3 RenPTLR'!C116</f>
        <v>425.55056715388321</v>
      </c>
      <c r="AB116" s="910"/>
      <c r="AC116" s="910"/>
      <c r="AD116" s="950">
        <f t="shared" si="3"/>
        <v>700.17286078674965</v>
      </c>
      <c r="AF116" s="911"/>
      <c r="AG116" s="910"/>
      <c r="AH116" s="910"/>
      <c r="AI116" s="910"/>
      <c r="AJ116" s="912"/>
      <c r="AK116" s="910"/>
      <c r="AL116" s="910"/>
      <c r="AM116" s="945">
        <f>'1.8.2 RenHLR'!H116</f>
        <v>487.83576056721319</v>
      </c>
      <c r="AN116" s="910"/>
      <c r="AO116" s="912"/>
      <c r="AQ116" s="911"/>
      <c r="AR116" s="910"/>
      <c r="AS116" s="910"/>
      <c r="AT116" s="910"/>
      <c r="AU116" s="912"/>
      <c r="AV116" s="910"/>
      <c r="AW116" s="910"/>
      <c r="AX116" s="910"/>
      <c r="AY116" s="910"/>
      <c r="AZ116" s="912"/>
      <c r="BB116" s="913"/>
      <c r="BC116" s="916"/>
      <c r="BD116" s="910"/>
      <c r="BE116" s="914"/>
      <c r="BF116" s="910"/>
      <c r="BG116" s="910"/>
      <c r="BH116" s="914"/>
      <c r="BI116" s="910"/>
      <c r="BJ116" s="910"/>
      <c r="BK116" s="842">
        <f t="shared" si="4"/>
        <v>425.55056715388321</v>
      </c>
      <c r="BL116" s="1085">
        <f t="shared" si="5"/>
        <v>1711.0855060631536</v>
      </c>
      <c r="BM116" s="910"/>
      <c r="BN116" s="921"/>
    </row>
    <row r="117" spans="1:66" ht="10.5" customHeight="1" x14ac:dyDescent="0.35">
      <c r="A117" s="841">
        <v>1807</v>
      </c>
      <c r="B117" s="916"/>
      <c r="C117" s="910"/>
      <c r="D117" s="910"/>
      <c r="E117" s="910"/>
      <c r="F117" s="910"/>
      <c r="G117" s="910"/>
      <c r="H117" s="945">
        <f>'1.8.3 RenPTLR'!B117</f>
        <v>1.4912811693895103</v>
      </c>
      <c r="I117" s="945">
        <f>'1.8.3 RenPTLR'!E117</f>
        <v>24.90438521066207</v>
      </c>
      <c r="J117" s="910"/>
      <c r="K117" s="842">
        <f>'1.8.2 RenHLR'!I117+'1.8.3 RenPTLR'!G117</f>
        <v>956.48588510157015</v>
      </c>
      <c r="L117" s="910"/>
      <c r="M117" s="910"/>
      <c r="N117" s="911"/>
      <c r="O117" s="910"/>
      <c r="P117" s="910"/>
      <c r="Q117" s="912"/>
      <c r="R117" s="910"/>
      <c r="S117" s="910"/>
      <c r="T117" s="910"/>
      <c r="U117" s="910"/>
      <c r="V117" s="945">
        <f>'1.8.3 RenPTLR'!H117</f>
        <v>288.54641372255384</v>
      </c>
      <c r="W117" s="910"/>
      <c r="X117" s="910"/>
      <c r="Y117" s="910"/>
      <c r="Z117" s="910"/>
      <c r="AA117" s="945">
        <f>'1.8.3 RenPTLR'!C117</f>
        <v>428.04898667097478</v>
      </c>
      <c r="AB117" s="910"/>
      <c r="AC117" s="910"/>
      <c r="AD117" s="950">
        <f t="shared" si="3"/>
        <v>716.59540039352862</v>
      </c>
      <c r="AF117" s="911"/>
      <c r="AG117" s="910"/>
      <c r="AH117" s="910"/>
      <c r="AI117" s="910"/>
      <c r="AJ117" s="912"/>
      <c r="AK117" s="910"/>
      <c r="AL117" s="910"/>
      <c r="AM117" s="945">
        <f>'1.8.2 RenHLR'!H117</f>
        <v>493.61870328631881</v>
      </c>
      <c r="AN117" s="910"/>
      <c r="AO117" s="912"/>
      <c r="AQ117" s="911"/>
      <c r="AR117" s="910"/>
      <c r="AS117" s="910"/>
      <c r="AT117" s="910"/>
      <c r="AU117" s="912"/>
      <c r="AV117" s="910"/>
      <c r="AW117" s="910"/>
      <c r="AX117" s="910"/>
      <c r="AY117" s="910"/>
      <c r="AZ117" s="912"/>
      <c r="BB117" s="913"/>
      <c r="BC117" s="916"/>
      <c r="BD117" s="910"/>
      <c r="BE117" s="914"/>
      <c r="BF117" s="910"/>
      <c r="BG117" s="910"/>
      <c r="BH117" s="914"/>
      <c r="BI117" s="910"/>
      <c r="BJ117" s="910"/>
      <c r="BK117" s="842">
        <f t="shared" si="4"/>
        <v>428.04898667097478</v>
      </c>
      <c r="BL117" s="1085">
        <f t="shared" si="5"/>
        <v>1738.6510021104427</v>
      </c>
      <c r="BM117" s="910"/>
      <c r="BN117" s="921"/>
    </row>
    <row r="118" spans="1:66" ht="10.5" customHeight="1" x14ac:dyDescent="0.35">
      <c r="A118" s="841">
        <v>1808</v>
      </c>
      <c r="B118" s="916"/>
      <c r="C118" s="910"/>
      <c r="D118" s="910"/>
      <c r="E118" s="910"/>
      <c r="F118" s="910"/>
      <c r="G118" s="910"/>
      <c r="H118" s="945">
        <f>'1.8.3 RenPTLR'!B118</f>
        <v>1.506655202063629</v>
      </c>
      <c r="I118" s="945">
        <f>'1.8.3 RenPTLR'!E118</f>
        <v>24.924505588993974</v>
      </c>
      <c r="J118" s="910"/>
      <c r="K118" s="842">
        <f>'1.8.2 RenHLR'!I118+'1.8.3 RenPTLR'!G118</f>
        <v>963.86702748703919</v>
      </c>
      <c r="L118" s="910"/>
      <c r="M118" s="910"/>
      <c r="N118" s="911"/>
      <c r="O118" s="910"/>
      <c r="P118" s="910"/>
      <c r="Q118" s="912"/>
      <c r="R118" s="910"/>
      <c r="S118" s="910"/>
      <c r="T118" s="910"/>
      <c r="U118" s="910"/>
      <c r="V118" s="945">
        <f>'1.8.3 RenPTLR'!H118</f>
        <v>303.1454297300881</v>
      </c>
      <c r="W118" s="910"/>
      <c r="X118" s="910"/>
      <c r="Y118" s="910"/>
      <c r="Z118" s="910"/>
      <c r="AA118" s="945">
        <f>'1.8.3 RenPTLR'!C118</f>
        <v>433.78870350247433</v>
      </c>
      <c r="AB118" s="910"/>
      <c r="AC118" s="910"/>
      <c r="AD118" s="950">
        <f t="shared" si="3"/>
        <v>736.93413323256243</v>
      </c>
      <c r="AF118" s="911"/>
      <c r="AG118" s="910"/>
      <c r="AH118" s="910"/>
      <c r="AI118" s="910"/>
      <c r="AJ118" s="912"/>
      <c r="AK118" s="910"/>
      <c r="AL118" s="910"/>
      <c r="AM118" s="945">
        <f>'1.8.2 RenHLR'!H118</f>
        <v>498.45021966295951</v>
      </c>
      <c r="AN118" s="910"/>
      <c r="AO118" s="912"/>
      <c r="AQ118" s="911"/>
      <c r="AR118" s="910"/>
      <c r="AS118" s="910"/>
      <c r="AT118" s="910"/>
      <c r="AU118" s="912"/>
      <c r="AV118" s="910"/>
      <c r="AW118" s="910"/>
      <c r="AX118" s="910"/>
      <c r="AY118" s="910"/>
      <c r="AZ118" s="912"/>
      <c r="BB118" s="913"/>
      <c r="BC118" s="916"/>
      <c r="BD118" s="910"/>
      <c r="BE118" s="914"/>
      <c r="BF118" s="910"/>
      <c r="BG118" s="910"/>
      <c r="BH118" s="914"/>
      <c r="BI118" s="910"/>
      <c r="BJ118" s="910"/>
      <c r="BK118" s="842">
        <f t="shared" si="4"/>
        <v>433.78870350247433</v>
      </c>
      <c r="BL118" s="1085">
        <f t="shared" si="5"/>
        <v>1765.4626768800867</v>
      </c>
      <c r="BM118" s="910"/>
      <c r="BN118" s="921"/>
    </row>
    <row r="119" spans="1:66" ht="10.5" customHeight="1" x14ac:dyDescent="0.35">
      <c r="A119" s="841">
        <v>1809</v>
      </c>
      <c r="B119" s="916"/>
      <c r="C119" s="910"/>
      <c r="D119" s="910"/>
      <c r="E119" s="910"/>
      <c r="F119" s="910"/>
      <c r="G119" s="910"/>
      <c r="H119" s="945">
        <f>'1.8.3 RenPTLR'!B119</f>
        <v>1.522029234737748</v>
      </c>
      <c r="I119" s="945">
        <f>'1.8.3 RenPTLR'!E119</f>
        <v>24.944625967325873</v>
      </c>
      <c r="J119" s="910"/>
      <c r="K119" s="842">
        <f>'1.8.2 RenHLR'!I119+'1.8.3 RenPTLR'!G119</f>
        <v>971.35318701235838</v>
      </c>
      <c r="L119" s="910"/>
      <c r="M119" s="910"/>
      <c r="N119" s="911"/>
      <c r="O119" s="910"/>
      <c r="P119" s="910"/>
      <c r="Q119" s="912"/>
      <c r="R119" s="910"/>
      <c r="S119" s="910"/>
      <c r="T119" s="910"/>
      <c r="U119" s="910"/>
      <c r="V119" s="945">
        <f>'1.8.3 RenPTLR'!H119</f>
        <v>318.49591797759183</v>
      </c>
      <c r="W119" s="910"/>
      <c r="X119" s="910"/>
      <c r="Y119" s="910"/>
      <c r="Z119" s="910"/>
      <c r="AA119" s="945">
        <f>'1.8.3 RenPTLR'!C119</f>
        <v>440.30894366789653</v>
      </c>
      <c r="AB119" s="910"/>
      <c r="AC119" s="910"/>
      <c r="AD119" s="950">
        <f t="shared" si="3"/>
        <v>758.80486164548836</v>
      </c>
      <c r="AF119" s="911"/>
      <c r="AG119" s="910"/>
      <c r="AH119" s="910"/>
      <c r="AI119" s="910"/>
      <c r="AJ119" s="912"/>
      <c r="AK119" s="910"/>
      <c r="AL119" s="910"/>
      <c r="AM119" s="945">
        <f>'1.8.2 RenHLR'!H119</f>
        <v>502.33830945067047</v>
      </c>
      <c r="AN119" s="910"/>
      <c r="AO119" s="912"/>
      <c r="AQ119" s="911"/>
      <c r="AR119" s="910"/>
      <c r="AS119" s="910"/>
      <c r="AT119" s="910"/>
      <c r="AU119" s="912"/>
      <c r="AV119" s="910"/>
      <c r="AW119" s="910"/>
      <c r="AX119" s="910"/>
      <c r="AY119" s="910"/>
      <c r="AZ119" s="912"/>
      <c r="BB119" s="913"/>
      <c r="BC119" s="916"/>
      <c r="BD119" s="910"/>
      <c r="BE119" s="914"/>
      <c r="BF119" s="910"/>
      <c r="BG119" s="910"/>
      <c r="BH119" s="914"/>
      <c r="BI119" s="910"/>
      <c r="BJ119" s="910"/>
      <c r="BK119" s="842">
        <f t="shared" si="4"/>
        <v>440.30894366789653</v>
      </c>
      <c r="BL119" s="1085">
        <f t="shared" si="5"/>
        <v>1792.1874144406208</v>
      </c>
      <c r="BM119" s="910"/>
      <c r="BN119" s="921"/>
    </row>
    <row r="120" spans="1:66" ht="10.5" customHeight="1" x14ac:dyDescent="0.35">
      <c r="A120" s="841">
        <v>1810</v>
      </c>
      <c r="B120" s="916"/>
      <c r="C120" s="910"/>
      <c r="D120" s="910"/>
      <c r="E120" s="910"/>
      <c r="F120" s="910"/>
      <c r="G120" s="910"/>
      <c r="H120" s="945">
        <f>'1.8.3 RenPTLR'!B120</f>
        <v>1.5374032674118667</v>
      </c>
      <c r="I120" s="945">
        <f>'1.8.3 RenPTLR'!E120</f>
        <v>24.964746345657773</v>
      </c>
      <c r="J120" s="910"/>
      <c r="K120" s="842">
        <f>'1.8.2 RenHLR'!I120+'1.8.3 RenPTLR'!G120</f>
        <v>979.8483910183603</v>
      </c>
      <c r="L120" s="910"/>
      <c r="M120" s="910"/>
      <c r="N120" s="911"/>
      <c r="O120" s="910"/>
      <c r="P120" s="910"/>
      <c r="Q120" s="912"/>
      <c r="R120" s="910"/>
      <c r="S120" s="910"/>
      <c r="T120" s="910"/>
      <c r="U120" s="910"/>
      <c r="V120" s="945">
        <f>'1.8.3 RenPTLR'!H120</f>
        <v>334.68623040844739</v>
      </c>
      <c r="W120" s="910"/>
      <c r="X120" s="910"/>
      <c r="Y120" s="910"/>
      <c r="Z120" s="910"/>
      <c r="AA120" s="945">
        <f>'1.8.3 RenPTLR'!C120</f>
        <v>448.2121752786299</v>
      </c>
      <c r="AB120" s="910"/>
      <c r="AC120" s="910"/>
      <c r="AD120" s="950">
        <f t="shared" si="3"/>
        <v>782.89840568707723</v>
      </c>
      <c r="AF120" s="911"/>
      <c r="AG120" s="910"/>
      <c r="AH120" s="910"/>
      <c r="AI120" s="842">
        <v>1.666698544770072</v>
      </c>
      <c r="AJ120" s="912"/>
      <c r="AK120" s="910"/>
      <c r="AL120" s="910"/>
      <c r="AM120" s="945">
        <f>'1.8.2 RenHLR'!H120</f>
        <v>505.2908829692683</v>
      </c>
      <c r="AN120" s="910"/>
      <c r="AO120" s="912"/>
      <c r="AQ120" s="911"/>
      <c r="AR120" s="910"/>
      <c r="AS120" s="910"/>
      <c r="AT120" s="910"/>
      <c r="AU120" s="912"/>
      <c r="AV120" s="910"/>
      <c r="AW120" s="910"/>
      <c r="AX120" s="910"/>
      <c r="AY120" s="910"/>
      <c r="AZ120" s="912"/>
      <c r="BB120" s="913"/>
      <c r="BC120" s="916"/>
      <c r="BD120" s="910"/>
      <c r="BE120" s="914"/>
      <c r="BF120" s="910"/>
      <c r="BG120" s="916"/>
      <c r="BH120" s="914"/>
      <c r="BI120" s="910"/>
      <c r="BJ120" s="910"/>
      <c r="BK120" s="842">
        <f t="shared" si="4"/>
        <v>448.2121752786299</v>
      </c>
      <c r="BL120" s="1085">
        <f t="shared" si="5"/>
        <v>1819.825504396076</v>
      </c>
      <c r="BM120" s="910"/>
      <c r="BN120" s="921"/>
    </row>
    <row r="121" spans="1:66" ht="10.5" customHeight="1" x14ac:dyDescent="0.35">
      <c r="A121" s="841">
        <v>1811</v>
      </c>
      <c r="B121" s="916"/>
      <c r="C121" s="910"/>
      <c r="D121" s="910"/>
      <c r="E121" s="910"/>
      <c r="F121" s="910"/>
      <c r="G121" s="910"/>
      <c r="H121" s="945">
        <f>'1.8.3 RenPTLR'!B121</f>
        <v>1.5527773000859855</v>
      </c>
      <c r="I121" s="945">
        <f>'1.8.3 RenPTLR'!E121</f>
        <v>24.984866723989672</v>
      </c>
      <c r="J121" s="910"/>
      <c r="K121" s="842">
        <f>'1.8.2 RenHLR'!I121+'1.8.3 RenPTLR'!G121</f>
        <v>988.34362206294145</v>
      </c>
      <c r="L121" s="910"/>
      <c r="M121" s="910"/>
      <c r="N121" s="911"/>
      <c r="O121" s="910"/>
      <c r="P121" s="910"/>
      <c r="Q121" s="912"/>
      <c r="R121" s="910"/>
      <c r="S121" s="910"/>
      <c r="T121" s="910"/>
      <c r="U121" s="910"/>
      <c r="V121" s="945">
        <f>'1.8.3 RenPTLR'!H121</f>
        <v>351.63394015748042</v>
      </c>
      <c r="W121" s="910"/>
      <c r="X121" s="910"/>
      <c r="Y121" s="910"/>
      <c r="Z121" s="910"/>
      <c r="AA121" s="945">
        <f>'1.8.3 RenPTLR'!C121</f>
        <v>454.45472370869703</v>
      </c>
      <c r="AB121" s="910"/>
      <c r="AC121" s="910"/>
      <c r="AD121" s="950">
        <f t="shared" si="3"/>
        <v>806.08866386617751</v>
      </c>
      <c r="AF121" s="911"/>
      <c r="AG121" s="910"/>
      <c r="AH121" s="910"/>
      <c r="AI121" s="842">
        <v>1.9608218173765555</v>
      </c>
      <c r="AJ121" s="912"/>
      <c r="AK121" s="910"/>
      <c r="AL121" s="910"/>
      <c r="AM121" s="945">
        <f>'1.8.2 RenHLR'!H121</f>
        <v>507.31576235116125</v>
      </c>
      <c r="AN121" s="910"/>
      <c r="AO121" s="912"/>
      <c r="AQ121" s="911"/>
      <c r="AR121" s="910"/>
      <c r="AS121" s="910"/>
      <c r="AT121" s="910"/>
      <c r="AU121" s="912"/>
      <c r="AV121" s="910"/>
      <c r="AW121" s="910"/>
      <c r="AX121" s="910"/>
      <c r="AY121" s="910"/>
      <c r="AZ121" s="912"/>
      <c r="BB121" s="913"/>
      <c r="BC121" s="916"/>
      <c r="BD121" s="910"/>
      <c r="BE121" s="914"/>
      <c r="BF121" s="910"/>
      <c r="BG121" s="916"/>
      <c r="BH121" s="914"/>
      <c r="BI121" s="910"/>
      <c r="BJ121" s="910"/>
      <c r="BK121" s="842">
        <f t="shared" si="4"/>
        <v>454.45472370869703</v>
      </c>
      <c r="BL121" s="1085">
        <f t="shared" si="5"/>
        <v>1847.2933245715833</v>
      </c>
      <c r="BM121" s="910"/>
      <c r="BN121" s="921"/>
    </row>
    <row r="122" spans="1:66" ht="10.5" customHeight="1" x14ac:dyDescent="0.35">
      <c r="A122" s="841">
        <v>1812</v>
      </c>
      <c r="B122" s="916"/>
      <c r="C122" s="910"/>
      <c r="D122" s="910"/>
      <c r="E122" s="910"/>
      <c r="F122" s="910"/>
      <c r="G122" s="910"/>
      <c r="H122" s="945">
        <f>'1.8.3 RenPTLR'!B122</f>
        <v>1.5681513327601042</v>
      </c>
      <c r="I122" s="945">
        <f>'1.8.3 RenPTLR'!E122</f>
        <v>25.004987102321572</v>
      </c>
      <c r="J122" s="910"/>
      <c r="K122" s="842">
        <f>'1.8.2 RenHLR'!I122+'1.8.3 RenPTLR'!G122</f>
        <v>999.4498642765185</v>
      </c>
      <c r="L122" s="910"/>
      <c r="M122" s="910"/>
      <c r="N122" s="911"/>
      <c r="O122" s="910"/>
      <c r="P122" s="910"/>
      <c r="Q122" s="912"/>
      <c r="R122" s="910"/>
      <c r="S122" s="910"/>
      <c r="T122" s="910"/>
      <c r="U122" s="910"/>
      <c r="V122" s="945">
        <f>'1.8.3 RenPTLR'!H122</f>
        <v>349.93714393700782</v>
      </c>
      <c r="W122" s="910"/>
      <c r="X122" s="910"/>
      <c r="Y122" s="910"/>
      <c r="Z122" s="910"/>
      <c r="AA122" s="945">
        <f>'1.8.3 RenPTLR'!C122</f>
        <v>456.62644347663854</v>
      </c>
      <c r="AB122" s="910"/>
      <c r="AC122" s="910"/>
      <c r="AD122" s="950">
        <f t="shared" si="3"/>
        <v>806.56358741364636</v>
      </c>
      <c r="AF122" s="911"/>
      <c r="AG122" s="910"/>
      <c r="AH122" s="910"/>
      <c r="AI122" s="842">
        <v>2.3068491969135945</v>
      </c>
      <c r="AJ122" s="912"/>
      <c r="AK122" s="910"/>
      <c r="AL122" s="910"/>
      <c r="AM122" s="945">
        <f>'1.8.2 RenHLR'!H122</f>
        <v>508.42068276686513</v>
      </c>
      <c r="AN122" s="910"/>
      <c r="AO122" s="912"/>
      <c r="AQ122" s="911"/>
      <c r="AR122" s="910"/>
      <c r="AS122" s="910"/>
      <c r="AT122" s="910"/>
      <c r="AU122" s="912"/>
      <c r="AV122" s="910"/>
      <c r="AW122" s="910"/>
      <c r="AX122" s="910"/>
      <c r="AY122" s="910"/>
      <c r="AZ122" s="912"/>
      <c r="BB122" s="913"/>
      <c r="BC122" s="916"/>
      <c r="BD122" s="910"/>
      <c r="BE122" s="914"/>
      <c r="BF122" s="910"/>
      <c r="BG122" s="916"/>
      <c r="BH122" s="914"/>
      <c r="BI122" s="910"/>
      <c r="BJ122" s="910"/>
      <c r="BK122" s="842">
        <f t="shared" si="4"/>
        <v>456.62644347663854</v>
      </c>
      <c r="BL122" s="1085">
        <f t="shared" si="5"/>
        <v>1857.8076909803915</v>
      </c>
      <c r="BM122" s="910"/>
      <c r="BN122" s="921"/>
    </row>
    <row r="123" spans="1:66" ht="10.5" customHeight="1" x14ac:dyDescent="0.35">
      <c r="A123" s="841">
        <v>1813</v>
      </c>
      <c r="B123" s="916"/>
      <c r="C123" s="910"/>
      <c r="D123" s="910"/>
      <c r="E123" s="910"/>
      <c r="F123" s="910"/>
      <c r="G123" s="910"/>
      <c r="H123" s="945">
        <f>'1.8.3 RenPTLR'!B123</f>
        <v>1.5835253654342232</v>
      </c>
      <c r="I123" s="945">
        <f>'1.8.3 RenPTLR'!E123</f>
        <v>25.025107480653471</v>
      </c>
      <c r="J123" s="910"/>
      <c r="K123" s="842">
        <f>'1.8.2 RenHLR'!I123+'1.8.3 RenPTLR'!G123</f>
        <v>1009.7609804504112</v>
      </c>
      <c r="L123" s="910"/>
      <c r="M123" s="910"/>
      <c r="N123" s="911"/>
      <c r="O123" s="910"/>
      <c r="P123" s="910"/>
      <c r="Q123" s="912"/>
      <c r="R123" s="910"/>
      <c r="S123" s="910"/>
      <c r="T123" s="910"/>
      <c r="U123" s="910"/>
      <c r="V123" s="945">
        <f>'1.8.3 RenPTLR'!H123</f>
        <v>348.24034771653544</v>
      </c>
      <c r="W123" s="910"/>
      <c r="X123" s="910"/>
      <c r="Y123" s="910"/>
      <c r="Z123" s="910"/>
      <c r="AA123" s="945">
        <f>'1.8.3 RenPTLR'!C123</f>
        <v>472.87327316054501</v>
      </c>
      <c r="AB123" s="910"/>
      <c r="AC123" s="910"/>
      <c r="AD123" s="950">
        <f t="shared" si="3"/>
        <v>821.11362087708039</v>
      </c>
      <c r="AF123" s="911"/>
      <c r="AG123" s="910"/>
      <c r="AH123" s="910"/>
      <c r="AI123" s="842">
        <v>2.7139402316630523</v>
      </c>
      <c r="AJ123" s="912"/>
      <c r="AK123" s="910"/>
      <c r="AL123" s="910"/>
      <c r="AM123" s="945">
        <f>'1.8.2 RenHLR'!H123</f>
        <v>508.61329363013965</v>
      </c>
      <c r="AN123" s="910"/>
      <c r="AO123" s="912"/>
      <c r="AQ123" s="911"/>
      <c r="AR123" s="910"/>
      <c r="AS123" s="910"/>
      <c r="AT123" s="910"/>
      <c r="AU123" s="912"/>
      <c r="AV123" s="910"/>
      <c r="AW123" s="910"/>
      <c r="AX123" s="910"/>
      <c r="AY123" s="910"/>
      <c r="AZ123" s="912"/>
      <c r="BB123" s="913"/>
      <c r="BC123" s="916"/>
      <c r="BD123" s="910"/>
      <c r="BE123" s="914"/>
      <c r="BF123" s="910"/>
      <c r="BG123" s="916"/>
      <c r="BH123" s="914"/>
      <c r="BI123" s="910"/>
      <c r="BJ123" s="910"/>
      <c r="BK123" s="842">
        <f t="shared" si="4"/>
        <v>472.87327316054501</v>
      </c>
      <c r="BL123" s="1085">
        <f t="shared" si="5"/>
        <v>1866.6146217970863</v>
      </c>
      <c r="BM123" s="910"/>
      <c r="BN123" s="921"/>
    </row>
    <row r="124" spans="1:66" ht="10.5" customHeight="1" x14ac:dyDescent="0.35">
      <c r="A124" s="841">
        <v>1814</v>
      </c>
      <c r="B124" s="916"/>
      <c r="C124" s="910"/>
      <c r="D124" s="910"/>
      <c r="E124" s="910"/>
      <c r="F124" s="910"/>
      <c r="G124" s="910"/>
      <c r="H124" s="945">
        <f>'1.8.3 RenPTLR'!B124</f>
        <v>1.5988993981083419</v>
      </c>
      <c r="I124" s="945">
        <f>'1.8.3 RenPTLR'!E124</f>
        <v>25.045227858985374</v>
      </c>
      <c r="J124" s="910"/>
      <c r="K124" s="842">
        <f>'1.8.2 RenHLR'!I124+'1.8.3 RenPTLR'!G124</f>
        <v>1020.5902801903615</v>
      </c>
      <c r="L124" s="910"/>
      <c r="M124" s="910"/>
      <c r="N124" s="911"/>
      <c r="O124" s="910"/>
      <c r="P124" s="910"/>
      <c r="Q124" s="912"/>
      <c r="R124" s="910"/>
      <c r="S124" s="910"/>
      <c r="T124" s="910"/>
      <c r="U124" s="910"/>
      <c r="V124" s="945">
        <f>'1.8.3 RenPTLR'!H124</f>
        <v>346.54355149606295</v>
      </c>
      <c r="W124" s="910"/>
      <c r="X124" s="910"/>
      <c r="Y124" s="910"/>
      <c r="Z124" s="910"/>
      <c r="AA124" s="945">
        <f>'1.8.3 RenPTLR'!C124</f>
        <v>484.82001210965763</v>
      </c>
      <c r="AB124" s="910"/>
      <c r="AC124" s="910"/>
      <c r="AD124" s="950">
        <f t="shared" si="3"/>
        <v>831.36356360572063</v>
      </c>
      <c r="AF124" s="911"/>
      <c r="AG124" s="910"/>
      <c r="AH124" s="910"/>
      <c r="AI124" s="842">
        <v>3.1928708607800615</v>
      </c>
      <c r="AJ124" s="912"/>
      <c r="AK124" s="910"/>
      <c r="AL124" s="910"/>
      <c r="AM124" s="945">
        <f>'1.8.2 RenHLR'!H124</f>
        <v>507.90115978315129</v>
      </c>
      <c r="AN124" s="910"/>
      <c r="AO124" s="912"/>
      <c r="AQ124" s="911"/>
      <c r="AR124" s="910"/>
      <c r="AS124" s="910"/>
      <c r="AT124" s="910"/>
      <c r="AU124" s="912"/>
      <c r="AV124" s="910"/>
      <c r="AW124" s="910"/>
      <c r="AX124" s="910"/>
      <c r="AY124" s="910"/>
      <c r="AZ124" s="912"/>
      <c r="BB124" s="913"/>
      <c r="BC124" s="916"/>
      <c r="BD124" s="910"/>
      <c r="BE124" s="914"/>
      <c r="BF124" s="910"/>
      <c r="BG124" s="916"/>
      <c r="BH124" s="914"/>
      <c r="BI124" s="910"/>
      <c r="BJ124" s="910"/>
      <c r="BK124" s="842">
        <f t="shared" si="4"/>
        <v>484.82001210965763</v>
      </c>
      <c r="BL124" s="1085">
        <f t="shared" si="5"/>
        <v>1875.0349914695757</v>
      </c>
      <c r="BM124" s="910"/>
      <c r="BN124" s="921"/>
    </row>
    <row r="125" spans="1:66" ht="10.5" customHeight="1" x14ac:dyDescent="0.35">
      <c r="A125" s="841">
        <v>1815</v>
      </c>
      <c r="B125" s="916"/>
      <c r="C125" s="910"/>
      <c r="D125" s="910"/>
      <c r="E125" s="910"/>
      <c r="F125" s="910"/>
      <c r="G125" s="910"/>
      <c r="H125" s="945">
        <f>'1.8.3 RenPTLR'!B125</f>
        <v>1.6142734307824607</v>
      </c>
      <c r="I125" s="945">
        <f>'1.8.3 RenPTLR'!E125</f>
        <v>25.06534823731727</v>
      </c>
      <c r="J125" s="910"/>
      <c r="K125" s="842">
        <f>'1.8.2 RenHLR'!I125+'1.8.3 RenPTLR'!G125</f>
        <v>1032.0025830478285</v>
      </c>
      <c r="L125" s="910"/>
      <c r="M125" s="910"/>
      <c r="N125" s="911"/>
      <c r="O125" s="910"/>
      <c r="P125" s="910"/>
      <c r="Q125" s="912"/>
      <c r="R125" s="910"/>
      <c r="S125" s="910"/>
      <c r="T125" s="910"/>
      <c r="U125" s="910"/>
      <c r="V125" s="945">
        <f>'1.8.3 RenPTLR'!H125</f>
        <v>344.84675527559062</v>
      </c>
      <c r="W125" s="910"/>
      <c r="X125" s="910"/>
      <c r="Y125" s="910"/>
      <c r="Z125" s="910"/>
      <c r="AA125" s="945">
        <f>'1.8.3 RenPTLR'!C125</f>
        <v>496.30317480025724</v>
      </c>
      <c r="AB125" s="910"/>
      <c r="AC125" s="910"/>
      <c r="AD125" s="950">
        <f t="shared" si="3"/>
        <v>841.14993007584781</v>
      </c>
      <c r="AF125" s="911"/>
      <c r="AG125" s="910"/>
      <c r="AH125" s="910"/>
      <c r="AI125" s="842">
        <v>3.7563186597412495</v>
      </c>
      <c r="AJ125" s="912"/>
      <c r="AK125" s="910"/>
      <c r="AL125" s="910"/>
      <c r="AM125" s="945">
        <f>'1.8.2 RenHLR'!H125</f>
        <v>506.29176266201904</v>
      </c>
      <c r="AN125" s="910"/>
      <c r="AO125" s="912"/>
      <c r="AQ125" s="911"/>
      <c r="AR125" s="910"/>
      <c r="AS125" s="910"/>
      <c r="AT125" s="910"/>
      <c r="AU125" s="912"/>
      <c r="AV125" s="910"/>
      <c r="AW125" s="910"/>
      <c r="AX125" s="910"/>
      <c r="AY125" s="910"/>
      <c r="AZ125" s="912"/>
      <c r="BB125" s="913"/>
      <c r="BC125" s="916"/>
      <c r="BD125" s="910"/>
      <c r="BE125" s="914"/>
      <c r="BF125" s="910"/>
      <c r="BG125" s="916"/>
      <c r="BH125" s="914"/>
      <c r="BI125" s="910"/>
      <c r="BJ125" s="910"/>
      <c r="BK125" s="842">
        <f t="shared" si="4"/>
        <v>496.30317480025724</v>
      </c>
      <c r="BL125" s="1085">
        <f t="shared" si="5"/>
        <v>1883.141100985438</v>
      </c>
      <c r="BM125" s="910"/>
      <c r="BN125" s="921"/>
    </row>
    <row r="126" spans="1:66" ht="10.5" customHeight="1" x14ac:dyDescent="0.35">
      <c r="A126" s="841">
        <v>1816</v>
      </c>
      <c r="B126" s="916"/>
      <c r="C126" s="910"/>
      <c r="D126" s="910"/>
      <c r="E126" s="910"/>
      <c r="F126" s="910"/>
      <c r="G126" s="910"/>
      <c r="H126" s="945">
        <f>'1.8.3 RenPTLR'!B126</f>
        <v>1.629647463456579</v>
      </c>
      <c r="I126" s="945">
        <f>'1.8.3 RenPTLR'!E126</f>
        <v>25.085468615649166</v>
      </c>
      <c r="J126" s="910"/>
      <c r="K126" s="842">
        <f>'1.8.2 RenHLR'!I126+'1.8.3 RenPTLR'!G126</f>
        <v>1043.0125998395765</v>
      </c>
      <c r="L126" s="910"/>
      <c r="M126" s="910"/>
      <c r="N126" s="911"/>
      <c r="O126" s="910"/>
      <c r="P126" s="910"/>
      <c r="Q126" s="912"/>
      <c r="R126" s="910"/>
      <c r="S126" s="910"/>
      <c r="T126" s="910"/>
      <c r="U126" s="910"/>
      <c r="V126" s="945">
        <f>'1.8.3 RenPTLR'!H126</f>
        <v>343.14995905511813</v>
      </c>
      <c r="W126" s="910"/>
      <c r="X126" s="910"/>
      <c r="Y126" s="910"/>
      <c r="Z126" s="910"/>
      <c r="AA126" s="945">
        <f>'1.8.3 RenPTLR'!C126</f>
        <v>500.32926334621794</v>
      </c>
      <c r="AB126" s="910"/>
      <c r="AC126" s="910"/>
      <c r="AD126" s="950">
        <f t="shared" si="3"/>
        <v>843.47922240133607</v>
      </c>
      <c r="AF126" s="911"/>
      <c r="AG126" s="910"/>
      <c r="AH126" s="910"/>
      <c r="AI126" s="842">
        <v>4.4191984232249997</v>
      </c>
      <c r="AJ126" s="912"/>
      <c r="AK126" s="910"/>
      <c r="AL126" s="910"/>
      <c r="AM126" s="945">
        <f>'1.8.2 RenHLR'!H126</f>
        <v>503.79250144314778</v>
      </c>
      <c r="AN126" s="910"/>
      <c r="AO126" s="912"/>
      <c r="AQ126" s="911"/>
      <c r="AR126" s="910"/>
      <c r="AS126" s="910"/>
      <c r="AT126" s="910"/>
      <c r="AU126" s="912"/>
      <c r="AV126" s="910"/>
      <c r="AW126" s="910"/>
      <c r="AX126" s="910"/>
      <c r="AY126" s="910"/>
      <c r="AZ126" s="912"/>
      <c r="BB126" s="913"/>
      <c r="BC126" s="916"/>
      <c r="BD126" s="910"/>
      <c r="BE126" s="914"/>
      <c r="BF126" s="910"/>
      <c r="BG126" s="916"/>
      <c r="BH126" s="914"/>
      <c r="BI126" s="910"/>
      <c r="BJ126" s="910"/>
      <c r="BK126" s="842">
        <f t="shared" si="4"/>
        <v>500.32926334621794</v>
      </c>
      <c r="BL126" s="1085">
        <f t="shared" si="5"/>
        <v>1889.9550603378425</v>
      </c>
      <c r="BM126" s="910"/>
      <c r="BN126" s="921"/>
    </row>
    <row r="127" spans="1:66" ht="10.5" customHeight="1" x14ac:dyDescent="0.35">
      <c r="A127" s="841">
        <v>1817</v>
      </c>
      <c r="B127" s="916"/>
      <c r="C127" s="910"/>
      <c r="D127" s="910"/>
      <c r="E127" s="910"/>
      <c r="F127" s="910"/>
      <c r="G127" s="910"/>
      <c r="H127" s="945">
        <f>'1.8.3 RenPTLR'!B127</f>
        <v>1.6450214961306981</v>
      </c>
      <c r="I127" s="945">
        <f>'1.8.3 RenPTLR'!E127</f>
        <v>25.105588993981073</v>
      </c>
      <c r="J127" s="910"/>
      <c r="K127" s="842">
        <f>'1.8.2 RenHLR'!I127+'1.8.3 RenPTLR'!G127</f>
        <v>1053.9099498514654</v>
      </c>
      <c r="L127" s="910"/>
      <c r="M127" s="910"/>
      <c r="N127" s="911"/>
      <c r="O127" s="910"/>
      <c r="P127" s="910"/>
      <c r="Q127" s="912"/>
      <c r="R127" s="910"/>
      <c r="S127" s="910"/>
      <c r="T127" s="910"/>
      <c r="U127" s="910"/>
      <c r="V127" s="945">
        <f>'1.8.3 RenPTLR'!H127</f>
        <v>341.45316283464564</v>
      </c>
      <c r="W127" s="910"/>
      <c r="X127" s="910"/>
      <c r="Y127" s="910"/>
      <c r="Z127" s="910"/>
      <c r="AA127" s="945">
        <f>'1.8.3 RenPTLR'!C127</f>
        <v>482.59258353378539</v>
      </c>
      <c r="AB127" s="910"/>
      <c r="AC127" s="910"/>
      <c r="AD127" s="950">
        <f t="shared" si="3"/>
        <v>824.04574636843108</v>
      </c>
      <c r="AF127" s="911"/>
      <c r="AG127" s="910"/>
      <c r="AH127" s="910"/>
      <c r="AI127" s="842">
        <v>5.1990569684999999</v>
      </c>
      <c r="AJ127" s="912"/>
      <c r="AK127" s="910"/>
      <c r="AL127" s="910"/>
      <c r="AM127" s="945">
        <f>'1.8.2 RenHLR'!H127</f>
        <v>496.79767756945211</v>
      </c>
      <c r="AN127" s="910"/>
      <c r="AO127" s="912"/>
      <c r="AQ127" s="911"/>
      <c r="AR127" s="910"/>
      <c r="AS127" s="910"/>
      <c r="AT127" s="910"/>
      <c r="AU127" s="912"/>
      <c r="AV127" s="910"/>
      <c r="AW127" s="910"/>
      <c r="AX127" s="910"/>
      <c r="AY127" s="910"/>
      <c r="AZ127" s="912"/>
      <c r="BB127" s="913"/>
      <c r="BC127" s="916"/>
      <c r="BD127" s="910"/>
      <c r="BE127" s="914"/>
      <c r="BF127" s="910"/>
      <c r="BG127" s="916"/>
      <c r="BH127" s="914"/>
      <c r="BI127" s="910"/>
      <c r="BJ127" s="910"/>
      <c r="BK127" s="842">
        <f t="shared" si="4"/>
        <v>482.59258353378539</v>
      </c>
      <c r="BL127" s="1085">
        <f t="shared" si="5"/>
        <v>1892.1607902555631</v>
      </c>
      <c r="BM127" s="910"/>
      <c r="BN127" s="921"/>
    </row>
    <row r="128" spans="1:66" ht="10.5" customHeight="1" x14ac:dyDescent="0.35">
      <c r="A128" s="841">
        <v>1818</v>
      </c>
      <c r="B128" s="916"/>
      <c r="C128" s="910"/>
      <c r="D128" s="910"/>
      <c r="E128" s="910"/>
      <c r="F128" s="910"/>
      <c r="G128" s="910"/>
      <c r="H128" s="945">
        <f>'1.8.3 RenPTLR'!B128</f>
        <v>1.6603955288048167</v>
      </c>
      <c r="I128" s="945">
        <f>'1.8.3 RenPTLR'!E128</f>
        <v>25.125709372312965</v>
      </c>
      <c r="J128" s="910"/>
      <c r="K128" s="842">
        <f>'1.8.2 RenHLR'!I128+'1.8.3 RenPTLR'!G128</f>
        <v>1065.0415801785234</v>
      </c>
      <c r="L128" s="910"/>
      <c r="M128" s="910"/>
      <c r="N128" s="911"/>
      <c r="O128" s="910"/>
      <c r="P128" s="910"/>
      <c r="Q128" s="912"/>
      <c r="R128" s="910"/>
      <c r="S128" s="910"/>
      <c r="T128" s="910"/>
      <c r="U128" s="910"/>
      <c r="V128" s="945">
        <f>'1.8.3 RenPTLR'!H128</f>
        <v>339.7563666141732</v>
      </c>
      <c r="W128" s="910"/>
      <c r="X128" s="910"/>
      <c r="Y128" s="910"/>
      <c r="Z128" s="910"/>
      <c r="AA128" s="945">
        <f>'1.8.3 RenPTLR'!C128</f>
        <v>487.4137515897533</v>
      </c>
      <c r="AB128" s="910"/>
      <c r="AC128" s="910"/>
      <c r="AD128" s="950">
        <f t="shared" si="3"/>
        <v>827.17011820392645</v>
      </c>
      <c r="AF128" s="911"/>
      <c r="AG128" s="910"/>
      <c r="AH128" s="910"/>
      <c r="AI128" s="842">
        <v>6.1165376099999991</v>
      </c>
      <c r="AJ128" s="912"/>
      <c r="AK128" s="910"/>
      <c r="AL128" s="910"/>
      <c r="AM128" s="945">
        <f>'1.8.2 RenHLR'!H128</f>
        <v>489.1813014081352</v>
      </c>
      <c r="AN128" s="910"/>
      <c r="AO128" s="912"/>
      <c r="AQ128" s="911"/>
      <c r="AR128" s="910"/>
      <c r="AS128" s="910"/>
      <c r="AT128" s="910"/>
      <c r="AU128" s="912"/>
      <c r="AV128" s="910"/>
      <c r="AW128" s="910"/>
      <c r="AX128" s="910"/>
      <c r="AY128" s="910"/>
      <c r="AZ128" s="912"/>
      <c r="BB128" s="913"/>
      <c r="BC128" s="916"/>
      <c r="BD128" s="910"/>
      <c r="BE128" s="914"/>
      <c r="BF128" s="910"/>
      <c r="BG128" s="916"/>
      <c r="BH128" s="914"/>
      <c r="BI128" s="910"/>
      <c r="BJ128" s="910"/>
      <c r="BK128" s="842">
        <f t="shared" si="4"/>
        <v>487.4137515897533</v>
      </c>
      <c r="BL128" s="1085">
        <f t="shared" si="5"/>
        <v>1893.9792482008318</v>
      </c>
      <c r="BM128" s="910"/>
      <c r="BN128" s="921"/>
    </row>
    <row r="129" spans="1:66" ht="10.5" customHeight="1" x14ac:dyDescent="0.35">
      <c r="A129" s="841">
        <v>1819</v>
      </c>
      <c r="B129" s="916"/>
      <c r="C129" s="910"/>
      <c r="D129" s="910"/>
      <c r="E129" s="910"/>
      <c r="F129" s="910"/>
      <c r="G129" s="910"/>
      <c r="H129" s="945">
        <f>'1.8.3 RenPTLR'!B129</f>
        <v>1.6757695614789356</v>
      </c>
      <c r="I129" s="945">
        <f>'1.8.3 RenPTLR'!E129</f>
        <v>25.145829750644868</v>
      </c>
      <c r="J129" s="910"/>
      <c r="K129" s="842">
        <f>'1.8.2 RenHLR'!I129+'1.8.3 RenPTLR'!G129</f>
        <v>1075.6369304846226</v>
      </c>
      <c r="L129" s="910"/>
      <c r="M129" s="910"/>
      <c r="N129" s="911"/>
      <c r="O129" s="910"/>
      <c r="P129" s="910"/>
      <c r="Q129" s="912"/>
      <c r="R129" s="910"/>
      <c r="S129" s="910"/>
      <c r="T129" s="910"/>
      <c r="U129" s="910"/>
      <c r="V129" s="945">
        <f>'1.8.3 RenPTLR'!H129</f>
        <v>338.05957039370082</v>
      </c>
      <c r="W129" s="910"/>
      <c r="X129" s="910"/>
      <c r="Y129" s="910"/>
      <c r="Z129" s="910"/>
      <c r="AA129" s="945">
        <f>'1.8.3 RenPTLR'!C129</f>
        <v>486.05237370133511</v>
      </c>
      <c r="AB129" s="910"/>
      <c r="AC129" s="910"/>
      <c r="AD129" s="950">
        <f t="shared" si="3"/>
        <v>824.11194409503594</v>
      </c>
      <c r="AF129" s="911"/>
      <c r="AG129" s="910"/>
      <c r="AH129" s="910"/>
      <c r="AI129" s="842">
        <v>7.1959265999999973</v>
      </c>
      <c r="AJ129" s="912"/>
      <c r="AK129" s="910"/>
      <c r="AL129" s="910"/>
      <c r="AM129" s="945">
        <f>'1.8.2 RenHLR'!H129</f>
        <v>480.94845659566113</v>
      </c>
      <c r="AN129" s="910"/>
      <c r="AO129" s="912"/>
      <c r="AQ129" s="911"/>
      <c r="AR129" s="910"/>
      <c r="AS129" s="910"/>
      <c r="AT129" s="910"/>
      <c r="AU129" s="912"/>
      <c r="AV129" s="910"/>
      <c r="AW129" s="910"/>
      <c r="AX129" s="910"/>
      <c r="AY129" s="910"/>
      <c r="AZ129" s="912"/>
      <c r="BB129" s="913"/>
      <c r="BC129" s="916"/>
      <c r="BD129" s="910"/>
      <c r="BE129" s="914"/>
      <c r="BF129" s="910"/>
      <c r="BG129" s="916"/>
      <c r="BH129" s="914"/>
      <c r="BI129" s="910"/>
      <c r="BJ129" s="910"/>
      <c r="BK129" s="842">
        <f t="shared" si="4"/>
        <v>486.05237370133511</v>
      </c>
      <c r="BL129" s="1085">
        <f t="shared" si="5"/>
        <v>1894.6449574739845</v>
      </c>
      <c r="BM129" s="910"/>
      <c r="BN129" s="921"/>
    </row>
    <row r="130" spans="1:66" ht="10.5" customHeight="1" x14ac:dyDescent="0.35">
      <c r="A130" s="841">
        <v>1820</v>
      </c>
      <c r="B130" s="916"/>
      <c r="C130" s="910"/>
      <c r="D130" s="910"/>
      <c r="E130" s="910"/>
      <c r="F130" s="910"/>
      <c r="G130" s="910"/>
      <c r="H130" s="945">
        <f>'1.8.3 RenPTLR'!B130</f>
        <v>1.6911435941530546</v>
      </c>
      <c r="I130" s="945">
        <f>'1.8.3 RenPTLR'!E130</f>
        <v>25.165950128976768</v>
      </c>
      <c r="J130" s="910"/>
      <c r="K130" s="842">
        <f>'1.8.2 RenHLR'!I130+'1.8.3 RenPTLR'!G130</f>
        <v>1087.1005402116089</v>
      </c>
      <c r="L130" s="910"/>
      <c r="M130" s="910"/>
      <c r="N130" s="911"/>
      <c r="O130" s="910"/>
      <c r="P130" s="910"/>
      <c r="Q130" s="912"/>
      <c r="R130" s="910"/>
      <c r="S130" s="910"/>
      <c r="T130" s="910"/>
      <c r="U130" s="910"/>
      <c r="V130" s="945">
        <f>'1.8.3 RenPTLR'!H130</f>
        <v>336.36277417322833</v>
      </c>
      <c r="W130" s="910"/>
      <c r="X130" s="910"/>
      <c r="Y130" s="910"/>
      <c r="Z130" s="910"/>
      <c r="AA130" s="945">
        <f>'1.8.3 RenPTLR'!C130</f>
        <v>482.31449065112696</v>
      </c>
      <c r="AB130" s="910"/>
      <c r="AC130" s="910"/>
      <c r="AD130" s="950">
        <f t="shared" si="3"/>
        <v>818.67726482435523</v>
      </c>
      <c r="AF130" s="911"/>
      <c r="AG130" s="910"/>
      <c r="AH130" s="910"/>
      <c r="AI130" s="842">
        <v>8.4657959999999974</v>
      </c>
      <c r="AJ130" s="912"/>
      <c r="AK130" s="910"/>
      <c r="AL130" s="910"/>
      <c r="AM130" s="945">
        <f>'1.8.2 RenHLR'!H130</f>
        <v>472.10417148090733</v>
      </c>
      <c r="AN130" s="910"/>
      <c r="AO130" s="912"/>
      <c r="AQ130" s="911"/>
      <c r="AR130" s="910"/>
      <c r="AS130" s="910"/>
      <c r="AT130" s="910"/>
      <c r="AU130" s="912"/>
      <c r="AV130" s="910"/>
      <c r="AW130" s="910"/>
      <c r="AX130" s="910"/>
      <c r="AY130" s="910"/>
      <c r="AZ130" s="912"/>
      <c r="BB130" s="913"/>
      <c r="BC130" s="916"/>
      <c r="BD130" s="910"/>
      <c r="BE130" s="914"/>
      <c r="BF130" s="910"/>
      <c r="BG130" s="916"/>
      <c r="BH130" s="914"/>
      <c r="BI130" s="910"/>
      <c r="BJ130" s="910"/>
      <c r="BK130" s="842">
        <f t="shared" si="4"/>
        <v>482.31449065112696</v>
      </c>
      <c r="BL130" s="1085">
        <f t="shared" si="5"/>
        <v>1895.5674858657446</v>
      </c>
      <c r="BM130" s="910"/>
      <c r="BN130" s="921"/>
    </row>
    <row r="131" spans="1:66" ht="10.5" customHeight="1" x14ac:dyDescent="0.35">
      <c r="A131" s="841">
        <v>1821</v>
      </c>
      <c r="B131" s="916"/>
      <c r="C131" s="910"/>
      <c r="D131" s="910"/>
      <c r="E131" s="910"/>
      <c r="F131" s="910"/>
      <c r="G131" s="910"/>
      <c r="H131" s="945">
        <f>'1.8.3 RenPTLR'!B131</f>
        <v>1.7065176268271729</v>
      </c>
      <c r="I131" s="945">
        <f>'1.8.3 RenPTLR'!E131</f>
        <v>25.186070507308667</v>
      </c>
      <c r="J131" s="910"/>
      <c r="K131" s="842">
        <f>'1.8.2 RenHLR'!I131+'1.8.3 RenPTLR'!G131</f>
        <v>1098.6955324961434</v>
      </c>
      <c r="L131" s="910"/>
      <c r="M131" s="910"/>
      <c r="N131" s="911"/>
      <c r="O131" s="910"/>
      <c r="P131" s="910"/>
      <c r="Q131" s="912"/>
      <c r="R131" s="910"/>
      <c r="S131" s="910"/>
      <c r="T131" s="910"/>
      <c r="U131" s="910"/>
      <c r="V131" s="945">
        <f>'1.8.3 RenPTLR'!H131</f>
        <v>334.66597795275601</v>
      </c>
      <c r="W131" s="910"/>
      <c r="X131" s="910"/>
      <c r="Y131" s="910"/>
      <c r="Z131" s="910"/>
      <c r="AA131" s="945">
        <f>'1.8.3 RenPTLR'!C131</f>
        <v>464.16860601770617</v>
      </c>
      <c r="AB131" s="910"/>
      <c r="AC131" s="910"/>
      <c r="AD131" s="950">
        <f t="shared" si="3"/>
        <v>798.83458397046218</v>
      </c>
      <c r="AF131" s="911"/>
      <c r="AG131" s="910"/>
      <c r="AH131" s="910"/>
      <c r="AI131" s="842">
        <v>9.9597599999999993</v>
      </c>
      <c r="AJ131" s="912"/>
      <c r="AK131" s="910"/>
      <c r="AL131" s="910"/>
      <c r="AM131" s="945">
        <f>'1.8.2 RenHLR'!H131</f>
        <v>462.65341987473482</v>
      </c>
      <c r="AN131" s="910"/>
      <c r="AO131" s="912"/>
      <c r="AQ131" s="911"/>
      <c r="AR131" s="910"/>
      <c r="AS131" s="910"/>
      <c r="AT131" s="910"/>
      <c r="AU131" s="912"/>
      <c r="AV131" s="910"/>
      <c r="AW131" s="910"/>
      <c r="AX131" s="910"/>
      <c r="AY131" s="910"/>
      <c r="AZ131" s="912"/>
      <c r="BB131" s="913"/>
      <c r="BC131" s="916"/>
      <c r="BD131" s="910"/>
      <c r="BE131" s="914"/>
      <c r="BF131" s="910"/>
      <c r="BG131" s="916"/>
      <c r="BH131" s="914"/>
      <c r="BI131" s="910"/>
      <c r="BJ131" s="910"/>
      <c r="BK131" s="842">
        <f t="shared" si="4"/>
        <v>464.16860601770617</v>
      </c>
      <c r="BL131" s="1085">
        <f t="shared" si="5"/>
        <v>1896.0149303236344</v>
      </c>
      <c r="BM131" s="910"/>
      <c r="BN131" s="921"/>
    </row>
    <row r="132" spans="1:66" ht="10.5" customHeight="1" x14ac:dyDescent="0.35">
      <c r="A132" s="841">
        <v>1822</v>
      </c>
      <c r="B132" s="916"/>
      <c r="C132" s="910"/>
      <c r="D132" s="910"/>
      <c r="E132" s="910"/>
      <c r="F132" s="910"/>
      <c r="G132" s="910"/>
      <c r="H132" s="945">
        <f>'1.8.3 RenPTLR'!B132</f>
        <v>1.7218916595012921</v>
      </c>
      <c r="I132" s="945">
        <f>'1.8.3 RenPTLR'!E132</f>
        <v>25.206190885640563</v>
      </c>
      <c r="J132" s="910"/>
      <c r="K132" s="842">
        <f>'1.8.2 RenHLR'!I132+'1.8.3 RenPTLR'!G132</f>
        <v>1110.1649838181804</v>
      </c>
      <c r="L132" s="910"/>
      <c r="M132" s="910"/>
      <c r="N132" s="911"/>
      <c r="O132" s="910"/>
      <c r="P132" s="910"/>
      <c r="Q132" s="912"/>
      <c r="R132" s="910"/>
      <c r="S132" s="910"/>
      <c r="T132" s="910"/>
      <c r="U132" s="910"/>
      <c r="V132" s="945">
        <f>'1.8.3 RenPTLR'!H132</f>
        <v>332.96918173228352</v>
      </c>
      <c r="W132" s="910"/>
      <c r="X132" s="910"/>
      <c r="Y132" s="910"/>
      <c r="Z132" s="910"/>
      <c r="AA132" s="945">
        <f>'1.8.3 RenPTLR'!C132</f>
        <v>454.57597917981627</v>
      </c>
      <c r="AB132" s="910"/>
      <c r="AC132" s="910"/>
      <c r="AD132" s="950">
        <f t="shared" si="3"/>
        <v>787.54516091209985</v>
      </c>
      <c r="AF132" s="911"/>
      <c r="AG132" s="910"/>
      <c r="AH132" s="910"/>
      <c r="AI132" s="842">
        <v>10.374749999999997</v>
      </c>
      <c r="AJ132" s="912"/>
      <c r="AK132" s="910"/>
      <c r="AL132" s="910"/>
      <c r="AM132" s="945">
        <f>'1.8.2 RenHLR'!H132</f>
        <v>452.60112178739456</v>
      </c>
      <c r="AN132" s="910"/>
      <c r="AO132" s="912"/>
      <c r="AQ132" s="911"/>
      <c r="AR132" s="910"/>
      <c r="AS132" s="910"/>
      <c r="AT132" s="910"/>
      <c r="AU132" s="912"/>
      <c r="AV132" s="910"/>
      <c r="AW132" s="910"/>
      <c r="AX132" s="910"/>
      <c r="AY132" s="910"/>
      <c r="AZ132" s="912"/>
      <c r="BB132" s="913"/>
      <c r="BC132" s="916"/>
      <c r="BD132" s="910"/>
      <c r="BE132" s="914"/>
      <c r="BF132" s="910"/>
      <c r="BG132" s="916">
        <f>('1.6.1 GasLR'!O12)*Units!C$19</f>
        <v>18.290357142857143</v>
      </c>
      <c r="BH132" s="914"/>
      <c r="BI132" s="910"/>
      <c r="BJ132" s="910"/>
      <c r="BK132" s="842">
        <f t="shared" si="4"/>
        <v>454.57597917981627</v>
      </c>
      <c r="BL132" s="1085">
        <f t="shared" si="5"/>
        <v>1895.7352873378584</v>
      </c>
      <c r="BM132" s="910"/>
      <c r="BN132" s="921"/>
    </row>
    <row r="133" spans="1:66" ht="10.5" customHeight="1" x14ac:dyDescent="0.35">
      <c r="A133" s="841">
        <v>1823</v>
      </c>
      <c r="B133" s="916"/>
      <c r="C133" s="910"/>
      <c r="D133" s="910"/>
      <c r="E133" s="910"/>
      <c r="F133" s="910"/>
      <c r="G133" s="910"/>
      <c r="H133" s="945">
        <f>'1.8.3 RenPTLR'!B133</f>
        <v>1.7372656921754108</v>
      </c>
      <c r="I133" s="945">
        <f>'1.8.3 RenPTLR'!E133</f>
        <v>25.226311263972466</v>
      </c>
      <c r="J133" s="910"/>
      <c r="K133" s="842">
        <f>'1.8.2 RenHLR'!I133+'1.8.3 RenPTLR'!G133</f>
        <v>1121.6229595693997</v>
      </c>
      <c r="L133" s="910"/>
      <c r="M133" s="910"/>
      <c r="N133" s="911"/>
      <c r="O133" s="910"/>
      <c r="P133" s="910"/>
      <c r="Q133" s="912"/>
      <c r="R133" s="910"/>
      <c r="S133" s="910"/>
      <c r="T133" s="910"/>
      <c r="U133" s="910"/>
      <c r="V133" s="945">
        <f>'1.8.3 RenPTLR'!H133</f>
        <v>331.27238551181102</v>
      </c>
      <c r="W133" s="910"/>
      <c r="X133" s="910"/>
      <c r="Y133" s="910"/>
      <c r="Z133" s="910"/>
      <c r="AA133" s="945">
        <f>'1.8.3 RenPTLR'!C133</f>
        <v>450.72331186669265</v>
      </c>
      <c r="AB133" s="910"/>
      <c r="AC133" s="910"/>
      <c r="AD133" s="950">
        <f t="shared" si="3"/>
        <v>781.99569737850368</v>
      </c>
      <c r="AF133" s="911"/>
      <c r="AG133" s="910"/>
      <c r="AH133" s="910"/>
      <c r="AI133" s="842">
        <v>11.084357973260996</v>
      </c>
      <c r="AJ133" s="912"/>
      <c r="AK133" s="910"/>
      <c r="AL133" s="910"/>
      <c r="AM133" s="945">
        <f>'1.8.2 RenHLR'!H133</f>
        <v>441.95214415400011</v>
      </c>
      <c r="AN133" s="910"/>
      <c r="AO133" s="912"/>
      <c r="AQ133" s="911"/>
      <c r="AR133" s="910"/>
      <c r="AS133" s="910"/>
      <c r="AT133" s="910"/>
      <c r="AU133" s="912"/>
      <c r="AV133" s="910"/>
      <c r="AW133" s="910"/>
      <c r="AX133" s="910"/>
      <c r="AY133" s="910"/>
      <c r="AZ133" s="912"/>
      <c r="BB133" s="913"/>
      <c r="BC133" s="916"/>
      <c r="BD133" s="910"/>
      <c r="BE133" s="914"/>
      <c r="BF133" s="910"/>
      <c r="BG133" s="916">
        <f>('1.6.1 GasLR'!O13)*Units!C$19</f>
        <v>19.54137362637363</v>
      </c>
      <c r="BH133" s="914"/>
      <c r="BI133" s="910"/>
      <c r="BJ133" s="910"/>
      <c r="BK133" s="842">
        <f t="shared" si="4"/>
        <v>450.72331186669265</v>
      </c>
      <c r="BL133" s="1085">
        <f t="shared" si="5"/>
        <v>1894.8474892352108</v>
      </c>
      <c r="BM133" s="910"/>
      <c r="BN133" s="921"/>
    </row>
    <row r="134" spans="1:66" ht="10.5" customHeight="1" x14ac:dyDescent="0.35">
      <c r="A134" s="841">
        <v>1824</v>
      </c>
      <c r="B134" s="916"/>
      <c r="C134" s="910"/>
      <c r="D134" s="910"/>
      <c r="E134" s="910"/>
      <c r="F134" s="910"/>
      <c r="G134" s="910"/>
      <c r="H134" s="945">
        <f>'1.8.3 RenPTLR'!B134</f>
        <v>1.7526397248495293</v>
      </c>
      <c r="I134" s="945">
        <f>'1.8.3 RenPTLR'!E134</f>
        <v>25.246431642304369</v>
      </c>
      <c r="J134" s="910"/>
      <c r="K134" s="842">
        <f>'1.8.2 RenHLR'!I134+'1.8.3 RenPTLR'!G134</f>
        <v>1132.9759555048031</v>
      </c>
      <c r="L134" s="910"/>
      <c r="M134" s="910"/>
      <c r="N134" s="911"/>
      <c r="O134" s="910"/>
      <c r="P134" s="910"/>
      <c r="Q134" s="912"/>
      <c r="R134" s="910"/>
      <c r="S134" s="910"/>
      <c r="T134" s="910"/>
      <c r="U134" s="910"/>
      <c r="V134" s="945">
        <f>'1.8.3 RenPTLR'!H134</f>
        <v>329.57558929133864</v>
      </c>
      <c r="W134" s="910"/>
      <c r="X134" s="910"/>
      <c r="Y134" s="910"/>
      <c r="Z134" s="910"/>
      <c r="AA134" s="945">
        <f>'1.8.3 RenPTLR'!C134</f>
        <v>458.4517344944955</v>
      </c>
      <c r="AB134" s="910"/>
      <c r="AC134" s="910"/>
      <c r="AD134" s="950">
        <f t="shared" si="3"/>
        <v>788.02732378583414</v>
      </c>
      <c r="AF134" s="911"/>
      <c r="AG134" s="910"/>
      <c r="AH134" s="910"/>
      <c r="AI134" s="842">
        <v>11.79396594652199</v>
      </c>
      <c r="AJ134" s="912"/>
      <c r="AK134" s="910"/>
      <c r="AL134" s="910"/>
      <c r="AM134" s="945">
        <f>'1.8.2 RenHLR'!H134</f>
        <v>430.71130154829967</v>
      </c>
      <c r="AN134" s="910"/>
      <c r="AO134" s="912"/>
      <c r="AQ134" s="911"/>
      <c r="AR134" s="910"/>
      <c r="AS134" s="910"/>
      <c r="AT134" s="910"/>
      <c r="AU134" s="912"/>
      <c r="AV134" s="910"/>
      <c r="AW134" s="910"/>
      <c r="AX134" s="910"/>
      <c r="AY134" s="910"/>
      <c r="AZ134" s="912"/>
      <c r="BB134" s="913"/>
      <c r="BC134" s="916"/>
      <c r="BD134" s="910"/>
      <c r="BE134" s="914"/>
      <c r="BF134" s="910"/>
      <c r="BG134" s="916">
        <f>('1.6.1 GasLR'!O14)*Units!C$19</f>
        <v>20.792390109890107</v>
      </c>
      <c r="BH134" s="914"/>
      <c r="BI134" s="910"/>
      <c r="BJ134" s="910"/>
      <c r="BK134" s="842">
        <f t="shared" si="4"/>
        <v>458.4517344944955</v>
      </c>
      <c r="BL134" s="1085">
        <f t="shared" si="5"/>
        <v>1893.2628463444414</v>
      </c>
      <c r="BM134" s="910"/>
      <c r="BN134" s="921"/>
    </row>
    <row r="135" spans="1:66" ht="10.5" customHeight="1" x14ac:dyDescent="0.35">
      <c r="A135" s="841">
        <v>1825</v>
      </c>
      <c r="B135" s="916"/>
      <c r="C135" s="910"/>
      <c r="D135" s="910"/>
      <c r="E135" s="910"/>
      <c r="F135" s="910"/>
      <c r="G135" s="910"/>
      <c r="H135" s="945">
        <f>'1.8.3 RenPTLR'!B135</f>
        <v>1.7680137575236481</v>
      </c>
      <c r="I135" s="945">
        <f>'1.8.3 RenPTLR'!E135</f>
        <v>25.266552020636265</v>
      </c>
      <c r="J135" s="910"/>
      <c r="K135" s="842">
        <f>'1.8.2 RenHLR'!I135+'1.8.3 RenPTLR'!G135</f>
        <v>1144.1832278860113</v>
      </c>
      <c r="L135" s="910"/>
      <c r="M135" s="910"/>
      <c r="N135" s="911"/>
      <c r="O135" s="910"/>
      <c r="P135" s="910"/>
      <c r="Q135" s="912"/>
      <c r="R135" s="910"/>
      <c r="S135" s="910"/>
      <c r="T135" s="910"/>
      <c r="U135" s="910"/>
      <c r="V135" s="945">
        <f>'1.8.3 RenPTLR'!H135</f>
        <v>327.87879307086621</v>
      </c>
      <c r="W135" s="910"/>
      <c r="X135" s="910"/>
      <c r="Y135" s="910"/>
      <c r="Z135" s="910"/>
      <c r="AA135" s="945">
        <f>'1.8.3 RenPTLR'!C135</f>
        <v>452.44307108969736</v>
      </c>
      <c r="AB135" s="910"/>
      <c r="AC135" s="910"/>
      <c r="AD135" s="950">
        <f t="shared" si="3"/>
        <v>780.32186416056356</v>
      </c>
      <c r="AF135" s="911"/>
      <c r="AG135" s="910"/>
      <c r="AH135" s="910"/>
      <c r="AI135" s="842">
        <v>12.503573919782985</v>
      </c>
      <c r="AJ135" s="912"/>
      <c r="AK135" s="910"/>
      <c r="AL135" s="910"/>
      <c r="AM135" s="945">
        <f>'1.8.2 RenHLR'!H135</f>
        <v>418.88335688495056</v>
      </c>
      <c r="AN135" s="910"/>
      <c r="AO135" s="912"/>
      <c r="AQ135" s="911"/>
      <c r="AR135" s="910"/>
      <c r="AS135" s="910"/>
      <c r="AT135" s="910"/>
      <c r="AU135" s="912"/>
      <c r="AV135" s="910"/>
      <c r="AW135" s="910"/>
      <c r="AX135" s="910"/>
      <c r="AY135" s="910"/>
      <c r="AZ135" s="912"/>
      <c r="BB135" s="913"/>
      <c r="BC135" s="916"/>
      <c r="BD135" s="910"/>
      <c r="BE135" s="914"/>
      <c r="BF135" s="910"/>
      <c r="BG135" s="916">
        <f>('1.6.1 GasLR'!O15)*Units!C$19</f>
        <v>22.043406593406587</v>
      </c>
      <c r="BH135" s="914"/>
      <c r="BI135" s="910"/>
      <c r="BJ135" s="910"/>
      <c r="BK135" s="842">
        <f t="shared" si="4"/>
        <v>452.44307108969736</v>
      </c>
      <c r="BL135" s="1085">
        <f t="shared" si="5"/>
        <v>1890.9453778418278</v>
      </c>
      <c r="BM135" s="910"/>
      <c r="BN135" s="921"/>
    </row>
    <row r="136" spans="1:66" ht="10.5" customHeight="1" x14ac:dyDescent="0.35">
      <c r="A136" s="841">
        <v>1826</v>
      </c>
      <c r="B136" s="916"/>
      <c r="C136" s="910"/>
      <c r="D136" s="910"/>
      <c r="E136" s="910"/>
      <c r="F136" s="910"/>
      <c r="G136" s="910"/>
      <c r="H136" s="945">
        <f>'1.8.3 RenPTLR'!B136</f>
        <v>1.7833877901977671</v>
      </c>
      <c r="I136" s="945">
        <f>'1.8.3 RenPTLR'!E136</f>
        <v>25.286672398968168</v>
      </c>
      <c r="J136" s="910"/>
      <c r="K136" s="842">
        <f>'1.8.2 RenHLR'!I136+'1.8.3 RenPTLR'!G136</f>
        <v>1155.7363326196776</v>
      </c>
      <c r="L136" s="910"/>
      <c r="M136" s="910"/>
      <c r="N136" s="911"/>
      <c r="O136" s="910"/>
      <c r="P136" s="910"/>
      <c r="Q136" s="912"/>
      <c r="R136" s="910"/>
      <c r="S136" s="910"/>
      <c r="T136" s="910"/>
      <c r="U136" s="910"/>
      <c r="V136" s="945">
        <f>'1.8.3 RenPTLR'!H136</f>
        <v>326.18199685039372</v>
      </c>
      <c r="W136" s="910"/>
      <c r="X136" s="910"/>
      <c r="Y136" s="910"/>
      <c r="Z136" s="910"/>
      <c r="AA136" s="945">
        <f>'1.8.3 RenPTLR'!C136</f>
        <v>465.77475933866322</v>
      </c>
      <c r="AB136" s="910"/>
      <c r="AC136" s="910"/>
      <c r="AD136" s="950">
        <f t="shared" si="3"/>
        <v>791.95675618905693</v>
      </c>
      <c r="AF136" s="911"/>
      <c r="AG136" s="910"/>
      <c r="AH136" s="910"/>
      <c r="AI136" s="842">
        <v>13.213181893043981</v>
      </c>
      <c r="AJ136" s="912"/>
      <c r="AK136" s="910"/>
      <c r="AL136" s="910"/>
      <c r="AM136" s="945">
        <f>'1.8.2 RenHLR'!H136</f>
        <v>406.47302211052914</v>
      </c>
      <c r="AN136" s="910"/>
      <c r="AO136" s="912"/>
      <c r="AQ136" s="911"/>
      <c r="AR136" s="910"/>
      <c r="AS136" s="910"/>
      <c r="AT136" s="910"/>
      <c r="AU136" s="912"/>
      <c r="AV136" s="910"/>
      <c r="AW136" s="910"/>
      <c r="AX136" s="910"/>
      <c r="AY136" s="910"/>
      <c r="AZ136" s="912"/>
      <c r="BB136" s="913"/>
      <c r="BC136" s="916"/>
      <c r="BD136" s="910"/>
      <c r="BE136" s="914"/>
      <c r="BF136" s="910"/>
      <c r="BG136" s="916">
        <f>('1.6.1 GasLR'!O16)*Units!C$19</f>
        <v>23.294423076923071</v>
      </c>
      <c r="BH136" s="914"/>
      <c r="BI136" s="910"/>
      <c r="BJ136" s="910"/>
      <c r="BK136" s="842">
        <f t="shared" si="4"/>
        <v>465.77475933866322</v>
      </c>
      <c r="BL136" s="1085">
        <f t="shared" si="5"/>
        <v>1888.3913515806005</v>
      </c>
      <c r="BM136" s="910"/>
      <c r="BN136" s="921"/>
    </row>
    <row r="137" spans="1:66" ht="10.5" customHeight="1" x14ac:dyDescent="0.35">
      <c r="A137" s="841">
        <v>1827</v>
      </c>
      <c r="B137" s="916"/>
      <c r="C137" s="910"/>
      <c r="D137" s="910"/>
      <c r="E137" s="910"/>
      <c r="F137" s="910"/>
      <c r="G137" s="910"/>
      <c r="H137" s="945">
        <f>'1.8.3 RenPTLR'!B137</f>
        <v>1.7987618228718858</v>
      </c>
      <c r="I137" s="945">
        <f>'1.8.3 RenPTLR'!E137</f>
        <v>25.306792777300064</v>
      </c>
      <c r="J137" s="910"/>
      <c r="K137" s="842">
        <f>'1.8.2 RenHLR'!I137+'1.8.3 RenPTLR'!G137</f>
        <v>1165.7247579852169</v>
      </c>
      <c r="L137" s="910"/>
      <c r="M137" s="910"/>
      <c r="N137" s="911"/>
      <c r="O137" s="910"/>
      <c r="P137" s="910"/>
      <c r="Q137" s="912"/>
      <c r="R137" s="910"/>
      <c r="S137" s="910"/>
      <c r="T137" s="910"/>
      <c r="U137" s="910"/>
      <c r="V137" s="945">
        <f>'1.8.3 RenPTLR'!H137</f>
        <v>324.48520062992139</v>
      </c>
      <c r="W137" s="910"/>
      <c r="X137" s="910"/>
      <c r="Y137" s="910"/>
      <c r="Z137" s="910"/>
      <c r="AA137" s="945">
        <f>'1.8.3 RenPTLR'!C137</f>
        <v>419.27643823925501</v>
      </c>
      <c r="AB137" s="910"/>
      <c r="AC137" s="910"/>
      <c r="AD137" s="950">
        <f t="shared" si="3"/>
        <v>743.76163886917641</v>
      </c>
      <c r="AF137" s="911"/>
      <c r="AG137" s="910"/>
      <c r="AH137" s="910"/>
      <c r="AI137" s="842">
        <v>13.922789866304978</v>
      </c>
      <c r="AJ137" s="912"/>
      <c r="AK137" s="910"/>
      <c r="AL137" s="910"/>
      <c r="AM137" s="945">
        <f>'1.8.2 RenHLR'!H137</f>
        <v>393.48495888347463</v>
      </c>
      <c r="AN137" s="910"/>
      <c r="AO137" s="912"/>
      <c r="AQ137" s="911"/>
      <c r="AR137" s="910"/>
      <c r="AS137" s="910"/>
      <c r="AT137" s="910"/>
      <c r="AU137" s="912"/>
      <c r="AV137" s="910"/>
      <c r="AW137" s="910"/>
      <c r="AX137" s="910"/>
      <c r="AY137" s="910"/>
      <c r="AZ137" s="912"/>
      <c r="BB137" s="913"/>
      <c r="BC137" s="916"/>
      <c r="BD137" s="910"/>
      <c r="BE137" s="914"/>
      <c r="BF137" s="910"/>
      <c r="BG137" s="916">
        <f>('1.6.1 GasLR'!O17)*Units!C$19</f>
        <v>24.545439560439561</v>
      </c>
      <c r="BH137" s="914"/>
      <c r="BI137" s="910"/>
      <c r="BJ137" s="910"/>
      <c r="BK137" s="842">
        <f t="shared" si="4"/>
        <v>419.27643823925501</v>
      </c>
      <c r="BL137" s="1085">
        <f t="shared" si="5"/>
        <v>1883.694917498613</v>
      </c>
      <c r="BM137" s="910"/>
      <c r="BN137" s="921"/>
    </row>
    <row r="138" spans="1:66" ht="10.5" customHeight="1" x14ac:dyDescent="0.35">
      <c r="A138" s="841">
        <v>1828</v>
      </c>
      <c r="B138" s="916"/>
      <c r="C138" s="910"/>
      <c r="D138" s="910"/>
      <c r="E138" s="910"/>
      <c r="F138" s="910"/>
      <c r="G138" s="910"/>
      <c r="H138" s="945">
        <f>'1.8.3 RenPTLR'!B138</f>
        <v>1.8141358555460041</v>
      </c>
      <c r="I138" s="945">
        <f>'1.8.3 RenPTLR'!E138</f>
        <v>25.326913155631967</v>
      </c>
      <c r="J138" s="910"/>
      <c r="K138" s="842">
        <f>'1.8.2 RenHLR'!I138+'1.8.3 RenPTLR'!G138</f>
        <v>1177.1695823163325</v>
      </c>
      <c r="L138" s="910"/>
      <c r="M138" s="910"/>
      <c r="N138" s="911"/>
      <c r="O138" s="910"/>
      <c r="P138" s="910"/>
      <c r="Q138" s="912"/>
      <c r="R138" s="910"/>
      <c r="S138" s="910"/>
      <c r="T138" s="910"/>
      <c r="U138" s="910"/>
      <c r="V138" s="945">
        <f>'1.8.3 RenPTLR'!H138</f>
        <v>322.7884044094489</v>
      </c>
      <c r="W138" s="910"/>
      <c r="X138" s="910"/>
      <c r="Y138" s="910"/>
      <c r="Z138" s="910"/>
      <c r="AA138" s="945">
        <f>'1.8.3 RenPTLR'!C138</f>
        <v>420.37789345720807</v>
      </c>
      <c r="AB138" s="910"/>
      <c r="AC138" s="910"/>
      <c r="AD138" s="950">
        <f t="shared" ref="AD138:AD201" si="6">O138+P138+Q138+R138+T138+U138+V138+Y138+AA138+AC138</f>
        <v>743.16629786665703</v>
      </c>
      <c r="AF138" s="911"/>
      <c r="AG138" s="910"/>
      <c r="AH138" s="910"/>
      <c r="AI138" s="842">
        <v>14.632397839565973</v>
      </c>
      <c r="AJ138" s="912"/>
      <c r="AK138" s="910"/>
      <c r="AL138" s="910"/>
      <c r="AM138" s="945">
        <f>'1.8.2 RenHLR'!H138</f>
        <v>379.92377924317657</v>
      </c>
      <c r="AN138" s="910"/>
      <c r="AO138" s="912"/>
      <c r="AQ138" s="911"/>
      <c r="AR138" s="910"/>
      <c r="AS138" s="910"/>
      <c r="AT138" s="910"/>
      <c r="AU138" s="912"/>
      <c r="AV138" s="910"/>
      <c r="AW138" s="910"/>
      <c r="AX138" s="910"/>
      <c r="AY138" s="910"/>
      <c r="AZ138" s="912"/>
      <c r="BB138" s="913"/>
      <c r="BC138" s="916"/>
      <c r="BD138" s="910"/>
      <c r="BE138" s="914"/>
      <c r="BF138" s="910"/>
      <c r="BG138" s="916">
        <f>('1.6.1 GasLR'!O18)*Units!C$19</f>
        <v>25.796456043956045</v>
      </c>
      <c r="BH138" s="914"/>
      <c r="BI138" s="910"/>
      <c r="BJ138" s="910"/>
      <c r="BK138" s="842">
        <f t="shared" ref="BK138:BK201" si="7">AA138</f>
        <v>420.37789345720807</v>
      </c>
      <c r="BL138" s="1085">
        <f t="shared" ref="BL138:BL201" si="8">K138+V138+AM138</f>
        <v>1879.881765968958</v>
      </c>
      <c r="BM138" s="910"/>
      <c r="BN138" s="921"/>
    </row>
    <row r="139" spans="1:66" ht="10.5" customHeight="1" x14ac:dyDescent="0.35">
      <c r="A139" s="841">
        <v>1829</v>
      </c>
      <c r="B139" s="916"/>
      <c r="C139" s="910"/>
      <c r="D139" s="910"/>
      <c r="E139" s="910"/>
      <c r="F139" s="910"/>
      <c r="G139" s="910"/>
      <c r="H139" s="945">
        <f>'1.8.3 RenPTLR'!B139</f>
        <v>1.8295098882201226</v>
      </c>
      <c r="I139" s="945">
        <f>'1.8.3 RenPTLR'!E139</f>
        <v>25.347033533963863</v>
      </c>
      <c r="J139" s="910"/>
      <c r="K139" s="842">
        <f>'1.8.2 RenHLR'!I139+'1.8.3 RenPTLR'!G139</f>
        <v>1188.5224762823832</v>
      </c>
      <c r="L139" s="910"/>
      <c r="M139" s="910"/>
      <c r="N139" s="911"/>
      <c r="O139" s="910"/>
      <c r="P139" s="910"/>
      <c r="Q139" s="912"/>
      <c r="R139" s="910"/>
      <c r="S139" s="910"/>
      <c r="T139" s="910"/>
      <c r="U139" s="910"/>
      <c r="V139" s="945">
        <f>'1.8.3 RenPTLR'!H139</f>
        <v>321.09160818897652</v>
      </c>
      <c r="W139" s="910"/>
      <c r="X139" s="910"/>
      <c r="Y139" s="910"/>
      <c r="Z139" s="910"/>
      <c r="AA139" s="945">
        <f>'1.8.3 RenPTLR'!C139</f>
        <v>420.30530763770747</v>
      </c>
      <c r="AB139" s="910"/>
      <c r="AC139" s="910"/>
      <c r="AD139" s="950">
        <f t="shared" si="6"/>
        <v>741.39691582668399</v>
      </c>
      <c r="AF139" s="911"/>
      <c r="AG139" s="910"/>
      <c r="AH139" s="910"/>
      <c r="AI139" s="842">
        <v>15.342005812826971</v>
      </c>
      <c r="AJ139" s="912"/>
      <c r="AK139" s="910"/>
      <c r="AL139" s="910"/>
      <c r="AM139" s="945">
        <f>'1.8.2 RenHLR'!H139</f>
        <v>365.79404626840852</v>
      </c>
      <c r="AN139" s="910"/>
      <c r="AO139" s="912"/>
      <c r="AQ139" s="911"/>
      <c r="AR139" s="910"/>
      <c r="AS139" s="910"/>
      <c r="AT139" s="910"/>
      <c r="AU139" s="912"/>
      <c r="AV139" s="910"/>
      <c r="AW139" s="910"/>
      <c r="AX139" s="910"/>
      <c r="AY139" s="910"/>
      <c r="AZ139" s="912"/>
      <c r="BB139" s="913"/>
      <c r="BC139" s="916"/>
      <c r="BD139" s="910"/>
      <c r="BE139" s="914"/>
      <c r="BF139" s="910"/>
      <c r="BG139" s="916">
        <f>('1.6.1 GasLR'!O19)*Units!C$19</f>
        <v>27.047472527472532</v>
      </c>
      <c r="BH139" s="914"/>
      <c r="BI139" s="910"/>
      <c r="BJ139" s="910"/>
      <c r="BK139" s="842">
        <f t="shared" si="7"/>
        <v>420.30530763770747</v>
      </c>
      <c r="BL139" s="1085">
        <f t="shared" si="8"/>
        <v>1875.4081307397682</v>
      </c>
      <c r="BM139" s="910"/>
      <c r="BN139" s="921"/>
    </row>
    <row r="140" spans="1:66" ht="10.5" customHeight="1" x14ac:dyDescent="0.35">
      <c r="A140" s="841">
        <v>1830</v>
      </c>
      <c r="B140" s="916">
        <f>+'1.3.1 CoalLR'!K140*1000*Units!$C$20</f>
        <v>6848.9542924645866</v>
      </c>
      <c r="C140" s="842">
        <f>+'1.4.1 MSFLR'!B40</f>
        <v>1887.9994150354298</v>
      </c>
      <c r="D140" s="910"/>
      <c r="E140" s="932">
        <f>+[1]R!$BJ590*1000</f>
        <v>10.135447562072684</v>
      </c>
      <c r="F140" s="910"/>
      <c r="G140" s="910"/>
      <c r="H140" s="945">
        <f>'1.8.3 RenPTLR'!B140</f>
        <v>1.8448839208942387</v>
      </c>
      <c r="I140" s="945">
        <f>'1.8.3 RenPTLR'!E140</f>
        <v>25.367153912295784</v>
      </c>
      <c r="J140" s="910"/>
      <c r="K140" s="842">
        <f>'1.8.2 RenHLR'!I140+'1.8.3 RenPTLR'!G140</f>
        <v>1199.71053428088</v>
      </c>
      <c r="L140" s="910"/>
      <c r="M140" s="952">
        <f t="shared" ref="M140:M171" si="9">SUM(B140:L140)</f>
        <v>9974.0117271761592</v>
      </c>
      <c r="N140" s="911"/>
      <c r="O140" s="945">
        <f>'1.3.1 CoalLR'!I140*1000</f>
        <v>0</v>
      </c>
      <c r="P140" s="910"/>
      <c r="Q140" s="912"/>
      <c r="R140" s="910"/>
      <c r="S140" s="910"/>
      <c r="T140" s="910"/>
      <c r="U140" s="910"/>
      <c r="V140" s="945">
        <f>'1.8.3 RenPTLR'!H140</f>
        <v>319.39481196850397</v>
      </c>
      <c r="W140" s="910"/>
      <c r="X140" s="910"/>
      <c r="Y140" s="910"/>
      <c r="Z140" s="910"/>
      <c r="AA140" s="945">
        <f>'1.8.3 RenPTLR'!C140</f>
        <v>418.87412035510647</v>
      </c>
      <c r="AB140" s="910"/>
      <c r="AC140" s="910"/>
      <c r="AD140" s="950">
        <f t="shared" si="6"/>
        <v>738.26893232361044</v>
      </c>
      <c r="AF140" s="911"/>
      <c r="AG140" s="916">
        <f>+'1.3.1 CoalLR'!J140*Units!$C$20*1000</f>
        <v>6959.8032000000003</v>
      </c>
      <c r="AH140" s="910"/>
      <c r="AI140" s="842">
        <v>16.693678337531484</v>
      </c>
      <c r="AJ140" s="912"/>
      <c r="AK140" s="910"/>
      <c r="AL140" s="910"/>
      <c r="AM140" s="945">
        <f>'1.8.2 RenHLR'!H140</f>
        <v>335.30587249869774</v>
      </c>
      <c r="AN140" s="910"/>
      <c r="AO140" s="1082">
        <f t="shared" ref="AO140:AO203" si="10">AG140+AH140+AI140+AK140+AM140+AN140</f>
        <v>7311.8027508362293</v>
      </c>
      <c r="AQ140" s="911"/>
      <c r="AR140" s="910"/>
      <c r="AS140" s="910"/>
      <c r="AT140" s="910"/>
      <c r="AU140" s="912"/>
      <c r="AV140" s="910"/>
      <c r="AW140" s="910"/>
      <c r="AX140" s="910"/>
      <c r="AY140" s="910"/>
      <c r="AZ140" s="912"/>
      <c r="BB140" s="913"/>
      <c r="BC140" s="916">
        <f t="shared" ref="BC140:BC201" si="11">B140+O140+W140+AG140+AR140</f>
        <v>13808.757492464587</v>
      </c>
      <c r="BD140" s="944">
        <f t="shared" ref="BD140:BD203" si="12">C140+P140+AH140+AS140</f>
        <v>1887.9994150354298</v>
      </c>
      <c r="BE140" s="914"/>
      <c r="BF140" s="910"/>
      <c r="BG140" s="916">
        <f>('1.6.1 GasLR'!O20)*Units!C$19</f>
        <v>29.430428571428575</v>
      </c>
      <c r="BH140" s="914"/>
      <c r="BI140" s="910"/>
      <c r="BJ140" s="910"/>
      <c r="BK140" s="842">
        <f t="shared" si="7"/>
        <v>418.87412035510647</v>
      </c>
      <c r="BL140" s="1085">
        <f t="shared" si="8"/>
        <v>1854.4112187480816</v>
      </c>
      <c r="BM140" s="910"/>
      <c r="BN140" s="921">
        <f t="shared" ref="BN140:BN171" si="13">SUM(BC140:BM140)</f>
        <v>17999.472675174635</v>
      </c>
    </row>
    <row r="141" spans="1:66" ht="10.5" customHeight="1" x14ac:dyDescent="0.35">
      <c r="A141" s="841">
        <v>1831</v>
      </c>
      <c r="B141" s="1201">
        <f>+'1.3.1 CoalLR'!K141*1000*Units!$C$20</f>
        <v>7182.6504490684747</v>
      </c>
      <c r="C141" s="1202">
        <f>+'1.4.1 MSFLR'!B41</f>
        <v>2030.749892466428</v>
      </c>
      <c r="D141" s="910"/>
      <c r="E141" s="932">
        <f>+[1]R!$BJ591*1000</f>
        <v>10.483816143854709</v>
      </c>
      <c r="F141" s="910"/>
      <c r="G141" s="910"/>
      <c r="H141" s="945">
        <f>'1.8.3 RenPTLR'!B141</f>
        <v>1.8218228718830614</v>
      </c>
      <c r="I141" s="945">
        <f>'1.8.3 RenPTLR'!E141</f>
        <v>25.616981943250213</v>
      </c>
      <c r="J141" s="910"/>
      <c r="K141" s="842">
        <f>'1.8.2 RenHLR'!I141+'1.8.3 RenPTLR'!G141</f>
        <v>1210.8414681602469</v>
      </c>
      <c r="L141" s="910"/>
      <c r="M141" s="952">
        <f t="shared" si="9"/>
        <v>10462.164430654138</v>
      </c>
      <c r="N141" s="911"/>
      <c r="O141" s="1204">
        <f>'1.3.1 CoalLR'!I141*1000</f>
        <v>30</v>
      </c>
      <c r="P141" s="910"/>
      <c r="Q141" s="912"/>
      <c r="R141" s="910"/>
      <c r="S141" s="910"/>
      <c r="T141" s="910"/>
      <c r="U141" s="910"/>
      <c r="V141" s="945">
        <f>'1.8.3 RenPTLR'!H141</f>
        <v>317.93981014755326</v>
      </c>
      <c r="W141" s="910"/>
      <c r="X141" s="910"/>
      <c r="Y141" s="910"/>
      <c r="Z141" s="910"/>
      <c r="AA141" s="945">
        <f>'1.8.3 RenPTLR'!C141</f>
        <v>422.96650960673855</v>
      </c>
      <c r="AB141" s="910"/>
      <c r="AC141" s="910"/>
      <c r="AD141" s="950">
        <f t="shared" si="6"/>
        <v>770.90631975429187</v>
      </c>
      <c r="AF141" s="911"/>
      <c r="AG141" s="1201">
        <f>+'1.3.1 CoalLR'!J141*Units!$C$20*1000</f>
        <v>6928.1290678960067</v>
      </c>
      <c r="AH141" s="910"/>
      <c r="AI141" s="842">
        <v>17.431670629722923</v>
      </c>
      <c r="AJ141" s="912"/>
      <c r="AK141" s="910"/>
      <c r="AL141" s="910"/>
      <c r="AM141" s="945">
        <f>'1.8.2 RenHLR'!H141</f>
        <v>333.77989220937457</v>
      </c>
      <c r="AN141" s="910"/>
      <c r="AO141" s="1082">
        <f t="shared" si="10"/>
        <v>7279.3406307351042</v>
      </c>
      <c r="AQ141" s="911"/>
      <c r="AR141" s="910"/>
      <c r="AS141" s="910"/>
      <c r="AT141" s="910"/>
      <c r="AU141" s="912"/>
      <c r="AV141" s="910"/>
      <c r="AW141" s="910"/>
      <c r="AX141" s="910"/>
      <c r="AY141" s="910"/>
      <c r="AZ141" s="912"/>
      <c r="BB141" s="913"/>
      <c r="BC141" s="916">
        <f t="shared" si="11"/>
        <v>14140.779516964481</v>
      </c>
      <c r="BD141" s="944">
        <f t="shared" si="12"/>
        <v>2030.749892466428</v>
      </c>
      <c r="BE141" s="914"/>
      <c r="BF141" s="910"/>
      <c r="BG141" s="916">
        <f>('1.6.1 GasLR'!O21)*Units!C$19</f>
        <v>30.731485714285721</v>
      </c>
      <c r="BH141" s="914"/>
      <c r="BI141" s="910"/>
      <c r="BJ141" s="910"/>
      <c r="BK141" s="842">
        <f t="shared" si="7"/>
        <v>422.96650960673855</v>
      </c>
      <c r="BL141" s="1085">
        <f t="shared" si="8"/>
        <v>1862.5611705171748</v>
      </c>
      <c r="BM141" s="910"/>
      <c r="BN141" s="921">
        <f t="shared" si="13"/>
        <v>18487.788575269111</v>
      </c>
    </row>
    <row r="142" spans="1:66" ht="10.5" customHeight="1" x14ac:dyDescent="0.35">
      <c r="A142" s="841">
        <v>1832</v>
      </c>
      <c r="B142" s="1201">
        <f>+'1.3.1 CoalLR'!K142*1000*Units!$C$20</f>
        <v>7515.7894510039469</v>
      </c>
      <c r="C142" s="1202">
        <f>+'1.4.1 MSFLR'!B42</f>
        <v>2174.3417462751841</v>
      </c>
      <c r="D142" s="910"/>
      <c r="E142" s="932">
        <f>+[1]R!$BJ592*1000</f>
        <v>10.824480038587279</v>
      </c>
      <c r="F142" s="910"/>
      <c r="G142" s="910"/>
      <c r="H142" s="945">
        <f>'1.8.3 RenPTLR'!B142</f>
        <v>1.7987618228718836</v>
      </c>
      <c r="I142" s="945">
        <f>'1.8.3 RenPTLR'!E142</f>
        <v>25.866809974204639</v>
      </c>
      <c r="J142" s="910"/>
      <c r="K142" s="842">
        <f>'1.8.2 RenHLR'!I142+'1.8.3 RenPTLR'!G142</f>
        <v>1222.3844180206972</v>
      </c>
      <c r="L142" s="910"/>
      <c r="M142" s="952">
        <f t="shared" si="9"/>
        <v>10951.005667135492</v>
      </c>
      <c r="N142" s="911"/>
      <c r="O142" s="1204">
        <f>'1.3.1 CoalLR'!I142*1000</f>
        <v>60</v>
      </c>
      <c r="P142" s="910"/>
      <c r="Q142" s="912"/>
      <c r="R142" s="910"/>
      <c r="S142" s="910"/>
      <c r="T142" s="910"/>
      <c r="U142" s="910"/>
      <c r="V142" s="945">
        <f>'1.8.3 RenPTLR'!H142</f>
        <v>316.34664009830425</v>
      </c>
      <c r="W142" s="910"/>
      <c r="X142" s="910"/>
      <c r="Y142" s="910"/>
      <c r="Z142" s="910"/>
      <c r="AA142" s="945">
        <f>'1.8.3 RenPTLR'!C142</f>
        <v>428.97660143840659</v>
      </c>
      <c r="AB142" s="910"/>
      <c r="AC142" s="910"/>
      <c r="AD142" s="950">
        <f t="shared" si="6"/>
        <v>805.32324153671084</v>
      </c>
      <c r="AF142" s="911"/>
      <c r="AG142" s="1201">
        <f>+'1.3.1 CoalLR'!J142*Units!$C$20*1000</f>
        <v>6952.1019660189404</v>
      </c>
      <c r="AH142" s="910"/>
      <c r="AI142" s="842">
        <v>18.169662921914362</v>
      </c>
      <c r="AJ142" s="912"/>
      <c r="AK142" s="910"/>
      <c r="AL142" s="910"/>
      <c r="AM142" s="945">
        <f>'1.8.2 RenHLR'!H142</f>
        <v>334.93484634966302</v>
      </c>
      <c r="AN142" s="910"/>
      <c r="AO142" s="1082">
        <f t="shared" si="10"/>
        <v>7305.2064752905171</v>
      </c>
      <c r="AQ142" s="911"/>
      <c r="AR142" s="910"/>
      <c r="AS142" s="910"/>
      <c r="AT142" s="910"/>
      <c r="AU142" s="912"/>
      <c r="AV142" s="910"/>
      <c r="AW142" s="910"/>
      <c r="AX142" s="910"/>
      <c r="AY142" s="910"/>
      <c r="AZ142" s="912"/>
      <c r="BB142" s="913"/>
      <c r="BC142" s="916">
        <f t="shared" si="11"/>
        <v>14527.891417022887</v>
      </c>
      <c r="BD142" s="944">
        <f t="shared" si="12"/>
        <v>2174.3417462751841</v>
      </c>
      <c r="BE142" s="914"/>
      <c r="BF142" s="910"/>
      <c r="BG142" s="916">
        <f>('1.6.1 GasLR'!O22)*Units!C$19</f>
        <v>32.032542857142865</v>
      </c>
      <c r="BH142" s="914"/>
      <c r="BI142" s="910"/>
      <c r="BJ142" s="910"/>
      <c r="BK142" s="842">
        <f t="shared" si="7"/>
        <v>428.97660143840659</v>
      </c>
      <c r="BL142" s="1085">
        <f t="shared" si="8"/>
        <v>1873.6659044686646</v>
      </c>
      <c r="BM142" s="910"/>
      <c r="BN142" s="921">
        <f t="shared" si="13"/>
        <v>19036.908212062284</v>
      </c>
    </row>
    <row r="143" spans="1:66" ht="10.5" customHeight="1" x14ac:dyDescent="0.35">
      <c r="A143" s="841">
        <v>1833</v>
      </c>
      <c r="B143" s="1201">
        <f>+'1.3.1 CoalLR'!K143*1000*Units!$C$20</f>
        <v>7848.3712982710022</v>
      </c>
      <c r="C143" s="1202">
        <f>+'1.4.1 MSFLR'!B43</f>
        <v>2318.7749764616983</v>
      </c>
      <c r="D143" s="910"/>
      <c r="E143" s="932">
        <f>+[1]R!$BJ593*1000</f>
        <v>11.157520921398119</v>
      </c>
      <c r="F143" s="910"/>
      <c r="G143" s="910"/>
      <c r="H143" s="945">
        <f>'1.8.3 RenPTLR'!B143</f>
        <v>1.7757007738607058</v>
      </c>
      <c r="I143" s="945">
        <f>'1.8.3 RenPTLR'!E143</f>
        <v>26.116638005159061</v>
      </c>
      <c r="J143" s="910"/>
      <c r="K143" s="842">
        <f>'1.8.2 RenHLR'!I143+'1.8.3 RenPTLR'!G143</f>
        <v>1233.9192831389787</v>
      </c>
      <c r="L143" s="910"/>
      <c r="M143" s="952">
        <f t="shared" si="9"/>
        <v>11440.115417572097</v>
      </c>
      <c r="N143" s="911"/>
      <c r="O143" s="1204">
        <f>'1.3.1 CoalLR'!I143*1000</f>
        <v>90</v>
      </c>
      <c r="P143" s="910"/>
      <c r="Q143" s="912"/>
      <c r="R143" s="910"/>
      <c r="S143" s="910"/>
      <c r="T143" s="910"/>
      <c r="U143" s="910"/>
      <c r="V143" s="945">
        <f>'1.8.3 RenPTLR'!H143</f>
        <v>314.79788126529422</v>
      </c>
      <c r="W143" s="910"/>
      <c r="X143" s="910"/>
      <c r="Y143" s="910"/>
      <c r="Z143" s="910"/>
      <c r="AA143" s="945">
        <f>'1.8.3 RenPTLR'!C143</f>
        <v>429.77587752483254</v>
      </c>
      <c r="AB143" s="910"/>
      <c r="AC143" s="910"/>
      <c r="AD143" s="950">
        <f t="shared" si="6"/>
        <v>834.5737587901267</v>
      </c>
      <c r="AF143" s="911"/>
      <c r="AG143" s="1201">
        <f>+'1.3.1 CoalLR'!J143*Units!$C$20*1000</f>
        <v>6953.6803700702503</v>
      </c>
      <c r="AH143" s="910"/>
      <c r="AI143" s="842">
        <v>18.907655214105798</v>
      </c>
      <c r="AJ143" s="912"/>
      <c r="AK143" s="910"/>
      <c r="AL143" s="910"/>
      <c r="AM143" s="945">
        <f>'1.8.2 RenHLR'!H143</f>
        <v>335.01088990037425</v>
      </c>
      <c r="AN143" s="910"/>
      <c r="AO143" s="1082">
        <f t="shared" si="10"/>
        <v>7307.5989151847307</v>
      </c>
      <c r="AQ143" s="911"/>
      <c r="AR143" s="910"/>
      <c r="AS143" s="910"/>
      <c r="AT143" s="910"/>
      <c r="AU143" s="912"/>
      <c r="AV143" s="910"/>
      <c r="AW143" s="910"/>
      <c r="AX143" s="910"/>
      <c r="AY143" s="910"/>
      <c r="AZ143" s="912"/>
      <c r="BB143" s="913"/>
      <c r="BC143" s="916">
        <f t="shared" si="11"/>
        <v>14892.051668341253</v>
      </c>
      <c r="BD143" s="944">
        <f t="shared" si="12"/>
        <v>2318.7749764616983</v>
      </c>
      <c r="BE143" s="914"/>
      <c r="BF143" s="910"/>
      <c r="BG143" s="916">
        <f>('1.6.1 GasLR'!O23)*Units!C$19</f>
        <v>33.333600000000011</v>
      </c>
      <c r="BH143" s="914"/>
      <c r="BI143" s="910"/>
      <c r="BJ143" s="910"/>
      <c r="BK143" s="842">
        <f t="shared" si="7"/>
        <v>429.77587752483254</v>
      </c>
      <c r="BL143" s="1085">
        <f t="shared" si="8"/>
        <v>1883.728054304647</v>
      </c>
      <c r="BM143" s="910"/>
      <c r="BN143" s="921">
        <f t="shared" si="13"/>
        <v>19557.664176632436</v>
      </c>
    </row>
    <row r="144" spans="1:66" ht="10.5" customHeight="1" x14ac:dyDescent="0.35">
      <c r="A144" s="841">
        <v>1834</v>
      </c>
      <c r="B144" s="1201">
        <f>+'1.3.1 CoalLR'!K144*1000*Units!$C$20</f>
        <v>8180.3959908696388</v>
      </c>
      <c r="C144" s="1202">
        <f>+'1.4.1 MSFLR'!B44</f>
        <v>2464.049583025972</v>
      </c>
      <c r="D144" s="910"/>
      <c r="E144" s="932">
        <f>+[1]R!$BJ594*1000</f>
        <v>11.483019317061059</v>
      </c>
      <c r="F144" s="910"/>
      <c r="G144" s="910"/>
      <c r="H144" s="945">
        <f>'1.8.3 RenPTLR'!B144</f>
        <v>1.7526397248495278</v>
      </c>
      <c r="I144" s="945">
        <f>'1.8.3 RenPTLR'!E144</f>
        <v>26.36646603611349</v>
      </c>
      <c r="J144" s="910"/>
      <c r="K144" s="842">
        <f>'1.8.2 RenHLR'!I144+'1.8.3 RenPTLR'!G144</f>
        <v>1245.538788544447</v>
      </c>
      <c r="L144" s="910"/>
      <c r="M144" s="952">
        <f t="shared" si="9"/>
        <v>11929.586487518083</v>
      </c>
      <c r="N144" s="911"/>
      <c r="O144" s="1204">
        <f>'1.3.1 CoalLR'!I144*1000</f>
        <v>120</v>
      </c>
      <c r="P144" s="910"/>
      <c r="Q144" s="912"/>
      <c r="R144" s="910"/>
      <c r="S144" s="910"/>
      <c r="T144" s="910"/>
      <c r="U144" s="910"/>
      <c r="V144" s="945">
        <f>'1.8.3 RenPTLR'!H144</f>
        <v>313.31256702691059</v>
      </c>
      <c r="W144" s="910"/>
      <c r="X144" s="910"/>
      <c r="Y144" s="910"/>
      <c r="Z144" s="910"/>
      <c r="AA144" s="945">
        <f>'1.8.3 RenPTLR'!C144</f>
        <v>435.95645375012634</v>
      </c>
      <c r="AB144" s="910"/>
      <c r="AC144" s="910"/>
      <c r="AD144" s="950">
        <f t="shared" si="6"/>
        <v>869.26902077703699</v>
      </c>
      <c r="AF144" s="911"/>
      <c r="AG144" s="1201">
        <f>+'1.3.1 CoalLR'!J144*Units!$C$20*1000</f>
        <v>6989.4956857649522</v>
      </c>
      <c r="AH144" s="910"/>
      <c r="AI144" s="842">
        <v>19.645647506297234</v>
      </c>
      <c r="AJ144" s="912"/>
      <c r="AK144" s="910"/>
      <c r="AL144" s="910"/>
      <c r="AM144" s="945">
        <f>'1.8.2 RenHLR'!H144</f>
        <v>336.73638203466737</v>
      </c>
      <c r="AN144" s="910"/>
      <c r="AO144" s="1082">
        <f t="shared" si="10"/>
        <v>7345.8777153059164</v>
      </c>
      <c r="AQ144" s="911"/>
      <c r="AR144" s="910"/>
      <c r="AS144" s="910"/>
      <c r="AT144" s="910"/>
      <c r="AU144" s="912"/>
      <c r="AV144" s="910"/>
      <c r="AW144" s="910"/>
      <c r="AX144" s="910"/>
      <c r="AY144" s="910"/>
      <c r="AZ144" s="912"/>
      <c r="BB144" s="913"/>
      <c r="BC144" s="916">
        <f t="shared" si="11"/>
        <v>15289.89167663459</v>
      </c>
      <c r="BD144" s="944">
        <f t="shared" si="12"/>
        <v>2464.049583025972</v>
      </c>
      <c r="BE144" s="914"/>
      <c r="BF144" s="910"/>
      <c r="BG144" s="916">
        <f>('1.6.1 GasLR'!O24)*Units!C$19</f>
        <v>34.634657142857158</v>
      </c>
      <c r="BH144" s="914"/>
      <c r="BI144" s="910"/>
      <c r="BJ144" s="910"/>
      <c r="BK144" s="842">
        <f t="shared" si="7"/>
        <v>435.95645375012634</v>
      </c>
      <c r="BL144" s="1085">
        <f t="shared" si="8"/>
        <v>1895.5877376060248</v>
      </c>
      <c r="BM144" s="910"/>
      <c r="BN144" s="921">
        <f t="shared" si="13"/>
        <v>20120.120108159568</v>
      </c>
    </row>
    <row r="145" spans="1:66" ht="10.5" customHeight="1" x14ac:dyDescent="0.35">
      <c r="A145" s="841">
        <v>1835</v>
      </c>
      <c r="B145" s="1201">
        <f>+'1.3.1 CoalLR'!K145*1000*Units!$C$20</f>
        <v>8511.8635287998586</v>
      </c>
      <c r="C145" s="1202">
        <f>+'1.4.1 MSFLR'!B45</f>
        <v>2610.1655659680036</v>
      </c>
      <c r="D145" s="910"/>
      <c r="E145" s="932">
        <f>+[1]R!$BJ595*1000</f>
        <v>11.801054620177645</v>
      </c>
      <c r="F145" s="910"/>
      <c r="G145" s="910"/>
      <c r="H145" s="945">
        <f>'1.8.3 RenPTLR'!B145</f>
        <v>1.7295786758383493</v>
      </c>
      <c r="I145" s="945">
        <f>'1.8.3 RenPTLR'!E145</f>
        <v>26.616294067067923</v>
      </c>
      <c r="J145" s="910"/>
      <c r="K145" s="842">
        <f>'1.8.2 RenHLR'!I145+'1.8.3 RenPTLR'!G145</f>
        <v>1257.3490355858708</v>
      </c>
      <c r="L145" s="910"/>
      <c r="M145" s="952">
        <f t="shared" si="9"/>
        <v>12419.525057716817</v>
      </c>
      <c r="N145" s="911"/>
      <c r="O145" s="1204">
        <f>'1.3.1 CoalLR'!I145*1000</f>
        <v>150</v>
      </c>
      <c r="P145" s="910"/>
      <c r="Q145" s="912"/>
      <c r="R145" s="910"/>
      <c r="S145" s="910"/>
      <c r="T145" s="910"/>
      <c r="U145" s="910"/>
      <c r="V145" s="945">
        <f>'1.8.3 RenPTLR'!H145</f>
        <v>311.91788792370812</v>
      </c>
      <c r="W145" s="910"/>
      <c r="X145" s="910"/>
      <c r="Y145" s="910"/>
      <c r="Z145" s="910"/>
      <c r="AA145" s="945">
        <f>'1.8.3 RenPTLR'!C145</f>
        <v>442.89044185401082</v>
      </c>
      <c r="AB145" s="910"/>
      <c r="AC145" s="910"/>
      <c r="AD145" s="950">
        <f t="shared" si="6"/>
        <v>904.80832977771888</v>
      </c>
      <c r="AF145" s="911"/>
      <c r="AG145" s="1201">
        <f>+'1.3.1 CoalLR'!J145*Units!$C$20*1000</f>
        <v>7106.2799040148648</v>
      </c>
      <c r="AH145" s="910"/>
      <c r="AI145" s="842">
        <v>20.383639798488662</v>
      </c>
      <c r="AJ145" s="912"/>
      <c r="AK145" s="910"/>
      <c r="AL145" s="910"/>
      <c r="AM145" s="945">
        <f>'1.8.2 RenHLR'!H145</f>
        <v>342.36275293469021</v>
      </c>
      <c r="AN145" s="910"/>
      <c r="AO145" s="1082">
        <f t="shared" si="10"/>
        <v>7469.0262967480439</v>
      </c>
      <c r="AQ145" s="911"/>
      <c r="AR145" s="910"/>
      <c r="AS145" s="910"/>
      <c r="AT145" s="910"/>
      <c r="AU145" s="912"/>
      <c r="AV145" s="910"/>
      <c r="AW145" s="910"/>
      <c r="AX145" s="910"/>
      <c r="AY145" s="910"/>
      <c r="AZ145" s="912"/>
      <c r="BB145" s="913"/>
      <c r="BC145" s="916">
        <f t="shared" si="11"/>
        <v>15768.143432814722</v>
      </c>
      <c r="BD145" s="944">
        <f t="shared" si="12"/>
        <v>2610.1655659680036</v>
      </c>
      <c r="BE145" s="914"/>
      <c r="BF145" s="910"/>
      <c r="BG145" s="916">
        <f>('1.6.1 GasLR'!O25)*Units!C$19</f>
        <v>35.935714285714283</v>
      </c>
      <c r="BH145" s="914"/>
      <c r="BI145" s="910"/>
      <c r="BJ145" s="910"/>
      <c r="BK145" s="842">
        <f t="shared" si="7"/>
        <v>442.89044185401082</v>
      </c>
      <c r="BL145" s="1085">
        <f t="shared" si="8"/>
        <v>1911.6296764442691</v>
      </c>
      <c r="BM145" s="910"/>
      <c r="BN145" s="921">
        <f t="shared" si="13"/>
        <v>20768.764831366723</v>
      </c>
    </row>
    <row r="146" spans="1:66" ht="10.5" customHeight="1" x14ac:dyDescent="0.35">
      <c r="A146" s="841">
        <v>1836</v>
      </c>
      <c r="B146" s="1201">
        <f>+'1.3.1 CoalLR'!K146*1000*Units!$C$20</f>
        <v>8842.7739120616661</v>
      </c>
      <c r="C146" s="1202">
        <f>+'1.4.1 MSFLR'!B46</f>
        <v>2757.1229252877938</v>
      </c>
      <c r="D146" s="910"/>
      <c r="E146" s="932">
        <f>+[1]R!$BJ596*1000</f>
        <v>13.525288265890277</v>
      </c>
      <c r="F146" s="910"/>
      <c r="G146" s="910"/>
      <c r="H146" s="945">
        <f>'1.8.3 RenPTLR'!B146</f>
        <v>1.7065176268271713</v>
      </c>
      <c r="I146" s="945">
        <f>'1.8.3 RenPTLR'!E146</f>
        <v>26.866122098022345</v>
      </c>
      <c r="J146" s="910"/>
      <c r="K146" s="842">
        <f>'1.8.2 RenHLR'!I146+'1.8.3 RenPTLR'!G146</f>
        <v>1269.1892729572394</v>
      </c>
      <c r="L146" s="910"/>
      <c r="M146" s="952">
        <f t="shared" si="9"/>
        <v>12911.184038297441</v>
      </c>
      <c r="N146" s="911"/>
      <c r="O146" s="1204">
        <f>'1.3.1 CoalLR'!I146*1000</f>
        <v>180</v>
      </c>
      <c r="P146" s="910"/>
      <c r="Q146" s="912"/>
      <c r="R146" s="910"/>
      <c r="S146" s="910"/>
      <c r="T146" s="910"/>
      <c r="U146" s="910"/>
      <c r="V146" s="945">
        <f>'1.8.3 RenPTLR'!H146</f>
        <v>310.65268758504976</v>
      </c>
      <c r="W146" s="910"/>
      <c r="X146" s="910"/>
      <c r="Y146" s="910"/>
      <c r="Z146" s="910"/>
      <c r="AA146" s="945">
        <f>'1.8.3 RenPTLR'!C146</f>
        <v>438.87928868272394</v>
      </c>
      <c r="AB146" s="910"/>
      <c r="AC146" s="910"/>
      <c r="AD146" s="950">
        <f t="shared" si="6"/>
        <v>929.53197626777364</v>
      </c>
      <c r="AF146" s="911"/>
      <c r="AG146" s="1201">
        <f>+'1.3.1 CoalLR'!J146*Units!$C$20*1000</f>
        <v>7197.2357279471635</v>
      </c>
      <c r="AH146" s="910"/>
      <c r="AI146" s="842">
        <v>23.586783195394023</v>
      </c>
      <c r="AJ146" s="912"/>
      <c r="AK146" s="910"/>
      <c r="AL146" s="910"/>
      <c r="AM146" s="945">
        <f>'1.8.2 RenHLR'!H146</f>
        <v>346.74477653881416</v>
      </c>
      <c r="AN146" s="910"/>
      <c r="AO146" s="1082">
        <f t="shared" si="10"/>
        <v>7567.5672876813715</v>
      </c>
      <c r="AQ146" s="911"/>
      <c r="AR146" s="910"/>
      <c r="AS146" s="910"/>
      <c r="AT146" s="910"/>
      <c r="AU146" s="912"/>
      <c r="AV146" s="910"/>
      <c r="AW146" s="910"/>
      <c r="AX146" s="910"/>
      <c r="AY146" s="910"/>
      <c r="AZ146" s="912"/>
      <c r="BB146" s="913"/>
      <c r="BC146" s="916">
        <f t="shared" si="11"/>
        <v>16220.00964000883</v>
      </c>
      <c r="BD146" s="944">
        <f t="shared" si="12"/>
        <v>2757.1229252877938</v>
      </c>
      <c r="BE146" s="914"/>
      <c r="BF146" s="910"/>
      <c r="BG146" s="916">
        <f>('1.6.1 GasLR'!O26)*Units!C$19</f>
        <v>41.582755102040821</v>
      </c>
      <c r="BH146" s="914"/>
      <c r="BI146" s="910"/>
      <c r="BJ146" s="910"/>
      <c r="BK146" s="842">
        <f t="shared" si="7"/>
        <v>438.87928868272394</v>
      </c>
      <c r="BL146" s="1085">
        <f t="shared" si="8"/>
        <v>1926.5867370811034</v>
      </c>
      <c r="BM146" s="910"/>
      <c r="BN146" s="921">
        <f t="shared" si="13"/>
        <v>21384.181346162492</v>
      </c>
    </row>
    <row r="147" spans="1:66" ht="10.5" customHeight="1" x14ac:dyDescent="0.35">
      <c r="A147" s="841">
        <v>1837</v>
      </c>
      <c r="B147" s="1201">
        <f>+'1.3.1 CoalLR'!K147*1000*Units!$C$20</f>
        <v>9173.1271406550532</v>
      </c>
      <c r="C147" s="1202">
        <f>+'1.4.1 MSFLR'!B47</f>
        <v>2904.9216609853424</v>
      </c>
      <c r="D147" s="910"/>
      <c r="E147" s="932">
        <f>+[1]R!$BJ597*1000</f>
        <v>15.2151847893547</v>
      </c>
      <c r="F147" s="910"/>
      <c r="G147" s="910"/>
      <c r="H147" s="945">
        <f>'1.8.3 RenPTLR'!B147</f>
        <v>1.6834565778159936</v>
      </c>
      <c r="I147" s="945">
        <f>'1.8.3 RenPTLR'!E147</f>
        <v>27.11595012897677</v>
      </c>
      <c r="J147" s="910"/>
      <c r="K147" s="842">
        <f>'1.8.2 RenHLR'!I147+'1.8.3 RenPTLR'!G147</f>
        <v>1280.9289805628157</v>
      </c>
      <c r="L147" s="910"/>
      <c r="M147" s="952">
        <f t="shared" si="9"/>
        <v>13402.992373699359</v>
      </c>
      <c r="N147" s="911"/>
      <c r="O147" s="1204">
        <f>'1.3.1 CoalLR'!I147*1000</f>
        <v>210</v>
      </c>
      <c r="P147" s="910"/>
      <c r="Q147" s="912"/>
      <c r="R147" s="910"/>
      <c r="S147" s="910"/>
      <c r="T147" s="910"/>
      <c r="U147" s="910"/>
      <c r="V147" s="945">
        <f>'1.8.3 RenPTLR'!H147</f>
        <v>309.57245691002612</v>
      </c>
      <c r="W147" s="910"/>
      <c r="X147" s="910"/>
      <c r="Y147" s="910"/>
      <c r="Z147" s="910"/>
      <c r="AA147" s="945">
        <f>'1.8.3 RenPTLR'!C147</f>
        <v>433.53907761849314</v>
      </c>
      <c r="AB147" s="910"/>
      <c r="AC147" s="910"/>
      <c r="AD147" s="950">
        <f t="shared" si="6"/>
        <v>953.11153452851931</v>
      </c>
      <c r="AF147" s="911"/>
      <c r="AG147" s="1201">
        <f>+'1.3.1 CoalLR'!J147*Units!$C$20*1000</f>
        <v>7229.7330976027488</v>
      </c>
      <c r="AH147" s="910"/>
      <c r="AI147" s="842">
        <v>26.789926592299384</v>
      </c>
      <c r="AJ147" s="912"/>
      <c r="AK147" s="910"/>
      <c r="AL147" s="910"/>
      <c r="AM147" s="945">
        <f>'1.8.2 RenHLR'!H147</f>
        <v>348.31041834981806</v>
      </c>
      <c r="AN147" s="910"/>
      <c r="AO147" s="1082">
        <f t="shared" si="10"/>
        <v>7604.8334425448666</v>
      </c>
      <c r="AQ147" s="911"/>
      <c r="AR147" s="910"/>
      <c r="AS147" s="910"/>
      <c r="AT147" s="910"/>
      <c r="AU147" s="912"/>
      <c r="AV147" s="910"/>
      <c r="AW147" s="910"/>
      <c r="AX147" s="910"/>
      <c r="AY147" s="910"/>
      <c r="AZ147" s="912"/>
      <c r="BB147" s="913"/>
      <c r="BC147" s="916">
        <f t="shared" si="11"/>
        <v>16612.860238257803</v>
      </c>
      <c r="BD147" s="944">
        <f t="shared" si="12"/>
        <v>2904.9216609853424</v>
      </c>
      <c r="BE147" s="914"/>
      <c r="BF147" s="910"/>
      <c r="BG147" s="916">
        <f>('1.6.1 GasLR'!O27)*Units!C$19</f>
        <v>47.229795918367337</v>
      </c>
      <c r="BH147" s="914"/>
      <c r="BI147" s="910"/>
      <c r="BJ147" s="910"/>
      <c r="BK147" s="842">
        <f t="shared" si="7"/>
        <v>433.53907761849314</v>
      </c>
      <c r="BL147" s="1085">
        <f t="shared" si="8"/>
        <v>1938.8118558226599</v>
      </c>
      <c r="BM147" s="910"/>
      <c r="BN147" s="921">
        <f t="shared" si="13"/>
        <v>21937.362628602667</v>
      </c>
    </row>
    <row r="148" spans="1:66" ht="10.5" customHeight="1" x14ac:dyDescent="0.35">
      <c r="A148" s="841">
        <v>1838</v>
      </c>
      <c r="B148" s="1201">
        <f>+'1.3.1 CoalLR'!K148*1000*Units!$C$20</f>
        <v>9502.9232145800252</v>
      </c>
      <c r="C148" s="1202">
        <f>+'1.4.1 MSFLR'!B48</f>
        <v>3053.5617730606496</v>
      </c>
      <c r="D148" s="910"/>
      <c r="E148" s="932">
        <f>+[1]R!$BJ598*1000</f>
        <v>16.871101868927667</v>
      </c>
      <c r="F148" s="910"/>
      <c r="G148" s="910"/>
      <c r="H148" s="945">
        <f>'1.8.3 RenPTLR'!B148</f>
        <v>1.6603955288048158</v>
      </c>
      <c r="I148" s="945">
        <f>'1.8.3 RenPTLR'!E148</f>
        <v>27.3657781599312</v>
      </c>
      <c r="J148" s="910"/>
      <c r="K148" s="842">
        <f>'1.8.2 RenHLR'!I148+'1.8.3 RenPTLR'!G148</f>
        <v>1292.4074203545031</v>
      </c>
      <c r="L148" s="910"/>
      <c r="M148" s="952">
        <f t="shared" si="9"/>
        <v>13894.789683552841</v>
      </c>
      <c r="N148" s="911"/>
      <c r="O148" s="1204">
        <f>'1.3.1 CoalLR'!I148*1000</f>
        <v>240</v>
      </c>
      <c r="P148" s="910"/>
      <c r="Q148" s="912"/>
      <c r="R148" s="910"/>
      <c r="S148" s="910"/>
      <c r="T148" s="910"/>
      <c r="U148" s="910"/>
      <c r="V148" s="945">
        <f>'1.8.3 RenPTLR'!H148</f>
        <v>308.75646861162329</v>
      </c>
      <c r="W148" s="910"/>
      <c r="X148" s="910"/>
      <c r="Y148" s="910"/>
      <c r="Z148" s="910"/>
      <c r="AA148" s="945">
        <f>'1.8.3 RenPTLR'!C148</f>
        <v>448.67755515144302</v>
      </c>
      <c r="AB148" s="910"/>
      <c r="AC148" s="910"/>
      <c r="AD148" s="950">
        <f t="shared" si="6"/>
        <v>997.43402376306631</v>
      </c>
      <c r="AF148" s="911"/>
      <c r="AG148" s="1201">
        <f>+'1.3.1 CoalLR'!J148*Units!$C$20*1000</f>
        <v>7320.100420056061</v>
      </c>
      <c r="AH148" s="910"/>
      <c r="AI148" s="842">
        <v>29.993069989204741</v>
      </c>
      <c r="AJ148" s="912"/>
      <c r="AK148" s="910"/>
      <c r="AL148" s="910"/>
      <c r="AM148" s="945">
        <f>'1.8.2 RenHLR'!H148</f>
        <v>352.66408942784204</v>
      </c>
      <c r="AN148" s="910"/>
      <c r="AO148" s="1082">
        <f t="shared" si="10"/>
        <v>7702.7575794731074</v>
      </c>
      <c r="AQ148" s="911"/>
      <c r="AR148" s="910"/>
      <c r="AS148" s="910"/>
      <c r="AT148" s="910"/>
      <c r="AU148" s="912"/>
      <c r="AV148" s="910"/>
      <c r="AW148" s="910"/>
      <c r="AX148" s="910"/>
      <c r="AY148" s="910"/>
      <c r="AZ148" s="912"/>
      <c r="BB148" s="913"/>
      <c r="BC148" s="916">
        <f t="shared" si="11"/>
        <v>17063.023634636087</v>
      </c>
      <c r="BD148" s="944">
        <f t="shared" si="12"/>
        <v>3053.5617730606496</v>
      </c>
      <c r="BE148" s="914"/>
      <c r="BF148" s="910"/>
      <c r="BG148" s="916">
        <f>('1.6.1 GasLR'!O28)*Units!C$19</f>
        <v>52.876836734693875</v>
      </c>
      <c r="BH148" s="914"/>
      <c r="BI148" s="910"/>
      <c r="BJ148" s="910"/>
      <c r="BK148" s="842">
        <f t="shared" si="7"/>
        <v>448.67755515144302</v>
      </c>
      <c r="BL148" s="1085">
        <f t="shared" si="8"/>
        <v>1953.8279783939684</v>
      </c>
      <c r="BM148" s="910"/>
      <c r="BN148" s="921">
        <f t="shared" si="13"/>
        <v>22571.967777976843</v>
      </c>
    </row>
    <row r="149" spans="1:66" ht="10.5" customHeight="1" x14ac:dyDescent="0.35">
      <c r="A149" s="841">
        <v>1839</v>
      </c>
      <c r="B149" s="1201">
        <f>+'1.3.1 CoalLR'!K149*1000*Units!$C$20</f>
        <v>9832.1621338365785</v>
      </c>
      <c r="C149" s="1202">
        <f>+'1.4.1 MSFLR'!B49</f>
        <v>3203.0432615137156</v>
      </c>
      <c r="D149" s="910"/>
      <c r="E149" s="932">
        <f>+[1]R!$BJ599*1000</f>
        <v>18.493392232400439</v>
      </c>
      <c r="F149" s="910"/>
      <c r="G149" s="910"/>
      <c r="H149" s="945">
        <f>'1.8.3 RenPTLR'!B149</f>
        <v>1.6373344797936378</v>
      </c>
      <c r="I149" s="945">
        <f>'1.8.3 RenPTLR'!E149</f>
        <v>27.615606190885625</v>
      </c>
      <c r="J149" s="910"/>
      <c r="K149" s="842">
        <f>'1.8.2 RenHLR'!I149+'1.8.3 RenPTLR'!G149</f>
        <v>1304.4521908349341</v>
      </c>
      <c r="L149" s="910"/>
      <c r="M149" s="952">
        <f t="shared" si="9"/>
        <v>14387.403919088309</v>
      </c>
      <c r="N149" s="911"/>
      <c r="O149" s="1204">
        <f>'1.3.1 CoalLR'!I149*1000</f>
        <v>270</v>
      </c>
      <c r="P149" s="910"/>
      <c r="Q149" s="912"/>
      <c r="R149" s="910"/>
      <c r="S149" s="910"/>
      <c r="T149" s="910"/>
      <c r="U149" s="910"/>
      <c r="V149" s="945">
        <f>'1.8.3 RenPTLR'!H149</f>
        <v>308.31796942267897</v>
      </c>
      <c r="W149" s="910"/>
      <c r="X149" s="910"/>
      <c r="Y149" s="910"/>
      <c r="Z149" s="910"/>
      <c r="AA149" s="945">
        <f>'1.8.3 RenPTLR'!C149</f>
        <v>475.81329902742692</v>
      </c>
      <c r="AB149" s="910"/>
      <c r="AC149" s="910"/>
      <c r="AD149" s="950">
        <f t="shared" si="6"/>
        <v>1054.1312684501058</v>
      </c>
      <c r="AF149" s="911"/>
      <c r="AG149" s="1201">
        <f>+'1.3.1 CoalLR'!J149*Units!$C$20*1000</f>
        <v>7415.0789432873744</v>
      </c>
      <c r="AH149" s="910"/>
      <c r="AI149" s="842">
        <v>33.196213386110109</v>
      </c>
      <c r="AJ149" s="912"/>
      <c r="AK149" s="910"/>
      <c r="AL149" s="910"/>
      <c r="AM149" s="945">
        <f>'1.8.2 RenHLR'!H149</f>
        <v>357.23991660075893</v>
      </c>
      <c r="AN149" s="910"/>
      <c r="AO149" s="1082">
        <f t="shared" si="10"/>
        <v>7805.5150732742432</v>
      </c>
      <c r="AQ149" s="911"/>
      <c r="AR149" s="910"/>
      <c r="AS149" s="910"/>
      <c r="AT149" s="910"/>
      <c r="AU149" s="912"/>
      <c r="AV149" s="910"/>
      <c r="AW149" s="910"/>
      <c r="AX149" s="910"/>
      <c r="AY149" s="910"/>
      <c r="AZ149" s="912"/>
      <c r="BB149" s="913"/>
      <c r="BC149" s="916">
        <f t="shared" si="11"/>
        <v>17517.241077123952</v>
      </c>
      <c r="BD149" s="944">
        <f t="shared" si="12"/>
        <v>3203.0432615137156</v>
      </c>
      <c r="BE149" s="914"/>
      <c r="BF149" s="910"/>
      <c r="BG149" s="916">
        <f>('1.6.1 GasLR'!O29)*Units!C$19</f>
        <v>58.523877551020412</v>
      </c>
      <c r="BH149" s="914"/>
      <c r="BI149" s="910"/>
      <c r="BJ149" s="910"/>
      <c r="BK149" s="842">
        <f t="shared" si="7"/>
        <v>475.81329902742692</v>
      </c>
      <c r="BL149" s="1085">
        <f t="shared" si="8"/>
        <v>1970.010076858372</v>
      </c>
      <c r="BM149" s="910"/>
      <c r="BN149" s="921">
        <f t="shared" si="13"/>
        <v>23224.631592074486</v>
      </c>
    </row>
    <row r="150" spans="1:66" ht="10.5" customHeight="1" x14ac:dyDescent="0.35">
      <c r="A150" s="841">
        <v>1840</v>
      </c>
      <c r="B150" s="916">
        <f>+'1.3.1 CoalLR'!K150*1000*Units!$C$20</f>
        <v>10160.84389842472</v>
      </c>
      <c r="C150" s="842">
        <f>+'1.4.1 MSFLR'!B50</f>
        <v>3353.3661263445406</v>
      </c>
      <c r="D150" s="910"/>
      <c r="E150" s="932">
        <f>+[1]R!$BJ600*1000</f>
        <v>20.854803886290028</v>
      </c>
      <c r="F150" s="910"/>
      <c r="G150" s="910"/>
      <c r="H150" s="945">
        <f>'1.8.3 RenPTLR'!B150</f>
        <v>1.61427343078246</v>
      </c>
      <c r="I150" s="945">
        <f>'1.8.3 RenPTLR'!E150</f>
        <v>27.865434221840058</v>
      </c>
      <c r="J150" s="910"/>
      <c r="K150" s="842">
        <f>'1.8.2 RenHLR'!I150+'1.8.3 RenPTLR'!G150</f>
        <v>1315.9720529658621</v>
      </c>
      <c r="L150" s="910"/>
      <c r="M150" s="952">
        <f t="shared" si="9"/>
        <v>14880.516589274037</v>
      </c>
      <c r="N150" s="911"/>
      <c r="O150" s="945">
        <f>'1.3.1 CoalLR'!I150*1000</f>
        <v>300</v>
      </c>
      <c r="P150" s="910"/>
      <c r="Q150" s="912"/>
      <c r="R150" s="910"/>
      <c r="S150" s="910"/>
      <c r="T150" s="910"/>
      <c r="U150" s="910"/>
      <c r="V150" s="945">
        <f>'1.8.3 RenPTLR'!H150</f>
        <v>308.41874039010366</v>
      </c>
      <c r="W150" s="910"/>
      <c r="X150" s="910"/>
      <c r="Y150" s="910"/>
      <c r="Z150" s="910"/>
      <c r="AA150" s="945">
        <f>'1.8.3 RenPTLR'!C150</f>
        <v>504.88451294410078</v>
      </c>
      <c r="AB150" s="910"/>
      <c r="AC150" s="910"/>
      <c r="AD150" s="950">
        <f t="shared" si="6"/>
        <v>1113.3032533342046</v>
      </c>
      <c r="AF150" s="911"/>
      <c r="AG150" s="916">
        <f>+'1.3.1 CoalLR'!J150*Units!$C$20*1000</f>
        <v>7557.2112000000006</v>
      </c>
      <c r="AH150" s="910"/>
      <c r="AI150" s="842">
        <v>37.799332043900684</v>
      </c>
      <c r="AJ150" s="912"/>
      <c r="AK150" s="910"/>
      <c r="AL150" s="910"/>
      <c r="AM150" s="945">
        <f>'1.8.2 RenHLR'!H150</f>
        <v>364.08749245566753</v>
      </c>
      <c r="AN150" s="910"/>
      <c r="AO150" s="1082">
        <f t="shared" si="10"/>
        <v>7959.098024499569</v>
      </c>
      <c r="AQ150" s="911"/>
      <c r="AR150" s="910"/>
      <c r="AS150" s="910"/>
      <c r="AT150" s="910"/>
      <c r="AU150" s="912"/>
      <c r="AV150" s="910"/>
      <c r="AW150" s="910"/>
      <c r="AX150" s="910"/>
      <c r="AY150" s="910"/>
      <c r="AZ150" s="912"/>
      <c r="BB150" s="913"/>
      <c r="BC150" s="916">
        <f t="shared" si="11"/>
        <v>18018.05509842472</v>
      </c>
      <c r="BD150" s="944">
        <f t="shared" si="12"/>
        <v>3353.3661263445406</v>
      </c>
      <c r="BE150" s="914"/>
      <c r="BF150" s="910"/>
      <c r="BG150" s="916">
        <f>('1.6.1 GasLR'!O30)*Units!C$19</f>
        <v>66.639030612244909</v>
      </c>
      <c r="BH150" s="914"/>
      <c r="BI150" s="910"/>
      <c r="BJ150" s="910"/>
      <c r="BK150" s="842">
        <f t="shared" si="7"/>
        <v>504.88451294410078</v>
      </c>
      <c r="BL150" s="1085">
        <f t="shared" si="8"/>
        <v>1988.4782858116332</v>
      </c>
      <c r="BM150" s="910"/>
      <c r="BN150" s="921">
        <f t="shared" si="13"/>
        <v>23931.423054137238</v>
      </c>
    </row>
    <row r="151" spans="1:66" ht="10.5" customHeight="1" x14ac:dyDescent="0.35">
      <c r="A151" s="841">
        <v>1841</v>
      </c>
      <c r="B151" s="1201">
        <f>+'1.3.1 CoalLR'!K151*1000*Units!$C$20</f>
        <v>10779.703454886412</v>
      </c>
      <c r="C151" s="1202">
        <f>+'1.4.1 MSFLR'!B51</f>
        <v>3586.9240597348785</v>
      </c>
      <c r="D151" s="910"/>
      <c r="E151" s="932">
        <f>+[1]R!$BJ601*1000</f>
        <v>22.470728690510189</v>
      </c>
      <c r="F151" s="910"/>
      <c r="G151" s="910"/>
      <c r="H151" s="945">
        <f>'1.8.3 RenPTLR'!B151</f>
        <v>1.5912123817712822</v>
      </c>
      <c r="I151" s="945">
        <f>'1.8.3 RenPTLR'!E151</f>
        <v>28.11526225279448</v>
      </c>
      <c r="J151" s="910"/>
      <c r="K151" s="842">
        <f>'1.8.2 RenHLR'!I151+'1.8.3 RenPTLR'!G151</f>
        <v>1327.4329225358551</v>
      </c>
      <c r="L151" s="910"/>
      <c r="M151" s="952">
        <f t="shared" si="9"/>
        <v>15746.237640482221</v>
      </c>
      <c r="N151" s="911"/>
      <c r="O151" s="1204">
        <f>'1.3.1 CoalLR'!I151*1000</f>
        <v>440</v>
      </c>
      <c r="P151" s="910"/>
      <c r="Q151" s="912"/>
      <c r="R151" s="910"/>
      <c r="S151" s="910"/>
      <c r="T151" s="910"/>
      <c r="U151" s="910"/>
      <c r="V151" s="945">
        <f>'1.8.3 RenPTLR'!H151</f>
        <v>309.2898972951985</v>
      </c>
      <c r="W151" s="910"/>
      <c r="X151" s="910"/>
      <c r="Y151" s="910"/>
      <c r="Z151" s="910"/>
      <c r="AA151" s="945">
        <f>'1.8.3 RenPTLR'!C151</f>
        <v>527.53341043836542</v>
      </c>
      <c r="AB151" s="910"/>
      <c r="AC151" s="910"/>
      <c r="AD151" s="950">
        <f t="shared" si="6"/>
        <v>1276.823307733564</v>
      </c>
      <c r="AF151" s="911"/>
      <c r="AG151" s="1201">
        <f>+'1.3.1 CoalLR'!J151*Units!$C$20*1000</f>
        <v>7562.475926672857</v>
      </c>
      <c r="AH151" s="910"/>
      <c r="AI151" s="842">
        <v>41.125673263763943</v>
      </c>
      <c r="AJ151" s="912"/>
      <c r="AK151" s="910"/>
      <c r="AL151" s="910"/>
      <c r="AM151" s="945">
        <f>'1.8.2 RenHLR'!H151</f>
        <v>364.3411337900244</v>
      </c>
      <c r="AN151" s="910"/>
      <c r="AO151" s="1082">
        <f t="shared" si="10"/>
        <v>7967.9427337266452</v>
      </c>
      <c r="AQ151" s="911"/>
      <c r="AR151" s="910"/>
      <c r="AS151" s="910"/>
      <c r="AT151" s="910"/>
      <c r="AU151" s="912"/>
      <c r="AV151" s="910"/>
      <c r="AW151" s="910"/>
      <c r="AX151" s="910"/>
      <c r="AY151" s="910"/>
      <c r="AZ151" s="912"/>
      <c r="BB151" s="913"/>
      <c r="BC151" s="916">
        <f t="shared" si="11"/>
        <v>18782.179381559268</v>
      </c>
      <c r="BD151" s="944">
        <f t="shared" si="12"/>
        <v>3586.9240597348785</v>
      </c>
      <c r="BE151" s="914"/>
      <c r="BF151" s="910"/>
      <c r="BG151" s="916">
        <f>('1.6.1 GasLR'!O31)*Units!C$19</f>
        <v>72.503265306122458</v>
      </c>
      <c r="BH151" s="914"/>
      <c r="BI151" s="910"/>
      <c r="BJ151" s="910"/>
      <c r="BK151" s="842">
        <f t="shared" si="7"/>
        <v>527.53341043836542</v>
      </c>
      <c r="BL151" s="1085">
        <f t="shared" si="8"/>
        <v>2001.0639536210779</v>
      </c>
      <c r="BM151" s="910"/>
      <c r="BN151" s="921">
        <f t="shared" si="13"/>
        <v>24970.204070659711</v>
      </c>
    </row>
    <row r="152" spans="1:66" ht="10.5" customHeight="1" x14ac:dyDescent="0.35">
      <c r="A152" s="841">
        <v>1842</v>
      </c>
      <c r="B152" s="1201">
        <f>+'1.3.1 CoalLR'!K152*1000*Units!$C$20</f>
        <v>11397.406252131772</v>
      </c>
      <c r="C152" s="1202">
        <f>+'1.4.1 MSFLR'!B52</f>
        <v>3822.2288507476101</v>
      </c>
      <c r="D152" s="910"/>
      <c r="E152" s="932">
        <f>+[1]R!$BJ602*1000</f>
        <v>24.052802357579093</v>
      </c>
      <c r="F152" s="910"/>
      <c r="G152" s="910"/>
      <c r="H152" s="945">
        <f>'1.8.3 RenPTLR'!B152</f>
        <v>1.5681513327601042</v>
      </c>
      <c r="I152" s="945">
        <f>'1.8.3 RenPTLR'!E152</f>
        <v>28.365090283748909</v>
      </c>
      <c r="J152" s="910"/>
      <c r="K152" s="842">
        <f>'1.8.2 RenHLR'!I152+'1.8.3 RenPTLR'!G152</f>
        <v>1339.0117485403293</v>
      </c>
      <c r="L152" s="910"/>
      <c r="M152" s="952">
        <f t="shared" si="9"/>
        <v>16612.632895393799</v>
      </c>
      <c r="N152" s="911"/>
      <c r="O152" s="1204">
        <f>'1.3.1 CoalLR'!I152*1000</f>
        <v>580.00000000000011</v>
      </c>
      <c r="P152" s="910"/>
      <c r="Q152" s="912"/>
      <c r="R152" s="910"/>
      <c r="S152" s="910"/>
      <c r="T152" s="910"/>
      <c r="U152" s="910"/>
      <c r="V152" s="945">
        <f>'1.8.3 RenPTLR'!H152</f>
        <v>308.54419482493631</v>
      </c>
      <c r="W152" s="910"/>
      <c r="X152" s="910"/>
      <c r="Y152" s="910"/>
      <c r="Z152" s="910"/>
      <c r="AA152" s="945">
        <f>'1.8.3 RenPTLR'!C152</f>
        <v>538.51342048197159</v>
      </c>
      <c r="AB152" s="910"/>
      <c r="AC152" s="910"/>
      <c r="AD152" s="950">
        <f t="shared" si="6"/>
        <v>1427.057615306908</v>
      </c>
      <c r="AF152" s="911"/>
      <c r="AG152" s="1201">
        <f>+'1.3.1 CoalLR'!J152*Units!$C$20*1000</f>
        <v>7415.1414169666232</v>
      </c>
      <c r="AH152" s="910"/>
      <c r="AI152" s="842">
        <v>44.452014483627195</v>
      </c>
      <c r="AJ152" s="912"/>
      <c r="AK152" s="910"/>
      <c r="AL152" s="910"/>
      <c r="AM152" s="945">
        <f>'1.8.2 RenHLR'!H152</f>
        <v>357.24292642602643</v>
      </c>
      <c r="AN152" s="910"/>
      <c r="AO152" s="1082">
        <f t="shared" si="10"/>
        <v>7816.8363578762765</v>
      </c>
      <c r="AQ152" s="911"/>
      <c r="AR152" s="910"/>
      <c r="AS152" s="910"/>
      <c r="AT152" s="910"/>
      <c r="AU152" s="912"/>
      <c r="AV152" s="910"/>
      <c r="AW152" s="910"/>
      <c r="AX152" s="910"/>
      <c r="AY152" s="910"/>
      <c r="AZ152" s="912"/>
      <c r="BB152" s="913"/>
      <c r="BC152" s="916">
        <f t="shared" si="11"/>
        <v>19392.547669098396</v>
      </c>
      <c r="BD152" s="944">
        <f t="shared" si="12"/>
        <v>3822.2288507476101</v>
      </c>
      <c r="BE152" s="914"/>
      <c r="BF152" s="910"/>
      <c r="BG152" s="916">
        <f>('1.6.1 GasLR'!O32)*Units!C$19</f>
        <v>78.367499999999993</v>
      </c>
      <c r="BH152" s="914"/>
      <c r="BI152" s="910"/>
      <c r="BJ152" s="910"/>
      <c r="BK152" s="842">
        <f t="shared" si="7"/>
        <v>538.51342048197159</v>
      </c>
      <c r="BL152" s="1085">
        <f t="shared" si="8"/>
        <v>2004.798869791292</v>
      </c>
      <c r="BM152" s="910"/>
      <c r="BN152" s="921">
        <f t="shared" si="13"/>
        <v>25836.456310119273</v>
      </c>
    </row>
    <row r="153" spans="1:66" ht="10.5" customHeight="1" x14ac:dyDescent="0.35">
      <c r="A153" s="841">
        <v>1843</v>
      </c>
      <c r="B153" s="1201">
        <f>+'1.3.1 CoalLR'!K153*1000*Units!$C$20</f>
        <v>12013.952290160803</v>
      </c>
      <c r="C153" s="1202">
        <f>+'1.4.1 MSFLR'!B53</f>
        <v>4059.2804993827353</v>
      </c>
      <c r="D153" s="910"/>
      <c r="E153" s="932">
        <f>+[1]R!$BJ603*1000</f>
        <v>23.945023963858624</v>
      </c>
      <c r="F153" s="910"/>
      <c r="G153" s="910"/>
      <c r="H153" s="945">
        <f>'1.8.3 RenPTLR'!B153</f>
        <v>1.545090283748926</v>
      </c>
      <c r="I153" s="945">
        <f>'1.8.3 RenPTLR'!E153</f>
        <v>28.614918314703331</v>
      </c>
      <c r="J153" s="910"/>
      <c r="K153" s="842">
        <f>'1.8.2 RenHLR'!I153+'1.8.3 RenPTLR'!G153</f>
        <v>1350.651488060425</v>
      </c>
      <c r="L153" s="910"/>
      <c r="M153" s="952">
        <f t="shared" si="9"/>
        <v>17477.989310166275</v>
      </c>
      <c r="N153" s="911"/>
      <c r="O153" s="1204">
        <f>'1.3.1 CoalLR'!I153*1000</f>
        <v>720.00000000000011</v>
      </c>
      <c r="P153" s="910"/>
      <c r="Q153" s="912"/>
      <c r="R153" s="910"/>
      <c r="S153" s="910"/>
      <c r="T153" s="910"/>
      <c r="U153" s="910"/>
      <c r="V153" s="945">
        <f>'1.8.3 RenPTLR'!H153</f>
        <v>307.90416943803081</v>
      </c>
      <c r="W153" s="910"/>
      <c r="X153" s="910"/>
      <c r="Y153" s="910"/>
      <c r="Z153" s="910"/>
      <c r="AA153" s="945">
        <f>'1.8.3 RenPTLR'!C153</f>
        <v>524.70639074796202</v>
      </c>
      <c r="AB153" s="910"/>
      <c r="AC153" s="910"/>
      <c r="AD153" s="950">
        <f t="shared" si="6"/>
        <v>1552.6105601859931</v>
      </c>
      <c r="AF153" s="911"/>
      <c r="AG153" s="1201">
        <f>+'1.3.1 CoalLR'!J153*Units!$C$20*1000</f>
        <v>7615.2925588726648</v>
      </c>
      <c r="AH153" s="910"/>
      <c r="AI153" s="842">
        <v>44.687210327455915</v>
      </c>
      <c r="AJ153" s="912"/>
      <c r="AK153" s="910"/>
      <c r="AL153" s="910"/>
      <c r="AM153" s="945">
        <f>'1.8.2 RenHLR'!H153</f>
        <v>366.88570673746057</v>
      </c>
      <c r="AN153" s="910"/>
      <c r="AO153" s="1082">
        <f t="shared" si="10"/>
        <v>8026.8654759375813</v>
      </c>
      <c r="AQ153" s="911"/>
      <c r="AR153" s="910"/>
      <c r="AS153" s="910"/>
      <c r="AT153" s="910"/>
      <c r="AU153" s="912"/>
      <c r="AV153" s="910"/>
      <c r="AW153" s="910"/>
      <c r="AX153" s="910"/>
      <c r="AY153" s="910"/>
      <c r="AZ153" s="912"/>
      <c r="BB153" s="913"/>
      <c r="BC153" s="916">
        <f t="shared" si="11"/>
        <v>20349.244849033468</v>
      </c>
      <c r="BD153" s="944">
        <f t="shared" si="12"/>
        <v>4059.2804993827353</v>
      </c>
      <c r="BE153" s="914"/>
      <c r="BF153" s="910"/>
      <c r="BG153" s="916">
        <f>('1.6.1 GasLR'!O33)*Units!C$19</f>
        <v>78.782142857142858</v>
      </c>
      <c r="BH153" s="914"/>
      <c r="BI153" s="910"/>
      <c r="BJ153" s="910"/>
      <c r="BK153" s="842">
        <f t="shared" si="7"/>
        <v>524.70639074796202</v>
      </c>
      <c r="BL153" s="1085">
        <f t="shared" si="8"/>
        <v>2025.4413642359164</v>
      </c>
      <c r="BM153" s="910"/>
      <c r="BN153" s="921">
        <f t="shared" si="13"/>
        <v>27037.455246257225</v>
      </c>
    </row>
    <row r="154" spans="1:66" ht="10.5" customHeight="1" x14ac:dyDescent="0.35">
      <c r="A154" s="841">
        <v>1844</v>
      </c>
      <c r="B154" s="1201">
        <f>+'1.3.1 CoalLR'!K154*1000*Units!$C$20</f>
        <v>12629.341568973497</v>
      </c>
      <c r="C154" s="1202">
        <f>+'1.4.1 MSFLR'!B54</f>
        <v>4298.0790056402548</v>
      </c>
      <c r="D154" s="910"/>
      <c r="E154" s="932">
        <f>+[1]R!$BJ604*1000</f>
        <v>23.836378784763262</v>
      </c>
      <c r="F154" s="910"/>
      <c r="G154" s="910"/>
      <c r="H154" s="945">
        <f>'1.8.3 RenPTLR'!B154</f>
        <v>1.522029234737748</v>
      </c>
      <c r="I154" s="945">
        <f>'1.8.3 RenPTLR'!E154</f>
        <v>28.864746345657768</v>
      </c>
      <c r="J154" s="910"/>
      <c r="K154" s="842">
        <f>'1.8.2 RenHLR'!I154+'1.8.3 RenPTLR'!G154</f>
        <v>1362.3424073399701</v>
      </c>
      <c r="L154" s="910"/>
      <c r="M154" s="952">
        <f t="shared" si="9"/>
        <v>18343.986136318879</v>
      </c>
      <c r="N154" s="911"/>
      <c r="O154" s="1204">
        <f>'1.3.1 CoalLR'!I154*1000</f>
        <v>860.00000000000011</v>
      </c>
      <c r="P154" s="910"/>
      <c r="Q154" s="912"/>
      <c r="R154" s="910"/>
      <c r="S154" s="910"/>
      <c r="T154" s="910"/>
      <c r="U154" s="910"/>
      <c r="V154" s="945">
        <f>'1.8.3 RenPTLR'!H154</f>
        <v>307.38156303263264</v>
      </c>
      <c r="W154" s="910"/>
      <c r="X154" s="910"/>
      <c r="Y154" s="910"/>
      <c r="Z154" s="910"/>
      <c r="AA154" s="945">
        <f>'1.8.3 RenPTLR'!C154</f>
        <v>523.12096043243014</v>
      </c>
      <c r="AB154" s="910"/>
      <c r="AC154" s="910"/>
      <c r="AD154" s="950">
        <f t="shared" si="6"/>
        <v>1690.5025234650629</v>
      </c>
      <c r="AF154" s="911"/>
      <c r="AG154" s="1201">
        <f>+'1.3.1 CoalLR'!J154*Units!$C$20*1000</f>
        <v>7755.1201119407378</v>
      </c>
      <c r="AH154" s="910"/>
      <c r="AI154" s="842">
        <v>44.922406171284628</v>
      </c>
      <c r="AJ154" s="912"/>
      <c r="AK154" s="910"/>
      <c r="AL154" s="910"/>
      <c r="AM154" s="945">
        <f>'1.8.2 RenHLR'!H154</f>
        <v>373.62224774782248</v>
      </c>
      <c r="AN154" s="910"/>
      <c r="AO154" s="1082">
        <f t="shared" si="10"/>
        <v>8173.6647658598449</v>
      </c>
      <c r="AQ154" s="911"/>
      <c r="AR154" s="910"/>
      <c r="AS154" s="910"/>
      <c r="AT154" s="910"/>
      <c r="AU154" s="912"/>
      <c r="AV154" s="910"/>
      <c r="AW154" s="910"/>
      <c r="AX154" s="910"/>
      <c r="AY154" s="910"/>
      <c r="AZ154" s="912"/>
      <c r="BB154" s="913"/>
      <c r="BC154" s="916">
        <f t="shared" si="11"/>
        <v>21244.461680914235</v>
      </c>
      <c r="BD154" s="944">
        <f t="shared" si="12"/>
        <v>4298.0790056402548</v>
      </c>
      <c r="BE154" s="914"/>
      <c r="BF154" s="910"/>
      <c r="BG154" s="916">
        <f>('1.6.1 GasLR'!O34)*Units!C$19</f>
        <v>79.19678571428571</v>
      </c>
      <c r="BH154" s="914"/>
      <c r="BI154" s="910"/>
      <c r="BJ154" s="910"/>
      <c r="BK154" s="842">
        <f t="shared" si="7"/>
        <v>523.12096043243014</v>
      </c>
      <c r="BL154" s="1085">
        <f t="shared" si="8"/>
        <v>2043.3462181204252</v>
      </c>
      <c r="BM154" s="910"/>
      <c r="BN154" s="921">
        <f t="shared" si="13"/>
        <v>28188.20465082163</v>
      </c>
    </row>
    <row r="155" spans="1:66" ht="10.5" customHeight="1" x14ac:dyDescent="0.35">
      <c r="A155" s="841">
        <v>1845</v>
      </c>
      <c r="B155" s="1201">
        <f>+'1.3.1 CoalLR'!K155*1000*Units!$C$20</f>
        <v>13243.574088569863</v>
      </c>
      <c r="C155" s="1202">
        <f>+'1.4.1 MSFLR'!B55</f>
        <v>4538.6243695201665</v>
      </c>
      <c r="D155" s="910"/>
      <c r="E155" s="932">
        <f>+[1]R!$BJ605*1000</f>
        <v>23.72687563505955</v>
      </c>
      <c r="F155" s="910"/>
      <c r="G155" s="910"/>
      <c r="H155" s="945">
        <f>'1.8.3 RenPTLR'!B155</f>
        <v>1.4989681857265704</v>
      </c>
      <c r="I155" s="945">
        <f>'1.8.3 RenPTLR'!E155</f>
        <v>29.11457437661219</v>
      </c>
      <c r="J155" s="910"/>
      <c r="K155" s="842">
        <f>'1.8.2 RenHLR'!I155+'1.8.3 RenPTLR'!G155</f>
        <v>1374.0928680110544</v>
      </c>
      <c r="L155" s="910"/>
      <c r="M155" s="952">
        <f t="shared" si="9"/>
        <v>19210.631744298487</v>
      </c>
      <c r="N155" s="911"/>
      <c r="O155" s="1204">
        <f>'1.3.1 CoalLR'!I155*1000</f>
        <v>1000</v>
      </c>
      <c r="P155" s="910"/>
      <c r="Q155" s="912"/>
      <c r="R155" s="910"/>
      <c r="S155" s="910"/>
      <c r="T155" s="910"/>
      <c r="U155" s="910"/>
      <c r="V155" s="945">
        <f>'1.8.3 RenPTLR'!H155</f>
        <v>306.98942216224265</v>
      </c>
      <c r="W155" s="910"/>
      <c r="X155" s="910"/>
      <c r="Y155" s="910"/>
      <c r="Z155" s="910"/>
      <c r="AA155" s="945">
        <f>'1.8.3 RenPTLR'!C155</f>
        <v>528.29759393760855</v>
      </c>
      <c r="AB155" s="910"/>
      <c r="AC155" s="910"/>
      <c r="AD155" s="950">
        <f t="shared" si="6"/>
        <v>1835.2870160998511</v>
      </c>
      <c r="AF155" s="911"/>
      <c r="AG155" s="1201">
        <f>+'1.3.1 CoalLR'!J155*Units!$C$20*1000</f>
        <v>8088.0590298740372</v>
      </c>
      <c r="AH155" s="910"/>
      <c r="AI155" s="842">
        <v>45.157602015113348</v>
      </c>
      <c r="AJ155" s="912"/>
      <c r="AK155" s="910"/>
      <c r="AL155" s="910"/>
      <c r="AM155" s="945">
        <f>'1.8.2 RenHLR'!H155</f>
        <v>389.66241025793443</v>
      </c>
      <c r="AN155" s="910"/>
      <c r="AO155" s="1082">
        <f t="shared" si="10"/>
        <v>8522.879042147084</v>
      </c>
      <c r="AQ155" s="911"/>
      <c r="AR155" s="910"/>
      <c r="AS155" s="910"/>
      <c r="AT155" s="910"/>
      <c r="AU155" s="912"/>
      <c r="AV155" s="910"/>
      <c r="AW155" s="910"/>
      <c r="AX155" s="910"/>
      <c r="AY155" s="910"/>
      <c r="AZ155" s="912"/>
      <c r="BB155" s="913"/>
      <c r="BC155" s="916">
        <f t="shared" si="11"/>
        <v>22331.6331184439</v>
      </c>
      <c r="BD155" s="944">
        <f t="shared" si="12"/>
        <v>4538.6243695201665</v>
      </c>
      <c r="BE155" s="914"/>
      <c r="BF155" s="910"/>
      <c r="BG155" s="916">
        <f>('1.6.1 GasLR'!O35)*Units!C$19</f>
        <v>79.611428571428576</v>
      </c>
      <c r="BH155" s="914"/>
      <c r="BI155" s="910"/>
      <c r="BJ155" s="910"/>
      <c r="BK155" s="842">
        <f t="shared" si="7"/>
        <v>528.29759393760855</v>
      </c>
      <c r="BL155" s="1085">
        <f t="shared" si="8"/>
        <v>2070.7447004312316</v>
      </c>
      <c r="BM155" s="910"/>
      <c r="BN155" s="921">
        <f t="shared" si="13"/>
        <v>29548.911210904334</v>
      </c>
    </row>
    <row r="156" spans="1:66" ht="10.5" customHeight="1" x14ac:dyDescent="0.35">
      <c r="A156" s="841">
        <v>1846</v>
      </c>
      <c r="B156" s="1201">
        <f>+'1.3.1 CoalLR'!K156*1000*Units!$C$20</f>
        <v>13856.649848949895</v>
      </c>
      <c r="C156" s="1202">
        <f>+'1.4.1 MSFLR'!B56</f>
        <v>4780.9165910224738</v>
      </c>
      <c r="D156" s="910"/>
      <c r="E156" s="932">
        <f>+[1]R!$BJ606*1000</f>
        <v>24.375188722853821</v>
      </c>
      <c r="F156" s="910"/>
      <c r="G156" s="910"/>
      <c r="H156" s="945">
        <f>'1.8.3 RenPTLR'!B156</f>
        <v>1.4759071367153922</v>
      </c>
      <c r="I156" s="945">
        <f>'1.8.3 RenPTLR'!E156</f>
        <v>29.364402407566615</v>
      </c>
      <c r="J156" s="910"/>
      <c r="K156" s="842">
        <f>'1.8.2 RenHLR'!I156+'1.8.3 RenPTLR'!G156</f>
        <v>1385.8978219806777</v>
      </c>
      <c r="L156" s="910"/>
      <c r="M156" s="952">
        <f t="shared" si="9"/>
        <v>20078.67976022018</v>
      </c>
      <c r="N156" s="911"/>
      <c r="O156" s="1204">
        <f>'1.3.1 CoalLR'!I156*1000</f>
        <v>1140.0000000000002</v>
      </c>
      <c r="P156" s="910"/>
      <c r="Q156" s="912"/>
      <c r="R156" s="910"/>
      <c r="S156" s="910"/>
      <c r="T156" s="910"/>
      <c r="U156" s="910"/>
      <c r="V156" s="945">
        <f>'1.8.3 RenPTLR'!H156</f>
        <v>306.74224299741746</v>
      </c>
      <c r="W156" s="910"/>
      <c r="X156" s="910"/>
      <c r="Y156" s="910"/>
      <c r="Z156" s="910"/>
      <c r="AA156" s="945">
        <f>'1.8.3 RenPTLR'!C156</f>
        <v>525.92623995410361</v>
      </c>
      <c r="AB156" s="910"/>
      <c r="AC156" s="910"/>
      <c r="AD156" s="950">
        <f t="shared" si="6"/>
        <v>1972.6684829515211</v>
      </c>
      <c r="AF156" s="911"/>
      <c r="AG156" s="1201">
        <f>+'1.3.1 CoalLR'!J156*Units!$C$20*1000</f>
        <v>8263.1493115379471</v>
      </c>
      <c r="AH156" s="910"/>
      <c r="AI156" s="842">
        <v>46.851012090680094</v>
      </c>
      <c r="AJ156" s="912"/>
      <c r="AK156" s="910"/>
      <c r="AL156" s="910"/>
      <c r="AM156" s="945">
        <f>'1.8.2 RenHLR'!H156</f>
        <v>398.09782114129973</v>
      </c>
      <c r="AN156" s="910"/>
      <c r="AO156" s="1082">
        <f t="shared" si="10"/>
        <v>8708.0981447699269</v>
      </c>
      <c r="AQ156" s="911"/>
      <c r="AR156" s="910"/>
      <c r="AS156" s="910"/>
      <c r="AT156" s="910"/>
      <c r="AU156" s="912"/>
      <c r="AV156" s="910"/>
      <c r="AW156" s="910"/>
      <c r="AX156" s="910"/>
      <c r="AY156" s="910"/>
      <c r="AZ156" s="912"/>
      <c r="BB156" s="913"/>
      <c r="BC156" s="916">
        <f t="shared" si="11"/>
        <v>23259.799160487841</v>
      </c>
      <c r="BD156" s="944">
        <f t="shared" si="12"/>
        <v>4780.9165910224738</v>
      </c>
      <c r="BE156" s="914"/>
      <c r="BF156" s="910"/>
      <c r="BG156" s="916">
        <f>('1.6.1 GasLR'!O36)*Units!C$19</f>
        <v>82.596857142857161</v>
      </c>
      <c r="BH156" s="914"/>
      <c r="BI156" s="910"/>
      <c r="BJ156" s="910"/>
      <c r="BK156" s="842">
        <f t="shared" si="7"/>
        <v>525.92623995410361</v>
      </c>
      <c r="BL156" s="1085">
        <f t="shared" si="8"/>
        <v>2090.7378861193947</v>
      </c>
      <c r="BM156" s="910"/>
      <c r="BN156" s="921">
        <f t="shared" si="13"/>
        <v>30739.976734726668</v>
      </c>
    </row>
    <row r="157" spans="1:66" ht="10.5" customHeight="1" x14ac:dyDescent="0.35">
      <c r="A157" s="841">
        <v>1847</v>
      </c>
      <c r="B157" s="1201">
        <f>+'1.3.1 CoalLR'!K157*1000*Units!$C$20</f>
        <v>14468.568850113601</v>
      </c>
      <c r="C157" s="1202">
        <f>+'1.4.1 MSFLR'!B57</f>
        <v>5024.9556701471738</v>
      </c>
      <c r="D157" s="910"/>
      <c r="E157" s="932">
        <f>+[1]R!$BJ607*1000</f>
        <v>25.007732631096854</v>
      </c>
      <c r="F157" s="910"/>
      <c r="G157" s="910"/>
      <c r="H157" s="945">
        <f>'1.8.3 RenPTLR'!B157</f>
        <v>1.4528460877042149</v>
      </c>
      <c r="I157" s="945">
        <f>'1.8.3 RenPTLR'!E157</f>
        <v>29.614230438521044</v>
      </c>
      <c r="J157" s="910"/>
      <c r="K157" s="842">
        <f>'1.8.2 RenHLR'!I157+'1.8.3 RenPTLR'!G157</f>
        <v>1397.7567855218572</v>
      </c>
      <c r="L157" s="910"/>
      <c r="M157" s="952">
        <f t="shared" si="9"/>
        <v>20947.356114939957</v>
      </c>
      <c r="N157" s="911"/>
      <c r="O157" s="1204">
        <f>'1.3.1 CoalLR'!I157*1000</f>
        <v>1280.0000000000002</v>
      </c>
      <c r="P157" s="910"/>
      <c r="Q157" s="912"/>
      <c r="R157" s="910"/>
      <c r="S157" s="910"/>
      <c r="T157" s="910"/>
      <c r="U157" s="910"/>
      <c r="V157" s="945">
        <f>'1.8.3 RenPTLR'!H157</f>
        <v>306.65613239433088</v>
      </c>
      <c r="W157" s="910"/>
      <c r="X157" s="910"/>
      <c r="Y157" s="910"/>
      <c r="Z157" s="910"/>
      <c r="AA157" s="945">
        <f>'1.8.3 RenPTLR'!C157</f>
        <v>555.87466150138573</v>
      </c>
      <c r="AB157" s="910"/>
      <c r="AC157" s="910"/>
      <c r="AD157" s="950">
        <f t="shared" si="6"/>
        <v>2142.5307938957167</v>
      </c>
      <c r="AF157" s="911"/>
      <c r="AG157" s="1201">
        <f>+'1.3.1 CoalLR'!J157*Units!$C$20*1000</f>
        <v>8281.6644586338116</v>
      </c>
      <c r="AH157" s="910"/>
      <c r="AI157" s="842">
        <v>48.544422166246846</v>
      </c>
      <c r="AJ157" s="912"/>
      <c r="AK157" s="910"/>
      <c r="AL157" s="910"/>
      <c r="AM157" s="945">
        <f>'1.8.2 RenHLR'!H157</f>
        <v>398.98983451768657</v>
      </c>
      <c r="AN157" s="910"/>
      <c r="AO157" s="1082">
        <f t="shared" si="10"/>
        <v>8729.1987153177452</v>
      </c>
      <c r="AQ157" s="911"/>
      <c r="AR157" s="910"/>
      <c r="AS157" s="910"/>
      <c r="AT157" s="910"/>
      <c r="AU157" s="912"/>
      <c r="AV157" s="910"/>
      <c r="AW157" s="910"/>
      <c r="AX157" s="910"/>
      <c r="AY157" s="910"/>
      <c r="AZ157" s="912"/>
      <c r="BB157" s="913"/>
      <c r="BC157" s="916">
        <f t="shared" si="11"/>
        <v>24030.233308747411</v>
      </c>
      <c r="BD157" s="944">
        <f t="shared" si="12"/>
        <v>5024.9556701471738</v>
      </c>
      <c r="BE157" s="914"/>
      <c r="BF157" s="910"/>
      <c r="BG157" s="916">
        <f>('1.6.1 GasLR'!O37)*Units!C$19</f>
        <v>85.582285714285717</v>
      </c>
      <c r="BH157" s="914"/>
      <c r="BI157" s="910"/>
      <c r="BJ157" s="910"/>
      <c r="BK157" s="842">
        <f t="shared" si="7"/>
        <v>555.87466150138573</v>
      </c>
      <c r="BL157" s="1085">
        <f t="shared" si="8"/>
        <v>2103.4027524338744</v>
      </c>
      <c r="BM157" s="910"/>
      <c r="BN157" s="921">
        <f t="shared" si="13"/>
        <v>31800.048678544128</v>
      </c>
    </row>
    <row r="158" spans="1:66" ht="10.5" customHeight="1" x14ac:dyDescent="0.35">
      <c r="A158" s="841">
        <v>1848</v>
      </c>
      <c r="B158" s="1201">
        <f>+'1.3.1 CoalLR'!K158*1000*Units!$C$20</f>
        <v>15079.331092060971</v>
      </c>
      <c r="C158" s="1202">
        <f>+'1.4.1 MSFLR'!B58</f>
        <v>5270.7416068942684</v>
      </c>
      <c r="D158" s="910"/>
      <c r="E158" s="932">
        <f>+[1]R!$BJ608*1000</f>
        <v>25.624666109918341</v>
      </c>
      <c r="F158" s="910"/>
      <c r="G158" s="910"/>
      <c r="H158" s="945">
        <f>'1.8.3 RenPTLR'!B158</f>
        <v>1.4297850386930369</v>
      </c>
      <c r="I158" s="945">
        <f>'1.8.3 RenPTLR'!E158</f>
        <v>29.864058469475466</v>
      </c>
      <c r="J158" s="910"/>
      <c r="K158" s="842">
        <f>'1.8.2 RenHLR'!I158+'1.8.3 RenPTLR'!G158</f>
        <v>1409.6693284101943</v>
      </c>
      <c r="L158" s="910"/>
      <c r="M158" s="952">
        <f t="shared" si="9"/>
        <v>21816.66053698352</v>
      </c>
      <c r="N158" s="911"/>
      <c r="O158" s="1204">
        <f>'1.3.1 CoalLR'!I158*1000</f>
        <v>1420.0000000000005</v>
      </c>
      <c r="P158" s="910"/>
      <c r="Q158" s="912"/>
      <c r="R158" s="910"/>
      <c r="S158" s="910"/>
      <c r="T158" s="910"/>
      <c r="U158" s="910"/>
      <c r="V158" s="945">
        <f>'1.8.3 RenPTLR'!H158</f>
        <v>306.74898685984255</v>
      </c>
      <c r="W158" s="910"/>
      <c r="X158" s="910"/>
      <c r="Y158" s="910"/>
      <c r="Z158" s="910"/>
      <c r="AA158" s="945">
        <f>'1.8.3 RenPTLR'!C158</f>
        <v>556.64899183266721</v>
      </c>
      <c r="AB158" s="910"/>
      <c r="AC158" s="910"/>
      <c r="AD158" s="950">
        <f t="shared" si="6"/>
        <v>2283.3979786925102</v>
      </c>
      <c r="AF158" s="911"/>
      <c r="AG158" s="1201">
        <f>+'1.3.1 CoalLR'!J158*Units!$C$20*1000</f>
        <v>8400.6481479167178</v>
      </c>
      <c r="AH158" s="910"/>
      <c r="AI158" s="842">
        <v>50.237832241813607</v>
      </c>
      <c r="AJ158" s="912"/>
      <c r="AK158" s="910"/>
      <c r="AL158" s="910"/>
      <c r="AM158" s="945">
        <f>'1.8.2 RenHLR'!H158</f>
        <v>404.72217041881078</v>
      </c>
      <c r="AN158" s="910"/>
      <c r="AO158" s="1082">
        <f t="shared" si="10"/>
        <v>8855.6081505773418</v>
      </c>
      <c r="AQ158" s="911"/>
      <c r="AR158" s="910"/>
      <c r="AS158" s="910"/>
      <c r="AT158" s="910"/>
      <c r="AU158" s="912"/>
      <c r="AV158" s="910"/>
      <c r="AW158" s="910"/>
      <c r="AX158" s="910"/>
      <c r="AY158" s="910"/>
      <c r="AZ158" s="912"/>
      <c r="BB158" s="913"/>
      <c r="BC158" s="916">
        <f t="shared" si="11"/>
        <v>24899.979239977692</v>
      </c>
      <c r="BD158" s="944">
        <f t="shared" si="12"/>
        <v>5270.7416068942684</v>
      </c>
      <c r="BE158" s="914"/>
      <c r="BF158" s="910"/>
      <c r="BG158" s="916">
        <f>('1.6.1 GasLR'!O38)*Units!C$19</f>
        <v>88.567714285714302</v>
      </c>
      <c r="BH158" s="914"/>
      <c r="BI158" s="910"/>
      <c r="BJ158" s="910"/>
      <c r="BK158" s="842">
        <f t="shared" si="7"/>
        <v>556.64899183266721</v>
      </c>
      <c r="BL158" s="1085">
        <f t="shared" si="8"/>
        <v>2121.1404856888475</v>
      </c>
      <c r="BM158" s="910"/>
      <c r="BN158" s="921">
        <f t="shared" si="13"/>
        <v>32937.078038679188</v>
      </c>
    </row>
    <row r="159" spans="1:66" ht="10.5" customHeight="1" x14ac:dyDescent="0.35">
      <c r="A159" s="841">
        <v>1849</v>
      </c>
      <c r="B159" s="1201">
        <f>+'1.3.1 CoalLR'!K159*1000*Units!$C$20</f>
        <v>15688.936574792007</v>
      </c>
      <c r="C159" s="1202">
        <f>+'1.4.1 MSFLR'!B59</f>
        <v>5518.2744012637559</v>
      </c>
      <c r="D159" s="910"/>
      <c r="E159" s="932">
        <f>+[1]R!$BJ609*1000</f>
        <v>26.226145785700435</v>
      </c>
      <c r="F159" s="910"/>
      <c r="G159" s="910"/>
      <c r="H159" s="945">
        <f>'1.8.3 RenPTLR'!B159</f>
        <v>1.4067239896818586</v>
      </c>
      <c r="I159" s="945">
        <f>'1.8.3 RenPTLR'!E159</f>
        <v>30.113886500429896</v>
      </c>
      <c r="J159" s="910"/>
      <c r="K159" s="842">
        <f>'1.8.2 RenHLR'!I159+'1.8.3 RenPTLR'!G159</f>
        <v>1421.6350715224485</v>
      </c>
      <c r="L159" s="910"/>
      <c r="M159" s="952">
        <f t="shared" si="9"/>
        <v>22686.592803854026</v>
      </c>
      <c r="N159" s="911"/>
      <c r="O159" s="1204">
        <f>'1.3.1 CoalLR'!I159*1000</f>
        <v>1560.0000000000005</v>
      </c>
      <c r="P159" s="910"/>
      <c r="Q159" s="912"/>
      <c r="R159" s="910"/>
      <c r="S159" s="910"/>
      <c r="T159" s="910"/>
      <c r="U159" s="910"/>
      <c r="V159" s="945">
        <f>'1.8.3 RenPTLR'!H159</f>
        <v>307.04069140157497</v>
      </c>
      <c r="W159" s="910"/>
      <c r="X159" s="910"/>
      <c r="Y159" s="910"/>
      <c r="Z159" s="910"/>
      <c r="AA159" s="945">
        <f>'1.8.3 RenPTLR'!C159</f>
        <v>588.68755313452095</v>
      </c>
      <c r="AB159" s="910"/>
      <c r="AC159" s="910"/>
      <c r="AD159" s="950">
        <f t="shared" si="6"/>
        <v>2455.7282445360966</v>
      </c>
      <c r="AF159" s="911"/>
      <c r="AG159" s="1201">
        <f>+'1.3.1 CoalLR'!J159*Units!$C$20*1000</f>
        <v>8647.0950078154201</v>
      </c>
      <c r="AH159" s="910"/>
      <c r="AI159" s="842">
        <v>51.931242317380352</v>
      </c>
      <c r="AJ159" s="912"/>
      <c r="AK159" s="910"/>
      <c r="AL159" s="910"/>
      <c r="AM159" s="945">
        <f>'1.8.2 RenHLR'!H159</f>
        <v>416.59536237672398</v>
      </c>
      <c r="AN159" s="910"/>
      <c r="AO159" s="1082">
        <f t="shared" si="10"/>
        <v>9115.6216125095234</v>
      </c>
      <c r="AQ159" s="911"/>
      <c r="AR159" s="910"/>
      <c r="AS159" s="910"/>
      <c r="AT159" s="910"/>
      <c r="AU159" s="912"/>
      <c r="AV159" s="910"/>
      <c r="AW159" s="910"/>
      <c r="AX159" s="910"/>
      <c r="AY159" s="910"/>
      <c r="AZ159" s="912"/>
      <c r="BB159" s="913"/>
      <c r="BC159" s="916">
        <f t="shared" si="11"/>
        <v>25896.031582607429</v>
      </c>
      <c r="BD159" s="944">
        <f t="shared" si="12"/>
        <v>5518.2744012637559</v>
      </c>
      <c r="BE159" s="914"/>
      <c r="BF159" s="910"/>
      <c r="BG159" s="916">
        <f>('1.6.1 GasLR'!O39)*Units!C$19</f>
        <v>91.553142857142873</v>
      </c>
      <c r="BH159" s="914"/>
      <c r="BI159" s="910"/>
      <c r="BJ159" s="910"/>
      <c r="BK159" s="842">
        <f t="shared" si="7"/>
        <v>588.68755313452095</v>
      </c>
      <c r="BL159" s="1085">
        <f t="shared" si="8"/>
        <v>2145.2711253007474</v>
      </c>
      <c r="BM159" s="910"/>
      <c r="BN159" s="921">
        <f t="shared" si="13"/>
        <v>34239.817805163591</v>
      </c>
    </row>
    <row r="160" spans="1:66" ht="10.5" customHeight="1" x14ac:dyDescent="0.35">
      <c r="A160" s="841">
        <v>1850</v>
      </c>
      <c r="B160" s="1201">
        <f>+'1.3.1 CoalLR'!K160*1000*Units!$C$20</f>
        <v>16297.385298306712</v>
      </c>
      <c r="C160" s="1202">
        <f>+'1.4.1 MSFLR'!B60</f>
        <v>5767.554053255637</v>
      </c>
      <c r="D160" s="910"/>
      <c r="E160" s="932">
        <f>+[1]R!$BJ610*1000</f>
        <v>27.805375314861454</v>
      </c>
      <c r="F160" s="910"/>
      <c r="G160" s="910"/>
      <c r="H160" s="945">
        <f>'1.8.3 RenPTLR'!B160</f>
        <v>1.3836629406706809</v>
      </c>
      <c r="I160" s="945">
        <f>'1.8.3 RenPTLR'!E160</f>
        <v>30.363714531384325</v>
      </c>
      <c r="J160" s="910"/>
      <c r="K160" s="842">
        <f>'1.8.2 RenHLR'!I160+'1.8.3 RenPTLR'!G160</f>
        <v>1432.7254682570565</v>
      </c>
      <c r="L160" s="910"/>
      <c r="M160" s="952">
        <f t="shared" si="9"/>
        <v>23557.217572606321</v>
      </c>
      <c r="N160" s="911"/>
      <c r="O160" s="1204">
        <f>'1.3.1 CoalLR'!I160*1000</f>
        <v>1700.0000000000007</v>
      </c>
      <c r="P160" s="910"/>
      <c r="Q160" s="912"/>
      <c r="R160" s="910"/>
      <c r="S160" s="910"/>
      <c r="T160" s="910"/>
      <c r="U160" s="910"/>
      <c r="V160" s="945">
        <f>'1.8.3 RenPTLR'!H160</f>
        <v>307.55334047244111</v>
      </c>
      <c r="W160" s="910"/>
      <c r="X160" s="910"/>
      <c r="Y160" s="910"/>
      <c r="Z160" s="910"/>
      <c r="AA160" s="945">
        <f>'1.8.3 RenPTLR'!C160</f>
        <v>579.52954537471612</v>
      </c>
      <c r="AB160" s="910"/>
      <c r="AC160" s="910"/>
      <c r="AD160" s="950">
        <f t="shared" si="6"/>
        <v>2587.0828858471577</v>
      </c>
      <c r="AF160" s="911"/>
      <c r="AG160" s="1201">
        <f>+'1.3.1 CoalLR'!J160*Units!$C$20*1000</f>
        <v>8884.1733537523542</v>
      </c>
      <c r="AH160" s="910"/>
      <c r="AI160" s="842">
        <v>55.610750629722908</v>
      </c>
      <c r="AJ160" s="912"/>
      <c r="AK160" s="910"/>
      <c r="AL160" s="910"/>
      <c r="AM160" s="945">
        <f>'1.8.2 RenHLR'!H160</f>
        <v>428.01720281539201</v>
      </c>
      <c r="AN160" s="910"/>
      <c r="AO160" s="1082">
        <f t="shared" si="10"/>
        <v>9367.8013071974692</v>
      </c>
      <c r="AQ160" s="911"/>
      <c r="AR160" s="910"/>
      <c r="AS160" s="910"/>
      <c r="AT160" s="910"/>
      <c r="AU160" s="912"/>
      <c r="AV160" s="910"/>
      <c r="AW160" s="910"/>
      <c r="AX160" s="910"/>
      <c r="AY160" s="910"/>
      <c r="AZ160" s="912"/>
      <c r="BB160" s="913"/>
      <c r="BC160" s="916">
        <f t="shared" si="11"/>
        <v>26881.558652059066</v>
      </c>
      <c r="BD160" s="944">
        <f t="shared" si="12"/>
        <v>5767.554053255637</v>
      </c>
      <c r="BE160" s="914"/>
      <c r="BF160" s="910"/>
      <c r="BG160" s="916">
        <f>('1.6.1 GasLR'!O40)*Units!C$19</f>
        <v>98.039999999999978</v>
      </c>
      <c r="BH160" s="914"/>
      <c r="BI160" s="910"/>
      <c r="BJ160" s="910"/>
      <c r="BK160" s="842">
        <f t="shared" si="7"/>
        <v>579.52954537471612</v>
      </c>
      <c r="BL160" s="1085">
        <f t="shared" si="8"/>
        <v>2168.2960115448896</v>
      </c>
      <c r="BM160" s="910"/>
      <c r="BN160" s="921">
        <f t="shared" si="13"/>
        <v>35494.978262234305</v>
      </c>
    </row>
    <row r="161" spans="1:66" ht="10.5" customHeight="1" x14ac:dyDescent="0.35">
      <c r="A161" s="841">
        <v>1851</v>
      </c>
      <c r="B161" s="1201">
        <f>+'1.3.1 CoalLR'!K161*1000*Units!$C$20</f>
        <v>16904.677262605088</v>
      </c>
      <c r="C161" s="1202">
        <f>+'1.4.1 MSFLR'!B61</f>
        <v>6018.5805628699127</v>
      </c>
      <c r="D161" s="910"/>
      <c r="E161" s="932">
        <f>+[1]R!$BJ611*1000</f>
        <v>31.024945088161203</v>
      </c>
      <c r="F161" s="910"/>
      <c r="G161" s="910"/>
      <c r="H161" s="945">
        <f>'1.8.3 RenPTLR'!B161</f>
        <v>1.3606018916595033</v>
      </c>
      <c r="I161" s="945">
        <f>'1.8.3 RenPTLR'!E161</f>
        <v>30.613542562338754</v>
      </c>
      <c r="J161" s="910"/>
      <c r="K161" s="842">
        <f>'1.8.2 RenHLR'!I161+'1.8.3 RenPTLR'!G161</f>
        <v>1444.1005053429549</v>
      </c>
      <c r="L161" s="910"/>
      <c r="M161" s="952">
        <f t="shared" si="9"/>
        <v>24430.357420360113</v>
      </c>
      <c r="N161" s="911"/>
      <c r="O161" s="1204">
        <f>'1.3.1 CoalLR'!I161*1000</f>
        <v>1840.0000000000007</v>
      </c>
      <c r="P161" s="910"/>
      <c r="Q161" s="912"/>
      <c r="R161" s="910"/>
      <c r="S161" s="910"/>
      <c r="T161" s="910"/>
      <c r="U161" s="910"/>
      <c r="V161" s="945">
        <f>'1.8.3 RenPTLR'!H161</f>
        <v>308.31148346456695</v>
      </c>
      <c r="W161" s="910"/>
      <c r="X161" s="910"/>
      <c r="Y161" s="910"/>
      <c r="Z161" s="910"/>
      <c r="AA161" s="945">
        <f>'1.8.3 RenPTLR'!C161</f>
        <v>641.68820941320848</v>
      </c>
      <c r="AB161" s="910"/>
      <c r="AC161" s="910"/>
      <c r="AD161" s="950">
        <f t="shared" si="6"/>
        <v>2789.9996928777759</v>
      </c>
      <c r="AF161" s="911"/>
      <c r="AG161" s="1201">
        <f>+'1.3.1 CoalLR'!J161*Units!$C$20*1000</f>
        <v>9078.3772669855171</v>
      </c>
      <c r="AH161" s="910"/>
      <c r="AI161" s="842">
        <v>62.049890176322407</v>
      </c>
      <c r="AJ161" s="912"/>
      <c r="AK161" s="910"/>
      <c r="AL161" s="910"/>
      <c r="AM161" s="945">
        <f>'1.8.2 RenHLR'!H161</f>
        <v>437.37346055689079</v>
      </c>
      <c r="AN161" s="910"/>
      <c r="AO161" s="1082">
        <f t="shared" si="10"/>
        <v>9577.8006177187308</v>
      </c>
      <c r="AQ161" s="911"/>
      <c r="AR161" s="910"/>
      <c r="AS161" s="910"/>
      <c r="AT161" s="910"/>
      <c r="AU161" s="912"/>
      <c r="AV161" s="910"/>
      <c r="AW161" s="910"/>
      <c r="AX161" s="910"/>
      <c r="AY161" s="910"/>
      <c r="AZ161" s="912"/>
      <c r="BB161" s="913"/>
      <c r="BC161" s="916">
        <f t="shared" si="11"/>
        <v>27823.054529590605</v>
      </c>
      <c r="BD161" s="944">
        <f t="shared" si="12"/>
        <v>6018.5805628699127</v>
      </c>
      <c r="BE161" s="914"/>
      <c r="BF161" s="910"/>
      <c r="BG161" s="916">
        <f>('1.6.1 GasLR'!O41)*Units!C$19</f>
        <v>109.39200000000001</v>
      </c>
      <c r="BH161" s="914"/>
      <c r="BI161" s="910"/>
      <c r="BJ161" s="910"/>
      <c r="BK161" s="842">
        <f t="shared" si="7"/>
        <v>641.68820941320848</v>
      </c>
      <c r="BL161" s="1085">
        <f t="shared" si="8"/>
        <v>2189.7854493644127</v>
      </c>
      <c r="BM161" s="910"/>
      <c r="BN161" s="921">
        <f t="shared" si="13"/>
        <v>36782.500751238142</v>
      </c>
    </row>
    <row r="162" spans="1:66" ht="10.5" customHeight="1" x14ac:dyDescent="0.35">
      <c r="A162" s="841">
        <v>1852</v>
      </c>
      <c r="B162" s="1201">
        <f>+'1.3.1 CoalLR'!K162*1000*Units!$C$20</f>
        <v>17510.81246768713</v>
      </c>
      <c r="C162" s="1202">
        <f>+'1.4.1 MSFLR'!B62</f>
        <v>6271.3539301065821</v>
      </c>
      <c r="D162" s="910"/>
      <c r="E162" s="932">
        <f>+[1]R!$BJ612*1000</f>
        <v>34.244514861460956</v>
      </c>
      <c r="F162" s="910"/>
      <c r="G162" s="910"/>
      <c r="H162" s="945">
        <f>'1.8.3 RenPTLR'!B162</f>
        <v>1.3375408426483251</v>
      </c>
      <c r="I162" s="945">
        <f>'1.8.3 RenPTLR'!E162</f>
        <v>30.863370593293173</v>
      </c>
      <c r="J162" s="910"/>
      <c r="K162" s="842">
        <f>'1.8.2 RenHLR'!I162+'1.8.3 RenPTLR'!G162</f>
        <v>1455.4543564143064</v>
      </c>
      <c r="L162" s="910"/>
      <c r="M162" s="952">
        <f t="shared" si="9"/>
        <v>25304.066180505419</v>
      </c>
      <c r="N162" s="911"/>
      <c r="O162" s="1204">
        <f>'1.3.1 CoalLR'!I162*1000</f>
        <v>1980.0000000000009</v>
      </c>
      <c r="P162" s="910"/>
      <c r="Q162" s="912"/>
      <c r="R162" s="910"/>
      <c r="S162" s="910"/>
      <c r="T162" s="910"/>
      <c r="U162" s="910"/>
      <c r="V162" s="945">
        <f>'1.8.3 RenPTLR'!H162</f>
        <v>318.85328125984256</v>
      </c>
      <c r="W162" s="910"/>
      <c r="X162" s="910"/>
      <c r="Y162" s="910"/>
      <c r="Z162" s="910"/>
      <c r="AA162" s="945">
        <f>'1.8.3 RenPTLR'!C162</f>
        <v>650.1237530831977</v>
      </c>
      <c r="AB162" s="910"/>
      <c r="AC162" s="910"/>
      <c r="AD162" s="950">
        <f t="shared" si="6"/>
        <v>2948.9770343430409</v>
      </c>
      <c r="AF162" s="911"/>
      <c r="AG162" s="1201">
        <f>+'1.3.1 CoalLR'!J162*Units!$C$20*1000</f>
        <v>9307.0459642976166</v>
      </c>
      <c r="AH162" s="910"/>
      <c r="AI162" s="842">
        <v>68.489029722921913</v>
      </c>
      <c r="AJ162" s="912"/>
      <c r="AK162" s="910"/>
      <c r="AL162" s="910"/>
      <c r="AM162" s="945">
        <f>'1.8.2 RenHLR'!H162</f>
        <v>448.39014520472296</v>
      </c>
      <c r="AN162" s="910"/>
      <c r="AO162" s="1082">
        <f t="shared" si="10"/>
        <v>9823.9251392252609</v>
      </c>
      <c r="AQ162" s="911"/>
      <c r="AR162" s="916"/>
      <c r="AS162" s="910"/>
      <c r="AT162" s="910"/>
      <c r="AU162" s="912"/>
      <c r="AV162" s="910"/>
      <c r="AW162" s="910"/>
      <c r="AX162" s="910"/>
      <c r="AY162" s="910"/>
      <c r="AZ162" s="912"/>
      <c r="BB162" s="913"/>
      <c r="BC162" s="916">
        <f t="shared" si="11"/>
        <v>28797.858431984747</v>
      </c>
      <c r="BD162" s="944">
        <f t="shared" si="12"/>
        <v>6271.3539301065821</v>
      </c>
      <c r="BE162" s="914"/>
      <c r="BF162" s="910"/>
      <c r="BG162" s="916">
        <f>('1.6.1 GasLR'!O42)*Units!C$19</f>
        <v>120.74400000000001</v>
      </c>
      <c r="BH162" s="914"/>
      <c r="BI162" s="910"/>
      <c r="BJ162" s="910"/>
      <c r="BK162" s="842">
        <f t="shared" si="7"/>
        <v>650.1237530831977</v>
      </c>
      <c r="BL162" s="1085">
        <f t="shared" si="8"/>
        <v>2222.6977828788717</v>
      </c>
      <c r="BM162" s="910"/>
      <c r="BN162" s="921">
        <f t="shared" si="13"/>
        <v>38062.777898053399</v>
      </c>
    </row>
    <row r="163" spans="1:66" ht="10.5" customHeight="1" x14ac:dyDescent="0.35">
      <c r="A163" s="841">
        <v>1853</v>
      </c>
      <c r="B163" s="1201">
        <f>+'1.3.1 CoalLR'!K163*1000*Units!$C$20</f>
        <v>18115.790913552839</v>
      </c>
      <c r="C163" s="1202">
        <f>+'1.4.1 MSFLR'!B63</f>
        <v>6525.8741549656434</v>
      </c>
      <c r="D163" s="910"/>
      <c r="E163" s="932">
        <f>+[1]R!$BJ613*1000</f>
        <v>37.464084634760702</v>
      </c>
      <c r="F163" s="910"/>
      <c r="G163" s="910"/>
      <c r="H163" s="945">
        <f>'1.8.3 RenPTLR'!B163</f>
        <v>1.3144797936371473</v>
      </c>
      <c r="I163" s="945">
        <f>'1.8.3 RenPTLR'!E163</f>
        <v>31.113198624247598</v>
      </c>
      <c r="J163" s="910"/>
      <c r="K163" s="842">
        <f>'1.8.2 RenHLR'!I163+'1.8.3 RenPTLR'!G163</f>
        <v>1467.0010334401545</v>
      </c>
      <c r="L163" s="910"/>
      <c r="M163" s="952">
        <f t="shared" si="9"/>
        <v>26178.557865011284</v>
      </c>
      <c r="N163" s="911"/>
      <c r="O163" s="1204">
        <f>'1.3.1 CoalLR'!I163*1000</f>
        <v>2120.0000000000009</v>
      </c>
      <c r="P163" s="910"/>
      <c r="Q163" s="912"/>
      <c r="R163" s="910"/>
      <c r="S163" s="910"/>
      <c r="T163" s="910"/>
      <c r="U163" s="910"/>
      <c r="V163" s="945">
        <f>'1.8.3 RenPTLR'!H163</f>
        <v>329.39507905511823</v>
      </c>
      <c r="W163" s="910"/>
      <c r="X163" s="910"/>
      <c r="Y163" s="910"/>
      <c r="Z163" s="910"/>
      <c r="AA163" s="945">
        <f>'1.8.3 RenPTLR'!C163</f>
        <v>702.04111509966265</v>
      </c>
      <c r="AB163" s="910"/>
      <c r="AC163" s="910"/>
      <c r="AD163" s="950">
        <f t="shared" si="6"/>
        <v>3151.4361941547813</v>
      </c>
      <c r="AF163" s="911"/>
      <c r="AG163" s="1201">
        <f>+'1.3.1 CoalLR'!J163*Units!$C$20*1000</f>
        <v>9464.4415956724188</v>
      </c>
      <c r="AH163" s="910"/>
      <c r="AI163" s="842">
        <v>74.928169269521405</v>
      </c>
      <c r="AJ163" s="912"/>
      <c r="AK163" s="910"/>
      <c r="AL163" s="910"/>
      <c r="AM163" s="945">
        <f>'1.8.2 RenHLR'!H163</f>
        <v>455.97307219116595</v>
      </c>
      <c r="AN163" s="910"/>
      <c r="AO163" s="1082">
        <f t="shared" si="10"/>
        <v>9995.3428371331065</v>
      </c>
      <c r="AQ163" s="911"/>
      <c r="AR163" s="916"/>
      <c r="AS163" s="910"/>
      <c r="AT163" s="910"/>
      <c r="AU163" s="912"/>
      <c r="AV163" s="910"/>
      <c r="AW163" s="910"/>
      <c r="AX163" s="910"/>
      <c r="AY163" s="910"/>
      <c r="AZ163" s="912"/>
      <c r="BB163" s="913"/>
      <c r="BC163" s="916">
        <f t="shared" si="11"/>
        <v>29700.232509225258</v>
      </c>
      <c r="BD163" s="944">
        <f t="shared" si="12"/>
        <v>6525.8741549656434</v>
      </c>
      <c r="BE163" s="914"/>
      <c r="BF163" s="910"/>
      <c r="BG163" s="916">
        <f>('1.6.1 GasLR'!O43)*Units!C$19</f>
        <v>132.096</v>
      </c>
      <c r="BH163" s="914"/>
      <c r="BI163" s="910"/>
      <c r="BJ163" s="910"/>
      <c r="BK163" s="842">
        <f t="shared" si="7"/>
        <v>702.04111509966265</v>
      </c>
      <c r="BL163" s="1085">
        <f t="shared" si="8"/>
        <v>2252.3691846864385</v>
      </c>
      <c r="BM163" s="910"/>
      <c r="BN163" s="921">
        <f t="shared" si="13"/>
        <v>39312.612963977001</v>
      </c>
    </row>
    <row r="164" spans="1:66" ht="10.5" customHeight="1" x14ac:dyDescent="0.35">
      <c r="A164" s="841">
        <v>1854</v>
      </c>
      <c r="B164" s="1201">
        <f>+'1.3.1 CoalLR'!K164*1000*Units!$C$20</f>
        <v>18719.612600202217</v>
      </c>
      <c r="C164" s="1202">
        <f>+'1.4.1 MSFLR'!B64</f>
        <v>6782.1412374471001</v>
      </c>
      <c r="D164" s="910"/>
      <c r="E164" s="932">
        <f>+[1]R!$BJ614*1000</f>
        <v>40.683654408060455</v>
      </c>
      <c r="F164" s="910"/>
      <c r="G164" s="910"/>
      <c r="H164" s="945">
        <f>'1.8.3 RenPTLR'!B164</f>
        <v>1.2914187446259693</v>
      </c>
      <c r="I164" s="945">
        <f>'1.8.3 RenPTLR'!E164</f>
        <v>31.363026655202034</v>
      </c>
      <c r="J164" s="910"/>
      <c r="K164" s="842">
        <f>'1.8.2 RenHLR'!I164+'1.8.3 RenPTLR'!G164</f>
        <v>1478.7094507593231</v>
      </c>
      <c r="L164" s="910"/>
      <c r="M164" s="952">
        <f t="shared" si="9"/>
        <v>27053.801388216532</v>
      </c>
      <c r="N164" s="911"/>
      <c r="O164" s="1204">
        <f>'1.3.1 CoalLR'!I164*1000</f>
        <v>2260.0000000000009</v>
      </c>
      <c r="P164" s="910"/>
      <c r="Q164" s="912"/>
      <c r="R164" s="910"/>
      <c r="S164" s="910"/>
      <c r="T164" s="910"/>
      <c r="U164" s="910"/>
      <c r="V164" s="945">
        <f>'1.8.3 RenPTLR'!H164</f>
        <v>339.93687685039367</v>
      </c>
      <c r="W164" s="910"/>
      <c r="X164" s="910"/>
      <c r="Y164" s="910"/>
      <c r="Z164" s="910"/>
      <c r="AA164" s="945">
        <f>'1.8.3 RenPTLR'!C164</f>
        <v>696.49577671959037</v>
      </c>
      <c r="AB164" s="910"/>
      <c r="AC164" s="910"/>
      <c r="AD164" s="950">
        <f t="shared" si="6"/>
        <v>3296.4326535699847</v>
      </c>
      <c r="AF164" s="911"/>
      <c r="AG164" s="1201">
        <f>+'1.3.1 CoalLR'!J164*Units!$C$20*1000</f>
        <v>9749.4674020263592</v>
      </c>
      <c r="AH164" s="910"/>
      <c r="AI164" s="842">
        <v>81.367308816120911</v>
      </c>
      <c r="AJ164" s="912"/>
      <c r="AK164" s="910"/>
      <c r="AL164" s="910"/>
      <c r="AM164" s="945">
        <f>'1.8.2 RenHLR'!H164</f>
        <v>469.7049010860049</v>
      </c>
      <c r="AN164" s="910"/>
      <c r="AO164" s="1082">
        <f t="shared" si="10"/>
        <v>10300.539611928485</v>
      </c>
      <c r="AQ164" s="911"/>
      <c r="AR164" s="916"/>
      <c r="AS164" s="910"/>
      <c r="AT164" s="910"/>
      <c r="AU164" s="912"/>
      <c r="AV164" s="910"/>
      <c r="AW164" s="910"/>
      <c r="AX164" s="910"/>
      <c r="AY164" s="910"/>
      <c r="AZ164" s="912"/>
      <c r="BB164" s="913"/>
      <c r="BC164" s="916">
        <f t="shared" si="11"/>
        <v>30729.080002228577</v>
      </c>
      <c r="BD164" s="944">
        <f t="shared" si="12"/>
        <v>6782.1412374471001</v>
      </c>
      <c r="BE164" s="914"/>
      <c r="BF164" s="910"/>
      <c r="BG164" s="916">
        <f>('1.6.1 GasLR'!O44)*Units!C$19</f>
        <v>143.44800000000004</v>
      </c>
      <c r="BH164" s="914"/>
      <c r="BI164" s="910"/>
      <c r="BJ164" s="910"/>
      <c r="BK164" s="842">
        <f t="shared" si="7"/>
        <v>696.49577671959037</v>
      </c>
      <c r="BL164" s="1085">
        <f t="shared" si="8"/>
        <v>2288.3512286957216</v>
      </c>
      <c r="BM164" s="910"/>
      <c r="BN164" s="921">
        <f t="shared" si="13"/>
        <v>40639.516245090985</v>
      </c>
    </row>
    <row r="165" spans="1:66" ht="10.5" customHeight="1" x14ac:dyDescent="0.35">
      <c r="A165" s="841">
        <v>1855</v>
      </c>
      <c r="B165" s="916">
        <f>+'1.3.1 CoalLR'!K165*1000*Units!$C$20</f>
        <v>19322.277527635266</v>
      </c>
      <c r="C165" s="842">
        <f>+'1.4.1 MSFLR'!B65</f>
        <v>7040.1551775509524</v>
      </c>
      <c r="D165" s="910"/>
      <c r="E165" s="932">
        <f>+[1]R!$BJ615*1000</f>
        <v>43.90322418136018</v>
      </c>
      <c r="F165" s="910"/>
      <c r="G165" s="910"/>
      <c r="H165" s="945">
        <f>'1.8.3 RenPTLR'!B165</f>
        <v>1.2683576956147913</v>
      </c>
      <c r="I165" s="945">
        <f>'1.8.3 RenPTLR'!E165</f>
        <v>31.612854686156453</v>
      </c>
      <c r="J165" s="910"/>
      <c r="K165" s="842">
        <f>'1.8.2 RenHLR'!I165+'1.8.3 RenPTLR'!G165</f>
        <v>1490.5548634336405</v>
      </c>
      <c r="L165" s="910"/>
      <c r="M165" s="952">
        <f t="shared" si="9"/>
        <v>27929.772005182993</v>
      </c>
      <c r="N165" s="911"/>
      <c r="O165" s="945">
        <f>'1.3.1 CoalLR'!I165*1000</f>
        <v>2400</v>
      </c>
      <c r="P165" s="910"/>
      <c r="Q165" s="912"/>
      <c r="R165" s="910"/>
      <c r="S165" s="910"/>
      <c r="T165" s="910"/>
      <c r="U165" s="910"/>
      <c r="V165" s="945">
        <f>'1.8.3 RenPTLR'!H165</f>
        <v>350.47867464566929</v>
      </c>
      <c r="W165" s="910"/>
      <c r="X165" s="910"/>
      <c r="Y165" s="910"/>
      <c r="Z165" s="910"/>
      <c r="AA165" s="945">
        <f>'1.8.3 RenPTLR'!C165</f>
        <v>691.40776821130862</v>
      </c>
      <c r="AB165" s="910"/>
      <c r="AC165" s="910"/>
      <c r="AD165" s="950">
        <f t="shared" si="6"/>
        <v>3441.8864428569777</v>
      </c>
      <c r="AF165" s="911"/>
      <c r="AG165" s="916">
        <f>+'1.3.1 CoalLR'!J165*Units!$C$20*1000</f>
        <v>9558.5279999999984</v>
      </c>
      <c r="AH165" s="910"/>
      <c r="AI165" s="842">
        <v>87.80644836272036</v>
      </c>
      <c r="AJ165" s="912"/>
      <c r="AK165" s="910"/>
      <c r="AL165" s="910"/>
      <c r="AM165" s="945">
        <f>'1.8.2 RenHLR'!H165</f>
        <v>460.50591931151621</v>
      </c>
      <c r="AN165" s="910"/>
      <c r="AO165" s="1082">
        <f t="shared" si="10"/>
        <v>10106.840367674235</v>
      </c>
      <c r="AQ165" s="911"/>
      <c r="AR165" s="916"/>
      <c r="AS165" s="910"/>
      <c r="AT165" s="910"/>
      <c r="AU165" s="912"/>
      <c r="AV165" s="910"/>
      <c r="AW165" s="910"/>
      <c r="AX165" s="910"/>
      <c r="AY165" s="910"/>
      <c r="AZ165" s="912"/>
      <c r="BB165" s="913"/>
      <c r="BC165" s="916">
        <f t="shared" si="11"/>
        <v>31280.805527635264</v>
      </c>
      <c r="BD165" s="944">
        <f t="shared" si="12"/>
        <v>7040.1551775509524</v>
      </c>
      <c r="BE165" s="914"/>
      <c r="BF165" s="910"/>
      <c r="BG165" s="916">
        <f>('1.6.1 GasLR'!O45)*Units!C$19</f>
        <v>154.79999999999995</v>
      </c>
      <c r="BH165" s="914"/>
      <c r="BI165" s="910"/>
      <c r="BJ165" s="910"/>
      <c r="BK165" s="842">
        <f t="shared" si="7"/>
        <v>691.40776821130862</v>
      </c>
      <c r="BL165" s="1085">
        <f t="shared" si="8"/>
        <v>2301.5394573908261</v>
      </c>
      <c r="BM165" s="910"/>
      <c r="BN165" s="921">
        <f t="shared" si="13"/>
        <v>41468.707930788354</v>
      </c>
    </row>
    <row r="166" spans="1:66" ht="10.5" customHeight="1" x14ac:dyDescent="0.35">
      <c r="A166" s="841">
        <v>1856</v>
      </c>
      <c r="B166" s="1201">
        <f>+'1.3.1 CoalLR'!K166*1000*Units!$C$20</f>
        <v>19911.567088337913</v>
      </c>
      <c r="C166" s="1202">
        <f>+'1.4.1 MSFLR'!B66</f>
        <v>7281.9636287544672</v>
      </c>
      <c r="D166" s="910"/>
      <c r="E166" s="932">
        <f>+[1]R!$BJ616*1000</f>
        <v>46.098385390428199</v>
      </c>
      <c r="F166" s="910"/>
      <c r="G166" s="910"/>
      <c r="H166" s="945">
        <f>'1.8.3 RenPTLR'!B166</f>
        <v>1.2452966466036135</v>
      </c>
      <c r="I166" s="945">
        <f>'1.8.3 RenPTLR'!E166</f>
        <v>31.862682717110882</v>
      </c>
      <c r="J166" s="910"/>
      <c r="K166" s="842">
        <f>'1.8.2 RenHLR'!I166+'1.8.3 RenPTLR'!G166</f>
        <v>1502.5138622817717</v>
      </c>
      <c r="L166" s="910"/>
      <c r="M166" s="952">
        <f t="shared" si="9"/>
        <v>28775.250944128296</v>
      </c>
      <c r="N166" s="911"/>
      <c r="O166" s="1204">
        <f>'1.3.1 CoalLR'!I166*1000</f>
        <v>2457.1428571428573</v>
      </c>
      <c r="P166" s="910"/>
      <c r="Q166" s="912"/>
      <c r="R166" s="910"/>
      <c r="S166" s="910"/>
      <c r="T166" s="910"/>
      <c r="U166" s="910"/>
      <c r="V166" s="945">
        <f>'1.8.3 RenPTLR'!H166</f>
        <v>361.0204724409449</v>
      </c>
      <c r="W166" s="910"/>
      <c r="X166" s="910"/>
      <c r="Y166" s="910"/>
      <c r="Z166" s="910"/>
      <c r="AA166" s="945">
        <f>'1.8.3 RenPTLR'!C166</f>
        <v>725.85971536524585</v>
      </c>
      <c r="AB166" s="910"/>
      <c r="AC166" s="910"/>
      <c r="AD166" s="950">
        <f t="shared" si="6"/>
        <v>3544.0230449490482</v>
      </c>
      <c r="AF166" s="911"/>
      <c r="AG166" s="1201">
        <f>+'1.3.1 CoalLR'!J166*Units!$C$20*1000</f>
        <v>9708.7546833508586</v>
      </c>
      <c r="AH166" s="910"/>
      <c r="AI166" s="842">
        <v>92.196770780856397</v>
      </c>
      <c r="AJ166" s="912"/>
      <c r="AK166" s="910"/>
      <c r="AL166" s="910"/>
      <c r="AM166" s="945">
        <f>'1.8.2 RenHLR'!H166</f>
        <v>467.74346435209236</v>
      </c>
      <c r="AN166" s="910"/>
      <c r="AO166" s="1082">
        <f t="shared" si="10"/>
        <v>10268.694918483807</v>
      </c>
      <c r="AQ166" s="911"/>
      <c r="AR166" s="916"/>
      <c r="AS166" s="910"/>
      <c r="AT166" s="910"/>
      <c r="AU166" s="912"/>
      <c r="AV166" s="910"/>
      <c r="AW166" s="910"/>
      <c r="AX166" s="910"/>
      <c r="AY166" s="910"/>
      <c r="AZ166" s="912"/>
      <c r="BB166" s="913"/>
      <c r="BC166" s="916">
        <f t="shared" si="11"/>
        <v>32077.464628831629</v>
      </c>
      <c r="BD166" s="944">
        <f t="shared" si="12"/>
        <v>7281.9636287544672</v>
      </c>
      <c r="BE166" s="914"/>
      <c r="BF166" s="910"/>
      <c r="BG166" s="916">
        <f>('1.6.1 GasLR'!O46)*Units!C$19</f>
        <v>162.53999999999994</v>
      </c>
      <c r="BH166" s="914"/>
      <c r="BI166" s="910"/>
      <c r="BJ166" s="910"/>
      <c r="BK166" s="842">
        <f t="shared" si="7"/>
        <v>725.85971536524585</v>
      </c>
      <c r="BL166" s="1085">
        <f t="shared" si="8"/>
        <v>2331.2777990748091</v>
      </c>
      <c r="BM166" s="910"/>
      <c r="BN166" s="921">
        <f t="shared" si="13"/>
        <v>42579.105772026152</v>
      </c>
    </row>
    <row r="167" spans="1:66" ht="10.5" customHeight="1" x14ac:dyDescent="0.35">
      <c r="A167" s="841">
        <v>1857</v>
      </c>
      <c r="B167" s="1201">
        <f>+'1.3.1 CoalLR'!K167*1000*Units!$C$20</f>
        <v>20499.674116683105</v>
      </c>
      <c r="C167" s="1202">
        <f>+'1.4.1 MSFLR'!B67</f>
        <v>7525.5578583924089</v>
      </c>
      <c r="D167" s="910"/>
      <c r="E167" s="932">
        <f>+[1]R!$BJ617*1000</f>
        <v>48.293546599496203</v>
      </c>
      <c r="F167" s="910"/>
      <c r="G167" s="910"/>
      <c r="H167" s="945">
        <f>'1.8.3 RenPTLR'!B167</f>
        <v>1.2222355975924355</v>
      </c>
      <c r="I167" s="945">
        <f>'1.8.3 RenPTLR'!E167</f>
        <v>32.112510748065311</v>
      </c>
      <c r="J167" s="910"/>
      <c r="K167" s="842">
        <f>'1.8.2 RenHLR'!I167+'1.8.3 RenPTLR'!G167</f>
        <v>1514.5710290717086</v>
      </c>
      <c r="L167" s="910"/>
      <c r="M167" s="952">
        <f t="shared" si="9"/>
        <v>29621.431297092375</v>
      </c>
      <c r="N167" s="911"/>
      <c r="O167" s="1204">
        <f>'1.3.1 CoalLR'!I167*1000</f>
        <v>2514.2857142857142</v>
      </c>
      <c r="P167" s="910"/>
      <c r="Q167" s="912"/>
      <c r="R167" s="910"/>
      <c r="S167" s="910"/>
      <c r="T167" s="910"/>
      <c r="U167" s="910"/>
      <c r="V167" s="945">
        <f>'1.8.3 RenPTLR'!H167</f>
        <v>371.5622702362204</v>
      </c>
      <c r="W167" s="910"/>
      <c r="X167" s="910"/>
      <c r="Y167" s="910"/>
      <c r="Z167" s="910"/>
      <c r="AA167" s="945">
        <f>'1.8.3 RenPTLR'!C167</f>
        <v>744.36863953699572</v>
      </c>
      <c r="AB167" s="910"/>
      <c r="AC167" s="910"/>
      <c r="AD167" s="950">
        <f t="shared" si="6"/>
        <v>3630.2166240589304</v>
      </c>
      <c r="AF167" s="911"/>
      <c r="AG167" s="1201">
        <f>+'1.3.1 CoalLR'!J167*Units!$C$20*1000</f>
        <v>9819.159967926078</v>
      </c>
      <c r="AH167" s="910"/>
      <c r="AI167" s="842">
        <v>96.587093198992406</v>
      </c>
      <c r="AJ167" s="912"/>
      <c r="AK167" s="910"/>
      <c r="AL167" s="910"/>
      <c r="AM167" s="945">
        <f>'1.8.2 RenHLR'!H167</f>
        <v>473.06251421731849</v>
      </c>
      <c r="AN167" s="910"/>
      <c r="AO167" s="1082">
        <f t="shared" si="10"/>
        <v>10388.809575342388</v>
      </c>
      <c r="AQ167" s="911"/>
      <c r="AR167" s="916"/>
      <c r="AS167" s="910"/>
      <c r="AT167" s="910"/>
      <c r="AU167" s="912"/>
      <c r="AV167" s="910"/>
      <c r="AW167" s="910"/>
      <c r="AX167" s="910"/>
      <c r="AY167" s="910"/>
      <c r="AZ167" s="912"/>
      <c r="BB167" s="913"/>
      <c r="BC167" s="916">
        <f t="shared" si="11"/>
        <v>32833.119798894899</v>
      </c>
      <c r="BD167" s="944">
        <f t="shared" si="12"/>
        <v>7525.5578583924089</v>
      </c>
      <c r="BE167" s="914"/>
      <c r="BF167" s="910"/>
      <c r="BG167" s="916">
        <f>('1.6.1 GasLR'!O47)*Units!C$19</f>
        <v>170.27999999999994</v>
      </c>
      <c r="BH167" s="914"/>
      <c r="BI167" s="910"/>
      <c r="BJ167" s="910"/>
      <c r="BK167" s="842">
        <f t="shared" si="7"/>
        <v>744.36863953699572</v>
      </c>
      <c r="BL167" s="1085">
        <f t="shared" si="8"/>
        <v>2359.1958135252476</v>
      </c>
      <c r="BM167" s="910"/>
      <c r="BN167" s="921">
        <f t="shared" si="13"/>
        <v>43632.52211034955</v>
      </c>
    </row>
    <row r="168" spans="1:66" ht="10.5" customHeight="1" x14ac:dyDescent="0.35">
      <c r="A168" s="841">
        <v>1858</v>
      </c>
      <c r="B168" s="1201">
        <f>+'1.3.1 CoalLR'!K168*1000*Units!$C$20</f>
        <v>21086.598612670838</v>
      </c>
      <c r="C168" s="1202">
        <f>+'1.4.1 MSFLR'!B68</f>
        <v>7770.9378664647757</v>
      </c>
      <c r="D168" s="910"/>
      <c r="E168" s="932">
        <f>+[1]R!$BJ618*1000</f>
        <v>50.488707808564222</v>
      </c>
      <c r="F168" s="910"/>
      <c r="G168" s="910"/>
      <c r="H168" s="945">
        <f>'1.8.3 RenPTLR'!B168</f>
        <v>1.1991745485812575</v>
      </c>
      <c r="I168" s="945">
        <f>'1.8.3 RenPTLR'!E168</f>
        <v>32.362338779019737</v>
      </c>
      <c r="J168" s="910"/>
      <c r="K168" s="842">
        <f>'1.8.2 RenHLR'!I168+'1.8.3 RenPTLR'!G168</f>
        <v>1526.7214102807209</v>
      </c>
      <c r="L168" s="910"/>
      <c r="M168" s="952">
        <f t="shared" si="9"/>
        <v>30468.308110552498</v>
      </c>
      <c r="N168" s="911"/>
      <c r="O168" s="1204">
        <f>'1.3.1 CoalLR'!I168*1000</f>
        <v>2571.4285714285711</v>
      </c>
      <c r="P168" s="910"/>
      <c r="Q168" s="912"/>
      <c r="R168" s="910"/>
      <c r="S168" s="910"/>
      <c r="T168" s="910"/>
      <c r="U168" s="910"/>
      <c r="V168" s="945">
        <f>'1.8.3 RenPTLR'!H168</f>
        <v>382.10406803149613</v>
      </c>
      <c r="W168" s="910"/>
      <c r="X168" s="910"/>
      <c r="Y168" s="910"/>
      <c r="Z168" s="910"/>
      <c r="AA168" s="945">
        <f>'1.8.3 RenPTLR'!C168</f>
        <v>749.49696425998127</v>
      </c>
      <c r="AB168" s="910"/>
      <c r="AC168" s="910"/>
      <c r="AD168" s="950">
        <f t="shared" si="6"/>
        <v>3703.0296037200483</v>
      </c>
      <c r="AF168" s="911"/>
      <c r="AG168" s="1201">
        <f>+'1.3.1 CoalLR'!J168*Units!$C$20*1000</f>
        <v>9508.8409591534873</v>
      </c>
      <c r="AH168" s="910"/>
      <c r="AI168" s="842">
        <v>100.97741561712844</v>
      </c>
      <c r="AJ168" s="912"/>
      <c r="AK168" s="910"/>
      <c r="AL168" s="910"/>
      <c r="AM168" s="945">
        <f>'1.8.2 RenHLR'!H168</f>
        <v>458.11212223074267</v>
      </c>
      <c r="AN168" s="910"/>
      <c r="AO168" s="1082">
        <f t="shared" si="10"/>
        <v>10067.930497001358</v>
      </c>
      <c r="AQ168" s="911"/>
      <c r="AR168" s="916"/>
      <c r="AS168" s="910"/>
      <c r="AT168" s="910"/>
      <c r="AU168" s="912"/>
      <c r="AV168" s="910"/>
      <c r="AW168" s="910"/>
      <c r="AX168" s="910"/>
      <c r="AY168" s="910"/>
      <c r="AZ168" s="912"/>
      <c r="BB168" s="913"/>
      <c r="BC168" s="916">
        <f t="shared" si="11"/>
        <v>33166.868143252897</v>
      </c>
      <c r="BD168" s="944">
        <f t="shared" si="12"/>
        <v>7770.9378664647757</v>
      </c>
      <c r="BE168" s="914"/>
      <c r="BF168" s="910"/>
      <c r="BG168" s="916">
        <f>('1.6.1 GasLR'!O48)*Units!C$19</f>
        <v>178.01999999999995</v>
      </c>
      <c r="BH168" s="914"/>
      <c r="BI168" s="910"/>
      <c r="BJ168" s="910"/>
      <c r="BK168" s="842">
        <f t="shared" si="7"/>
        <v>749.49696425998127</v>
      </c>
      <c r="BL168" s="1085">
        <f t="shared" si="8"/>
        <v>2366.9376005429594</v>
      </c>
      <c r="BM168" s="910"/>
      <c r="BN168" s="921">
        <f t="shared" si="13"/>
        <v>44232.260574520609</v>
      </c>
    </row>
    <row r="169" spans="1:66" ht="10.5" customHeight="1" x14ac:dyDescent="0.35">
      <c r="A169" s="841">
        <v>1859</v>
      </c>
      <c r="B169" s="1201">
        <f>+'1.3.1 CoalLR'!K169*1000*Units!$C$20</f>
        <v>21672.340576301121</v>
      </c>
      <c r="C169" s="1202">
        <f>+'1.4.1 MSFLR'!B69</f>
        <v>8018.1036529715702</v>
      </c>
      <c r="D169" s="910"/>
      <c r="E169" s="932">
        <f>+[1]R!$BJ619*1000</f>
        <v>52.683869017632233</v>
      </c>
      <c r="F169" s="910"/>
      <c r="G169" s="910"/>
      <c r="H169" s="945">
        <f>'1.8.3 RenPTLR'!B169</f>
        <v>1.1761134995700797</v>
      </c>
      <c r="I169" s="945">
        <f>'1.8.3 RenPTLR'!E169</f>
        <v>32.612166809974163</v>
      </c>
      <c r="J169" s="910"/>
      <c r="K169" s="842">
        <f>'1.8.2 RenHLR'!I169+'1.8.3 RenPTLR'!G169</f>
        <v>1538.9479587052597</v>
      </c>
      <c r="L169" s="910"/>
      <c r="M169" s="952">
        <f t="shared" si="9"/>
        <v>31315.864337305127</v>
      </c>
      <c r="N169" s="911"/>
      <c r="O169" s="1204">
        <f>'1.3.1 CoalLR'!I169*1000</f>
        <v>2628.571428571428</v>
      </c>
      <c r="P169" s="910"/>
      <c r="Q169" s="912"/>
      <c r="R169" s="910"/>
      <c r="S169" s="910"/>
      <c r="T169" s="910"/>
      <c r="U169" s="910"/>
      <c r="V169" s="945">
        <f>'1.8.3 RenPTLR'!H169</f>
        <v>392.64586582677163</v>
      </c>
      <c r="W169" s="910"/>
      <c r="X169" s="910"/>
      <c r="Y169" s="910"/>
      <c r="Z169" s="910"/>
      <c r="AA169" s="945">
        <f>'1.8.3 RenPTLR'!C169</f>
        <v>757.19886575005933</v>
      </c>
      <c r="AB169" s="910"/>
      <c r="AC169" s="910"/>
      <c r="AD169" s="950">
        <f t="shared" si="6"/>
        <v>3778.4161601482588</v>
      </c>
      <c r="AF169" s="911"/>
      <c r="AG169" s="1201">
        <f>+'1.3.1 CoalLR'!J169*Units!$C$20*1000</f>
        <v>9690.0636866148416</v>
      </c>
      <c r="AH169" s="910"/>
      <c r="AI169" s="842">
        <v>105.36773803526447</v>
      </c>
      <c r="AJ169" s="912"/>
      <c r="AK169" s="910"/>
      <c r="AL169" s="910"/>
      <c r="AM169" s="945">
        <f>'1.8.2 RenHLR'!H169</f>
        <v>466.84297898083349</v>
      </c>
      <c r="AN169" s="910"/>
      <c r="AO169" s="1082">
        <f t="shared" si="10"/>
        <v>10262.27440363094</v>
      </c>
      <c r="AQ169" s="911"/>
      <c r="AR169" s="916"/>
      <c r="AS169" s="910"/>
      <c r="AT169" s="910"/>
      <c r="AU169" s="912"/>
      <c r="AV169" s="910"/>
      <c r="AW169" s="910"/>
      <c r="AX169" s="910"/>
      <c r="AY169" s="910"/>
      <c r="AZ169" s="912"/>
      <c r="BB169" s="913"/>
      <c r="BC169" s="916">
        <f t="shared" si="11"/>
        <v>33990.975691487387</v>
      </c>
      <c r="BD169" s="944">
        <f t="shared" si="12"/>
        <v>8018.1036529715702</v>
      </c>
      <c r="BE169" s="914"/>
      <c r="BF169" s="910"/>
      <c r="BG169" s="916">
        <f>('1.6.1 GasLR'!O49)*Units!C$19</f>
        <v>185.75999999999993</v>
      </c>
      <c r="BH169" s="914"/>
      <c r="BI169" s="910"/>
      <c r="BJ169" s="910"/>
      <c r="BK169" s="842">
        <f t="shared" si="7"/>
        <v>757.19886575005933</v>
      </c>
      <c r="BL169" s="1085">
        <f t="shared" si="8"/>
        <v>2398.4368035128646</v>
      </c>
      <c r="BM169" s="910"/>
      <c r="BN169" s="921">
        <f t="shared" si="13"/>
        <v>45350.475013721887</v>
      </c>
    </row>
    <row r="170" spans="1:66" ht="10.5" customHeight="1" x14ac:dyDescent="0.35">
      <c r="A170" s="841">
        <v>1860</v>
      </c>
      <c r="B170" s="1201">
        <f>+'1.3.1 CoalLR'!K170*1000*Units!$C$20</f>
        <v>22256.900007573946</v>
      </c>
      <c r="C170" s="1202">
        <f>+'1.4.1 MSFLR'!B70</f>
        <v>8267.0552179127917</v>
      </c>
      <c r="D170" s="910"/>
      <c r="E170" s="932">
        <f>+[1]R!$BJ620*1000</f>
        <v>56.838995591939536</v>
      </c>
      <c r="F170" s="910"/>
      <c r="G170" s="910"/>
      <c r="H170" s="945">
        <f>'1.8.3 RenPTLR'!B170</f>
        <v>1.1530524505589017</v>
      </c>
      <c r="I170" s="945">
        <f>'1.8.3 RenPTLR'!E170</f>
        <v>32.861994840928588</v>
      </c>
      <c r="J170" s="910"/>
      <c r="K170" s="842">
        <f>'1.8.2 RenHLR'!I170+'1.8.3 RenPTLR'!G170</f>
        <v>1550.7081450302021</v>
      </c>
      <c r="L170" s="910"/>
      <c r="M170" s="952">
        <f t="shared" si="9"/>
        <v>32165.517413400368</v>
      </c>
      <c r="N170" s="911"/>
      <c r="O170" s="1204">
        <f>'1.3.1 CoalLR'!I170*1000</f>
        <v>2685.7142857142849</v>
      </c>
      <c r="P170" s="910"/>
      <c r="Q170" s="912"/>
      <c r="R170" s="910"/>
      <c r="S170" s="910"/>
      <c r="T170" s="910"/>
      <c r="U170" s="910"/>
      <c r="V170" s="945">
        <f>'1.8.3 RenPTLR'!H170</f>
        <v>403.1876636220473</v>
      </c>
      <c r="W170" s="910"/>
      <c r="X170" s="910"/>
      <c r="Y170" s="910"/>
      <c r="Z170" s="910"/>
      <c r="AA170" s="945">
        <f>'1.8.3 RenPTLR'!C170</f>
        <v>782.8426416051924</v>
      </c>
      <c r="AB170" s="910"/>
      <c r="AC170" s="910"/>
      <c r="AD170" s="950">
        <f t="shared" si="6"/>
        <v>3871.7445909415246</v>
      </c>
      <c r="AF170" s="911"/>
      <c r="AG170" s="1201">
        <f>+'1.3.1 CoalLR'!J170*Units!$C$20*1000</f>
        <v>10289.407477997303</v>
      </c>
      <c r="AH170" s="910"/>
      <c r="AI170" s="842">
        <v>113.67799118387907</v>
      </c>
      <c r="AJ170" s="912"/>
      <c r="AK170" s="910"/>
      <c r="AL170" s="910"/>
      <c r="AM170" s="945">
        <f>'1.8.2 RenHLR'!H170</f>
        <v>495.71786051429029</v>
      </c>
      <c r="AN170" s="910"/>
      <c r="AO170" s="1082">
        <f t="shared" si="10"/>
        <v>10898.803329695473</v>
      </c>
      <c r="AQ170" s="911"/>
      <c r="AR170" s="916"/>
      <c r="AS170" s="910"/>
      <c r="AT170" s="910"/>
      <c r="AU170" s="912"/>
      <c r="AV170" s="910"/>
      <c r="AW170" s="910"/>
      <c r="AX170" s="910"/>
      <c r="AY170" s="910"/>
      <c r="AZ170" s="912"/>
      <c r="BB170" s="913"/>
      <c r="BC170" s="916">
        <f t="shared" si="11"/>
        <v>35232.021771285537</v>
      </c>
      <c r="BD170" s="944">
        <f t="shared" si="12"/>
        <v>8267.0552179127917</v>
      </c>
      <c r="BE170" s="914"/>
      <c r="BF170" s="910"/>
      <c r="BG170" s="916">
        <f>('1.6.1 GasLR'!O50)*Units!C$19</f>
        <v>200.41071428571425</v>
      </c>
      <c r="BH170" s="914"/>
      <c r="BI170" s="910"/>
      <c r="BJ170" s="910"/>
      <c r="BK170" s="842">
        <f t="shared" si="7"/>
        <v>782.8426416051924</v>
      </c>
      <c r="BL170" s="1085">
        <f t="shared" si="8"/>
        <v>2449.6136691665397</v>
      </c>
      <c r="BM170" s="910"/>
      <c r="BN170" s="921">
        <f t="shared" si="13"/>
        <v>46931.94401425578</v>
      </c>
    </row>
    <row r="171" spans="1:66" ht="10.5" customHeight="1" x14ac:dyDescent="0.35">
      <c r="A171" s="841">
        <v>1861</v>
      </c>
      <c r="B171" s="1201">
        <f>+'1.3.1 CoalLR'!K171*1000*Units!$C$20</f>
        <v>22840.276906489315</v>
      </c>
      <c r="C171" s="1202">
        <f>+'1.4.1 MSFLR'!B71</f>
        <v>8517.7925612884374</v>
      </c>
      <c r="D171" s="910"/>
      <c r="E171" s="932">
        <f>+[1]R!$BJ621*1000</f>
        <v>59.870408690176319</v>
      </c>
      <c r="F171" s="910"/>
      <c r="G171" s="910"/>
      <c r="H171" s="945">
        <f>'1.8.3 RenPTLR'!B171</f>
        <v>1.1299914015477239</v>
      </c>
      <c r="I171" s="945">
        <f>'1.8.3 RenPTLR'!E171</f>
        <v>33.111822871883014</v>
      </c>
      <c r="J171" s="910"/>
      <c r="K171" s="842">
        <f>'1.8.2 RenHLR'!I171+'1.8.3 RenPTLR'!G171</f>
        <v>1563.1828427708829</v>
      </c>
      <c r="L171" s="910"/>
      <c r="M171" s="952">
        <f t="shared" si="9"/>
        <v>33015.364533512242</v>
      </c>
      <c r="N171" s="911"/>
      <c r="O171" s="1204">
        <f>'1.3.1 CoalLR'!I171*1000</f>
        <v>2742.8571428571422</v>
      </c>
      <c r="P171" s="910"/>
      <c r="Q171" s="912"/>
      <c r="R171" s="910"/>
      <c r="S171" s="910"/>
      <c r="T171" s="910"/>
      <c r="U171" s="910"/>
      <c r="V171" s="945">
        <f>'1.8.3 RenPTLR'!H171</f>
        <v>413.72946141732285</v>
      </c>
      <c r="W171" s="910"/>
      <c r="X171" s="910"/>
      <c r="Y171" s="910"/>
      <c r="Z171" s="910"/>
      <c r="AA171" s="945">
        <f>'1.8.3 RenPTLR'!C171</f>
        <v>803.33924975837499</v>
      </c>
      <c r="AB171" s="910"/>
      <c r="AC171" s="910"/>
      <c r="AD171" s="950">
        <f t="shared" si="6"/>
        <v>3959.9258540328401</v>
      </c>
      <c r="AF171" s="911"/>
      <c r="AG171" s="1201">
        <f>+'1.3.1 CoalLR'!J171*Units!$C$20*1000</f>
        <v>10281.406162519943</v>
      </c>
      <c r="AH171" s="910"/>
      <c r="AI171" s="842">
        <v>119.74081738035264</v>
      </c>
      <c r="AJ171" s="912"/>
      <c r="AK171" s="910"/>
      <c r="AL171" s="910"/>
      <c r="AM171" s="945">
        <f>'1.8.2 RenHLR'!H171</f>
        <v>495.33237719095808</v>
      </c>
      <c r="AN171" s="910"/>
      <c r="AO171" s="1082">
        <f t="shared" si="10"/>
        <v>10896.479357091253</v>
      </c>
      <c r="AQ171" s="911"/>
      <c r="AR171" s="916"/>
      <c r="AS171" s="910"/>
      <c r="AT171" s="910"/>
      <c r="AU171" s="912"/>
      <c r="AV171" s="910"/>
      <c r="AW171" s="910"/>
      <c r="AX171" s="910"/>
      <c r="AY171" s="910"/>
      <c r="AZ171" s="912"/>
      <c r="BB171" s="913"/>
      <c r="BC171" s="916">
        <f t="shared" si="11"/>
        <v>35864.540211866399</v>
      </c>
      <c r="BD171" s="944">
        <f t="shared" si="12"/>
        <v>8517.7925612884374</v>
      </c>
      <c r="BE171" s="914"/>
      <c r="BF171" s="910"/>
      <c r="BG171" s="916">
        <f>('1.6.1 GasLR'!O51)*Units!C$19</f>
        <v>211.09928571428571</v>
      </c>
      <c r="BH171" s="914"/>
      <c r="BI171" s="910"/>
      <c r="BJ171" s="910"/>
      <c r="BK171" s="842">
        <f t="shared" si="7"/>
        <v>803.33924975837499</v>
      </c>
      <c r="BL171" s="1085">
        <f t="shared" si="8"/>
        <v>2472.2446813791639</v>
      </c>
      <c r="BM171" s="910"/>
      <c r="BN171" s="921">
        <f t="shared" si="13"/>
        <v>47869.015990006657</v>
      </c>
    </row>
    <row r="172" spans="1:66" ht="10.5" customHeight="1" x14ac:dyDescent="0.35">
      <c r="A172" s="841">
        <v>1862</v>
      </c>
      <c r="B172" s="1201">
        <f>+'1.3.1 CoalLR'!K172*1000*Units!$C$20</f>
        <v>23422.471273047227</v>
      </c>
      <c r="C172" s="1202">
        <f>+'1.4.1 MSFLR'!B72</f>
        <v>8770.3156830985099</v>
      </c>
      <c r="D172" s="910"/>
      <c r="E172" s="932">
        <f>+[1]R!$BJ622*1000</f>
        <v>62.901821788413095</v>
      </c>
      <c r="F172" s="910"/>
      <c r="G172" s="910"/>
      <c r="H172" s="945">
        <f>'1.8.3 RenPTLR'!B172</f>
        <v>1.1069303525365461</v>
      </c>
      <c r="I172" s="945">
        <f>'1.8.3 RenPTLR'!E172</f>
        <v>33.361650902837447</v>
      </c>
      <c r="J172" s="910"/>
      <c r="K172" s="842">
        <f>'1.8.2 RenHLR'!I172+'1.8.3 RenPTLR'!G172</f>
        <v>1575.8850916063502</v>
      </c>
      <c r="L172" s="910"/>
      <c r="M172" s="952">
        <f t="shared" ref="M172:M203" si="14">SUM(B172:L172)</f>
        <v>33866.042450795874</v>
      </c>
      <c r="N172" s="911"/>
      <c r="O172" s="1204">
        <f>'1.3.1 CoalLR'!I172*1000</f>
        <v>2799.9999999999991</v>
      </c>
      <c r="P172" s="910"/>
      <c r="Q172" s="912"/>
      <c r="R172" s="910"/>
      <c r="S172" s="910"/>
      <c r="T172" s="910"/>
      <c r="U172" s="910"/>
      <c r="V172" s="945">
        <f>'1.8.3 RenPTLR'!H172</f>
        <v>424.27125921259858</v>
      </c>
      <c r="W172" s="910"/>
      <c r="X172" s="910"/>
      <c r="Y172" s="910"/>
      <c r="Z172" s="910"/>
      <c r="AA172" s="945">
        <f>'1.8.3 RenPTLR'!C172</f>
        <v>809.17579702700914</v>
      </c>
      <c r="AB172" s="910"/>
      <c r="AC172" s="910"/>
      <c r="AD172" s="950">
        <f t="shared" si="6"/>
        <v>4033.4470562396068</v>
      </c>
      <c r="AF172" s="911"/>
      <c r="AG172" s="1201">
        <f>+'1.3.1 CoalLR'!J172*Units!$C$20*1000</f>
        <v>10361.568845642909</v>
      </c>
      <c r="AH172" s="910"/>
      <c r="AI172" s="842">
        <v>125.80364357682619</v>
      </c>
      <c r="AJ172" s="912"/>
      <c r="AK172" s="910"/>
      <c r="AL172" s="910"/>
      <c r="AM172" s="945">
        <f>'1.8.2 RenHLR'!H172</f>
        <v>499.19441432533893</v>
      </c>
      <c r="AN172" s="910"/>
      <c r="AO172" s="1082">
        <f t="shared" si="10"/>
        <v>10986.566903545074</v>
      </c>
      <c r="AQ172" s="911"/>
      <c r="AR172" s="916"/>
      <c r="AS172" s="910"/>
      <c r="AT172" s="910"/>
      <c r="AU172" s="912"/>
      <c r="AV172" s="910"/>
      <c r="AW172" s="910"/>
      <c r="AX172" s="910"/>
      <c r="AY172" s="910"/>
      <c r="AZ172" s="912"/>
      <c r="BB172" s="913"/>
      <c r="BC172" s="916">
        <f t="shared" si="11"/>
        <v>36584.040118690136</v>
      </c>
      <c r="BD172" s="944">
        <f t="shared" si="12"/>
        <v>8770.3156830985099</v>
      </c>
      <c r="BE172" s="914"/>
      <c r="BF172" s="910"/>
      <c r="BG172" s="916">
        <f>('1.6.1 GasLR'!O52)*Units!C$19</f>
        <v>221.78785714285715</v>
      </c>
      <c r="BH172" s="914"/>
      <c r="BI172" s="910"/>
      <c r="BJ172" s="910"/>
      <c r="BK172" s="842">
        <f t="shared" si="7"/>
        <v>809.17579702700914</v>
      </c>
      <c r="BL172" s="1085">
        <f t="shared" si="8"/>
        <v>2499.3507651442878</v>
      </c>
      <c r="BM172" s="910"/>
      <c r="BN172" s="921">
        <f t="shared" ref="BN172:BN203" si="15">SUM(BC172:BM172)</f>
        <v>48884.670221102802</v>
      </c>
    </row>
    <row r="173" spans="1:66" ht="10.5" customHeight="1" x14ac:dyDescent="0.35">
      <c r="A173" s="841">
        <v>1863</v>
      </c>
      <c r="B173" s="1201">
        <f>+'1.3.1 CoalLR'!K173*1000*Units!$C$20</f>
        <v>24003.483107247685</v>
      </c>
      <c r="C173" s="1202">
        <f>+'1.4.1 MSFLR'!B73</f>
        <v>9024.6245833430075</v>
      </c>
      <c r="D173" s="910"/>
      <c r="E173" s="932">
        <f>+[1]R!$BJ623*1000</f>
        <v>65.933234886649856</v>
      </c>
      <c r="F173" s="910"/>
      <c r="G173" s="910"/>
      <c r="H173" s="945">
        <f>'1.8.3 RenPTLR'!B173</f>
        <v>1.0838693035253679</v>
      </c>
      <c r="I173" s="945">
        <f>'1.8.3 RenPTLR'!E173</f>
        <v>33.611478933791872</v>
      </c>
      <c r="J173" s="910"/>
      <c r="K173" s="842">
        <f>'1.8.2 RenHLR'!I173+'1.8.3 RenPTLR'!G173</f>
        <v>1588.6515105379585</v>
      </c>
      <c r="L173" s="910"/>
      <c r="M173" s="952">
        <f t="shared" si="14"/>
        <v>34717.387784252627</v>
      </c>
      <c r="N173" s="911"/>
      <c r="O173" s="1204">
        <f>'1.3.1 CoalLR'!I173*1000</f>
        <v>2857.142857142856</v>
      </c>
      <c r="P173" s="910"/>
      <c r="Q173" s="912"/>
      <c r="R173" s="910"/>
      <c r="S173" s="910"/>
      <c r="T173" s="910"/>
      <c r="U173" s="910"/>
      <c r="V173" s="945">
        <f>'1.8.3 RenPTLR'!H173</f>
        <v>434.81305700787408</v>
      </c>
      <c r="W173" s="910"/>
      <c r="X173" s="910"/>
      <c r="Y173" s="910"/>
      <c r="Z173" s="910"/>
      <c r="AA173" s="945">
        <f>'1.8.3 RenPTLR'!C173</f>
        <v>822.62401566378946</v>
      </c>
      <c r="AB173" s="910"/>
      <c r="AC173" s="910"/>
      <c r="AD173" s="950">
        <f t="shared" si="6"/>
        <v>4114.5799298145193</v>
      </c>
      <c r="AF173" s="911"/>
      <c r="AG173" s="1201">
        <f>+'1.3.1 CoalLR'!J173*Units!$C$20*1000</f>
        <v>10925.955574737982</v>
      </c>
      <c r="AH173" s="910"/>
      <c r="AI173" s="842">
        <v>131.86646977329971</v>
      </c>
      <c r="AJ173" s="912"/>
      <c r="AK173" s="910"/>
      <c r="AL173" s="910"/>
      <c r="AM173" s="945">
        <f>'1.8.2 RenHLR'!H173</f>
        <v>526.38515222234014</v>
      </c>
      <c r="AN173" s="910"/>
      <c r="AO173" s="1082">
        <f t="shared" si="10"/>
        <v>11584.207196733621</v>
      </c>
      <c r="AQ173" s="911"/>
      <c r="AR173" s="916"/>
      <c r="AS173" s="910"/>
      <c r="AT173" s="910"/>
      <c r="AU173" s="912"/>
      <c r="AV173" s="910"/>
      <c r="AW173" s="910"/>
      <c r="AX173" s="910"/>
      <c r="AY173" s="910"/>
      <c r="AZ173" s="912"/>
      <c r="BB173" s="913"/>
      <c r="BC173" s="916">
        <f t="shared" si="11"/>
        <v>37786.581539128521</v>
      </c>
      <c r="BD173" s="944">
        <f t="shared" si="12"/>
        <v>9024.6245833430075</v>
      </c>
      <c r="BE173" s="914"/>
      <c r="BF173" s="910"/>
      <c r="BG173" s="916">
        <f>('1.6.1 GasLR'!O53)*Units!C$19</f>
        <v>232.47642857142858</v>
      </c>
      <c r="BH173" s="914"/>
      <c r="BI173" s="910"/>
      <c r="BJ173" s="910"/>
      <c r="BK173" s="842">
        <f t="shared" si="7"/>
        <v>822.62401566378946</v>
      </c>
      <c r="BL173" s="1085">
        <f t="shared" si="8"/>
        <v>2549.8497197681727</v>
      </c>
      <c r="BM173" s="832"/>
      <c r="BN173" s="921">
        <f t="shared" si="15"/>
        <v>50416.156286474914</v>
      </c>
    </row>
    <row r="174" spans="1:66" ht="10.5" customHeight="1" x14ac:dyDescent="0.35">
      <c r="A174" s="841">
        <v>1864</v>
      </c>
      <c r="B174" s="1201">
        <f>+'1.3.1 CoalLR'!K174*1000*Units!$C$20</f>
        <v>24583.312409090682</v>
      </c>
      <c r="C174" s="1202">
        <f>+'1.4.1 MSFLR'!B74</f>
        <v>9280.7192620219339</v>
      </c>
      <c r="D174" s="910"/>
      <c r="E174" s="932">
        <f>+[1]R!$BJ624*1000</f>
        <v>68.964647984886653</v>
      </c>
      <c r="F174" s="910"/>
      <c r="G174" s="910"/>
      <c r="H174" s="945">
        <f>'1.8.3 RenPTLR'!B174</f>
        <v>1.0608082545141901</v>
      </c>
      <c r="I174" s="945">
        <f>'1.8.3 RenPTLR'!E174</f>
        <v>33.861306964746298</v>
      </c>
      <c r="J174" s="910"/>
      <c r="K174" s="842">
        <f>'1.8.2 RenHLR'!I174+'1.8.3 RenPTLR'!G174</f>
        <v>1601.4823766117056</v>
      </c>
      <c r="L174" s="910"/>
      <c r="M174" s="952">
        <f t="shared" si="14"/>
        <v>35569.40081092847</v>
      </c>
      <c r="N174" s="911"/>
      <c r="O174" s="1204">
        <f>'1.3.1 CoalLR'!I174*1000</f>
        <v>2914.2857142857129</v>
      </c>
      <c r="P174" s="910"/>
      <c r="Q174" s="912"/>
      <c r="R174" s="910"/>
      <c r="S174" s="910"/>
      <c r="T174" s="910"/>
      <c r="U174" s="910"/>
      <c r="V174" s="945">
        <f>'1.8.3 RenPTLR'!H174</f>
        <v>445.35485480314964</v>
      </c>
      <c r="W174" s="910"/>
      <c r="X174" s="910"/>
      <c r="Y174" s="910"/>
      <c r="Z174" s="910"/>
      <c r="AA174" s="945">
        <f>'1.8.3 RenPTLR'!C174</f>
        <v>821.95789906475989</v>
      </c>
      <c r="AB174" s="910"/>
      <c r="AC174" s="910"/>
      <c r="AD174" s="950">
        <f t="shared" si="6"/>
        <v>4181.598468153622</v>
      </c>
      <c r="AF174" s="911"/>
      <c r="AG174" s="1201">
        <f>+'1.3.1 CoalLR'!J174*Units!$C$20*1000</f>
        <v>11203.171607049033</v>
      </c>
      <c r="AH174" s="910"/>
      <c r="AI174" s="842">
        <v>137.92929596977331</v>
      </c>
      <c r="AJ174" s="912"/>
      <c r="AK174" s="910"/>
      <c r="AL174" s="910"/>
      <c r="AM174" s="945">
        <f>'1.8.2 RenHLR'!H174</f>
        <v>539.74072578003552</v>
      </c>
      <c r="AN174" s="910"/>
      <c r="AO174" s="1082">
        <f t="shared" si="10"/>
        <v>11880.841628798842</v>
      </c>
      <c r="AQ174" s="911"/>
      <c r="AR174" s="916"/>
      <c r="AS174" s="910"/>
      <c r="AT174" s="910"/>
      <c r="AU174" s="912"/>
      <c r="AV174" s="910"/>
      <c r="AW174" s="910"/>
      <c r="AX174" s="910"/>
      <c r="AY174" s="910"/>
      <c r="AZ174" s="912"/>
      <c r="BB174" s="913"/>
      <c r="BC174" s="916">
        <f t="shared" si="11"/>
        <v>38700.769730425425</v>
      </c>
      <c r="BD174" s="944">
        <f t="shared" si="12"/>
        <v>9280.7192620219339</v>
      </c>
      <c r="BE174" s="914"/>
      <c r="BF174" s="910"/>
      <c r="BG174" s="916">
        <f>('1.6.1 GasLR'!O54)*Units!C$19</f>
        <v>243.16500000000002</v>
      </c>
      <c r="BH174" s="914"/>
      <c r="BI174" s="910"/>
      <c r="BJ174" s="910"/>
      <c r="BK174" s="842">
        <f t="shared" si="7"/>
        <v>821.95789906475989</v>
      </c>
      <c r="BL174" s="1085">
        <f t="shared" si="8"/>
        <v>2586.5779571948906</v>
      </c>
      <c r="BM174" s="832"/>
      <c r="BN174" s="921">
        <f t="shared" si="15"/>
        <v>51633.189848707007</v>
      </c>
    </row>
    <row r="175" spans="1:66" ht="10.5" customHeight="1" x14ac:dyDescent="0.35">
      <c r="A175" s="841">
        <v>1865</v>
      </c>
      <c r="B175" s="1201">
        <f>+'1.3.1 CoalLR'!K175*1000*Units!$C$20</f>
        <v>25161.959178576228</v>
      </c>
      <c r="C175" s="1202">
        <f>+'1.4.1 MSFLR'!B75</f>
        <v>9538.5997191352817</v>
      </c>
      <c r="D175" s="910"/>
      <c r="E175" s="932">
        <f>+[1]R!$BJ625*1000</f>
        <v>71.996061083123408</v>
      </c>
      <c r="F175" s="910"/>
      <c r="G175" s="910"/>
      <c r="H175" s="945">
        <f>'1.8.3 RenPTLR'!B175</f>
        <v>1.0377472055030124</v>
      </c>
      <c r="I175" s="945">
        <f>'1.8.3 RenPTLR'!E175</f>
        <v>34.111134995700723</v>
      </c>
      <c r="J175" s="910"/>
      <c r="K175" s="842">
        <f>'1.8.2 RenHLR'!I175+'1.8.3 RenPTLR'!G175</f>
        <v>1614.3779780947741</v>
      </c>
      <c r="L175" s="910"/>
      <c r="M175" s="952">
        <f t="shared" si="14"/>
        <v>36422.081819090614</v>
      </c>
      <c r="N175" s="911"/>
      <c r="O175" s="1204">
        <f>'1.3.1 CoalLR'!I175*1000</f>
        <v>2971.4285714285697</v>
      </c>
      <c r="P175" s="910"/>
      <c r="Q175" s="912"/>
      <c r="R175" s="910"/>
      <c r="S175" s="910"/>
      <c r="T175" s="910"/>
      <c r="U175" s="910"/>
      <c r="V175" s="945">
        <f>'1.8.3 RenPTLR'!H175</f>
        <v>455.89665259842525</v>
      </c>
      <c r="W175" s="910"/>
      <c r="X175" s="910"/>
      <c r="Y175" s="910"/>
      <c r="Z175" s="910"/>
      <c r="AA175" s="945">
        <f>'1.8.3 RenPTLR'!C175</f>
        <v>830.68988711822146</v>
      </c>
      <c r="AB175" s="910"/>
      <c r="AC175" s="910"/>
      <c r="AD175" s="950">
        <f t="shared" si="6"/>
        <v>4258.015111145216</v>
      </c>
      <c r="AF175" s="911"/>
      <c r="AG175" s="1201">
        <f>+'1.3.1 CoalLR'!J175*Units!$C$20*1000</f>
        <v>11475.265378202446</v>
      </c>
      <c r="AH175" s="910"/>
      <c r="AI175" s="842">
        <v>143.99212216624682</v>
      </c>
      <c r="AJ175" s="912"/>
      <c r="AK175" s="910"/>
      <c r="AL175" s="910"/>
      <c r="AM175" s="945">
        <f>'1.8.2 RenHLR'!H175</f>
        <v>552.84952163478852</v>
      </c>
      <c r="AN175" s="910"/>
      <c r="AO175" s="1082">
        <f t="shared" si="10"/>
        <v>12172.107022003482</v>
      </c>
      <c r="AQ175" s="911"/>
      <c r="AR175" s="916"/>
      <c r="AS175" s="910"/>
      <c r="AT175" s="910"/>
      <c r="AU175" s="912"/>
      <c r="AV175" s="910"/>
      <c r="AW175" s="910"/>
      <c r="AX175" s="910"/>
      <c r="AY175" s="910"/>
      <c r="AZ175" s="912"/>
      <c r="BB175" s="913"/>
      <c r="BC175" s="916">
        <f t="shared" si="11"/>
        <v>39608.653128207239</v>
      </c>
      <c r="BD175" s="944">
        <f t="shared" si="12"/>
        <v>9538.5997191352817</v>
      </c>
      <c r="BE175" s="914"/>
      <c r="BF175" s="910"/>
      <c r="BG175" s="916">
        <f>('1.6.1 GasLR'!O55)*Units!C$19</f>
        <v>253.85357142857143</v>
      </c>
      <c r="BH175" s="914"/>
      <c r="BI175" s="910"/>
      <c r="BJ175" s="910"/>
      <c r="BK175" s="842">
        <f t="shared" si="7"/>
        <v>830.68988711822146</v>
      </c>
      <c r="BL175" s="1085">
        <f t="shared" si="8"/>
        <v>2623.1241523279878</v>
      </c>
      <c r="BM175" s="832"/>
      <c r="BN175" s="921">
        <f t="shared" si="15"/>
        <v>52854.920458217297</v>
      </c>
    </row>
    <row r="176" spans="1:66" ht="10.5" customHeight="1" x14ac:dyDescent="0.35">
      <c r="A176" s="841">
        <v>1866</v>
      </c>
      <c r="B176" s="1201">
        <f>+'1.3.1 CoalLR'!K176*1000*Units!$C$20</f>
        <v>25739.423415704317</v>
      </c>
      <c r="C176" s="1202">
        <f>+'1.4.1 MSFLR'!B76</f>
        <v>9798.2659546830619</v>
      </c>
      <c r="D176" s="910"/>
      <c r="E176" s="932">
        <f>+[1]R!$BJ626*1000</f>
        <v>74.269620906801009</v>
      </c>
      <c r="F176" s="910"/>
      <c r="G176" s="910"/>
      <c r="H176" s="945">
        <f>'1.8.3 RenPTLR'!B176</f>
        <v>1.0146861564918344</v>
      </c>
      <c r="I176" s="945">
        <f>'1.8.3 RenPTLR'!E176</f>
        <v>34.360963026655149</v>
      </c>
      <c r="J176" s="910"/>
      <c r="K176" s="842">
        <f>'1.8.2 RenHLR'!I176+'1.8.3 RenPTLR'!G176</f>
        <v>1627.3448563055251</v>
      </c>
      <c r="L176" s="910"/>
      <c r="M176" s="952">
        <f t="shared" si="14"/>
        <v>37274.679496782861</v>
      </c>
      <c r="N176" s="911"/>
      <c r="O176" s="1204">
        <f>'1.3.1 CoalLR'!I176*1000</f>
        <v>3028.5714285714266</v>
      </c>
      <c r="P176" s="910"/>
      <c r="Q176" s="912"/>
      <c r="R176" s="910"/>
      <c r="S176" s="910"/>
      <c r="T176" s="910"/>
      <c r="U176" s="910"/>
      <c r="V176" s="945">
        <f>'1.8.3 RenPTLR'!H176</f>
        <v>466.43845039370103</v>
      </c>
      <c r="W176" s="910"/>
      <c r="X176" s="910"/>
      <c r="Y176" s="910"/>
      <c r="Z176" s="910"/>
      <c r="AA176" s="945">
        <f>'1.8.3 RenPTLR'!C176</f>
        <v>853.05211814646748</v>
      </c>
      <c r="AB176" s="910"/>
      <c r="AC176" s="910"/>
      <c r="AD176" s="950">
        <f t="shared" si="6"/>
        <v>4348.0619971115948</v>
      </c>
      <c r="AF176" s="911"/>
      <c r="AG176" s="1201">
        <f>+'1.3.1 CoalLR'!J176*Units!$C$20*1000</f>
        <v>11598.008675849753</v>
      </c>
      <c r="AH176" s="910"/>
      <c r="AI176" s="842">
        <v>148.53924181360202</v>
      </c>
      <c r="AJ176" s="912"/>
      <c r="AK176" s="910"/>
      <c r="AL176" s="910"/>
      <c r="AM176" s="945">
        <f>'1.8.2 RenHLR'!H176</f>
        <v>558.76298604294834</v>
      </c>
      <c r="AN176" s="910"/>
      <c r="AO176" s="1082">
        <f t="shared" si="10"/>
        <v>12305.310903706302</v>
      </c>
      <c r="AQ176" s="911"/>
      <c r="AR176" s="916"/>
      <c r="AS176" s="910"/>
      <c r="AT176" s="910"/>
      <c r="AU176" s="912"/>
      <c r="AV176" s="910"/>
      <c r="AW176" s="910"/>
      <c r="AX176" s="910"/>
      <c r="AY176" s="910"/>
      <c r="AZ176" s="912"/>
      <c r="BB176" s="913"/>
      <c r="BC176" s="916">
        <f t="shared" si="11"/>
        <v>40366.003520125494</v>
      </c>
      <c r="BD176" s="944">
        <f t="shared" si="12"/>
        <v>9798.2659546830619</v>
      </c>
      <c r="BE176" s="914"/>
      <c r="BF176" s="910"/>
      <c r="BG176" s="916">
        <f>('1.6.1 GasLR'!O56)*Units!C$19</f>
        <v>261.87</v>
      </c>
      <c r="BH176" s="914"/>
      <c r="BI176" s="910"/>
      <c r="BJ176" s="910"/>
      <c r="BK176" s="842">
        <f t="shared" si="7"/>
        <v>853.05211814646748</v>
      </c>
      <c r="BL176" s="1085">
        <f t="shared" si="8"/>
        <v>2652.5462927421745</v>
      </c>
      <c r="BM176" s="832"/>
      <c r="BN176" s="921">
        <f t="shared" si="15"/>
        <v>53931.737885697199</v>
      </c>
    </row>
    <row r="177" spans="1:66" ht="10.5" customHeight="1" x14ac:dyDescent="0.35">
      <c r="A177" s="841">
        <v>1867</v>
      </c>
      <c r="B177" s="1201">
        <f>+'1.3.1 CoalLR'!K177*1000*Units!$C$20</f>
        <v>26315.705120474948</v>
      </c>
      <c r="C177" s="1202">
        <f>+'1.4.1 MSFLR'!B77</f>
        <v>10059.717968665262</v>
      </c>
      <c r="D177" s="910"/>
      <c r="E177" s="932">
        <f>+[1]R!$BJ627*1000</f>
        <v>76.543180730478582</v>
      </c>
      <c r="F177" s="910"/>
      <c r="G177" s="910"/>
      <c r="H177" s="945">
        <f>'1.8.3 RenPTLR'!B177</f>
        <v>0.99162510748065624</v>
      </c>
      <c r="I177" s="945">
        <f>'1.8.3 RenPTLR'!E177</f>
        <v>34.610791057609582</v>
      </c>
      <c r="J177" s="910"/>
      <c r="K177" s="842">
        <f>'1.8.2 RenHLR'!I177+'1.8.3 RenPTLR'!G177</f>
        <v>1640.3737898848951</v>
      </c>
      <c r="L177" s="910"/>
      <c r="M177" s="952">
        <f t="shared" si="14"/>
        <v>38127.942475920674</v>
      </c>
      <c r="N177" s="911"/>
      <c r="O177" s="1204">
        <f>'1.3.1 CoalLR'!I177*1000</f>
        <v>3085.7142857142835</v>
      </c>
      <c r="P177" s="910"/>
      <c r="Q177" s="912"/>
      <c r="R177" s="910"/>
      <c r="S177" s="910"/>
      <c r="T177" s="910"/>
      <c r="U177" s="910"/>
      <c r="V177" s="945">
        <f>'1.8.3 RenPTLR'!H177</f>
        <v>476.98024818897642</v>
      </c>
      <c r="W177" s="910"/>
      <c r="X177" s="910"/>
      <c r="Y177" s="910"/>
      <c r="Z177" s="910"/>
      <c r="AA177" s="945">
        <f>'1.8.3 RenPTLR'!C177</f>
        <v>847.72343478378366</v>
      </c>
      <c r="AB177" s="910"/>
      <c r="AC177" s="910"/>
      <c r="AD177" s="950">
        <f t="shared" si="6"/>
        <v>4410.4179686870439</v>
      </c>
      <c r="AF177" s="911"/>
      <c r="AG177" s="1201">
        <f>+'1.3.1 CoalLR'!J177*Units!$C$20*1000</f>
        <v>11603.199975363292</v>
      </c>
      <c r="AH177" s="910"/>
      <c r="AI177" s="842">
        <v>153.08636146095716</v>
      </c>
      <c r="AJ177" s="912"/>
      <c r="AK177" s="910"/>
      <c r="AL177" s="910"/>
      <c r="AM177" s="945">
        <f>'1.8.2 RenHLR'!H177</f>
        <v>559.01308984082448</v>
      </c>
      <c r="AN177" s="910"/>
      <c r="AO177" s="1082">
        <f t="shared" si="10"/>
        <v>12315.299426665073</v>
      </c>
      <c r="AQ177" s="911"/>
      <c r="AR177" s="916"/>
      <c r="AS177" s="910"/>
      <c r="AT177" s="910"/>
      <c r="AU177" s="912"/>
      <c r="AV177" s="910"/>
      <c r="AW177" s="910"/>
      <c r="AX177" s="910"/>
      <c r="AY177" s="910"/>
      <c r="AZ177" s="912"/>
      <c r="BB177" s="913"/>
      <c r="BC177" s="916">
        <f t="shared" si="11"/>
        <v>41004.619381552518</v>
      </c>
      <c r="BD177" s="944">
        <f t="shared" si="12"/>
        <v>10059.717968665262</v>
      </c>
      <c r="BE177" s="914"/>
      <c r="BF177" s="910"/>
      <c r="BG177" s="916">
        <f>('1.6.1 GasLR'!O57)*Units!C$19</f>
        <v>269.88642857142855</v>
      </c>
      <c r="BH177" s="914"/>
      <c r="BI177" s="910"/>
      <c r="BJ177" s="910"/>
      <c r="BK177" s="842">
        <f t="shared" si="7"/>
        <v>847.72343478378366</v>
      </c>
      <c r="BL177" s="1085">
        <f t="shared" si="8"/>
        <v>2676.3671279146956</v>
      </c>
      <c r="BM177" s="832"/>
      <c r="BN177" s="921">
        <f t="shared" si="15"/>
        <v>54858.314341487683</v>
      </c>
    </row>
    <row r="178" spans="1:66" ht="10.5" customHeight="1" x14ac:dyDescent="0.35">
      <c r="A178" s="841">
        <v>1868</v>
      </c>
      <c r="B178" s="916">
        <f>+'1.3.1 CoalLR'!K178*1000*Units!$C$20</f>
        <v>26890.804292888126</v>
      </c>
      <c r="C178" s="842">
        <f>+'1.4.1 MSFLR'!B78</f>
        <v>10322.955761081892</v>
      </c>
      <c r="D178" s="910"/>
      <c r="E178" s="932">
        <f>+[1]R!$BJ628*1000</f>
        <v>78.816740554156169</v>
      </c>
      <c r="F178" s="910"/>
      <c r="G178" s="910"/>
      <c r="H178" s="945">
        <f>'1.8.3 RenPTLR'!B178</f>
        <v>0.96856405846947846</v>
      </c>
      <c r="I178" s="945">
        <f>'1.8.3 RenPTLR'!E178</f>
        <v>34.860619088564007</v>
      </c>
      <c r="J178" s="910"/>
      <c r="K178" s="842">
        <f>'1.8.2 RenHLR'!I178+'1.8.3 RenPTLR'!G178</f>
        <v>1653.4743006142767</v>
      </c>
      <c r="L178" s="910"/>
      <c r="M178" s="952">
        <f t="shared" si="14"/>
        <v>38981.880278285484</v>
      </c>
      <c r="N178" s="911"/>
      <c r="O178" s="945">
        <f>'1.3.1 CoalLR'!I178*1000</f>
        <v>3142.8571428571404</v>
      </c>
      <c r="P178" s="910"/>
      <c r="Q178" s="912"/>
      <c r="R178" s="910"/>
      <c r="S178" s="910"/>
      <c r="T178" s="910"/>
      <c r="U178" s="910"/>
      <c r="V178" s="945">
        <f>'1.8.3 RenPTLR'!H178</f>
        <v>487.52204598425197</v>
      </c>
      <c r="W178" s="910"/>
      <c r="X178" s="910"/>
      <c r="Y178" s="910"/>
      <c r="Z178" s="910"/>
      <c r="AA178" s="945">
        <f>'1.8.3 RenPTLR'!C178</f>
        <v>898.74388638803839</v>
      </c>
      <c r="AB178" s="910"/>
      <c r="AC178" s="910"/>
      <c r="AD178" s="950">
        <f t="shared" si="6"/>
        <v>4529.1230752294305</v>
      </c>
      <c r="AF178" s="911"/>
      <c r="AG178" s="916">
        <f>+'1.3.1 CoalLR'!J178*Units!$C$20*1000</f>
        <v>11663.913131561218</v>
      </c>
      <c r="AH178" s="910"/>
      <c r="AI178" s="842">
        <v>157.63348110831234</v>
      </c>
      <c r="AJ178" s="912"/>
      <c r="AK178" s="910"/>
      <c r="AL178" s="910"/>
      <c r="AM178" s="945">
        <f>'1.8.2 RenHLR'!H178</f>
        <v>561.93809752079665</v>
      </c>
      <c r="AN178" s="910"/>
      <c r="AO178" s="1082">
        <f t="shared" si="10"/>
        <v>12383.484710190327</v>
      </c>
      <c r="AQ178" s="911"/>
      <c r="AR178" s="916"/>
      <c r="AS178" s="910"/>
      <c r="AT178" s="910"/>
      <c r="AU178" s="912"/>
      <c r="AV178" s="910"/>
      <c r="AW178" s="910"/>
      <c r="AX178" s="910"/>
      <c r="AY178" s="910"/>
      <c r="AZ178" s="912"/>
      <c r="BB178" s="913"/>
      <c r="BC178" s="916">
        <f t="shared" si="11"/>
        <v>41697.574567306481</v>
      </c>
      <c r="BD178" s="944">
        <f t="shared" si="12"/>
        <v>10322.955761081892</v>
      </c>
      <c r="BE178" s="914"/>
      <c r="BF178" s="910"/>
      <c r="BG178" s="916">
        <f>('1.6.1 GasLR'!O58)*Units!C$19</f>
        <v>277.90285714285727</v>
      </c>
      <c r="BH178" s="914"/>
      <c r="BI178" s="910"/>
      <c r="BJ178" s="910"/>
      <c r="BK178" s="842">
        <f t="shared" si="7"/>
        <v>898.74388638803839</v>
      </c>
      <c r="BL178" s="1085">
        <f t="shared" si="8"/>
        <v>2702.9344441193252</v>
      </c>
      <c r="BM178" s="832"/>
      <c r="BN178" s="921">
        <f t="shared" si="15"/>
        <v>55900.111516038589</v>
      </c>
    </row>
    <row r="179" spans="1:66" ht="10.5" customHeight="1" x14ac:dyDescent="0.35">
      <c r="A179" s="841">
        <v>1869</v>
      </c>
      <c r="B179" s="1201">
        <f>+'1.3.1 CoalLR'!K179*1000*Units!$C$20</f>
        <v>27464.720932943837</v>
      </c>
      <c r="C179" s="1202">
        <f>+'1.4.1 MSFLR'!B79</f>
        <v>10587.979331932942</v>
      </c>
      <c r="D179" s="910"/>
      <c r="E179" s="932">
        <f>+[1]R!$BJ629*1000</f>
        <v>81.090300377833771</v>
      </c>
      <c r="F179" s="910"/>
      <c r="G179" s="910"/>
      <c r="H179" s="945">
        <f>'1.8.3 RenPTLR'!B179</f>
        <v>0.94550300945830057</v>
      </c>
      <c r="I179" s="945">
        <f>'1.8.3 RenPTLR'!E179</f>
        <v>35.110447119518433</v>
      </c>
      <c r="J179" s="910"/>
      <c r="K179" s="842">
        <f>'1.8.2 RenHLR'!I179+'1.8.3 RenPTLR'!G179</f>
        <v>1666.6404874695163</v>
      </c>
      <c r="L179" s="910"/>
      <c r="M179" s="952">
        <f t="shared" si="14"/>
        <v>39836.487002853115</v>
      </c>
      <c r="N179" s="911"/>
      <c r="O179" s="1204">
        <f>'1.3.1 CoalLR'!I179*1000</f>
        <v>3200</v>
      </c>
      <c r="P179" s="910"/>
      <c r="Q179" s="912"/>
      <c r="R179" s="910"/>
      <c r="S179" s="910"/>
      <c r="T179" s="910"/>
      <c r="U179" s="910"/>
      <c r="V179" s="945">
        <f>'1.8.3 RenPTLR'!H179</f>
        <v>498.06384377952759</v>
      </c>
      <c r="W179" s="910"/>
      <c r="X179" s="910"/>
      <c r="Y179" s="910"/>
      <c r="Z179" s="910"/>
      <c r="AA179" s="945">
        <f>'1.8.3 RenPTLR'!C179</f>
        <v>874.36474636299567</v>
      </c>
      <c r="AB179" s="910"/>
      <c r="AC179" s="910"/>
      <c r="AD179" s="950">
        <f t="shared" si="6"/>
        <v>4572.4285901425237</v>
      </c>
      <c r="AF179" s="911"/>
      <c r="AG179" s="1201">
        <f>+'1.3.1 CoalLR'!J179*Units!$C$20*1000</f>
        <v>11948.16</v>
      </c>
      <c r="AH179" s="910"/>
      <c r="AI179" s="842">
        <v>162.18060075566754</v>
      </c>
      <c r="AJ179" s="912"/>
      <c r="AK179" s="910"/>
      <c r="AL179" s="910"/>
      <c r="AM179" s="945">
        <f>'1.8.2 RenHLR'!H179</f>
        <v>575.63239913939526</v>
      </c>
      <c r="AN179" s="910"/>
      <c r="AO179" s="1082">
        <f t="shared" si="10"/>
        <v>12685.972999895062</v>
      </c>
      <c r="AQ179" s="911"/>
      <c r="AR179" s="916"/>
      <c r="AS179" s="910"/>
      <c r="AT179" s="910"/>
      <c r="AU179" s="912"/>
      <c r="AV179" s="910"/>
      <c r="AW179" s="910"/>
      <c r="AX179" s="910"/>
      <c r="AY179" s="910"/>
      <c r="AZ179" s="912"/>
      <c r="BB179" s="913"/>
      <c r="BC179" s="916">
        <f t="shared" si="11"/>
        <v>42612.880932943837</v>
      </c>
      <c r="BD179" s="944">
        <f t="shared" si="12"/>
        <v>10587.979331932942</v>
      </c>
      <c r="BE179" s="914"/>
      <c r="BF179" s="910"/>
      <c r="BG179" s="916">
        <f>('1.6.1 GasLR'!O59)*Units!C$19</f>
        <v>285.91928571428582</v>
      </c>
      <c r="BH179" s="914"/>
      <c r="BI179" s="910"/>
      <c r="BJ179" s="910"/>
      <c r="BK179" s="842">
        <f t="shared" si="7"/>
        <v>874.36474636299567</v>
      </c>
      <c r="BL179" s="1085">
        <f t="shared" si="8"/>
        <v>2740.3367303884393</v>
      </c>
      <c r="BM179" s="832"/>
      <c r="BN179" s="921">
        <f t="shared" si="15"/>
        <v>57101.481027342496</v>
      </c>
    </row>
    <row r="180" spans="1:66" ht="10.5" customHeight="1" x14ac:dyDescent="0.35">
      <c r="A180" s="841">
        <v>1870</v>
      </c>
      <c r="B180" s="1201">
        <f>+'1.3.1 CoalLR'!K180*1000*Units!$C$20</f>
        <v>27875.609000751043</v>
      </c>
      <c r="C180" s="1202">
        <f>+'1.4.1 MSFLR'!B80</f>
        <v>10673.759866420944</v>
      </c>
      <c r="D180" s="910"/>
      <c r="E180" s="932">
        <f>+[1]R!$BJ630*1000</f>
        <v>86.238476070528961</v>
      </c>
      <c r="F180" s="910"/>
      <c r="G180" s="910"/>
      <c r="H180" s="945">
        <f>'1.8.3 RenPTLR'!B180</f>
        <v>0.92244196044711935</v>
      </c>
      <c r="I180" s="945">
        <f>'1.8.3 RenPTLR'!E180</f>
        <v>35.360275150472916</v>
      </c>
      <c r="J180" s="910"/>
      <c r="K180" s="842">
        <f>'1.8.2 RenHLR'!I180+'1.8.3 RenPTLR'!G180</f>
        <v>1679.8756041871377</v>
      </c>
      <c r="L180" s="910"/>
      <c r="M180" s="952">
        <f t="shared" si="14"/>
        <v>40351.76566454058</v>
      </c>
      <c r="N180" s="911"/>
      <c r="O180" s="1204">
        <f>'1.3.1 CoalLR'!I180*1000</f>
        <v>3383.3333333333335</v>
      </c>
      <c r="P180" s="910"/>
      <c r="Q180" s="912"/>
      <c r="R180" s="910"/>
      <c r="S180" s="910"/>
      <c r="T180" s="910"/>
      <c r="U180" s="910"/>
      <c r="V180" s="945">
        <f>'1.8.3 RenPTLR'!H180</f>
        <v>508.60564157480314</v>
      </c>
      <c r="W180" s="910"/>
      <c r="X180" s="910"/>
      <c r="Y180" s="910"/>
      <c r="Z180" s="910"/>
      <c r="AA180" s="945">
        <f>'1.8.3 RenPTLR'!C180</f>
        <v>864.81320235019166</v>
      </c>
      <c r="AB180" s="910"/>
      <c r="AC180" s="910"/>
      <c r="AD180" s="950">
        <f t="shared" si="6"/>
        <v>4756.7521772583277</v>
      </c>
      <c r="AF180" s="911"/>
      <c r="AG180" s="1201">
        <f>+'1.3.1 CoalLR'!J180*Units!$C$20*1000</f>
        <v>12413.698944845588</v>
      </c>
      <c r="AH180" s="910"/>
      <c r="AI180" s="842">
        <v>172.47695214105792</v>
      </c>
      <c r="AJ180" s="912"/>
      <c r="AK180" s="910"/>
      <c r="AL180" s="910"/>
      <c r="AM180" s="945">
        <f>'1.8.2 RenHLR'!H180</f>
        <v>598.06089856644417</v>
      </c>
      <c r="AN180" s="910"/>
      <c r="AO180" s="1082">
        <f t="shared" si="10"/>
        <v>13184.23679555309</v>
      </c>
      <c r="AQ180" s="911"/>
      <c r="AR180" s="916"/>
      <c r="AS180" s="910"/>
      <c r="AT180" s="910"/>
      <c r="AU180" s="912"/>
      <c r="AV180" s="910"/>
      <c r="AW180" s="910"/>
      <c r="AX180" s="910"/>
      <c r="AY180" s="910"/>
      <c r="AZ180" s="912"/>
      <c r="BB180" s="913"/>
      <c r="BC180" s="916">
        <f t="shared" si="11"/>
        <v>43672.641278929965</v>
      </c>
      <c r="BD180" s="944">
        <f t="shared" si="12"/>
        <v>10673.759866420944</v>
      </c>
      <c r="BE180" s="914"/>
      <c r="BF180" s="910"/>
      <c r="BG180" s="916">
        <f>('1.6.1 GasLR'!O60)*Units!C$19</f>
        <v>304.07142857142856</v>
      </c>
      <c r="BH180" s="914"/>
      <c r="BI180" s="910"/>
      <c r="BJ180" s="910"/>
      <c r="BK180" s="842">
        <f t="shared" si="7"/>
        <v>864.81320235019166</v>
      </c>
      <c r="BL180" s="1085">
        <f t="shared" si="8"/>
        <v>2786.5421443283849</v>
      </c>
      <c r="BM180" s="920">
        <f>'1.5.1 OilLR'!AF10</f>
        <v>28.449313480000001</v>
      </c>
      <c r="BN180" s="921">
        <f t="shared" si="15"/>
        <v>58330.27723408091</v>
      </c>
    </row>
    <row r="181" spans="1:66" ht="10.5" customHeight="1" x14ac:dyDescent="0.35">
      <c r="A181" s="841">
        <v>1871</v>
      </c>
      <c r="B181" s="1201">
        <f>+'1.3.1 CoalLR'!K181*1000*Units!$C$20</f>
        <v>28285.170509823933</v>
      </c>
      <c r="C181" s="1202">
        <f>+'1.4.1 MSFLR'!B81</f>
        <v>10761.54367799885</v>
      </c>
      <c r="D181" s="910"/>
      <c r="E181" s="932">
        <f>+[1]R!$BJ631*1000</f>
        <v>94.078337531486127</v>
      </c>
      <c r="F181" s="910"/>
      <c r="G181" s="910"/>
      <c r="H181" s="945">
        <f>'1.8.3 RenPTLR'!B181</f>
        <v>0.91262874810193728</v>
      </c>
      <c r="I181" s="945">
        <f>'1.8.3 RenPTLR'!E181</f>
        <v>35.144207664242053</v>
      </c>
      <c r="J181" s="910"/>
      <c r="K181" s="842">
        <f>'1.8.2 RenHLR'!I181+'1.8.3 RenPTLR'!G181</f>
        <v>1692.6630986245432</v>
      </c>
      <c r="L181" s="910"/>
      <c r="M181" s="952">
        <f t="shared" si="14"/>
        <v>40869.512460391161</v>
      </c>
      <c r="N181" s="911"/>
      <c r="O181" s="1204">
        <f>'1.3.1 CoalLR'!I181*1000</f>
        <v>3566.6666666666665</v>
      </c>
      <c r="P181" s="910"/>
      <c r="Q181" s="912"/>
      <c r="R181" s="910"/>
      <c r="S181" s="910"/>
      <c r="T181" s="910"/>
      <c r="U181" s="910"/>
      <c r="V181" s="945">
        <f>'1.8.3 RenPTLR'!H181</f>
        <v>519.14743937007881</v>
      </c>
      <c r="W181" s="910"/>
      <c r="X181" s="910"/>
      <c r="Y181" s="910"/>
      <c r="Z181" s="910"/>
      <c r="AA181" s="945">
        <f>'1.8.3 RenPTLR'!C181</f>
        <v>856.09394710219442</v>
      </c>
      <c r="AB181" s="910"/>
      <c r="AC181" s="910"/>
      <c r="AD181" s="950">
        <f t="shared" si="6"/>
        <v>4941.90805313894</v>
      </c>
      <c r="AF181" s="911"/>
      <c r="AG181" s="1201">
        <f>+'1.3.1 CoalLR'!J181*Units!$C$20*1000</f>
        <v>13051.933875636752</v>
      </c>
      <c r="AH181" s="910"/>
      <c r="AI181" s="842">
        <v>188.15667506297225</v>
      </c>
      <c r="AJ181" s="912"/>
      <c r="AK181" s="910"/>
      <c r="AL181" s="910"/>
      <c r="AM181" s="945">
        <f>'1.8.2 RenHLR'!H181</f>
        <v>628.80945771077131</v>
      </c>
      <c r="AN181" s="910"/>
      <c r="AO181" s="1082">
        <f t="shared" si="10"/>
        <v>13868.900008410496</v>
      </c>
      <c r="AQ181" s="911"/>
      <c r="AR181" s="916"/>
      <c r="AS181" s="910"/>
      <c r="AT181" s="910"/>
      <c r="AU181" s="912"/>
      <c r="AV181" s="910"/>
      <c r="AW181" s="910"/>
      <c r="AX181" s="910"/>
      <c r="AY181" s="910"/>
      <c r="AZ181" s="912"/>
      <c r="BB181" s="913"/>
      <c r="BC181" s="916">
        <f t="shared" si="11"/>
        <v>44903.771052127355</v>
      </c>
      <c r="BD181" s="944">
        <f t="shared" si="12"/>
        <v>10761.54367799885</v>
      </c>
      <c r="BE181" s="914"/>
      <c r="BF181" s="910"/>
      <c r="BG181" s="916">
        <f>('1.6.1 GasLR'!O61)*Units!C$19</f>
        <v>331.71428571428572</v>
      </c>
      <c r="BH181" s="914"/>
      <c r="BI181" s="910"/>
      <c r="BJ181" s="910"/>
      <c r="BK181" s="842">
        <f t="shared" si="7"/>
        <v>856.09394710219442</v>
      </c>
      <c r="BL181" s="1085">
        <f t="shared" si="8"/>
        <v>2840.6199957053932</v>
      </c>
      <c r="BM181" s="920">
        <f>'1.5.1 OilLR'!AF11</f>
        <v>36.577688760000001</v>
      </c>
      <c r="BN181" s="921">
        <f t="shared" si="15"/>
        <v>59730.320647408073</v>
      </c>
    </row>
    <row r="182" spans="1:66" ht="10.5" customHeight="1" x14ac:dyDescent="0.35">
      <c r="A182" s="841">
        <v>1872</v>
      </c>
      <c r="B182" s="1201">
        <f>+'1.3.1 CoalLR'!K182*1000*Units!$C$20</f>
        <v>28693.405460162488</v>
      </c>
      <c r="C182" s="1202">
        <f>+'1.4.1 MSFLR'!B82</f>
        <v>10851.330766666655</v>
      </c>
      <c r="D182" s="910"/>
      <c r="E182" s="932">
        <f>+[1]R!$BJ632*1000</f>
        <v>92.510365239294686</v>
      </c>
      <c r="F182" s="910"/>
      <c r="G182" s="910"/>
      <c r="H182" s="945">
        <f>'1.8.3 RenPTLR'!B182</f>
        <v>0.90281553575675533</v>
      </c>
      <c r="I182" s="945">
        <f>'1.8.3 RenPTLR'!E182</f>
        <v>34.928140178011198</v>
      </c>
      <c r="J182" s="910"/>
      <c r="K182" s="842">
        <f>'1.8.2 RenHLR'!I182+'1.8.3 RenPTLR'!G182</f>
        <v>1717.3654543287996</v>
      </c>
      <c r="L182" s="910"/>
      <c r="M182" s="952">
        <f t="shared" si="14"/>
        <v>41390.443002111009</v>
      </c>
      <c r="N182" s="911"/>
      <c r="O182" s="1204">
        <f>'1.3.1 CoalLR'!I182*1000</f>
        <v>3749.9999999999995</v>
      </c>
      <c r="P182" s="910"/>
      <c r="Q182" s="912"/>
      <c r="R182" s="910"/>
      <c r="S182" s="910"/>
      <c r="T182" s="910"/>
      <c r="U182" s="910"/>
      <c r="V182" s="945">
        <f>'1.8.3 RenPTLR'!H182</f>
        <v>556.11593574803146</v>
      </c>
      <c r="W182" s="910"/>
      <c r="X182" s="910"/>
      <c r="Y182" s="910"/>
      <c r="Z182" s="910"/>
      <c r="AA182" s="945">
        <f>'1.8.3 RenPTLR'!C182</f>
        <v>848.07689174274083</v>
      </c>
      <c r="AB182" s="910"/>
      <c r="AC182" s="910"/>
      <c r="AD182" s="950">
        <f t="shared" si="6"/>
        <v>5154.1928274907714</v>
      </c>
      <c r="AF182" s="911"/>
      <c r="AG182" s="1201">
        <f>+'1.3.1 CoalLR'!J182*Units!$C$20*1000</f>
        <v>13480.180879541833</v>
      </c>
      <c r="AH182" s="910"/>
      <c r="AI182" s="842">
        <v>185.02073047858937</v>
      </c>
      <c r="AJ182" s="912"/>
      <c r="AK182" s="910"/>
      <c r="AL182" s="910"/>
      <c r="AM182" s="945">
        <f>'1.8.2 RenHLR'!H182</f>
        <v>649.44132490054278</v>
      </c>
      <c r="AN182" s="910"/>
      <c r="AO182" s="1082">
        <f t="shared" si="10"/>
        <v>14314.642934920965</v>
      </c>
      <c r="AQ182" s="911"/>
      <c r="AR182" s="916"/>
      <c r="AS182" s="910"/>
      <c r="AT182" s="910"/>
      <c r="AU182" s="912"/>
      <c r="AV182" s="910"/>
      <c r="AW182" s="910"/>
      <c r="AX182" s="910"/>
      <c r="AY182" s="910"/>
      <c r="AZ182" s="912"/>
      <c r="BB182" s="913"/>
      <c r="BC182" s="916">
        <f t="shared" si="11"/>
        <v>45923.586339704321</v>
      </c>
      <c r="BD182" s="944">
        <f t="shared" si="12"/>
        <v>10851.330766666655</v>
      </c>
      <c r="BE182" s="914"/>
      <c r="BF182" s="910"/>
      <c r="BG182" s="916">
        <f>('1.6.1 GasLR'!O62)*Units!C$19</f>
        <v>326.18571428571425</v>
      </c>
      <c r="BH182" s="914"/>
      <c r="BI182" s="910"/>
      <c r="BJ182" s="910"/>
      <c r="BK182" s="842">
        <f t="shared" si="7"/>
        <v>848.07689174274083</v>
      </c>
      <c r="BL182" s="1085">
        <f t="shared" si="8"/>
        <v>2922.9227149773742</v>
      </c>
      <c r="BM182" s="920">
        <f>'1.5.1 OilLR'!AF12</f>
        <v>26.417219660000001</v>
      </c>
      <c r="BN182" s="921">
        <f t="shared" si="15"/>
        <v>60898.519647036803</v>
      </c>
    </row>
    <row r="183" spans="1:66" ht="10.5" customHeight="1" x14ac:dyDescent="0.35">
      <c r="A183" s="841">
        <v>1873</v>
      </c>
      <c r="B183" s="1201">
        <f>+'1.3.1 CoalLR'!K183*1000*Units!$C$20</f>
        <v>29100.313851766725</v>
      </c>
      <c r="C183" s="1202">
        <f>+'1.4.1 MSFLR'!B83</f>
        <v>10943.121132424361</v>
      </c>
      <c r="D183" s="910"/>
      <c r="E183" s="932">
        <f>+[1]R!$BJ633*1000</f>
        <v>91.726379093198958</v>
      </c>
      <c r="F183" s="910"/>
      <c r="G183" s="910"/>
      <c r="H183" s="945">
        <f>'1.8.3 RenPTLR'!B183</f>
        <v>0.89300232341157315</v>
      </c>
      <c r="I183" s="945">
        <f>'1.8.3 RenPTLR'!E183</f>
        <v>34.712072691780349</v>
      </c>
      <c r="J183" s="910"/>
      <c r="K183" s="842">
        <f>'1.8.2 RenHLR'!I183+'1.8.3 RenPTLR'!G183</f>
        <v>1742.1482980392734</v>
      </c>
      <c r="L183" s="910"/>
      <c r="M183" s="952">
        <f t="shared" si="14"/>
        <v>41912.914736338753</v>
      </c>
      <c r="N183" s="911"/>
      <c r="O183" s="1204">
        <f>'1.3.1 CoalLR'!I183*1000</f>
        <v>3933.3333333333326</v>
      </c>
      <c r="P183" s="910"/>
      <c r="Q183" s="912"/>
      <c r="R183" s="910"/>
      <c r="S183" s="910"/>
      <c r="T183" s="910"/>
      <c r="U183" s="910"/>
      <c r="V183" s="945">
        <f>'1.8.3 RenPTLR'!H183</f>
        <v>593.08443212598411</v>
      </c>
      <c r="W183" s="910"/>
      <c r="X183" s="910"/>
      <c r="Y183" s="910"/>
      <c r="Z183" s="910"/>
      <c r="AA183" s="945">
        <f>'1.8.3 RenPTLR'!C183</f>
        <v>840.65747071675855</v>
      </c>
      <c r="AB183" s="910"/>
      <c r="AC183" s="910"/>
      <c r="AD183" s="950">
        <f t="shared" si="6"/>
        <v>5367.0752361760751</v>
      </c>
      <c r="AF183" s="911"/>
      <c r="AG183" s="1201">
        <f>+'1.3.1 CoalLR'!J183*Units!$C$20*1000</f>
        <v>14188.060108238156</v>
      </c>
      <c r="AH183" s="910"/>
      <c r="AI183" s="842">
        <v>183.45275818639792</v>
      </c>
      <c r="AJ183" s="912"/>
      <c r="AK183" s="910"/>
      <c r="AL183" s="910"/>
      <c r="AM183" s="945">
        <f>'1.8.2 RenHLR'!H183</f>
        <v>683.54517174519583</v>
      </c>
      <c r="AN183" s="910"/>
      <c r="AO183" s="1082">
        <f t="shared" si="10"/>
        <v>15055.058038169751</v>
      </c>
      <c r="AQ183" s="911"/>
      <c r="AR183" s="916"/>
      <c r="AS183" s="910"/>
      <c r="AT183" s="910"/>
      <c r="AU183" s="912"/>
      <c r="AV183" s="910"/>
      <c r="AW183" s="910"/>
      <c r="AX183" s="910"/>
      <c r="AY183" s="910"/>
      <c r="AZ183" s="912"/>
      <c r="BB183" s="913"/>
      <c r="BC183" s="916">
        <f t="shared" si="11"/>
        <v>47221.707293338215</v>
      </c>
      <c r="BD183" s="944">
        <f t="shared" si="12"/>
        <v>10943.121132424361</v>
      </c>
      <c r="BE183" s="914"/>
      <c r="BF183" s="910"/>
      <c r="BG183" s="916">
        <f>('1.6.1 GasLR'!O63)*Units!C$19</f>
        <v>323.42142857142846</v>
      </c>
      <c r="BH183" s="914"/>
      <c r="BI183" s="910"/>
      <c r="BJ183" s="910"/>
      <c r="BK183" s="842">
        <f t="shared" si="7"/>
        <v>840.65747071675855</v>
      </c>
      <c r="BL183" s="1085">
        <f t="shared" si="8"/>
        <v>3018.7779019104537</v>
      </c>
      <c r="BM183" s="920">
        <f>'1.5.1 OilLR'!AF13</f>
        <v>69.091189880000002</v>
      </c>
      <c r="BN183" s="921">
        <f t="shared" si="15"/>
        <v>62416.776416841218</v>
      </c>
    </row>
    <row r="184" spans="1:66" ht="10.5" customHeight="1" x14ac:dyDescent="0.35">
      <c r="A184" s="841">
        <v>1874</v>
      </c>
      <c r="B184" s="1201">
        <f>+'1.3.1 CoalLR'!K184*1000*Units!$C$20</f>
        <v>29505.895684636635</v>
      </c>
      <c r="C184" s="1202">
        <f>+'1.4.1 MSFLR'!B84</f>
        <v>11036.914775271969</v>
      </c>
      <c r="D184" s="910"/>
      <c r="E184" s="932">
        <f>+[1]R!$BJ634*1000</f>
        <v>97.998268261964725</v>
      </c>
      <c r="F184" s="910"/>
      <c r="G184" s="910"/>
      <c r="H184" s="945">
        <f>'1.8.3 RenPTLR'!B184</f>
        <v>0.88318911106639109</v>
      </c>
      <c r="I184" s="945">
        <f>'1.8.3 RenPTLR'!E184</f>
        <v>34.496005205549494</v>
      </c>
      <c r="J184" s="910"/>
      <c r="K184" s="842">
        <f>'1.8.2 RenHLR'!I184+'1.8.3 RenPTLR'!G184</f>
        <v>1767.0935922013409</v>
      </c>
      <c r="L184" s="910"/>
      <c r="M184" s="952">
        <f t="shared" si="14"/>
        <v>42443.281514688526</v>
      </c>
      <c r="N184" s="911"/>
      <c r="O184" s="1204">
        <f>'1.3.1 CoalLR'!I184*1000</f>
        <v>4116.6666666666661</v>
      </c>
      <c r="P184" s="910"/>
      <c r="Q184" s="912"/>
      <c r="R184" s="910"/>
      <c r="S184" s="910"/>
      <c r="T184" s="910"/>
      <c r="U184" s="910"/>
      <c r="V184" s="945">
        <f>'1.8.3 RenPTLR'!H184</f>
        <v>630.05292850393687</v>
      </c>
      <c r="W184" s="910"/>
      <c r="X184" s="910"/>
      <c r="Y184" s="910"/>
      <c r="Z184" s="910"/>
      <c r="AA184" s="945">
        <f>'1.8.3 RenPTLR'!C184</f>
        <v>864.59588565060483</v>
      </c>
      <c r="AB184" s="910"/>
      <c r="AC184" s="910"/>
      <c r="AD184" s="950">
        <f t="shared" si="6"/>
        <v>5611.3154808212075</v>
      </c>
      <c r="AF184" s="911"/>
      <c r="AG184" s="1201">
        <f>+'1.3.1 CoalLR'!J184*Units!$C$20*1000</f>
        <v>13914.879650125929</v>
      </c>
      <c r="AH184" s="910"/>
      <c r="AI184" s="842">
        <v>195.99653652392945</v>
      </c>
      <c r="AJ184" s="912"/>
      <c r="AK184" s="910"/>
      <c r="AL184" s="910"/>
      <c r="AM184" s="945">
        <f>'1.8.2 RenHLR'!H184</f>
        <v>670.38402203669341</v>
      </c>
      <c r="AN184" s="910"/>
      <c r="AO184" s="1082">
        <f t="shared" si="10"/>
        <v>14781.260208686552</v>
      </c>
      <c r="AQ184" s="911"/>
      <c r="AR184" s="916"/>
      <c r="AS184" s="910"/>
      <c r="AT184" s="910"/>
      <c r="AU184" s="912"/>
      <c r="AV184" s="910"/>
      <c r="AW184" s="910"/>
      <c r="AX184" s="910"/>
      <c r="AY184" s="910"/>
      <c r="AZ184" s="912"/>
      <c r="BB184" s="913"/>
      <c r="BC184" s="916">
        <f t="shared" si="11"/>
        <v>47537.442001429226</v>
      </c>
      <c r="BD184" s="944">
        <f t="shared" si="12"/>
        <v>11036.914775271969</v>
      </c>
      <c r="BE184" s="914"/>
      <c r="BF184" s="910"/>
      <c r="BG184" s="916">
        <f>('1.6.1 GasLR'!O64)*Units!C$19</f>
        <v>345.53571428571428</v>
      </c>
      <c r="BH184" s="914"/>
      <c r="BI184" s="910"/>
      <c r="BJ184" s="910"/>
      <c r="BK184" s="842">
        <f t="shared" si="7"/>
        <v>864.59588565060483</v>
      </c>
      <c r="BL184" s="1085">
        <f t="shared" si="8"/>
        <v>3067.5305427419712</v>
      </c>
      <c r="BM184" s="920">
        <f>'1.5.1 OilLR'!AF14</f>
        <v>88.396081170000002</v>
      </c>
      <c r="BN184" s="921">
        <f t="shared" si="15"/>
        <v>62940.415000549496</v>
      </c>
    </row>
    <row r="185" spans="1:66" ht="10.5" customHeight="1" x14ac:dyDescent="0.35">
      <c r="A185" s="841">
        <v>1875</v>
      </c>
      <c r="B185" s="1201">
        <f>+'1.3.1 CoalLR'!K185*1000*Units!$C$20</f>
        <v>29910.150958772218</v>
      </c>
      <c r="C185" s="1202">
        <f>+'1.4.1 MSFLR'!B85</f>
        <v>11132.71169520948</v>
      </c>
      <c r="D185" s="910"/>
      <c r="E185" s="932">
        <f>+[1]R!$BJ635*1000</f>
        <v>103.48617128463472</v>
      </c>
      <c r="F185" s="910"/>
      <c r="G185" s="910"/>
      <c r="H185" s="945">
        <f>'1.8.3 RenPTLR'!B185</f>
        <v>0.87337589872120869</v>
      </c>
      <c r="I185" s="945">
        <f>'1.8.3 RenPTLR'!E185</f>
        <v>34.279937719318639</v>
      </c>
      <c r="J185" s="910"/>
      <c r="K185" s="842">
        <f>'1.8.2 RenHLR'!I185+'1.8.3 RenPTLR'!G185</f>
        <v>1792.1839860011501</v>
      </c>
      <c r="L185" s="910"/>
      <c r="M185" s="952">
        <f t="shared" si="14"/>
        <v>42973.68612488552</v>
      </c>
      <c r="N185" s="911"/>
      <c r="O185" s="1204">
        <f>'1.3.1 CoalLR'!I185*1000</f>
        <v>4300</v>
      </c>
      <c r="P185" s="910"/>
      <c r="Q185" s="912"/>
      <c r="R185" s="910"/>
      <c r="S185" s="910"/>
      <c r="T185" s="910"/>
      <c r="U185" s="910"/>
      <c r="V185" s="945">
        <f>'1.8.3 RenPTLR'!H185</f>
        <v>667.02142488188963</v>
      </c>
      <c r="W185" s="910"/>
      <c r="X185" s="910"/>
      <c r="Y185" s="910"/>
      <c r="Z185" s="910"/>
      <c r="AA185" s="945">
        <f>'1.8.3 RenPTLR'!C185</f>
        <v>843.30397582450246</v>
      </c>
      <c r="AB185" s="910"/>
      <c r="AC185" s="910"/>
      <c r="AD185" s="950">
        <f t="shared" si="6"/>
        <v>5810.3254007063915</v>
      </c>
      <c r="AF185" s="911"/>
      <c r="AG185" s="1201">
        <f>+'1.3.1 CoalLR'!J185*Units!$C$20*1000</f>
        <v>14687.325066310967</v>
      </c>
      <c r="AH185" s="910"/>
      <c r="AI185" s="842">
        <v>206.97234256926944</v>
      </c>
      <c r="AJ185" s="912"/>
      <c r="AK185" s="910"/>
      <c r="AL185" s="910"/>
      <c r="AM185" s="945">
        <f>'1.8.2 RenHLR'!H185</f>
        <v>707.59850595077069</v>
      </c>
      <c r="AN185" s="910"/>
      <c r="AO185" s="1082">
        <f t="shared" si="10"/>
        <v>15601.895914831008</v>
      </c>
      <c r="AQ185" s="911"/>
      <c r="AR185" s="916"/>
      <c r="AS185" s="910"/>
      <c r="AT185" s="910"/>
      <c r="AU185" s="912"/>
      <c r="AV185" s="910"/>
      <c r="AW185" s="910"/>
      <c r="AX185" s="910"/>
      <c r="AY185" s="910"/>
      <c r="AZ185" s="912"/>
      <c r="BB185" s="913"/>
      <c r="BC185" s="916">
        <f t="shared" si="11"/>
        <v>48897.476025083182</v>
      </c>
      <c r="BD185" s="944">
        <f t="shared" si="12"/>
        <v>11132.71169520948</v>
      </c>
      <c r="BE185" s="914"/>
      <c r="BF185" s="910"/>
      <c r="BG185" s="916">
        <f>('1.6.1 GasLR'!O65)*Units!C$19</f>
        <v>364.88571428571419</v>
      </c>
      <c r="BH185" s="914"/>
      <c r="BI185" s="910"/>
      <c r="BJ185" s="910"/>
      <c r="BK185" s="842">
        <f t="shared" si="7"/>
        <v>843.30397582450246</v>
      </c>
      <c r="BL185" s="1085">
        <f t="shared" si="8"/>
        <v>3166.8039168338105</v>
      </c>
      <c r="BM185" s="920">
        <f>'1.5.1 OilLR'!AF15</f>
        <v>80.267705890000002</v>
      </c>
      <c r="BN185" s="921">
        <f t="shared" si="15"/>
        <v>64485.449033126686</v>
      </c>
    </row>
    <row r="186" spans="1:66" ht="10.5" customHeight="1" x14ac:dyDescent="0.35">
      <c r="A186" s="841">
        <v>1876</v>
      </c>
      <c r="B186" s="1201">
        <f>+'1.3.1 CoalLR'!K186*1000*Units!$C$20</f>
        <v>30313.079674173478</v>
      </c>
      <c r="C186" s="1202">
        <f>+'1.4.1 MSFLR'!B86</f>
        <v>11230.511892236889</v>
      </c>
      <c r="D186" s="910"/>
      <c r="E186" s="932">
        <f>+[1]R!$BJ636*1000</f>
        <v>113.67799118387907</v>
      </c>
      <c r="F186" s="910"/>
      <c r="G186" s="910"/>
      <c r="H186" s="945">
        <f>'1.8.3 RenPTLR'!B186</f>
        <v>0.8635626863760264</v>
      </c>
      <c r="I186" s="945">
        <f>'1.8.3 RenPTLR'!E186</f>
        <v>34.06387023308779</v>
      </c>
      <c r="J186" s="910"/>
      <c r="K186" s="842">
        <f>'1.8.2 RenHLR'!I186+'1.8.3 RenPTLR'!G186</f>
        <v>1817.4369600517603</v>
      </c>
      <c r="L186" s="910"/>
      <c r="M186" s="952">
        <f t="shared" si="14"/>
        <v>43509.633950565476</v>
      </c>
      <c r="N186" s="911"/>
      <c r="O186" s="1204">
        <f>'1.3.1 CoalLR'!I186*1000</f>
        <v>4483.333333333333</v>
      </c>
      <c r="P186" s="910"/>
      <c r="Q186" s="912"/>
      <c r="R186" s="910"/>
      <c r="S186" s="910"/>
      <c r="T186" s="910"/>
      <c r="U186" s="910"/>
      <c r="V186" s="945">
        <f>'1.8.3 RenPTLR'!H186</f>
        <v>703.98992125984228</v>
      </c>
      <c r="W186" s="910"/>
      <c r="X186" s="910"/>
      <c r="Y186" s="910"/>
      <c r="Z186" s="910"/>
      <c r="AA186" s="945">
        <f>'1.8.3 RenPTLR'!C186</f>
        <v>902.19450680593911</v>
      </c>
      <c r="AB186" s="910"/>
      <c r="AC186" s="910"/>
      <c r="AD186" s="950">
        <f t="shared" si="6"/>
        <v>6089.5177613991145</v>
      </c>
      <c r="AF186" s="911"/>
      <c r="AG186" s="1201">
        <f>+'1.3.1 CoalLR'!J186*Units!$C$20*1000</f>
        <v>14499.887079024165</v>
      </c>
      <c r="AH186" s="910"/>
      <c r="AI186" s="842">
        <v>227.35598236775814</v>
      </c>
      <c r="AJ186" s="912"/>
      <c r="AK186" s="910"/>
      <c r="AL186" s="910"/>
      <c r="AM186" s="945">
        <f>'1.8.2 RenHLR'!H186</f>
        <v>698.56821356166972</v>
      </c>
      <c r="AN186" s="910"/>
      <c r="AO186" s="1082">
        <f t="shared" si="10"/>
        <v>15425.811274953594</v>
      </c>
      <c r="AQ186" s="911"/>
      <c r="AR186" s="916"/>
      <c r="AS186" s="910"/>
      <c r="AT186" s="910"/>
      <c r="AU186" s="912"/>
      <c r="AV186" s="910"/>
      <c r="AW186" s="910"/>
      <c r="AX186" s="910"/>
      <c r="AY186" s="910"/>
      <c r="AZ186" s="912"/>
      <c r="BB186" s="913"/>
      <c r="BC186" s="916">
        <f t="shared" si="11"/>
        <v>49296.300086530973</v>
      </c>
      <c r="BD186" s="944">
        <f t="shared" si="12"/>
        <v>11230.511892236889</v>
      </c>
      <c r="BE186" s="914"/>
      <c r="BF186" s="910"/>
      <c r="BG186" s="916">
        <f>('1.6.1 GasLR'!O66)*Units!C$19</f>
        <v>400.8214285714285</v>
      </c>
      <c r="BH186" s="914"/>
      <c r="BI186" s="910"/>
      <c r="BJ186" s="910"/>
      <c r="BK186" s="842">
        <f t="shared" si="7"/>
        <v>902.19450680593911</v>
      </c>
      <c r="BL186" s="1085">
        <f t="shared" si="8"/>
        <v>3219.9950948732721</v>
      </c>
      <c r="BM186" s="920">
        <f>'1.5.1 OilLR'!AF16</f>
        <v>104.65283173</v>
      </c>
      <c r="BN186" s="921">
        <f t="shared" si="15"/>
        <v>65154.475840748499</v>
      </c>
    </row>
    <row r="187" spans="1:66" ht="10.5" customHeight="1" x14ac:dyDescent="0.35">
      <c r="A187" s="841">
        <v>1877</v>
      </c>
      <c r="B187" s="1201">
        <f>+'1.3.1 CoalLR'!K187*1000*Units!$C$20</f>
        <v>30714.681830840411</v>
      </c>
      <c r="C187" s="1202">
        <f>+'1.4.1 MSFLR'!B87</f>
        <v>11330.315366354203</v>
      </c>
      <c r="D187" s="910"/>
      <c r="E187" s="932">
        <f>+[1]R!$BJ637*1000</f>
        <v>123.08582493702767</v>
      </c>
      <c r="F187" s="910"/>
      <c r="G187" s="910"/>
      <c r="H187" s="945">
        <f>'1.8.3 RenPTLR'!B187</f>
        <v>0.85374947403084434</v>
      </c>
      <c r="I187" s="945">
        <f>'1.8.3 RenPTLR'!E187</f>
        <v>33.847802746856935</v>
      </c>
      <c r="J187" s="910"/>
      <c r="K187" s="842">
        <f>'1.8.2 RenHLR'!I187+'1.8.3 RenPTLR'!G187</f>
        <v>1842.8338912304027</v>
      </c>
      <c r="L187" s="910"/>
      <c r="M187" s="952">
        <f t="shared" si="14"/>
        <v>44045.618465582935</v>
      </c>
      <c r="N187" s="911"/>
      <c r="O187" s="1204">
        <f>'1.3.1 CoalLR'!I187*1000</f>
        <v>4666.666666666667</v>
      </c>
      <c r="P187" s="910"/>
      <c r="Q187" s="912"/>
      <c r="R187" s="910"/>
      <c r="S187" s="910"/>
      <c r="T187" s="910"/>
      <c r="U187" s="910"/>
      <c r="V187" s="945">
        <f>'1.8.3 RenPTLR'!H187</f>
        <v>740.95841763779526</v>
      </c>
      <c r="W187" s="910"/>
      <c r="X187" s="910"/>
      <c r="Y187" s="910"/>
      <c r="Z187" s="910"/>
      <c r="AA187" s="945">
        <f>'1.8.3 RenPTLR'!C187</f>
        <v>878.59619711899347</v>
      </c>
      <c r="AB187" s="910"/>
      <c r="AC187" s="910"/>
      <c r="AD187" s="950">
        <f t="shared" si="6"/>
        <v>6286.2212814234554</v>
      </c>
      <c r="AF187" s="911"/>
      <c r="AG187" s="1201">
        <f>+'1.3.1 CoalLR'!J187*Units!$C$20*1000</f>
        <v>14614.163210152356</v>
      </c>
      <c r="AH187" s="910"/>
      <c r="AI187" s="842">
        <v>246.17164987405533</v>
      </c>
      <c r="AJ187" s="912"/>
      <c r="AK187" s="910"/>
      <c r="AL187" s="910"/>
      <c r="AM187" s="945">
        <f>'1.8.2 RenHLR'!H187</f>
        <v>704.0737511110234</v>
      </c>
      <c r="AN187" s="910"/>
      <c r="AO187" s="1082">
        <f t="shared" si="10"/>
        <v>15564.408611137434</v>
      </c>
      <c r="AQ187" s="911"/>
      <c r="AR187" s="916"/>
      <c r="AS187" s="910"/>
      <c r="AT187" s="910"/>
      <c r="AU187" s="912"/>
      <c r="AV187" s="910"/>
      <c r="AW187" s="910"/>
      <c r="AX187" s="910"/>
      <c r="AY187" s="910"/>
      <c r="AZ187" s="912"/>
      <c r="BB187" s="913"/>
      <c r="BC187" s="916">
        <f t="shared" si="11"/>
        <v>49995.511707659432</v>
      </c>
      <c r="BD187" s="944">
        <f t="shared" si="12"/>
        <v>11330.315366354203</v>
      </c>
      <c r="BE187" s="914"/>
      <c r="BF187" s="910"/>
      <c r="BG187" s="916">
        <f>('1.6.1 GasLR'!O67)*Units!C$19</f>
        <v>433.99285714285702</v>
      </c>
      <c r="BH187" s="914"/>
      <c r="BI187" s="910"/>
      <c r="BJ187" s="910"/>
      <c r="BK187" s="842">
        <f t="shared" si="7"/>
        <v>878.59619711899347</v>
      </c>
      <c r="BL187" s="1085">
        <f t="shared" si="8"/>
        <v>3287.8660599792215</v>
      </c>
      <c r="BM187" s="920">
        <f>'1.5.1 OilLR'!AF17</f>
        <v>139.19842667</v>
      </c>
      <c r="BN187" s="921">
        <f t="shared" si="15"/>
        <v>66065.480614924702</v>
      </c>
    </row>
    <row r="188" spans="1:66" ht="10.5" customHeight="1" x14ac:dyDescent="0.35">
      <c r="A188" s="841">
        <v>1878</v>
      </c>
      <c r="B188" s="1201">
        <f>+'1.3.1 CoalLR'!K188*1000*Units!$C$20</f>
        <v>31114.957428773021</v>
      </c>
      <c r="C188" s="1202">
        <f>+'1.4.1 MSFLR'!B88</f>
        <v>11432.122117561412</v>
      </c>
      <c r="D188" s="910"/>
      <c r="E188" s="932">
        <f>+[1]R!$BJ638*1000</f>
        <v>131.7096725440806</v>
      </c>
      <c r="F188" s="910"/>
      <c r="G188" s="910"/>
      <c r="H188" s="945">
        <f>'1.8.3 RenPTLR'!B188</f>
        <v>0.84393626168566205</v>
      </c>
      <c r="I188" s="945">
        <f>'1.8.3 RenPTLR'!E188</f>
        <v>33.63173526062608</v>
      </c>
      <c r="J188" s="910"/>
      <c r="K188" s="842">
        <f>'1.8.2 RenHLR'!I188+'1.8.3 RenPTLR'!G188</f>
        <v>1868.3255884860525</v>
      </c>
      <c r="L188" s="910"/>
      <c r="M188" s="952">
        <f t="shared" si="14"/>
        <v>44581.590478886879</v>
      </c>
      <c r="N188" s="911"/>
      <c r="O188" s="1204">
        <f>'1.3.1 CoalLR'!I188*1000</f>
        <v>4850.0000000000009</v>
      </c>
      <c r="P188" s="910"/>
      <c r="Q188" s="912"/>
      <c r="R188" s="910"/>
      <c r="S188" s="910"/>
      <c r="T188" s="910"/>
      <c r="U188" s="910"/>
      <c r="V188" s="945">
        <f>'1.8.3 RenPTLR'!H188</f>
        <v>777.92691401574814</v>
      </c>
      <c r="W188" s="910"/>
      <c r="X188" s="910"/>
      <c r="Y188" s="910"/>
      <c r="Z188" s="910"/>
      <c r="AA188" s="945">
        <f>'1.8.3 RenPTLR'!C188</f>
        <v>803.83729335267469</v>
      </c>
      <c r="AB188" s="910"/>
      <c r="AC188" s="910"/>
      <c r="AD188" s="950">
        <f t="shared" si="6"/>
        <v>6431.7642073684237</v>
      </c>
      <c r="AF188" s="911"/>
      <c r="AG188" s="1201">
        <f>+'1.3.1 CoalLR'!J188*Units!$C$20*1000</f>
        <v>14338.203159599832</v>
      </c>
      <c r="AH188" s="910"/>
      <c r="AI188" s="842">
        <v>263.41934508816121</v>
      </c>
      <c r="AJ188" s="912"/>
      <c r="AK188" s="910"/>
      <c r="AL188" s="910"/>
      <c r="AM188" s="945">
        <f>'1.8.2 RenHLR'!H188</f>
        <v>690.77868760616764</v>
      </c>
      <c r="AN188" s="910"/>
      <c r="AO188" s="1082">
        <f t="shared" si="10"/>
        <v>15292.401192294161</v>
      </c>
      <c r="AQ188" s="911"/>
      <c r="AR188" s="916"/>
      <c r="AS188" s="910"/>
      <c r="AT188" s="910"/>
      <c r="AU188" s="912"/>
      <c r="AV188" s="910"/>
      <c r="AW188" s="910"/>
      <c r="AX188" s="910"/>
      <c r="AY188" s="910"/>
      <c r="AZ188" s="912"/>
      <c r="BB188" s="913"/>
      <c r="BC188" s="916">
        <f t="shared" si="11"/>
        <v>50303.160588372855</v>
      </c>
      <c r="BD188" s="944">
        <f t="shared" si="12"/>
        <v>11432.122117561412</v>
      </c>
      <c r="BE188" s="914"/>
      <c r="BF188" s="910"/>
      <c r="BG188" s="916">
        <f>('1.6.1 GasLR'!O68)*Units!C$19</f>
        <v>464.4</v>
      </c>
      <c r="BH188" s="914"/>
      <c r="BI188" s="910"/>
      <c r="BJ188" s="910"/>
      <c r="BK188" s="842">
        <f t="shared" si="7"/>
        <v>803.83729335267469</v>
      </c>
      <c r="BL188" s="1085">
        <f t="shared" si="8"/>
        <v>3337.0311901079685</v>
      </c>
      <c r="BM188" s="920">
        <f>'1.5.1 OilLR'!AF18</f>
        <v>124.97376993</v>
      </c>
      <c r="BN188" s="921">
        <f t="shared" si="15"/>
        <v>66465.524959324917</v>
      </c>
    </row>
    <row r="189" spans="1:66" ht="10.5" customHeight="1" x14ac:dyDescent="0.35">
      <c r="A189" s="841">
        <v>1879</v>
      </c>
      <c r="B189" s="1201">
        <f>+'1.3.1 CoalLR'!K189*1000*Units!$C$20</f>
        <v>31513.906467971297</v>
      </c>
      <c r="C189" s="1202">
        <f>+'1.4.1 MSFLR'!B89</f>
        <v>11535.932145858525</v>
      </c>
      <c r="D189" s="910"/>
      <c r="E189" s="932">
        <f>+[1]R!$BJ639*1000</f>
        <v>140.33352015113346</v>
      </c>
      <c r="F189" s="910"/>
      <c r="G189" s="910"/>
      <c r="H189" s="945">
        <f>'1.8.3 RenPTLR'!B189</f>
        <v>0.83412304934047987</v>
      </c>
      <c r="I189" s="945">
        <f>'1.8.3 RenPTLR'!E189</f>
        <v>33.415667774395224</v>
      </c>
      <c r="J189" s="910"/>
      <c r="K189" s="842">
        <f>'1.8.2 RenHLR'!I189+'1.8.3 RenPTLR'!G189</f>
        <v>1893.920081839753</v>
      </c>
      <c r="L189" s="910"/>
      <c r="M189" s="952">
        <f t="shared" si="14"/>
        <v>45118.342006644445</v>
      </c>
      <c r="N189" s="911"/>
      <c r="O189" s="1204">
        <f>'1.3.1 CoalLR'!I189*1000</f>
        <v>5033.3333333333339</v>
      </c>
      <c r="P189" s="910"/>
      <c r="Q189" s="912"/>
      <c r="R189" s="910"/>
      <c r="S189" s="910"/>
      <c r="T189" s="910"/>
      <c r="U189" s="910"/>
      <c r="V189" s="945">
        <f>'1.8.3 RenPTLR'!H189</f>
        <v>814.89541039370056</v>
      </c>
      <c r="W189" s="910"/>
      <c r="X189" s="910"/>
      <c r="Y189" s="910"/>
      <c r="Z189" s="910"/>
      <c r="AA189" s="945">
        <f>'1.8.3 RenPTLR'!C189</f>
        <v>767.08366883921792</v>
      </c>
      <c r="AB189" s="910"/>
      <c r="AC189" s="910"/>
      <c r="AD189" s="950">
        <f t="shared" si="6"/>
        <v>6615.3124125662525</v>
      </c>
      <c r="AF189" s="911"/>
      <c r="AG189" s="1201">
        <f>+'1.3.1 CoalLR'!J189*Units!$C$20*1000</f>
        <v>14307.129250506132</v>
      </c>
      <c r="AH189" s="910"/>
      <c r="AI189" s="842">
        <v>280.66704030226691</v>
      </c>
      <c r="AJ189" s="912"/>
      <c r="AK189" s="910"/>
      <c r="AL189" s="910"/>
      <c r="AM189" s="945">
        <f>'1.8.2 RenHLR'!H189</f>
        <v>689.28162455694121</v>
      </c>
      <c r="AN189" s="910"/>
      <c r="AO189" s="1082">
        <f t="shared" si="10"/>
        <v>15277.07791536534</v>
      </c>
      <c r="AQ189" s="911"/>
      <c r="AR189" s="916"/>
      <c r="AS189" s="910"/>
      <c r="AT189" s="910"/>
      <c r="AU189" s="912"/>
      <c r="AV189" s="910"/>
      <c r="AW189" s="910"/>
      <c r="AX189" s="910"/>
      <c r="AY189" s="910"/>
      <c r="AZ189" s="912"/>
      <c r="BB189" s="913"/>
      <c r="BC189" s="916">
        <f t="shared" si="11"/>
        <v>50854.369051810761</v>
      </c>
      <c r="BD189" s="944">
        <f t="shared" si="12"/>
        <v>11535.932145858525</v>
      </c>
      <c r="BE189" s="914"/>
      <c r="BF189" s="910"/>
      <c r="BG189" s="916">
        <f>('1.6.1 GasLR'!O69)*Units!C$19</f>
        <v>494.80714285714271</v>
      </c>
      <c r="BH189" s="914"/>
      <c r="BI189" s="910"/>
      <c r="BJ189" s="910"/>
      <c r="BK189" s="842">
        <f t="shared" si="7"/>
        <v>767.08366883921792</v>
      </c>
      <c r="BL189" s="1085">
        <f t="shared" si="8"/>
        <v>3398.0971167903945</v>
      </c>
      <c r="BM189" s="920">
        <f>'1.5.1 OilLR'!AF19</f>
        <v>178.82425616</v>
      </c>
      <c r="BN189" s="921">
        <f t="shared" si="15"/>
        <v>67229.113382316049</v>
      </c>
    </row>
    <row r="190" spans="1:66" ht="10.5" customHeight="1" x14ac:dyDescent="0.35">
      <c r="A190" s="841">
        <v>1880</v>
      </c>
      <c r="B190" s="1201">
        <f>+'1.3.1 CoalLR'!K190*1000*Units!$C$20</f>
        <v>31911.528948435258</v>
      </c>
      <c r="C190" s="1202">
        <f>+'1.4.1 MSFLR'!B90</f>
        <v>11641.745451245541</v>
      </c>
      <c r="D190" s="910"/>
      <c r="E190" s="932">
        <f>+[1]R!$BJ640*1000</f>
        <v>147.38939546599494</v>
      </c>
      <c r="F190" s="910"/>
      <c r="G190" s="910"/>
      <c r="H190" s="945">
        <f>'1.8.3 RenPTLR'!B190</f>
        <v>0.82430983699529792</v>
      </c>
      <c r="I190" s="945">
        <f>'1.8.3 RenPTLR'!E190</f>
        <v>33.199600288164362</v>
      </c>
      <c r="J190" s="910"/>
      <c r="K190" s="842">
        <f>'1.8.2 RenHLR'!I190+'1.8.3 RenPTLR'!G190</f>
        <v>1919.5502764159862</v>
      </c>
      <c r="L190" s="910"/>
      <c r="M190" s="952">
        <f t="shared" si="14"/>
        <v>45654.237981687933</v>
      </c>
      <c r="N190" s="911"/>
      <c r="O190" s="1204">
        <f>'1.3.1 CoalLR'!I190*1000</f>
        <v>5216.6666666666679</v>
      </c>
      <c r="P190" s="910"/>
      <c r="Q190" s="912"/>
      <c r="R190" s="910"/>
      <c r="S190" s="910"/>
      <c r="T190" s="910"/>
      <c r="U190" s="910"/>
      <c r="V190" s="945">
        <f>'1.8.3 RenPTLR'!H190</f>
        <v>851.86390677165332</v>
      </c>
      <c r="W190" s="910"/>
      <c r="X190" s="910"/>
      <c r="Y190" s="910"/>
      <c r="Z190" s="910"/>
      <c r="AA190" s="945">
        <f>'1.8.3 RenPTLR'!C190</f>
        <v>827.93226604361757</v>
      </c>
      <c r="AB190" s="910"/>
      <c r="AC190" s="910"/>
      <c r="AD190" s="950">
        <f t="shared" si="6"/>
        <v>6896.4628394819383</v>
      </c>
      <c r="AF190" s="911"/>
      <c r="AG190" s="1201">
        <f>+'1.3.1 CoalLR'!J190*Units!$C$20*1000</f>
        <v>15817.840960595866</v>
      </c>
      <c r="AH190" s="910"/>
      <c r="AI190" s="842">
        <v>294.77879093198987</v>
      </c>
      <c r="AJ190" s="912"/>
      <c r="AK190" s="910"/>
      <c r="AL190" s="910"/>
      <c r="AM190" s="945">
        <f>'1.8.2 RenHLR'!H190</f>
        <v>762.06392794816907</v>
      </c>
      <c r="AN190" s="910"/>
      <c r="AO190" s="1082">
        <f t="shared" si="10"/>
        <v>16874.683679476024</v>
      </c>
      <c r="AQ190" s="911"/>
      <c r="AR190" s="916"/>
      <c r="AS190" s="910"/>
      <c r="AT190" s="910"/>
      <c r="AU190" s="912"/>
      <c r="AV190" s="910"/>
      <c r="AW190" s="910"/>
      <c r="AX190" s="910"/>
      <c r="AY190" s="910"/>
      <c r="AZ190" s="912"/>
      <c r="BB190" s="913"/>
      <c r="BC190" s="916">
        <f t="shared" si="11"/>
        <v>52946.036575697792</v>
      </c>
      <c r="BD190" s="944">
        <f t="shared" si="12"/>
        <v>11641.745451245541</v>
      </c>
      <c r="BE190" s="914"/>
      <c r="BF190" s="910"/>
      <c r="BG190" s="916">
        <f>('1.6.1 GasLR'!O70)*Units!C$19</f>
        <v>519.68571428571431</v>
      </c>
      <c r="BH190" s="914"/>
      <c r="BI190" s="910"/>
      <c r="BJ190" s="910"/>
      <c r="BK190" s="842">
        <f t="shared" si="7"/>
        <v>827.93226604361757</v>
      </c>
      <c r="BL190" s="1085">
        <f t="shared" si="8"/>
        <v>3533.4781111358088</v>
      </c>
      <c r="BM190" s="920">
        <f>'1.5.1 OilLR'!AF20</f>
        <v>157.48727105</v>
      </c>
      <c r="BN190" s="921">
        <f t="shared" si="15"/>
        <v>69626.365389458471</v>
      </c>
    </row>
    <row r="191" spans="1:66" ht="10.5" customHeight="1" x14ac:dyDescent="0.35">
      <c r="A191" s="841">
        <v>1881</v>
      </c>
      <c r="B191" s="1201">
        <f>+'1.3.1 CoalLR'!K191*1000*Units!$C$20</f>
        <v>32307.824870164888</v>
      </c>
      <c r="C191" s="1202">
        <f>+'1.4.1 MSFLR'!B91</f>
        <v>11749.562033722459</v>
      </c>
      <c r="D191" s="910"/>
      <c r="E191" s="932">
        <f>+[1]R!$BJ641*1000</f>
        <v>214.63798488664983</v>
      </c>
      <c r="F191" s="910"/>
      <c r="G191" s="910"/>
      <c r="H191" s="945">
        <f>'1.8.3 RenPTLR'!B191</f>
        <v>0.81449662465011574</v>
      </c>
      <c r="I191" s="945">
        <f>'1.8.3 RenPTLR'!E191</f>
        <v>32.983532801933521</v>
      </c>
      <c r="J191" s="910"/>
      <c r="K191" s="842">
        <f>'1.8.2 RenHLR'!I191+'1.8.3 RenPTLR'!G191</f>
        <v>1945.2878947313977</v>
      </c>
      <c r="L191" s="910"/>
      <c r="M191" s="952">
        <f t="shared" si="14"/>
        <v>46251.110812931969</v>
      </c>
      <c r="N191" s="911"/>
      <c r="O191" s="1204">
        <f>'1.3.1 CoalLR'!I191*1000</f>
        <v>5400.0000000000009</v>
      </c>
      <c r="P191" s="910"/>
      <c r="Q191" s="912"/>
      <c r="R191" s="910"/>
      <c r="S191" s="910"/>
      <c r="T191" s="910"/>
      <c r="U191" s="910"/>
      <c r="V191" s="945">
        <f>'1.8.3 RenPTLR'!H191</f>
        <v>888.83240314960631</v>
      </c>
      <c r="W191" s="910"/>
      <c r="X191" s="910"/>
      <c r="Y191" s="910"/>
      <c r="Z191" s="910"/>
      <c r="AA191" s="945">
        <f>'1.8.3 RenPTLR'!C191</f>
        <v>743.52858435751125</v>
      </c>
      <c r="AB191" s="910"/>
      <c r="AC191" s="910"/>
      <c r="AD191" s="950">
        <f t="shared" si="6"/>
        <v>7032.3609875071179</v>
      </c>
      <c r="AF191" s="911"/>
      <c r="AG191" s="1201">
        <f>+'1.3.1 CoalLR'!J191*Units!$C$20*1000</f>
        <v>16709.355594668225</v>
      </c>
      <c r="AH191" s="910"/>
      <c r="AI191" s="842">
        <v>429.27596977329966</v>
      </c>
      <c r="AJ191" s="912"/>
      <c r="AK191" s="910"/>
      <c r="AL191" s="910"/>
      <c r="AM191" s="945">
        <f>'1.8.2 RenHLR'!H191</f>
        <v>805.01486831714226</v>
      </c>
      <c r="AN191" s="910"/>
      <c r="AO191" s="1082">
        <f t="shared" si="10"/>
        <v>17943.646432758665</v>
      </c>
      <c r="AQ191" s="911"/>
      <c r="AR191" s="916"/>
      <c r="AS191" s="910"/>
      <c r="AT191" s="910"/>
      <c r="AU191" s="912"/>
      <c r="AV191" s="910"/>
      <c r="AW191" s="910"/>
      <c r="AX191" s="910"/>
      <c r="AY191" s="910"/>
      <c r="AZ191" s="912"/>
      <c r="BB191" s="913"/>
      <c r="BC191" s="916">
        <f t="shared" si="11"/>
        <v>54417.180464833116</v>
      </c>
      <c r="BD191" s="944">
        <f t="shared" si="12"/>
        <v>11749.562033722459</v>
      </c>
      <c r="BE191" s="914"/>
      <c r="BF191" s="910"/>
      <c r="BG191" s="916">
        <f>('1.6.1 GasLR'!O71)*Units!C$19</f>
        <v>0</v>
      </c>
      <c r="BH191" s="914"/>
      <c r="BI191" s="910"/>
      <c r="BJ191" s="910"/>
      <c r="BK191" s="842">
        <f t="shared" si="7"/>
        <v>743.52858435751125</v>
      </c>
      <c r="BL191" s="1085">
        <f t="shared" si="8"/>
        <v>3639.1351661981466</v>
      </c>
      <c r="BM191" s="920">
        <f>'1.5.1 OilLR'!AF21</f>
        <v>243.85125840000001</v>
      </c>
      <c r="BN191" s="921">
        <f t="shared" si="15"/>
        <v>70793.257507511225</v>
      </c>
    </row>
    <row r="192" spans="1:66" ht="10.5" customHeight="1" x14ac:dyDescent="0.35">
      <c r="A192" s="841">
        <v>1882</v>
      </c>
      <c r="B192" s="1201">
        <f>+'1.3.1 CoalLR'!K192*1000*Units!$C$20</f>
        <v>32702.794233160195</v>
      </c>
      <c r="C192" s="1202">
        <f>+'1.4.1 MSFLR'!B92</f>
        <v>11859.381893289274</v>
      </c>
      <c r="D192" s="910"/>
      <c r="E192" s="932">
        <f>+[1]R!$BJ642*1000</f>
        <v>225.78801007556669</v>
      </c>
      <c r="F192" s="910"/>
      <c r="G192" s="910"/>
      <c r="H192" s="945">
        <f>'1.8.3 RenPTLR'!B192</f>
        <v>0.80468341230493368</v>
      </c>
      <c r="I192" s="945">
        <f>'1.8.3 RenPTLR'!E192</f>
        <v>32.767465315702665</v>
      </c>
      <c r="J192" s="910"/>
      <c r="K192" s="842">
        <f>'1.8.2 RenHLR'!I192+'1.8.3 RenPTLR'!G192</f>
        <v>1956.2584811633719</v>
      </c>
      <c r="L192" s="910"/>
      <c r="M192" s="952">
        <f t="shared" si="14"/>
        <v>46777.794766416409</v>
      </c>
      <c r="N192" s="911"/>
      <c r="O192" s="1204">
        <f>'1.3.1 CoalLR'!I192*1000</f>
        <v>5583.3333333333348</v>
      </c>
      <c r="P192" s="910"/>
      <c r="Q192" s="912"/>
      <c r="R192" s="910"/>
      <c r="S192" s="910"/>
      <c r="T192" s="910"/>
      <c r="U192" s="910"/>
      <c r="V192" s="945">
        <f>'1.8.3 RenPTLR'!H192</f>
        <v>898.00232314960613</v>
      </c>
      <c r="W192" s="910"/>
      <c r="X192" s="910"/>
      <c r="Y192" s="910"/>
      <c r="Z192" s="910"/>
      <c r="AA192" s="945">
        <f>'1.8.3 RenPTLR'!C192</f>
        <v>726.2014448587305</v>
      </c>
      <c r="AB192" s="910"/>
      <c r="AC192" s="910"/>
      <c r="AD192" s="950">
        <f t="shared" si="6"/>
        <v>7207.5371013416716</v>
      </c>
      <c r="AF192" s="911"/>
      <c r="AG192" s="1201">
        <f>+'1.3.1 CoalLR'!J192*Units!$C$20*1000</f>
        <v>16786.304034470824</v>
      </c>
      <c r="AH192" s="910"/>
      <c r="AI192" s="842">
        <v>451.57602015113338</v>
      </c>
      <c r="AJ192" s="912"/>
      <c r="AK192" s="910"/>
      <c r="AL192" s="910"/>
      <c r="AM192" s="945">
        <f>'1.8.2 RenHLR'!H192</f>
        <v>808.72205126527854</v>
      </c>
      <c r="AN192" s="910"/>
      <c r="AO192" s="1082">
        <f t="shared" si="10"/>
        <v>18046.602105887236</v>
      </c>
      <c r="AQ192" s="911"/>
      <c r="AR192" s="916"/>
      <c r="AS192" s="910"/>
      <c r="AT192" s="910"/>
      <c r="AU192" s="912"/>
      <c r="AV192" s="910"/>
      <c r="AW192" s="910"/>
      <c r="AX192" s="910"/>
      <c r="AY192" s="910"/>
      <c r="AZ192" s="912"/>
      <c r="BB192" s="913"/>
      <c r="BC192" s="916">
        <f t="shared" si="11"/>
        <v>55072.431600964352</v>
      </c>
      <c r="BD192" s="944">
        <f t="shared" si="12"/>
        <v>11859.381893289274</v>
      </c>
      <c r="BE192" s="914"/>
      <c r="BF192" s="910"/>
      <c r="BG192" s="916">
        <f>('1.6.1 GasLR'!O72)*Units!C$19</f>
        <v>546.83403129832141</v>
      </c>
      <c r="BH192" s="914"/>
      <c r="BI192" s="910"/>
      <c r="BJ192" s="910"/>
      <c r="BK192" s="842">
        <f t="shared" si="7"/>
        <v>726.2014448587305</v>
      </c>
      <c r="BL192" s="1085">
        <f t="shared" si="8"/>
        <v>3662.9828555782565</v>
      </c>
      <c r="BM192" s="920">
        <f>'1.5.1 OilLR'!AF22</f>
        <v>248.93149295000001</v>
      </c>
      <c r="BN192" s="921">
        <f t="shared" si="15"/>
        <v>72116.763318938931</v>
      </c>
    </row>
    <row r="193" spans="1:66" ht="10.5" customHeight="1" x14ac:dyDescent="0.35">
      <c r="A193" s="841">
        <v>1883</v>
      </c>
      <c r="B193" s="1201">
        <f>+'1.3.1 CoalLR'!K193*1000*Units!$C$20</f>
        <v>33096.437037421172</v>
      </c>
      <c r="C193" s="1202">
        <f>+'1.4.1 MSFLR'!B93</f>
        <v>11971.205029945993</v>
      </c>
      <c r="D193" s="910"/>
      <c r="E193" s="932">
        <f>+[1]R!$BJ643*1000</f>
        <v>237.98335012594453</v>
      </c>
      <c r="F193" s="910"/>
      <c r="G193" s="910"/>
      <c r="H193" s="945">
        <f>'1.8.3 RenPTLR'!B193</f>
        <v>0.7948701999597515</v>
      </c>
      <c r="I193" s="945">
        <f>'1.8.3 RenPTLR'!E193</f>
        <v>32.55139782947181</v>
      </c>
      <c r="J193" s="910"/>
      <c r="K193" s="842">
        <f>'1.8.2 RenHLR'!I193+'1.8.3 RenPTLR'!G193</f>
        <v>1967.2485227150012</v>
      </c>
      <c r="L193" s="910"/>
      <c r="M193" s="952">
        <f t="shared" si="14"/>
        <v>47306.220208237544</v>
      </c>
      <c r="N193" s="911"/>
      <c r="O193" s="1204">
        <f>'1.3.1 CoalLR'!I193*1000</f>
        <v>5766.6666666666688</v>
      </c>
      <c r="P193" s="910"/>
      <c r="Q193" s="912"/>
      <c r="R193" s="910"/>
      <c r="S193" s="910"/>
      <c r="T193" s="910"/>
      <c r="U193" s="910"/>
      <c r="V193" s="945">
        <f>'1.8.3 RenPTLR'!H193</f>
        <v>907.17224314960595</v>
      </c>
      <c r="W193" s="910"/>
      <c r="X193" s="910"/>
      <c r="Y193" s="910"/>
      <c r="Z193" s="910"/>
      <c r="AA193" s="945">
        <f>'1.8.3 RenPTLR'!C193</f>
        <v>651.74517223634768</v>
      </c>
      <c r="AB193" s="910"/>
      <c r="AC193" s="910"/>
      <c r="AD193" s="950">
        <f t="shared" si="6"/>
        <v>7325.5840820526228</v>
      </c>
      <c r="AF193" s="911"/>
      <c r="AG193" s="1201">
        <f>+'1.3.1 CoalLR'!J193*Units!$C$20*1000</f>
        <v>17464.872397291372</v>
      </c>
      <c r="AH193" s="910"/>
      <c r="AI193" s="842">
        <v>475.96670025188905</v>
      </c>
      <c r="AJ193" s="912"/>
      <c r="AK193" s="910"/>
      <c r="AL193" s="910"/>
      <c r="AM193" s="945">
        <f>'1.8.2 RenHLR'!H193</f>
        <v>841.41377406364109</v>
      </c>
      <c r="AN193" s="910"/>
      <c r="AO193" s="1082">
        <f t="shared" si="10"/>
        <v>18782.252871606903</v>
      </c>
      <c r="AQ193" s="911"/>
      <c r="AR193" s="916"/>
      <c r="AS193" s="910"/>
      <c r="AT193" s="910"/>
      <c r="AU193" s="912"/>
      <c r="AV193" s="910"/>
      <c r="AW193" s="910"/>
      <c r="AX193" s="910"/>
      <c r="AY193" s="910"/>
      <c r="AZ193" s="912"/>
      <c r="BB193" s="913"/>
      <c r="BC193" s="916">
        <f t="shared" si="11"/>
        <v>56327.976101379216</v>
      </c>
      <c r="BD193" s="944">
        <f t="shared" si="12"/>
        <v>11971.205029945993</v>
      </c>
      <c r="BE193" s="914"/>
      <c r="BF193" s="910"/>
      <c r="BG193" s="916">
        <f>('1.6.1 GasLR'!O73)*Units!C$19</f>
        <v>574.76615488878565</v>
      </c>
      <c r="BH193" s="914"/>
      <c r="BI193" s="910"/>
      <c r="BJ193" s="910"/>
      <c r="BK193" s="842">
        <f t="shared" si="7"/>
        <v>651.74517223634768</v>
      </c>
      <c r="BL193" s="1085">
        <f t="shared" si="8"/>
        <v>3715.8345399282484</v>
      </c>
      <c r="BM193" s="920">
        <f>'1.5.1 OilLR'!AF23</f>
        <v>288.55732244000001</v>
      </c>
      <c r="BN193" s="921">
        <f t="shared" si="15"/>
        <v>73530.084320818598</v>
      </c>
    </row>
    <row r="194" spans="1:66" ht="10.5" customHeight="1" x14ac:dyDescent="0.35">
      <c r="A194" s="841">
        <v>1884</v>
      </c>
      <c r="B194" s="1201">
        <f>+'1.3.1 CoalLR'!K194*1000*Units!$C$20</f>
        <v>33488.753282947822</v>
      </c>
      <c r="C194" s="1202">
        <f>+'1.4.1 MSFLR'!B94</f>
        <v>12085.031443692611</v>
      </c>
      <c r="D194" s="910"/>
      <c r="E194" s="932">
        <f>+[1]R!$BJ644*1000</f>
        <v>249.48181360201505</v>
      </c>
      <c r="F194" s="910"/>
      <c r="G194" s="910"/>
      <c r="H194" s="945">
        <f>'1.8.3 RenPTLR'!B194</f>
        <v>0.78505698761456932</v>
      </c>
      <c r="I194" s="945">
        <f>'1.8.3 RenPTLR'!E194</f>
        <v>32.335330343240955</v>
      </c>
      <c r="J194" s="910"/>
      <c r="K194" s="842">
        <f>'1.8.2 RenHLR'!I194+'1.8.3 RenPTLR'!G194</f>
        <v>1978.3612154010339</v>
      </c>
      <c r="L194" s="910"/>
      <c r="M194" s="952">
        <f t="shared" si="14"/>
        <v>47834.748142974342</v>
      </c>
      <c r="N194" s="911"/>
      <c r="O194" s="1204">
        <f>'1.3.1 CoalLR'!I194*1000</f>
        <v>5950.0000000000018</v>
      </c>
      <c r="P194" s="910"/>
      <c r="Q194" s="912"/>
      <c r="R194" s="910"/>
      <c r="S194" s="910"/>
      <c r="T194" s="910"/>
      <c r="U194" s="910"/>
      <c r="V194" s="945">
        <f>'1.8.3 RenPTLR'!H194</f>
        <v>916.34216314960622</v>
      </c>
      <c r="W194" s="910"/>
      <c r="X194" s="910"/>
      <c r="Y194" s="910"/>
      <c r="Z194" s="910"/>
      <c r="AA194" s="945">
        <f>'1.8.3 RenPTLR'!C194</f>
        <v>578.75538959333949</v>
      </c>
      <c r="AB194" s="910"/>
      <c r="AC194" s="910"/>
      <c r="AD194" s="950">
        <f t="shared" si="6"/>
        <v>7445.0975527429473</v>
      </c>
      <c r="AF194" s="911"/>
      <c r="AG194" s="1201">
        <f>+'1.3.1 CoalLR'!J194*Units!$C$20*1000</f>
        <v>16926.000623034186</v>
      </c>
      <c r="AH194" s="910"/>
      <c r="AI194" s="842">
        <v>498.9636272040301</v>
      </c>
      <c r="AJ194" s="912"/>
      <c r="AK194" s="910"/>
      <c r="AL194" s="910"/>
      <c r="AM194" s="945">
        <f>'1.8.2 RenHLR'!H194</f>
        <v>815.4522827340835</v>
      </c>
      <c r="AN194" s="910"/>
      <c r="AO194" s="1082">
        <f t="shared" si="10"/>
        <v>18240.4165329723</v>
      </c>
      <c r="AQ194" s="911"/>
      <c r="AR194" s="916"/>
      <c r="AS194" s="910"/>
      <c r="AT194" s="910"/>
      <c r="AU194" s="912"/>
      <c r="AV194" s="910"/>
      <c r="AW194" s="910"/>
      <c r="AX194" s="910"/>
      <c r="AY194" s="910"/>
      <c r="AZ194" s="912"/>
      <c r="BB194" s="913"/>
      <c r="BC194" s="916">
        <f t="shared" si="11"/>
        <v>56364.753905982012</v>
      </c>
      <c r="BD194" s="944">
        <f t="shared" si="12"/>
        <v>12085.031443692611</v>
      </c>
      <c r="BE194" s="914"/>
      <c r="BF194" s="910"/>
      <c r="BG194" s="916">
        <f>('1.6.1 GasLR'!O74)*Units!C$19</f>
        <v>599.96434335906611</v>
      </c>
      <c r="BH194" s="914"/>
      <c r="BI194" s="910"/>
      <c r="BJ194" s="910"/>
      <c r="BK194" s="842">
        <f t="shared" si="7"/>
        <v>578.75538959333949</v>
      </c>
      <c r="BL194" s="1085">
        <f t="shared" si="8"/>
        <v>3710.1556612847235</v>
      </c>
      <c r="BM194" s="920">
        <f>'1.5.1 OilLR'!AF24</f>
        <v>217.43403874000001</v>
      </c>
      <c r="BN194" s="921">
        <f t="shared" si="15"/>
        <v>73556.094782651751</v>
      </c>
    </row>
    <row r="195" spans="1:66" ht="10.5" customHeight="1" x14ac:dyDescent="0.35">
      <c r="A195" s="841">
        <v>1885</v>
      </c>
      <c r="B195" s="1201">
        <f>+'1.3.1 CoalLR'!K195*1000*Units!$C$20</f>
        <v>33879.742969740153</v>
      </c>
      <c r="C195" s="1202">
        <f>+'1.4.1 MSFLR'!B95</f>
        <v>12200.861134529132</v>
      </c>
      <c r="D195" s="910"/>
      <c r="E195" s="932">
        <f>+[1]R!$BJ645*1000</f>
        <v>262.37403022670014</v>
      </c>
      <c r="F195" s="910"/>
      <c r="G195" s="910"/>
      <c r="H195" s="945">
        <f>'1.8.3 RenPTLR'!B195</f>
        <v>0.77524377526938726</v>
      </c>
      <c r="I195" s="945">
        <f>'1.8.3 RenPTLR'!E195</f>
        <v>32.119262857010106</v>
      </c>
      <c r="J195" s="910"/>
      <c r="K195" s="842">
        <f>'1.8.2 RenHLR'!I195+'1.8.3 RenPTLR'!G195</f>
        <v>1989.5713141832141</v>
      </c>
      <c r="L195" s="910"/>
      <c r="M195" s="952">
        <f t="shared" si="14"/>
        <v>48365.443955311486</v>
      </c>
      <c r="N195" s="911"/>
      <c r="O195" s="1204">
        <f>'1.3.1 CoalLR'!I195*1000</f>
        <v>6133.3333333333358</v>
      </c>
      <c r="P195" s="910"/>
      <c r="Q195" s="912"/>
      <c r="R195" s="910"/>
      <c r="S195" s="910"/>
      <c r="T195" s="910"/>
      <c r="U195" s="910"/>
      <c r="V195" s="945">
        <f>'1.8.3 RenPTLR'!H195</f>
        <v>925.51208314960616</v>
      </c>
      <c r="W195" s="910"/>
      <c r="X195" s="910"/>
      <c r="Y195" s="910"/>
      <c r="Z195" s="910"/>
      <c r="AA195" s="945">
        <f>'1.8.3 RenPTLR'!C195</f>
        <v>596.70650983225028</v>
      </c>
      <c r="AB195" s="910"/>
      <c r="AC195" s="910"/>
      <c r="AD195" s="950">
        <f t="shared" si="6"/>
        <v>7655.5519263151918</v>
      </c>
      <c r="AF195" s="911"/>
      <c r="AG195" s="1201">
        <f>+'1.3.1 CoalLR'!J195*Units!$C$20*1000</f>
        <v>16634.669456328313</v>
      </c>
      <c r="AH195" s="910"/>
      <c r="AI195" s="842">
        <v>524.74806045340029</v>
      </c>
      <c r="AJ195" s="912"/>
      <c r="AK195" s="910"/>
      <c r="AL195" s="910"/>
      <c r="AM195" s="945">
        <f>'1.8.2 RenHLR'!H195</f>
        <v>801.41667738271735</v>
      </c>
      <c r="AN195" s="910"/>
      <c r="AO195" s="1082">
        <f t="shared" si="10"/>
        <v>17960.834194164428</v>
      </c>
      <c r="AQ195" s="911"/>
      <c r="AR195" s="916"/>
      <c r="AS195" s="910"/>
      <c r="AT195" s="910"/>
      <c r="AU195" s="912"/>
      <c r="AV195" s="910"/>
      <c r="AW195" s="910"/>
      <c r="AX195" s="910"/>
      <c r="AY195" s="910"/>
      <c r="AZ195" s="912"/>
      <c r="BB195" s="913"/>
      <c r="BC195" s="916">
        <f t="shared" si="11"/>
        <v>56647.745759401805</v>
      </c>
      <c r="BD195" s="944">
        <f t="shared" si="12"/>
        <v>12200.861134529132</v>
      </c>
      <c r="BE195" s="914"/>
      <c r="BF195" s="910"/>
      <c r="BG195" s="916">
        <f>('1.6.1 GasLR'!O75)*Units!C$19</f>
        <v>627.46882109231501</v>
      </c>
      <c r="BH195" s="914"/>
      <c r="BI195" s="910"/>
      <c r="BJ195" s="910"/>
      <c r="BK195" s="842">
        <f t="shared" si="7"/>
        <v>596.70650983225028</v>
      </c>
      <c r="BL195" s="1085">
        <f t="shared" si="8"/>
        <v>3716.5000747155377</v>
      </c>
      <c r="BM195" s="920">
        <f>'1.5.1 OilLR'!AF25</f>
        <v>304.81407300000001</v>
      </c>
      <c r="BN195" s="921">
        <f t="shared" si="15"/>
        <v>74094.096372571046</v>
      </c>
    </row>
    <row r="196" spans="1:66" ht="10.5" customHeight="1" x14ac:dyDescent="0.35">
      <c r="A196" s="841">
        <v>1886</v>
      </c>
      <c r="B196" s="1201">
        <f>+'1.3.1 CoalLR'!K196*1000*Units!$C$20</f>
        <v>34269.406097798157</v>
      </c>
      <c r="C196" s="1202">
        <f>+'1.4.1 MSFLR'!B96</f>
        <v>12318.694102455554</v>
      </c>
      <c r="D196" s="910"/>
      <c r="E196" s="932">
        <f>+[1]R!$BJ646*1000</f>
        <v>273.52405541561711</v>
      </c>
      <c r="F196" s="910"/>
      <c r="G196" s="910"/>
      <c r="H196" s="945">
        <f>'1.8.3 RenPTLR'!B196</f>
        <v>0.76543056292420486</v>
      </c>
      <c r="I196" s="945">
        <f>'1.8.3 RenPTLR'!E196</f>
        <v>31.903195370779251</v>
      </c>
      <c r="J196" s="910"/>
      <c r="K196" s="842">
        <f>'1.8.2 RenHLR'!I196+'1.8.3 RenPTLR'!G196</f>
        <v>2000.8607504462632</v>
      </c>
      <c r="L196" s="910"/>
      <c r="M196" s="952">
        <f t="shared" si="14"/>
        <v>48895.153632049303</v>
      </c>
      <c r="N196" s="911"/>
      <c r="O196" s="1204">
        <f>'1.3.1 CoalLR'!I196*1000</f>
        <v>6316.6666666666688</v>
      </c>
      <c r="P196" s="910"/>
      <c r="Q196" s="912"/>
      <c r="R196" s="910"/>
      <c r="S196" s="910"/>
      <c r="T196" s="910"/>
      <c r="U196" s="910"/>
      <c r="V196" s="945">
        <f>'1.8.3 RenPTLR'!H196</f>
        <v>934.68200314960598</v>
      </c>
      <c r="W196" s="910"/>
      <c r="X196" s="910"/>
      <c r="Y196" s="910"/>
      <c r="Z196" s="910"/>
      <c r="AA196" s="945">
        <f>'1.8.3 RenPTLR'!C196</f>
        <v>558.07356839498186</v>
      </c>
      <c r="AB196" s="910"/>
      <c r="AC196" s="910"/>
      <c r="AD196" s="950">
        <f t="shared" si="6"/>
        <v>7809.4222382112566</v>
      </c>
      <c r="AF196" s="911"/>
      <c r="AG196" s="1201">
        <f>+'1.3.1 CoalLR'!J196*Units!$C$20*1000</f>
        <v>16415.448006769249</v>
      </c>
      <c r="AH196" s="910"/>
      <c r="AI196" s="842">
        <v>547.04811083123423</v>
      </c>
      <c r="AJ196" s="912"/>
      <c r="AK196" s="910"/>
      <c r="AL196" s="910"/>
      <c r="AM196" s="945">
        <f>'1.8.2 RenHLR'!H196</f>
        <v>790.85513745083654</v>
      </c>
      <c r="AN196" s="910"/>
      <c r="AO196" s="1082">
        <f t="shared" si="10"/>
        <v>17753.351255051319</v>
      </c>
      <c r="AQ196" s="911"/>
      <c r="AR196" s="916"/>
      <c r="AS196" s="910"/>
      <c r="AT196" s="910"/>
      <c r="AU196" s="912"/>
      <c r="AV196" s="910"/>
      <c r="AW196" s="910"/>
      <c r="AX196" s="910"/>
      <c r="AY196" s="910"/>
      <c r="AZ196" s="912"/>
      <c r="BB196" s="913"/>
      <c r="BC196" s="916">
        <f t="shared" si="11"/>
        <v>57001.520771234078</v>
      </c>
      <c r="BD196" s="944">
        <f t="shared" si="12"/>
        <v>12318.694102455554</v>
      </c>
      <c r="BE196" s="914"/>
      <c r="BF196" s="910"/>
      <c r="BG196" s="916">
        <f>('1.6.1 GasLR'!O76)*Units!C$19</f>
        <v>652.92918024119035</v>
      </c>
      <c r="BH196" s="914"/>
      <c r="BI196" s="910"/>
      <c r="BJ196" s="910"/>
      <c r="BK196" s="842">
        <f t="shared" si="7"/>
        <v>558.07356839498186</v>
      </c>
      <c r="BL196" s="1085">
        <f t="shared" si="8"/>
        <v>3726.3978910467058</v>
      </c>
      <c r="BM196" s="920">
        <f>'1.5.1 OilLR'!AF26</f>
        <v>297.70174463000001</v>
      </c>
      <c r="BN196" s="921">
        <f t="shared" si="15"/>
        <v>74555.317258002513</v>
      </c>
    </row>
    <row r="197" spans="1:66" ht="10.5" customHeight="1" x14ac:dyDescent="0.35">
      <c r="A197" s="841">
        <v>1887</v>
      </c>
      <c r="B197" s="916">
        <f>+'1.3.1 CoalLR'!K197*1000*Units!$C$20</f>
        <v>34657.74266712182</v>
      </c>
      <c r="C197" s="842">
        <f>+'1.4.1 MSFLR'!B97</f>
        <v>12438.53034747188</v>
      </c>
      <c r="D197" s="910"/>
      <c r="E197" s="932">
        <f>+[1]R!$BJ647*1000</f>
        <v>283.62876574307302</v>
      </c>
      <c r="F197" s="910"/>
      <c r="G197" s="910"/>
      <c r="H197" s="945">
        <f>'1.8.3 RenPTLR'!B197</f>
        <v>0.75561735057902291</v>
      </c>
      <c r="I197" s="945">
        <f>'1.8.3 RenPTLR'!E197</f>
        <v>31.687127884548396</v>
      </c>
      <c r="J197" s="910"/>
      <c r="K197" s="842">
        <f>'1.8.2 RenHLR'!I197+'1.8.3 RenPTLR'!G197</f>
        <v>2012.1968140886875</v>
      </c>
      <c r="L197" s="910"/>
      <c r="M197" s="952">
        <f t="shared" si="14"/>
        <v>49424.541339660595</v>
      </c>
      <c r="N197" s="911"/>
      <c r="O197" s="945">
        <f>'1.3.1 CoalLR'!I197*1000</f>
        <v>6500</v>
      </c>
      <c r="P197" s="910"/>
      <c r="Q197" s="912"/>
      <c r="R197" s="910"/>
      <c r="S197" s="910"/>
      <c r="T197" s="910"/>
      <c r="U197" s="910"/>
      <c r="V197" s="945">
        <f>'1.8.3 RenPTLR'!H197</f>
        <v>943.85192314960614</v>
      </c>
      <c r="W197" s="910"/>
      <c r="X197" s="910"/>
      <c r="Y197" s="910"/>
      <c r="Z197" s="910"/>
      <c r="AA197" s="945">
        <f>'1.8.3 RenPTLR'!C197</f>
        <v>544.14573748540238</v>
      </c>
      <c r="AB197" s="910"/>
      <c r="AC197" s="910"/>
      <c r="AD197" s="950">
        <f t="shared" si="6"/>
        <v>7987.9976606350092</v>
      </c>
      <c r="AF197" s="911"/>
      <c r="AG197" s="916">
        <f>+'1.3.1 CoalLR'!J197*Units!$C$20*1000</f>
        <v>16906.646399999998</v>
      </c>
      <c r="AH197" s="910"/>
      <c r="AI197" s="842">
        <v>567.25753148614604</v>
      </c>
      <c r="AJ197" s="912"/>
      <c r="AK197" s="910"/>
      <c r="AL197" s="910"/>
      <c r="AM197" s="945">
        <f>'1.8.2 RenHLR'!H197</f>
        <v>814.51984478224438</v>
      </c>
      <c r="AN197" s="910"/>
      <c r="AO197" s="1082">
        <f t="shared" si="10"/>
        <v>18288.423776268388</v>
      </c>
      <c r="AQ197" s="911"/>
      <c r="AR197" s="916"/>
      <c r="AS197" s="910"/>
      <c r="AT197" s="910"/>
      <c r="AU197" s="912"/>
      <c r="AV197" s="910"/>
      <c r="AW197" s="910"/>
      <c r="AX197" s="910"/>
      <c r="AY197" s="910"/>
      <c r="AZ197" s="912"/>
      <c r="BB197" s="913"/>
      <c r="BC197" s="916">
        <f t="shared" si="11"/>
        <v>58064.389067121818</v>
      </c>
      <c r="BD197" s="944">
        <f t="shared" si="12"/>
        <v>12438.53034747188</v>
      </c>
      <c r="BE197" s="914"/>
      <c r="BF197" s="910"/>
      <c r="BG197" s="916">
        <f>('1.6.1 GasLR'!O77)*Units!C$19</f>
        <v>676.14284475514307</v>
      </c>
      <c r="BH197" s="914"/>
      <c r="BI197" s="910"/>
      <c r="BJ197" s="910"/>
      <c r="BK197" s="842">
        <f t="shared" si="7"/>
        <v>544.14573748540238</v>
      </c>
      <c r="BL197" s="1085">
        <f t="shared" si="8"/>
        <v>3770.5685820205381</v>
      </c>
      <c r="BM197" s="920">
        <f>'1.5.1 OilLR'!AF27</f>
        <v>328.18315193000001</v>
      </c>
      <c r="BN197" s="921">
        <f t="shared" si="15"/>
        <v>75821.959730784787</v>
      </c>
    </row>
    <row r="198" spans="1:66" ht="10.5" customHeight="1" x14ac:dyDescent="0.35">
      <c r="A198" s="841">
        <v>1888</v>
      </c>
      <c r="B198" s="1201">
        <f>+'1.3.1 CoalLR'!K198*1000*Units!$C$20</f>
        <v>34221.639385035531</v>
      </c>
      <c r="C198" s="1202">
        <f>+'1.4.1 MSFLR'!B98</f>
        <v>12617.310160024816</v>
      </c>
      <c r="D198" s="910"/>
      <c r="E198" s="932">
        <f>+[1]R!$BJ648*1000</f>
        <v>295.1272292191436</v>
      </c>
      <c r="F198" s="910"/>
      <c r="G198" s="910"/>
      <c r="H198" s="945">
        <f>'1.8.3 RenPTLR'!B198</f>
        <v>0.74580413823384084</v>
      </c>
      <c r="I198" s="945">
        <f>'1.8.3 RenPTLR'!E198</f>
        <v>31.471060398317533</v>
      </c>
      <c r="J198" s="910"/>
      <c r="K198" s="842">
        <f>'1.8.2 RenHLR'!I198+'1.8.3 RenPTLR'!G198</f>
        <v>2023.5990608599013</v>
      </c>
      <c r="L198" s="910"/>
      <c r="M198" s="952">
        <f t="shared" si="14"/>
        <v>49189.89269967594</v>
      </c>
      <c r="N198" s="911"/>
      <c r="O198" s="1204">
        <f>'1.3.1 CoalLR'!I198*1000</f>
        <v>6906.25</v>
      </c>
      <c r="P198" s="910"/>
      <c r="Q198" s="912"/>
      <c r="R198" s="910"/>
      <c r="S198" s="910"/>
      <c r="T198" s="910"/>
      <c r="U198" s="910"/>
      <c r="V198" s="945">
        <f>'1.8.3 RenPTLR'!H198</f>
        <v>953.02184314960584</v>
      </c>
      <c r="W198" s="910"/>
      <c r="X198" s="910"/>
      <c r="Y198" s="910"/>
      <c r="Z198" s="910"/>
      <c r="AA198" s="945">
        <f>'1.8.3 RenPTLR'!C198</f>
        <v>534.95161742822461</v>
      </c>
      <c r="AB198" s="910"/>
      <c r="AC198" s="910"/>
      <c r="AD198" s="950">
        <f t="shared" si="6"/>
        <v>8394.2234605778303</v>
      </c>
      <c r="AF198" s="911"/>
      <c r="AG198" s="1201">
        <f>+'1.3.1 CoalLR'!J198*Units!$C$20*1000</f>
        <v>17563.795199999997</v>
      </c>
      <c r="AH198" s="910"/>
      <c r="AI198" s="842">
        <v>590.2544584382872</v>
      </c>
      <c r="AJ198" s="912"/>
      <c r="AK198" s="910"/>
      <c r="AL198" s="910"/>
      <c r="AM198" s="945">
        <f>'1.8.2 RenHLR'!H198</f>
        <v>846.17962673491104</v>
      </c>
      <c r="AN198" s="910"/>
      <c r="AO198" s="1082">
        <f t="shared" si="10"/>
        <v>19000.229285173198</v>
      </c>
      <c r="AQ198" s="911"/>
      <c r="AR198" s="916"/>
      <c r="AS198" s="910"/>
      <c r="AT198" s="910"/>
      <c r="AU198" s="912"/>
      <c r="AV198" s="910"/>
      <c r="AW198" s="910"/>
      <c r="AX198" s="910"/>
      <c r="AY198" s="910"/>
      <c r="AZ198" s="912"/>
      <c r="BB198" s="913"/>
      <c r="BC198" s="916">
        <f t="shared" si="11"/>
        <v>58691.684585035531</v>
      </c>
      <c r="BD198" s="944">
        <f t="shared" si="12"/>
        <v>12617.310160024816</v>
      </c>
      <c r="BE198" s="914"/>
      <c r="BF198" s="910"/>
      <c r="BG198" s="916">
        <f>('1.6.1 GasLR'!O78)*Units!C$19</f>
        <v>690.98889210503296</v>
      </c>
      <c r="BH198" s="914"/>
      <c r="BI198" s="910"/>
      <c r="BJ198" s="910"/>
      <c r="BK198" s="842">
        <f t="shared" si="7"/>
        <v>534.95161742822461</v>
      </c>
      <c r="BL198" s="1085">
        <f t="shared" si="8"/>
        <v>3822.8005307444182</v>
      </c>
      <c r="BM198" s="920">
        <f>'1.5.1 OilLR'!AF28</f>
        <v>396.25829490000001</v>
      </c>
      <c r="BN198" s="921">
        <f t="shared" si="15"/>
        <v>76753.994080238015</v>
      </c>
    </row>
    <row r="199" spans="1:66" ht="10.5" customHeight="1" x14ac:dyDescent="0.35">
      <c r="A199" s="841">
        <v>1889</v>
      </c>
      <c r="B199" s="1201">
        <f>+'1.3.1 CoalLR'!K199*1000*Units!$C$20</f>
        <v>33785.536102949234</v>
      </c>
      <c r="C199" s="1202">
        <f>+'1.4.1 MSFLR'!B99</f>
        <v>12798.088241474932</v>
      </c>
      <c r="D199" s="910"/>
      <c r="E199" s="932">
        <f>+[1]R!$BJ649*1000</f>
        <v>306.27725440806046</v>
      </c>
      <c r="F199" s="910"/>
      <c r="G199" s="910"/>
      <c r="H199" s="945">
        <f>'1.8.3 RenPTLR'!B199</f>
        <v>0.73599092588865844</v>
      </c>
      <c r="I199" s="945">
        <f>'1.8.3 RenPTLR'!E199</f>
        <v>31.254992912086685</v>
      </c>
      <c r="J199" s="910"/>
      <c r="K199" s="842">
        <f>'1.8.2 RenHLR'!I199+'1.8.3 RenPTLR'!G199</f>
        <v>2035.0931303616537</v>
      </c>
      <c r="L199" s="910"/>
      <c r="M199" s="952">
        <f t="shared" si="14"/>
        <v>48956.985713031856</v>
      </c>
      <c r="N199" s="911"/>
      <c r="O199" s="1204">
        <f>'1.3.1 CoalLR'!I199*1000</f>
        <v>7312.5</v>
      </c>
      <c r="P199" s="910"/>
      <c r="Q199" s="912"/>
      <c r="R199" s="910"/>
      <c r="S199" s="910"/>
      <c r="T199" s="910"/>
      <c r="U199" s="910"/>
      <c r="V199" s="945">
        <f>'1.8.3 RenPTLR'!H199</f>
        <v>962.191763149606</v>
      </c>
      <c r="W199" s="910"/>
      <c r="X199" s="910"/>
      <c r="Y199" s="910"/>
      <c r="Z199" s="910"/>
      <c r="AA199" s="945">
        <f>'1.8.3 RenPTLR'!C199</f>
        <v>527.88310169278213</v>
      </c>
      <c r="AB199" s="910"/>
      <c r="AC199" s="910"/>
      <c r="AD199" s="950">
        <f t="shared" si="6"/>
        <v>8802.5748648423869</v>
      </c>
      <c r="AF199" s="911"/>
      <c r="AG199" s="1201">
        <f>+'1.3.1 CoalLR'!J199*Units!$C$20*1000</f>
        <v>18220.944</v>
      </c>
      <c r="AH199" s="910"/>
      <c r="AI199" s="842">
        <v>612.55450881612092</v>
      </c>
      <c r="AJ199" s="912"/>
      <c r="AK199" s="910"/>
      <c r="AL199" s="910"/>
      <c r="AM199" s="945">
        <f>'1.8.2 RenHLR'!H199</f>
        <v>877.83940868757782</v>
      </c>
      <c r="AN199" s="910"/>
      <c r="AO199" s="1082">
        <f t="shared" si="10"/>
        <v>19711.337917503697</v>
      </c>
      <c r="AQ199" s="911"/>
      <c r="AR199" s="916"/>
      <c r="AS199" s="910"/>
      <c r="AT199" s="910"/>
      <c r="AU199" s="912"/>
      <c r="AV199" s="910"/>
      <c r="AW199" s="910"/>
      <c r="AX199" s="910"/>
      <c r="AY199" s="910"/>
      <c r="AZ199" s="912"/>
      <c r="BB199" s="913"/>
      <c r="BC199" s="916">
        <f t="shared" si="11"/>
        <v>59318.980102949237</v>
      </c>
      <c r="BD199" s="944">
        <f t="shared" si="12"/>
        <v>12798.088241474932</v>
      </c>
      <c r="BE199" s="914"/>
      <c r="BF199" s="910"/>
      <c r="BG199" s="916">
        <f>('1.6.1 GasLR'!O79)*Units!C$19</f>
        <v>716.53376814621458</v>
      </c>
      <c r="BH199" s="914"/>
      <c r="BI199" s="910"/>
      <c r="BJ199" s="910"/>
      <c r="BK199" s="842">
        <f t="shared" si="7"/>
        <v>527.88310169278213</v>
      </c>
      <c r="BL199" s="1085">
        <f t="shared" si="8"/>
        <v>3875.1243021988375</v>
      </c>
      <c r="BM199" s="920">
        <f>'1.5.1 OilLR'!AF29</f>
        <v>426.73970220000001</v>
      </c>
      <c r="BN199" s="921">
        <f t="shared" si="15"/>
        <v>77663.349218661999</v>
      </c>
    </row>
    <row r="200" spans="1:66" ht="10.5" customHeight="1" x14ac:dyDescent="0.35">
      <c r="A200" s="841">
        <v>1890</v>
      </c>
      <c r="B200" s="1201">
        <f>+'1.3.1 CoalLR'!K200*1000*Units!$C$20</f>
        <v>33349.432820862945</v>
      </c>
      <c r="C200" s="1202">
        <f>+'1.4.1 MSFLR'!B100</f>
        <v>12980.864591822221</v>
      </c>
      <c r="D200" s="910"/>
      <c r="E200" s="932">
        <f>+[1]R!$BJ650*1000</f>
        <v>321.26010075566739</v>
      </c>
      <c r="F200" s="910"/>
      <c r="G200" s="910"/>
      <c r="H200" s="945">
        <f>'1.8.3 RenPTLR'!B200</f>
        <v>0.72617771354347627</v>
      </c>
      <c r="I200" s="945">
        <f>'1.8.3 RenPTLR'!E200</f>
        <v>31.038925425855837</v>
      </c>
      <c r="J200" s="910"/>
      <c r="K200" s="842">
        <f>'1.8.2 RenHLR'!I200+'1.8.3 RenPTLR'!G200</f>
        <v>2046.6720443978725</v>
      </c>
      <c r="L200" s="910"/>
      <c r="M200" s="952">
        <f t="shared" si="14"/>
        <v>48729.994660978096</v>
      </c>
      <c r="N200" s="911"/>
      <c r="O200" s="1204">
        <f>'1.3.1 CoalLR'!I200*1000</f>
        <v>7718.75</v>
      </c>
      <c r="P200" s="910"/>
      <c r="Q200" s="912"/>
      <c r="R200" s="910"/>
      <c r="S200" s="910"/>
      <c r="T200" s="910"/>
      <c r="U200" s="910"/>
      <c r="V200" s="945">
        <f>'1.8.3 RenPTLR'!H200</f>
        <v>971.36168314960616</v>
      </c>
      <c r="W200" s="910"/>
      <c r="X200" s="910"/>
      <c r="Y200" s="910"/>
      <c r="Z200" s="910"/>
      <c r="AA200" s="945">
        <f>'1.8.3 RenPTLR'!C200</f>
        <v>499.66006276696606</v>
      </c>
      <c r="AB200" s="910"/>
      <c r="AC200" s="910"/>
      <c r="AD200" s="950">
        <f t="shared" si="6"/>
        <v>9189.7717459165724</v>
      </c>
      <c r="AF200" s="911"/>
      <c r="AG200" s="1201">
        <f>+'1.3.1 CoalLR'!J200*Units!$C$20*1000</f>
        <v>18878.092800000002</v>
      </c>
      <c r="AH200" s="910"/>
      <c r="AI200" s="842">
        <v>642.52020151133479</v>
      </c>
      <c r="AJ200" s="912"/>
      <c r="AK200" s="910"/>
      <c r="AL200" s="910"/>
      <c r="AM200" s="945">
        <f>'1.8.2 RenHLR'!H200</f>
        <v>909.49919064024459</v>
      </c>
      <c r="AN200" s="910"/>
      <c r="AO200" s="1082">
        <f t="shared" si="10"/>
        <v>20430.112192151581</v>
      </c>
      <c r="AQ200" s="911"/>
      <c r="AR200" s="916"/>
      <c r="AS200" s="910"/>
      <c r="AT200" s="910"/>
      <c r="AU200" s="912"/>
      <c r="AV200" s="910"/>
      <c r="AW200" s="910"/>
      <c r="AX200" s="910"/>
      <c r="AY200" s="910"/>
      <c r="AZ200" s="912"/>
      <c r="BB200" s="913"/>
      <c r="BC200" s="916">
        <f t="shared" si="11"/>
        <v>59946.275620862943</v>
      </c>
      <c r="BD200" s="944">
        <f t="shared" si="12"/>
        <v>12980.864591822221</v>
      </c>
      <c r="BE200" s="914"/>
      <c r="BF200" s="910"/>
      <c r="BG200" s="916">
        <f>('1.6.1 GasLR'!O80)*Units!C$19</f>
        <v>744.82776349463268</v>
      </c>
      <c r="BH200" s="914"/>
      <c r="BI200" s="910"/>
      <c r="BJ200" s="910"/>
      <c r="BK200" s="842">
        <f t="shared" si="7"/>
        <v>499.66006276696606</v>
      </c>
      <c r="BL200" s="1085">
        <f t="shared" si="8"/>
        <v>3927.5329181877232</v>
      </c>
      <c r="BM200" s="920">
        <f>'1.5.1 OilLR'!AF30</f>
        <v>445.02854658000001</v>
      </c>
      <c r="BN200" s="921">
        <f t="shared" si="15"/>
        <v>78544.189503714471</v>
      </c>
    </row>
    <row r="201" spans="1:66" ht="10.5" customHeight="1" x14ac:dyDescent="0.35">
      <c r="A201" s="841">
        <v>1891</v>
      </c>
      <c r="B201" s="1201">
        <f>+'1.3.1 CoalLR'!K201*1000*Units!$C$20</f>
        <v>32913.329538776648</v>
      </c>
      <c r="C201" s="1202">
        <f>+'1.4.1 MSFLR'!B101</f>
        <v>13165.639211066687</v>
      </c>
      <c r="D201" s="910"/>
      <c r="E201" s="932">
        <f>+[1]R!$BJ651*1000</f>
        <v>339.03045340050369</v>
      </c>
      <c r="F201" s="910"/>
      <c r="G201" s="910"/>
      <c r="H201" s="945">
        <f>'1.8.3 RenPTLR'!B201</f>
        <v>0.7163645011982942</v>
      </c>
      <c r="I201" s="945">
        <f>'1.8.3 RenPTLR'!E201</f>
        <v>30.822857939624974</v>
      </c>
      <c r="J201" s="910"/>
      <c r="K201" s="842">
        <f>'1.8.2 RenHLR'!I201+'1.8.3 RenPTLR'!G201</f>
        <v>2058.3353745810368</v>
      </c>
      <c r="L201" s="910"/>
      <c r="M201" s="952">
        <f t="shared" si="14"/>
        <v>48507.873800265697</v>
      </c>
      <c r="N201" s="911"/>
      <c r="O201" s="1204">
        <f>'1.3.1 CoalLR'!I201*1000</f>
        <v>8125</v>
      </c>
      <c r="P201" s="910"/>
      <c r="Q201" s="912"/>
      <c r="R201" s="910"/>
      <c r="S201" s="910"/>
      <c r="T201" s="910"/>
      <c r="U201" s="910"/>
      <c r="V201" s="945">
        <f>'1.8.3 RenPTLR'!H201</f>
        <v>980.53160314960633</v>
      </c>
      <c r="W201" s="910"/>
      <c r="X201" s="910"/>
      <c r="Y201" s="910"/>
      <c r="Z201" s="910"/>
      <c r="AA201" s="945">
        <f>'1.8.3 RenPTLR'!C201</f>
        <v>468.26712981683238</v>
      </c>
      <c r="AB201" s="910"/>
      <c r="AC201" s="910"/>
      <c r="AD201" s="950">
        <f t="shared" si="6"/>
        <v>9573.7987329664375</v>
      </c>
      <c r="AF201" s="911"/>
      <c r="AG201" s="1201">
        <f>+'1.3.1 CoalLR'!J201*Units!$C$20*1000</f>
        <v>19535.241600000001</v>
      </c>
      <c r="AH201" s="910"/>
      <c r="AI201" s="842">
        <v>678.06090680100738</v>
      </c>
      <c r="AJ201" s="912"/>
      <c r="AK201" s="910"/>
      <c r="AL201" s="910"/>
      <c r="AM201" s="945">
        <f>'1.8.2 RenHLR'!H201</f>
        <v>941.15897259291148</v>
      </c>
      <c r="AN201" s="910"/>
      <c r="AO201" s="1082">
        <f t="shared" si="10"/>
        <v>21154.461479393922</v>
      </c>
      <c r="AQ201" s="911"/>
      <c r="AR201" s="916"/>
      <c r="AS201" s="910"/>
      <c r="AT201" s="910"/>
      <c r="AU201" s="912"/>
      <c r="AV201" s="910"/>
      <c r="AW201" s="910"/>
      <c r="AX201" s="910"/>
      <c r="AY201" s="910"/>
      <c r="AZ201" s="912"/>
      <c r="BB201" s="913"/>
      <c r="BC201" s="916">
        <f t="shared" si="11"/>
        <v>60573.57113877665</v>
      </c>
      <c r="BD201" s="944">
        <f t="shared" si="12"/>
        <v>13165.639211066687</v>
      </c>
      <c r="BE201" s="914"/>
      <c r="BF201" s="910"/>
      <c r="BG201" s="916">
        <f>('1.6.1 GasLR'!O81)*Units!C$19</f>
        <v>785.51752563279604</v>
      </c>
      <c r="BH201" s="914"/>
      <c r="BI201" s="910"/>
      <c r="BJ201" s="910"/>
      <c r="BK201" s="842">
        <f t="shared" si="7"/>
        <v>468.26712981683238</v>
      </c>
      <c r="BL201" s="1085">
        <f t="shared" si="8"/>
        <v>3980.0259503235548</v>
      </c>
      <c r="BM201" s="920">
        <f>'1.5.1 OilLR'!AF31</f>
        <v>553.74556595000001</v>
      </c>
      <c r="BN201" s="921">
        <f t="shared" si="15"/>
        <v>79526.766521566518</v>
      </c>
    </row>
    <row r="202" spans="1:66" ht="10.5" customHeight="1" x14ac:dyDescent="0.35">
      <c r="A202" s="841">
        <v>1892</v>
      </c>
      <c r="B202" s="1201">
        <f>+'1.3.1 CoalLR'!K202*1000*Units!$C$20</f>
        <v>32477.226256690352</v>
      </c>
      <c r="C202" s="1202">
        <f>+'1.4.1 MSFLR'!B102</f>
        <v>13352.412099208328</v>
      </c>
      <c r="D202" s="910"/>
      <c r="E202" s="932">
        <f>+[1]R!$BJ652*1000</f>
        <v>349.13516372795959</v>
      </c>
      <c r="F202" s="910"/>
      <c r="G202" s="910"/>
      <c r="H202" s="945">
        <f>'1.8.3 RenPTLR'!B202</f>
        <v>0.70655128885311191</v>
      </c>
      <c r="I202" s="945">
        <f>'1.8.3 RenPTLR'!E202</f>
        <v>30.606790453394119</v>
      </c>
      <c r="J202" s="910"/>
      <c r="K202" s="842">
        <f>'1.8.2 RenHLR'!I202+'1.8.3 RenPTLR'!G202</f>
        <v>2067.2183258758077</v>
      </c>
      <c r="L202" s="910"/>
      <c r="M202" s="952">
        <f t="shared" si="14"/>
        <v>48277.305187244689</v>
      </c>
      <c r="N202" s="911"/>
      <c r="O202" s="1204">
        <f>'1.3.1 CoalLR'!I202*1000</f>
        <v>8531.25</v>
      </c>
      <c r="P202" s="910"/>
      <c r="Q202" s="912"/>
      <c r="R202" s="910"/>
      <c r="S202" s="910"/>
      <c r="T202" s="910"/>
      <c r="U202" s="910"/>
      <c r="V202" s="945">
        <f>'1.8.3 RenPTLR'!H202</f>
        <v>1009.9908737007875</v>
      </c>
      <c r="W202" s="910"/>
      <c r="X202" s="910"/>
      <c r="Y202" s="910"/>
      <c r="Z202" s="910"/>
      <c r="AA202" s="945">
        <f>'1.8.3 RenPTLR'!C202</f>
        <v>465.08092910183791</v>
      </c>
      <c r="AB202" s="910"/>
      <c r="AC202" s="910"/>
      <c r="AD202" s="950">
        <f t="shared" ref="AD202:AD259" si="16">O202+P202+Q202+R202+T202+U202+V202+Y202+AA202+AC202</f>
        <v>10006.321802802626</v>
      </c>
      <c r="AF202" s="911"/>
      <c r="AG202" s="1201">
        <f>+'1.3.1 CoalLR'!J202*Units!$C$20*1000</f>
        <v>20192.390400000004</v>
      </c>
      <c r="AH202" s="910"/>
      <c r="AI202" s="842">
        <v>698.27032745591919</v>
      </c>
      <c r="AJ202" s="912"/>
      <c r="AK202" s="910"/>
      <c r="AL202" s="910"/>
      <c r="AM202" s="945">
        <f>'1.8.2 RenHLR'!H202</f>
        <v>972.81875454557826</v>
      </c>
      <c r="AN202" s="910"/>
      <c r="AO202" s="1082">
        <f t="shared" si="10"/>
        <v>21863.479482001501</v>
      </c>
      <c r="AQ202" s="911"/>
      <c r="AR202" s="916"/>
      <c r="AS202" s="910"/>
      <c r="AT202" s="910"/>
      <c r="AU202" s="912"/>
      <c r="AV202" s="945"/>
      <c r="AW202" s="910"/>
      <c r="AX202" s="910"/>
      <c r="AY202" s="910"/>
      <c r="AZ202" s="912"/>
      <c r="BB202" s="913"/>
      <c r="BC202" s="916">
        <f t="shared" ref="BC202:BC265" si="17">B202+O202+W202+AG202+AR202</f>
        <v>61200.866656690356</v>
      </c>
      <c r="BD202" s="944">
        <f t="shared" si="12"/>
        <v>13352.412099208328</v>
      </c>
      <c r="BE202" s="914"/>
      <c r="BF202" s="910"/>
      <c r="BG202" s="916">
        <f>('1.6.1 GasLR'!O82)*Units!C$19</f>
        <v>802.68912199835347</v>
      </c>
      <c r="BH202" s="914"/>
      <c r="BI202" s="910"/>
      <c r="BJ202" s="910"/>
      <c r="BK202" s="842">
        <f t="shared" ref="BK202:BK248" si="18">AA202</f>
        <v>465.08092910183791</v>
      </c>
      <c r="BL202" s="1085">
        <f t="shared" ref="BL202:BL265" si="19">K202+V202+AM202</f>
        <v>4050.0279541221735</v>
      </c>
      <c r="BM202" s="920">
        <f>'1.5.1 OilLR'!AF32</f>
        <v>546.63323758000001</v>
      </c>
      <c r="BN202" s="921">
        <f t="shared" si="15"/>
        <v>80417.709998701044</v>
      </c>
    </row>
    <row r="203" spans="1:66" ht="10.5" customHeight="1" x14ac:dyDescent="0.35">
      <c r="A203" s="841">
        <v>1893</v>
      </c>
      <c r="B203" s="1201">
        <f>+'1.3.1 CoalLR'!K203*1000*Units!$C$20</f>
        <v>32041.122974604059</v>
      </c>
      <c r="C203" s="1202">
        <f>+'1.4.1 MSFLR'!B103</f>
        <v>13541.183256247148</v>
      </c>
      <c r="D203" s="910"/>
      <c r="E203" s="932">
        <f>+[1]R!$BJ653*1000</f>
        <v>345.65078085642313</v>
      </c>
      <c r="F203" s="910"/>
      <c r="G203" s="910"/>
      <c r="H203" s="945">
        <f>'1.8.3 RenPTLR'!B203</f>
        <v>0.69673807650792974</v>
      </c>
      <c r="I203" s="945">
        <f>'1.8.3 RenPTLR'!E203</f>
        <v>30.390722967163271</v>
      </c>
      <c r="J203" s="910"/>
      <c r="K203" s="842">
        <f>'1.8.2 RenHLR'!I203+'1.8.3 RenPTLR'!G203</f>
        <v>2076.1931966456223</v>
      </c>
      <c r="L203" s="910"/>
      <c r="M203" s="952">
        <f t="shared" si="14"/>
        <v>48035.23766939692</v>
      </c>
      <c r="N203" s="911"/>
      <c r="O203" s="1204">
        <f>'1.3.1 CoalLR'!I203*1000</f>
        <v>8937.5</v>
      </c>
      <c r="P203" s="910"/>
      <c r="Q203" s="912"/>
      <c r="R203" s="910"/>
      <c r="S203" s="910"/>
      <c r="T203" s="910"/>
      <c r="U203" s="910"/>
      <c r="V203" s="945">
        <f>'1.8.3 RenPTLR'!H203</f>
        <v>1039.4501442519684</v>
      </c>
      <c r="W203" s="910"/>
      <c r="X203" s="910"/>
      <c r="Y203" s="910"/>
      <c r="Z203" s="910"/>
      <c r="AA203" s="945">
        <f>'1.8.3 RenPTLR'!C203</f>
        <v>434.86342470074419</v>
      </c>
      <c r="AB203" s="910"/>
      <c r="AC203" s="910"/>
      <c r="AD203" s="950">
        <f t="shared" si="16"/>
        <v>10411.813568952713</v>
      </c>
      <c r="AF203" s="911"/>
      <c r="AG203" s="1201">
        <f>+'1.3.1 CoalLR'!J203*Units!$C$20*1000</f>
        <v>20849.539200000007</v>
      </c>
      <c r="AH203" s="910"/>
      <c r="AI203" s="842">
        <v>691.30156171284625</v>
      </c>
      <c r="AJ203" s="912"/>
      <c r="AK203" s="910"/>
      <c r="AL203" s="910"/>
      <c r="AM203" s="945">
        <f>'1.8.2 RenHLR'!H203</f>
        <v>1004.4785364982451</v>
      </c>
      <c r="AN203" s="910"/>
      <c r="AO203" s="1082">
        <f t="shared" si="10"/>
        <v>22545.3192982111</v>
      </c>
      <c r="AQ203" s="911"/>
      <c r="AR203" s="916"/>
      <c r="AS203" s="910"/>
      <c r="AT203" s="910"/>
      <c r="AU203" s="912"/>
      <c r="AV203" s="945"/>
      <c r="AW203" s="910"/>
      <c r="AX203" s="910"/>
      <c r="AY203" s="910"/>
      <c r="AZ203" s="912"/>
      <c r="BB203" s="913"/>
      <c r="BC203" s="916">
        <f t="shared" si="17"/>
        <v>61828.162174604069</v>
      </c>
      <c r="BD203" s="944">
        <f t="shared" si="12"/>
        <v>13541.183256247148</v>
      </c>
      <c r="BE203" s="914"/>
      <c r="BF203" s="910"/>
      <c r="BG203" s="916">
        <f>('1.6.1 GasLR'!O83)*Units!C$19</f>
        <v>787.34121502507367</v>
      </c>
      <c r="BH203" s="914"/>
      <c r="BI203" s="910"/>
      <c r="BJ203" s="910"/>
      <c r="BK203" s="842">
        <f t="shared" si="18"/>
        <v>434.86342470074419</v>
      </c>
      <c r="BL203" s="1085">
        <f t="shared" si="19"/>
        <v>4120.1218773958362</v>
      </c>
      <c r="BM203" s="920">
        <f>'1.5.1 OilLR'!AF33</f>
        <v>660.43049150000002</v>
      </c>
      <c r="BN203" s="921">
        <f t="shared" si="15"/>
        <v>81372.102439472874</v>
      </c>
    </row>
    <row r="204" spans="1:66" ht="10.5" customHeight="1" x14ac:dyDescent="0.35">
      <c r="A204" s="841">
        <v>1894</v>
      </c>
      <c r="B204" s="1201">
        <f>+'1.3.1 CoalLR'!K204*1000*Units!$C$20</f>
        <v>31605.019692517762</v>
      </c>
      <c r="C204" s="1202">
        <f>+'1.4.1 MSFLR'!B104</f>
        <v>13731.952682183146</v>
      </c>
      <c r="D204" s="910"/>
      <c r="E204" s="932">
        <f>+[1]R!$BJ654*1000</f>
        <v>356.80080604534004</v>
      </c>
      <c r="F204" s="910"/>
      <c r="G204" s="945"/>
      <c r="H204" s="945">
        <f>'1.8.3 RenPTLR'!B204</f>
        <v>0.68692486416274778</v>
      </c>
      <c r="I204" s="945">
        <f>'1.8.3 RenPTLR'!E204</f>
        <v>30.174655480932415</v>
      </c>
      <c r="J204" s="910"/>
      <c r="K204" s="842">
        <f>'1.8.2 RenHLR'!I204+'1.8.3 RenPTLR'!G204</f>
        <v>2085.2431278089366</v>
      </c>
      <c r="L204" s="910"/>
      <c r="M204" s="952">
        <f t="shared" ref="M204:M235" si="20">SUM(B204:L204)</f>
        <v>47809.877888900286</v>
      </c>
      <c r="N204" s="911"/>
      <c r="O204" s="1204">
        <f>'1.3.1 CoalLR'!I204*1000</f>
        <v>9343.75</v>
      </c>
      <c r="P204" s="910"/>
      <c r="Q204" s="912"/>
      <c r="R204" s="910"/>
      <c r="S204" s="910"/>
      <c r="T204" s="910"/>
      <c r="U204" s="910"/>
      <c r="V204" s="945">
        <f>'1.8.3 RenPTLR'!H204</f>
        <v>1068.9094148031497</v>
      </c>
      <c r="W204" s="910"/>
      <c r="X204" s="910"/>
      <c r="Y204" s="910"/>
      <c r="Z204" s="910"/>
      <c r="AA204" s="945">
        <f>'1.8.3 RenPTLR'!C204</f>
        <v>438.50144208212902</v>
      </c>
      <c r="AB204" s="910"/>
      <c r="AC204" s="910"/>
      <c r="AD204" s="950">
        <f t="shared" si="16"/>
        <v>10851.160856885279</v>
      </c>
      <c r="AF204" s="911"/>
      <c r="AG204" s="1201">
        <f>+'1.3.1 CoalLR'!J204*Units!$C$20*1000</f>
        <v>21506.688000000009</v>
      </c>
      <c r="AH204" s="910"/>
      <c r="AI204" s="842">
        <v>713.60161209068008</v>
      </c>
      <c r="AJ204" s="912"/>
      <c r="AK204" s="910"/>
      <c r="AL204" s="910"/>
      <c r="AM204" s="945">
        <f>'1.8.2 RenHLR'!H204</f>
        <v>1036.1383184509118</v>
      </c>
      <c r="AN204" s="910"/>
      <c r="AO204" s="1082">
        <f t="shared" ref="AO204:AO267" si="21">AG204+AH204+AI204+AK204+AM204+AN204</f>
        <v>23256.427930541598</v>
      </c>
      <c r="AQ204" s="911"/>
      <c r="AR204" s="916"/>
      <c r="AS204" s="910"/>
      <c r="AT204" s="910"/>
      <c r="AU204" s="912"/>
      <c r="AV204" s="945"/>
      <c r="AW204" s="910"/>
      <c r="AX204" s="910"/>
      <c r="AY204" s="910"/>
      <c r="AZ204" s="912"/>
      <c r="BB204" s="913"/>
      <c r="BC204" s="916">
        <f t="shared" si="17"/>
        <v>62455.457692517768</v>
      </c>
      <c r="BD204" s="944">
        <f t="shared" ref="BD204:BD251" si="22">C204+P204+AH204+AS204</f>
        <v>13731.952682183146</v>
      </c>
      <c r="BE204" s="914"/>
      <c r="BF204" s="910"/>
      <c r="BG204" s="916">
        <f>('1.6.1 GasLR'!O84)*Units!C$19</f>
        <v>805.22966611858874</v>
      </c>
      <c r="BH204" s="914"/>
      <c r="BI204" s="916"/>
      <c r="BJ204" s="910"/>
      <c r="BK204" s="842">
        <f t="shared" si="18"/>
        <v>438.50144208212902</v>
      </c>
      <c r="BL204" s="1085">
        <f t="shared" si="19"/>
        <v>4190.2908610629984</v>
      </c>
      <c r="BM204" s="920">
        <f>'1.5.1 OilLR'!AF34</f>
        <v>684.81561734000002</v>
      </c>
      <c r="BN204" s="921">
        <f t="shared" ref="BN204:BN235" si="23">SUM(BC204:BM204)</f>
        <v>82306.247961304616</v>
      </c>
    </row>
    <row r="205" spans="1:66" ht="10.5" customHeight="1" x14ac:dyDescent="0.35">
      <c r="A205" s="841">
        <v>1895</v>
      </c>
      <c r="B205" s="1201">
        <f>+'1.3.1 CoalLR'!K205*1000*Units!$C$20</f>
        <v>31168.91641043147</v>
      </c>
      <c r="C205" s="1202">
        <f>+'1.4.1 MSFLR'!B105</f>
        <v>13924.720377016316</v>
      </c>
      <c r="D205" s="910"/>
      <c r="E205" s="932">
        <f>+[1]R!$BJ655*1000</f>
        <v>378.40397984886647</v>
      </c>
      <c r="F205" s="910"/>
      <c r="G205" s="945"/>
      <c r="H205" s="945">
        <f>'1.8.3 RenPTLR'!B205</f>
        <v>0.6771116518175655</v>
      </c>
      <c r="I205" s="945">
        <f>'1.8.3 RenPTLR'!E205</f>
        <v>29.958587994701556</v>
      </c>
      <c r="J205" s="910"/>
      <c r="K205" s="842">
        <f>'1.8.2 RenHLR'!I205+'1.8.3 RenPTLR'!G205</f>
        <v>2094.340662317672</v>
      </c>
      <c r="L205" s="910"/>
      <c r="M205" s="952">
        <f t="shared" si="20"/>
        <v>47597.01712926085</v>
      </c>
      <c r="N205" s="911"/>
      <c r="O205" s="1204">
        <f>'1.3.1 CoalLR'!I205*1000</f>
        <v>9750</v>
      </c>
      <c r="P205" s="910"/>
      <c r="Q205" s="912"/>
      <c r="R205" s="910"/>
      <c r="S205" s="910"/>
      <c r="T205" s="910"/>
      <c r="U205" s="910"/>
      <c r="V205" s="945">
        <f>'1.8.3 RenPTLR'!H205</f>
        <v>1098.3686853543306</v>
      </c>
      <c r="W205" s="910"/>
      <c r="X205" s="910"/>
      <c r="Y205" s="910"/>
      <c r="Z205" s="910"/>
      <c r="AA205" s="945">
        <f>'1.8.3 RenPTLR'!C205</f>
        <v>406.02893699075605</v>
      </c>
      <c r="AB205" s="910"/>
      <c r="AC205" s="910"/>
      <c r="AD205" s="950">
        <f t="shared" si="16"/>
        <v>11254.397622345088</v>
      </c>
      <c r="AF205" s="911"/>
      <c r="AG205" s="1201">
        <f>+'1.3.1 CoalLR'!J205*Units!$C$20*1000</f>
        <v>22163.836800000008</v>
      </c>
      <c r="AH205" s="910"/>
      <c r="AI205" s="842">
        <v>756.80795969773294</v>
      </c>
      <c r="AJ205" s="912"/>
      <c r="AK205" s="910"/>
      <c r="AL205" s="910"/>
      <c r="AM205" s="945">
        <f>'1.8.2 RenHLR'!H205</f>
        <v>1067.7981004035787</v>
      </c>
      <c r="AN205" s="910"/>
      <c r="AO205" s="1082">
        <f t="shared" si="21"/>
        <v>23988.442860101321</v>
      </c>
      <c r="AQ205" s="911"/>
      <c r="AR205" s="916"/>
      <c r="AS205" s="910"/>
      <c r="AT205" s="910"/>
      <c r="AU205" s="912"/>
      <c r="AV205" s="945">
        <v>1.7413437415881556</v>
      </c>
      <c r="AW205" s="910"/>
      <c r="AX205" s="910"/>
      <c r="AY205" s="910"/>
      <c r="AZ205" s="912"/>
      <c r="BB205" s="913"/>
      <c r="BC205" s="916">
        <f t="shared" si="17"/>
        <v>63082.753210431474</v>
      </c>
      <c r="BD205" s="944">
        <f t="shared" si="22"/>
        <v>13924.720377016316</v>
      </c>
      <c r="BE205" s="914"/>
      <c r="BF205" s="910"/>
      <c r="BG205" s="916">
        <f>('1.6.1 GasLR'!O85)*Units!C$19</f>
        <v>853.31850347515729</v>
      </c>
      <c r="BH205" s="914"/>
      <c r="BI205" s="916">
        <f t="shared" ref="BI205:BI267" si="24">G205+Q205+T205+AK205+AV205</f>
        <v>1.7413437415881556</v>
      </c>
      <c r="BJ205" s="910"/>
      <c r="BK205" s="842">
        <f t="shared" si="18"/>
        <v>406.02893699075605</v>
      </c>
      <c r="BL205" s="1085">
        <f t="shared" si="19"/>
        <v>4260.5074480755811</v>
      </c>
      <c r="BM205" s="920">
        <f>'1.5.1 OilLR'!AF35</f>
        <v>748.82657267000002</v>
      </c>
      <c r="BN205" s="921">
        <f t="shared" si="23"/>
        <v>83277.896392400871</v>
      </c>
    </row>
    <row r="206" spans="1:66" ht="10.5" customHeight="1" x14ac:dyDescent="0.35">
      <c r="A206" s="841">
        <v>1896</v>
      </c>
      <c r="B206" s="1201">
        <f>+'1.3.1 CoalLR'!K206*1000*Units!$C$20</f>
        <v>30732.813128345177</v>
      </c>
      <c r="C206" s="1202">
        <f>+'1.4.1 MSFLR'!B106</f>
        <v>14119.486340746666</v>
      </c>
      <c r="D206" s="910"/>
      <c r="E206" s="932">
        <f>+[1]R!$BJ656*1000</f>
        <v>396.87120906801005</v>
      </c>
      <c r="F206" s="910"/>
      <c r="G206" s="945"/>
      <c r="H206" s="945">
        <f>'1.8.3 RenPTLR'!B206</f>
        <v>0.66729843947238343</v>
      </c>
      <c r="I206" s="945">
        <f>'1.8.3 RenPTLR'!E206</f>
        <v>29.742520508470712</v>
      </c>
      <c r="J206" s="910"/>
      <c r="K206" s="842">
        <f>'1.8.2 RenHLR'!I206+'1.8.3 RenPTLR'!G206</f>
        <v>2103.5174803992063</v>
      </c>
      <c r="L206" s="910"/>
      <c r="M206" s="952">
        <f t="shared" si="20"/>
        <v>47383.097977507008</v>
      </c>
      <c r="N206" s="911"/>
      <c r="O206" s="1204">
        <f>'1.3.1 CoalLR'!I206*1000</f>
        <v>10156.25</v>
      </c>
      <c r="P206" s="910"/>
      <c r="Q206" s="912"/>
      <c r="R206" s="910"/>
      <c r="S206" s="910"/>
      <c r="T206" s="910"/>
      <c r="U206" s="910"/>
      <c r="V206" s="945">
        <f>'1.8.3 RenPTLR'!H206</f>
        <v>1127.8279559055118</v>
      </c>
      <c r="W206" s="910"/>
      <c r="X206" s="910"/>
      <c r="Y206" s="910"/>
      <c r="Z206" s="910"/>
      <c r="AA206" s="945">
        <f>'1.8.3 RenPTLR'!C206</f>
        <v>375.00305342032522</v>
      </c>
      <c r="AB206" s="910"/>
      <c r="AC206" s="910"/>
      <c r="AD206" s="950">
        <f t="shared" si="16"/>
        <v>11659.081009325837</v>
      </c>
      <c r="AF206" s="911"/>
      <c r="AG206" s="1201">
        <f>+'1.3.1 CoalLR'!J206*Units!$C$20*1000</f>
        <v>22820.985600000011</v>
      </c>
      <c r="AH206" s="910"/>
      <c r="AI206" s="842">
        <v>793.74241813602009</v>
      </c>
      <c r="AJ206" s="912"/>
      <c r="AK206" s="910"/>
      <c r="AL206" s="910"/>
      <c r="AM206" s="945">
        <f>'1.8.2 RenHLR'!H206</f>
        <v>1099.4578823562456</v>
      </c>
      <c r="AN206" s="910"/>
      <c r="AO206" s="1082">
        <f t="shared" si="21"/>
        <v>24714.185900492274</v>
      </c>
      <c r="AQ206" s="911"/>
      <c r="AR206" s="916"/>
      <c r="AS206" s="910"/>
      <c r="AT206" s="910"/>
      <c r="AU206" s="912"/>
      <c r="AV206" s="945">
        <v>2.4093195154777924</v>
      </c>
      <c r="AW206" s="910"/>
      <c r="AX206" s="910"/>
      <c r="AY206" s="910"/>
      <c r="AZ206" s="912"/>
      <c r="BB206" s="913"/>
      <c r="BC206" s="916">
        <f t="shared" si="17"/>
        <v>63710.048728345195</v>
      </c>
      <c r="BD206" s="944">
        <f t="shared" si="22"/>
        <v>14119.486340746666</v>
      </c>
      <c r="BE206" s="914"/>
      <c r="BF206" s="910"/>
      <c r="BG206" s="916">
        <f>('1.6.1 GasLR'!O86)*Units!C$19</f>
        <v>886.65233849256629</v>
      </c>
      <c r="BH206" s="914"/>
      <c r="BI206" s="916">
        <f t="shared" si="24"/>
        <v>2.4093195154777924</v>
      </c>
      <c r="BJ206" s="910"/>
      <c r="BK206" s="842">
        <f t="shared" si="18"/>
        <v>375.00305342032522</v>
      </c>
      <c r="BL206" s="1085">
        <f t="shared" si="19"/>
        <v>4330.8033186609637</v>
      </c>
      <c r="BM206" s="920">
        <f>'1.5.1 OilLR'!AF36</f>
        <v>797.59682435000002</v>
      </c>
      <c r="BN206" s="921">
        <f t="shared" si="23"/>
        <v>84221.999923531184</v>
      </c>
    </row>
    <row r="207" spans="1:66" ht="10.5" customHeight="1" x14ac:dyDescent="0.35">
      <c r="A207" s="841">
        <v>1897</v>
      </c>
      <c r="B207" s="1201">
        <f>+'1.3.1 CoalLR'!K207*1000*Units!$C$20</f>
        <v>30296.709846258876</v>
      </c>
      <c r="C207" s="1202">
        <f>+'1.4.1 MSFLR'!B107</f>
        <v>14316.250573374189</v>
      </c>
      <c r="D207" s="910"/>
      <c r="E207" s="932">
        <f>+[1]R!$BJ657*1000</f>
        <v>414.9899999999999</v>
      </c>
      <c r="F207" s="910"/>
      <c r="G207" s="945">
        <v>0.10319999999999999</v>
      </c>
      <c r="H207" s="945">
        <f>'1.8.3 RenPTLR'!B207</f>
        <v>0.65748522712720125</v>
      </c>
      <c r="I207" s="945">
        <f>'1.8.3 RenPTLR'!E207</f>
        <v>29.526453022239856</v>
      </c>
      <c r="J207" s="910"/>
      <c r="K207" s="842">
        <f>'1.8.2 RenHLR'!I207+'1.8.3 RenPTLR'!G207</f>
        <v>2112.7651409534601</v>
      </c>
      <c r="L207" s="910"/>
      <c r="M207" s="952">
        <f t="shared" si="20"/>
        <v>47171.002698835888</v>
      </c>
      <c r="N207" s="911"/>
      <c r="O207" s="1204">
        <f>'1.3.1 CoalLR'!I207*1000</f>
        <v>10562.5</v>
      </c>
      <c r="P207" s="910"/>
      <c r="Q207" s="912"/>
      <c r="R207" s="910"/>
      <c r="S207" s="910"/>
      <c r="T207" s="910"/>
      <c r="U207" s="910"/>
      <c r="V207" s="945">
        <f>'1.8.3 RenPTLR'!H207</f>
        <v>1157.2872264566936</v>
      </c>
      <c r="W207" s="910"/>
      <c r="X207" s="910"/>
      <c r="Y207" s="910"/>
      <c r="Z207" s="910"/>
      <c r="AA207" s="945">
        <f>'1.8.3 RenPTLR'!C207</f>
        <v>350.36295624688137</v>
      </c>
      <c r="AB207" s="910"/>
      <c r="AC207" s="910"/>
      <c r="AD207" s="950">
        <f t="shared" si="16"/>
        <v>12070.150182703575</v>
      </c>
      <c r="AF207" s="911"/>
      <c r="AG207" s="1201">
        <f>+'1.3.1 CoalLR'!J207*Units!$C$20*1000</f>
        <v>23478.134400000014</v>
      </c>
      <c r="AH207" s="910"/>
      <c r="AI207" s="842">
        <v>829.97999999999979</v>
      </c>
      <c r="AJ207" s="912"/>
      <c r="AK207" s="910"/>
      <c r="AL207" s="910"/>
      <c r="AM207" s="945">
        <f>'1.8.2 RenHLR'!H207</f>
        <v>1131.1176643089123</v>
      </c>
      <c r="AN207" s="910"/>
      <c r="AO207" s="1082">
        <f t="shared" si="21"/>
        <v>25439.232064308926</v>
      </c>
      <c r="AQ207" s="911"/>
      <c r="AR207" s="916"/>
      <c r="AS207" s="910"/>
      <c r="AT207" s="910"/>
      <c r="AU207" s="912"/>
      <c r="AV207" s="945">
        <v>3.2293173620457605</v>
      </c>
      <c r="AW207" s="910"/>
      <c r="AX207" s="910"/>
      <c r="AY207" s="910"/>
      <c r="AZ207" s="912"/>
      <c r="BB207" s="913"/>
      <c r="BC207" s="916">
        <f t="shared" si="17"/>
        <v>64337.344246258886</v>
      </c>
      <c r="BD207" s="944">
        <f t="shared" si="22"/>
        <v>14316.250573374189</v>
      </c>
      <c r="BE207" s="914"/>
      <c r="BF207" s="910"/>
      <c r="BG207" s="916">
        <f>('1.6.1 GasLR'!O87)*Units!C$19</f>
        <v>935.00198800584747</v>
      </c>
      <c r="BH207" s="914"/>
      <c r="BI207" s="916">
        <f t="shared" si="24"/>
        <v>3.3325173620457607</v>
      </c>
      <c r="BJ207" s="910"/>
      <c r="BK207" s="842">
        <f t="shared" si="18"/>
        <v>350.36295624688137</v>
      </c>
      <c r="BL207" s="1085">
        <f t="shared" si="19"/>
        <v>4401.1700317190662</v>
      </c>
      <c r="BM207" s="920">
        <f>'1.5.1 OilLR'!AF37</f>
        <v>786.42030834000002</v>
      </c>
      <c r="BN207" s="921">
        <f t="shared" si="23"/>
        <v>85129.882621306926</v>
      </c>
    </row>
    <row r="208" spans="1:66" ht="10.5" customHeight="1" x14ac:dyDescent="0.35">
      <c r="A208" s="841">
        <v>1898</v>
      </c>
      <c r="B208" s="1201">
        <f>+'1.3.1 CoalLR'!K208*1000*Units!$C$20</f>
        <v>29860.606564172584</v>
      </c>
      <c r="C208" s="1202">
        <f>+'1.4.1 MSFLR'!B108</f>
        <v>14515.01307489889</v>
      </c>
      <c r="D208" s="910"/>
      <c r="E208" s="932">
        <f>+[1]R!$BJ658*1000</f>
        <v>432.41191435768246</v>
      </c>
      <c r="F208" s="910"/>
      <c r="G208" s="945">
        <v>0.32679999999999998</v>
      </c>
      <c r="H208" s="945">
        <f>'1.8.3 RenPTLR'!B208</f>
        <v>0.64767201478201919</v>
      </c>
      <c r="I208" s="945">
        <f>'1.8.3 RenPTLR'!E208</f>
        <v>29.310385536008994</v>
      </c>
      <c r="J208" s="910"/>
      <c r="K208" s="842">
        <f>'1.8.2 RenHLR'!I208+'1.8.3 RenPTLR'!G208</f>
        <v>2122.0785017478433</v>
      </c>
      <c r="L208" s="910"/>
      <c r="M208" s="952">
        <f t="shared" si="20"/>
        <v>46960.394912727796</v>
      </c>
      <c r="N208" s="911"/>
      <c r="O208" s="1204">
        <f>'1.3.1 CoalLR'!I208*1000</f>
        <v>10968.75</v>
      </c>
      <c r="P208" s="910"/>
      <c r="Q208" s="912"/>
      <c r="R208" s="910"/>
      <c r="S208" s="910"/>
      <c r="T208" s="910"/>
      <c r="U208" s="910"/>
      <c r="V208" s="945">
        <f>'1.8.3 RenPTLR'!H208</f>
        <v>1186.7464970078743</v>
      </c>
      <c r="W208" s="910"/>
      <c r="X208" s="910"/>
      <c r="Y208" s="910"/>
      <c r="Z208" s="910"/>
      <c r="AA208" s="945">
        <f>'1.8.3 RenPTLR'!C208</f>
        <v>327.53041184103756</v>
      </c>
      <c r="AB208" s="910"/>
      <c r="AC208" s="910"/>
      <c r="AD208" s="950">
        <f t="shared" si="16"/>
        <v>12483.026908848911</v>
      </c>
      <c r="AF208" s="911"/>
      <c r="AG208" s="1201">
        <f>+'1.3.1 CoalLR'!J208*Units!$C$20*1000</f>
        <v>24135.283200000013</v>
      </c>
      <c r="AH208" s="910"/>
      <c r="AI208" s="842">
        <v>864.82382871536493</v>
      </c>
      <c r="AJ208" s="912"/>
      <c r="AK208" s="910"/>
      <c r="AL208" s="910"/>
      <c r="AM208" s="945">
        <f>'1.8.2 RenHLR'!H208</f>
        <v>1162.7774462615791</v>
      </c>
      <c r="AN208" s="910"/>
      <c r="AO208" s="1082">
        <f t="shared" si="21"/>
        <v>26162.884474976956</v>
      </c>
      <c r="AQ208" s="911"/>
      <c r="AR208" s="916"/>
      <c r="AS208" s="910"/>
      <c r="AT208" s="910"/>
      <c r="AU208" s="912"/>
      <c r="AV208" s="945">
        <v>4.0769555854643338</v>
      </c>
      <c r="AW208" s="910"/>
      <c r="AX208" s="910"/>
      <c r="AY208" s="910"/>
      <c r="AZ208" s="912"/>
      <c r="BB208" s="913"/>
      <c r="BC208" s="916">
        <f t="shared" si="17"/>
        <v>64964.6397641726</v>
      </c>
      <c r="BD208" s="944">
        <f t="shared" si="22"/>
        <v>14515.01307489889</v>
      </c>
      <c r="BE208" s="914"/>
      <c r="BF208" s="910"/>
      <c r="BG208" s="916">
        <f>('1.6.1 GasLR'!O88)*Units!C$19</f>
        <v>962.71974165225606</v>
      </c>
      <c r="BH208" s="914"/>
      <c r="BI208" s="916">
        <f t="shared" si="24"/>
        <v>4.4037555854643333</v>
      </c>
      <c r="BJ208" s="910"/>
      <c r="BK208" s="842">
        <f t="shared" si="18"/>
        <v>327.53041184103756</v>
      </c>
      <c r="BL208" s="1085">
        <f t="shared" si="19"/>
        <v>4471.6024450172963</v>
      </c>
      <c r="BM208" s="920">
        <f>'1.5.1 OilLR'!AF38</f>
        <v>932.73106338000002</v>
      </c>
      <c r="BN208" s="921">
        <f t="shared" si="23"/>
        <v>86178.640256547544</v>
      </c>
    </row>
    <row r="209" spans="1:66" ht="10.5" customHeight="1" x14ac:dyDescent="0.35">
      <c r="A209" s="841">
        <v>1899</v>
      </c>
      <c r="B209" s="1203">
        <f>+'1.3.1 CoalLR'!K209*1000*Units!$C$20</f>
        <v>29424.503282086291</v>
      </c>
      <c r="C209" s="1202">
        <f>+'1.4.1 MSFLR'!B109</f>
        <v>14715.773845320766</v>
      </c>
      <c r="D209" s="910"/>
      <c r="E209" s="932">
        <f>+[1]R!$BJ659*1000</f>
        <v>460.98385390428211</v>
      </c>
      <c r="F209" s="910"/>
      <c r="G209" s="945">
        <v>0.37839999999999996</v>
      </c>
      <c r="H209" s="945">
        <f>'1.8.3 RenPTLR'!B209</f>
        <v>0.63785880243683712</v>
      </c>
      <c r="I209" s="945">
        <f>'1.8.3 RenPTLR'!E209</f>
        <v>29.094318049778146</v>
      </c>
      <c r="J209" s="910"/>
      <c r="K209" s="842">
        <f>'1.8.2 RenHLR'!I209+'1.8.3 RenPTLR'!G209</f>
        <v>2131.4492627468553</v>
      </c>
      <c r="L209" s="910"/>
      <c r="M209" s="952">
        <f t="shared" si="20"/>
        <v>46762.820820910412</v>
      </c>
      <c r="N209" s="911"/>
      <c r="O209" s="1204">
        <f>'1.3.1 CoalLR'!I209*1000</f>
        <v>11375</v>
      </c>
      <c r="P209" s="910"/>
      <c r="Q209" s="912"/>
      <c r="R209" s="910"/>
      <c r="S209" s="910"/>
      <c r="T209" s="910"/>
      <c r="U209" s="910"/>
      <c r="V209" s="945">
        <f>'1.8.3 RenPTLR'!H209</f>
        <v>1216.2057675590549</v>
      </c>
      <c r="W209" s="910"/>
      <c r="X209" s="910"/>
      <c r="Y209" s="910"/>
      <c r="Z209" s="910"/>
      <c r="AA209" s="945">
        <f>'1.8.3 RenPTLR'!C209</f>
        <v>316.58939445850359</v>
      </c>
      <c r="AB209" s="910"/>
      <c r="AC209" s="910"/>
      <c r="AD209" s="950">
        <f t="shared" si="16"/>
        <v>12907.795162017559</v>
      </c>
      <c r="AF209" s="911"/>
      <c r="AG209" s="1201">
        <f>+'1.3.1 CoalLR'!J209*Units!$C$20*1000</f>
        <v>24792.432000000015</v>
      </c>
      <c r="AH209" s="910"/>
      <c r="AI209" s="842">
        <v>921.96770780856423</v>
      </c>
      <c r="AJ209" s="912"/>
      <c r="AK209" s="910"/>
      <c r="AL209" s="910"/>
      <c r="AM209" s="945">
        <f>'1.8.2 RenHLR'!H209</f>
        <v>1194.4372282142458</v>
      </c>
      <c r="AN209" s="910"/>
      <c r="AO209" s="1082">
        <f t="shared" si="21"/>
        <v>26908.836936022828</v>
      </c>
      <c r="AQ209" s="911"/>
      <c r="AR209" s="916"/>
      <c r="AS209" s="910"/>
      <c r="AT209" s="910"/>
      <c r="AU209" s="912"/>
      <c r="AV209" s="945">
        <v>5.7123445491251674</v>
      </c>
      <c r="AW209" s="910"/>
      <c r="AX209" s="910"/>
      <c r="AY209" s="910"/>
      <c r="AZ209" s="912"/>
      <c r="BB209" s="913"/>
      <c r="BC209" s="916">
        <f t="shared" si="17"/>
        <v>65591.935282086313</v>
      </c>
      <c r="BD209" s="944">
        <f t="shared" si="22"/>
        <v>14715.773845320766</v>
      </c>
      <c r="BE209" s="914"/>
      <c r="BF209" s="910"/>
      <c r="BG209" s="916">
        <f>('1.6.1 GasLR'!O89)*Units!C$19</f>
        <v>1018.9158288419235</v>
      </c>
      <c r="BH209" s="914"/>
      <c r="BI209" s="916">
        <f t="shared" si="24"/>
        <v>6.0907445491251675</v>
      </c>
      <c r="BJ209" s="910"/>
      <c r="BK209" s="842">
        <f t="shared" si="18"/>
        <v>316.58939445850359</v>
      </c>
      <c r="BL209" s="1085">
        <f t="shared" si="19"/>
        <v>4542.0922585201561</v>
      </c>
      <c r="BM209" s="920">
        <f>'1.5.1 OilLR'!AF39</f>
        <v>879.89662406000002</v>
      </c>
      <c r="BN209" s="921">
        <f t="shared" si="23"/>
        <v>87071.293977836802</v>
      </c>
    </row>
    <row r="210" spans="1:66" ht="10.5" customHeight="1" x14ac:dyDescent="0.35">
      <c r="A210" s="841">
        <v>1900</v>
      </c>
      <c r="B210" s="1206">
        <f>+'1.3.1 CoalLR'!K210*1000*Units!$C$20</f>
        <v>29452.214399999997</v>
      </c>
      <c r="C210" s="1207">
        <f>+'1.4.1 MSFLR'!B110</f>
        <v>13763.752</v>
      </c>
      <c r="D210" s="910"/>
      <c r="E210" s="932">
        <f>+[1]R!$BJ660*1000</f>
        <v>476.66357682619633</v>
      </c>
      <c r="F210" s="910"/>
      <c r="G210" s="945">
        <v>1.0234000000000001</v>
      </c>
      <c r="H210" s="945">
        <f>'1.8.3 RenPTLR'!B210</f>
        <v>0.62804559009165484</v>
      </c>
      <c r="I210" s="945">
        <f>'1.8.3 RenPTLR'!E210</f>
        <v>28.878250563547294</v>
      </c>
      <c r="J210" s="910"/>
      <c r="K210" s="842">
        <f>'1.8.2 RenHLR'!I210+'1.8.3 RenPTLR'!G210</f>
        <v>2140.8651831319444</v>
      </c>
      <c r="L210" s="910"/>
      <c r="M210" s="952">
        <f t="shared" si="20"/>
        <v>45864.024856111777</v>
      </c>
      <c r="N210" s="911"/>
      <c r="O210" s="1205">
        <f>'1.3.1 CoalLR'!I210*1000</f>
        <v>11379.199999999999</v>
      </c>
      <c r="P210" s="910"/>
      <c r="Q210" s="912"/>
      <c r="R210" s="910"/>
      <c r="S210" s="910"/>
      <c r="T210" s="910"/>
      <c r="U210" s="910"/>
      <c r="V210" s="945">
        <f>'1.8.3 RenPTLR'!H210</f>
        <v>1245.6650381102365</v>
      </c>
      <c r="W210" s="910"/>
      <c r="X210" s="910"/>
      <c r="Y210" s="910"/>
      <c r="Z210" s="910"/>
      <c r="AA210" s="945">
        <f>'1.8.3 RenPTLR'!C210</f>
        <v>316.34284225768255</v>
      </c>
      <c r="AB210" s="910"/>
      <c r="AC210" s="910"/>
      <c r="AD210" s="950">
        <f t="shared" si="16"/>
        <v>12941.207880367918</v>
      </c>
      <c r="AF210" s="911"/>
      <c r="AG210" s="916">
        <f>+'1.3.1 CoalLR'!J210*Units!$C$20*1000</f>
        <v>25449.5808</v>
      </c>
      <c r="AH210" s="842">
        <f>'1.4.1 MSFLR'!F110</f>
        <v>395.56247253272198</v>
      </c>
      <c r="AI210" s="842">
        <v>953.32715365239267</v>
      </c>
      <c r="AJ210" s="912"/>
      <c r="AK210" s="945">
        <v>5.2518374418042164</v>
      </c>
      <c r="AL210" s="910"/>
      <c r="AM210" s="945">
        <f>'1.8.2 RenHLR'!H210</f>
        <v>1226.097010166912</v>
      </c>
      <c r="AN210" s="910"/>
      <c r="AO210" s="1082">
        <f t="shared" si="21"/>
        <v>28029.81927379383</v>
      </c>
      <c r="AQ210" s="911"/>
      <c r="AR210" s="916">
        <f>+'1.3.1 CoalLR'!L210*1000*Units!$C$20</f>
        <v>2867.5583999999999</v>
      </c>
      <c r="AS210" s="910"/>
      <c r="AT210" s="910"/>
      <c r="AU210" s="912"/>
      <c r="AV210" s="945">
        <v>7.0390826379542402</v>
      </c>
      <c r="AW210" s="910"/>
      <c r="AX210" s="910"/>
      <c r="AY210" s="910"/>
      <c r="AZ210" s="912"/>
      <c r="BB210" s="913"/>
      <c r="BC210" s="916">
        <f t="shared" si="17"/>
        <v>69148.553599999985</v>
      </c>
      <c r="BD210" s="944">
        <f t="shared" si="22"/>
        <v>14159.314472532722</v>
      </c>
      <c r="BE210" s="914"/>
      <c r="BF210" s="910"/>
      <c r="BG210" s="916">
        <f>('1.6.1 GasLR'!O90)*Units!C$19</f>
        <v>1054.2030500132319</v>
      </c>
      <c r="BH210" s="914"/>
      <c r="BI210" s="916">
        <f t="shared" si="24"/>
        <v>13.314320079758456</v>
      </c>
      <c r="BJ210" s="910"/>
      <c r="BK210" s="842">
        <f t="shared" si="18"/>
        <v>316.34284225768255</v>
      </c>
      <c r="BL210" s="1085">
        <f t="shared" si="19"/>
        <v>4612.6272314090929</v>
      </c>
      <c r="BM210" s="920">
        <f>'1.5.1 OilLR'!AF40</f>
        <v>933.74711029000002</v>
      </c>
      <c r="BN210" s="921">
        <f t="shared" si="23"/>
        <v>90238.102626582477</v>
      </c>
    </row>
    <row r="211" spans="1:66" ht="10.5" customHeight="1" x14ac:dyDescent="0.35">
      <c r="A211" s="841">
        <v>1901</v>
      </c>
      <c r="B211" s="1208">
        <f>+'1.3.1 CoalLR'!K211*1000*Units!$C$20</f>
        <v>28311.165119999998</v>
      </c>
      <c r="C211" s="1207">
        <f>+'1.4.1 MSFLR'!B111</f>
        <v>12305.792000000001</v>
      </c>
      <c r="D211" s="910"/>
      <c r="E211" s="932">
        <f>+[1]R!$BJ661*1000</f>
        <v>487.0308461150712</v>
      </c>
      <c r="F211" s="910"/>
      <c r="G211" s="945">
        <v>1.5823999999999998</v>
      </c>
      <c r="H211" s="945">
        <f>'1.8.3 RenPTLR'!B211</f>
        <v>0.61823237774647255</v>
      </c>
      <c r="I211" s="945">
        <f>'1.8.3 RenPTLR'!E211</f>
        <v>28.662183077316438</v>
      </c>
      <c r="J211" s="910"/>
      <c r="K211" s="842">
        <f>'1.8.2 RenHLR'!I211+'1.8.3 RenPTLR'!G211</f>
        <v>2146.7853456470066</v>
      </c>
      <c r="L211" s="910"/>
      <c r="M211" s="952">
        <f t="shared" si="20"/>
        <v>43281.636127217134</v>
      </c>
      <c r="N211" s="911"/>
      <c r="O211" s="1205">
        <f>'1.3.1 CoalLR'!I211*1000</f>
        <v>11196.32</v>
      </c>
      <c r="P211" s="910"/>
      <c r="Q211" s="912"/>
      <c r="R211" s="910"/>
      <c r="S211" s="910"/>
      <c r="T211" s="910"/>
      <c r="U211" s="910"/>
      <c r="V211" s="945">
        <f>'1.8.3 RenPTLR'!H211</f>
        <v>1275.1243086614177</v>
      </c>
      <c r="W211" s="910"/>
      <c r="X211" s="910"/>
      <c r="Y211" s="910"/>
      <c r="Z211" s="910"/>
      <c r="AA211" s="945">
        <f>'1.8.3 RenPTLR'!C211</f>
        <v>326.52052514386082</v>
      </c>
      <c r="AB211" s="910"/>
      <c r="AC211" s="910"/>
      <c r="AD211" s="950">
        <f t="shared" si="16"/>
        <v>12797.964833805278</v>
      </c>
      <c r="AF211" s="911"/>
      <c r="AG211" s="916">
        <f>+'1.3.1 CoalLR'!J211*Units!$C$20*1000</f>
        <v>25240.487999999998</v>
      </c>
      <c r="AH211" s="842">
        <f>'1.4.1 MSFLR'!F111</f>
        <v>378.93004681379591</v>
      </c>
      <c r="AI211" s="842">
        <v>978.41471032745574</v>
      </c>
      <c r="AJ211" s="912"/>
      <c r="AK211" s="945">
        <v>6.5166778728146557</v>
      </c>
      <c r="AL211" s="910"/>
      <c r="AM211" s="945">
        <f>'1.8.2 RenHLR'!H211</f>
        <v>1216.0234431819724</v>
      </c>
      <c r="AN211" s="910"/>
      <c r="AO211" s="1082">
        <f t="shared" si="21"/>
        <v>27820.372878196038</v>
      </c>
      <c r="AQ211" s="911"/>
      <c r="AR211" s="916">
        <f>+'1.3.1 CoalLR'!L211*1000*Units!$C$20</f>
        <v>3399.2515200000003</v>
      </c>
      <c r="AS211" s="910"/>
      <c r="AT211" s="910"/>
      <c r="AU211" s="912"/>
      <c r="AV211" s="945">
        <v>8.7343590847913841</v>
      </c>
      <c r="AW211" s="910"/>
      <c r="AX211" s="910"/>
      <c r="AY211" s="910"/>
      <c r="AZ211" s="912"/>
      <c r="BB211" s="913"/>
      <c r="BC211" s="916">
        <f t="shared" si="17"/>
        <v>68147.22464</v>
      </c>
      <c r="BD211" s="944">
        <f t="shared" si="22"/>
        <v>12684.722046813797</v>
      </c>
      <c r="BE211" s="914"/>
      <c r="BF211" s="910"/>
      <c r="BG211" s="916">
        <f>('1.6.1 GasLR'!O91)*Units!C$19</f>
        <v>1078.2240492169481</v>
      </c>
      <c r="BH211" s="914"/>
      <c r="BI211" s="916">
        <f t="shared" si="24"/>
        <v>16.83343695760604</v>
      </c>
      <c r="BJ211" s="910"/>
      <c r="BK211" s="842">
        <f t="shared" si="18"/>
        <v>326.52052514386082</v>
      </c>
      <c r="BL211" s="1085">
        <f t="shared" si="19"/>
        <v>4637.9330974903969</v>
      </c>
      <c r="BM211" s="920">
        <f>'1.5.1 OilLR'!AF41</f>
        <v>966.26061141000002</v>
      </c>
      <c r="BN211" s="921">
        <f t="shared" si="23"/>
        <v>87857.718407032618</v>
      </c>
    </row>
    <row r="212" spans="1:66" ht="10.5" customHeight="1" x14ac:dyDescent="0.35">
      <c r="A212" s="841">
        <v>1902</v>
      </c>
      <c r="B212" s="1208">
        <f>+'1.3.1 CoalLR'!K212*1000*Units!$C$20</f>
        <v>29135.588159999999</v>
      </c>
      <c r="C212" s="1207">
        <f>+'1.4.1 MSFLR'!B112</f>
        <v>13125.704000000002</v>
      </c>
      <c r="D212" s="910"/>
      <c r="E212" s="932">
        <f>+[1]R!$BJ662*1000</f>
        <v>496.9452658677784</v>
      </c>
      <c r="F212" s="910"/>
      <c r="G212" s="945">
        <v>2.4595999999999996</v>
      </c>
      <c r="H212" s="945">
        <f>'1.8.3 RenPTLR'!B212</f>
        <v>0.60841916540129048</v>
      </c>
      <c r="I212" s="945">
        <f>'1.8.3 RenPTLR'!E212</f>
        <v>28.446115591085583</v>
      </c>
      <c r="J212" s="910"/>
      <c r="K212" s="842">
        <f>'1.8.2 RenHLR'!I212+'1.8.3 RenPTLR'!G212</f>
        <v>2146.8694543197444</v>
      </c>
      <c r="L212" s="910"/>
      <c r="M212" s="952">
        <f t="shared" si="20"/>
        <v>44936.621014944001</v>
      </c>
      <c r="N212" s="911"/>
      <c r="O212" s="1205">
        <f>'1.3.1 CoalLR'!I212*1000</f>
        <v>11521.44</v>
      </c>
      <c r="P212" s="910"/>
      <c r="Q212" s="912"/>
      <c r="R212" s="910"/>
      <c r="S212" s="910"/>
      <c r="T212" s="910"/>
      <c r="U212" s="910"/>
      <c r="V212" s="945">
        <f>'1.8.3 RenPTLR'!H212</f>
        <v>1258.2285505511811</v>
      </c>
      <c r="W212" s="910"/>
      <c r="X212" s="910"/>
      <c r="Y212" s="910"/>
      <c r="Z212" s="910"/>
      <c r="AA212" s="945">
        <f>'1.8.3 RenPTLR'!C212</f>
        <v>260.92887830990423</v>
      </c>
      <c r="AB212" s="910"/>
      <c r="AC212" s="910"/>
      <c r="AD212" s="950">
        <f t="shared" si="16"/>
        <v>13040.597428861085</v>
      </c>
      <c r="AF212" s="911"/>
      <c r="AG212" s="916">
        <f>+'1.3.1 CoalLR'!J212*Units!$C$20*1000</f>
        <v>26220.237120000002</v>
      </c>
      <c r="AH212" s="842">
        <f>'1.4.1 MSFLR'!F112</f>
        <v>498.97277156778455</v>
      </c>
      <c r="AI212" s="842">
        <v>1002.8053904282115</v>
      </c>
      <c r="AJ212" s="912"/>
      <c r="AK212" s="945">
        <v>8.3726937226669325</v>
      </c>
      <c r="AL212" s="910"/>
      <c r="AM212" s="945">
        <f>'1.8.2 RenHLR'!H212</f>
        <v>1263.2252999114028</v>
      </c>
      <c r="AN212" s="910"/>
      <c r="AO212" s="1082">
        <f t="shared" si="21"/>
        <v>28993.613275630069</v>
      </c>
      <c r="AQ212" s="911"/>
      <c r="AR212" s="916">
        <f>+'1.3.1 CoalLR'!L212*1000*Units!$C$20</f>
        <v>2998.9881600000003</v>
      </c>
      <c r="AS212" s="910"/>
      <c r="AT212" s="910"/>
      <c r="AU212" s="912"/>
      <c r="AV212" s="945">
        <v>11.221993001345894</v>
      </c>
      <c r="AW212" s="910"/>
      <c r="AX212" s="910"/>
      <c r="AY212" s="910"/>
      <c r="AZ212" s="912"/>
      <c r="BB212" s="913"/>
      <c r="BC212" s="916">
        <f t="shared" si="17"/>
        <v>69876.25344</v>
      </c>
      <c r="BD212" s="944">
        <f t="shared" si="22"/>
        <v>13624.676771567785</v>
      </c>
      <c r="BE212" s="914"/>
      <c r="BF212" s="910"/>
      <c r="BG212" s="916">
        <f>('1.6.1 GasLR'!O92)*Units!C$19</f>
        <v>1105.5281269391228</v>
      </c>
      <c r="BH212" s="914"/>
      <c r="BI212" s="916">
        <f t="shared" si="24"/>
        <v>22.054286724012826</v>
      </c>
      <c r="BJ212" s="910"/>
      <c r="BK212" s="842">
        <f t="shared" si="18"/>
        <v>260.92887830990423</v>
      </c>
      <c r="BL212" s="1085">
        <f t="shared" si="19"/>
        <v>4668.3233047823278</v>
      </c>
      <c r="BM212" s="920">
        <f>'1.5.1 OilLR'!AF42</f>
        <v>1087.1701937</v>
      </c>
      <c r="BN212" s="921">
        <f t="shared" si="23"/>
        <v>90644.935002023165</v>
      </c>
    </row>
    <row r="213" spans="1:66" ht="10.5" customHeight="1" x14ac:dyDescent="0.35">
      <c r="A213" s="841">
        <v>1903</v>
      </c>
      <c r="B213" s="1208">
        <f>+'1.3.1 CoalLR'!K213*1000*Units!$C$20</f>
        <v>28836.884159999998</v>
      </c>
      <c r="C213" s="1207">
        <f>+'1.4.1 MSFLR'!B113</f>
        <v>13527.024000000001</v>
      </c>
      <c r="D213" s="910"/>
      <c r="E213" s="932">
        <f>+[1]R!$BJ663*1000</f>
        <v>507.78695077561645</v>
      </c>
      <c r="F213" s="910"/>
      <c r="G213" s="945">
        <v>4.2483999999999993</v>
      </c>
      <c r="H213" s="945">
        <f>'1.8.3 RenPTLR'!B213</f>
        <v>0.59860595305610831</v>
      </c>
      <c r="I213" s="945">
        <f>'1.8.3 RenPTLR'!E213</f>
        <v>28.230048104854728</v>
      </c>
      <c r="J213" s="910"/>
      <c r="K213" s="842">
        <f>'1.8.2 RenHLR'!I213+'1.8.3 RenPTLR'!G213</f>
        <v>2146.9960572649161</v>
      </c>
      <c r="L213" s="910"/>
      <c r="M213" s="952">
        <f t="shared" si="20"/>
        <v>45051.768222098435</v>
      </c>
      <c r="N213" s="911"/>
      <c r="O213" s="1205">
        <f>'1.3.1 CoalLR'!I213*1000</f>
        <v>11582.4</v>
      </c>
      <c r="P213" s="910"/>
      <c r="Q213" s="912"/>
      <c r="R213" s="910"/>
      <c r="S213" s="910"/>
      <c r="T213" s="910"/>
      <c r="U213" s="910"/>
      <c r="V213" s="945">
        <f>'1.8.3 RenPTLR'!H213</f>
        <v>1241.3327924409446</v>
      </c>
      <c r="W213" s="910"/>
      <c r="X213" s="910"/>
      <c r="Y213" s="910"/>
      <c r="Z213" s="910"/>
      <c r="AA213" s="945">
        <f>'1.8.3 RenPTLR'!C213</f>
        <v>213.98850008034643</v>
      </c>
      <c r="AB213" s="910"/>
      <c r="AC213" s="910"/>
      <c r="AD213" s="950">
        <f t="shared" si="16"/>
        <v>13037.72129252129</v>
      </c>
      <c r="AF213" s="911"/>
      <c r="AG213" s="916">
        <f>+'1.3.1 CoalLR'!J213*Units!$C$20*1000</f>
        <v>25586.984639999999</v>
      </c>
      <c r="AH213" s="842">
        <f>'1.4.1 MSFLR'!F113</f>
        <v>576.34970860800627</v>
      </c>
      <c r="AI213" s="842">
        <v>1029.2867002518888</v>
      </c>
      <c r="AJ213" s="912"/>
      <c r="AK213" s="945">
        <v>9.6340970872887564</v>
      </c>
      <c r="AL213" s="910"/>
      <c r="AM213" s="945">
        <f>'1.8.2 RenHLR'!H213</f>
        <v>1232.7167827570149</v>
      </c>
      <c r="AN213" s="910"/>
      <c r="AO213" s="1082">
        <f t="shared" si="21"/>
        <v>28434.971928704199</v>
      </c>
      <c r="AQ213" s="911"/>
      <c r="AR213" s="916">
        <f>+'1.3.1 CoalLR'!L213*1000*Units!$C$20</f>
        <v>3016.9103999999998</v>
      </c>
      <c r="AS213" s="910"/>
      <c r="AT213" s="910"/>
      <c r="AU213" s="912"/>
      <c r="AV213" s="945">
        <v>12.91266271870794</v>
      </c>
      <c r="AW213" s="910"/>
      <c r="AX213" s="910"/>
      <c r="AY213" s="910"/>
      <c r="AZ213" s="912"/>
      <c r="BB213" s="913"/>
      <c r="BC213" s="916">
        <f t="shared" si="17"/>
        <v>69023.179199999984</v>
      </c>
      <c r="BD213" s="944">
        <f t="shared" si="22"/>
        <v>14103.373708608007</v>
      </c>
      <c r="BE213" s="914"/>
      <c r="BF213" s="910"/>
      <c r="BG213" s="916">
        <f>('1.6.1 GasLR'!O93)*Units!C$19</f>
        <v>1129.1756167815063</v>
      </c>
      <c r="BH213" s="914"/>
      <c r="BI213" s="916">
        <f t="shared" si="24"/>
        <v>26.795159805996697</v>
      </c>
      <c r="BJ213" s="910"/>
      <c r="BK213" s="842">
        <f t="shared" si="18"/>
        <v>213.98850008034643</v>
      </c>
      <c r="BL213" s="1085">
        <f t="shared" si="19"/>
        <v>4621.0456324628758</v>
      </c>
      <c r="BM213" s="920">
        <f>'1.5.1 OilLR'!AF43</f>
        <v>1084.1220529699999</v>
      </c>
      <c r="BN213" s="921">
        <f t="shared" si="23"/>
        <v>90201.679870708715</v>
      </c>
    </row>
    <row r="214" spans="1:66" ht="10.5" customHeight="1" x14ac:dyDescent="0.35">
      <c r="A214" s="841">
        <v>1904</v>
      </c>
      <c r="B214" s="1208">
        <f>+'1.3.1 CoalLR'!K214*1000*Units!$C$20</f>
        <v>28645.713600000003</v>
      </c>
      <c r="C214" s="1207">
        <f>+'1.4.1 MSFLR'!B114</f>
        <v>13034.263999999999</v>
      </c>
      <c r="D214" s="910"/>
      <c r="E214" s="932">
        <f>+[1]R!$BJ664*1000</f>
        <v>530.83671057035508</v>
      </c>
      <c r="F214" s="910"/>
      <c r="G214" s="945">
        <v>6.5531999999999995</v>
      </c>
      <c r="H214" s="945">
        <f>'1.8.3 RenPTLR'!B214</f>
        <v>0.58879274071092602</v>
      </c>
      <c r="I214" s="945">
        <f>'1.8.3 RenPTLR'!E214</f>
        <v>28.013980618623876</v>
      </c>
      <c r="J214" s="910"/>
      <c r="K214" s="842">
        <f>'1.8.2 RenHLR'!I214+'1.8.3 RenPTLR'!G214</f>
        <v>2147.1780017409824</v>
      </c>
      <c r="L214" s="910"/>
      <c r="M214" s="952">
        <f t="shared" si="20"/>
        <v>44393.148285670679</v>
      </c>
      <c r="N214" s="911"/>
      <c r="O214" s="1205">
        <f>'1.3.1 CoalLR'!I214*1000</f>
        <v>11633.199999999999</v>
      </c>
      <c r="P214" s="910"/>
      <c r="Q214" s="912"/>
      <c r="R214" s="910"/>
      <c r="S214" s="910"/>
      <c r="T214" s="910"/>
      <c r="U214" s="910"/>
      <c r="V214" s="945">
        <f>'1.8.3 RenPTLR'!H214</f>
        <v>1224.4370343307087</v>
      </c>
      <c r="W214" s="910"/>
      <c r="X214" s="910"/>
      <c r="Y214" s="910"/>
      <c r="Z214" s="910"/>
      <c r="AA214" s="945">
        <f>'1.8.3 RenPTLR'!C214</f>
        <v>213.28389352477055</v>
      </c>
      <c r="AB214" s="910"/>
      <c r="AC214" s="910"/>
      <c r="AD214" s="950">
        <f t="shared" si="16"/>
        <v>13070.920927855479</v>
      </c>
      <c r="AF214" s="911"/>
      <c r="AG214" s="916">
        <f>+'1.3.1 CoalLR'!J214*Units!$C$20*1000</f>
        <v>25766.207040000001</v>
      </c>
      <c r="AH214" s="842">
        <f>'1.4.1 MSFLR'!F114</f>
        <v>655.89609248113129</v>
      </c>
      <c r="AI214" s="842">
        <v>1080.8555667506294</v>
      </c>
      <c r="AJ214" s="912"/>
      <c r="AK214" s="945">
        <v>12.49029925622809</v>
      </c>
      <c r="AL214" s="910"/>
      <c r="AM214" s="945">
        <f>'1.8.2 RenHLR'!H214</f>
        <v>1241.3512687441059</v>
      </c>
      <c r="AN214" s="910"/>
      <c r="AO214" s="1082">
        <f t="shared" si="21"/>
        <v>28756.800267232098</v>
      </c>
      <c r="AQ214" s="911"/>
      <c r="AR214" s="916">
        <f>+'1.3.1 CoalLR'!L214*1000*Units!$C$20</f>
        <v>3178.2105599999995</v>
      </c>
      <c r="AS214" s="910"/>
      <c r="AT214" s="910"/>
      <c r="AU214" s="912"/>
      <c r="AV214" s="945">
        <v>16.740854912516824</v>
      </c>
      <c r="AW214" s="910"/>
      <c r="AX214" s="910"/>
      <c r="AY214" s="910"/>
      <c r="AZ214" s="912"/>
      <c r="BB214" s="913"/>
      <c r="BC214" s="916">
        <f t="shared" si="17"/>
        <v>69223.331200000015</v>
      </c>
      <c r="BD214" s="944">
        <f t="shared" si="22"/>
        <v>13690.16009248113</v>
      </c>
      <c r="BE214" s="914"/>
      <c r="BF214" s="910"/>
      <c r="BG214" s="916">
        <f>('1.6.1 GasLR'!O94)*Units!C$19</f>
        <v>1169.2323558119185</v>
      </c>
      <c r="BH214" s="914"/>
      <c r="BI214" s="916">
        <f t="shared" si="24"/>
        <v>35.784354168744912</v>
      </c>
      <c r="BJ214" s="910"/>
      <c r="BK214" s="842">
        <f t="shared" si="18"/>
        <v>213.28389352477055</v>
      </c>
      <c r="BL214" s="1085">
        <f t="shared" si="19"/>
        <v>4612.9663048157972</v>
      </c>
      <c r="BM214" s="920">
        <f>'1.5.1 OilLR'!AF44</f>
        <v>1143.0527737500001</v>
      </c>
      <c r="BN214" s="921">
        <f t="shared" si="23"/>
        <v>90087.810974552383</v>
      </c>
    </row>
    <row r="215" spans="1:66" ht="10.5" customHeight="1" x14ac:dyDescent="0.35">
      <c r="A215" s="841">
        <v>1905</v>
      </c>
      <c r="B215" s="1208">
        <f>+'1.3.1 CoalLR'!K215*1000*Units!$C$20</f>
        <v>30342.352319999998</v>
      </c>
      <c r="C215" s="1207">
        <f>+'1.4.1 MSFLR'!B115</f>
        <v>14353.031999999999</v>
      </c>
      <c r="D215" s="910"/>
      <c r="E215" s="932">
        <f>+[1]R!$BJ665*1000</f>
        <v>535.94568437558928</v>
      </c>
      <c r="F215" s="910"/>
      <c r="G215" s="945">
        <v>10.001799999999999</v>
      </c>
      <c r="H215" s="945">
        <f>'1.8.3 RenPTLR'!B215</f>
        <v>0.57897952836574396</v>
      </c>
      <c r="I215" s="945">
        <f>'1.8.3 RenPTLR'!E215</f>
        <v>27.79791313239302</v>
      </c>
      <c r="J215" s="910"/>
      <c r="K215" s="842">
        <f>'1.8.2 RenHLR'!I215+'1.8.3 RenPTLR'!G215</f>
        <v>2147.4110184682986</v>
      </c>
      <c r="L215" s="910"/>
      <c r="M215" s="952">
        <f t="shared" si="20"/>
        <v>47417.119715504647</v>
      </c>
      <c r="N215" s="911"/>
      <c r="O215" s="1205">
        <f>'1.3.1 CoalLR'!I215*1000</f>
        <v>11775.44</v>
      </c>
      <c r="P215" s="910"/>
      <c r="Q215" s="912"/>
      <c r="R215" s="910"/>
      <c r="S215" s="910"/>
      <c r="T215" s="910"/>
      <c r="U215" s="910"/>
      <c r="V215" s="945">
        <f>'1.8.3 RenPTLR'!H215</f>
        <v>1207.5412762204724</v>
      </c>
      <c r="W215" s="910"/>
      <c r="X215" s="910"/>
      <c r="Y215" s="910"/>
      <c r="Z215" s="910"/>
      <c r="AA215" s="945">
        <f>'1.8.3 RenPTLR'!C215</f>
        <v>214.29907250234137</v>
      </c>
      <c r="AB215" s="910"/>
      <c r="AC215" s="910"/>
      <c r="AD215" s="950">
        <f t="shared" si="16"/>
        <v>13197.280348722814</v>
      </c>
      <c r="AF215" s="911"/>
      <c r="AG215" s="916">
        <f>+'1.3.1 CoalLR'!J215*Units!$C$20*1000</f>
        <v>23800.73472</v>
      </c>
      <c r="AH215" s="842">
        <f>'1.4.1 MSFLR'!F115</f>
        <v>607.44511321295511</v>
      </c>
      <c r="AI215" s="842">
        <v>1096.1868513853904</v>
      </c>
      <c r="AJ215" s="912"/>
      <c r="AK215" s="945">
        <v>12.098473687925944</v>
      </c>
      <c r="AL215" s="910"/>
      <c r="AM215" s="945">
        <f>'1.8.2 RenHLR'!H215</f>
        <v>1146.6597390856755</v>
      </c>
      <c r="AN215" s="910"/>
      <c r="AO215" s="1082">
        <f t="shared" si="21"/>
        <v>26663.124897371948</v>
      </c>
      <c r="AQ215" s="911"/>
      <c r="AR215" s="916">
        <f>+'1.3.1 CoalLR'!L215*1000*Units!$C$20</f>
        <v>3321.5884799999999</v>
      </c>
      <c r="AS215" s="910"/>
      <c r="AT215" s="910"/>
      <c r="AU215" s="912"/>
      <c r="AV215" s="945">
        <v>16.215687752355315</v>
      </c>
      <c r="AW215" s="910"/>
      <c r="AX215" s="910"/>
      <c r="AY215" s="910"/>
      <c r="AZ215" s="912"/>
      <c r="BB215" s="913"/>
      <c r="BC215" s="916">
        <f t="shared" si="17"/>
        <v>69240.115520000007</v>
      </c>
      <c r="BD215" s="944">
        <f t="shared" si="22"/>
        <v>14960.477113212954</v>
      </c>
      <c r="BE215" s="914"/>
      <c r="BF215" s="910"/>
      <c r="BG215" s="916">
        <f>('1.6.1 GasLR'!O95)*Units!C$19</f>
        <v>1212.4320292052253</v>
      </c>
      <c r="BH215" s="914"/>
      <c r="BI215" s="916">
        <f t="shared" si="24"/>
        <v>38.315961440281257</v>
      </c>
      <c r="BJ215" s="910"/>
      <c r="BK215" s="842">
        <f t="shared" si="18"/>
        <v>214.29907250234137</v>
      </c>
      <c r="BL215" s="1085">
        <f t="shared" si="19"/>
        <v>4501.6120337744469</v>
      </c>
      <c r="BM215" s="920">
        <f>'1.5.1 OilLR'!AF45</f>
        <v>1136.9564922899999</v>
      </c>
      <c r="BN215" s="921">
        <f t="shared" si="23"/>
        <v>91304.208222425266</v>
      </c>
    </row>
    <row r="216" spans="1:66" ht="10.5" customHeight="1" x14ac:dyDescent="0.35">
      <c r="A216" s="841">
        <v>1906</v>
      </c>
      <c r="B216" s="1208">
        <f>+'1.3.1 CoalLR'!K216*1000*Units!$C$20</f>
        <v>31740.287039999996</v>
      </c>
      <c r="C216" s="1207">
        <f>+'1.4.1 MSFLR'!B116</f>
        <v>15528.544000000002</v>
      </c>
      <c r="D216" s="910"/>
      <c r="E216" s="932">
        <f>+[1]R!$BJ666*1000</f>
        <v>555.57616999498737</v>
      </c>
      <c r="F216" s="910"/>
      <c r="G216" s="945">
        <v>15.6778</v>
      </c>
      <c r="H216" s="945">
        <f>'1.8.3 RenPTLR'!B216</f>
        <v>0.56916631602056178</v>
      </c>
      <c r="I216" s="945">
        <f>'1.8.3 RenPTLR'!E216</f>
        <v>27.581845646162165</v>
      </c>
      <c r="J216" s="910"/>
      <c r="K216" s="842">
        <f>'1.8.2 RenHLR'!I216+'1.8.3 RenPTLR'!G216</f>
        <v>2147.6996313154186</v>
      </c>
      <c r="L216" s="945"/>
      <c r="M216" s="952">
        <f t="shared" si="20"/>
        <v>50015.93565327258</v>
      </c>
      <c r="N216" s="911"/>
      <c r="O216" s="1205">
        <f>'1.3.1 CoalLR'!I216*1000</f>
        <v>12283.44</v>
      </c>
      <c r="P216" s="910"/>
      <c r="Q216" s="912"/>
      <c r="R216" s="910"/>
      <c r="S216" s="910"/>
      <c r="T216" s="910"/>
      <c r="U216" s="910"/>
      <c r="V216" s="945">
        <f>'1.8.3 RenPTLR'!H216</f>
        <v>1190.6455181102363</v>
      </c>
      <c r="W216" s="910"/>
      <c r="X216" s="910"/>
      <c r="Y216" s="910"/>
      <c r="Z216" s="910"/>
      <c r="AA216" s="945">
        <f>'1.8.3 RenPTLR'!C216</f>
        <v>193.96815273695589</v>
      </c>
      <c r="AB216" s="910"/>
      <c r="AC216" s="910"/>
      <c r="AD216" s="950">
        <f t="shared" si="16"/>
        <v>13668.053670847192</v>
      </c>
      <c r="AF216" s="911"/>
      <c r="AG216" s="916">
        <f>+'1.3.1 CoalLR'!J216*Units!$C$20*1000</f>
        <v>23388.523200000003</v>
      </c>
      <c r="AH216" s="842">
        <f>'1.4.1 MSFLR'!F116</f>
        <v>794.0175408426486</v>
      </c>
      <c r="AI216" s="842">
        <v>1141.4838287153652</v>
      </c>
      <c r="AJ216" s="912"/>
      <c r="AK216" s="945">
        <v>13.813569815844991</v>
      </c>
      <c r="AL216" s="910"/>
      <c r="AM216" s="945">
        <f>'1.8.2 RenHLR'!H216</f>
        <v>1126.8004213153661</v>
      </c>
      <c r="AN216" s="910"/>
      <c r="AO216" s="1082">
        <f t="shared" si="21"/>
        <v>26464.638560689225</v>
      </c>
      <c r="AQ216" s="911"/>
      <c r="AR216" s="916">
        <f>+'1.3.1 CoalLR'!L216*1000*Units!$C$20</f>
        <v>3429.12192</v>
      </c>
      <c r="AS216" s="910"/>
      <c r="AT216" s="910"/>
      <c r="AU216" s="912"/>
      <c r="AV216" s="945">
        <v>18.514445760430686</v>
      </c>
      <c r="AW216" s="910"/>
      <c r="AX216" s="910"/>
      <c r="AY216" s="910"/>
      <c r="AZ216" s="912"/>
      <c r="BB216" s="913"/>
      <c r="BC216" s="916">
        <f t="shared" si="17"/>
        <v>70841.372159999999</v>
      </c>
      <c r="BD216" s="944">
        <f t="shared" si="22"/>
        <v>16322.561540842651</v>
      </c>
      <c r="BE216" s="914"/>
      <c r="BF216" s="910"/>
      <c r="BG216" s="916">
        <f>('1.6.1 GasLR'!O96)*Units!C$19</f>
        <v>1264.9724061442821</v>
      </c>
      <c r="BH216" s="914"/>
      <c r="BI216" s="916">
        <f t="shared" si="24"/>
        <v>48.00581557627568</v>
      </c>
      <c r="BJ216" s="910"/>
      <c r="BK216" s="842">
        <f t="shared" si="18"/>
        <v>193.96815273695589</v>
      </c>
      <c r="BL216" s="1085">
        <f t="shared" si="19"/>
        <v>4465.1455707410214</v>
      </c>
      <c r="BM216" s="920">
        <f>'1.5.1 OilLR'!AF46</f>
        <v>1137.9725392</v>
      </c>
      <c r="BN216" s="921">
        <f t="shared" si="23"/>
        <v>94273.998185241187</v>
      </c>
    </row>
    <row r="217" spans="1:66" ht="10.5" customHeight="1" x14ac:dyDescent="0.35">
      <c r="A217" s="841">
        <v>1907</v>
      </c>
      <c r="B217" s="1208">
        <f>+'1.3.1 CoalLR'!K217*1000*Units!$C$20</f>
        <v>32421.332160000002</v>
      </c>
      <c r="C217" s="1207">
        <f>+'1.4.1 MSFLR'!B117</f>
        <v>15785.592000000001</v>
      </c>
      <c r="D217" s="910"/>
      <c r="E217" s="932">
        <f>+[1]R!$BJ667*1000</f>
        <v>569.27177309257956</v>
      </c>
      <c r="F217" s="910"/>
      <c r="G217" s="945">
        <v>27.167399999999994</v>
      </c>
      <c r="H217" s="1074">
        <f>'1.8.3 RenPTLR'!B217</f>
        <v>0.46122098022355967</v>
      </c>
      <c r="I217" s="945">
        <f>'1.8.3 RenPTLR'!E217</f>
        <v>27.365778159931214</v>
      </c>
      <c r="J217" s="910"/>
      <c r="K217" s="842">
        <f>'1.8.2 RenHLR'!I217+'1.8.3 RenPTLR'!G217</f>
        <v>2148.0295508921367</v>
      </c>
      <c r="L217" s="945"/>
      <c r="M217" s="952">
        <f t="shared" si="20"/>
        <v>50979.219883124868</v>
      </c>
      <c r="N217" s="911"/>
      <c r="O217" s="1205">
        <f>'1.3.1 CoalLR'!I217*1000</f>
        <v>13126.720000000001</v>
      </c>
      <c r="P217" s="910"/>
      <c r="Q217" s="912"/>
      <c r="R217" s="910"/>
      <c r="S217" s="910"/>
      <c r="T217" s="910"/>
      <c r="U217" s="910"/>
      <c r="V217" s="945">
        <f>'1.8.3 RenPTLR'!H217</f>
        <v>1173.7497599999999</v>
      </c>
      <c r="W217" s="910"/>
      <c r="X217" s="910"/>
      <c r="Y217" s="910"/>
      <c r="Z217" s="910"/>
      <c r="AA217" s="945">
        <f>'1.8.3 RenPTLR'!C217</f>
        <v>178.31910870086023</v>
      </c>
      <c r="AB217" s="910"/>
      <c r="AC217" s="910"/>
      <c r="AD217" s="950">
        <f t="shared" si="16"/>
        <v>14478.788868700862</v>
      </c>
      <c r="AF217" s="911"/>
      <c r="AG217" s="916">
        <f>+'1.3.1 CoalLR'!J217*Units!$C$20*1000</f>
        <v>25664.647679999998</v>
      </c>
      <c r="AH217" s="842">
        <f>'1.4.1 MSFLR'!F117</f>
        <v>926.35379764975664</v>
      </c>
      <c r="AI217" s="842">
        <v>1174.9339042821157</v>
      </c>
      <c r="AJ217" s="912"/>
      <c r="AK217" s="945">
        <v>14.298196176639751</v>
      </c>
      <c r="AL217" s="910"/>
      <c r="AM217" s="945">
        <f>'1.8.2 RenHLR'!H217</f>
        <v>1236.4583933514211</v>
      </c>
      <c r="AN217" s="910"/>
      <c r="AO217" s="1082">
        <f t="shared" si="21"/>
        <v>29016.691971459932</v>
      </c>
      <c r="AQ217" s="911"/>
      <c r="AR217" s="916">
        <f>+'1.3.1 CoalLR'!L217*1000*Units!$C$20</f>
        <v>3453.0182399999994</v>
      </c>
      <c r="AS217" s="910"/>
      <c r="AT217" s="910"/>
      <c r="AU217" s="912"/>
      <c r="AV217" s="945">
        <v>19.16399461641992</v>
      </c>
      <c r="AW217" s="910"/>
      <c r="AX217" s="910"/>
      <c r="AY217" s="910"/>
      <c r="AZ217" s="912"/>
      <c r="BB217" s="913"/>
      <c r="BC217" s="916">
        <f t="shared" si="17"/>
        <v>74665.718080000006</v>
      </c>
      <c r="BD217" s="944">
        <f t="shared" si="22"/>
        <v>16711.945797649758</v>
      </c>
      <c r="BE217" s="914"/>
      <c r="BF217" s="910"/>
      <c r="BG217" s="916">
        <f>('1.6.1 GasLR'!O97)*Units!C$19</f>
        <v>1301.2890262326353</v>
      </c>
      <c r="BH217" s="914"/>
      <c r="BI217" s="916">
        <f t="shared" si="24"/>
        <v>60.629590793059663</v>
      </c>
      <c r="BJ217" s="910"/>
      <c r="BK217" s="842">
        <f t="shared" si="18"/>
        <v>178.31910870086023</v>
      </c>
      <c r="BL217" s="1085">
        <f t="shared" si="19"/>
        <v>4558.2377042435583</v>
      </c>
      <c r="BM217" s="920">
        <f>'1.5.1 OilLR'!AF47</f>
        <v>1165.4058057699999</v>
      </c>
      <c r="BN217" s="921">
        <f t="shared" si="23"/>
        <v>98641.545113389875</v>
      </c>
    </row>
    <row r="218" spans="1:66" ht="10.5" customHeight="1" x14ac:dyDescent="0.35">
      <c r="A218" s="841">
        <v>1908</v>
      </c>
      <c r="B218" s="1208">
        <f>+'1.3.1 CoalLR'!K218*1000*Units!$C$20</f>
        <v>30282.611519999995</v>
      </c>
      <c r="C218" s="1207">
        <f>+'1.4.1 MSFLR'!B118</f>
        <v>14095.983999999999</v>
      </c>
      <c r="D218" s="910"/>
      <c r="E218" s="932">
        <f>+[1]R!$BJ668*1000</f>
        <v>570.38876103741063</v>
      </c>
      <c r="F218" s="910"/>
      <c r="G218" s="945">
        <v>31.716799999999996</v>
      </c>
      <c r="H218" s="1074">
        <f>'1.8.3 RenPTLR'!B218</f>
        <v>0.45660877042132414</v>
      </c>
      <c r="I218" s="945">
        <f>'1.8.3 RenPTLR'!E218</f>
        <v>26.549579785316066</v>
      </c>
      <c r="J218" s="910"/>
      <c r="K218" s="842">
        <f>'1.8.2 RenHLR'!I218+'1.8.3 RenPTLR'!G218</f>
        <v>2148.4168783552573</v>
      </c>
      <c r="L218" s="945"/>
      <c r="M218" s="952">
        <f t="shared" si="20"/>
        <v>47156.124147948402</v>
      </c>
      <c r="N218" s="911"/>
      <c r="O218" s="1205">
        <f>'1.3.1 CoalLR'!I218*1000</f>
        <v>12689.84</v>
      </c>
      <c r="P218" s="910"/>
      <c r="Q218" s="912"/>
      <c r="R218" s="910"/>
      <c r="S218" s="910"/>
      <c r="T218" s="910"/>
      <c r="U218" s="910"/>
      <c r="V218" s="945">
        <f>'1.8.3 RenPTLR'!H218</f>
        <v>1156.854001889764</v>
      </c>
      <c r="W218" s="910"/>
      <c r="X218" s="910"/>
      <c r="Y218" s="910"/>
      <c r="Z218" s="910"/>
      <c r="AA218" s="945">
        <f>'1.8.3 RenPTLR'!C218</f>
        <v>174.41998731723965</v>
      </c>
      <c r="AB218" s="910"/>
      <c r="AC218" s="910"/>
      <c r="AD218" s="950">
        <f t="shared" si="16"/>
        <v>14021.113989207004</v>
      </c>
      <c r="AF218" s="911"/>
      <c r="AG218" s="916">
        <f>+'1.3.1 CoalLR'!J218*Units!$C$20*1000</f>
        <v>24672.950399999998</v>
      </c>
      <c r="AH218" s="842">
        <f>'1.4.1 MSFLR'!F118</f>
        <v>1019.6400114646032</v>
      </c>
      <c r="AI218" s="842">
        <v>1182.5995465994959</v>
      </c>
      <c r="AJ218" s="912"/>
      <c r="AK218" s="945">
        <v>15.205581703234198</v>
      </c>
      <c r="AL218" s="910"/>
      <c r="AM218" s="945">
        <f>'1.8.2 RenHLR'!H218</f>
        <v>1188.6809042228513</v>
      </c>
      <c r="AN218" s="910"/>
      <c r="AO218" s="1082">
        <f t="shared" si="21"/>
        <v>28079.076443990183</v>
      </c>
      <c r="AQ218" s="911"/>
      <c r="AR218" s="916">
        <f>+'1.3.1 CoalLR'!L218*1000*Units!$C$20</f>
        <v>3447.0441600000004</v>
      </c>
      <c r="AS218" s="910"/>
      <c r="AT218" s="910"/>
      <c r="AU218" s="912"/>
      <c r="AV218" s="945">
        <v>20.380171197846565</v>
      </c>
      <c r="AW218" s="910"/>
      <c r="AX218" s="910"/>
      <c r="AY218" s="910"/>
      <c r="AZ218" s="912"/>
      <c r="BB218" s="913"/>
      <c r="BC218" s="916">
        <f t="shared" si="17"/>
        <v>71092.446079999994</v>
      </c>
      <c r="BD218" s="944">
        <f t="shared" si="22"/>
        <v>15115.624011464603</v>
      </c>
      <c r="BE218" s="914"/>
      <c r="BF218" s="910"/>
      <c r="BG218" s="916">
        <f>('1.6.1 GasLR'!O98)*Units!C$19</f>
        <v>1314.2402721819985</v>
      </c>
      <c r="BH218" s="914"/>
      <c r="BI218" s="916">
        <f t="shared" si="24"/>
        <v>67.302552901080759</v>
      </c>
      <c r="BJ218" s="910"/>
      <c r="BK218" s="842">
        <f t="shared" si="18"/>
        <v>174.41998731723965</v>
      </c>
      <c r="BL218" s="1085">
        <f t="shared" si="19"/>
        <v>4493.951784467873</v>
      </c>
      <c r="BM218" s="920">
        <f>'1.5.1 OilLR'!AF48</f>
        <v>1305.6202793500001</v>
      </c>
      <c r="BN218" s="921">
        <f t="shared" si="23"/>
        <v>93563.604967682782</v>
      </c>
    </row>
    <row r="219" spans="1:66" ht="10.5" customHeight="1" x14ac:dyDescent="0.35">
      <c r="A219" s="841">
        <v>1909</v>
      </c>
      <c r="B219" s="1208">
        <f>+'1.3.1 CoalLR'!K219*1000*Units!$C$20</f>
        <v>31507.297919999997</v>
      </c>
      <c r="C219" s="1207">
        <f>+'1.4.1 MSFLR'!B119</f>
        <v>14516.608</v>
      </c>
      <c r="D219" s="910"/>
      <c r="E219" s="932">
        <f>+[1]R!$BJ669*1000</f>
        <v>579.84156624357593</v>
      </c>
      <c r="F219" s="910"/>
      <c r="G219" s="945">
        <v>40.892999999999994</v>
      </c>
      <c r="H219" s="1074">
        <f>'1.8.3 RenPTLR'!B219</f>
        <v>0.4520426827171109</v>
      </c>
      <c r="I219" s="945">
        <f>'1.8.3 RenPTLR'!E219</f>
        <v>25.733381410700911</v>
      </c>
      <c r="J219" s="910"/>
      <c r="K219" s="842">
        <f>'1.8.2 RenHLR'!I219+'1.8.3 RenPTLR'!G219</f>
        <v>2148.8597045480747</v>
      </c>
      <c r="L219" s="945"/>
      <c r="M219" s="952">
        <f t="shared" si="20"/>
        <v>48819.685614885064</v>
      </c>
      <c r="N219" s="911"/>
      <c r="O219" s="1205">
        <f>'1.3.1 CoalLR'!I219*1000</f>
        <v>12466.32</v>
      </c>
      <c r="P219" s="910"/>
      <c r="Q219" s="912"/>
      <c r="R219" s="910"/>
      <c r="S219" s="910"/>
      <c r="T219" s="910"/>
      <c r="U219" s="1042"/>
      <c r="V219" s="945">
        <f>'1.8.3 RenPTLR'!H219</f>
        <v>1139.9582437795275</v>
      </c>
      <c r="W219" s="910"/>
      <c r="X219" s="910"/>
      <c r="Y219" s="910"/>
      <c r="Z219" s="910"/>
      <c r="AA219" s="945">
        <f>'1.8.3 RenPTLR'!C219</f>
        <v>148.93217395932433</v>
      </c>
      <c r="AB219" s="910"/>
      <c r="AC219" s="910"/>
      <c r="AD219" s="950">
        <f t="shared" si="16"/>
        <v>13755.210417738852</v>
      </c>
      <c r="AF219" s="911"/>
      <c r="AG219" s="916">
        <f>+'1.3.1 CoalLR'!J219*Units!$C$20*1000</f>
        <v>24577.365119999999</v>
      </c>
      <c r="AH219" s="842">
        <f>'1.4.1 MSFLR'!F119</f>
        <v>1004.4538836342794</v>
      </c>
      <c r="AI219" s="842">
        <v>1207.6871032745589</v>
      </c>
      <c r="AJ219" s="912"/>
      <c r="AK219" s="945">
        <v>14.342878039691751</v>
      </c>
      <c r="AL219" s="910"/>
      <c r="AM219" s="945">
        <f>'1.8.2 RenHLR'!H219</f>
        <v>1184.0758450297362</v>
      </c>
      <c r="AN219" s="910"/>
      <c r="AO219" s="1082">
        <f t="shared" si="21"/>
        <v>27987.924829978267</v>
      </c>
      <c r="AQ219" s="911"/>
      <c r="AR219" s="916">
        <f>+'1.3.1 CoalLR'!L219*1000*Units!$C$20</f>
        <v>3590.4220799999998</v>
      </c>
      <c r="AS219" s="910"/>
      <c r="AT219" s="910"/>
      <c r="AU219" s="912"/>
      <c r="AV219" s="945">
        <v>19.223882099596231</v>
      </c>
      <c r="AW219" s="910"/>
      <c r="AX219" s="910"/>
      <c r="AY219" s="910"/>
      <c r="AZ219" s="912"/>
      <c r="BB219" s="913"/>
      <c r="BC219" s="916">
        <f t="shared" si="17"/>
        <v>72141.405119999996</v>
      </c>
      <c r="BD219" s="944">
        <f t="shared" si="22"/>
        <v>15521.06188363428</v>
      </c>
      <c r="BE219" s="914"/>
      <c r="BF219" s="910"/>
      <c r="BG219" s="916">
        <f>('1.6.1 GasLR'!O99)*Units!C$19</f>
        <v>1350.5168579529436</v>
      </c>
      <c r="BH219" s="914"/>
      <c r="BI219" s="916">
        <f t="shared" si="24"/>
        <v>74.459760139287965</v>
      </c>
      <c r="BJ219" s="910"/>
      <c r="BK219" s="842">
        <f t="shared" si="18"/>
        <v>148.93217395932433</v>
      </c>
      <c r="BL219" s="1085">
        <f t="shared" si="19"/>
        <v>4472.8937933573379</v>
      </c>
      <c r="BM219" s="920">
        <f>'1.5.1 OilLR'!AF49</f>
        <v>1367.59914086</v>
      </c>
      <c r="BN219" s="921">
        <f t="shared" si="23"/>
        <v>95076.868729903159</v>
      </c>
    </row>
    <row r="220" spans="1:66" ht="10.5" customHeight="1" x14ac:dyDescent="0.35">
      <c r="A220" s="841">
        <v>1910</v>
      </c>
      <c r="B220" s="1208">
        <f>+'1.3.1 CoalLR'!K220*1000*Units!$C$20</f>
        <v>31369.894079999995</v>
      </c>
      <c r="C220" s="1207">
        <f>+'1.4.1 MSFLR'!B120</f>
        <v>15129.255999999998</v>
      </c>
      <c r="D220" s="910"/>
      <c r="E220" s="932">
        <f>+[1]R!$BJ670*1000</f>
        <v>593.85220704303038</v>
      </c>
      <c r="F220" s="910"/>
      <c r="G220" s="945">
        <v>48.400799999999997</v>
      </c>
      <c r="H220" s="1074">
        <f>'1.8.3 RenPTLR'!B220</f>
        <v>0.44752225588993977</v>
      </c>
      <c r="I220" s="945">
        <f>'1.8.3 RenPTLR'!E220</f>
        <v>24.917183036085767</v>
      </c>
      <c r="J220" s="910"/>
      <c r="K220" s="842">
        <f>'1.8.2 RenHLR'!I220+'1.8.3 RenPTLR'!G220</f>
        <v>2149.3495989944504</v>
      </c>
      <c r="L220" s="945"/>
      <c r="M220" s="952">
        <f t="shared" si="20"/>
        <v>49316.117391329455</v>
      </c>
      <c r="N220" s="911"/>
      <c r="O220" s="1205">
        <f>'1.3.1 CoalLR'!I220*1000</f>
        <v>12669.52</v>
      </c>
      <c r="P220" s="910"/>
      <c r="Q220" s="912"/>
      <c r="R220" s="910"/>
      <c r="S220" s="910"/>
      <c r="T220" s="910"/>
      <c r="U220" s="1042">
        <v>209.89038199999999</v>
      </c>
      <c r="V220" s="945">
        <f>'1.8.3 RenPTLR'!H220</f>
        <v>1123.0624856692914</v>
      </c>
      <c r="W220" s="910"/>
      <c r="X220" s="910"/>
      <c r="Y220" s="910"/>
      <c r="Z220" s="910"/>
      <c r="AA220" s="945">
        <f>'1.8.3 RenPTLR'!C220</f>
        <v>153.05572226458202</v>
      </c>
      <c r="AB220" s="910"/>
      <c r="AC220" s="910"/>
      <c r="AD220" s="950">
        <f t="shared" si="16"/>
        <v>14155.528589933874</v>
      </c>
      <c r="AF220" s="911"/>
      <c r="AG220" s="916">
        <f>+'1.3.1 CoalLR'!J220*Units!$C$20*1000</f>
        <v>25138.928639999995</v>
      </c>
      <c r="AH220" s="842">
        <f>'1.4.1 MSFLR'!F120</f>
        <v>1026.1483519633136</v>
      </c>
      <c r="AI220" s="842">
        <v>1242.5309319899243</v>
      </c>
      <c r="AJ220" s="912"/>
      <c r="AK220" s="945">
        <v>16.597593590623401</v>
      </c>
      <c r="AL220" s="910"/>
      <c r="AM220" s="945">
        <f>'1.8.2 RenHLR'!H220</f>
        <v>1211.1305677892874</v>
      </c>
      <c r="AN220" s="910"/>
      <c r="AO220" s="1082">
        <f t="shared" si="21"/>
        <v>28635.336085333147</v>
      </c>
      <c r="AQ220" s="911"/>
      <c r="AR220" s="916">
        <f>+'1.3.1 CoalLR'!L220*1000*Units!$C$20</f>
        <v>3608.3443199999992</v>
      </c>
      <c r="AS220" s="910"/>
      <c r="AT220" s="910"/>
      <c r="AU220" s="912"/>
      <c r="AV220" s="945">
        <v>22.245896635262447</v>
      </c>
      <c r="AW220" s="910"/>
      <c r="AX220" s="910"/>
      <c r="AY220" s="910"/>
      <c r="AZ220" s="912"/>
      <c r="BB220" s="913"/>
      <c r="BC220" s="916">
        <f t="shared" si="17"/>
        <v>72786.68703999999</v>
      </c>
      <c r="BD220" s="944">
        <f t="shared" si="22"/>
        <v>16155.404351963311</v>
      </c>
      <c r="BE220" s="914"/>
      <c r="BF220" s="910"/>
      <c r="BG220" s="916">
        <f>('1.6.1 GasLR'!O100)*Units!C$19</f>
        <v>1386.6801093364388</v>
      </c>
      <c r="BH220" s="914"/>
      <c r="BI220" s="916">
        <f t="shared" si="24"/>
        <v>87.244290225885834</v>
      </c>
      <c r="BJ220" s="910"/>
      <c r="BK220" s="842">
        <f t="shared" si="18"/>
        <v>153.05572226458202</v>
      </c>
      <c r="BL220" s="1085">
        <f t="shared" si="19"/>
        <v>4483.5426524530285</v>
      </c>
      <c r="BM220" s="920">
        <f>'1.5.1 OilLR'!AF50</f>
        <v>1319.8449360899999</v>
      </c>
      <c r="BN220" s="921">
        <f t="shared" si="23"/>
        <v>96372.459102333247</v>
      </c>
    </row>
    <row r="221" spans="1:66" ht="10.5" customHeight="1" x14ac:dyDescent="0.35">
      <c r="A221" s="841">
        <v>1911</v>
      </c>
      <c r="B221" s="1208">
        <f>+'1.3.1 CoalLR'!K221*1000*Units!$C$20</f>
        <v>33275.625599999999</v>
      </c>
      <c r="C221" s="1207">
        <f>+'1.4.1 MSFLR'!B121</f>
        <v>14552.168000000001</v>
      </c>
      <c r="D221" s="910"/>
      <c r="E221" s="932">
        <f>+[1]R!$BJ671*1000</f>
        <v>611.36242055738285</v>
      </c>
      <c r="F221" s="910"/>
      <c r="G221" s="945">
        <v>58.600399999999993</v>
      </c>
      <c r="H221" s="1074">
        <f>'1.8.3 RenPTLR'!B221</f>
        <v>0.44304703333104034</v>
      </c>
      <c r="I221" s="945">
        <f>'1.8.3 RenPTLR'!E221</f>
        <v>24.100984661470616</v>
      </c>
      <c r="J221" s="910"/>
      <c r="K221" s="842">
        <f>'1.8.2 RenHLR'!I221+'1.8.3 RenPTLR'!G221</f>
        <v>2149.846019567346</v>
      </c>
      <c r="L221" s="945"/>
      <c r="M221" s="952">
        <f t="shared" si="20"/>
        <v>50672.146471819535</v>
      </c>
      <c r="N221" s="911"/>
      <c r="O221" s="1205">
        <f>'1.3.1 CoalLR'!I221*1000</f>
        <v>13025.12</v>
      </c>
      <c r="P221" s="910"/>
      <c r="Q221" s="912"/>
      <c r="R221" s="910"/>
      <c r="S221" s="910"/>
      <c r="T221" s="910"/>
      <c r="U221" s="1042">
        <v>258.99151699999999</v>
      </c>
      <c r="V221" s="945">
        <f>'1.8.3 RenPTLR'!H221</f>
        <v>1106.1667275590551</v>
      </c>
      <c r="W221" s="910"/>
      <c r="X221" s="910"/>
      <c r="Y221" s="910"/>
      <c r="Z221" s="910"/>
      <c r="AA221" s="945">
        <f>'1.8.3 RenPTLR'!C221</f>
        <v>147.36651457849032</v>
      </c>
      <c r="AB221" s="910"/>
      <c r="AC221" s="910"/>
      <c r="AD221" s="950">
        <f t="shared" si="16"/>
        <v>14537.644759137547</v>
      </c>
      <c r="AF221" s="911"/>
      <c r="AG221" s="916">
        <f>+'1.3.1 CoalLR'!J221*Units!$C$20*1000</f>
        <v>25957.3776</v>
      </c>
      <c r="AH221" s="842">
        <f>'1.4.1 MSFLR'!F121</f>
        <v>1089.7854590618135</v>
      </c>
      <c r="AI221" s="842">
        <v>1285.0404030226696</v>
      </c>
      <c r="AJ221" s="912"/>
      <c r="AK221" s="945">
        <v>15.019980118248968</v>
      </c>
      <c r="AL221" s="910"/>
      <c r="AM221" s="945">
        <f>'1.8.2 RenHLR'!H221</f>
        <v>1250.5613871303362</v>
      </c>
      <c r="AN221" s="910"/>
      <c r="AO221" s="1082">
        <f t="shared" si="21"/>
        <v>29597.784829333072</v>
      </c>
      <c r="AQ221" s="911"/>
      <c r="AR221" s="916">
        <f>+'1.3.1 CoalLR'!L221*1000*Units!$C$20</f>
        <v>3763.6704</v>
      </c>
      <c r="AS221" s="910"/>
      <c r="AT221" s="910"/>
      <c r="AU221" s="912"/>
      <c r="AV221" s="945">
        <v>20.131407806191113</v>
      </c>
      <c r="AW221" s="910"/>
      <c r="AX221" s="910"/>
      <c r="AY221" s="910"/>
      <c r="AZ221" s="912"/>
      <c r="BB221" s="913"/>
      <c r="BC221" s="916">
        <f t="shared" si="17"/>
        <v>76021.793600000005</v>
      </c>
      <c r="BD221" s="944">
        <f t="shared" si="22"/>
        <v>15641.953459061815</v>
      </c>
      <c r="BE221" s="914"/>
      <c r="BF221" s="910"/>
      <c r="BG221" s="916">
        <f>('1.6.1 GasLR'!O101)*Units!C$19</f>
        <v>1436.6359885623344</v>
      </c>
      <c r="BH221" s="914"/>
      <c r="BI221" s="916">
        <f t="shared" si="24"/>
        <v>93.751787924440066</v>
      </c>
      <c r="BJ221" s="910"/>
      <c r="BK221" s="842">
        <f t="shared" si="18"/>
        <v>147.36651457849032</v>
      </c>
      <c r="BL221" s="1085">
        <f t="shared" si="19"/>
        <v>4506.574134256738</v>
      </c>
      <c r="BM221" s="920">
        <f>'1.5.1 OilLR'!AF51</f>
        <v>1385.88798524</v>
      </c>
      <c r="BN221" s="921">
        <f t="shared" si="23"/>
        <v>99233.963469623821</v>
      </c>
    </row>
    <row r="222" spans="1:66" ht="10.5" customHeight="1" x14ac:dyDescent="0.35">
      <c r="A222" s="841">
        <v>1912</v>
      </c>
      <c r="B222" s="1208">
        <f>+'1.3.1 CoalLR'!K222*1000*Units!$C$20</f>
        <v>34488.363839999998</v>
      </c>
      <c r="C222" s="1207">
        <f>+'1.4.1 MSFLR'!B122</f>
        <v>13942.568000000001</v>
      </c>
      <c r="D222" s="910"/>
      <c r="E222" s="932">
        <f>+[1]R!$BJ672*1000</f>
        <v>640.57302793850249</v>
      </c>
      <c r="F222" s="910"/>
      <c r="G222" s="945">
        <v>72.61839999999998</v>
      </c>
      <c r="H222" s="1074">
        <f>'1.8.3 RenPTLR'!B222</f>
        <v>0.43861656299773005</v>
      </c>
      <c r="I222" s="945">
        <f>'1.8.3 RenPTLR'!E222</f>
        <v>23.284786286855457</v>
      </c>
      <c r="J222" s="910"/>
      <c r="K222" s="842">
        <f>'1.8.2 RenHLR'!I222+'1.8.3 RenPTLR'!G222</f>
        <v>2100.5487424348453</v>
      </c>
      <c r="L222" s="945"/>
      <c r="M222" s="952">
        <f t="shared" si="20"/>
        <v>51268.395413223203</v>
      </c>
      <c r="N222" s="911"/>
      <c r="O222" s="1205">
        <f>'1.3.1 CoalLR'!I222*1000</f>
        <v>12842.24</v>
      </c>
      <c r="P222" s="910"/>
      <c r="Q222" s="912"/>
      <c r="R222" s="910"/>
      <c r="S222" s="910"/>
      <c r="T222" s="910"/>
      <c r="U222" s="1042">
        <v>303.46010899999999</v>
      </c>
      <c r="V222" s="945">
        <f>'1.8.3 RenPTLR'!H222</f>
        <v>1076.8685276801937</v>
      </c>
      <c r="W222" s="910"/>
      <c r="X222" s="910"/>
      <c r="Y222" s="910"/>
      <c r="Z222" s="910"/>
      <c r="AA222" s="945">
        <f>'1.8.3 RenPTLR'!C222</f>
        <v>126.12095183196625</v>
      </c>
      <c r="AB222" s="910"/>
      <c r="AC222" s="910"/>
      <c r="AD222" s="950">
        <f t="shared" si="16"/>
        <v>14348.689588512159</v>
      </c>
      <c r="AF222" s="911"/>
      <c r="AG222" s="916">
        <f>+'1.3.1 CoalLR'!J222*Units!$C$20*1000</f>
        <v>22223.577599999997</v>
      </c>
      <c r="AH222" s="842">
        <f>'1.4.1 MSFLR'!F122</f>
        <v>1070.983586509984</v>
      </c>
      <c r="AI222" s="842">
        <v>1352.6374307304782</v>
      </c>
      <c r="AJ222" s="912"/>
      <c r="AK222" s="945">
        <v>17.436237789445546</v>
      </c>
      <c r="AL222" s="910"/>
      <c r="AM222" s="945">
        <f>'1.8.2 RenHLR'!H222</f>
        <v>1070.6762623992752</v>
      </c>
      <c r="AN222" s="910"/>
      <c r="AO222" s="1082">
        <f t="shared" si="21"/>
        <v>25735.311117429184</v>
      </c>
      <c r="AQ222" s="911"/>
      <c r="AR222" s="916">
        <f>+'1.3.1 CoalLR'!L222*1000*Units!$C$20</f>
        <v>3895.1001599999995</v>
      </c>
      <c r="AS222" s="910"/>
      <c r="AT222" s="910"/>
      <c r="AU222" s="912"/>
      <c r="AV222" s="945">
        <v>23.369938627187075</v>
      </c>
      <c r="AW222" s="910"/>
      <c r="AX222" s="910"/>
      <c r="AY222" s="910"/>
      <c r="AZ222" s="912"/>
      <c r="BB222" s="913"/>
      <c r="BC222" s="916">
        <f t="shared" si="17"/>
        <v>73449.281599999988</v>
      </c>
      <c r="BD222" s="944">
        <f t="shared" si="22"/>
        <v>15013.551586509984</v>
      </c>
      <c r="BE222" s="914"/>
      <c r="BF222" s="910"/>
      <c r="BG222" s="916">
        <f>('1.6.1 GasLR'!O102)*Units!C$19</f>
        <v>1514.8347682871031</v>
      </c>
      <c r="BH222" s="914"/>
      <c r="BI222" s="916">
        <f t="shared" si="24"/>
        <v>113.42457641663259</v>
      </c>
      <c r="BJ222" s="910"/>
      <c r="BK222" s="842">
        <f t="shared" si="18"/>
        <v>126.12095183196625</v>
      </c>
      <c r="BL222" s="1085">
        <f t="shared" si="19"/>
        <v>4248.0935325143146</v>
      </c>
      <c r="BM222" s="920">
        <f>'1.5.1 OilLR'!AF52</f>
        <v>1592.1455079699999</v>
      </c>
      <c r="BN222" s="921">
        <f t="shared" si="23"/>
        <v>96057.452523529981</v>
      </c>
    </row>
    <row r="223" spans="1:66" ht="10.5" customHeight="1" x14ac:dyDescent="0.35">
      <c r="A223" s="841">
        <v>1913</v>
      </c>
      <c r="B223" s="916">
        <f>+'1.3.1 CoalLR'!K223*1000*Units!$C$20</f>
        <v>35205.25344</v>
      </c>
      <c r="C223" s="842">
        <f>+'1.4.1 MSFLR'!B123</f>
        <v>16176.752</v>
      </c>
      <c r="D223" s="910"/>
      <c r="E223" s="932">
        <f>+[1]R!$BJ673*1000</f>
        <v>662.26741093340877</v>
      </c>
      <c r="F223" s="910"/>
      <c r="G223" s="945">
        <v>86</v>
      </c>
      <c r="H223" s="1074">
        <f>'1.8.3 RenPTLR'!B223</f>
        <v>0.4342303973677526</v>
      </c>
      <c r="I223" s="945">
        <f>'1.8.3 RenPTLR'!E223</f>
        <v>22.468587912240316</v>
      </c>
      <c r="J223" s="910"/>
      <c r="K223" s="842">
        <f>'1.8.2 RenHLR'!I223+'1.8.3 RenPTLR'!G223</f>
        <v>2051.3490617730295</v>
      </c>
      <c r="L223" s="945"/>
      <c r="M223" s="952">
        <f t="shared" si="20"/>
        <v>54204.524731016048</v>
      </c>
      <c r="N223" s="911"/>
      <c r="O223" s="945">
        <f>'1.3.1 CoalLR'!I223*1000</f>
        <v>13797.28</v>
      </c>
      <c r="P223" s="910"/>
      <c r="Q223" s="912"/>
      <c r="R223" s="910"/>
      <c r="S223" s="910"/>
      <c r="T223" s="910"/>
      <c r="U223" s="1042">
        <v>384.550567</v>
      </c>
      <c r="V223" s="945">
        <f>'1.8.3 RenPTLR'!H223</f>
        <v>1047.5703278013325</v>
      </c>
      <c r="W223" s="910"/>
      <c r="X223" s="910"/>
      <c r="Y223" s="910"/>
      <c r="Z223" s="910"/>
      <c r="AA223" s="945">
        <f>'1.8.3 RenPTLR'!C223</f>
        <v>110.9444889451802</v>
      </c>
      <c r="AB223" s="910"/>
      <c r="AC223" s="910"/>
      <c r="AD223" s="950">
        <f t="shared" si="16"/>
        <v>15340.345383746513</v>
      </c>
      <c r="AF223" s="911"/>
      <c r="AG223" s="916">
        <f>+'1.3.1 CoalLR'!J223*Units!$C$20*1000</f>
        <v>24780.483839999994</v>
      </c>
      <c r="AH223" s="842">
        <f>'1.4.1 MSFLR'!F123</f>
        <v>1024.7020540747112</v>
      </c>
      <c r="AI223" s="842">
        <v>1404.9031738035258</v>
      </c>
      <c r="AJ223" s="912"/>
      <c r="AK223" s="945">
        <v>23.915107931985428</v>
      </c>
      <c r="AL223" s="910"/>
      <c r="AM223" s="945">
        <f>'1.8.2 RenHLR'!H223</f>
        <v>991.49281347828912</v>
      </c>
      <c r="AN223" s="910"/>
      <c r="AO223" s="1082">
        <f t="shared" si="21"/>
        <v>28225.496989288506</v>
      </c>
      <c r="AQ223" s="911"/>
      <c r="AR223" s="916">
        <f>+'1.3.1 CoalLR'!L223*1000*Units!$C$20</f>
        <v>4038.4780799999999</v>
      </c>
      <c r="AS223" s="910"/>
      <c r="AT223" s="910"/>
      <c r="AU223" s="912"/>
      <c r="AV223" s="945">
        <v>32.053623687752349</v>
      </c>
      <c r="AW223" s="910"/>
      <c r="AX223" s="910"/>
      <c r="AY223" s="910"/>
      <c r="AZ223" s="912"/>
      <c r="BB223" s="913"/>
      <c r="BC223" s="916">
        <f t="shared" si="17"/>
        <v>77821.495360000001</v>
      </c>
      <c r="BD223" s="944">
        <f t="shared" si="22"/>
        <v>17201.454054074711</v>
      </c>
      <c r="BE223" s="914"/>
      <c r="BF223" s="910"/>
      <c r="BG223" s="916">
        <f>('1.6.1 GasLR'!O103)*Units!C$19</f>
        <v>1565.0075782106903</v>
      </c>
      <c r="BH223" s="914"/>
      <c r="BI223" s="916">
        <f t="shared" si="24"/>
        <v>141.96873161973778</v>
      </c>
      <c r="BJ223" s="910"/>
      <c r="BK223" s="842">
        <f t="shared" si="18"/>
        <v>110.9444889451802</v>
      </c>
      <c r="BL223" s="1085">
        <f t="shared" si="19"/>
        <v>4090.412203052651</v>
      </c>
      <c r="BM223" s="920">
        <f>'1.5.1 OilLR'!AF53</f>
        <v>1863.43003294</v>
      </c>
      <c r="BN223" s="921">
        <f t="shared" si="23"/>
        <v>102794.71244884297</v>
      </c>
    </row>
    <row r="224" spans="1:66" ht="10.5" customHeight="1" x14ac:dyDescent="0.35">
      <c r="A224" s="841">
        <v>1914</v>
      </c>
      <c r="B224" s="916">
        <f>+'1.3.1 CoalLR'!K224*1000*Units!$C$20</f>
        <v>34799.015999999996</v>
      </c>
      <c r="C224" s="842">
        <f>+'1.4.1 MSFLR'!B124</f>
        <v>14740.128000000002</v>
      </c>
      <c r="D224" s="910"/>
      <c r="E224" s="932">
        <f>+[1]R!$BJ674*1000</f>
        <v>685.51763532941288</v>
      </c>
      <c r="F224" s="910"/>
      <c r="G224" s="945">
        <v>82.689000000000007</v>
      </c>
      <c r="H224" s="1074">
        <f>'1.8.3 RenPTLR'!B224</f>
        <v>0.42988809339407508</v>
      </c>
      <c r="I224" s="945">
        <f>'1.8.3 RenPTLR'!E224</f>
        <v>21.652389537625162</v>
      </c>
      <c r="J224" s="910"/>
      <c r="K224" s="842">
        <f>'1.8.2 RenHLR'!I224+'1.8.3 RenPTLR'!G224</f>
        <v>1999.7246905127813</v>
      </c>
      <c r="L224" s="945"/>
      <c r="M224" s="952">
        <f t="shared" si="20"/>
        <v>52329.157603473213</v>
      </c>
      <c r="N224" s="911"/>
      <c r="O224" s="945">
        <f>'1.3.1 CoalLR'!I224*1000</f>
        <v>14122.400000000001</v>
      </c>
      <c r="P224" s="910"/>
      <c r="Q224" s="912"/>
      <c r="R224" s="910"/>
      <c r="S224" s="910"/>
      <c r="T224" s="910"/>
      <c r="U224" s="1042">
        <v>453.83662200000003</v>
      </c>
      <c r="V224" s="945">
        <f>'1.8.3 RenPTLR'!H224</f>
        <v>1018.2721279224711</v>
      </c>
      <c r="W224" s="910"/>
      <c r="X224" s="910"/>
      <c r="Y224" s="910"/>
      <c r="Z224" s="910"/>
      <c r="AA224" s="945">
        <f>'1.8.3 RenPTLR'!C224</f>
        <v>89.599519447882216</v>
      </c>
      <c r="AB224" s="910"/>
      <c r="AC224" s="910"/>
      <c r="AD224" s="950">
        <f t="shared" si="16"/>
        <v>15684.108269370356</v>
      </c>
      <c r="AF224" s="911"/>
      <c r="AG224" s="916">
        <f>+'1.3.1 CoalLR'!J224*Units!$C$20*1000</f>
        <v>23962.034879999996</v>
      </c>
      <c r="AH224" s="842">
        <f>'1.4.1 MSFLR'!F124</f>
        <v>1001.5612878570747</v>
      </c>
      <c r="AI224" s="842">
        <v>1460.9571788413095</v>
      </c>
      <c r="AJ224" s="912"/>
      <c r="AK224" s="945">
        <v>24.146864408474919</v>
      </c>
      <c r="AL224" s="910"/>
      <c r="AM224" s="945">
        <f>'1.8.2 RenHLR'!H224</f>
        <v>970.14687923144868</v>
      </c>
      <c r="AN224" s="910"/>
      <c r="AO224" s="1082">
        <f t="shared" si="21"/>
        <v>27418.847090338302</v>
      </c>
      <c r="AQ224" s="911"/>
      <c r="AR224" s="916">
        <f>+'1.3.1 CoalLR'!L224*1000*Units!$C$20</f>
        <v>4719.5231999999996</v>
      </c>
      <c r="AS224" s="910"/>
      <c r="AT224" s="910"/>
      <c r="AU224" s="912"/>
      <c r="AV224" s="945">
        <v>32.364248875216298</v>
      </c>
      <c r="AW224" s="910"/>
      <c r="AX224" s="910"/>
      <c r="AY224" s="910"/>
      <c r="AZ224" s="912"/>
      <c r="BB224" s="913"/>
      <c r="BC224" s="916">
        <f t="shared" si="17"/>
        <v>77602.974079999985</v>
      </c>
      <c r="BD224" s="944">
        <f t="shared" si="22"/>
        <v>15741.689287857078</v>
      </c>
      <c r="BE224" s="914"/>
      <c r="BF224" s="910"/>
      <c r="BG224" s="916">
        <f>('1.6.1 GasLR'!O104)*Units!C$19</f>
        <v>1597.0340703518473</v>
      </c>
      <c r="BH224" s="914"/>
      <c r="BI224" s="916">
        <f t="shared" si="24"/>
        <v>139.20011328369122</v>
      </c>
      <c r="BJ224" s="910"/>
      <c r="BK224" s="842">
        <f t="shared" si="18"/>
        <v>89.599519447882216</v>
      </c>
      <c r="BL224" s="1085">
        <f t="shared" si="19"/>
        <v>3988.143697666701</v>
      </c>
      <c r="BM224" s="920">
        <f>'1.5.1 OilLR'!AF54</f>
        <v>2434.4483963600001</v>
      </c>
      <c r="BN224" s="921">
        <f t="shared" si="23"/>
        <v>101593.0891649672</v>
      </c>
    </row>
    <row r="225" spans="1:66" ht="10.5" customHeight="1" x14ac:dyDescent="0.35">
      <c r="A225" s="841">
        <v>1915</v>
      </c>
      <c r="B225" s="916">
        <f>+'1.3.1 CoalLR'!K225*1000*Units!$C$20</f>
        <v>33042.636480000001</v>
      </c>
      <c r="C225" s="842">
        <f>+'1.4.1 MSFLR'!B125</f>
        <v>14953.488000000001</v>
      </c>
      <c r="D225" s="910"/>
      <c r="E225" s="932">
        <f>+[1]R!$BJ675*1000</f>
        <v>682.34992871703753</v>
      </c>
      <c r="F225" s="910"/>
      <c r="G225" s="945">
        <v>111.00880000000001</v>
      </c>
      <c r="H225" s="1074">
        <f>'1.8.3 RenPTLR'!B225</f>
        <v>0.42558921246013443</v>
      </c>
      <c r="I225" s="945">
        <f>'1.8.3 RenPTLR'!E225</f>
        <v>20.836191163010017</v>
      </c>
      <c r="J225" s="910"/>
      <c r="K225" s="842">
        <f>'1.8.2 RenHLR'!I225+'1.8.3 RenPTLR'!G225</f>
        <v>1946.282644995593</v>
      </c>
      <c r="L225" s="945"/>
      <c r="M225" s="952">
        <f t="shared" si="20"/>
        <v>50757.027634088096</v>
      </c>
      <c r="N225" s="911"/>
      <c r="O225" s="945">
        <f>'1.3.1 CoalLR'!I225*1000</f>
        <v>14427.199999999999</v>
      </c>
      <c r="P225" s="910"/>
      <c r="Q225" s="912"/>
      <c r="R225" s="910"/>
      <c r="S225" s="910"/>
      <c r="T225" s="910"/>
      <c r="U225" s="1042">
        <v>551.23439100000007</v>
      </c>
      <c r="V225" s="945">
        <f>'1.8.3 RenPTLR'!H225</f>
        <v>988.97392804360959</v>
      </c>
      <c r="W225" s="910"/>
      <c r="X225" s="910"/>
      <c r="Y225" s="910"/>
      <c r="Z225" s="910"/>
      <c r="AA225" s="945">
        <f>'1.8.3 RenPTLR'!C225</f>
        <v>113.82488818848115</v>
      </c>
      <c r="AB225" s="910"/>
      <c r="AC225" s="910"/>
      <c r="AD225" s="950">
        <f t="shared" si="16"/>
        <v>16081.23320723209</v>
      </c>
      <c r="AF225" s="911"/>
      <c r="AG225" s="916">
        <f>+'1.3.1 CoalLR'!J225*Units!$C$20*1000</f>
        <v>26232.185279999994</v>
      </c>
      <c r="AH225" s="842">
        <f>'1.4.1 MSFLR'!F125</f>
        <v>1173.6707366007454</v>
      </c>
      <c r="AI225" s="842">
        <v>1460.9571788413095</v>
      </c>
      <c r="AJ225" s="912"/>
      <c r="AK225" s="945">
        <v>24.378620884964409</v>
      </c>
      <c r="AL225" s="910"/>
      <c r="AM225" s="945">
        <f>'1.8.2 RenHLR'!H225</f>
        <v>1014.8794144042641</v>
      </c>
      <c r="AN225" s="910"/>
      <c r="AO225" s="1082">
        <f t="shared" si="21"/>
        <v>29906.071230731279</v>
      </c>
      <c r="AQ225" s="911"/>
      <c r="AR225" s="916">
        <f>+'1.3.1 CoalLR'!L225*1000*Units!$C$20</f>
        <v>6690.9695999999985</v>
      </c>
      <c r="AS225" s="910"/>
      <c r="AT225" s="910"/>
      <c r="AU225" s="912"/>
      <c r="AV225" s="945">
        <v>32.674874062680253</v>
      </c>
      <c r="AW225" s="910"/>
      <c r="AX225" s="910"/>
      <c r="AY225" s="910"/>
      <c r="AZ225" s="912"/>
      <c r="BB225" s="913"/>
      <c r="BC225" s="916">
        <f t="shared" si="17"/>
        <v>80392.991359999985</v>
      </c>
      <c r="BD225" s="944">
        <f t="shared" si="22"/>
        <v>16127.158736600746</v>
      </c>
      <c r="BE225" s="914"/>
      <c r="BF225" s="910"/>
      <c r="BG225" s="916">
        <f>('1.6.1 GasLR'!O105)*Units!C$19</f>
        <v>0</v>
      </c>
      <c r="BH225" s="914"/>
      <c r="BI225" s="916">
        <f t="shared" si="24"/>
        <v>168.06229494764469</v>
      </c>
      <c r="BJ225" s="910"/>
      <c r="BK225" s="842">
        <f t="shared" si="18"/>
        <v>113.82488818848115</v>
      </c>
      <c r="BL225" s="1085">
        <f t="shared" si="19"/>
        <v>3950.1359874434665</v>
      </c>
      <c r="BM225" s="920">
        <f>'1.5.1 OilLR'!AF55</f>
        <v>2248.5118118299997</v>
      </c>
      <c r="BN225" s="921">
        <f t="shared" si="23"/>
        <v>103000.68507901032</v>
      </c>
    </row>
    <row r="226" spans="1:66" ht="10.5" customHeight="1" x14ac:dyDescent="0.35">
      <c r="A226" s="841">
        <v>1916</v>
      </c>
      <c r="B226" s="916">
        <f>+'1.3.1 CoalLR'!K226*1000*Units!$C$20</f>
        <v>34769.145600000003</v>
      </c>
      <c r="C226" s="842">
        <f>+'1.4.1 MSFLR'!B126</f>
        <v>16322.04</v>
      </c>
      <c r="D226" s="910"/>
      <c r="E226" s="932">
        <f>+[1]R!$BJ676*1000</f>
        <v>679.18797594251305</v>
      </c>
      <c r="F226" s="910"/>
      <c r="G226" s="945">
        <v>145.21099999999998</v>
      </c>
      <c r="H226" s="1074">
        <f>'1.8.3 RenPTLR'!B226</f>
        <v>0.42133332033553306</v>
      </c>
      <c r="I226" s="945">
        <f>'1.8.3 RenPTLR'!E226</f>
        <v>20.019992788394866</v>
      </c>
      <c r="J226" s="910"/>
      <c r="K226" s="842">
        <f>'1.8.2 RenHLR'!I226+'1.8.3 RenPTLR'!G226</f>
        <v>1893.8406813202887</v>
      </c>
      <c r="L226" s="945"/>
      <c r="M226" s="952">
        <f t="shared" si="20"/>
        <v>53829.866583371542</v>
      </c>
      <c r="N226" s="911"/>
      <c r="O226" s="945">
        <f>'1.3.1 CoalLR'!I226*1000</f>
        <v>14630.4</v>
      </c>
      <c r="P226" s="910"/>
      <c r="Q226" s="912"/>
      <c r="R226" s="910"/>
      <c r="S226" s="910"/>
      <c r="T226" s="910"/>
      <c r="U226" s="1042">
        <v>615.42655600000001</v>
      </c>
      <c r="V226" s="945">
        <f>'1.8.3 RenPTLR'!H226</f>
        <v>959.67572816474831</v>
      </c>
      <c r="W226" s="910"/>
      <c r="X226" s="910"/>
      <c r="Y226" s="910"/>
      <c r="Z226" s="910"/>
      <c r="AA226" s="945">
        <f>'1.8.3 RenPTLR'!C226</f>
        <v>118.01781787878718</v>
      </c>
      <c r="AB226" s="910"/>
      <c r="AC226" s="910"/>
      <c r="AD226" s="950">
        <f t="shared" si="16"/>
        <v>16323.520102043534</v>
      </c>
      <c r="AF226" s="911"/>
      <c r="AG226" s="916">
        <f>+'1.3.1 CoalLR'!J226*Units!$C$20*1000</f>
        <v>26017.118399999996</v>
      </c>
      <c r="AH226" s="842">
        <f>'1.4.1 MSFLR'!F126</f>
        <v>1164.9929492691317</v>
      </c>
      <c r="AI226" s="842">
        <v>1460.9571788413095</v>
      </c>
      <c r="AJ226" s="912"/>
      <c r="AK226" s="945">
        <v>24.610377361453903</v>
      </c>
      <c r="AL226" s="910"/>
      <c r="AM226" s="945">
        <f>'1.8.2 RenHLR'!H226</f>
        <v>1066.1713427369448</v>
      </c>
      <c r="AN226" s="910"/>
      <c r="AO226" s="1082">
        <f t="shared" si="21"/>
        <v>29733.850248208833</v>
      </c>
      <c r="AQ226" s="911"/>
      <c r="AR226" s="916">
        <f>+'1.3.1 CoalLR'!L226*1000*Units!$C$20</f>
        <v>8841.6383999999998</v>
      </c>
      <c r="AS226" s="910"/>
      <c r="AT226" s="910"/>
      <c r="AU226" s="912"/>
      <c r="AV226" s="945">
        <v>32.985499250144201</v>
      </c>
      <c r="AW226" s="910"/>
      <c r="AX226" s="910"/>
      <c r="AY226" s="910"/>
      <c r="AZ226" s="912"/>
      <c r="BB226" s="913"/>
      <c r="BC226" s="916">
        <f t="shared" si="17"/>
        <v>84258.3024</v>
      </c>
      <c r="BD226" s="944">
        <f t="shared" si="22"/>
        <v>17487.032949269131</v>
      </c>
      <c r="BE226" s="914"/>
      <c r="BF226" s="910"/>
      <c r="BG226" s="916">
        <f>('1.6.1 GasLR'!O106)*Units!C$19</f>
        <v>0</v>
      </c>
      <c r="BH226" s="914"/>
      <c r="BI226" s="916">
        <f t="shared" si="24"/>
        <v>202.80687661159811</v>
      </c>
      <c r="BJ226" s="910"/>
      <c r="BK226" s="842">
        <f t="shared" si="18"/>
        <v>118.01781787878718</v>
      </c>
      <c r="BL226" s="1085">
        <f t="shared" si="19"/>
        <v>3919.687752221982</v>
      </c>
      <c r="BM226" s="920">
        <f>'1.5.1 OilLR'!AF56</f>
        <v>1701.8785742500004</v>
      </c>
      <c r="BN226" s="921">
        <f t="shared" si="23"/>
        <v>107687.72637023151</v>
      </c>
    </row>
    <row r="227" spans="1:66" ht="10.5" customHeight="1" x14ac:dyDescent="0.35">
      <c r="A227" s="841">
        <v>1917</v>
      </c>
      <c r="B227" s="916">
        <f>+'1.3.1 CoalLR'!K227*1000*Units!$C$20</f>
        <v>36119.287680000001</v>
      </c>
      <c r="C227" s="842">
        <f>+'1.4.1 MSFLR'!B127</f>
        <v>17274.031999999999</v>
      </c>
      <c r="D227" s="910"/>
      <c r="E227" s="932">
        <f>+[1]R!$BJ677*1000</f>
        <v>676.03176134311559</v>
      </c>
      <c r="F227" s="910"/>
      <c r="G227" s="945">
        <v>177.71899999999999</v>
      </c>
      <c r="H227" s="1074">
        <f>'1.8.3 RenPTLR'!B227</f>
        <v>0.41711998713217774</v>
      </c>
      <c r="I227" s="945">
        <f>'1.8.3 RenPTLR'!E227</f>
        <v>19.203794413779715</v>
      </c>
      <c r="J227" s="910"/>
      <c r="K227" s="842">
        <f>'1.8.2 RenHLR'!I227+'1.8.3 RenPTLR'!G227</f>
        <v>1841.5751064781462</v>
      </c>
      <c r="L227" s="945"/>
      <c r="M227" s="952">
        <f t="shared" si="20"/>
        <v>56108.266462222171</v>
      </c>
      <c r="N227" s="911"/>
      <c r="O227" s="945">
        <f>'1.3.1 CoalLR'!I227*1000</f>
        <v>13817.6</v>
      </c>
      <c r="P227" s="910"/>
      <c r="Q227" s="912"/>
      <c r="R227" s="910"/>
      <c r="S227" s="910"/>
      <c r="T227" s="910"/>
      <c r="U227" s="1042">
        <v>531.00752999999997</v>
      </c>
      <c r="V227" s="945">
        <f>'1.8.3 RenPTLR'!H227</f>
        <v>930.37752828588714</v>
      </c>
      <c r="W227" s="910"/>
      <c r="X227" s="910"/>
      <c r="Y227" s="910"/>
      <c r="Z227" s="910"/>
      <c r="AA227" s="945">
        <f>'1.8.3 RenPTLR'!C227</f>
        <v>60.368149910896037</v>
      </c>
      <c r="AB227" s="910"/>
      <c r="AC227" s="910"/>
      <c r="AD227" s="950">
        <f t="shared" si="16"/>
        <v>15339.353208196784</v>
      </c>
      <c r="AF227" s="911"/>
      <c r="AG227" s="916">
        <f>+'1.3.1 CoalLR'!J227*Units!$C$20*1000</f>
        <v>24655.028160000002</v>
      </c>
      <c r="AH227" s="842">
        <f>'1.4.1 MSFLR'!F127</f>
        <v>1097.0169485048248</v>
      </c>
      <c r="AI227" s="842">
        <v>1460.9571788413095</v>
      </c>
      <c r="AJ227" s="912"/>
      <c r="AK227" s="945">
        <v>24.842133837943393</v>
      </c>
      <c r="AL227" s="910"/>
      <c r="AM227" s="945">
        <f>'1.8.2 RenHLR'!H227</f>
        <v>1060.9503106156985</v>
      </c>
      <c r="AN227" s="910"/>
      <c r="AO227" s="1082">
        <f t="shared" si="21"/>
        <v>28298.794731799779</v>
      </c>
      <c r="AQ227" s="911"/>
      <c r="AR227" s="916">
        <f>+'1.3.1 CoalLR'!L227*1000*Units!$C$20</f>
        <v>9259.8240000000005</v>
      </c>
      <c r="AS227" s="910"/>
      <c r="AT227" s="910"/>
      <c r="AU227" s="912"/>
      <c r="AV227" s="945">
        <v>33.29612443760815</v>
      </c>
      <c r="AW227" s="910"/>
      <c r="AX227" s="910"/>
      <c r="AY227" s="910"/>
      <c r="AZ227" s="912"/>
      <c r="BB227" s="913"/>
      <c r="BC227" s="916">
        <f t="shared" si="17"/>
        <v>83851.739839999995</v>
      </c>
      <c r="BD227" s="944">
        <f t="shared" si="22"/>
        <v>18371.048948504824</v>
      </c>
      <c r="BE227" s="914"/>
      <c r="BF227" s="910"/>
      <c r="BG227" s="916">
        <f>('1.6.1 GasLR'!O107)*Units!C$19</f>
        <v>0</v>
      </c>
      <c r="BH227" s="914"/>
      <c r="BI227" s="916">
        <f t="shared" si="24"/>
        <v>235.85725827555152</v>
      </c>
      <c r="BJ227" s="910"/>
      <c r="BK227" s="842">
        <f t="shared" si="18"/>
        <v>60.368149910896037</v>
      </c>
      <c r="BL227" s="1085">
        <f t="shared" si="19"/>
        <v>3832.9029453797316</v>
      </c>
      <c r="BM227" s="920">
        <f>'1.5.1 OilLR'!AF57</f>
        <v>3251.3501120000001</v>
      </c>
      <c r="BN227" s="921">
        <f t="shared" si="23"/>
        <v>109603.26725407099</v>
      </c>
    </row>
    <row r="228" spans="1:66" ht="10.5" customHeight="1" x14ac:dyDescent="0.35">
      <c r="A228" s="841">
        <v>1918</v>
      </c>
      <c r="B228" s="916">
        <f>+'1.3.1 CoalLR'!K228*1000*Units!$C$20</f>
        <v>35282.91648</v>
      </c>
      <c r="C228" s="842">
        <f>+'1.4.1 MSFLR'!B128</f>
        <v>17781.016000000003</v>
      </c>
      <c r="D228" s="910"/>
      <c r="E228" s="932">
        <f>+[1]R!$BJ678*1000</f>
        <v>672.88126931291765</v>
      </c>
      <c r="F228" s="910"/>
      <c r="G228" s="945">
        <v>211.62880000000001</v>
      </c>
      <c r="H228" s="1074">
        <f>'1.8.3 RenPTLR'!B228</f>
        <v>0.41294878726085582</v>
      </c>
      <c r="I228" s="945">
        <f>'1.8.3 RenPTLR'!E228</f>
        <v>18.387596039164563</v>
      </c>
      <c r="J228" s="910"/>
      <c r="K228" s="842">
        <f>'1.8.2 RenHLR'!I228+'1.8.3 RenPTLR'!G228</f>
        <v>1789.596481237026</v>
      </c>
      <c r="L228" s="945"/>
      <c r="M228" s="952">
        <f t="shared" si="20"/>
        <v>55756.839575376376</v>
      </c>
      <c r="N228" s="911"/>
      <c r="O228" s="945">
        <f>'1.3.1 CoalLR'!I228*1000</f>
        <v>13512.800000000001</v>
      </c>
      <c r="P228" s="910"/>
      <c r="Q228" s="912"/>
      <c r="R228" s="910"/>
      <c r="S228" s="910"/>
      <c r="T228" s="910"/>
      <c r="U228" s="1042">
        <v>735.71251500000005</v>
      </c>
      <c r="V228" s="945">
        <f>'1.8.3 RenPTLR'!H228</f>
        <v>901.07932840702574</v>
      </c>
      <c r="W228" s="910"/>
      <c r="X228" s="910"/>
      <c r="Y228" s="910"/>
      <c r="Z228" s="910"/>
      <c r="AA228" s="945">
        <f>'1.8.3 RenPTLR'!C228</f>
        <v>53.265411667970469</v>
      </c>
      <c r="AB228" s="910"/>
      <c r="AC228" s="910"/>
      <c r="AD228" s="950">
        <f t="shared" si="16"/>
        <v>15202.857255074996</v>
      </c>
      <c r="AF228" s="911"/>
      <c r="AG228" s="916">
        <f>+'1.3.1 CoalLR'!J228*Units!$C$20*1000</f>
        <v>20718.109439999997</v>
      </c>
      <c r="AH228" s="842">
        <f>'1.4.1 MSFLR'!F128</f>
        <v>886.58060571319402</v>
      </c>
      <c r="AI228" s="842">
        <v>1460.9571788413095</v>
      </c>
      <c r="AJ228" s="912"/>
      <c r="AK228" s="945">
        <v>25.073890314432887</v>
      </c>
      <c r="AL228" s="910"/>
      <c r="AM228" s="945">
        <f>'1.8.2 RenHLR'!H228</f>
        <v>980.73851511602095</v>
      </c>
      <c r="AN228" s="910"/>
      <c r="AO228" s="1082">
        <f t="shared" si="21"/>
        <v>24071.459629984955</v>
      </c>
      <c r="AQ228" s="911"/>
      <c r="AR228" s="916">
        <f>+'1.3.1 CoalLR'!L228*1000*Units!$C$20</f>
        <v>9379.3056000000015</v>
      </c>
      <c r="AS228" s="910"/>
      <c r="AT228" s="842"/>
      <c r="AU228" s="912"/>
      <c r="AV228" s="945">
        <v>33.606749625072098</v>
      </c>
      <c r="AW228" s="910"/>
      <c r="AX228" s="910"/>
      <c r="AY228" s="910"/>
      <c r="AZ228" s="912"/>
      <c r="BB228" s="913"/>
      <c r="BC228" s="916">
        <f t="shared" si="17"/>
        <v>78893.13152000001</v>
      </c>
      <c r="BD228" s="944">
        <f t="shared" si="22"/>
        <v>18667.596605713195</v>
      </c>
      <c r="BE228" s="914"/>
      <c r="BF228" s="910"/>
      <c r="BG228" s="916">
        <f>('1.6.1 GasLR'!O108)*Units!C$19</f>
        <v>0</v>
      </c>
      <c r="BH228" s="914"/>
      <c r="BI228" s="916">
        <f t="shared" si="24"/>
        <v>270.30943993950501</v>
      </c>
      <c r="BJ228" s="910"/>
      <c r="BK228" s="842">
        <f t="shared" si="18"/>
        <v>53.265411667970469</v>
      </c>
      <c r="BL228" s="1085">
        <f t="shared" si="19"/>
        <v>3671.4143247600728</v>
      </c>
      <c r="BM228" s="920">
        <f>'1.5.1 OilLR'!AF58</f>
        <v>5237.7218210499996</v>
      </c>
      <c r="BN228" s="921">
        <f t="shared" si="23"/>
        <v>106793.43912313077</v>
      </c>
    </row>
    <row r="229" spans="1:66" ht="10.5" customHeight="1" x14ac:dyDescent="0.35">
      <c r="A229" s="841">
        <v>1919</v>
      </c>
      <c r="B229" s="916">
        <f>+'1.3.1 CoalLR'!K229*1000*Units!$C$20</f>
        <v>32570.684159999997</v>
      </c>
      <c r="C229" s="842">
        <f>+'1.4.1 MSFLR'!B129</f>
        <v>15210.536000000002</v>
      </c>
      <c r="D229" s="910"/>
      <c r="E229" s="932">
        <f>+[1]R!$BJ679*1000</f>
        <v>712.08593141443282</v>
      </c>
      <c r="F229" s="910"/>
      <c r="G229" s="945">
        <v>210.03780000000003</v>
      </c>
      <c r="H229" s="1074">
        <f>'1.8.3 RenPTLR'!B229</f>
        <v>0.40881929938824735</v>
      </c>
      <c r="I229" s="945">
        <f>'1.8.3 RenPTLR'!E229</f>
        <v>17.571397664549419</v>
      </c>
      <c r="J229" s="910"/>
      <c r="K229" s="842">
        <f>'1.8.2 RenHLR'!I229+'1.8.3 RenPTLR'!G229</f>
        <v>1738.9121821999947</v>
      </c>
      <c r="L229" s="945"/>
      <c r="M229" s="952">
        <f t="shared" si="20"/>
        <v>50460.236290578359</v>
      </c>
      <c r="N229" s="911"/>
      <c r="O229" s="945">
        <f>'1.3.1 CoalLR'!I229*1000</f>
        <v>13716.000000000002</v>
      </c>
      <c r="P229" s="910"/>
      <c r="Q229" s="912"/>
      <c r="R229" s="910"/>
      <c r="S229" s="910"/>
      <c r="T229" s="910"/>
      <c r="U229" s="1042">
        <v>757.85721100000001</v>
      </c>
      <c r="V229" s="945">
        <f>'1.8.3 RenPTLR'!H229</f>
        <v>871.78112852816412</v>
      </c>
      <c r="W229" s="910"/>
      <c r="X229" s="910"/>
      <c r="Y229" s="910"/>
      <c r="Z229" s="910"/>
      <c r="AA229" s="945">
        <f>'1.8.3 RenPTLR'!C229</f>
        <v>73.404990314372839</v>
      </c>
      <c r="AB229" s="910"/>
      <c r="AC229" s="910"/>
      <c r="AD229" s="950">
        <f t="shared" si="16"/>
        <v>15419.04332984254</v>
      </c>
      <c r="AF229" s="911"/>
      <c r="AG229" s="916">
        <f>+'1.3.1 CoalLR'!J229*Units!$C$20*1000</f>
        <v>22098.121919999998</v>
      </c>
      <c r="AH229" s="842">
        <f>'1.4.1 MSFLR'!F129</f>
        <v>865.60928632846105</v>
      </c>
      <c r="AI229" s="842">
        <v>1553.337884130982</v>
      </c>
      <c r="AJ229" s="912"/>
      <c r="AK229" s="945">
        <v>25.305646790922378</v>
      </c>
      <c r="AL229" s="910"/>
      <c r="AM229" s="945">
        <f>'1.8.2 RenHLR'!H229</f>
        <v>959.82802805661868</v>
      </c>
      <c r="AN229" s="910"/>
      <c r="AO229" s="1082">
        <f t="shared" si="21"/>
        <v>25502.202765306982</v>
      </c>
      <c r="AQ229" s="911"/>
      <c r="AR229" s="916">
        <f>+'1.3.1 CoalLR'!L229*1000*Units!$C$20</f>
        <v>5974.08</v>
      </c>
      <c r="AS229" s="910"/>
      <c r="AT229" s="842"/>
      <c r="AU229" s="912"/>
      <c r="AV229" s="945">
        <v>33.917374812536046</v>
      </c>
      <c r="AW229" s="910"/>
      <c r="AX229" s="910"/>
      <c r="AY229" s="910"/>
      <c r="AZ229" s="912"/>
      <c r="BB229" s="913"/>
      <c r="BC229" s="916">
        <f t="shared" si="17"/>
        <v>74358.886079999997</v>
      </c>
      <c r="BD229" s="944">
        <f t="shared" si="22"/>
        <v>16076.145286328463</v>
      </c>
      <c r="BE229" s="914"/>
      <c r="BF229" s="910"/>
      <c r="BG229" s="916">
        <f>('1.6.1 GasLR'!O109)*Units!C$19</f>
        <v>0</v>
      </c>
      <c r="BH229" s="914"/>
      <c r="BI229" s="916">
        <f t="shared" si="24"/>
        <v>269.26082160345845</v>
      </c>
      <c r="BJ229" s="910"/>
      <c r="BK229" s="842">
        <f t="shared" si="18"/>
        <v>73.404990314372839</v>
      </c>
      <c r="BL229" s="1085">
        <f t="shared" si="19"/>
        <v>3570.5213387847775</v>
      </c>
      <c r="BM229" s="920">
        <f>'1.5.1 OilLR'!AF59</f>
        <v>2638.6738252699997</v>
      </c>
      <c r="BN229" s="921">
        <f t="shared" si="23"/>
        <v>96986.892342301071</v>
      </c>
    </row>
    <row r="230" spans="1:66" ht="10.5" customHeight="1" x14ac:dyDescent="0.35">
      <c r="A230" s="841">
        <v>1920</v>
      </c>
      <c r="B230" s="916">
        <f>+'1.3.1 CoalLR'!K230*1000*Units!$C$20</f>
        <v>31555.090560000004</v>
      </c>
      <c r="C230" s="842">
        <f>+'1.4.1 MSFLR'!B130</f>
        <v>16438.879999999997</v>
      </c>
      <c r="D230" s="910"/>
      <c r="E230" s="932">
        <f>+[1]R!$BJ680*1000</f>
        <v>792.50879941492053</v>
      </c>
      <c r="F230" s="910"/>
      <c r="G230" s="945">
        <v>218.86999999999998</v>
      </c>
      <c r="H230" s="1074">
        <f>'1.8.3 RenPTLR'!B230</f>
        <v>0.40473110639436488</v>
      </c>
      <c r="I230" s="945">
        <f>'1.8.3 RenPTLR'!E230</f>
        <v>16.755199289934264</v>
      </c>
      <c r="J230" s="910"/>
      <c r="K230" s="842">
        <f>'1.8.2 RenHLR'!I230+'1.8.3 RenPTLR'!G230</f>
        <v>1688.4899220821615</v>
      </c>
      <c r="L230" s="945"/>
      <c r="M230" s="952">
        <f t="shared" si="20"/>
        <v>50710.99921189341</v>
      </c>
      <c r="N230" s="911"/>
      <c r="O230" s="945">
        <f>'1.3.1 CoalLR'!I230*1000</f>
        <v>14732</v>
      </c>
      <c r="P230" s="910"/>
      <c r="Q230" s="912"/>
      <c r="R230" s="910"/>
      <c r="S230" s="910"/>
      <c r="T230" s="910"/>
      <c r="U230" s="1042">
        <v>788.90858800000001</v>
      </c>
      <c r="V230" s="945">
        <f>'1.8.3 RenPTLR'!H230</f>
        <v>842.48292864930306</v>
      </c>
      <c r="W230" s="910"/>
      <c r="X230" s="910"/>
      <c r="Y230" s="910"/>
      <c r="Z230" s="910"/>
      <c r="AA230" s="945">
        <f>'1.8.3 RenPTLR'!C230</f>
        <v>74.138166140591892</v>
      </c>
      <c r="AB230" s="910"/>
      <c r="AC230" s="910"/>
      <c r="AD230" s="950">
        <f t="shared" si="16"/>
        <v>16437.529682789893</v>
      </c>
      <c r="AF230" s="911"/>
      <c r="AG230" s="916">
        <f>+'1.3.1 CoalLR'!J230*Units!$C$20*1000</f>
        <v>24619.183679999998</v>
      </c>
      <c r="AH230" s="842">
        <f>'1.4.1 MSFLR'!F130</f>
        <v>860.547243718353</v>
      </c>
      <c r="AI230" s="842">
        <v>1613.9088749305272</v>
      </c>
      <c r="AJ230" s="912"/>
      <c r="AK230" s="945">
        <v>25.537403267411865</v>
      </c>
      <c r="AL230" s="910"/>
      <c r="AM230" s="945">
        <f>'1.8.2 RenHLR'!H230</f>
        <v>1006.8341229503158</v>
      </c>
      <c r="AN230" s="910"/>
      <c r="AO230" s="1082">
        <f t="shared" si="21"/>
        <v>28126.011324866606</v>
      </c>
      <c r="AQ230" s="911"/>
      <c r="AR230" s="916">
        <f>+'1.3.1 CoalLR'!L230*1000*Units!$C$20</f>
        <v>3620.2924799999996</v>
      </c>
      <c r="AS230" s="910"/>
      <c r="AT230" s="842"/>
      <c r="AU230" s="912"/>
      <c r="AV230" s="945">
        <v>39.559999999999995</v>
      </c>
      <c r="AW230" s="910"/>
      <c r="AX230" s="910"/>
      <c r="AY230" s="910"/>
      <c r="AZ230" s="912"/>
      <c r="BB230" s="913"/>
      <c r="BC230" s="916">
        <f t="shared" si="17"/>
        <v>74526.566720000003</v>
      </c>
      <c r="BD230" s="944">
        <f t="shared" si="22"/>
        <v>17299.42724371835</v>
      </c>
      <c r="BE230" s="914"/>
      <c r="BF230" s="910"/>
      <c r="BG230" s="916">
        <f>('1.6.1 GasLR'!O110)*Units!C$19</f>
        <v>0</v>
      </c>
      <c r="BH230" s="914"/>
      <c r="BI230" s="916">
        <f t="shared" si="24"/>
        <v>283.96740326741184</v>
      </c>
      <c r="BJ230" s="910"/>
      <c r="BK230" s="842">
        <f t="shared" si="18"/>
        <v>74.138166140591892</v>
      </c>
      <c r="BL230" s="1085">
        <f t="shared" si="19"/>
        <v>3537.8069736817802</v>
      </c>
      <c r="BM230" s="920">
        <f>'1.5.1 OilLR'!AF60-'1.7.1 ElecLR'!AF40*1000</f>
        <v>3258.4876347000004</v>
      </c>
      <c r="BN230" s="921">
        <f t="shared" si="23"/>
        <v>98980.394141508135</v>
      </c>
    </row>
    <row r="231" spans="1:66" ht="10.5" customHeight="1" x14ac:dyDescent="0.35">
      <c r="A231" s="841">
        <v>1921</v>
      </c>
      <c r="B231" s="916">
        <f>+'1.3.1 CoalLR'!K231*1000*Units!$C$20</f>
        <v>21620.195519999994</v>
      </c>
      <c r="C231" s="842">
        <f>+'1.4.1 MSFLR'!B131</f>
        <v>7945.119999999999</v>
      </c>
      <c r="D231" s="910"/>
      <c r="E231" s="932">
        <f>+[1]R!$BJ681*1000</f>
        <v>746.21416977229728</v>
      </c>
      <c r="F231" s="910"/>
      <c r="G231" s="945">
        <v>178.96599999999998</v>
      </c>
      <c r="H231" s="1074">
        <f>'1.8.3 RenPTLR'!B231</f>
        <v>0.40068379533042126</v>
      </c>
      <c r="I231" s="945">
        <f>'1.8.3 RenPTLR'!E231</f>
        <v>15.93900091531912</v>
      </c>
      <c r="J231" s="910"/>
      <c r="K231" s="842">
        <f>'1.8.2 RenHLR'!I231+'1.8.3 RenPTLR'!G231</f>
        <v>1637.1332166825471</v>
      </c>
      <c r="L231" s="945">
        <v>469.55193713342072</v>
      </c>
      <c r="M231" s="952">
        <f t="shared" si="20"/>
        <v>32613.520528298908</v>
      </c>
      <c r="N231" s="911"/>
      <c r="O231" s="945">
        <f>'1.3.1 CoalLR'!I231*1000</f>
        <v>11684.000000000002</v>
      </c>
      <c r="P231" s="910"/>
      <c r="Q231" s="912"/>
      <c r="R231" s="910"/>
      <c r="S231" s="910"/>
      <c r="T231" s="910"/>
      <c r="U231" s="1042">
        <v>957.38442499999996</v>
      </c>
      <c r="V231" s="945">
        <f>'1.8.3 RenPTLR'!H231</f>
        <v>813.18472877044167</v>
      </c>
      <c r="W231" s="910"/>
      <c r="X231" s="910"/>
      <c r="Y231" s="910"/>
      <c r="Z231" s="910"/>
      <c r="AA231" s="945">
        <f>'1.8.3 RenPTLR'!C231</f>
        <v>35.555015352404666</v>
      </c>
      <c r="AB231" s="910"/>
      <c r="AC231" s="910"/>
      <c r="AD231" s="950">
        <f t="shared" si="16"/>
        <v>13490.12416912285</v>
      </c>
      <c r="AF231" s="911"/>
      <c r="AG231" s="916">
        <f>+'1.3.1 CoalLR'!J231*Units!$C$20*1000</f>
        <v>19839.919679999999</v>
      </c>
      <c r="AH231" s="842">
        <f>'1.4.1 MSFLR'!F131</f>
        <v>809.92681761727351</v>
      </c>
      <c r="AI231" s="842">
        <f>+('1.6.1 GasLR'!E111+'1.6.1 GasLR'!D111)*Units!C$19</f>
        <v>1602.9001101859917</v>
      </c>
      <c r="AJ231" s="912"/>
      <c r="AK231" s="945">
        <v>27.171109200343938</v>
      </c>
      <c r="AL231" s="910"/>
      <c r="AM231" s="945">
        <f>'1.8.2 RenHLR'!H231</f>
        <v>691.1225288349757</v>
      </c>
      <c r="AN231" s="910"/>
      <c r="AO231" s="1082">
        <f t="shared" si="21"/>
        <v>22971.04024583858</v>
      </c>
      <c r="AQ231" s="911"/>
      <c r="AR231" s="916">
        <f>+'1.3.1 CoalLR'!L231*1000*Units!$C$20</f>
        <v>2915.35104</v>
      </c>
      <c r="AS231" s="910"/>
      <c r="AT231" s="842">
        <f>('1.6.1 GasLR'!C111+'1.6.1 GasLR'!L111)*Units!C$19</f>
        <v>1151.1363249245883</v>
      </c>
      <c r="AU231" s="912"/>
      <c r="AV231" s="945">
        <v>46.697999999999993</v>
      </c>
      <c r="AW231" s="910"/>
      <c r="AX231" s="910"/>
      <c r="AY231" s="910"/>
      <c r="AZ231" s="912"/>
      <c r="BB231" s="913"/>
      <c r="BC231" s="916">
        <f t="shared" si="17"/>
        <v>56059.466239999994</v>
      </c>
      <c r="BD231" s="944">
        <f t="shared" si="22"/>
        <v>8755.0468176172726</v>
      </c>
      <c r="BE231" s="914"/>
      <c r="BF231" s="910"/>
      <c r="BG231" s="916">
        <f>('1.6.1 GasLR'!O111)*Units!C$19</f>
        <v>2754.03643511058</v>
      </c>
      <c r="BH231" s="914"/>
      <c r="BI231" s="916">
        <f t="shared" si="24"/>
        <v>252.83510920034394</v>
      </c>
      <c r="BJ231" s="910"/>
      <c r="BK231" s="842">
        <f t="shared" si="18"/>
        <v>35.555015352404666</v>
      </c>
      <c r="BL231" s="1085">
        <f t="shared" si="19"/>
        <v>3141.4404742879642</v>
      </c>
      <c r="BM231" s="920">
        <f>'1.5.1 OilLR'!AF61-'1.7.1 ElecLR'!AF41*1000</f>
        <v>4353.9121753299996</v>
      </c>
      <c r="BN231" s="921">
        <f t="shared" si="23"/>
        <v>75352.29226689857</v>
      </c>
    </row>
    <row r="232" spans="1:66" ht="10.5" customHeight="1" x14ac:dyDescent="0.35">
      <c r="A232" s="841">
        <v>1922</v>
      </c>
      <c r="B232" s="916">
        <f>+'1.3.1 CoalLR'!K232*1000*Units!$C$20</f>
        <v>27211.934399999995</v>
      </c>
      <c r="C232" s="842">
        <f>+'1.4.1 MSFLR'!B132</f>
        <v>10607.04</v>
      </c>
      <c r="D232" s="910"/>
      <c r="E232" s="932">
        <f>+[1]R!$BJ682*1000</f>
        <v>769.41098320118442</v>
      </c>
      <c r="F232" s="910"/>
      <c r="G232" s="945">
        <v>211.21599999999998</v>
      </c>
      <c r="H232" s="1074">
        <f>'1.8.3 RenPTLR'!B232</f>
        <v>0.39667695737711706</v>
      </c>
      <c r="I232" s="945">
        <f>'1.8.3 RenPTLR'!E232</f>
        <v>15.122802540703967</v>
      </c>
      <c r="J232" s="910"/>
      <c r="K232" s="842">
        <f>'1.8.2 RenHLR'!I232+'1.8.3 RenPTLR'!G232</f>
        <v>1583.2025749211518</v>
      </c>
      <c r="L232" s="945">
        <v>520.64643166997757</v>
      </c>
      <c r="M232" s="952">
        <f t="shared" si="20"/>
        <v>40918.969869290384</v>
      </c>
      <c r="N232" s="911"/>
      <c r="O232" s="945">
        <f>'1.3.1 CoalLR'!I232*1000</f>
        <v>13512.800000000001</v>
      </c>
      <c r="P232" s="910"/>
      <c r="Q232" s="912"/>
      <c r="R232" s="910"/>
      <c r="S232" s="910"/>
      <c r="T232" s="910"/>
      <c r="U232" s="1042">
        <v>1186.5027170000001</v>
      </c>
      <c r="V232" s="945">
        <f>'1.8.3 RenPTLR'!H232</f>
        <v>783.88652889158038</v>
      </c>
      <c r="W232" s="910"/>
      <c r="X232" s="910"/>
      <c r="Y232" s="910"/>
      <c r="Z232" s="910"/>
      <c r="AA232" s="945">
        <f>'1.8.3 RenPTLR'!C232</f>
        <v>24.980332808468006</v>
      </c>
      <c r="AB232" s="910"/>
      <c r="AC232" s="910"/>
      <c r="AD232" s="950">
        <f t="shared" si="16"/>
        <v>15508.169578700048</v>
      </c>
      <c r="AF232" s="911"/>
      <c r="AG232" s="916">
        <f>+'1.3.1 CoalLR'!J232*Units!$C$20*1000</f>
        <v>23328.782399999996</v>
      </c>
      <c r="AH232" s="842">
        <f>'1.4.1 MSFLR'!F132</f>
        <v>853.31575427534165</v>
      </c>
      <c r="AI232" s="842">
        <f>+('1.6.1 GasLR'!E112+'1.6.1 GasLR'!D112)*Units!C$19</f>
        <v>1597.9328974157409</v>
      </c>
      <c r="AJ232" s="912"/>
      <c r="AK232" s="945">
        <v>31.814273430782457</v>
      </c>
      <c r="AL232" s="910"/>
      <c r="AM232" s="945">
        <f>'1.8.2 RenHLR'!H232</f>
        <v>889.56473691604867</v>
      </c>
      <c r="AN232" s="910"/>
      <c r="AO232" s="1082">
        <f t="shared" si="21"/>
        <v>26701.41006203791</v>
      </c>
      <c r="AQ232" s="911"/>
      <c r="AR232" s="916">
        <f>+'1.3.1 CoalLR'!L232*1000*Units!$C$20</f>
        <v>3488.8627199999996</v>
      </c>
      <c r="AS232" s="910"/>
      <c r="AT232" s="842">
        <f>('1.6.1 GasLR'!C112+'1.6.1 GasLR'!L112)*Units!C$19</f>
        <v>1198.4942293408787</v>
      </c>
      <c r="AU232" s="912"/>
      <c r="AV232" s="945">
        <v>53.835999999999999</v>
      </c>
      <c r="AW232" s="910"/>
      <c r="AX232" s="910"/>
      <c r="AY232" s="910"/>
      <c r="AZ232" s="912"/>
      <c r="BB232" s="913"/>
      <c r="BC232" s="916">
        <f t="shared" si="17"/>
        <v>67542.379519999988</v>
      </c>
      <c r="BD232" s="944">
        <f t="shared" si="22"/>
        <v>11460.355754275342</v>
      </c>
      <c r="BE232" s="914"/>
      <c r="BF232" s="910"/>
      <c r="BG232" s="916">
        <f>('1.6.1 GasLR'!O112)*Units!C$19</f>
        <v>2796.4271267566196</v>
      </c>
      <c r="BH232" s="914"/>
      <c r="BI232" s="916">
        <f t="shared" si="24"/>
        <v>296.86627343078243</v>
      </c>
      <c r="BJ232" s="910"/>
      <c r="BK232" s="842">
        <f t="shared" si="18"/>
        <v>24.980332808468006</v>
      </c>
      <c r="BL232" s="1085">
        <f t="shared" si="19"/>
        <v>3256.6538407287808</v>
      </c>
      <c r="BM232" s="920">
        <f>'1.5.1 OilLR'!AF62-'1.7.1 ElecLR'!AF42*1000</f>
        <v>3746.2371809159999</v>
      </c>
      <c r="BN232" s="921">
        <f t="shared" si="23"/>
        <v>89123.900028915974</v>
      </c>
    </row>
    <row r="233" spans="1:66" ht="10.5" customHeight="1" x14ac:dyDescent="0.35">
      <c r="A233" s="841">
        <v>1923</v>
      </c>
      <c r="B233" s="916">
        <f>+'1.3.1 CoalLR'!K233*1000*Units!$C$20</f>
        <v>29768.840639999999</v>
      </c>
      <c r="C233" s="842">
        <f>+'1.4.1 MSFLR'!B133</f>
        <v>13197.840000000002</v>
      </c>
      <c r="D233" s="910"/>
      <c r="E233" s="932">
        <f>+[1]R!$BJ683*1000</f>
        <v>790.89711717366424</v>
      </c>
      <c r="F233" s="910"/>
      <c r="G233" s="945">
        <v>257.05399999999997</v>
      </c>
      <c r="H233" s="1074">
        <f>'1.8.3 RenPTLR'!B233</f>
        <v>0.39271018780334582</v>
      </c>
      <c r="I233" s="945">
        <f>'1.8.3 RenPTLR'!E233</f>
        <v>14.306604166088819</v>
      </c>
      <c r="J233" s="910"/>
      <c r="K233" s="842">
        <f>'1.8.2 RenHLR'!I233+'1.8.3 RenPTLR'!G233</f>
        <v>1531.5478732992783</v>
      </c>
      <c r="L233" s="945">
        <v>597.6115563516264</v>
      </c>
      <c r="M233" s="952">
        <f t="shared" si="20"/>
        <v>46158.49050117845</v>
      </c>
      <c r="N233" s="911"/>
      <c r="O233" s="945">
        <f>'1.3.1 CoalLR'!I233*1000</f>
        <v>14224</v>
      </c>
      <c r="P233" s="910"/>
      <c r="Q233" s="912"/>
      <c r="R233" s="910"/>
      <c r="S233" s="910"/>
      <c r="T233" s="910"/>
      <c r="U233" s="1042">
        <v>1247.67515</v>
      </c>
      <c r="V233" s="945">
        <f>'1.8.3 RenPTLR'!H233</f>
        <v>754.58832901271933</v>
      </c>
      <c r="W233" s="910"/>
      <c r="X233" s="910"/>
      <c r="Y233" s="910"/>
      <c r="Z233" s="910"/>
      <c r="AA233" s="945">
        <f>'1.8.3 RenPTLR'!C233</f>
        <v>27.822192932516192</v>
      </c>
      <c r="AB233" s="910"/>
      <c r="AC233" s="910"/>
      <c r="AD233" s="950">
        <f t="shared" si="16"/>
        <v>16254.085671945233</v>
      </c>
      <c r="AF233" s="911"/>
      <c r="AG233" s="916">
        <f>+'1.3.1 CoalLR'!J233*Units!$C$20*1000</f>
        <v>23531.901120000002</v>
      </c>
      <c r="AH233" s="842">
        <f>'1.4.1 MSFLR'!F133</f>
        <v>860.547243718353</v>
      </c>
      <c r="AI233" s="842">
        <f>+('1.6.1 GasLR'!E113+'1.6.1 GasLR'!D113)*Units!C$19</f>
        <v>1666.547131880817</v>
      </c>
      <c r="AJ233" s="912"/>
      <c r="AK233" s="945">
        <v>38.950988822012036</v>
      </c>
      <c r="AL233" s="910"/>
      <c r="AM233" s="945">
        <f>'1.8.2 RenHLR'!H233</f>
        <v>959.72507040352536</v>
      </c>
      <c r="AN233" s="910"/>
      <c r="AO233" s="1082">
        <f t="shared" si="21"/>
        <v>27057.671554824708</v>
      </c>
      <c r="AQ233" s="911"/>
      <c r="AR233" s="916">
        <f>+'1.3.1 CoalLR'!L233*1000*Units!$C$20</f>
        <v>3560.55168</v>
      </c>
      <c r="AS233" s="910"/>
      <c r="AT233" s="842">
        <f>('1.6.1 GasLR'!C113+'1.6.1 GasLR'!L113)*Units!C$19</f>
        <v>1238.3693883567626</v>
      </c>
      <c r="AU233" s="912"/>
      <c r="AV233" s="945">
        <v>60.113999999999997</v>
      </c>
      <c r="AW233" s="910"/>
      <c r="AX233" s="910"/>
      <c r="AY233" s="910"/>
      <c r="AZ233" s="912"/>
      <c r="BB233" s="913"/>
      <c r="BC233" s="916">
        <f t="shared" si="17"/>
        <v>71085.293440000009</v>
      </c>
      <c r="BD233" s="944">
        <f t="shared" si="22"/>
        <v>14058.387243718355</v>
      </c>
      <c r="BE233" s="914"/>
      <c r="BF233" s="910"/>
      <c r="BG233" s="916">
        <f>('1.6.1 GasLR'!O113)*Units!C$19</f>
        <v>2904.9165202375798</v>
      </c>
      <c r="BH233" s="914"/>
      <c r="BI233" s="916">
        <f t="shared" si="24"/>
        <v>356.118988822012</v>
      </c>
      <c r="BJ233" s="910"/>
      <c r="BK233" s="842">
        <f t="shared" si="18"/>
        <v>27.822192932516192</v>
      </c>
      <c r="BL233" s="1085">
        <f t="shared" si="19"/>
        <v>3245.8612727155232</v>
      </c>
      <c r="BM233" s="920">
        <f>'1.5.1 OilLR'!AF63-'1.7.1 ElecLR'!AF43*1000</f>
        <v>3692.4001316619997</v>
      </c>
      <c r="BN233" s="921">
        <f t="shared" si="23"/>
        <v>95370.799790088</v>
      </c>
    </row>
    <row r="234" spans="1:66" ht="10.5" customHeight="1" x14ac:dyDescent="0.35">
      <c r="A234" s="841">
        <v>1924</v>
      </c>
      <c r="B234" s="916">
        <f>+'1.3.1 CoalLR'!K234*1000*Units!$C$20</f>
        <v>30067.544639999996</v>
      </c>
      <c r="C234" s="842">
        <f>+'1.4.1 MSFLR'!B134</f>
        <v>13106.4</v>
      </c>
      <c r="D234" s="910"/>
      <c r="E234" s="932">
        <f>+[1]R!$BJ684*1000</f>
        <v>835.59585546232142</v>
      </c>
      <c r="F234" s="910"/>
      <c r="G234" s="945">
        <v>295.41000000000003</v>
      </c>
      <c r="H234" s="1074">
        <f>'1.8.3 RenPTLR'!B234</f>
        <v>0.38878308592531235</v>
      </c>
      <c r="I234" s="945">
        <f>'1.8.3 RenPTLR'!E234</f>
        <v>13.490405791473668</v>
      </c>
      <c r="J234" s="910"/>
      <c r="K234" s="842">
        <f>'1.8.2 RenHLR'!I234+'1.8.3 RenPTLR'!G234</f>
        <v>1479.9662114404878</v>
      </c>
      <c r="L234" s="945">
        <v>608.60657416329059</v>
      </c>
      <c r="M234" s="952">
        <f t="shared" si="20"/>
        <v>46407.402469943496</v>
      </c>
      <c r="N234" s="911"/>
      <c r="O234" s="945">
        <f>'1.3.1 CoalLR'!I234*1000</f>
        <v>14427.199999999999</v>
      </c>
      <c r="P234" s="910"/>
      <c r="Q234" s="912"/>
      <c r="R234" s="910"/>
      <c r="S234" s="910"/>
      <c r="T234" s="910"/>
      <c r="U234" s="1042">
        <v>1610.1839669999999</v>
      </c>
      <c r="V234" s="945">
        <f>'1.8.3 RenPTLR'!H234</f>
        <v>725.29012913385816</v>
      </c>
      <c r="W234" s="910"/>
      <c r="X234" s="910"/>
      <c r="Y234" s="910"/>
      <c r="Z234" s="910"/>
      <c r="AA234" s="945">
        <f>'1.8.3 RenPTLR'!C234</f>
        <v>26.966221062698175</v>
      </c>
      <c r="AB234" s="910"/>
      <c r="AC234" s="910"/>
      <c r="AD234" s="950">
        <f t="shared" si="16"/>
        <v>16789.640317196554</v>
      </c>
      <c r="AF234" s="911"/>
      <c r="AG234" s="916">
        <f>+'1.3.1 CoalLR'!J234*Units!$C$20*1000</f>
        <v>25013.472959999996</v>
      </c>
      <c r="AH234" s="842">
        <f>'1.4.1 MSFLR'!F134</f>
        <v>961.78809592051221</v>
      </c>
      <c r="AI234" s="842">
        <f>+('1.6.1 GasLR'!E114+'1.6.1 GasLR'!D114)*Units!C$19</f>
        <v>1778.5133195330493</v>
      </c>
      <c r="AJ234" s="912"/>
      <c r="AK234" s="945">
        <v>46.689595872742906</v>
      </c>
      <c r="AL234" s="910"/>
      <c r="AM234" s="945">
        <f>'1.8.2 RenHLR'!H234</f>
        <v>994.47495890271898</v>
      </c>
      <c r="AN234" s="910"/>
      <c r="AO234" s="1082">
        <f t="shared" si="21"/>
        <v>28794.938930229018</v>
      </c>
      <c r="AQ234" s="911"/>
      <c r="AR234" s="916">
        <f>+'1.3.1 CoalLR'!L234*1000*Units!$C$20</f>
        <v>3739.7740799999997</v>
      </c>
      <c r="AS234" s="910"/>
      <c r="AT234" s="842">
        <f>('1.6.1 GasLR'!C114+'1.6.1 GasLR'!L114)*Units!C$19</f>
        <v>1309.9238779526306</v>
      </c>
      <c r="AU234" s="912"/>
      <c r="AV234" s="945">
        <v>69.832000000000008</v>
      </c>
      <c r="AW234" s="910"/>
      <c r="AX234" s="910"/>
      <c r="AY234" s="910"/>
      <c r="AZ234" s="912"/>
      <c r="BB234" s="913"/>
      <c r="BC234" s="916">
        <f t="shared" si="17"/>
        <v>73247.991679999992</v>
      </c>
      <c r="BD234" s="944">
        <f t="shared" si="22"/>
        <v>14068.188095920512</v>
      </c>
      <c r="BE234" s="914"/>
      <c r="BF234" s="910"/>
      <c r="BG234" s="916">
        <f>('1.6.1 GasLR'!O114)*Units!C$19</f>
        <v>3088.4371974856795</v>
      </c>
      <c r="BH234" s="914"/>
      <c r="BI234" s="916">
        <f t="shared" si="24"/>
        <v>411.93159587274295</v>
      </c>
      <c r="BJ234" s="910"/>
      <c r="BK234" s="842">
        <f t="shared" si="18"/>
        <v>26.966221062698175</v>
      </c>
      <c r="BL234" s="1085">
        <f t="shared" si="19"/>
        <v>3199.7312994770646</v>
      </c>
      <c r="BM234" s="920">
        <f>'1.5.1 OilLR'!AF64-'1.7.1 ElecLR'!AF44*1000</f>
        <v>4331.495317674</v>
      </c>
      <c r="BN234" s="921">
        <f t="shared" si="23"/>
        <v>98374.741407492678</v>
      </c>
    </row>
    <row r="235" spans="1:66" ht="10.5" customHeight="1" x14ac:dyDescent="0.35">
      <c r="A235" s="841">
        <v>1925</v>
      </c>
      <c r="B235" s="916">
        <f>+'1.3.1 CoalLR'!K235*1000*Units!$C$20</f>
        <v>28424.672639999997</v>
      </c>
      <c r="C235" s="842">
        <f>+'1.4.1 MSFLR'!B135</f>
        <v>11816.08</v>
      </c>
      <c r="D235" s="910"/>
      <c r="E235" s="932">
        <f>+[1]R!$BJ685*1000</f>
        <v>858.28209686883486</v>
      </c>
      <c r="F235" s="910"/>
      <c r="G235" s="945">
        <v>318.97399999999999</v>
      </c>
      <c r="H235" s="1074">
        <f>'1.8.3 RenPTLR'!B235</f>
        <v>0.38489525506605921</v>
      </c>
      <c r="I235" s="945">
        <f>'1.8.3 RenPTLR'!E235</f>
        <v>12.67420741685852</v>
      </c>
      <c r="J235" s="910"/>
      <c r="K235" s="842">
        <f>'1.8.2 RenHLR'!I235+'1.8.3 RenPTLR'!G235</f>
        <v>1229.4973461697391</v>
      </c>
      <c r="L235" s="945">
        <v>618.30806046769999</v>
      </c>
      <c r="M235" s="952">
        <f t="shared" si="20"/>
        <v>43278.873246178198</v>
      </c>
      <c r="N235" s="911"/>
      <c r="O235" s="945">
        <f>'1.3.1 CoalLR'!I235*1000</f>
        <v>14325.6</v>
      </c>
      <c r="P235" s="910"/>
      <c r="Q235" s="912"/>
      <c r="R235" s="910"/>
      <c r="S235" s="910"/>
      <c r="T235" s="910"/>
      <c r="U235" s="1042">
        <v>1765</v>
      </c>
      <c r="V235" s="945">
        <f>'1.8.3 RenPTLR'!H235</f>
        <v>628.4764724409448</v>
      </c>
      <c r="W235" s="910"/>
      <c r="X235" s="910"/>
      <c r="Y235" s="910"/>
      <c r="Z235" s="910"/>
      <c r="AA235" s="945">
        <f>'1.8.3 RenPTLR'!C235</f>
        <v>25.752630117049787</v>
      </c>
      <c r="AB235" s="910"/>
      <c r="AC235" s="910"/>
      <c r="AD235" s="950">
        <f t="shared" si="16"/>
        <v>16744.829102557997</v>
      </c>
      <c r="AF235" s="911"/>
      <c r="AG235" s="916">
        <f>+'1.3.1 CoalLR'!J235*Units!$C$20*1000</f>
        <v>24696.846720000001</v>
      </c>
      <c r="AH235" s="842">
        <f>'1.4.1 MSFLR'!F135</f>
        <v>1063.0289481226714</v>
      </c>
      <c r="AI235" s="842">
        <f>+('1.6.1 GasLR'!E115+'1.6.1 GasLR'!D115)*Units!C$19</f>
        <v>1848.4777067798673</v>
      </c>
      <c r="AJ235" s="912"/>
      <c r="AK235" s="945">
        <v>54.600171969045569</v>
      </c>
      <c r="AL235" s="910"/>
      <c r="AM235" s="945">
        <f>'1.8.2 RenHLR'!H235</f>
        <v>949.27805287188073</v>
      </c>
      <c r="AN235" s="910"/>
      <c r="AO235" s="1082">
        <f t="shared" si="21"/>
        <v>28612.231599743467</v>
      </c>
      <c r="AQ235" s="911"/>
      <c r="AR235" s="916">
        <f>+'1.3.1 CoalLR'!L235*1000*Units!$C$20</f>
        <v>3626.2665600000005</v>
      </c>
      <c r="AS235" s="910"/>
      <c r="AT235" s="842">
        <f>('1.6.1 GasLR'!C115+'1.6.1 GasLR'!L115)*Units!C$19</f>
        <v>1346.5373356979128</v>
      </c>
      <c r="AU235" s="912"/>
      <c r="AV235" s="945">
        <v>79.378</v>
      </c>
      <c r="AW235" s="910"/>
      <c r="AX235" s="910"/>
      <c r="AY235" s="910"/>
      <c r="AZ235" s="912"/>
      <c r="BB235" s="913"/>
      <c r="BC235" s="916">
        <f t="shared" si="17"/>
        <v>71073.385920000001</v>
      </c>
      <c r="BD235" s="944">
        <f t="shared" si="22"/>
        <v>12879.108948122672</v>
      </c>
      <c r="BE235" s="914"/>
      <c r="BF235" s="910"/>
      <c r="BG235" s="916">
        <f>('1.6.1 GasLR'!O115)*Units!C$19</f>
        <v>3195.0150424777794</v>
      </c>
      <c r="BH235" s="914"/>
      <c r="BI235" s="916">
        <f t="shared" si="24"/>
        <v>452.95217196904554</v>
      </c>
      <c r="BJ235" s="910"/>
      <c r="BK235" s="842">
        <f t="shared" si="18"/>
        <v>25.752630117049787</v>
      </c>
      <c r="BL235" s="1085">
        <f t="shared" si="19"/>
        <v>2807.2518714825646</v>
      </c>
      <c r="BM235" s="920">
        <f>'1.5.1 OilLR'!AF65-'1.7.1 ElecLR'!AF45*1000</f>
        <v>3971.7911968260005</v>
      </c>
      <c r="BN235" s="921">
        <f t="shared" si="23"/>
        <v>94405.257780995104</v>
      </c>
    </row>
    <row r="236" spans="1:66" ht="10.5" customHeight="1" x14ac:dyDescent="0.35">
      <c r="A236" s="841">
        <v>1926</v>
      </c>
      <c r="B236" s="916">
        <f>+'1.3.1 CoalLR'!K236*1000*Units!$C$20</f>
        <v>19081.211519999997</v>
      </c>
      <c r="C236" s="842">
        <f>+'1.4.1 MSFLR'!B136</f>
        <v>6685.2800000000007</v>
      </c>
      <c r="D236" s="910"/>
      <c r="E236" s="932">
        <f>+[1]R!$BJ686*1000</f>
        <v>884.84236929047438</v>
      </c>
      <c r="F236" s="910"/>
      <c r="G236" s="945">
        <v>308.91199999999998</v>
      </c>
      <c r="H236" s="1074">
        <f>'1.8.3 RenPTLR'!B236</f>
        <v>0.38104630251539878</v>
      </c>
      <c r="I236" s="945">
        <f>'1.8.3 RenPTLR'!E236</f>
        <v>11.858009042243371</v>
      </c>
      <c r="J236" s="910"/>
      <c r="K236" s="842">
        <f>'1.8.2 RenHLR'!I236+'1.8.3 RenPTLR'!G236</f>
        <v>1029.2460351022723</v>
      </c>
      <c r="L236" s="945">
        <v>1192.6360496887439</v>
      </c>
      <c r="M236" s="952">
        <f t="shared" ref="M236:M267" si="25">SUM(B236:L236)</f>
        <v>29194.367029426245</v>
      </c>
      <c r="N236" s="911"/>
      <c r="O236" s="945">
        <f>'1.3.1 CoalLR'!I236*1000</f>
        <v>12293.6</v>
      </c>
      <c r="P236" s="910"/>
      <c r="Q236" s="912"/>
      <c r="R236" s="910"/>
      <c r="S236" s="910"/>
      <c r="T236" s="910"/>
      <c r="U236" s="1042">
        <v>2070</v>
      </c>
      <c r="V236" s="945">
        <f>'1.8.3 RenPTLR'!H236</f>
        <v>531.66281574803145</v>
      </c>
      <c r="W236" s="910"/>
      <c r="X236" s="910"/>
      <c r="Y236" s="910"/>
      <c r="Z236" s="910"/>
      <c r="AA236" s="945">
        <f>'1.8.3 RenPTLR'!C236</f>
        <v>16.218971815655252</v>
      </c>
      <c r="AB236" s="910"/>
      <c r="AC236" s="910"/>
      <c r="AD236" s="950">
        <f t="shared" si="16"/>
        <v>14911.481787563687</v>
      </c>
      <c r="AF236" s="911"/>
      <c r="AG236" s="916">
        <f>+'1.3.1 CoalLR'!J236*Units!$C$20*1000</f>
        <v>19624.852800000001</v>
      </c>
      <c r="AH236" s="842">
        <f>'1.4.1 MSFLR'!F136</f>
        <v>1120.8808636667625</v>
      </c>
      <c r="AI236" s="842">
        <f>+('1.6.1 GasLR'!E116+'1.6.1 GasLR'!D116)*Units!C$19</f>
        <v>1949.9690213334461</v>
      </c>
      <c r="AJ236" s="912"/>
      <c r="AK236" s="945">
        <v>64.832330180567496</v>
      </c>
      <c r="AL236" s="910"/>
      <c r="AM236" s="945">
        <f>'1.8.2 RenHLR'!H236</f>
        <v>655.23090718618857</v>
      </c>
      <c r="AN236" s="910"/>
      <c r="AO236" s="1082">
        <f t="shared" si="21"/>
        <v>23415.765922366969</v>
      </c>
      <c r="AQ236" s="911"/>
      <c r="AR236" s="916">
        <f>+'1.3.1 CoalLR'!L236*1000*Units!$C$20</f>
        <v>2742.1027199999994</v>
      </c>
      <c r="AS236" s="910"/>
      <c r="AT236" s="842">
        <f>('1.6.1 GasLR'!C116+'1.6.1 GasLR'!L116)*Units!C$19</f>
        <v>1375.0313183868136</v>
      </c>
      <c r="AU236" s="912"/>
      <c r="AV236" s="945">
        <v>89.611999999999995</v>
      </c>
      <c r="AW236" s="910"/>
      <c r="AX236" s="910"/>
      <c r="AY236" s="910"/>
      <c r="AZ236" s="912"/>
      <c r="BB236" s="913"/>
      <c r="BC236" s="916">
        <f t="shared" si="17"/>
        <v>53741.767039999999</v>
      </c>
      <c r="BD236" s="944">
        <f t="shared" si="22"/>
        <v>7806.1608636667634</v>
      </c>
      <c r="BE236" s="914"/>
      <c r="BF236" s="910"/>
      <c r="BG236" s="916">
        <f>('1.6.1 GasLR'!O116)*Units!C$19</f>
        <v>3325.0003397202595</v>
      </c>
      <c r="BH236" s="914"/>
      <c r="BI236" s="916">
        <f t="shared" si="24"/>
        <v>463.35633018056751</v>
      </c>
      <c r="BJ236" s="910"/>
      <c r="BK236" s="842">
        <f t="shared" si="18"/>
        <v>16.218971815655252</v>
      </c>
      <c r="BL236" s="1085">
        <f t="shared" si="19"/>
        <v>2216.1397580364924</v>
      </c>
      <c r="BM236" s="920">
        <f>'1.5.1 OilLR'!AF66-'1.7.1 ElecLR'!AF46*1000</f>
        <v>5392.3221950820007</v>
      </c>
      <c r="BN236" s="921">
        <f t="shared" ref="BN236:BN267" si="26">SUM(BC236:BM236)</f>
        <v>72960.965498501741</v>
      </c>
    </row>
    <row r="237" spans="1:66" ht="10.5" customHeight="1" x14ac:dyDescent="0.35">
      <c r="A237" s="841">
        <v>1927</v>
      </c>
      <c r="B237" s="916">
        <f>+'1.3.1 CoalLR'!K237*1000*Units!$C$20</f>
        <v>28759.221120000002</v>
      </c>
      <c r="C237" s="842">
        <f>+'1.4.1 MSFLR'!B137</f>
        <v>12496.8</v>
      </c>
      <c r="D237" s="910"/>
      <c r="E237" s="932">
        <f>+[1]R!$BJ687*1000</f>
        <v>898.78572276747002</v>
      </c>
      <c r="F237" s="910"/>
      <c r="G237" s="945">
        <v>376.25</v>
      </c>
      <c r="H237" s="1074">
        <f>'1.8.3 RenPTLR'!B237</f>
        <v>0.37723583949024458</v>
      </c>
      <c r="I237" s="945">
        <f>'1.8.3 RenPTLR'!E237</f>
        <v>11.041810667628223</v>
      </c>
      <c r="J237" s="910"/>
      <c r="K237" s="842">
        <f>'1.8.2 RenHLR'!I237+'1.8.3 RenPTLR'!G237</f>
        <v>869.16876739743168</v>
      </c>
      <c r="L237" s="945">
        <v>727.61147283071398</v>
      </c>
      <c r="M237" s="952">
        <f t="shared" si="25"/>
        <v>44139.256129502741</v>
      </c>
      <c r="N237" s="911"/>
      <c r="O237" s="945">
        <f>'1.3.1 CoalLR'!I237*1000</f>
        <v>14528.800000000001</v>
      </c>
      <c r="P237" s="910"/>
      <c r="Q237" s="912"/>
      <c r="R237" s="910"/>
      <c r="S237" s="910"/>
      <c r="T237" s="910"/>
      <c r="U237" s="1042">
        <v>2304</v>
      </c>
      <c r="V237" s="945">
        <f>'1.8.3 RenPTLR'!H237</f>
        <v>434.84915905511792</v>
      </c>
      <c r="W237" s="910"/>
      <c r="X237" s="910"/>
      <c r="Y237" s="910"/>
      <c r="Z237" s="910"/>
      <c r="AA237" s="945">
        <f>'1.8.3 RenPTLR'!C237</f>
        <v>5.8198453734392164</v>
      </c>
      <c r="AB237" s="910"/>
      <c r="AC237" s="910"/>
      <c r="AD237" s="950">
        <f t="shared" si="16"/>
        <v>17273.46900442856</v>
      </c>
      <c r="AF237" s="911"/>
      <c r="AG237" s="916">
        <f>+'1.3.1 CoalLR'!J237*Units!$C$20*1000</f>
        <v>26680.241279999998</v>
      </c>
      <c r="AH237" s="842">
        <f>'1.4.1 MSFLR'!F137</f>
        <v>1236.5846947549444</v>
      </c>
      <c r="AI237" s="842">
        <f>+('1.6.1 GasLR'!E117+'1.6.1 GasLR'!D117)*Units!C$19</f>
        <v>1964.517183003742</v>
      </c>
      <c r="AJ237" s="912"/>
      <c r="AK237" s="945">
        <v>79.191745485812547</v>
      </c>
      <c r="AL237" s="910"/>
      <c r="AM237" s="945">
        <f>'1.8.2 RenHLR'!H237</f>
        <v>994.40994698259601</v>
      </c>
      <c r="AN237" s="910"/>
      <c r="AO237" s="1082">
        <f t="shared" si="21"/>
        <v>30954.944850227093</v>
      </c>
      <c r="AQ237" s="911"/>
      <c r="AR237" s="916">
        <f>+'1.3.1 CoalLR'!L237*1000*Units!$C$20</f>
        <v>3733.7999999999997</v>
      </c>
      <c r="AS237" s="910"/>
      <c r="AT237" s="842">
        <f>('1.6.1 GasLR'!C117+'1.6.1 GasLR'!L117)*Units!C$19</f>
        <v>1404.1602363393367</v>
      </c>
      <c r="AU237" s="912"/>
      <c r="AV237" s="945">
        <v>102.426</v>
      </c>
      <c r="AW237" s="910"/>
      <c r="AX237" s="910"/>
      <c r="AY237" s="910"/>
      <c r="AZ237" s="912"/>
      <c r="BB237" s="913"/>
      <c r="BC237" s="916">
        <f t="shared" si="17"/>
        <v>73702.06240000001</v>
      </c>
      <c r="BD237" s="944">
        <f t="shared" si="22"/>
        <v>13733.384694754943</v>
      </c>
      <c r="BE237" s="914"/>
      <c r="BF237" s="910"/>
      <c r="BG237" s="916">
        <f>('1.6.1 GasLR'!O117)*Units!C$19</f>
        <v>3368.6774193430788</v>
      </c>
      <c r="BH237" s="914"/>
      <c r="BI237" s="916">
        <f t="shared" si="24"/>
        <v>557.86774548581252</v>
      </c>
      <c r="BJ237" s="910"/>
      <c r="BK237" s="842">
        <f t="shared" si="18"/>
        <v>5.8198453734392164</v>
      </c>
      <c r="BL237" s="1085">
        <f t="shared" si="19"/>
        <v>2298.4278734351456</v>
      </c>
      <c r="BM237" s="920">
        <f>'1.5.1 OilLR'!AF67-'1.7.1 ElecLR'!AF47*1000</f>
        <v>5764.0845090900011</v>
      </c>
      <c r="BN237" s="921">
        <f t="shared" si="26"/>
        <v>99430.324487482416</v>
      </c>
    </row>
    <row r="238" spans="1:66" ht="10.5" customHeight="1" x14ac:dyDescent="0.35">
      <c r="A238" s="841">
        <v>1928</v>
      </c>
      <c r="B238" s="916">
        <f>+'1.3.1 CoalLR'!K238*1000*Units!$C$20</f>
        <v>26035.040639999999</v>
      </c>
      <c r="C238" s="842">
        <f>+'1.4.1 MSFLR'!B138</f>
        <v>11511.279999999999</v>
      </c>
      <c r="D238" s="910"/>
      <c r="E238" s="932">
        <f>+[1]R!$BJ688*1000</f>
        <v>893.20627592503342</v>
      </c>
      <c r="F238" s="910"/>
      <c r="G238" s="945">
        <v>409.53199999999993</v>
      </c>
      <c r="H238" s="1074">
        <f>'1.8.3 RenPTLR'!B238</f>
        <v>0.37346348109534222</v>
      </c>
      <c r="I238" s="945">
        <f>'1.8.3 RenPTLR'!E238</f>
        <v>10.225612293013072</v>
      </c>
      <c r="J238" s="910"/>
      <c r="K238" s="842">
        <f>'1.8.2 RenHLR'!I238+'1.8.3 RenPTLR'!G238</f>
        <v>741.23073438269171</v>
      </c>
      <c r="L238" s="945">
        <v>725.67117556983214</v>
      </c>
      <c r="M238" s="952">
        <f t="shared" si="25"/>
        <v>40326.559901651664</v>
      </c>
      <c r="N238" s="911"/>
      <c r="O238" s="945">
        <f>'1.3.1 CoalLR'!I238*1000</f>
        <v>14020.800000000001</v>
      </c>
      <c r="P238" s="910"/>
      <c r="Q238" s="912"/>
      <c r="R238" s="910"/>
      <c r="S238" s="910"/>
      <c r="T238" s="910"/>
      <c r="U238" s="1042">
        <v>2702</v>
      </c>
      <c r="V238" s="945">
        <f>'1.8.3 RenPTLR'!H238</f>
        <v>338.03550236220451</v>
      </c>
      <c r="W238" s="910"/>
      <c r="X238" s="910"/>
      <c r="Y238" s="910"/>
      <c r="Z238" s="910"/>
      <c r="AA238" s="945">
        <f>'1.8.3 RenPTLR'!C238</f>
        <v>2.9209981242459357</v>
      </c>
      <c r="AB238" s="910"/>
      <c r="AC238" s="910"/>
      <c r="AD238" s="950">
        <f t="shared" si="16"/>
        <v>17063.756500486452</v>
      </c>
      <c r="AF238" s="911"/>
      <c r="AG238" s="916">
        <f>+'1.3.1 CoalLR'!J238*Units!$C$20*1000</f>
        <v>24971.654399999996</v>
      </c>
      <c r="AH238" s="842">
        <f>'1.4.1 MSFLR'!F138</f>
        <v>1301.6680997420467</v>
      </c>
      <c r="AI238" s="842">
        <f>+('1.6.1 GasLR'!E118+'1.6.1 GasLR'!D118)*Units!C$19</f>
        <v>1992.401888579876</v>
      </c>
      <c r="AJ238" s="912"/>
      <c r="AK238" s="945">
        <v>94.411006018916595</v>
      </c>
      <c r="AL238" s="910"/>
      <c r="AM238" s="945">
        <f>'1.8.2 RenHLR'!H238</f>
        <v>932.28765191852312</v>
      </c>
      <c r="AN238" s="910"/>
      <c r="AO238" s="1082">
        <f t="shared" si="21"/>
        <v>29292.423046259359</v>
      </c>
      <c r="AQ238" s="911"/>
      <c r="AR238" s="916">
        <f>+'1.3.1 CoalLR'!L238*1000*Units!$C$20</f>
        <v>3476.9145599999997</v>
      </c>
      <c r="AS238" s="910"/>
      <c r="AT238" s="842">
        <f>('1.6.1 GasLR'!C118+'1.6.1 GasLR'!L118)*Units!C$19</f>
        <v>1403.0492319247835</v>
      </c>
      <c r="AU238" s="912"/>
      <c r="AV238" s="945">
        <v>113.00399999999999</v>
      </c>
      <c r="AW238" s="910"/>
      <c r="AX238" s="910"/>
      <c r="AY238" s="910"/>
      <c r="AZ238" s="912"/>
      <c r="BB238" s="913"/>
      <c r="BC238" s="916">
        <f t="shared" si="17"/>
        <v>68504.409599999999</v>
      </c>
      <c r="BD238" s="944">
        <f t="shared" si="22"/>
        <v>12812.948099742045</v>
      </c>
      <c r="BE238" s="914"/>
      <c r="BF238" s="910"/>
      <c r="BG238" s="916">
        <f>('1.6.1 GasLR'!O118)*Units!C$19</f>
        <v>3395.4511205046597</v>
      </c>
      <c r="BH238" s="914"/>
      <c r="BI238" s="916">
        <f t="shared" si="24"/>
        <v>616.94700601891657</v>
      </c>
      <c r="BJ238" s="910"/>
      <c r="BK238" s="842">
        <f t="shared" si="18"/>
        <v>2.9209981242459357</v>
      </c>
      <c r="BL238" s="1085">
        <f t="shared" si="19"/>
        <v>2011.5538886634192</v>
      </c>
      <c r="BM238" s="920">
        <f>'1.5.1 OilLR'!AF68-'1.7.1 ElecLR'!AF48*1000</f>
        <v>5927.6697412220001</v>
      </c>
      <c r="BN238" s="921">
        <f t="shared" si="26"/>
        <v>93271.900454275281</v>
      </c>
    </row>
    <row r="239" spans="1:66" ht="10.5" customHeight="1" x14ac:dyDescent="0.35">
      <c r="A239" s="841">
        <v>1929</v>
      </c>
      <c r="B239" s="916">
        <f>+'1.3.1 CoalLR'!K239*1000*Units!$C$20</f>
        <v>26542.837440000003</v>
      </c>
      <c r="C239" s="842">
        <f>+'1.4.1 MSFLR'!B139</f>
        <v>12740.64</v>
      </c>
      <c r="D239" s="910"/>
      <c r="E239" s="932">
        <f>+[1]R!$BJ689*1000</f>
        <v>923.59847032902633</v>
      </c>
      <c r="F239" s="910"/>
      <c r="G239" s="945">
        <v>457.3479999999999</v>
      </c>
      <c r="H239" s="1074">
        <f>'1.8.3 RenPTLR'!B239</f>
        <v>0.36972884628438879</v>
      </c>
      <c r="I239" s="945">
        <f>'1.8.3 RenPTLR'!E239</f>
        <v>9.409413918397922</v>
      </c>
      <c r="J239" s="910"/>
      <c r="K239" s="842">
        <f>'1.8.2 RenHLR'!I239+'1.8.3 RenPTLR'!G239</f>
        <v>639.00408912003229</v>
      </c>
      <c r="L239" s="945">
        <v>803.92983175873553</v>
      </c>
      <c r="M239" s="952">
        <f t="shared" si="25"/>
        <v>42117.136973972476</v>
      </c>
      <c r="N239" s="911"/>
      <c r="O239" s="945">
        <f>'1.3.1 CoalLR'!I239*1000</f>
        <v>14325.6</v>
      </c>
      <c r="P239" s="910"/>
      <c r="Q239" s="912"/>
      <c r="R239" s="910"/>
      <c r="S239" s="910"/>
      <c r="T239" s="910"/>
      <c r="U239" s="1042">
        <v>2971</v>
      </c>
      <c r="V239" s="945">
        <f>'1.8.3 RenPTLR'!H239</f>
        <v>241.22184566929113</v>
      </c>
      <c r="W239" s="910"/>
      <c r="X239" s="910"/>
      <c r="Y239" s="910"/>
      <c r="Z239" s="910"/>
      <c r="AA239" s="945">
        <f>'1.8.3 RenPTLR'!C239</f>
        <v>0.6054201583346388</v>
      </c>
      <c r="AB239" s="910"/>
      <c r="AC239" s="910"/>
      <c r="AD239" s="950">
        <f t="shared" si="16"/>
        <v>17538.427265827624</v>
      </c>
      <c r="AF239" s="911"/>
      <c r="AG239" s="916">
        <f>+'1.3.1 CoalLR'!J239*Units!$C$20*1000</f>
        <v>26190.366720000002</v>
      </c>
      <c r="AH239" s="842">
        <f>'1.4.1 MSFLR'!F139</f>
        <v>1395.6774625011944</v>
      </c>
      <c r="AI239" s="842">
        <f>+('1.6.1 GasLR'!E119+'1.6.1 GasLR'!D119)*Units!C$19</f>
        <v>2067.701066665466</v>
      </c>
      <c r="AJ239" s="912"/>
      <c r="AK239" s="945">
        <v>112.72570937231296</v>
      </c>
      <c r="AL239" s="910"/>
      <c r="AM239" s="945">
        <f>'1.8.2 RenHLR'!H239</f>
        <v>991.49281347828912</v>
      </c>
      <c r="AN239" s="910"/>
      <c r="AO239" s="1082">
        <f t="shared" si="21"/>
        <v>30757.963772017265</v>
      </c>
      <c r="AQ239" s="911"/>
      <c r="AR239" s="916">
        <f>+'1.3.1 CoalLR'!L239*1000*Units!$C$20</f>
        <v>3572.4998399999999</v>
      </c>
      <c r="AS239" s="910"/>
      <c r="AT239" s="842">
        <f>('1.6.1 GasLR'!C119+'1.6.1 GasLR'!L119)*Units!C$19</f>
        <v>1450.0050009034535</v>
      </c>
      <c r="AU239" s="912"/>
      <c r="AV239" s="945">
        <v>123.75399999999999</v>
      </c>
      <c r="AW239" s="910"/>
      <c r="AX239" s="910"/>
      <c r="AY239" s="910"/>
      <c r="AZ239" s="912"/>
      <c r="BB239" s="913"/>
      <c r="BC239" s="916">
        <f t="shared" si="17"/>
        <v>70631.304000000004</v>
      </c>
      <c r="BD239" s="944">
        <f t="shared" si="22"/>
        <v>14136.317462501194</v>
      </c>
      <c r="BE239" s="914"/>
      <c r="BF239" s="910"/>
      <c r="BG239" s="916">
        <f>('1.6.1 GasLR'!O119)*Units!C$19</f>
        <v>3517.7060675689199</v>
      </c>
      <c r="BH239" s="914"/>
      <c r="BI239" s="916">
        <f t="shared" si="24"/>
        <v>693.82770937231282</v>
      </c>
      <c r="BJ239" s="910"/>
      <c r="BK239" s="842">
        <f t="shared" si="18"/>
        <v>0.6054201583346388</v>
      </c>
      <c r="BL239" s="1085">
        <f t="shared" si="19"/>
        <v>1871.7187482676127</v>
      </c>
      <c r="BM239" s="920">
        <f>'1.5.1 OilLR'!AF69-'1.7.1 ElecLR'!AF49*1000</f>
        <v>7094.0915939019997</v>
      </c>
      <c r="BN239" s="921">
        <f t="shared" si="26"/>
        <v>97945.571001770368</v>
      </c>
    </row>
    <row r="240" spans="1:66" ht="10.5" customHeight="1" x14ac:dyDescent="0.35">
      <c r="A240" s="841">
        <v>1930</v>
      </c>
      <c r="B240" s="916">
        <f>+'1.3.1 CoalLR'!K240*1000*Units!$C$20</f>
        <v>24439.961280000003</v>
      </c>
      <c r="C240" s="842">
        <f>+'1.4.1 MSFLR'!B140</f>
        <v>10861.04</v>
      </c>
      <c r="D240" s="910"/>
      <c r="E240" s="932">
        <f>+[1]R!$BJ690*1000</f>
        <v>898.69624107282812</v>
      </c>
      <c r="F240" s="910"/>
      <c r="G240" s="945">
        <v>460.53</v>
      </c>
      <c r="H240" s="1074">
        <f>'1.8.3 RenPTLR'!B240</f>
        <v>0.36603155782154495</v>
      </c>
      <c r="I240" s="945">
        <f>'1.8.3 RenPTLR'!E240</f>
        <v>8.5932155437827724</v>
      </c>
      <c r="J240" s="910"/>
      <c r="K240" s="842">
        <f>'1.8.2 RenHLR'!I240+'1.8.3 RenPTLR'!G240</f>
        <v>557.34655405903732</v>
      </c>
      <c r="L240" s="945">
        <v>818.8054440921635</v>
      </c>
      <c r="M240" s="952">
        <f t="shared" si="25"/>
        <v>38045.338766325644</v>
      </c>
      <c r="N240" s="911"/>
      <c r="O240" s="945">
        <f>'1.3.1 CoalLR'!I240*1000</f>
        <v>13817.6</v>
      </c>
      <c r="P240" s="910"/>
      <c r="Q240" s="912"/>
      <c r="R240" s="910"/>
      <c r="S240" s="910"/>
      <c r="T240" s="910"/>
      <c r="U240" s="1042">
        <v>3240</v>
      </c>
      <c r="V240" s="945">
        <f>'1.8.3 RenPTLR'!H240</f>
        <v>144.40818897637791</v>
      </c>
      <c r="W240" s="910"/>
      <c r="X240" s="910"/>
      <c r="Y240" s="910"/>
      <c r="Z240" s="910"/>
      <c r="AA240" s="945">
        <f>'1.8.3 RenPTLR'!C240</f>
        <v>0.59963968589096939</v>
      </c>
      <c r="AB240" s="910"/>
      <c r="AC240" s="910"/>
      <c r="AD240" s="950">
        <f t="shared" si="16"/>
        <v>17202.607828662265</v>
      </c>
      <c r="AF240" s="911"/>
      <c r="AG240" s="916">
        <f>+'1.3.1 CoalLR'!J240*Units!$C$20*1000</f>
        <v>25718.414399999998</v>
      </c>
      <c r="AH240" s="842">
        <f>'1.4.1 MSFLR'!F140</f>
        <v>1518.6127830323878</v>
      </c>
      <c r="AI240" s="842">
        <f>+('1.6.1 GasLR'!E120+'1.6.1 GasLR'!D120)*Units!C$19</f>
        <v>2065.9691881661524</v>
      </c>
      <c r="AJ240" s="912"/>
      <c r="AK240" s="945">
        <v>131.72828890799656</v>
      </c>
      <c r="AL240" s="910"/>
      <c r="AM240" s="945">
        <f>'1.8.2 RenHLR'!H240</f>
        <v>957.82418866889429</v>
      </c>
      <c r="AN240" s="910"/>
      <c r="AO240" s="1082">
        <f t="shared" si="21"/>
        <v>30392.548848775434</v>
      </c>
      <c r="AQ240" s="911"/>
      <c r="AR240" s="916">
        <f>+'1.3.1 CoalLR'!L240*1000*Units!$C$20</f>
        <v>3470.9404799999993</v>
      </c>
      <c r="AS240" s="910"/>
      <c r="AT240" s="842">
        <f>('1.6.1 GasLR'!C120+'1.6.1 GasLR'!L120)*Units!C$19</f>
        <v>1420.394697575987</v>
      </c>
      <c r="AU240" s="912"/>
      <c r="AV240" s="945">
        <v>135.62199999999999</v>
      </c>
      <c r="AW240" s="910"/>
      <c r="AX240" s="910"/>
      <c r="AY240" s="910"/>
      <c r="AZ240" s="912"/>
      <c r="BB240" s="913"/>
      <c r="BC240" s="916">
        <f t="shared" si="17"/>
        <v>67446.916160000008</v>
      </c>
      <c r="BD240" s="944">
        <f t="shared" si="22"/>
        <v>12379.652783032388</v>
      </c>
      <c r="BE240" s="914"/>
      <c r="BF240" s="910"/>
      <c r="BG240" s="916">
        <f>('1.6.1 GasLR'!O120)*Units!C$19</f>
        <v>3486.3638857421392</v>
      </c>
      <c r="BH240" s="914"/>
      <c r="BI240" s="916">
        <f t="shared" si="24"/>
        <v>727.88028890799649</v>
      </c>
      <c r="BJ240" s="910"/>
      <c r="BK240" s="842">
        <f t="shared" si="18"/>
        <v>0.59963968589096939</v>
      </c>
      <c r="BL240" s="1085">
        <f t="shared" si="19"/>
        <v>1659.5789317043095</v>
      </c>
      <c r="BM240" s="920">
        <f>'1.5.1 OilLR'!AF70-'1.7.1 ElecLR'!AF50*1000</f>
        <v>7926.2323335700003</v>
      </c>
      <c r="BN240" s="921">
        <f t="shared" si="26"/>
        <v>93627.224022642738</v>
      </c>
    </row>
    <row r="241" spans="1:66" ht="10.5" customHeight="1" x14ac:dyDescent="0.35">
      <c r="A241" s="841">
        <v>1931</v>
      </c>
      <c r="B241" s="916">
        <f>+'1.3.1 CoalLR'!K241*1000*Units!$C$20</f>
        <v>23251.119360000001</v>
      </c>
      <c r="C241" s="842">
        <f>+'1.4.1 MSFLR'!B141</f>
        <v>7670.7999999999993</v>
      </c>
      <c r="D241" s="910"/>
      <c r="E241" s="932">
        <f>+[1]R!$BJ691*1000</f>
        <v>888.22703728767908</v>
      </c>
      <c r="F241" s="910"/>
      <c r="G241" s="945">
        <v>454.25200000000001</v>
      </c>
      <c r="H241" s="1074">
        <f>'1.8.3 RenPTLR'!B241</f>
        <v>0.36237124224332934</v>
      </c>
      <c r="I241" s="945">
        <f>'1.8.3 RenPTLR'!E241</f>
        <v>7.7770171691676229</v>
      </c>
      <c r="J241" s="910"/>
      <c r="K241" s="842">
        <f>'1.8.2 RenHLR'!I241+'1.8.3 RenPTLR'!G241</f>
        <v>492.14430715937391</v>
      </c>
      <c r="L241" s="945">
        <v>863.43228109244728</v>
      </c>
      <c r="M241" s="952">
        <f t="shared" si="25"/>
        <v>33628.114373950913</v>
      </c>
      <c r="N241" s="911"/>
      <c r="O241" s="945">
        <f>'1.3.1 CoalLR'!I241*1000</f>
        <v>13208</v>
      </c>
      <c r="P241" s="910"/>
      <c r="Q241" s="912"/>
      <c r="R241" s="910"/>
      <c r="S241" s="910"/>
      <c r="T241" s="910"/>
      <c r="U241" s="1042">
        <v>3471</v>
      </c>
      <c r="V241" s="945">
        <f>'1.8.3 RenPTLR'!H241</f>
        <v>128.76396850393698</v>
      </c>
      <c r="W241" s="910"/>
      <c r="X241" s="910"/>
      <c r="Y241" s="910"/>
      <c r="Z241" s="910"/>
      <c r="AA241" s="945">
        <f>'1.8.3 RenPTLR'!C241</f>
        <v>0.56434519741977252</v>
      </c>
      <c r="AB241" s="910"/>
      <c r="AC241" s="910"/>
      <c r="AD241" s="950">
        <f t="shared" si="16"/>
        <v>16808.328313701357</v>
      </c>
      <c r="AF241" s="911"/>
      <c r="AG241" s="916">
        <f>+'1.3.1 CoalLR'!J241*Units!$C$20*1000</f>
        <v>25115.032319999998</v>
      </c>
      <c r="AH241" s="842">
        <f>'1.4.1 MSFLR'!F141</f>
        <v>1446.297888602274</v>
      </c>
      <c r="AI241" s="842">
        <f>+('1.6.1 GasLR'!E121+'1.6.1 GasLR'!D121)*Units!C$19</f>
        <v>2090.4048384151815</v>
      </c>
      <c r="AJ241" s="912"/>
      <c r="AK241" s="945">
        <v>152.70851246775581</v>
      </c>
      <c r="AL241" s="910"/>
      <c r="AM241" s="945">
        <f>'1.8.2 RenHLR'!H241</f>
        <v>906.15128768431771</v>
      </c>
      <c r="AN241" s="910"/>
      <c r="AO241" s="1082">
        <f t="shared" si="21"/>
        <v>29710.59484716953</v>
      </c>
      <c r="AQ241" s="911"/>
      <c r="AR241" s="916">
        <f>+'1.3.1 CoalLR'!L241*1000*Units!$C$20</f>
        <v>3417.1737599999997</v>
      </c>
      <c r="AS241" s="910"/>
      <c r="AT241" s="842">
        <f>('1.6.1 GasLR'!C121+'1.6.1 GasLR'!L121)*Units!C$19</f>
        <v>1411.7253464258977</v>
      </c>
      <c r="AU241" s="912"/>
      <c r="AV241" s="945">
        <v>149.726</v>
      </c>
      <c r="AW241" s="910"/>
      <c r="AX241" s="910"/>
      <c r="AY241" s="910"/>
      <c r="AZ241" s="912"/>
      <c r="BB241" s="913"/>
      <c r="BC241" s="916">
        <f t="shared" si="17"/>
        <v>64991.325439999993</v>
      </c>
      <c r="BD241" s="944">
        <f t="shared" si="22"/>
        <v>9117.0978886022731</v>
      </c>
      <c r="BE241" s="914"/>
      <c r="BF241" s="910"/>
      <c r="BG241" s="916">
        <f>('1.6.1 GasLR'!O121)*Units!C$19</f>
        <v>3502.1301848410794</v>
      </c>
      <c r="BH241" s="914"/>
      <c r="BI241" s="916">
        <f t="shared" si="24"/>
        <v>756.68651246775585</v>
      </c>
      <c r="BJ241" s="910"/>
      <c r="BK241" s="842">
        <f t="shared" si="18"/>
        <v>0.56434519741977252</v>
      </c>
      <c r="BL241" s="1085">
        <f t="shared" si="19"/>
        <v>1527.0595633476287</v>
      </c>
      <c r="BM241" s="920">
        <f>'1.5.1 OilLR'!AF71-'1.7.1 ElecLR'!AF51*1000</f>
        <v>7441.5796371220003</v>
      </c>
      <c r="BN241" s="921">
        <f t="shared" si="26"/>
        <v>87336.443571578158</v>
      </c>
    </row>
    <row r="242" spans="1:66" ht="10.5" customHeight="1" x14ac:dyDescent="0.35">
      <c r="A242" s="841">
        <v>1932</v>
      </c>
      <c r="B242" s="916">
        <f>+'1.3.1 CoalLR'!K242*1000*Units!$C$20</f>
        <v>22372.929600000003</v>
      </c>
      <c r="C242" s="842">
        <f>+'1.4.1 MSFLR'!B142</f>
        <v>7396.48</v>
      </c>
      <c r="D242" s="910"/>
      <c r="E242" s="932">
        <f>+[1]R!$BJ692*1000</f>
        <v>869.70241746550903</v>
      </c>
      <c r="F242" s="910"/>
      <c r="G242" s="945">
        <v>474.54799999999994</v>
      </c>
      <c r="H242" s="1074">
        <f>'1.8.3 RenPTLR'!B242</f>
        <v>0.35874752982089614</v>
      </c>
      <c r="I242" s="945">
        <f>'1.8.3 RenPTLR'!E242</f>
        <v>6.9608187945524733</v>
      </c>
      <c r="J242" s="910"/>
      <c r="K242" s="842">
        <f>'1.8.2 RenHLR'!I242+'1.8.3 RenPTLR'!G242</f>
        <v>440.10629078877571</v>
      </c>
      <c r="L242" s="945">
        <v>931.98945097694127</v>
      </c>
      <c r="M242" s="952">
        <f t="shared" si="25"/>
        <v>32493.075325555597</v>
      </c>
      <c r="N242" s="911"/>
      <c r="O242" s="945">
        <f>'1.3.1 CoalLR'!I242*1000</f>
        <v>12598.4</v>
      </c>
      <c r="P242" s="910"/>
      <c r="Q242" s="912"/>
      <c r="R242" s="910"/>
      <c r="S242" s="910"/>
      <c r="T242" s="910"/>
      <c r="U242" s="1042">
        <v>3596</v>
      </c>
      <c r="V242" s="945">
        <f>'1.8.3 RenPTLR'!H242</f>
        <v>113.11974803149607</v>
      </c>
      <c r="W242" s="910"/>
      <c r="X242" s="910"/>
      <c r="Y242" s="910"/>
      <c r="Z242" s="910"/>
      <c r="AA242" s="945">
        <f>'1.8.3 RenPTLR'!C242</f>
        <v>0.55198972205296015</v>
      </c>
      <c r="AB242" s="910"/>
      <c r="AC242" s="910"/>
      <c r="AD242" s="950">
        <f t="shared" si="16"/>
        <v>16308.071737753549</v>
      </c>
      <c r="AF242" s="911"/>
      <c r="AG242" s="916">
        <f>+'1.3.1 CoalLR'!J242*Units!$C$20*1000</f>
        <v>23812.682879999997</v>
      </c>
      <c r="AH242" s="842">
        <f>'1.4.1 MSFLR'!F142</f>
        <v>1511.3812935893764</v>
      </c>
      <c r="AI242" s="842">
        <f>+('1.6.1 GasLR'!E122+'1.6.1 GasLR'!D122)*Units!C$19</f>
        <v>2068.1171776809679</v>
      </c>
      <c r="AJ242" s="912"/>
      <c r="AK242" s="945">
        <v>174.29062768701633</v>
      </c>
      <c r="AL242" s="910"/>
      <c r="AM242" s="945">
        <f>'1.8.2 RenHLR'!H242</f>
        <v>906.77879836180762</v>
      </c>
      <c r="AN242" s="910"/>
      <c r="AO242" s="1082">
        <f t="shared" si="21"/>
        <v>28473.250777319165</v>
      </c>
      <c r="AQ242" s="911"/>
      <c r="AR242" s="916">
        <f>+'1.3.1 CoalLR'!L242*1000*Units!$C$20</f>
        <v>3279.7699199999997</v>
      </c>
      <c r="AS242" s="910"/>
      <c r="AT242" s="842">
        <f>('1.6.1 GasLR'!C122+'1.6.1 GasLR'!L122)*Units!C$19</f>
        <v>1389.3769397803119</v>
      </c>
      <c r="AU242" s="949"/>
      <c r="AV242" s="945">
        <v>168.81799999999998</v>
      </c>
      <c r="AW242" s="910"/>
      <c r="AX242" s="910"/>
      <c r="AY242" s="910"/>
      <c r="AZ242" s="912"/>
      <c r="BB242" s="913"/>
      <c r="BC242" s="916">
        <f t="shared" si="17"/>
        <v>62063.782400000004</v>
      </c>
      <c r="BD242" s="944">
        <f t="shared" si="22"/>
        <v>8907.8612935893761</v>
      </c>
      <c r="BE242" s="914"/>
      <c r="BF242" s="910"/>
      <c r="BG242" s="916">
        <f>('1.6.1 GasLR'!O122)*Units!C$19</f>
        <v>3457.4941174612795</v>
      </c>
      <c r="BH242" s="914"/>
      <c r="BI242" s="916">
        <f t="shared" si="24"/>
        <v>817.65662768701623</v>
      </c>
      <c r="BJ242" s="910"/>
      <c r="BK242" s="842">
        <f t="shared" si="18"/>
        <v>0.55198972205296015</v>
      </c>
      <c r="BL242" s="1085">
        <f t="shared" si="19"/>
        <v>1460.0048371820794</v>
      </c>
      <c r="BM242" s="920">
        <f>'1.5.1 OilLR'!AF72-'1.7.1 ElecLR'!AF52*1000</f>
        <v>7459.8751999900005</v>
      </c>
      <c r="BN242" s="921">
        <f t="shared" si="26"/>
        <v>84167.226465631786</v>
      </c>
    </row>
    <row r="243" spans="1:66" ht="10.5" customHeight="1" x14ac:dyDescent="0.35">
      <c r="A243" s="841">
        <v>1933</v>
      </c>
      <c r="B243" s="916">
        <f>+'1.3.1 CoalLR'!K243*1000*Units!$C$20</f>
        <v>23525.927039999999</v>
      </c>
      <c r="C243" s="842">
        <f>+'1.4.1 MSFLR'!B143</f>
        <v>7782.56</v>
      </c>
      <c r="D243" s="910"/>
      <c r="E243" s="932">
        <f>+[1]R!$BJ693*1000</f>
        <v>853.9448664932039</v>
      </c>
      <c r="F243" s="910"/>
      <c r="G243" s="945">
        <v>522.27800000000002</v>
      </c>
      <c r="H243" s="1074">
        <f>'1.8.3 RenPTLR'!B243</f>
        <v>0.35516005452268712</v>
      </c>
      <c r="I243" s="945">
        <f>'1.8.3 RenPTLR'!E243</f>
        <v>6.1446204199373229</v>
      </c>
      <c r="J243" s="910"/>
      <c r="K243" s="842">
        <f>'1.8.2 RenHLR'!I243+'1.8.3 RenPTLR'!G243</f>
        <v>398.59965884142974</v>
      </c>
      <c r="L243" s="945">
        <v>956.56654961477886</v>
      </c>
      <c r="M243" s="952">
        <f t="shared" si="25"/>
        <v>34046.375895423866</v>
      </c>
      <c r="N243" s="911"/>
      <c r="O243" s="945">
        <f>'1.3.1 CoalLR'!I243*1000</f>
        <v>12598.4</v>
      </c>
      <c r="P243" s="910"/>
      <c r="Q243" s="912"/>
      <c r="R243" s="910"/>
      <c r="S243" s="910"/>
      <c r="T243" s="910"/>
      <c r="U243" s="1042">
        <v>3855</v>
      </c>
      <c r="V243" s="945">
        <f>'1.8.3 RenPTLR'!H243</f>
        <v>97.475527559055124</v>
      </c>
      <c r="W243" s="910"/>
      <c r="X243" s="910"/>
      <c r="Y243" s="910"/>
      <c r="Z243" s="910"/>
      <c r="AA243" s="945">
        <f>'1.8.3 RenPTLR'!C243</f>
        <v>0.55595386378312339</v>
      </c>
      <c r="AB243" s="910"/>
      <c r="AC243" s="910"/>
      <c r="AD243" s="950">
        <f t="shared" si="16"/>
        <v>16551.431481422838</v>
      </c>
      <c r="AF243" s="911"/>
      <c r="AG243" s="916">
        <f>+'1.3.1 CoalLR'!J243*Units!$C$20*1000</f>
        <v>24433.9872</v>
      </c>
      <c r="AH243" s="842">
        <f>'1.4.1 MSFLR'!F143</f>
        <v>1453.5293780452855</v>
      </c>
      <c r="AI243" s="842">
        <f>+('1.6.1 GasLR'!E123+'1.6.1 GasLR'!D123)*Units!C$19</f>
        <v>2072.2215578826131</v>
      </c>
      <c r="AJ243" s="912"/>
      <c r="AK243" s="945">
        <v>197.42046431642302</v>
      </c>
      <c r="AL243" s="910"/>
      <c r="AM243" s="945">
        <f>'1.8.2 RenHLR'!H243</f>
        <v>923.29182417024833</v>
      </c>
      <c r="AN243" s="910"/>
      <c r="AO243" s="1082">
        <f t="shared" si="21"/>
        <v>29080.450424414572</v>
      </c>
      <c r="AQ243" s="911"/>
      <c r="AR243" s="916">
        <f>+'1.3.1 CoalLR'!L243*1000*Units!$C$20</f>
        <v>3351.4588800000001</v>
      </c>
      <c r="AS243" s="910"/>
      <c r="AT243" s="842">
        <f>('1.6.1 GasLR'!C123+'1.6.1 GasLR'!L123)*Units!C$19</f>
        <v>1367.8924722831462</v>
      </c>
      <c r="AU243" s="949"/>
      <c r="AV243" s="945">
        <v>194.102</v>
      </c>
      <c r="AW243" s="910"/>
      <c r="AX243" s="910"/>
      <c r="AY243" s="910"/>
      <c r="AZ243" s="912"/>
      <c r="BB243" s="913"/>
      <c r="BC243" s="916">
        <f t="shared" si="17"/>
        <v>63909.773119999991</v>
      </c>
      <c r="BD243" s="944">
        <f t="shared" si="22"/>
        <v>9236.0893780452861</v>
      </c>
      <c r="BE243" s="914"/>
      <c r="BF243" s="910"/>
      <c r="BG243" s="916">
        <f>('1.6.1 GasLR'!O123)*Units!C$19</f>
        <v>3440.1140301657597</v>
      </c>
      <c r="BH243" s="914"/>
      <c r="BI243" s="916">
        <f t="shared" si="24"/>
        <v>913.80046431642302</v>
      </c>
      <c r="BJ243" s="910"/>
      <c r="BK243" s="842">
        <f t="shared" si="18"/>
        <v>0.55595386378312339</v>
      </c>
      <c r="BL243" s="1085">
        <f t="shared" si="19"/>
        <v>1419.3670105707333</v>
      </c>
      <c r="BM243" s="920">
        <f>'1.5.1 OilLR'!AF73-'1.7.1 ElecLR'!AF53*1000</f>
        <v>8269.6561891500005</v>
      </c>
      <c r="BN243" s="921">
        <f t="shared" si="26"/>
        <v>87189.356146111968</v>
      </c>
    </row>
    <row r="244" spans="1:66" ht="10.5" customHeight="1" x14ac:dyDescent="0.35">
      <c r="A244" s="841">
        <v>1934</v>
      </c>
      <c r="B244" s="916">
        <f>+'1.3.1 CoalLR'!K244*1000*Units!$C$20</f>
        <v>25097.110079999995</v>
      </c>
      <c r="C244" s="842">
        <f>+'1.4.1 MSFLR'!B144</f>
        <v>10251.439999999999</v>
      </c>
      <c r="D244" s="910"/>
      <c r="E244" s="932">
        <f>+[1]R!$BJ694*1000</f>
        <v>869.52495481743324</v>
      </c>
      <c r="F244" s="910"/>
      <c r="G244" s="945">
        <v>607.16</v>
      </c>
      <c r="H244" s="1074">
        <f>'1.8.3 RenPTLR'!B244</f>
        <v>0.35160845397746027</v>
      </c>
      <c r="I244" s="945">
        <f>'1.8.3 RenPTLR'!E244</f>
        <v>5.3284220453221733</v>
      </c>
      <c r="J244" s="910"/>
      <c r="K244" s="842">
        <f>'1.8.2 RenHLR'!I244+'1.8.3 RenPTLR'!G244</f>
        <v>365.51813443268554</v>
      </c>
      <c r="L244" s="945">
        <v>971.44216194820649</v>
      </c>
      <c r="M244" s="952">
        <f t="shared" si="25"/>
        <v>38167.875361697625</v>
      </c>
      <c r="N244" s="911"/>
      <c r="O244" s="945">
        <f>'1.3.1 CoalLR'!I244*1000</f>
        <v>13106.400000000001</v>
      </c>
      <c r="P244" s="910"/>
      <c r="Q244" s="912"/>
      <c r="R244" s="910"/>
      <c r="S244" s="910"/>
      <c r="T244" s="910"/>
      <c r="U244" s="1042">
        <v>4145</v>
      </c>
      <c r="V244" s="945">
        <f>'1.8.3 RenPTLR'!H244</f>
        <v>81.831307086614174</v>
      </c>
      <c r="W244" s="910"/>
      <c r="X244" s="910"/>
      <c r="Y244" s="910"/>
      <c r="Z244" s="910"/>
      <c r="AA244" s="945">
        <f>'1.8.3 RenPTLR'!C244</f>
        <v>0.56447828245306586</v>
      </c>
      <c r="AB244" s="910"/>
      <c r="AC244" s="910"/>
      <c r="AD244" s="950">
        <f t="shared" si="16"/>
        <v>17333.795785369068</v>
      </c>
      <c r="AF244" s="911"/>
      <c r="AG244" s="916">
        <f>+'1.3.1 CoalLR'!J244*Units!$C$20*1000</f>
        <v>25138.928639999995</v>
      </c>
      <c r="AH244" s="842">
        <f>'1.4.1 MSFLR'!F144</f>
        <v>1656.0110824496041</v>
      </c>
      <c r="AI244" s="842">
        <f>+('1.6.1 GasLR'!E124+'1.6.1 GasLR'!D124)*Units!C$19</f>
        <v>2092.5107141287904</v>
      </c>
      <c r="AJ244" s="912"/>
      <c r="AK244" s="945">
        <v>227.6010318142734</v>
      </c>
      <c r="AL244" s="910"/>
      <c r="AM244" s="945">
        <f>'1.8.2 RenHLR'!H244</f>
        <v>1008.283814502855</v>
      </c>
      <c r="AN244" s="910"/>
      <c r="AO244" s="1082">
        <f t="shared" si="21"/>
        <v>30123.335282895518</v>
      </c>
      <c r="AQ244" s="911"/>
      <c r="AR244" s="916">
        <f>+'1.3.1 CoalLR'!L244*1000*Units!$C$20</f>
        <v>3464.9663999999998</v>
      </c>
      <c r="AS244" s="910"/>
      <c r="AT244" s="842">
        <f>('1.6.1 GasLR'!C124+'1.6.1 GasLR'!L124)*Units!C$19</f>
        <v>1394.6182900484898</v>
      </c>
      <c r="AU244" s="949"/>
      <c r="AV244" s="945">
        <v>225.23399999999998</v>
      </c>
      <c r="AW244" s="910"/>
      <c r="AX244" s="910"/>
      <c r="AY244" s="910"/>
      <c r="AZ244" s="912"/>
      <c r="BB244" s="913"/>
      <c r="BC244" s="916">
        <f t="shared" si="17"/>
        <v>66807.405119999996</v>
      </c>
      <c r="BD244" s="944">
        <f t="shared" si="22"/>
        <v>11907.451082449603</v>
      </c>
      <c r="BE244" s="914"/>
      <c r="BF244" s="910"/>
      <c r="BG244" s="916">
        <f>('1.6.1 GasLR'!O124)*Units!C$19</f>
        <v>3487.12900417728</v>
      </c>
      <c r="BH244" s="914"/>
      <c r="BI244" s="916">
        <f t="shared" si="24"/>
        <v>1059.9950318142733</v>
      </c>
      <c r="BJ244" s="910"/>
      <c r="BK244" s="842">
        <f t="shared" si="18"/>
        <v>0.56447828245306586</v>
      </c>
      <c r="BL244" s="1085">
        <f t="shared" si="19"/>
        <v>1455.6332560221547</v>
      </c>
      <c r="BM244" s="920">
        <f>'1.5.1 OilLR'!AF74-'1.7.1 ElecLR'!AF54*1000</f>
        <v>9286.7073887059996</v>
      </c>
      <c r="BN244" s="921">
        <f t="shared" si="26"/>
        <v>94004.885361451743</v>
      </c>
    </row>
    <row r="245" spans="1:66" ht="10.5" customHeight="1" x14ac:dyDescent="0.35">
      <c r="A245" s="841">
        <v>1935</v>
      </c>
      <c r="B245" s="916">
        <f>+'1.3.1 CoalLR'!K245*1000*Units!$C$20</f>
        <v>26369.589120000001</v>
      </c>
      <c r="C245" s="842">
        <f>+'1.4.1 MSFLR'!B145</f>
        <v>10698.48</v>
      </c>
      <c r="D245" s="910"/>
      <c r="E245" s="932">
        <f>+[1]R!$BJ695*1000</f>
        <v>887.80484347376409</v>
      </c>
      <c r="F245" s="910"/>
      <c r="G245" s="945">
        <v>675.35799999999995</v>
      </c>
      <c r="H245" s="1074">
        <f>'1.8.3 RenPTLR'!B245</f>
        <v>0.34809236943768557</v>
      </c>
      <c r="I245" s="945">
        <f>'1.8.3 RenPTLR'!E245</f>
        <v>4.5122236707070229</v>
      </c>
      <c r="J245" s="910"/>
      <c r="K245" s="842">
        <f>'1.8.2 RenHLR'!I245+'1.8.3 RenPTLR'!G245</f>
        <v>339.17669605482268</v>
      </c>
      <c r="L245" s="945">
        <v>983.73071126712523</v>
      </c>
      <c r="M245" s="952">
        <f t="shared" si="25"/>
        <v>39958.999686835858</v>
      </c>
      <c r="N245" s="911"/>
      <c r="O245" s="945">
        <f>'1.3.1 CoalLR'!I245*1000</f>
        <v>13208</v>
      </c>
      <c r="P245" s="910"/>
      <c r="Q245" s="912"/>
      <c r="R245" s="910"/>
      <c r="S245" s="910"/>
      <c r="T245" s="910"/>
      <c r="U245" s="1042">
        <v>4435</v>
      </c>
      <c r="V245" s="945">
        <f>'1.8.3 RenPTLR'!H245</f>
        <v>66.187086614173239</v>
      </c>
      <c r="W245" s="910"/>
      <c r="X245" s="910"/>
      <c r="Y245" s="910"/>
      <c r="Z245" s="910"/>
      <c r="AA245" s="945">
        <f>'1.8.3 RenPTLR'!C245</f>
        <v>0.57142256726320129</v>
      </c>
      <c r="AB245" s="910"/>
      <c r="AC245" s="910"/>
      <c r="AD245" s="950">
        <f t="shared" si="16"/>
        <v>17709.758509181436</v>
      </c>
      <c r="AF245" s="911"/>
      <c r="AG245" s="916">
        <f>+'1.3.1 CoalLR'!J245*Units!$C$20*1000</f>
        <v>25933.48128</v>
      </c>
      <c r="AH245" s="842">
        <f>'1.4.1 MSFLR'!F145</f>
        <v>1699.4000191076721</v>
      </c>
      <c r="AI245" s="842">
        <f>+('1.6.1 GasLR'!E125+'1.6.1 GasLR'!D125)*Units!C$19</f>
        <v>2113.5573875926316</v>
      </c>
      <c r="AJ245" s="912"/>
      <c r="AK245" s="945">
        <v>277.47205503009451</v>
      </c>
      <c r="AL245" s="910"/>
      <c r="AM245" s="945">
        <f>'1.8.2 RenHLR'!H245</f>
        <v>1057.8120973303423</v>
      </c>
      <c r="AN245" s="910"/>
      <c r="AO245" s="1082">
        <f t="shared" si="21"/>
        <v>31081.722839060738</v>
      </c>
      <c r="AQ245" s="911"/>
      <c r="AR245" s="916">
        <f>+'1.3.1 CoalLR'!L245*1000*Units!$C$20</f>
        <v>3578.4739199999999</v>
      </c>
      <c r="AS245" s="910"/>
      <c r="AT245" s="842">
        <f>('1.6.1 GasLR'!C125+'1.6.1 GasLR'!L125)*Units!C$19</f>
        <v>1428.4158413488683</v>
      </c>
      <c r="AU245" s="949"/>
      <c r="AV245" s="945">
        <v>253.18399999999997</v>
      </c>
      <c r="AW245" s="910"/>
      <c r="AX245" s="910"/>
      <c r="AY245" s="910"/>
      <c r="AZ245" s="912"/>
      <c r="BB245" s="913"/>
      <c r="BC245" s="916">
        <f t="shared" si="17"/>
        <v>69089.544320000001</v>
      </c>
      <c r="BD245" s="944">
        <f t="shared" si="22"/>
        <v>12397.880019107672</v>
      </c>
      <c r="BE245" s="914"/>
      <c r="BF245" s="910"/>
      <c r="BG245" s="916">
        <f>('1.6.1 GasLR'!O125)*Units!C$19</f>
        <v>3541.9732289414997</v>
      </c>
      <c r="BH245" s="914"/>
      <c r="BI245" s="916">
        <f t="shared" si="24"/>
        <v>1206.0140550300944</v>
      </c>
      <c r="BJ245" s="910"/>
      <c r="BK245" s="842">
        <f t="shared" si="18"/>
        <v>0.57142256726320129</v>
      </c>
      <c r="BL245" s="1085">
        <f t="shared" si="19"/>
        <v>1463.1758799993381</v>
      </c>
      <c r="BM245" s="920">
        <f>'1.5.1 OilLR'!AF75-'1.7.1 ElecLR'!AF55*1000</f>
        <v>9296.8695374279996</v>
      </c>
      <c r="BN245" s="921">
        <f t="shared" si="26"/>
        <v>96996.028463073861</v>
      </c>
    </row>
    <row r="246" spans="1:66" ht="10.5" customHeight="1" x14ac:dyDescent="0.35">
      <c r="A246" s="841">
        <v>1936</v>
      </c>
      <c r="B246" s="916">
        <f>+'1.3.1 CoalLR'!K246*1000*Units!$C$20</f>
        <v>27427.00128</v>
      </c>
      <c r="C246" s="842">
        <f>+'1.4.1 MSFLR'!B146</f>
        <v>12517.12</v>
      </c>
      <c r="D246" s="910"/>
      <c r="E246" s="932">
        <f>+[1]R!$BJ696*1000</f>
        <v>936.47561338552896</v>
      </c>
      <c r="F246" s="910"/>
      <c r="G246" s="945">
        <v>766.60399999999993</v>
      </c>
      <c r="H246" s="1074">
        <f>'1.8.3 RenPTLR'!B246</f>
        <v>0.34461144574330876</v>
      </c>
      <c r="I246" s="945">
        <f>'1.8.3 RenPTLR'!E246</f>
        <v>3.6960252960918725</v>
      </c>
      <c r="J246" s="910"/>
      <c r="K246" s="842">
        <f>'1.8.2 RenHLR'!I246+'1.8.3 RenPTLR'!G246</f>
        <v>318.227326501665</v>
      </c>
      <c r="L246" s="945">
        <v>1032.238142789173</v>
      </c>
      <c r="M246" s="952">
        <f t="shared" si="25"/>
        <v>43001.706999418195</v>
      </c>
      <c r="N246" s="911"/>
      <c r="O246" s="945">
        <f>'1.3.1 CoalLR'!I246*1000</f>
        <v>13716.000000000002</v>
      </c>
      <c r="P246" s="910"/>
      <c r="Q246" s="912"/>
      <c r="R246" s="910"/>
      <c r="S246" s="910"/>
      <c r="T246" s="910"/>
      <c r="U246" s="1042">
        <v>4768</v>
      </c>
      <c r="V246" s="945">
        <f>'1.8.3 RenPTLR'!H246</f>
        <v>50.542866141732297</v>
      </c>
      <c r="W246" s="910"/>
      <c r="X246" s="910"/>
      <c r="Y246" s="910"/>
      <c r="Z246" s="910"/>
      <c r="AA246" s="945">
        <f>'1.8.3 RenPTLR'!C246</f>
        <v>0.58191661165562125</v>
      </c>
      <c r="AB246" s="910"/>
      <c r="AC246" s="910"/>
      <c r="AD246" s="950">
        <f t="shared" si="16"/>
        <v>18535.124782753388</v>
      </c>
      <c r="AF246" s="911"/>
      <c r="AG246" s="916">
        <f>+'1.3.1 CoalLR'!J246*Units!$C$20*1000</f>
        <v>26734.007999999998</v>
      </c>
      <c r="AH246" s="842">
        <f>'1.4.1 MSFLR'!F146</f>
        <v>1865.7242762969338</v>
      </c>
      <c r="AI246" s="842">
        <f>+('1.6.1 GasLR'!E126+'1.6.1 GasLR'!D126)*Units!C$19</f>
        <v>2190.4183509638733</v>
      </c>
      <c r="AJ246" s="912"/>
      <c r="AK246" s="945">
        <v>340.84264832330177</v>
      </c>
      <c r="AL246" s="910"/>
      <c r="AM246" s="945">
        <f>'1.8.2 RenHLR'!H246</f>
        <v>1134.6089091889601</v>
      </c>
      <c r="AN246" s="910"/>
      <c r="AO246" s="1082">
        <f t="shared" si="21"/>
        <v>32265.602184773063</v>
      </c>
      <c r="AQ246" s="911"/>
      <c r="AR246" s="916">
        <f>+'1.3.1 CoalLR'!L246*1000*Units!$C$20</f>
        <v>3674.0592000000001</v>
      </c>
      <c r="AS246" s="910"/>
      <c r="AT246" s="842">
        <f>('1.6.1 GasLR'!C126+'1.6.1 GasLR'!L126)*Units!C$19</f>
        <v>1504.4841255426861</v>
      </c>
      <c r="AU246" s="949"/>
      <c r="AV246" s="945">
        <v>267.202</v>
      </c>
      <c r="AW246" s="910"/>
      <c r="AX246" s="910"/>
      <c r="AY246" s="910"/>
      <c r="AZ246" s="912"/>
      <c r="BB246" s="913"/>
      <c r="BC246" s="916">
        <f t="shared" si="17"/>
        <v>71551.068480000002</v>
      </c>
      <c r="BD246" s="944">
        <f t="shared" si="22"/>
        <v>14382.844276296935</v>
      </c>
      <c r="BE246" s="914"/>
      <c r="BF246" s="910"/>
      <c r="BG246" s="916">
        <f>('1.6.1 GasLR'!O126)*Units!C$19</f>
        <v>3694.9024765065592</v>
      </c>
      <c r="BH246" s="914"/>
      <c r="BI246" s="916">
        <f t="shared" si="24"/>
        <v>1374.6486483233018</v>
      </c>
      <c r="BJ246" s="910"/>
      <c r="BK246" s="842">
        <f t="shared" si="18"/>
        <v>0.58191661165562125</v>
      </c>
      <c r="BL246" s="1085">
        <f t="shared" si="19"/>
        <v>1503.3791018323573</v>
      </c>
      <c r="BM246" s="920">
        <f>'1.5.1 OilLR'!AF76-'1.7.1 ElecLR'!AF56*1000</f>
        <v>9730.721567998</v>
      </c>
      <c r="BN246" s="921">
        <f t="shared" si="26"/>
        <v>102238.1464675688</v>
      </c>
    </row>
    <row r="247" spans="1:66" ht="10.5" customHeight="1" x14ac:dyDescent="0.35">
      <c r="A247" s="841">
        <v>1937</v>
      </c>
      <c r="B247" s="916">
        <f>+'1.3.1 CoalLR'!K247*1000*Units!$C$20</f>
        <v>28185.709439999995</v>
      </c>
      <c r="C247" s="842">
        <f>+'1.4.1 MSFLR'!B147</f>
        <v>13573.76</v>
      </c>
      <c r="D247" s="910"/>
      <c r="E247" s="932">
        <f>+[1]R!$BJ697*1000</f>
        <v>959.5927330422237</v>
      </c>
      <c r="F247" s="910"/>
      <c r="G247" s="945">
        <v>861.6339999999999</v>
      </c>
      <c r="H247" s="1074">
        <f>'1.8.3 RenPTLR'!B247</f>
        <v>0.34116533128587567</v>
      </c>
      <c r="I247" s="945">
        <f>'1.8.3 RenPTLR'!E247</f>
        <v>2.8798269214767229</v>
      </c>
      <c r="J247" s="910"/>
      <c r="K247" s="842">
        <f>'1.8.2 RenHLR'!I247+'1.8.3 RenPTLR'!G247</f>
        <v>301.59161200827145</v>
      </c>
      <c r="L247" s="945">
        <v>1029.6510797746639</v>
      </c>
      <c r="M247" s="952">
        <f t="shared" si="25"/>
        <v>44915.15985707791</v>
      </c>
      <c r="N247" s="911"/>
      <c r="O247" s="945">
        <f>'1.3.1 CoalLR'!I247*1000</f>
        <v>14020.800000000001</v>
      </c>
      <c r="P247" s="910"/>
      <c r="Q247" s="912"/>
      <c r="R247" s="910"/>
      <c r="S247" s="910"/>
      <c r="T247" s="910"/>
      <c r="U247" s="1042">
        <v>5025</v>
      </c>
      <c r="V247" s="945">
        <f>'1.8.3 RenPTLR'!H247</f>
        <v>34.898645669291334</v>
      </c>
      <c r="W247" s="910"/>
      <c r="X247" s="910"/>
      <c r="Y247" s="910"/>
      <c r="Z247" s="910"/>
      <c r="AA247" s="945">
        <f>'1.8.3 RenPTLR'!C247</f>
        <v>0.6064765494682216</v>
      </c>
      <c r="AB247" s="910"/>
      <c r="AC247" s="910"/>
      <c r="AD247" s="950">
        <f t="shared" si="16"/>
        <v>19081.305122218761</v>
      </c>
      <c r="AF247" s="911"/>
      <c r="AG247" s="916">
        <f>+'1.3.1 CoalLR'!J247*Units!$C$20*1000</f>
        <v>27152.193600000002</v>
      </c>
      <c r="AH247" s="842">
        <f>'1.4.1 MSFLR'!F147</f>
        <v>1858.4927868539221</v>
      </c>
      <c r="AI247" s="842">
        <f>+('1.6.1 GasLR'!E127+'1.6.1 GasLR'!D127)*Units!C$19</f>
        <v>2227.5784468858974</v>
      </c>
      <c r="AJ247" s="912"/>
      <c r="AK247" s="945">
        <v>403.00945829750646</v>
      </c>
      <c r="AL247" s="910"/>
      <c r="AM247" s="945">
        <f>'1.8.2 RenHLR'!H247</f>
        <v>1198.2295435822216</v>
      </c>
      <c r="AN247" s="910"/>
      <c r="AO247" s="1082">
        <f t="shared" si="21"/>
        <v>32839.503835619551</v>
      </c>
      <c r="AQ247" s="911"/>
      <c r="AR247" s="916">
        <f>+'1.3.1 CoalLR'!L247*1000*Units!$C$20</f>
        <v>3733.7999999999997</v>
      </c>
      <c r="AS247" s="910"/>
      <c r="AT247" s="842">
        <f>('1.6.1 GasLR'!C127+'1.6.1 GasLR'!L127)*Units!C$19</f>
        <v>1544.3846150581021</v>
      </c>
      <c r="AU247" s="949"/>
      <c r="AV247" s="945">
        <v>268.06199999999995</v>
      </c>
      <c r="AW247" s="910"/>
      <c r="AX247" s="910"/>
      <c r="AY247" s="910"/>
      <c r="AZ247" s="912"/>
      <c r="BB247" s="913"/>
      <c r="BC247" s="916">
        <f t="shared" si="17"/>
        <v>73092.503039999996</v>
      </c>
      <c r="BD247" s="944">
        <f t="shared" si="22"/>
        <v>15432.252786853922</v>
      </c>
      <c r="BE247" s="914"/>
      <c r="BF247" s="910"/>
      <c r="BG247" s="916">
        <f>('1.6.1 GasLR'!O127)*Units!C$19</f>
        <v>3771.9630619439995</v>
      </c>
      <c r="BH247" s="914"/>
      <c r="BI247" s="916">
        <f t="shared" si="24"/>
        <v>1532.7054582975063</v>
      </c>
      <c r="BJ247" s="910"/>
      <c r="BK247" s="842">
        <f t="shared" si="18"/>
        <v>0.6064765494682216</v>
      </c>
      <c r="BL247" s="1085">
        <f t="shared" si="19"/>
        <v>1534.7198012597844</v>
      </c>
      <c r="BM247" s="920">
        <f>'1.5.1 OilLR'!AF77-'1.7.1 ElecLR'!AF57*1000</f>
        <v>10350.510183098</v>
      </c>
      <c r="BN247" s="921">
        <f t="shared" si="26"/>
        <v>105715.26080800267</v>
      </c>
    </row>
    <row r="248" spans="1:66" ht="10.5" customHeight="1" x14ac:dyDescent="0.35">
      <c r="A248" s="841">
        <v>1938</v>
      </c>
      <c r="B248" s="916">
        <f>+'1.3.1 CoalLR'!K248*1000*Units!$C$20</f>
        <v>27050.634239999999</v>
      </c>
      <c r="C248" s="842">
        <f>+'1.4.1 MSFLR'!B148</f>
        <v>12049.759999999998</v>
      </c>
      <c r="D248" s="910"/>
      <c r="E248" s="932">
        <f>+[1]R!$BJ698*1000</f>
        <v>954.83021909136369</v>
      </c>
      <c r="F248" s="910"/>
      <c r="G248" s="945">
        <v>887.52</v>
      </c>
      <c r="H248" s="1074">
        <f>'1.8.3 RenPTLR'!B248</f>
        <v>0.33775367797301686</v>
      </c>
      <c r="I248" s="945">
        <f>'1.8.3 RenPTLR'!E248</f>
        <v>2.0636285468615649</v>
      </c>
      <c r="J248" s="910"/>
      <c r="K248" s="842">
        <f>'1.8.2 RenHLR'!I248+'1.8.3 RenPTLR'!G248</f>
        <v>288.40682156268917</v>
      </c>
      <c r="L248" s="945">
        <v>1039.9993318327006</v>
      </c>
      <c r="M248" s="952">
        <f t="shared" si="25"/>
        <v>42273.55199471159</v>
      </c>
      <c r="N248" s="911"/>
      <c r="O248" s="945">
        <f>'1.3.1 CoalLR'!I248*1000</f>
        <v>13411.199999999999</v>
      </c>
      <c r="P248" s="910"/>
      <c r="Q248" s="912"/>
      <c r="R248" s="910"/>
      <c r="S248" s="910"/>
      <c r="T248" s="910"/>
      <c r="U248" s="1042">
        <v>5368</v>
      </c>
      <c r="V248" s="945">
        <f>'1.8.3 RenPTLR'!H248</f>
        <v>19.254425196850395</v>
      </c>
      <c r="W248" s="910"/>
      <c r="X248" s="910"/>
      <c r="Y248" s="910"/>
      <c r="Z248" s="910"/>
      <c r="AA248" s="945">
        <f>'1.8.3 RenPTLR'!C248</f>
        <v>0.41836849438287765</v>
      </c>
      <c r="AB248" s="910"/>
      <c r="AC248" s="910"/>
      <c r="AD248" s="950">
        <f t="shared" si="16"/>
        <v>18798.872793691229</v>
      </c>
      <c r="AF248" s="911"/>
      <c r="AG248" s="916">
        <f>+'1.3.1 CoalLR'!J248*Units!$C$20*1000</f>
        <v>26769.852480000001</v>
      </c>
      <c r="AH248" s="842">
        <f>'1.4.1 MSFLR'!F148</f>
        <v>1692.1685296646608</v>
      </c>
      <c r="AI248" s="842">
        <f>+('1.6.1 GasLR'!E128+'1.6.1 GasLR'!D128)*Units!C$19</f>
        <v>2234.3036043150805</v>
      </c>
      <c r="AJ248" s="912"/>
      <c r="AK248" s="945">
        <v>460.96302665520199</v>
      </c>
      <c r="AL248" s="910"/>
      <c r="AM248" s="945">
        <f>'1.8.2 RenHLR'!H248</f>
        <v>1147.3347252298513</v>
      </c>
      <c r="AN248" s="910"/>
      <c r="AO248" s="1082">
        <f t="shared" si="21"/>
        <v>32304.622365864794</v>
      </c>
      <c r="AQ248" s="911"/>
      <c r="AR248" s="916">
        <f>+'1.3.1 CoalLR'!L248*1000*Units!$C$20</f>
        <v>3703.9295999999995</v>
      </c>
      <c r="AS248" s="910"/>
      <c r="AT248" s="842">
        <f>('1.6.1 GasLR'!C128+'1.6.1 GasLR'!L128)*Units!C$19</f>
        <v>1544.5701982807591</v>
      </c>
      <c r="AU248" s="949"/>
      <c r="AV248" s="945">
        <v>257.74199999999996</v>
      </c>
      <c r="AW248" s="910"/>
      <c r="AX248" s="910"/>
      <c r="AY248" s="910"/>
      <c r="AZ248" s="912"/>
      <c r="BB248" s="913"/>
      <c r="BC248" s="916">
        <f t="shared" si="17"/>
        <v>70935.616320000001</v>
      </c>
      <c r="BD248" s="944">
        <f t="shared" si="22"/>
        <v>13741.928529664659</v>
      </c>
      <c r="BE248" s="914"/>
      <c r="BF248" s="910"/>
      <c r="BG248" s="916">
        <f>('1.6.1 GasLR'!O128)*Units!C$19</f>
        <v>3778.8738025958396</v>
      </c>
      <c r="BH248" s="914"/>
      <c r="BI248" s="916">
        <f t="shared" si="24"/>
        <v>1606.2250266552019</v>
      </c>
      <c r="BJ248" s="910"/>
      <c r="BK248" s="842">
        <f t="shared" si="18"/>
        <v>0.41836849438287765</v>
      </c>
      <c r="BL248" s="1085">
        <f t="shared" si="19"/>
        <v>1454.9959719893909</v>
      </c>
      <c r="BM248" s="920">
        <f>'1.5.1 OilLR'!AF78-'1.7.1 ElecLR'!AF58*1000</f>
        <v>9058.7126542400001</v>
      </c>
      <c r="BN248" s="921">
        <f t="shared" si="26"/>
        <v>100576.77067363949</v>
      </c>
    </row>
    <row r="249" spans="1:66" ht="10.5" customHeight="1" x14ac:dyDescent="0.35">
      <c r="A249" s="841">
        <v>1939</v>
      </c>
      <c r="B249" s="916">
        <f>+'1.3.1 CoalLR'!K249*1000*Units!$C$20</f>
        <v>26300.289791999996</v>
      </c>
      <c r="C249" s="842">
        <f>+'1.4.1 MSFLR'!B149</f>
        <v>12619.84</v>
      </c>
      <c r="D249" s="910"/>
      <c r="E249" s="932">
        <f>+[1]R!$BJ699*1000</f>
        <v>983.53015122335648</v>
      </c>
      <c r="F249" s="910"/>
      <c r="G249" s="945">
        <v>1003.792</v>
      </c>
      <c r="H249" s="945"/>
      <c r="I249" s="945"/>
      <c r="J249" s="910"/>
      <c r="K249" s="842">
        <f>'1.8.2 RenHLR'!I249+'1.8.3 RenPTLR'!G249</f>
        <v>277.98277035535585</v>
      </c>
      <c r="L249" s="945">
        <v>1066.5167277314201</v>
      </c>
      <c r="M249" s="952">
        <f t="shared" si="25"/>
        <v>42251.951441310121</v>
      </c>
      <c r="N249" s="911"/>
      <c r="O249" s="945">
        <f>'1.3.1 CoalLR'!I249*1000</f>
        <v>13106.400000000001</v>
      </c>
      <c r="P249" s="910"/>
      <c r="Q249" s="912"/>
      <c r="R249" s="910"/>
      <c r="S249" s="910"/>
      <c r="T249" s="910"/>
      <c r="U249" s="1042">
        <v>5268</v>
      </c>
      <c r="V249" s="945"/>
      <c r="W249" s="910"/>
      <c r="X249" s="910"/>
      <c r="Y249" s="910"/>
      <c r="Z249" s="910"/>
      <c r="AA249" s="945"/>
      <c r="AB249" s="910"/>
      <c r="AC249" s="910"/>
      <c r="AD249" s="950">
        <f t="shared" si="16"/>
        <v>18374.400000000001</v>
      </c>
      <c r="AF249" s="911"/>
      <c r="AG249" s="916">
        <f>+'1.3.1 CoalLR'!J249*Units!$C$20*1000</f>
        <v>26481.901824</v>
      </c>
      <c r="AH249" s="842">
        <f>'1.4.1 MSFLR'!F149</f>
        <v>1689.2759338874562</v>
      </c>
      <c r="AI249" s="842">
        <f>+('1.6.1 GasLR'!E129+'1.6.1 GasLR'!D129)*Units!C$19</f>
        <v>2252.3753517038849</v>
      </c>
      <c r="AJ249" s="912"/>
      <c r="AK249" s="945">
        <v>510.40412725709371</v>
      </c>
      <c r="AL249" s="910"/>
      <c r="AM249" s="945">
        <f>'1.8.2 RenHLR'!H249</f>
        <v>1223.1471745201495</v>
      </c>
      <c r="AN249" s="910"/>
      <c r="AO249" s="1082">
        <f t="shared" si="21"/>
        <v>32157.104411368586</v>
      </c>
      <c r="AQ249" s="911"/>
      <c r="AR249" s="916">
        <f>+'1.3.1 CoalLR'!L249*1000*Units!$C$20</f>
        <v>4758.1157568000026</v>
      </c>
      <c r="AS249" s="910"/>
      <c r="AT249" s="842">
        <f>('1.6.1 GasLR'!C129+'1.6.1 GasLR'!L129)*Units!C$19</f>
        <v>1523.3777395435948</v>
      </c>
      <c r="AU249" s="949"/>
      <c r="AV249" s="945">
        <v>280.87599999999998</v>
      </c>
      <c r="AW249" s="910"/>
      <c r="AX249" s="910"/>
      <c r="AY249" s="910"/>
      <c r="AZ249" s="912"/>
      <c r="BB249" s="913"/>
      <c r="BC249" s="916">
        <f t="shared" si="17"/>
        <v>70646.707372799996</v>
      </c>
      <c r="BD249" s="944">
        <f t="shared" si="22"/>
        <v>14309.115933887457</v>
      </c>
      <c r="BE249" s="914"/>
      <c r="BF249" s="910"/>
      <c r="BG249" s="916">
        <f>('1.6.1 GasLR'!O129)*Units!C$19</f>
        <v>3775.7530912474795</v>
      </c>
      <c r="BH249" s="914"/>
      <c r="BI249" s="916">
        <f t="shared" si="24"/>
        <v>1795.0721272570938</v>
      </c>
      <c r="BJ249" s="910"/>
      <c r="BK249" s="842"/>
      <c r="BL249" s="1085">
        <f t="shared" si="19"/>
        <v>1501.1299448755053</v>
      </c>
      <c r="BM249" s="920">
        <f>'1.5.1 OilLR'!AF79-'1.7.1 ElecLR'!AF59*1000</f>
        <v>8211.7270215280005</v>
      </c>
      <c r="BN249" s="921">
        <f t="shared" si="26"/>
        <v>100239.50549159553</v>
      </c>
    </row>
    <row r="250" spans="1:66" ht="10.5" customHeight="1" x14ac:dyDescent="0.35">
      <c r="A250" s="841">
        <v>1940</v>
      </c>
      <c r="B250" s="916">
        <f>+'1.3.1 CoalLR'!K250*1000*Units!$C$20</f>
        <v>25461.051033599997</v>
      </c>
      <c r="C250" s="842">
        <f>+'1.4.1 MSFLR'!B150</f>
        <v>13189.92</v>
      </c>
      <c r="D250" s="910"/>
      <c r="E250" s="932">
        <f>+[1]R!$BJ700*1000</f>
        <v>995.47342495738644</v>
      </c>
      <c r="F250" s="910"/>
      <c r="G250" s="945">
        <v>1193.164</v>
      </c>
      <c r="H250" s="945"/>
      <c r="I250" s="945"/>
      <c r="J250" s="910"/>
      <c r="K250" s="842">
        <f>'1.8.2 RenHLR'!I250+'1.8.3 RenPTLR'!G250</f>
        <v>269.76731053862181</v>
      </c>
      <c r="L250" s="945">
        <v>1118.9047537752313</v>
      </c>
      <c r="M250" s="952">
        <f t="shared" si="25"/>
        <v>42228.280522871239</v>
      </c>
      <c r="N250" s="911"/>
      <c r="O250" s="945">
        <f>'1.3.1 CoalLR'!I250*1000</f>
        <v>13716.000000000002</v>
      </c>
      <c r="P250" s="910"/>
      <c r="Q250" s="912"/>
      <c r="R250" s="910"/>
      <c r="S250" s="910"/>
      <c r="T250" s="910"/>
      <c r="U250" s="1042">
        <v>4215</v>
      </c>
      <c r="V250" s="945"/>
      <c r="W250" s="910"/>
      <c r="X250" s="910"/>
      <c r="Y250" s="910"/>
      <c r="Z250" s="910"/>
      <c r="AA250" s="945"/>
      <c r="AB250" s="910"/>
      <c r="AC250" s="910"/>
      <c r="AD250" s="950">
        <f t="shared" si="16"/>
        <v>17931</v>
      </c>
      <c r="AF250" s="911"/>
      <c r="AG250" s="916">
        <f>+'1.3.1 CoalLR'!J250*Units!$C$20*1000</f>
        <v>25916.992819200001</v>
      </c>
      <c r="AH250" s="842">
        <f>'1.4.1 MSFLR'!F150</f>
        <v>1686.3833381102515</v>
      </c>
      <c r="AI250" s="842">
        <f>+('1.6.1 GasLR'!E130+'1.6.1 GasLR'!D130)*Units!C$19</f>
        <v>2199.081242573463</v>
      </c>
      <c r="AJ250" s="912"/>
      <c r="AK250" s="945">
        <v>535.511607910576</v>
      </c>
      <c r="AL250" s="910"/>
      <c r="AM250" s="945">
        <f>'1.8.2 RenHLR'!H250</f>
        <v>1326.2207873085592</v>
      </c>
      <c r="AN250" s="910"/>
      <c r="AO250" s="1082">
        <f t="shared" si="21"/>
        <v>31664.189795102851</v>
      </c>
      <c r="AQ250" s="911"/>
      <c r="AR250" s="916">
        <f>+'1.3.1 CoalLR'!L250*1000*Units!$C$20</f>
        <v>5764.9155110400043</v>
      </c>
      <c r="AS250" s="910"/>
      <c r="AT250" s="842">
        <f>('1.6.1 GasLR'!C130+'1.6.1 GasLR'!L130)*Units!C$19</f>
        <v>1434.6048028123769</v>
      </c>
      <c r="AU250" s="949"/>
      <c r="AV250" s="945">
        <v>280.01599999999991</v>
      </c>
      <c r="AW250" s="910"/>
      <c r="AX250" s="910"/>
      <c r="AY250" s="910"/>
      <c r="AZ250" s="912"/>
      <c r="BB250" s="913"/>
      <c r="BC250" s="916">
        <f t="shared" si="17"/>
        <v>70858.959363840011</v>
      </c>
      <c r="BD250" s="944">
        <f t="shared" si="22"/>
        <v>14876.303338110252</v>
      </c>
      <c r="BE250" s="914"/>
      <c r="BF250" s="910"/>
      <c r="BG250" s="916">
        <f>('1.6.1 GasLR'!O130)*Units!C$19</f>
        <v>3633.6860453858394</v>
      </c>
      <c r="BH250" s="914"/>
      <c r="BI250" s="916">
        <f t="shared" si="24"/>
        <v>2008.6916079105758</v>
      </c>
      <c r="BJ250" s="910"/>
      <c r="BK250" s="842"/>
      <c r="BL250" s="1085">
        <f t="shared" si="19"/>
        <v>1595.9880978471811</v>
      </c>
      <c r="BM250" s="920">
        <f>'1.5.1 OilLR'!AF80-'1.7.1 ElecLR'!AF60*1000</f>
        <v>7787.6264505119998</v>
      </c>
      <c r="BN250" s="921">
        <f t="shared" si="26"/>
        <v>100761.25490360586</v>
      </c>
    </row>
    <row r="251" spans="1:66" ht="10.5" customHeight="1" x14ac:dyDescent="0.35">
      <c r="A251" s="841">
        <v>1941</v>
      </c>
      <c r="B251" s="916">
        <f>+'1.3.1 CoalLR'!K251*1000*Units!$C$20</f>
        <v>24550.696826879997</v>
      </c>
      <c r="C251" s="842">
        <f>+'1.4.1 MSFLR'!B151</f>
        <v>13760</v>
      </c>
      <c r="D251" s="910"/>
      <c r="E251" s="932">
        <f>+[1]R!$BJ701*1000</f>
        <v>1068.6519057449239</v>
      </c>
      <c r="F251" s="910"/>
      <c r="G251" s="945">
        <v>1396.9839999999997</v>
      </c>
      <c r="H251" s="945"/>
      <c r="I251" s="945"/>
      <c r="J251" s="910"/>
      <c r="K251" s="842">
        <f>'1.8.2 RenHLR'!I251+'1.8.3 RenPTLR'!G251</f>
        <v>263.31872383436712</v>
      </c>
      <c r="L251" s="945">
        <v>1188.7554551669798</v>
      </c>
      <c r="M251" s="952">
        <f t="shared" si="25"/>
        <v>42228.406911626269</v>
      </c>
      <c r="N251" s="911"/>
      <c r="O251" s="945">
        <f>'1.3.1 CoalLR'!I251*1000</f>
        <v>14020.800000000001</v>
      </c>
      <c r="P251" s="910"/>
      <c r="Q251" s="912"/>
      <c r="R251" s="910"/>
      <c r="S251" s="910"/>
      <c r="T251" s="910"/>
      <c r="U251" s="1042">
        <v>4898</v>
      </c>
      <c r="V251" s="945"/>
      <c r="W251" s="910"/>
      <c r="X251" s="910"/>
      <c r="Y251" s="910"/>
      <c r="Z251" s="910"/>
      <c r="AA251" s="945"/>
      <c r="AB251" s="910"/>
      <c r="AC251" s="910"/>
      <c r="AD251" s="950">
        <f t="shared" si="16"/>
        <v>18918.800000000003</v>
      </c>
      <c r="AF251" s="911"/>
      <c r="AG251" s="916">
        <f>+'1.3.1 CoalLR'!J251*Units!$C$20*1000</f>
        <v>25082.724495360002</v>
      </c>
      <c r="AH251" s="842">
        <f>'1.4.1 MSFLR'!F151</f>
        <v>1683.4907423330469</v>
      </c>
      <c r="AI251" s="842">
        <f>+('1.6.1 GasLR'!E131+'1.6.1 GasLR'!D131)*Units!C$19</f>
        <v>2294.6779451483685</v>
      </c>
      <c r="AJ251" s="912"/>
      <c r="AK251" s="945">
        <v>570.67927773000849</v>
      </c>
      <c r="AL251" s="910"/>
      <c r="AM251" s="945">
        <f>'1.8.2 RenHLR'!H251</f>
        <v>1326.2207873085592</v>
      </c>
      <c r="AN251" s="910"/>
      <c r="AO251" s="1082">
        <f t="shared" si="21"/>
        <v>30957.793247879985</v>
      </c>
      <c r="AQ251" s="911"/>
      <c r="AR251" s="916">
        <f>+'1.3.1 CoalLR'!L251*1000*Units!$C$20</f>
        <v>6389.5796536320022</v>
      </c>
      <c r="AS251" s="910"/>
      <c r="AT251" s="842">
        <f>('1.6.1 GasLR'!C131+'1.6.1 GasLR'!L131)*Units!C$19</f>
        <v>1544.6710887480303</v>
      </c>
      <c r="AU251" s="949"/>
      <c r="AV251" s="945">
        <v>263.33199999999994</v>
      </c>
      <c r="AW251" s="910"/>
      <c r="AX251" s="910"/>
      <c r="AY251" s="910"/>
      <c r="AZ251" s="912"/>
      <c r="BB251" s="913"/>
      <c r="BC251" s="916">
        <f t="shared" si="17"/>
        <v>70043.800975872</v>
      </c>
      <c r="BD251" s="944">
        <f t="shared" si="22"/>
        <v>15443.490742333048</v>
      </c>
      <c r="BE251" s="914"/>
      <c r="BF251" s="910"/>
      <c r="BG251" s="916">
        <f>('1.6.1 GasLR'!O131)*Units!C$19</f>
        <v>3839.3490338963989</v>
      </c>
      <c r="BH251" s="914"/>
      <c r="BI251" s="916">
        <f t="shared" si="24"/>
        <v>2230.9952777300082</v>
      </c>
      <c r="BJ251" s="910"/>
      <c r="BK251" s="842"/>
      <c r="BL251" s="1085">
        <f t="shared" si="19"/>
        <v>1589.5395111429264</v>
      </c>
      <c r="BM251" s="920">
        <f>'1.5.1 OilLR'!AF81-'1.7.1 ElecLR'!AF61*1000</f>
        <v>8688.7126542400001</v>
      </c>
      <c r="BN251" s="921">
        <f t="shared" si="26"/>
        <v>101835.88819521439</v>
      </c>
    </row>
    <row r="252" spans="1:66" ht="10.5" customHeight="1" x14ac:dyDescent="0.35">
      <c r="A252" s="841">
        <v>1942</v>
      </c>
      <c r="B252" s="916">
        <f>+'1.3.1 CoalLR'!K252*1000*Units!$C$20</f>
        <v>24180.858261503996</v>
      </c>
      <c r="C252" s="842">
        <f>+'1.4.1 MSFLR'!B152</f>
        <v>14350</v>
      </c>
      <c r="D252" s="910"/>
      <c r="E252" s="932">
        <f>+[1]R!$BJ702*1000</f>
        <v>1138.070500128186</v>
      </c>
      <c r="F252" s="910"/>
      <c r="G252" s="945">
        <v>1646.2119999999998</v>
      </c>
      <c r="H252" s="945"/>
      <c r="I252" s="945"/>
      <c r="J252" s="910"/>
      <c r="K252" s="842">
        <f>'1.8.2 RenHLR'!I252+'1.8.3 RenPTLR'!G252</f>
        <v>258.28363562009594</v>
      </c>
      <c r="L252" s="945">
        <v>1153.8301044711056</v>
      </c>
      <c r="M252" s="952">
        <f t="shared" si="25"/>
        <v>42727.254501723379</v>
      </c>
      <c r="N252" s="911"/>
      <c r="O252" s="945">
        <f>'1.3.1 CoalLR'!I252*1000</f>
        <v>14732</v>
      </c>
      <c r="P252" s="910"/>
      <c r="Q252" s="912"/>
      <c r="R252" s="910"/>
      <c r="S252" s="910"/>
      <c r="T252" s="910"/>
      <c r="U252" s="1042">
        <v>4848</v>
      </c>
      <c r="V252" s="945"/>
      <c r="W252" s="910"/>
      <c r="X252" s="910"/>
      <c r="Y252" s="910"/>
      <c r="Z252" s="910"/>
      <c r="AA252" s="945"/>
      <c r="AB252" s="910"/>
      <c r="AC252" s="910"/>
      <c r="AD252" s="950">
        <f t="shared" si="16"/>
        <v>19580</v>
      </c>
      <c r="AF252" s="911"/>
      <c r="AG252" s="916">
        <f>+'1.3.1 CoalLR'!J252*Units!$C$20*1000</f>
        <v>24283.880076287998</v>
      </c>
      <c r="AH252" s="842">
        <f>'1.4.1 MSFLR'!F152</f>
        <v>1680.5981465558423</v>
      </c>
      <c r="AI252" s="842">
        <f>+('1.6.1 GasLR'!E132+'1.6.1 GasLR'!D132)*Units!C$19</f>
        <v>2476.7200029700348</v>
      </c>
      <c r="AJ252" s="912"/>
      <c r="AK252" s="945">
        <v>577.81599312123808</v>
      </c>
      <c r="AL252" s="910"/>
      <c r="AM252" s="945">
        <f>'1.8.2 RenHLR'!H252</f>
        <v>1231.8533341583061</v>
      </c>
      <c r="AN252" s="910"/>
      <c r="AO252" s="1082">
        <f t="shared" si="21"/>
        <v>30250.867553093423</v>
      </c>
      <c r="AQ252" s="911"/>
      <c r="AR252" s="916">
        <f>+'1.3.1 CoalLR'!L252*1000*Units!$C$20</f>
        <v>6864.2198317056045</v>
      </c>
      <c r="AS252" s="910"/>
      <c r="AT252" s="842">
        <f>('1.6.1 GasLR'!C132+'1.6.1 GasLR'!L132)*Units!C$19</f>
        <v>1645.4586633905246</v>
      </c>
      <c r="AU252" s="949"/>
      <c r="AV252" s="945">
        <v>301.85999999999996</v>
      </c>
      <c r="AW252" s="910"/>
      <c r="AX252" s="910"/>
      <c r="AY252" s="910"/>
      <c r="AZ252" s="912"/>
      <c r="BB252" s="913"/>
      <c r="BC252" s="916">
        <f t="shared" si="17"/>
        <v>70060.958169497593</v>
      </c>
      <c r="BD252" s="944">
        <f t="shared" ref="BD252:BD269" si="27">C252+P252+AH252+AS252</f>
        <v>16030.598146555842</v>
      </c>
      <c r="BE252" s="914"/>
      <c r="BF252" s="910"/>
      <c r="BG252" s="916">
        <f>('1.6.1 GasLR'!O132)*Units!C$19</f>
        <v>4122.1786663605599</v>
      </c>
      <c r="BH252" s="914"/>
      <c r="BI252" s="916">
        <f t="shared" si="24"/>
        <v>2525.8879931212382</v>
      </c>
      <c r="BJ252" s="910"/>
      <c r="BK252" s="842"/>
      <c r="BL252" s="1085">
        <f t="shared" si="19"/>
        <v>1490.1369697784021</v>
      </c>
      <c r="BM252" s="920">
        <f>'1.5.1 OilLR'!AF82-'1.7.1 ElecLR'!AF62*1000</f>
        <v>8481.7413888160008</v>
      </c>
      <c r="BN252" s="921">
        <f t="shared" si="26"/>
        <v>102711.50133412963</v>
      </c>
    </row>
    <row r="253" spans="1:66" ht="10.5" customHeight="1" x14ac:dyDescent="0.35">
      <c r="A253" s="841">
        <v>1943</v>
      </c>
      <c r="B253" s="916">
        <f>+'1.3.1 CoalLR'!K253*1000*Units!$C$20</f>
        <v>23298.912</v>
      </c>
      <c r="C253" s="842">
        <f>+'1.4.1 MSFLR'!B153</f>
        <v>12840.000000000002</v>
      </c>
      <c r="D253" s="910"/>
      <c r="E253" s="932">
        <f>+'1.6.1 GasLR'!G133*Units!C$19</f>
        <v>1179.5481359999999</v>
      </c>
      <c r="F253" s="910"/>
      <c r="G253" s="945">
        <v>1764.3759999999997</v>
      </c>
      <c r="H253" s="945"/>
      <c r="I253" s="945"/>
      <c r="J253" s="910"/>
      <c r="K253" s="842">
        <f>'1.8.2 RenHLR'!I253+'1.8.3 RenPTLR'!G253</f>
        <v>254.37934619781157</v>
      </c>
      <c r="L253" s="945">
        <v>1114.3773934998405</v>
      </c>
      <c r="M253" s="952">
        <f t="shared" si="25"/>
        <v>40451.59287569765</v>
      </c>
      <c r="N253" s="911"/>
      <c r="O253" s="945">
        <f>'1.3.1 CoalLR'!I253*1000</f>
        <v>15036.800000000001</v>
      </c>
      <c r="P253" s="910"/>
      <c r="Q253" s="912"/>
      <c r="R253" s="910"/>
      <c r="S253" s="910"/>
      <c r="T253" s="910"/>
      <c r="U253" s="1042">
        <v>5520</v>
      </c>
      <c r="V253" s="945"/>
      <c r="W253" s="910"/>
      <c r="X253" s="910"/>
      <c r="Y253" s="910"/>
      <c r="Z253" s="910"/>
      <c r="AA253" s="945"/>
      <c r="AB253" s="910"/>
      <c r="AC253" s="910"/>
      <c r="AD253" s="950">
        <f t="shared" si="16"/>
        <v>20556.800000000003</v>
      </c>
      <c r="AF253" s="911"/>
      <c r="AG253" s="916">
        <f>+'1.3.1 CoalLR'!J253*Units!$C$20*1000</f>
        <v>25330.099200000001</v>
      </c>
      <c r="AH253" s="842">
        <f>'1.4.1 MSFLR'!F153</f>
        <v>1677.7055507786376</v>
      </c>
      <c r="AI253" s="842">
        <f>+('1.6.1 GasLR'!E133+'1.6.1 GasLR'!D133)*Units!C$19</f>
        <v>4115.9325439297563</v>
      </c>
      <c r="AJ253" s="912"/>
      <c r="AK253" s="945">
        <v>576.87016337059322</v>
      </c>
      <c r="AL253" s="910"/>
      <c r="AM253" s="945">
        <f>'1.8.2 RenHLR'!H253</f>
        <v>1220.3406861755179</v>
      </c>
      <c r="AN253" s="910"/>
      <c r="AO253" s="1082">
        <f t="shared" si="21"/>
        <v>32920.948144254507</v>
      </c>
      <c r="AQ253" s="911"/>
      <c r="AR253" s="916">
        <f>+'1.3.1 CoalLR'!L253*1000*Units!$C$20</f>
        <v>8974.8603840000142</v>
      </c>
      <c r="AS253" s="910"/>
      <c r="AT253" s="842">
        <f>('1.6.1 GasLR'!C133+'1.6.1 GasLR'!L133)*Units!C$19</f>
        <v>521.72321399999987</v>
      </c>
      <c r="AU253" s="949"/>
      <c r="AV253" s="945">
        <v>299.452</v>
      </c>
      <c r="AW253" s="910"/>
      <c r="AX253" s="910"/>
      <c r="AY253" s="910"/>
      <c r="AZ253" s="912"/>
      <c r="BB253" s="913"/>
      <c r="BC253" s="916">
        <f t="shared" si="17"/>
        <v>72640.671584000011</v>
      </c>
      <c r="BD253" s="944">
        <f t="shared" si="27"/>
        <v>14517.705550778639</v>
      </c>
      <c r="BE253" s="914"/>
      <c r="BF253" s="910"/>
      <c r="BG253" s="916">
        <f>('1.6.1 GasLR'!O133)*Units!C$19</f>
        <v>4261.999781999999</v>
      </c>
      <c r="BH253" s="914"/>
      <c r="BI253" s="916">
        <f t="shared" si="24"/>
        <v>2640.6981633705927</v>
      </c>
      <c r="BJ253" s="910"/>
      <c r="BK253" s="842"/>
      <c r="BL253" s="1085">
        <f t="shared" si="19"/>
        <v>1474.7200323733296</v>
      </c>
      <c r="BM253" s="920">
        <f>'1.5.1 OilLR'!AF83-'1.7.1 ElecLR'!AF63*1000</f>
        <v>8995.7988579680004</v>
      </c>
      <c r="BN253" s="921">
        <f t="shared" si="26"/>
        <v>104531.59397049056</v>
      </c>
    </row>
    <row r="254" spans="1:66" ht="10.5" customHeight="1" x14ac:dyDescent="0.35">
      <c r="A254" s="841">
        <v>1944</v>
      </c>
      <c r="B254" s="916">
        <f>+'1.3.1 CoalLR'!K254*1000*Units!$C$20</f>
        <v>22104.095999999998</v>
      </c>
      <c r="C254" s="842">
        <f>+'1.4.1 MSFLR'!B154</f>
        <v>12470</v>
      </c>
      <c r="D254" s="910"/>
      <c r="E254" s="932">
        <f>+'1.6.1 GasLR'!G134*Units!C$19</f>
        <v>1098.8952719999997</v>
      </c>
      <c r="F254" s="910"/>
      <c r="G254" s="945">
        <v>1717.9359999999997</v>
      </c>
      <c r="H254" s="945"/>
      <c r="I254" s="945"/>
      <c r="J254" s="910"/>
      <c r="K254" s="842">
        <f>'1.8.2 RenHLR'!I254+'1.8.3 RenPTLR'!G254</f>
        <v>251.37969580911664</v>
      </c>
      <c r="L254" s="945">
        <v>1254.0787962833374</v>
      </c>
      <c r="M254" s="952">
        <f t="shared" si="25"/>
        <v>38896.385764092454</v>
      </c>
      <c r="N254" s="911"/>
      <c r="O254" s="945">
        <f>'1.3.1 CoalLR'!I254*1000</f>
        <v>15240</v>
      </c>
      <c r="P254" s="910"/>
      <c r="Q254" s="912"/>
      <c r="R254" s="910"/>
      <c r="S254" s="910"/>
      <c r="T254" s="910"/>
      <c r="U254" s="1042">
        <v>9016</v>
      </c>
      <c r="V254" s="945"/>
      <c r="W254" s="910"/>
      <c r="X254" s="910"/>
      <c r="Y254" s="910"/>
      <c r="Z254" s="910"/>
      <c r="AA254" s="945"/>
      <c r="AB254" s="910"/>
      <c r="AC254" s="910"/>
      <c r="AD254" s="950">
        <f t="shared" si="16"/>
        <v>24256</v>
      </c>
      <c r="AF254" s="911"/>
      <c r="AG254" s="916">
        <f>+'1.3.1 CoalLR'!J254*Units!$C$20*1000</f>
        <v>23657.356799999998</v>
      </c>
      <c r="AH254" s="842">
        <f>'1.4.1 MSFLR'!F154</f>
        <v>1674.812955001433</v>
      </c>
      <c r="AI254" s="842">
        <f>+('1.6.1 GasLR'!E134+'1.6.1 GasLR'!D134)*Units!C$19</f>
        <v>2716.9933559999999</v>
      </c>
      <c r="AJ254" s="912"/>
      <c r="AK254" s="945">
        <v>673.68873602751501</v>
      </c>
      <c r="AL254" s="910"/>
      <c r="AM254" s="945">
        <f>'1.8.2 RenHLR'!H254</f>
        <v>1139.7521502960026</v>
      </c>
      <c r="AN254" s="910"/>
      <c r="AO254" s="1082">
        <f t="shared" si="21"/>
        <v>29862.60399732495</v>
      </c>
      <c r="AQ254" s="911"/>
      <c r="AR254" s="916">
        <f>+'1.3.1 CoalLR'!L254*1000*Units!$C$20</f>
        <v>9792.114528000011</v>
      </c>
      <c r="AS254" s="910"/>
      <c r="AT254" s="842">
        <f>('1.6.1 GasLR'!C134+'1.6.1 GasLR'!L134)*Units!C$19</f>
        <v>645.22291199999995</v>
      </c>
      <c r="AU254" s="949"/>
      <c r="AV254" s="945">
        <v>334.71199999999993</v>
      </c>
      <c r="AW254" s="910"/>
      <c r="AX254" s="910"/>
      <c r="AY254" s="910"/>
      <c r="AZ254" s="912"/>
      <c r="BB254" s="913"/>
      <c r="BC254" s="916">
        <f t="shared" si="17"/>
        <v>70793.567328000005</v>
      </c>
      <c r="BD254" s="944">
        <f t="shared" si="27"/>
        <v>14144.812955001433</v>
      </c>
      <c r="BE254" s="914"/>
      <c r="BF254" s="910"/>
      <c r="BG254" s="916">
        <f>('1.6.1 GasLR'!O134)*Units!C$19</f>
        <v>4461.1115399999999</v>
      </c>
      <c r="BH254" s="914"/>
      <c r="BI254" s="916">
        <f t="shared" si="24"/>
        <v>2726.3367360275147</v>
      </c>
      <c r="BJ254" s="910"/>
      <c r="BK254" s="842"/>
      <c r="BL254" s="1085">
        <f t="shared" si="19"/>
        <v>1391.1318461051192</v>
      </c>
      <c r="BM254" s="920">
        <f>'1.5.1 OilLR'!AF84-'1.7.1 ElecLR'!AF64*1000</f>
        <v>13069.741388816001</v>
      </c>
      <c r="BN254" s="921">
        <f t="shared" si="26"/>
        <v>106586.70179395005</v>
      </c>
    </row>
    <row r="255" spans="1:66" ht="10.5" customHeight="1" x14ac:dyDescent="0.35">
      <c r="A255" s="841">
        <v>1945</v>
      </c>
      <c r="B255" s="916">
        <f>+'1.3.1 CoalLR'!K255*1000*Units!$C$20</f>
        <v>20909.28</v>
      </c>
      <c r="C255" s="842">
        <f>+'1.4.1 MSFLR'!B155</f>
        <v>11660.000000000002</v>
      </c>
      <c r="D255" s="910"/>
      <c r="E255" s="932">
        <f>+'1.6.1 GasLR'!G135*Units!C$19</f>
        <v>985.47718199999997</v>
      </c>
      <c r="F255" s="910"/>
      <c r="G255" s="945">
        <v>1520.3939999999998</v>
      </c>
      <c r="H255" s="945"/>
      <c r="I255" s="945"/>
      <c r="J255" s="910"/>
      <c r="K255" s="842">
        <f>'1.8.2 RenHLR'!I255+'1.8.3 RenPTLR'!G255</f>
        <v>249.10375664729321</v>
      </c>
      <c r="L255" s="945">
        <v>1213.9793195584448</v>
      </c>
      <c r="M255" s="952">
        <f t="shared" si="25"/>
        <v>36538.234258205739</v>
      </c>
      <c r="N255" s="911"/>
      <c r="O255" s="945">
        <f>'1.3.1 CoalLR'!I255*1000</f>
        <v>14833.6</v>
      </c>
      <c r="P255" s="910"/>
      <c r="Q255" s="912"/>
      <c r="R255" s="910"/>
      <c r="S255" s="910"/>
      <c r="T255" s="910"/>
      <c r="U255" s="1042">
        <v>6503</v>
      </c>
      <c r="V255" s="945"/>
      <c r="W255" s="910"/>
      <c r="X255" s="910"/>
      <c r="Y255" s="910"/>
      <c r="Z255" s="910"/>
      <c r="AA255" s="945"/>
      <c r="AB255" s="910"/>
      <c r="AC255" s="910"/>
      <c r="AD255" s="950">
        <f t="shared" si="16"/>
        <v>21336.6</v>
      </c>
      <c r="AF255" s="911"/>
      <c r="AG255" s="916">
        <f>+'1.3.1 CoalLR'!J255*Units!$C$20*1000</f>
        <v>21745.651199999997</v>
      </c>
      <c r="AH255" s="842">
        <f>'1.4.1 MSFLR'!F155</f>
        <v>1671.9203592242284</v>
      </c>
      <c r="AI255" s="842">
        <f>+('1.6.1 GasLR'!E135+'1.6.1 GasLR'!D135)*Units!C$19</f>
        <v>2958.9519479999994</v>
      </c>
      <c r="AJ255" s="912"/>
      <c r="AK255" s="945">
        <v>757.09372312983658</v>
      </c>
      <c r="AL255" s="910"/>
      <c r="AM255" s="945">
        <f>'1.8.2 RenHLR'!H255</f>
        <v>1129.0641127220019</v>
      </c>
      <c r="AN255" s="910"/>
      <c r="AO255" s="1082">
        <f t="shared" si="21"/>
        <v>28262.681343076063</v>
      </c>
      <c r="AQ255" s="911"/>
      <c r="AR255" s="916">
        <f>+'1.3.1 CoalLR'!L255*1000*Units!$C$20</f>
        <v>8888.2362239999984</v>
      </c>
      <c r="AS255" s="910"/>
      <c r="AT255" s="842">
        <f>('1.6.1 GasLR'!C135+'1.6.1 GasLR'!L135)*Units!C$19</f>
        <v>645.22291199999995</v>
      </c>
      <c r="AU255" s="949"/>
      <c r="AV255" s="945">
        <v>341.678</v>
      </c>
      <c r="AW255" s="910"/>
      <c r="AX255" s="910"/>
      <c r="AY255" s="910"/>
      <c r="AZ255" s="912"/>
      <c r="BB255" s="913"/>
      <c r="BC255" s="916">
        <f t="shared" si="17"/>
        <v>66376.767423999991</v>
      </c>
      <c r="BD255" s="944">
        <f t="shared" si="27"/>
        <v>13331.92035922423</v>
      </c>
      <c r="BE255" s="914"/>
      <c r="BF255" s="910"/>
      <c r="BG255" s="916">
        <f>('1.6.1 GasLR'!O135)*Units!C$19</f>
        <v>4589.6520419999997</v>
      </c>
      <c r="BH255" s="914"/>
      <c r="BI255" s="916">
        <f t="shared" si="24"/>
        <v>2619.1657231298364</v>
      </c>
      <c r="BJ255" s="910"/>
      <c r="BK255" s="842"/>
      <c r="BL255" s="1085">
        <f t="shared" si="19"/>
        <v>1378.1678693692952</v>
      </c>
      <c r="BM255" s="920">
        <f>'1.5.1 OilLR'!AF85-'1.7.1 ElecLR'!AF65*1000</f>
        <v>10551.71265424</v>
      </c>
      <c r="BN255" s="921">
        <f t="shared" si="26"/>
        <v>98847.386071963352</v>
      </c>
    </row>
    <row r="256" spans="1:66" ht="10.5" customHeight="1" x14ac:dyDescent="0.35">
      <c r="A256" s="841">
        <v>1946</v>
      </c>
      <c r="B256" s="916">
        <f>+'1.3.1 CoalLR'!K256*1000*Units!$C$20</f>
        <v>22701.504000000004</v>
      </c>
      <c r="C256" s="842">
        <f>+'1.4.1 MSFLR'!B156</f>
        <v>12140</v>
      </c>
      <c r="D256" s="910"/>
      <c r="E256" s="932">
        <f>+'1.6.1 GasLR'!G136*Units!C$19</f>
        <v>1010.6812019999999</v>
      </c>
      <c r="F256" s="910"/>
      <c r="G256" s="945">
        <v>1516.3519999999999</v>
      </c>
      <c r="H256" s="945"/>
      <c r="I256" s="945"/>
      <c r="J256" s="910"/>
      <c r="K256" s="842">
        <f>'1.8.2 RenHLR'!I256+'1.8.3 RenPTLR'!G256</f>
        <v>247.40678646696711</v>
      </c>
      <c r="L256" s="945">
        <v>1538.0089621257227</v>
      </c>
      <c r="M256" s="952">
        <f t="shared" si="25"/>
        <v>39153.952950592691</v>
      </c>
      <c r="N256" s="911"/>
      <c r="O256" s="945">
        <f>'1.3.1 CoalLR'!I256*1000</f>
        <v>15036.800000000001</v>
      </c>
      <c r="P256" s="910"/>
      <c r="Q256" s="912"/>
      <c r="R256" s="910"/>
      <c r="S256" s="910"/>
      <c r="T256" s="910"/>
      <c r="U256" s="1042">
        <v>5073</v>
      </c>
      <c r="V256" s="945"/>
      <c r="W256" s="910"/>
      <c r="X256" s="910"/>
      <c r="Y256" s="910"/>
      <c r="Z256" s="910"/>
      <c r="AA256" s="945"/>
      <c r="AB256" s="910"/>
      <c r="AC256" s="910"/>
      <c r="AD256" s="950">
        <f t="shared" si="16"/>
        <v>20109.800000000003</v>
      </c>
      <c r="AF256" s="911"/>
      <c r="AG256" s="916">
        <f>+'1.3.1 CoalLR'!J256*Units!$C$20*1000</f>
        <v>21088.502399999998</v>
      </c>
      <c r="AH256" s="842">
        <f>'1.4.1 MSFLR'!F156</f>
        <v>1669.0277634470237</v>
      </c>
      <c r="AI256" s="842">
        <f>+('1.6.1 GasLR'!E136+'1.6.1 GasLR'!D136)*Units!C$19</f>
        <v>3314.32863</v>
      </c>
      <c r="AJ256" s="912"/>
      <c r="AK256" s="945">
        <v>1002.8374892519345</v>
      </c>
      <c r="AL256" s="910"/>
      <c r="AM256" s="945">
        <f>'1.8.2 RenHLR'!H256</f>
        <v>1118.3760751480015</v>
      </c>
      <c r="AN256" s="910"/>
      <c r="AO256" s="1082">
        <f t="shared" si="21"/>
        <v>28193.072357846955</v>
      </c>
      <c r="AQ256" s="911"/>
      <c r="AR256" s="916">
        <f>+'1.3.1 CoalLR'!L256*1000*Units!$C$20</f>
        <v>8762.7805440000193</v>
      </c>
      <c r="AS256" s="910"/>
      <c r="AT256" s="842">
        <f>('1.6.1 GasLR'!C136+'1.6.1 GasLR'!L136)*Units!C$19</f>
        <v>720.83497199999988</v>
      </c>
      <c r="AU256" s="949"/>
      <c r="AV256" s="945">
        <v>384.334</v>
      </c>
      <c r="AW256" s="910"/>
      <c r="AX256" s="910"/>
      <c r="AY256" s="910"/>
      <c r="AZ256" s="912"/>
      <c r="BB256" s="913"/>
      <c r="BC256" s="916">
        <f t="shared" si="17"/>
        <v>67589.586944000024</v>
      </c>
      <c r="BD256" s="944">
        <f t="shared" si="27"/>
        <v>13809.027763447024</v>
      </c>
      <c r="BE256" s="914"/>
      <c r="BF256" s="910"/>
      <c r="BG256" s="916">
        <f>('1.6.1 GasLR'!O136)*Units!C$19</f>
        <v>5045.8448039999994</v>
      </c>
      <c r="BH256" s="916"/>
      <c r="BI256" s="916">
        <f t="shared" si="24"/>
        <v>2903.5234892519343</v>
      </c>
      <c r="BJ256" s="910"/>
      <c r="BK256" s="842"/>
      <c r="BL256" s="1085">
        <f t="shared" si="19"/>
        <v>1365.7828616149686</v>
      </c>
      <c r="BM256" s="920">
        <f>'1.5.1 OilLR'!AF86-'1.7.1 ElecLR'!AF66*1000</f>
        <v>9934.5115122080006</v>
      </c>
      <c r="BN256" s="921">
        <f t="shared" si="26"/>
        <v>100648.27737452195</v>
      </c>
    </row>
    <row r="257" spans="1:66" ht="10.5" customHeight="1" x14ac:dyDescent="0.35">
      <c r="A257" s="841">
        <v>1947</v>
      </c>
      <c r="B257" s="916">
        <f>+'1.3.1 CoalLR'!K257*1000*Units!$C$20</f>
        <v>21506.687999999998</v>
      </c>
      <c r="C257" s="842">
        <f>+'1.4.1 MSFLR'!B157</f>
        <v>11970.000000000002</v>
      </c>
      <c r="D257" s="910"/>
      <c r="E257" s="932">
        <f>+'1.6.1 GasLR'!G137*Units!C$19</f>
        <v>1048.4872319999999</v>
      </c>
      <c r="F257" s="910"/>
      <c r="G257" s="945">
        <v>1514.116</v>
      </c>
      <c r="H257" s="945"/>
      <c r="I257" s="945"/>
      <c r="J257" s="910"/>
      <c r="K257" s="842">
        <f>'1.8.2 RenHLR'!I257+'1.8.3 RenPTLR'!G257</f>
        <v>246.17299147183874</v>
      </c>
      <c r="L257" s="945">
        <v>2484.2272596824646</v>
      </c>
      <c r="M257" s="952">
        <f t="shared" si="25"/>
        <v>38769.691483154304</v>
      </c>
      <c r="N257" s="911"/>
      <c r="O257" s="945">
        <f>'1.3.1 CoalLR'!I257*1000</f>
        <v>14528.800000000001</v>
      </c>
      <c r="P257" s="910"/>
      <c r="Q257" s="912"/>
      <c r="R257" s="910"/>
      <c r="S257" s="910"/>
      <c r="T257" s="910"/>
      <c r="U257" s="1042">
        <v>5685</v>
      </c>
      <c r="V257" s="945"/>
      <c r="W257" s="910"/>
      <c r="X257" s="910"/>
      <c r="Y257" s="910"/>
      <c r="Z257" s="910"/>
      <c r="AA257" s="945"/>
      <c r="AB257" s="910"/>
      <c r="AC257" s="910"/>
      <c r="AD257" s="950">
        <f t="shared" si="16"/>
        <v>20213.800000000003</v>
      </c>
      <c r="AF257" s="911"/>
      <c r="AG257" s="916">
        <f>+'1.3.1 CoalLR'!J257*Units!$C$20*1000</f>
        <v>21387.206399999995</v>
      </c>
      <c r="AH257" s="842">
        <f>'1.4.1 MSFLR'!F157</f>
        <v>1666.1351676698191</v>
      </c>
      <c r="AI257" s="842">
        <f>+('1.6.1 GasLR'!E137+'1.6.1 GasLR'!D137)*Units!C$19</f>
        <v>3503.3587799999996</v>
      </c>
      <c r="AJ257" s="912"/>
      <c r="AK257" s="945">
        <v>1094.4110060189164</v>
      </c>
      <c r="AL257" s="910"/>
      <c r="AM257" s="945">
        <f>'1.8.2 RenHLR'!H257</f>
        <v>1107.6880375740009</v>
      </c>
      <c r="AN257" s="910"/>
      <c r="AO257" s="1082">
        <f t="shared" si="21"/>
        <v>28758.799391262728</v>
      </c>
      <c r="AQ257" s="911"/>
      <c r="AR257" s="916">
        <f>+'1.3.1 CoalLR'!L257*1000*Units!$C$20</f>
        <v>8121.7617599999985</v>
      </c>
      <c r="AS257" s="910"/>
      <c r="AT257" s="842">
        <f>('1.6.1 GasLR'!C137+'1.6.1 GasLR'!L137)*Units!C$19</f>
        <v>725.87577599999986</v>
      </c>
      <c r="AU257" s="949"/>
      <c r="AV257" s="945">
        <v>433.00999999999993</v>
      </c>
      <c r="AW257" s="910"/>
      <c r="AX257" s="910"/>
      <c r="AY257" s="910"/>
      <c r="AZ257" s="912"/>
      <c r="BB257" s="913"/>
      <c r="BC257" s="916">
        <f t="shared" si="17"/>
        <v>65544.456159999987</v>
      </c>
      <c r="BD257" s="944">
        <f t="shared" si="27"/>
        <v>13636.135167669821</v>
      </c>
      <c r="BE257" s="914"/>
      <c r="BF257" s="910"/>
      <c r="BG257" s="916">
        <f>('1.6.1 GasLR'!O137)*Units!C$19</f>
        <v>5277.7217879999998</v>
      </c>
      <c r="BH257" s="916"/>
      <c r="BI257" s="916">
        <f t="shared" si="24"/>
        <v>3041.5370060189161</v>
      </c>
      <c r="BJ257" s="910"/>
      <c r="BK257" s="842"/>
      <c r="BL257" s="1085">
        <f t="shared" si="19"/>
        <v>1353.8610290458396</v>
      </c>
      <c r="BM257" s="920">
        <f>'1.5.1 OilLR'!AF87-'1.7.1 ElecLR'!AF67*1000</f>
        <v>11906.037391704</v>
      </c>
      <c r="BN257" s="921">
        <f t="shared" si="26"/>
        <v>100759.74854243857</v>
      </c>
    </row>
    <row r="258" spans="1:66" ht="10.5" customHeight="1" x14ac:dyDescent="0.35">
      <c r="A258" s="841">
        <v>1948</v>
      </c>
      <c r="B258" s="916">
        <f>+'1.3.1 CoalLR'!K258*1000*Units!$C$20</f>
        <v>22701.504000000004</v>
      </c>
      <c r="C258" s="842">
        <f>+'1.4.1 MSFLR'!B158</f>
        <v>12657</v>
      </c>
      <c r="D258" s="910"/>
      <c r="E258" s="932">
        <f>+'1.6.1 GasLR'!G138*Units!C$19</f>
        <v>1194.6705479999998</v>
      </c>
      <c r="F258" s="910"/>
      <c r="G258" s="945">
        <v>1644.4059999999997</v>
      </c>
      <c r="H258" s="945"/>
      <c r="I258" s="945"/>
      <c r="J258" s="910"/>
      <c r="K258" s="842">
        <f>'1.8.2 RenHLR'!I258+'1.8.3 RenPTLR'!G258</f>
        <v>245.30973662486861</v>
      </c>
      <c r="L258" s="945">
        <v>2930.495629685302</v>
      </c>
      <c r="M258" s="952">
        <f t="shared" si="25"/>
        <v>41373.38591431018</v>
      </c>
      <c r="N258" s="911"/>
      <c r="O258" s="945">
        <f>'1.3.1 CoalLR'!I258*1000</f>
        <v>14528.800000000001</v>
      </c>
      <c r="P258" s="910"/>
      <c r="Q258" s="912"/>
      <c r="R258" s="910"/>
      <c r="S258" s="910"/>
      <c r="T258" s="910"/>
      <c r="U258" s="1042">
        <v>5782</v>
      </c>
      <c r="V258" s="945"/>
      <c r="W258" s="910"/>
      <c r="X258" s="910"/>
      <c r="Y258" s="910"/>
      <c r="Z258" s="910"/>
      <c r="AA258" s="945"/>
      <c r="AB258" s="910"/>
      <c r="AC258" s="910"/>
      <c r="AD258" s="950">
        <f t="shared" si="16"/>
        <v>20310.800000000003</v>
      </c>
      <c r="AF258" s="911"/>
      <c r="AG258" s="916">
        <f>+'1.3.1 CoalLR'!J258*Units!$C$20*1000</f>
        <v>21745.651199999997</v>
      </c>
      <c r="AH258" s="842">
        <f>'1.4.1 MSFLR'!F158</f>
        <v>1663.2425718926154</v>
      </c>
      <c r="AI258" s="842">
        <f>+('1.6.1 GasLR'!E138+'1.6.1 GasLR'!D138)*Units!C$19</f>
        <v>3435.3079259999995</v>
      </c>
      <c r="AJ258" s="912"/>
      <c r="AK258" s="945">
        <v>1167.3258813413586</v>
      </c>
      <c r="AL258" s="910"/>
      <c r="AM258" s="945">
        <f>'1.8.2 RenHLR'!H258</f>
        <v>1097</v>
      </c>
      <c r="AN258" s="910"/>
      <c r="AO258" s="1082">
        <f t="shared" si="21"/>
        <v>29108.527579233971</v>
      </c>
      <c r="AQ258" s="911"/>
      <c r="AR258" s="916">
        <f>+'1.3.1 CoalLR'!L258*1000*Units!$C$20</f>
        <v>8672.5719359999948</v>
      </c>
      <c r="AS258" s="910"/>
      <c r="AT258" s="842">
        <f>('1.6.1 GasLR'!C138+'1.6.1 GasLR'!L138)*Units!C$19</f>
        <v>859.45708199999979</v>
      </c>
      <c r="AU258" s="949"/>
      <c r="AV258" s="945">
        <v>495.78999999999996</v>
      </c>
      <c r="AW258" s="910"/>
      <c r="AX258" s="910"/>
      <c r="AY258" s="910"/>
      <c r="AZ258" s="912"/>
      <c r="BB258" s="913"/>
      <c r="BC258" s="916">
        <f t="shared" si="17"/>
        <v>67648.52713599999</v>
      </c>
      <c r="BD258" s="944">
        <f t="shared" si="27"/>
        <v>14320.242571892615</v>
      </c>
      <c r="BE258" s="914"/>
      <c r="BF258" s="910"/>
      <c r="BG258" s="916">
        <f>('1.6.1 GasLR'!O138)*Units!C$19</f>
        <v>5489.4355559999985</v>
      </c>
      <c r="BH258" s="916"/>
      <c r="BI258" s="916">
        <f t="shared" si="24"/>
        <v>3307.5218813413585</v>
      </c>
      <c r="BJ258" s="910"/>
      <c r="BK258" s="842"/>
      <c r="BL258" s="1085">
        <f t="shared" si="19"/>
        <v>1342.3097366248685</v>
      </c>
      <c r="BM258" s="920">
        <f>'1.5.1 OilLR'!AF88-'1.7.1 ElecLR'!AF68*1000</f>
        <v>12465.951187975999</v>
      </c>
      <c r="BN258" s="921">
        <f t="shared" si="26"/>
        <v>104573.98806983481</v>
      </c>
    </row>
    <row r="259" spans="1:66" ht="10.5" customHeight="1" x14ac:dyDescent="0.35">
      <c r="A259" s="841">
        <v>1949</v>
      </c>
      <c r="B259" s="916">
        <f>+'1.3.1 CoalLR'!K259*1000*Units!$C$20</f>
        <v>22880.726399999996</v>
      </c>
      <c r="C259" s="842">
        <f>+'1.4.1 MSFLR'!B159</f>
        <v>12594</v>
      </c>
      <c r="D259" s="910"/>
      <c r="E259" s="932">
        <f>+'1.6.1 GasLR'!G139*Units!C$19</f>
        <v>1303.0478339999997</v>
      </c>
      <c r="F259" s="910"/>
      <c r="G259" s="945">
        <v>1758.2699999999998</v>
      </c>
      <c r="H259" s="945"/>
      <c r="I259" s="945"/>
      <c r="J259" s="910"/>
      <c r="K259" s="842">
        <f>'1.8.2 RenHLR'!I259+'1.8.3 RenPTLR'!G259</f>
        <v>244.74291389642542</v>
      </c>
      <c r="L259" s="945">
        <v>3092.8338338457547</v>
      </c>
      <c r="M259" s="952">
        <f t="shared" si="25"/>
        <v>41873.620981742177</v>
      </c>
      <c r="N259" s="911"/>
      <c r="O259" s="945">
        <f>'1.3.1 CoalLR'!I259*1000</f>
        <v>14630.4</v>
      </c>
      <c r="P259" s="910"/>
      <c r="Q259" s="912"/>
      <c r="R259" s="910"/>
      <c r="S259" s="910"/>
      <c r="T259" s="910"/>
      <c r="U259" s="1042">
        <v>5705</v>
      </c>
      <c r="V259" s="945"/>
      <c r="W259" s="910"/>
      <c r="X259" s="910"/>
      <c r="Y259" s="910"/>
      <c r="Z259" s="910"/>
      <c r="AA259" s="945"/>
      <c r="AB259" s="910"/>
      <c r="AC259" s="910"/>
      <c r="AD259" s="950">
        <f t="shared" si="16"/>
        <v>20335.400000000001</v>
      </c>
      <c r="AF259" s="911"/>
      <c r="AG259" s="916">
        <f>+'1.3.1 CoalLR'!J259*Units!$C$20*1000</f>
        <v>21506.688000000002</v>
      </c>
      <c r="AH259" s="842">
        <f>'1.4.1 MSFLR'!F159</f>
        <v>1735.5574663227289</v>
      </c>
      <c r="AI259" s="842">
        <f>+('1.6.1 GasLR'!E139+'1.6.1 GasLR'!D139)*Units!C$19</f>
        <v>3407.5835039999997</v>
      </c>
      <c r="AJ259" s="912"/>
      <c r="AK259" s="945">
        <v>1174.2906276870162</v>
      </c>
      <c r="AL259" s="910"/>
      <c r="AM259" s="945">
        <f>'1.8.2 RenHLR'!H259</f>
        <v>1103.4000000000001</v>
      </c>
      <c r="AN259" s="910"/>
      <c r="AO259" s="1082">
        <f t="shared" si="21"/>
        <v>28927.519598009749</v>
      </c>
      <c r="AQ259" s="911"/>
      <c r="AR259" s="916">
        <f>+'1.3.1 CoalLR'!L259*1000*Units!$C$20</f>
        <v>8642.1041280000045</v>
      </c>
      <c r="AS259" s="910"/>
      <c r="AT259" s="842">
        <f>('1.6.1 GasLR'!C139+'1.6.1 GasLR'!L139)*Units!C$19</f>
        <v>937.58954399999993</v>
      </c>
      <c r="AU259" s="949"/>
      <c r="AV259" s="945">
        <v>546.44399999999996</v>
      </c>
      <c r="AW259" s="910"/>
      <c r="AX259" s="910"/>
      <c r="AY259" s="910"/>
      <c r="AZ259" s="912"/>
      <c r="BB259" s="913"/>
      <c r="BC259" s="916">
        <f t="shared" si="17"/>
        <v>67659.918527999995</v>
      </c>
      <c r="BD259" s="944">
        <f t="shared" si="27"/>
        <v>14329.557466322729</v>
      </c>
      <c r="BE259" s="914"/>
      <c r="BF259" s="910"/>
      <c r="BG259" s="916">
        <f>('1.6.1 GasLR'!O139)*Units!C$19</f>
        <v>5648.2208819999987</v>
      </c>
      <c r="BH259" s="916"/>
      <c r="BI259" s="916">
        <f t="shared" si="24"/>
        <v>3479.0046276870157</v>
      </c>
      <c r="BJ259" s="910"/>
      <c r="BK259" s="842"/>
      <c r="BL259" s="1085">
        <f t="shared" si="19"/>
        <v>1348.1429138964254</v>
      </c>
      <c r="BM259" s="920">
        <f>'1.5.1 OilLR'!AF89-'1.7.1 ElecLR'!AF69*1000</f>
        <v>13463.721311368001</v>
      </c>
      <c r="BN259" s="921">
        <f t="shared" si="26"/>
        <v>105928.56572927417</v>
      </c>
    </row>
    <row r="260" spans="1:66" ht="10.5" customHeight="1" x14ac:dyDescent="0.35">
      <c r="A260" s="841">
        <v>1950</v>
      </c>
      <c r="B260" s="916">
        <f>+'1.3.1 CoalLR'!K260*1000*Units!$C$20</f>
        <v>23956.060800000003</v>
      </c>
      <c r="C260" s="842">
        <f>+'1.4.1 MSFLR'!B160</f>
        <v>15341.645783309999</v>
      </c>
      <c r="D260" s="842">
        <f>+'1.4.1 MSFLR'!E160</f>
        <v>1294.6536525999998</v>
      </c>
      <c r="E260" s="932">
        <f>+'1.6.1 GasLR'!G140*Units!C$19</f>
        <v>1461.8331599999997</v>
      </c>
      <c r="F260" s="910"/>
      <c r="G260" s="945">
        <v>1731.7647058823529</v>
      </c>
      <c r="H260" s="945"/>
      <c r="I260" s="945"/>
      <c r="J260" s="910"/>
      <c r="K260" s="842">
        <f>'1.8.2 RenHLR'!I260+'1.8.3 RenPTLR'!G260</f>
        <v>243.79433111714033</v>
      </c>
      <c r="L260" s="945">
        <v>3290.1680000000001</v>
      </c>
      <c r="M260" s="952">
        <f t="shared" si="25"/>
        <v>47319.920432909494</v>
      </c>
      <c r="N260" s="911"/>
      <c r="O260" s="945">
        <v>14100</v>
      </c>
      <c r="P260" s="945">
        <v>400</v>
      </c>
      <c r="Q260" s="945"/>
      <c r="R260" s="945">
        <v>0</v>
      </c>
      <c r="S260" s="910"/>
      <c r="T260" s="945"/>
      <c r="U260" s="945">
        <f>'1.5.1 OilLR'!O90+'1.5.1 OilLR'!W90</f>
        <v>6329</v>
      </c>
      <c r="V260" s="945"/>
      <c r="W260" s="910"/>
      <c r="X260" s="910"/>
      <c r="Y260" s="945">
        <f>[2]F!$AE10*1000</f>
        <v>1300</v>
      </c>
      <c r="Z260" s="945">
        <f>[2]F!$AF10*1000</f>
        <v>900</v>
      </c>
      <c r="AA260" s="945"/>
      <c r="AB260" s="945">
        <f>[2]F!$AC10*1000</f>
        <v>11200</v>
      </c>
      <c r="AC260" s="945">
        <f>[2]F!$AG10*1000</f>
        <v>1100</v>
      </c>
      <c r="AD260" s="950">
        <f>O260+P260+Q260+R260+T260+U260+V260+Y260+AA260+AC260</f>
        <v>23229</v>
      </c>
      <c r="AF260" s="841">
        <v>1950</v>
      </c>
      <c r="AG260" s="916">
        <f>+'1.3.1 CoalLR'!J260*Units!$C$20*1000</f>
        <v>22283.3184</v>
      </c>
      <c r="AH260" s="842">
        <f>'1.4.1 MSFLR'!F160</f>
        <v>2024.8170440431838</v>
      </c>
      <c r="AI260" s="842">
        <f>+('1.6.1 GasLR'!E140+'1.6.1 GasLR'!D140)*Units!C$19</f>
        <v>3420.1855139999993</v>
      </c>
      <c r="AJ260" s="912"/>
      <c r="AK260" s="945">
        <v>1282.115219260533</v>
      </c>
      <c r="AL260" s="910"/>
      <c r="AM260" s="945">
        <f>'1.8.2 RenHLR'!H260</f>
        <v>1109.8000000000002</v>
      </c>
      <c r="AN260" s="910"/>
      <c r="AO260" s="1082">
        <f t="shared" si="21"/>
        <v>30120.236177303716</v>
      </c>
      <c r="AQ260" s="911"/>
      <c r="AR260" s="916">
        <f>+'1.3.1 CoalLR'!L260*1000*Units!$C$20</f>
        <v>8760.9883199999913</v>
      </c>
      <c r="AS260" s="910"/>
      <c r="AT260" s="842">
        <f>('1.6.1 GasLR'!C140+'1.6.1 GasLR'!L140)*Units!C$19</f>
        <v>1008.1607999999999</v>
      </c>
      <c r="AU260" s="949"/>
      <c r="AV260" s="945">
        <v>611.89</v>
      </c>
      <c r="AW260" s="910"/>
      <c r="AX260" s="910"/>
      <c r="AY260" s="910"/>
      <c r="AZ260" s="912"/>
      <c r="BB260" s="913"/>
      <c r="BC260" s="916">
        <f t="shared" si="17"/>
        <v>69100.36752</v>
      </c>
      <c r="BD260" s="944">
        <f t="shared" si="27"/>
        <v>17766.462827353182</v>
      </c>
      <c r="BE260" s="914"/>
      <c r="BF260" s="910"/>
      <c r="BG260" s="916">
        <f>('1.6.1 GasLR'!O140)*Units!C$19</f>
        <v>5890.1794739999996</v>
      </c>
      <c r="BH260" s="916"/>
      <c r="BI260" s="916">
        <f t="shared" si="24"/>
        <v>3625.7699251428858</v>
      </c>
      <c r="BJ260" s="910"/>
      <c r="BK260" s="842"/>
      <c r="BL260" s="1085">
        <f t="shared" si="19"/>
        <v>1353.5943311171404</v>
      </c>
      <c r="BM260" s="920">
        <f>'1.5.1 OilLR'!AF90-'1.7.1 ElecLR'!AF70*1000</f>
        <v>14788.965555264</v>
      </c>
      <c r="BN260" s="921">
        <f t="shared" si="26"/>
        <v>112525.33963287722</v>
      </c>
    </row>
    <row r="261" spans="1:66" ht="10.5" customHeight="1" x14ac:dyDescent="0.35">
      <c r="A261" s="841">
        <v>1951</v>
      </c>
      <c r="B261" s="916">
        <f>+'1.3.1 CoalLR'!K261*1000*Units!$C$20</f>
        <v>24433.9872</v>
      </c>
      <c r="C261" s="842">
        <f>+'1.4.1 MSFLR'!B161</f>
        <v>15854.883481304998</v>
      </c>
      <c r="D261" s="842">
        <f>+'1.4.1 MSFLR'!E161</f>
        <v>1387.1289135</v>
      </c>
      <c r="E261" s="932">
        <f>+'1.6.1 GasLR'!G141*Units!C$19</f>
        <v>1582.8124559999997</v>
      </c>
      <c r="F261" s="910"/>
      <c r="G261" s="945">
        <f>+([2]D!$I11+[2]E!$I11)/Units!$C$9*1000</f>
        <v>2141.1764705882351</v>
      </c>
      <c r="H261" s="945"/>
      <c r="I261" s="945"/>
      <c r="J261" s="910"/>
      <c r="K261" s="842">
        <f>'1.8.2 RenHLR'!I261+'1.8.3 RenPTLR'!G261</f>
        <v>243.03546489371226</v>
      </c>
      <c r="L261" s="945">
        <v>3425.8823529411766</v>
      </c>
      <c r="M261" s="952">
        <f t="shared" si="25"/>
        <v>49068.906339228117</v>
      </c>
      <c r="N261" s="911"/>
      <c r="O261" s="945">
        <v>13900</v>
      </c>
      <c r="P261" s="945">
        <v>400</v>
      </c>
      <c r="Q261" s="945"/>
      <c r="R261" s="945">
        <v>0</v>
      </c>
      <c r="S261" s="910"/>
      <c r="T261" s="945"/>
      <c r="U261" s="945">
        <f>'1.5.1 OilLR'!O91+'1.5.1 OilLR'!W91</f>
        <v>6686</v>
      </c>
      <c r="V261" s="910"/>
      <c r="W261" s="910"/>
      <c r="X261" s="910"/>
      <c r="Y261" s="945">
        <f>[2]F!$AE11*1000</f>
        <v>1200</v>
      </c>
      <c r="Z261" s="945">
        <f>[2]F!$AF11*1000</f>
        <v>900</v>
      </c>
      <c r="AA261" s="945"/>
      <c r="AB261" s="945">
        <f>[2]F!$AC11*1000</f>
        <v>11300</v>
      </c>
      <c r="AC261" s="945">
        <f>[2]F!$AG11*1000</f>
        <v>1600</v>
      </c>
      <c r="AD261" s="950">
        <f t="shared" ref="AD261:AD268" si="28">O261+P261+Q261+R261+T261+U261+Y261+AA261+AC261</f>
        <v>23786</v>
      </c>
      <c r="AF261" s="841">
        <v>1951</v>
      </c>
      <c r="AG261" s="916">
        <f>+'1.3.1 CoalLR'!J261*Units!$C$20*1000</f>
        <v>22163.836800000001</v>
      </c>
      <c r="AH261" s="842">
        <f>'1.4.1 MSFLR'!F161</f>
        <v>1952.5021496130703</v>
      </c>
      <c r="AI261" s="842">
        <f>+('1.6.1 GasLR'!E141+'1.6.1 GasLR'!D141)*Units!C$19</f>
        <v>3500.8383779999995</v>
      </c>
      <c r="AJ261" s="912"/>
      <c r="AK261" s="945">
        <v>1456.4918314703352</v>
      </c>
      <c r="AL261" s="910"/>
      <c r="AM261" s="945">
        <f>'1.8.2 RenHLR'!H261</f>
        <v>1116.2000000000003</v>
      </c>
      <c r="AN261" s="910"/>
      <c r="AO261" s="1082">
        <f t="shared" si="21"/>
        <v>30189.869159083406</v>
      </c>
      <c r="AQ261" s="911"/>
      <c r="AR261" s="916">
        <f>+'1.3.1 CoalLR'!L261*1000*Units!$C$20</f>
        <v>8634.3378240000093</v>
      </c>
      <c r="AS261" s="910"/>
      <c r="AT261" s="842">
        <f>('1.6.1 GasLR'!C141+'1.6.1 GasLR'!L141)*Units!C$19</f>
        <v>1088.8136639999998</v>
      </c>
      <c r="AU261" s="949"/>
      <c r="AV261" s="945">
        <v>683.52800000000002</v>
      </c>
      <c r="AW261" s="910"/>
      <c r="AX261" s="910"/>
      <c r="AY261" s="910"/>
      <c r="AZ261" s="912"/>
      <c r="BB261" s="913"/>
      <c r="BC261" s="916">
        <f t="shared" si="17"/>
        <v>69132.16182400001</v>
      </c>
      <c r="BD261" s="944">
        <f t="shared" si="27"/>
        <v>18207.38563091807</v>
      </c>
      <c r="BE261" s="914"/>
      <c r="BF261" s="910"/>
      <c r="BG261" s="916">
        <f>('1.6.1 GasLR'!O141)*Units!C$19</f>
        <v>6172.4644979999994</v>
      </c>
      <c r="BH261" s="916"/>
      <c r="BI261" s="916">
        <f t="shared" si="24"/>
        <v>4281.1963020585708</v>
      </c>
      <c r="BJ261" s="910"/>
      <c r="BK261" s="842"/>
      <c r="BL261" s="1085">
        <f t="shared" si="19"/>
        <v>1359.2354648937126</v>
      </c>
      <c r="BM261" s="920">
        <f>'1.5.1 OilLR'!AF91-'1.7.1 ElecLR'!AF71*1000</f>
        <v>16191.821882384</v>
      </c>
      <c r="BN261" s="921">
        <f t="shared" si="26"/>
        <v>115344.26560225437</v>
      </c>
    </row>
    <row r="262" spans="1:66" ht="10.5" customHeight="1" x14ac:dyDescent="0.35">
      <c r="A262" s="841">
        <v>1952</v>
      </c>
      <c r="B262" s="916">
        <f>+'1.3.1 CoalLR'!K262*1000*Units!$C$20</f>
        <v>23239.171199999997</v>
      </c>
      <c r="C262" s="842">
        <f>+'1.4.1 MSFLR'!B162</f>
        <v>17089.42821432</v>
      </c>
      <c r="D262" s="842">
        <f>+'1.4.1 MSFLR'!E162</f>
        <v>1572.0794352999999</v>
      </c>
      <c r="E262" s="932">
        <f>+'1.6.1 GasLR'!G142*Units!C$19</f>
        <v>1628.1796919999999</v>
      </c>
      <c r="F262" s="910"/>
      <c r="G262" s="945">
        <f>+([2]D!$I12+[2]E!$I12)/Units!$C$9*1000</f>
        <v>2157.6470588235293</v>
      </c>
      <c r="H262" s="945"/>
      <c r="I262" s="945"/>
      <c r="J262" s="910"/>
      <c r="K262" s="842">
        <f>'1.8.2 RenHLR'!I262+'1.8.3 RenPTLR'!G262</f>
        <v>242.4283719149698</v>
      </c>
      <c r="L262" s="945">
        <v>3419.294117647059</v>
      </c>
      <c r="M262" s="952">
        <f t="shared" si="25"/>
        <v>49348.228090005548</v>
      </c>
      <c r="N262" s="911"/>
      <c r="O262" s="945">
        <v>13400</v>
      </c>
      <c r="P262" s="945">
        <v>600.00000000000011</v>
      </c>
      <c r="Q262" s="945"/>
      <c r="R262" s="945">
        <v>0</v>
      </c>
      <c r="S262" s="910"/>
      <c r="T262" s="945"/>
      <c r="U262" s="945">
        <f>'1.5.1 OilLR'!O92+'1.5.1 OilLR'!W92</f>
        <v>6728</v>
      </c>
      <c r="V262" s="910"/>
      <c r="W262" s="910"/>
      <c r="X262" s="910"/>
      <c r="Y262" s="945">
        <f>[2]F!$AE12*1000</f>
        <v>1200</v>
      </c>
      <c r="Z262" s="945">
        <f>[2]F!$AF12*1000</f>
        <v>1000</v>
      </c>
      <c r="AA262" s="945"/>
      <c r="AB262" s="945">
        <f>[2]F!$AC12*1000</f>
        <v>11900</v>
      </c>
      <c r="AC262" s="945">
        <f>[2]F!$AG12*1000</f>
        <v>2000</v>
      </c>
      <c r="AD262" s="950">
        <f t="shared" si="28"/>
        <v>23928</v>
      </c>
      <c r="AF262" s="841">
        <v>1952</v>
      </c>
      <c r="AG262" s="916">
        <f>+'1.3.1 CoalLR'!J262*Units!$C$20*1000</f>
        <v>21984.614399999999</v>
      </c>
      <c r="AH262" s="842">
        <f>'1.4.1 MSFLR'!F162</f>
        <v>1883.8029999044618</v>
      </c>
      <c r="AI262" s="842">
        <f>+('1.6.1 GasLR'!E142+'1.6.1 GasLR'!D142)*Units!C$19</f>
        <v>3435.3079259999995</v>
      </c>
      <c r="AJ262" s="912"/>
      <c r="AK262" s="945">
        <v>1450.4729148753224</v>
      </c>
      <c r="AL262" s="910"/>
      <c r="AM262" s="945">
        <f>'1.8.2 RenHLR'!H262</f>
        <v>1122.6000000000004</v>
      </c>
      <c r="AN262" s="910"/>
      <c r="AO262" s="1082">
        <f t="shared" si="21"/>
        <v>29876.798240779783</v>
      </c>
      <c r="AQ262" s="911"/>
      <c r="AR262" s="916">
        <f>+'1.3.1 CoalLR'!L262*1000*Units!$C$20</f>
        <v>8547.1162560000048</v>
      </c>
      <c r="AS262" s="910"/>
      <c r="AT262" s="842">
        <f>('1.6.1 GasLR'!C142+'1.6.1 GasLR'!L142)*Units!C$19</f>
        <v>1119.0584879999999</v>
      </c>
      <c r="AU262" s="949"/>
      <c r="AV262" s="945">
        <v>752.15599999999995</v>
      </c>
      <c r="AW262" s="910"/>
      <c r="AX262" s="910"/>
      <c r="AY262" s="910"/>
      <c r="AZ262" s="912"/>
      <c r="BB262" s="913"/>
      <c r="BC262" s="916">
        <f t="shared" si="17"/>
        <v>67170.901855999997</v>
      </c>
      <c r="BD262" s="944">
        <f t="shared" si="27"/>
        <v>19573.231214224463</v>
      </c>
      <c r="BE262" s="914"/>
      <c r="BF262" s="910"/>
      <c r="BG262" s="916">
        <f>('1.6.1 GasLR'!O142)*Units!C$19</f>
        <v>6182.5461059999989</v>
      </c>
      <c r="BH262" s="916"/>
      <c r="BI262" s="916">
        <f t="shared" si="24"/>
        <v>4360.2759736988519</v>
      </c>
      <c r="BJ262" s="910"/>
      <c r="BK262" s="842"/>
      <c r="BL262" s="1085">
        <f t="shared" si="19"/>
        <v>1365.0283719149702</v>
      </c>
      <c r="BM262" s="920">
        <f>'1.5.1 OilLR'!AF92-'1.7.1 ElecLR'!AF72*1000</f>
        <v>16442.99428984</v>
      </c>
      <c r="BN262" s="921">
        <f t="shared" si="26"/>
        <v>115094.97781167828</v>
      </c>
    </row>
    <row r="263" spans="1:66" ht="10.5" customHeight="1" x14ac:dyDescent="0.35">
      <c r="A263" s="841">
        <v>1953</v>
      </c>
      <c r="B263" s="916">
        <f>+'1.3.1 CoalLR'!K263*1000*Units!$C$20</f>
        <v>23537.875199999999</v>
      </c>
      <c r="C263" s="842">
        <f>+'1.4.1 MSFLR'!B163</f>
        <v>17542.556992729998</v>
      </c>
      <c r="D263" s="842">
        <f>+'1.4.1 MSFLR'!E163</f>
        <v>1664.5546961999999</v>
      </c>
      <c r="E263" s="932">
        <f>+'1.6.1 GasLR'!G143*Units!C$19</f>
        <v>1633.2204959999997</v>
      </c>
      <c r="F263" s="910"/>
      <c r="G263" s="945">
        <f>+([2]D!$I13+[2]E!$I13)/Units!$C$9*1000</f>
        <v>2230.5882352941176</v>
      </c>
      <c r="H263" s="945"/>
      <c r="I263" s="945"/>
      <c r="J263" s="910"/>
      <c r="K263" s="842">
        <f>'1.8.2 RenHLR'!I263+'1.8.3 RenPTLR'!G263</f>
        <v>241.94269753197585</v>
      </c>
      <c r="L263" s="945">
        <v>3708.2352941176468</v>
      </c>
      <c r="M263" s="952">
        <f t="shared" si="25"/>
        <v>50558.973611873735</v>
      </c>
      <c r="N263" s="911"/>
      <c r="O263" s="945">
        <v>13000</v>
      </c>
      <c r="P263" s="945">
        <v>800</v>
      </c>
      <c r="Q263" s="945"/>
      <c r="R263" s="945">
        <v>0</v>
      </c>
      <c r="S263" s="910"/>
      <c r="T263" s="945"/>
      <c r="U263" s="945">
        <f>'1.5.1 OilLR'!O93+'1.5.1 OilLR'!W93</f>
        <v>7123</v>
      </c>
      <c r="V263" s="910"/>
      <c r="W263" s="910"/>
      <c r="X263" s="910"/>
      <c r="Y263" s="945">
        <f>[2]F!$AE13*1000</f>
        <v>1100</v>
      </c>
      <c r="Z263" s="945">
        <f>[2]F!$AF13*1000</f>
        <v>1100</v>
      </c>
      <c r="AA263" s="945"/>
      <c r="AB263" s="945">
        <f>[2]F!$AC13*1000</f>
        <v>12500</v>
      </c>
      <c r="AC263" s="945">
        <f>[2]F!$AG13*1000</f>
        <v>2500</v>
      </c>
      <c r="AD263" s="950">
        <f t="shared" si="28"/>
        <v>24523</v>
      </c>
      <c r="AF263" s="841">
        <v>1953</v>
      </c>
      <c r="AG263" s="916">
        <f>+'1.3.1 CoalLR'!J263*Units!$C$20*1000</f>
        <v>22163.836800000001</v>
      </c>
      <c r="AH263" s="842">
        <f>'1.4.1 MSFLR'!F163</f>
        <v>2206.3274290627692</v>
      </c>
      <c r="AI263" s="842">
        <f>+('1.6.1 GasLR'!E143+'1.6.1 GasLR'!D143)*Units!C$19</f>
        <v>3392.461092</v>
      </c>
      <c r="AJ263" s="912"/>
      <c r="AK263" s="945">
        <v>1521.1521926053308</v>
      </c>
      <c r="AL263" s="910"/>
      <c r="AM263" s="945">
        <f>'1.8.2 RenHLR'!H263</f>
        <v>1129</v>
      </c>
      <c r="AN263" s="910"/>
      <c r="AO263" s="1082">
        <f t="shared" si="21"/>
        <v>30412.777513668105</v>
      </c>
      <c r="AQ263" s="911"/>
      <c r="AR263" s="916">
        <f>+'1.3.1 CoalLR'!L263*1000*Units!$C$20</f>
        <v>8407.3227840000018</v>
      </c>
      <c r="AS263" s="910"/>
      <c r="AT263" s="842">
        <f>('1.6.1 GasLR'!C143+'1.6.1 GasLR'!L143)*Units!C$19</f>
        <v>1114.0176839999999</v>
      </c>
      <c r="AU263" s="949"/>
      <c r="AV263" s="945">
        <v>820.86999999999989</v>
      </c>
      <c r="AW263" s="910"/>
      <c r="AX263" s="910"/>
      <c r="AY263" s="910"/>
      <c r="AZ263" s="912"/>
      <c r="BB263" s="913"/>
      <c r="BC263" s="916">
        <f t="shared" si="17"/>
        <v>67109.034784000003</v>
      </c>
      <c r="BD263" s="944">
        <f t="shared" si="27"/>
        <v>20548.884421792769</v>
      </c>
      <c r="BE263" s="914"/>
      <c r="BF263" s="910"/>
      <c r="BG263" s="916">
        <f>('1.6.1 GasLR'!O143)*Units!C$19</f>
        <v>6139.6992719999998</v>
      </c>
      <c r="BH263" s="916"/>
      <c r="BI263" s="916">
        <f t="shared" si="24"/>
        <v>4572.610427899448</v>
      </c>
      <c r="BJ263" s="910"/>
      <c r="BK263" s="842"/>
      <c r="BL263" s="1085">
        <f t="shared" si="19"/>
        <v>1370.9426975319759</v>
      </c>
      <c r="BM263" s="920">
        <f>'1.5.1 OilLR'!AF93-'1.7.1 ElecLR'!AF73*1000</f>
        <v>17676.606373064002</v>
      </c>
      <c r="BN263" s="921">
        <f t="shared" si="26"/>
        <v>117417.7779762882</v>
      </c>
    </row>
    <row r="264" spans="1:66" ht="10.5" customHeight="1" x14ac:dyDescent="0.35">
      <c r="A264" s="841">
        <v>1954</v>
      </c>
      <c r="B264" s="916">
        <f>+'1.3.1 CoalLR'!K264*1000*Units!$C$20</f>
        <v>24374.246399999996</v>
      </c>
      <c r="C264" s="842">
        <f>+'1.4.1 MSFLR'!B164</f>
        <v>17718.259988440001</v>
      </c>
      <c r="D264" s="842">
        <f>+'1.4.1 MSFLR'!E164</f>
        <v>1849.505218</v>
      </c>
      <c r="E264" s="932">
        <f>+'1.6.1 GasLR'!G144*Units!C$19</f>
        <v>1774.3630079999998</v>
      </c>
      <c r="F264" s="910"/>
      <c r="G264" s="945">
        <f>+([2]D!$I14+[2]E!$I14)/Units!$C$9*1000</f>
        <v>2491.7647058823527</v>
      </c>
      <c r="H264" s="945"/>
      <c r="I264" s="945"/>
      <c r="J264" s="910"/>
      <c r="K264" s="842">
        <f>'1.8.2 RenHLR'!I264+'1.8.3 RenPTLR'!G264</f>
        <v>241.55415802558068</v>
      </c>
      <c r="L264" s="945">
        <v>4136.4705882352946</v>
      </c>
      <c r="M264" s="952">
        <f t="shared" si="25"/>
        <v>52586.164066583224</v>
      </c>
      <c r="N264" s="911"/>
      <c r="O264" s="945">
        <v>12200</v>
      </c>
      <c r="P264" s="945">
        <v>800</v>
      </c>
      <c r="Q264" s="945"/>
      <c r="R264" s="945">
        <v>0</v>
      </c>
      <c r="S264" s="910"/>
      <c r="T264" s="945"/>
      <c r="U264" s="945">
        <f>'1.5.1 OilLR'!O94+'1.5.1 OilLR'!W94</f>
        <v>7453</v>
      </c>
      <c r="V264" s="910"/>
      <c r="W264" s="910"/>
      <c r="X264" s="910"/>
      <c r="Y264" s="945">
        <f>[2]F!$AE14*1000</f>
        <v>1000</v>
      </c>
      <c r="Z264" s="945">
        <f>[2]F!$AF14*1000</f>
        <v>1200</v>
      </c>
      <c r="AA264" s="945"/>
      <c r="AB264" s="945">
        <f>[2]F!$AC14*1000</f>
        <v>13300</v>
      </c>
      <c r="AC264" s="945">
        <f>[2]F!$AG14*1000</f>
        <v>2900</v>
      </c>
      <c r="AD264" s="950">
        <f t="shared" si="28"/>
        <v>24353</v>
      </c>
      <c r="AF264" s="841">
        <v>1954</v>
      </c>
      <c r="AG264" s="916">
        <f>+'1.3.1 CoalLR'!J264*Units!$C$20*1000</f>
        <v>22820.985600000004</v>
      </c>
      <c r="AH264" s="842">
        <f>'1.4.1 MSFLR'!F164</f>
        <v>2365.4201968090192</v>
      </c>
      <c r="AI264" s="842">
        <f>+('1.6.1 GasLR'!E144+'1.6.1 GasLR'!D144)*Units!C$19</f>
        <v>3427.7467199999996</v>
      </c>
      <c r="AJ264" s="912"/>
      <c r="AK264" s="945">
        <v>1640.1547721410143</v>
      </c>
      <c r="AL264" s="910"/>
      <c r="AM264" s="945">
        <f>'1.8.2 RenHLR'!H264</f>
        <v>1123.8</v>
      </c>
      <c r="AN264" s="910"/>
      <c r="AO264" s="1082">
        <f t="shared" si="21"/>
        <v>31378.107288950036</v>
      </c>
      <c r="AQ264" s="911"/>
      <c r="AR264" s="916">
        <f>+'1.3.1 CoalLR'!L264*1000*Units!$C$20</f>
        <v>8642.10412800001</v>
      </c>
      <c r="AS264" s="910"/>
      <c r="AT264" s="842">
        <f>('1.6.1 GasLR'!C144+'1.6.1 GasLR'!L144)*Units!C$19</f>
        <v>1166.9461259999998</v>
      </c>
      <c r="AU264" s="949"/>
      <c r="AV264" s="945">
        <v>888.98199999999997</v>
      </c>
      <c r="AW264" s="910"/>
      <c r="AX264" s="910"/>
      <c r="AY264" s="910"/>
      <c r="AZ264" s="912"/>
      <c r="BB264" s="913"/>
      <c r="BC264" s="916">
        <f t="shared" si="17"/>
        <v>68037.33612800001</v>
      </c>
      <c r="BD264" s="944">
        <f t="shared" si="27"/>
        <v>20883.680185249021</v>
      </c>
      <c r="BE264" s="914"/>
      <c r="BF264" s="910"/>
      <c r="BG264" s="916">
        <f>('1.6.1 GasLR'!O144)*Units!C$19</f>
        <v>6369.0558539999984</v>
      </c>
      <c r="BH264" s="916"/>
      <c r="BI264" s="916">
        <f t="shared" si="24"/>
        <v>5020.9014780233665</v>
      </c>
      <c r="BJ264" s="910"/>
      <c r="BK264" s="842"/>
      <c r="BL264" s="1085">
        <f t="shared" si="19"/>
        <v>1365.3541580255805</v>
      </c>
      <c r="BM264" s="920">
        <f>'1.5.1 OilLR'!AF94-'1.7.1 ElecLR'!AF74*1000</f>
        <v>19250.471357311999</v>
      </c>
      <c r="BN264" s="921">
        <f t="shared" si="26"/>
        <v>120926.79916060997</v>
      </c>
    </row>
    <row r="265" spans="1:66" ht="10.5" customHeight="1" x14ac:dyDescent="0.35">
      <c r="A265" s="841">
        <v>1955</v>
      </c>
      <c r="B265" s="916">
        <f>+'1.3.1 CoalLR'!K265*1000*Units!$C$20</f>
        <v>24314.5056</v>
      </c>
      <c r="C265" s="842">
        <f>+'1.4.1 MSFLR'!B165</f>
        <v>18074.289742904999</v>
      </c>
      <c r="D265" s="842">
        <f>+'1.4.1 MSFLR'!E165</f>
        <v>1849.505218</v>
      </c>
      <c r="E265" s="932">
        <f>+'1.6.1 GasLR'!G145*Units!C$19</f>
        <v>1870.1382839999997</v>
      </c>
      <c r="F265" s="910"/>
      <c r="G265" s="945">
        <f>+([2]D!$I15+[2]E!$I15)/Units!$C$9*1000</f>
        <v>2545.8823529411766</v>
      </c>
      <c r="H265" s="945"/>
      <c r="I265" s="945"/>
      <c r="J265" s="910"/>
      <c r="K265" s="842">
        <f>'1.8.2 RenHLR'!I265+'1.8.3 RenPTLR'!G265</f>
        <v>241.24332642046454</v>
      </c>
      <c r="L265" s="945">
        <v>5017.9263529411764</v>
      </c>
      <c r="M265" s="952">
        <f t="shared" si="25"/>
        <v>53913.490877207812</v>
      </c>
      <c r="N265" s="911"/>
      <c r="O265" s="945">
        <v>12100</v>
      </c>
      <c r="P265" s="945">
        <v>899.99999999999989</v>
      </c>
      <c r="Q265" s="945"/>
      <c r="R265" s="945">
        <v>0</v>
      </c>
      <c r="S265" s="910"/>
      <c r="T265" s="945"/>
      <c r="U265" s="945">
        <f>'1.5.1 OilLR'!O95+'1.5.1 OilLR'!W95</f>
        <v>7967</v>
      </c>
      <c r="V265" s="910"/>
      <c r="W265" s="910"/>
      <c r="X265" s="910"/>
      <c r="Y265" s="945">
        <f>[2]F!$AE15*1000</f>
        <v>1000</v>
      </c>
      <c r="Z265" s="945">
        <f>[2]F!$AF15*1000</f>
        <v>1300</v>
      </c>
      <c r="AA265" s="945"/>
      <c r="AB265" s="945">
        <f>[2]F!$AC15*1000</f>
        <v>13800</v>
      </c>
      <c r="AC265" s="945">
        <f>[2]F!$AG15*1000</f>
        <v>3000</v>
      </c>
      <c r="AD265" s="950">
        <f t="shared" si="28"/>
        <v>24967</v>
      </c>
      <c r="AF265" s="841">
        <v>1955</v>
      </c>
      <c r="AG265" s="916">
        <f>+'1.3.1 CoalLR'!J265*Units!$C$20*1000</f>
        <v>22163.836800000001</v>
      </c>
      <c r="AH265" s="842">
        <f>'1.4.1 MSFLR'!F165</f>
        <v>2546.9305818286048</v>
      </c>
      <c r="AI265" s="842">
        <f>+('1.6.1 GasLR'!E145+'1.6.1 GasLR'!D145)*Units!C$19</f>
        <v>3437.8283279999996</v>
      </c>
      <c r="AJ265" s="912"/>
      <c r="AK265" s="945">
        <v>1818.2287188306104</v>
      </c>
      <c r="AL265" s="910"/>
      <c r="AM265" s="945">
        <f>'1.8.2 RenHLR'!H265</f>
        <v>1118.5999999999999</v>
      </c>
      <c r="AN265" s="910"/>
      <c r="AO265" s="1082">
        <f t="shared" si="21"/>
        <v>31085.424428659215</v>
      </c>
      <c r="AQ265" s="911"/>
      <c r="AR265" s="916">
        <f>+'1.3.1 CoalLR'!L265*1000*Units!$C$20</f>
        <v>8512.4665919999879</v>
      </c>
      <c r="AS265" s="910"/>
      <c r="AT265" s="842">
        <f>('1.6.1 GasLR'!C145+'1.6.1 GasLR'!L145)*Units!C$19</f>
        <v>1202.2317539999997</v>
      </c>
      <c r="AU265" s="949"/>
      <c r="AV265" s="945">
        <v>923.03800000000001</v>
      </c>
      <c r="AW265" s="910"/>
      <c r="AX265" s="910"/>
      <c r="AY265" s="910"/>
      <c r="AZ265" s="912"/>
      <c r="BB265" s="913"/>
      <c r="BC265" s="916">
        <f t="shared" si="17"/>
        <v>67090.808991999991</v>
      </c>
      <c r="BD265" s="944">
        <f t="shared" si="27"/>
        <v>21521.220324733604</v>
      </c>
      <c r="BE265" s="914"/>
      <c r="BF265" s="910"/>
      <c r="BG265" s="916">
        <f>('1.6.1 GasLR'!O145)*Units!C$19</f>
        <v>6510.1983659999996</v>
      </c>
      <c r="BH265" s="916"/>
      <c r="BI265" s="916">
        <f t="shared" si="24"/>
        <v>5287.1490717717879</v>
      </c>
      <c r="BJ265" s="910"/>
      <c r="BK265" s="842"/>
      <c r="BL265" s="1085">
        <f t="shared" si="19"/>
        <v>1359.8433264204646</v>
      </c>
      <c r="BM265" s="920">
        <f>'1.5.1 OilLR'!AF95-'1.7.1 ElecLR'!AF75*1000</f>
        <v>21295.882298503999</v>
      </c>
      <c r="BN265" s="921">
        <f t="shared" si="26"/>
        <v>123065.10237942984</v>
      </c>
    </row>
    <row r="266" spans="1:66" ht="10.5" customHeight="1" x14ac:dyDescent="0.35">
      <c r="A266" s="841">
        <v>1956</v>
      </c>
      <c r="B266" s="916">
        <f>+'1.3.1 CoalLR'!K266*1000*Units!$C$20</f>
        <v>23597.615999999998</v>
      </c>
      <c r="C266" s="842">
        <f>+'1.4.1 MSFLR'!B166</f>
        <v>18864.953223600001</v>
      </c>
      <c r="D266" s="842">
        <f>+'1.4.1 MSFLR'!E166</f>
        <v>2034.4557397999997</v>
      </c>
      <c r="E266" s="932">
        <f>+'1.6.1 GasLR'!G146*Units!C$19</f>
        <v>1915.5055199999999</v>
      </c>
      <c r="F266" s="910"/>
      <c r="G266" s="945">
        <f>+([2]D!$I16+[2]E!$I16)/Units!$C$9*1000</f>
        <v>2731.7647058823532</v>
      </c>
      <c r="H266" s="945"/>
      <c r="I266" s="945"/>
      <c r="J266" s="910"/>
      <c r="K266" s="842">
        <f>'1.8.2 RenHLR'!I266+'1.8.3 RenPTLR'!G266</f>
        <v>240.99466113637163</v>
      </c>
      <c r="L266" s="945">
        <v>5668.1607058823529</v>
      </c>
      <c r="M266" s="952">
        <f t="shared" si="25"/>
        <v>55053.450556301083</v>
      </c>
      <c r="N266" s="911"/>
      <c r="O266" s="945">
        <v>11400</v>
      </c>
      <c r="P266" s="945">
        <v>1000</v>
      </c>
      <c r="Q266" s="945"/>
      <c r="R266" s="945">
        <v>100</v>
      </c>
      <c r="S266" s="910"/>
      <c r="T266" s="945"/>
      <c r="U266" s="945">
        <f>'1.5.1 OilLR'!O96+'1.5.1 OilLR'!W96</f>
        <v>8251</v>
      </c>
      <c r="V266" s="910"/>
      <c r="W266" s="910"/>
      <c r="X266" s="910"/>
      <c r="Y266" s="945">
        <f>[2]F!$AE16*1000</f>
        <v>1000</v>
      </c>
      <c r="Z266" s="945">
        <f>[2]F!$AF16*1000</f>
        <v>1500</v>
      </c>
      <c r="AA266" s="945"/>
      <c r="AB266" s="945">
        <f>[2]F!$AC16*1000</f>
        <v>12800</v>
      </c>
      <c r="AC266" s="945">
        <f>[2]F!$AG16*1000</f>
        <v>2700</v>
      </c>
      <c r="AD266" s="950">
        <f t="shared" si="28"/>
        <v>24451</v>
      </c>
      <c r="AF266" s="841">
        <v>1956</v>
      </c>
      <c r="AG266" s="916">
        <f>+'1.3.1 CoalLR'!J266*Units!$C$20*1000</f>
        <v>22402.799999999999</v>
      </c>
      <c r="AH266" s="842">
        <f>'1.4.1 MSFLR'!F166</f>
        <v>2397.238750358269</v>
      </c>
      <c r="AI266" s="842">
        <f>+('1.6.1 GasLR'!E146+'1.6.1 GasLR'!D146)*Units!C$19</f>
        <v>3400.0222979999994</v>
      </c>
      <c r="AJ266" s="912"/>
      <c r="AK266" s="945">
        <v>2042.5623387790197</v>
      </c>
      <c r="AL266" s="910"/>
      <c r="AM266" s="945">
        <f>'1.8.2 RenHLR'!H266</f>
        <v>1113.3999999999999</v>
      </c>
      <c r="AN266" s="910"/>
      <c r="AO266" s="1082">
        <f t="shared" si="21"/>
        <v>31356.023387137288</v>
      </c>
      <c r="AQ266" s="911"/>
      <c r="AR266" s="916">
        <f>+'1.3.1 CoalLR'!L266*1000*Units!$C$20</f>
        <v>7956.8771519999864</v>
      </c>
      <c r="AS266" s="910"/>
      <c r="AT266" s="842">
        <f>('1.6.1 GasLR'!C146+'1.6.1 GasLR'!L146)*Units!C$19</f>
        <v>1214.833764</v>
      </c>
      <c r="AU266" s="949"/>
      <c r="AV266" s="945">
        <v>1036.902</v>
      </c>
      <c r="AW266" s="910"/>
      <c r="AX266" s="910"/>
      <c r="AY266" s="910"/>
      <c r="AZ266" s="912"/>
      <c r="BB266" s="913"/>
      <c r="BC266" s="916">
        <f t="shared" ref="BC266:BC267" si="29">B266+O266+W266+AG266+AR266</f>
        <v>65357.293151999984</v>
      </c>
      <c r="BD266" s="944">
        <f t="shared" si="27"/>
        <v>22262.19197395827</v>
      </c>
      <c r="BE266" s="914"/>
      <c r="BF266" s="910"/>
      <c r="BG266" s="916">
        <f>('1.6.1 GasLR'!O146)*Units!C$19</f>
        <v>6530.3615819999986</v>
      </c>
      <c r="BH266" s="916"/>
      <c r="BI266" s="916">
        <f t="shared" si="24"/>
        <v>5811.2290446613733</v>
      </c>
      <c r="BJ266" s="910"/>
      <c r="BK266" s="842"/>
      <c r="BL266" s="1085">
        <f t="shared" ref="BL266:BL296" si="30">K266+V266+AM266</f>
        <v>1354.3946611363715</v>
      </c>
      <c r="BM266" s="920">
        <f>'1.5.1 OilLR'!AF96-'1.7.1 ElecLR'!AF76*1000</f>
        <v>23058.655368864002</v>
      </c>
      <c r="BN266" s="921">
        <f t="shared" si="26"/>
        <v>124374.12578261999</v>
      </c>
    </row>
    <row r="267" spans="1:66" ht="10.5" customHeight="1" x14ac:dyDescent="0.35">
      <c r="A267" s="841">
        <v>1957</v>
      </c>
      <c r="B267" s="916">
        <f>+'1.3.1 CoalLR'!K267*1000*Units!$C$20</f>
        <v>22402.799999999999</v>
      </c>
      <c r="C267" s="842">
        <f>+'1.4.1 MSFLR'!B167</f>
        <v>19059.151271489998</v>
      </c>
      <c r="D267" s="842">
        <f>+'1.4.1 MSFLR'!E167</f>
        <v>2182.4161572399998</v>
      </c>
      <c r="E267" s="932">
        <f>+'1.6.1 GasLR'!G147*Units!C$19</f>
        <v>1940.7095399999998</v>
      </c>
      <c r="F267" s="910"/>
      <c r="G267" s="945">
        <f>+([2]D!$I17+[2]E!$I17)/Units!$C$9*1000</f>
        <v>2903.5294117647059</v>
      </c>
      <c r="H267" s="945"/>
      <c r="I267" s="945"/>
      <c r="J267" s="910"/>
      <c r="K267" s="842">
        <f>'1.8.2 RenHLR'!I267+'1.8.3 RenPTLR'!G267</f>
        <v>240.79572890909731</v>
      </c>
      <c r="L267" s="945">
        <v>5694.1176470588234</v>
      </c>
      <c r="M267" s="952">
        <f t="shared" si="25"/>
        <v>54423.519756462621</v>
      </c>
      <c r="N267" s="911"/>
      <c r="O267" s="945">
        <v>10300</v>
      </c>
      <c r="P267" s="945">
        <v>1200</v>
      </c>
      <c r="Q267" s="945"/>
      <c r="R267" s="945">
        <v>100</v>
      </c>
      <c r="S267" s="910"/>
      <c r="T267" s="945"/>
      <c r="U267" s="945">
        <f>'1.5.1 OilLR'!O97+'1.5.1 OilLR'!W97</f>
        <v>7661</v>
      </c>
      <c r="V267" s="910"/>
      <c r="W267" s="910"/>
      <c r="X267" s="910"/>
      <c r="Y267" s="945">
        <f>[2]F!$AE17*1000</f>
        <v>900</v>
      </c>
      <c r="Z267" s="945">
        <f>[2]F!$AF17*1000</f>
        <v>1600</v>
      </c>
      <c r="AA267" s="945"/>
      <c r="AB267" s="945">
        <f>[2]F!$AC17*1000</f>
        <v>14700</v>
      </c>
      <c r="AC267" s="945">
        <f>[2]F!$AG17*1000</f>
        <v>2700</v>
      </c>
      <c r="AD267" s="950">
        <f t="shared" si="28"/>
        <v>22861</v>
      </c>
      <c r="AF267" s="841">
        <v>1957</v>
      </c>
      <c r="AG267" s="916">
        <f>+'1.3.1 CoalLR'!J267*Units!$C$20*1000</f>
        <v>21267.7248</v>
      </c>
      <c r="AH267" s="842">
        <f>'1.4.1 MSFLR'!F167</f>
        <v>2140.5208751313658</v>
      </c>
      <c r="AI267" s="842">
        <f>+('1.6.1 GasLR'!E147+'1.6.1 GasLR'!D147)*Units!C$19</f>
        <v>3291.6450119999995</v>
      </c>
      <c r="AJ267" s="912"/>
      <c r="AK267" s="945">
        <v>2136.7153912295785</v>
      </c>
      <c r="AL267" s="910"/>
      <c r="AM267" s="945">
        <f>'1.8.2 RenHLR'!H267</f>
        <v>1108.1999999999998</v>
      </c>
      <c r="AN267" s="910"/>
      <c r="AO267" s="1082">
        <f t="shared" si="21"/>
        <v>29944.806078360947</v>
      </c>
      <c r="AQ267" s="911"/>
      <c r="AR267" s="916">
        <f>+'1.3.1 CoalLR'!L267*1000*Units!$C$20</f>
        <v>7581.1075200000032</v>
      </c>
      <c r="AS267" s="910"/>
      <c r="AT267" s="842">
        <f>('1.6.1 GasLR'!C147+'1.6.1 GasLR'!L147)*Units!C$19</f>
        <v>1161.9053219999998</v>
      </c>
      <c r="AU267" s="949"/>
      <c r="AV267" s="945">
        <v>1103.9819999999997</v>
      </c>
      <c r="AW267" s="910"/>
      <c r="AX267" s="910"/>
      <c r="AY267" s="910"/>
      <c r="AZ267" s="912"/>
      <c r="BB267" s="913"/>
      <c r="BC267" s="916">
        <f t="shared" si="29"/>
        <v>61551.632320000004</v>
      </c>
      <c r="BD267" s="944">
        <f t="shared" si="27"/>
        <v>22399.672146621364</v>
      </c>
      <c r="BE267" s="914"/>
      <c r="BF267" s="910"/>
      <c r="BG267" s="916">
        <f>('1.6.1 GasLR'!O147)*Units!C$19</f>
        <v>6394.2598739999994</v>
      </c>
      <c r="BH267" s="916"/>
      <c r="BI267" s="916">
        <f t="shared" si="24"/>
        <v>6144.2268029942843</v>
      </c>
      <c r="BJ267" s="910"/>
      <c r="BK267" s="842"/>
      <c r="BL267" s="1085">
        <f t="shared" si="30"/>
        <v>1348.9957289090971</v>
      </c>
      <c r="BM267" s="920">
        <f>'1.5.1 OilLR'!AF97-'1.7.1 ElecLR'!AF77*1000</f>
        <v>22429.465830927998</v>
      </c>
      <c r="BN267" s="921">
        <f t="shared" si="26"/>
        <v>120268.25270345274</v>
      </c>
    </row>
    <row r="268" spans="1:66" ht="10.5" customHeight="1" x14ac:dyDescent="0.35">
      <c r="A268" s="841">
        <v>1958</v>
      </c>
      <c r="B268" s="916">
        <f>+'1.3.1 CoalLR'!K268*1000*Units!$C$20</f>
        <v>20132.649600000001</v>
      </c>
      <c r="C268" s="842">
        <f>+'1.4.1 MSFLR'!B168</f>
        <v>16455.972677155001</v>
      </c>
      <c r="D268" s="842">
        <f>+'1.4.1 MSFLR'!E168</f>
        <v>2071.44584416</v>
      </c>
      <c r="E268" s="932">
        <f>+'1.6.1 GasLR'!G148*Units!C$19</f>
        <v>1973.4747659999996</v>
      </c>
      <c r="F268" s="910"/>
      <c r="G268" s="945">
        <f>+([2]D!$I18+[2]E!$I18)/Units!$C$9*1000</f>
        <v>2990.5882352941176</v>
      </c>
      <c r="H268" s="945"/>
      <c r="I268" s="945"/>
      <c r="J268" s="910"/>
      <c r="K268" s="842">
        <f>'1.8.2 RenHLR'!I268+'1.8.3 RenPTLR'!G268</f>
        <v>240.63658312727785</v>
      </c>
      <c r="L268" s="945">
        <v>6988.2352941176468</v>
      </c>
      <c r="M268" s="952">
        <f t="shared" ref="M268:M269" si="31">SUM(B268:L268)</f>
        <v>50853.002999854041</v>
      </c>
      <c r="N268" s="911"/>
      <c r="O268" s="945">
        <v>9500</v>
      </c>
      <c r="P268" s="945">
        <v>799.99999999999989</v>
      </c>
      <c r="Q268" s="945"/>
      <c r="R268" s="945">
        <v>200</v>
      </c>
      <c r="S268" s="910"/>
      <c r="T268" s="945"/>
      <c r="U268" s="945">
        <f>'1.5.1 OilLR'!O98+'1.5.1 OilLR'!W98</f>
        <v>8812</v>
      </c>
      <c r="V268" s="910"/>
      <c r="W268" s="910"/>
      <c r="X268" s="910"/>
      <c r="Y268" s="945">
        <f>[2]F!$AE18*1000</f>
        <v>800</v>
      </c>
      <c r="Z268" s="945">
        <f>[2]F!$AF18*1000</f>
        <v>1700</v>
      </c>
      <c r="AA268" s="945"/>
      <c r="AB268" s="945">
        <f>[2]F!$AC18*1000</f>
        <v>16000</v>
      </c>
      <c r="AC268" s="945">
        <f>[2]F!$AG18*1000</f>
        <v>2800</v>
      </c>
      <c r="AD268" s="950">
        <f t="shared" si="28"/>
        <v>22912</v>
      </c>
      <c r="AF268" s="841">
        <v>1958</v>
      </c>
      <c r="AG268" s="916">
        <f>+'1.3.1 CoalLR'!J268*Units!$C$20*1000</f>
        <v>21626.169600000001</v>
      </c>
      <c r="AH268" s="842">
        <f>'1.4.1 MSFLR'!F168</f>
        <v>2184.6329607337352</v>
      </c>
      <c r="AI268" s="842">
        <f>+('1.6.1 GasLR'!E148+'1.6.1 GasLR'!D148)*Units!C$19</f>
        <v>3321.8898359999994</v>
      </c>
      <c r="AJ268" s="912"/>
      <c r="AK268" s="945">
        <v>2427.0851246775578</v>
      </c>
      <c r="AL268" s="910"/>
      <c r="AM268" s="945">
        <f>'1.8.2 RenHLR'!H268</f>
        <v>1103</v>
      </c>
      <c r="AN268" s="910"/>
      <c r="AO268" s="1082">
        <f t="shared" ref="AO268" si="32">AG268+AH268+AI268+AK268+AM268+AN268</f>
        <v>30662.777521411292</v>
      </c>
      <c r="AQ268" s="911"/>
      <c r="AR268" s="916">
        <f>+'1.3.1 CoalLR'!L268*1000*Units!$C$20</f>
        <v>7226.844575999995</v>
      </c>
      <c r="AS268" s="910"/>
      <c r="AT268" s="842">
        <f>('1.6.1 GasLR'!C148+'1.6.1 GasLR'!L148)*Units!C$19</f>
        <v>1199.7113519999998</v>
      </c>
      <c r="AU268" s="949"/>
      <c r="AV268" s="945">
        <v>1249.2359999999999</v>
      </c>
      <c r="AW268" s="910"/>
      <c r="AX268" s="910"/>
      <c r="AY268" s="910"/>
      <c r="AZ268" s="912"/>
      <c r="BB268" s="913"/>
      <c r="BC268" s="916">
        <f t="shared" ref="BC268:BC269" si="33">B268+O268+W268+AG268+AR268</f>
        <v>58485.663775999994</v>
      </c>
      <c r="BD268" s="944">
        <f t="shared" si="27"/>
        <v>19440.605637888737</v>
      </c>
      <c r="BE268" s="914"/>
      <c r="BF268" s="910"/>
      <c r="BG268" s="916">
        <f>('1.6.1 GasLR'!O148)*Units!C$19</f>
        <v>6495.075953999999</v>
      </c>
      <c r="BH268" s="916"/>
      <c r="BI268" s="916">
        <f t="shared" ref="BI268:BI269" si="34">G268+Q268+T268+AK268+AV268</f>
        <v>6666.9093599716753</v>
      </c>
      <c r="BJ268" s="910"/>
      <c r="BK268" s="842"/>
      <c r="BL268" s="1085">
        <f t="shared" si="30"/>
        <v>1343.6365831272778</v>
      </c>
      <c r="BM268" s="920">
        <f>'1.5.1 OilLR'!AF98-'1.7.1 ElecLR'!AF78*1000</f>
        <v>26389.147906279999</v>
      </c>
      <c r="BN268" s="921">
        <f t="shared" ref="BN268:BN279" si="35">SUM(BC268:BM268)</f>
        <v>118821.03921726768</v>
      </c>
    </row>
    <row r="269" spans="1:66" ht="10.5" customHeight="1" x14ac:dyDescent="0.35">
      <c r="A269" s="841">
        <v>1959</v>
      </c>
      <c r="B269" s="916">
        <f>+'1.3.1 CoalLR'!K269*1000*Units!$C$20</f>
        <v>18937.833599999998</v>
      </c>
      <c r="C269" s="842">
        <f>+'1.4.1 MSFLR'!B169</f>
        <v>15152.071498464999</v>
      </c>
      <c r="D269" s="842">
        <f>+'1.4.1 MSFLR'!E169</f>
        <v>1960.4755310799999</v>
      </c>
      <c r="E269" s="932">
        <f>+'1.6.1 GasLR'!G149*Units!C$19</f>
        <v>2001.1991879999996</v>
      </c>
      <c r="F269" s="910"/>
      <c r="G269" s="945">
        <f>+([2]D!$I19+[2]E!$I19)/Units!$C$9*1000</f>
        <v>3240</v>
      </c>
      <c r="H269" s="945"/>
      <c r="I269" s="945"/>
      <c r="J269" s="910"/>
      <c r="K269" s="842">
        <f>'1.8.2 RenHLR'!I269+'1.8.3 RenPTLR'!G269</f>
        <v>240.50926650182228</v>
      </c>
      <c r="L269" s="945">
        <v>8294.1176470588234</v>
      </c>
      <c r="M269" s="952">
        <f t="shared" si="31"/>
        <v>49826.206731105645</v>
      </c>
      <c r="N269" s="911"/>
      <c r="O269" s="945">
        <v>8900</v>
      </c>
      <c r="P269" s="945">
        <v>600</v>
      </c>
      <c r="Q269" s="945"/>
      <c r="R269" s="945">
        <v>400</v>
      </c>
      <c r="S269" s="910"/>
      <c r="T269" s="945"/>
      <c r="U269" s="945">
        <f>'1.5.1 OilLR'!O99+'1.5.1 OilLR'!W99</f>
        <v>9551</v>
      </c>
      <c r="V269" s="910"/>
      <c r="W269" s="910"/>
      <c r="X269" s="910"/>
      <c r="Y269" s="945">
        <f>[2]F!$AE19*1000</f>
        <v>600</v>
      </c>
      <c r="Z269" s="945">
        <f>[2]F!$AF19*1000</f>
        <v>1800</v>
      </c>
      <c r="AA269" s="945"/>
      <c r="AB269" s="945">
        <f>[2]F!$AC19*1000</f>
        <v>17300</v>
      </c>
      <c r="AC269" s="945">
        <f>[2]F!$AG19*1000</f>
        <v>3000</v>
      </c>
      <c r="AD269" s="950">
        <f>O269+P269+Q269+R269+T269+U269+Y269+AA269+AC269</f>
        <v>23051</v>
      </c>
      <c r="AF269" s="841">
        <v>1959</v>
      </c>
      <c r="AG269" s="916">
        <f>+'1.3.1 CoalLR'!J269*Units!$C$20*1000</f>
        <v>19953.427199999998</v>
      </c>
      <c r="AH269" s="842">
        <f>'1.4.1 MSFLR'!F169</f>
        <v>2139.7977261870647</v>
      </c>
      <c r="AI269" s="842">
        <f>+('1.6.1 GasLR'!E149+'1.6.1 GasLR'!D149)*Units!C$19</f>
        <v>3190.8289319999994</v>
      </c>
      <c r="AJ269" s="947"/>
      <c r="AK269" s="945">
        <v>2621.4101461736882</v>
      </c>
      <c r="AL269" s="945"/>
      <c r="AM269" s="945">
        <f>'1.8.2 RenHLR'!H269</f>
        <v>1092.4000000000001</v>
      </c>
      <c r="AN269" s="945"/>
      <c r="AO269" s="1082">
        <f>AG269+AH269+AI269+AK269+AM269+AN269</f>
        <v>28997.864004360752</v>
      </c>
      <c r="AQ269" s="911"/>
      <c r="AR269" s="916">
        <f>+'1.3.1 CoalLR'!L269*1000*Units!$C$20</f>
        <v>6445.4349120000124</v>
      </c>
      <c r="AS269" s="910"/>
      <c r="AT269" s="842">
        <f>('1.6.1 GasLR'!C149+'1.6.1 GasLR'!L149)*Units!C$19</f>
        <v>1146.7829099999999</v>
      </c>
      <c r="AU269" s="949"/>
      <c r="AV269" s="945">
        <v>1359.5739999999998</v>
      </c>
      <c r="AW269" s="910"/>
      <c r="AX269" s="910"/>
      <c r="AY269" s="910"/>
      <c r="AZ269" s="912"/>
      <c r="BB269" s="913"/>
      <c r="BC269" s="916">
        <f t="shared" si="33"/>
        <v>54236.695712000008</v>
      </c>
      <c r="BD269" s="944">
        <f t="shared" si="27"/>
        <v>17891.869224652062</v>
      </c>
      <c r="BE269" s="914"/>
      <c r="BF269" s="910"/>
      <c r="BG269" s="916">
        <f>('1.6.1 GasLR'!O149)*Units!C$19</f>
        <v>6338.8110299999989</v>
      </c>
      <c r="BH269" s="916"/>
      <c r="BI269" s="916">
        <f t="shared" si="34"/>
        <v>7220.9841461736878</v>
      </c>
      <c r="BJ269" s="910"/>
      <c r="BK269" s="842"/>
      <c r="BL269" s="1085">
        <f t="shared" si="30"/>
        <v>1332.9092665018225</v>
      </c>
      <c r="BM269" s="920">
        <f>'1.5.1 OilLR'!AF99-'1.7.1 ElecLR'!AF79*1000</f>
        <v>29622.786695991999</v>
      </c>
      <c r="BN269" s="921">
        <f t="shared" si="35"/>
        <v>116644.05607531959</v>
      </c>
    </row>
    <row r="270" spans="1:66" ht="10.5" customHeight="1" x14ac:dyDescent="0.35">
      <c r="A270" s="841">
        <v>1960</v>
      </c>
      <c r="B270" s="916">
        <f>+'1.3.1 CoalLR'!K270*1000*Units!$C$20</f>
        <v>21267.724800000004</v>
      </c>
      <c r="C270" s="842">
        <f>+'1.4.1 MSFLR'!C170+'1.4.1 MSFLR'!D170</f>
        <v>12297</v>
      </c>
      <c r="D270" s="945">
        <v>1388</v>
      </c>
      <c r="E270" s="932">
        <f>+'1.6.1 GasLR'!G150*Units!C$19</f>
        <v>2172.6179999999999</v>
      </c>
      <c r="F270" s="945"/>
      <c r="G270" s="945">
        <v>3826</v>
      </c>
      <c r="H270" s="945"/>
      <c r="I270" s="945"/>
      <c r="J270" s="910"/>
      <c r="K270" s="842">
        <f>'1.8.2 RenHLR'!I270+'1.8.3 RenPTLR'!G270</f>
        <v>240.40741320145781</v>
      </c>
      <c r="L270" s="945">
        <v>10381</v>
      </c>
      <c r="M270" s="950">
        <v>53843</v>
      </c>
      <c r="N270" s="946"/>
      <c r="O270" s="945">
        <v>6310</v>
      </c>
      <c r="P270" s="945">
        <f>83+385</f>
        <v>468</v>
      </c>
      <c r="Q270" s="947" t="s">
        <v>1204</v>
      </c>
      <c r="R270" s="945">
        <v>264</v>
      </c>
      <c r="S270" s="945"/>
      <c r="T270" s="945">
        <v>38</v>
      </c>
      <c r="U270" s="945">
        <v>11381</v>
      </c>
      <c r="V270" s="945"/>
      <c r="W270" s="945">
        <v>134</v>
      </c>
      <c r="X270" s="945"/>
      <c r="Y270" s="945">
        <v>315</v>
      </c>
      <c r="Z270" s="945">
        <v>1121</v>
      </c>
      <c r="AA270" s="945"/>
      <c r="AB270" s="945"/>
      <c r="AC270" s="945">
        <v>2010</v>
      </c>
      <c r="AD270" s="950">
        <f t="shared" ref="AD270:AD278" si="36">O270+P270+Q270+R270+T270+U270+Y270+AA270+AC270</f>
        <v>20942</v>
      </c>
      <c r="AF270" s="841">
        <v>1960</v>
      </c>
      <c r="AG270" s="916">
        <v>25190</v>
      </c>
      <c r="AH270" s="842">
        <f>2378+907</f>
        <v>3285</v>
      </c>
      <c r="AI270" s="842">
        <f>+('1.6.1 GasLR'!E150+'1.6.1 GasLR'!D150)*Units!C$19</f>
        <v>3271.5259999999998</v>
      </c>
      <c r="AJ270" s="947"/>
      <c r="AK270" s="945">
        <v>2894</v>
      </c>
      <c r="AL270" s="945"/>
      <c r="AM270" s="945">
        <f>'1.8.2 RenHLR'!H270</f>
        <v>1081.8000000000002</v>
      </c>
      <c r="AN270" s="945">
        <v>1690</v>
      </c>
      <c r="AO270" s="1083" t="s">
        <v>1211</v>
      </c>
      <c r="AQ270" s="841">
        <v>1960</v>
      </c>
      <c r="AR270" s="916">
        <v>4423</v>
      </c>
      <c r="AS270" s="945">
        <v>3353</v>
      </c>
      <c r="AT270" s="842">
        <f>('1.6.1 GasLR'!C150+'1.6.1 GasLR'!L150)*Units!C$19</f>
        <v>1350.9739999999999</v>
      </c>
      <c r="AU270" s="949">
        <f>('1.6.1 GasLR'!M150)*Units!C$19</f>
        <v>37.839999999999996</v>
      </c>
      <c r="AV270" s="945">
        <v>1579</v>
      </c>
      <c r="AW270" s="945"/>
      <c r="AX270" s="945"/>
      <c r="AY270" s="945">
        <v>4350</v>
      </c>
      <c r="AZ270" s="947" t="s">
        <v>1221</v>
      </c>
      <c r="BB270" s="841">
        <v>1960</v>
      </c>
      <c r="BC270" s="916">
        <f t="shared" ref="BC270:BC279" si="37">B270+O270+W270+AG270+AR270</f>
        <v>57324.724800000004</v>
      </c>
      <c r="BD270" s="944">
        <f t="shared" ref="BD270:BD279" si="38">C270+P270+AH270+AS270</f>
        <v>19403</v>
      </c>
      <c r="BE270" s="914"/>
      <c r="BF270" s="832">
        <f t="shared" ref="BF270:BF279" si="39">D270</f>
        <v>1388</v>
      </c>
      <c r="BG270" s="916">
        <f t="shared" ref="BG270:BG279" si="40">E270+AI270+AT270</f>
        <v>6795.1180000000004</v>
      </c>
      <c r="BH270" s="916"/>
      <c r="BI270" s="916">
        <f t="shared" ref="BI270:BI279" si="41">G270+Q270+T270+AK270+AV270</f>
        <v>8493</v>
      </c>
      <c r="BJ270" s="910"/>
      <c r="BK270" s="842"/>
      <c r="BL270" s="1085">
        <f t="shared" si="30"/>
        <v>1322.2074132014579</v>
      </c>
      <c r="BM270" s="920">
        <f t="shared" ref="BM270:BM279" si="42">L270+R270+U270+AA270+AC270+AN270+AY270</f>
        <v>30076</v>
      </c>
      <c r="BN270" s="921">
        <f t="shared" si="35"/>
        <v>124802.05021320145</v>
      </c>
    </row>
    <row r="271" spans="1:66" ht="10.5" customHeight="1" x14ac:dyDescent="0.35">
      <c r="A271" s="841">
        <v>1961</v>
      </c>
      <c r="B271" s="916">
        <f>+'1.3.1 CoalLR'!K271*1000*Units!$C$20</f>
        <v>19893.686399999995</v>
      </c>
      <c r="C271" s="842">
        <f>+'1.4.1 MSFLR'!C171+'1.4.1 MSFLR'!D171</f>
        <v>11665</v>
      </c>
      <c r="D271" s="945">
        <v>1302</v>
      </c>
      <c r="E271" s="932">
        <f>+'1.6.1 GasLR'!G151*Units!C$19</f>
        <v>2139.8519999999999</v>
      </c>
      <c r="F271" s="945"/>
      <c r="G271" s="945">
        <v>3957</v>
      </c>
      <c r="H271" s="945"/>
      <c r="I271" s="945"/>
      <c r="J271" s="910"/>
      <c r="K271" s="842">
        <f>'1.8.2 RenHLR'!I271+'1.8.3 RenPTLR'!G271</f>
        <v>240</v>
      </c>
      <c r="L271" s="945">
        <v>12184</v>
      </c>
      <c r="M271" s="950">
        <v>53378</v>
      </c>
      <c r="N271" s="946"/>
      <c r="O271" s="945">
        <v>5444</v>
      </c>
      <c r="P271" s="945">
        <f>81+395</f>
        <v>476</v>
      </c>
      <c r="Q271" s="947" t="s">
        <v>1205</v>
      </c>
      <c r="R271" s="945">
        <v>562</v>
      </c>
      <c r="S271" s="945"/>
      <c r="T271" s="945">
        <v>25</v>
      </c>
      <c r="U271" s="945">
        <v>12230</v>
      </c>
      <c r="V271" s="945"/>
      <c r="W271" s="945">
        <v>156</v>
      </c>
      <c r="X271" s="945"/>
      <c r="Y271" s="945">
        <v>280</v>
      </c>
      <c r="Z271" s="945">
        <v>1151</v>
      </c>
      <c r="AA271" s="945"/>
      <c r="AB271" s="945"/>
      <c r="AC271" s="945">
        <v>2459</v>
      </c>
      <c r="AD271" s="950">
        <f t="shared" si="36"/>
        <v>21647</v>
      </c>
      <c r="AF271" s="841">
        <v>1961</v>
      </c>
      <c r="AG271" s="916">
        <v>23676</v>
      </c>
      <c r="AH271" s="842">
        <f>2423+967</f>
        <v>3390</v>
      </c>
      <c r="AI271" s="842">
        <f>+('1.6.1 GasLR'!E151+'1.6.1 GasLR'!D151)*Units!C$19</f>
        <v>3276.5139999999997</v>
      </c>
      <c r="AJ271" s="947"/>
      <c r="AK271" s="945">
        <v>3287</v>
      </c>
      <c r="AL271" s="945"/>
      <c r="AM271" s="945">
        <f>'1.8.2 RenHLR'!H271</f>
        <v>1071.2000000000003</v>
      </c>
      <c r="AN271" s="945">
        <v>1841</v>
      </c>
      <c r="AO271" s="1083" t="s">
        <v>1212</v>
      </c>
      <c r="AQ271" s="841">
        <v>1961</v>
      </c>
      <c r="AR271" s="916">
        <v>4051</v>
      </c>
      <c r="AS271" s="945">
        <v>3008</v>
      </c>
      <c r="AT271" s="842">
        <f>('1.6.1 GasLR'!C151+'1.6.1 GasLR'!L151)*Units!C$19</f>
        <v>1335.838</v>
      </c>
      <c r="AU271" s="949">
        <f>('1.6.1 GasLR'!M151)*Units!C$19</f>
        <v>37.839999999999996</v>
      </c>
      <c r="AV271" s="945">
        <v>1718</v>
      </c>
      <c r="AW271" s="945"/>
      <c r="AX271" s="945"/>
      <c r="AY271" s="945">
        <v>3867</v>
      </c>
      <c r="AZ271" s="947" t="s">
        <v>1222</v>
      </c>
      <c r="BB271" s="841">
        <v>1961</v>
      </c>
      <c r="BC271" s="916">
        <f t="shared" si="37"/>
        <v>53220.686399999991</v>
      </c>
      <c r="BD271" s="944">
        <f t="shared" si="38"/>
        <v>18539</v>
      </c>
      <c r="BE271" s="914"/>
      <c r="BF271" s="832">
        <f t="shared" si="39"/>
        <v>1302</v>
      </c>
      <c r="BG271" s="916">
        <f t="shared" si="40"/>
        <v>6752.2039999999997</v>
      </c>
      <c r="BH271" s="916"/>
      <c r="BI271" s="916">
        <f t="shared" si="41"/>
        <v>9158</v>
      </c>
      <c r="BJ271" s="910"/>
      <c r="BK271" s="842"/>
      <c r="BL271" s="1085">
        <f t="shared" si="30"/>
        <v>1311.2000000000003</v>
      </c>
      <c r="BM271" s="920">
        <f t="shared" si="42"/>
        <v>33143</v>
      </c>
      <c r="BN271" s="921">
        <f t="shared" si="35"/>
        <v>123426.09039999999</v>
      </c>
    </row>
    <row r="272" spans="1:66" ht="10.5" customHeight="1" x14ac:dyDescent="0.35">
      <c r="A272" s="841">
        <v>1962</v>
      </c>
      <c r="B272" s="916">
        <f>+'1.3.1 CoalLR'!K272*1000*Units!$C$20</f>
        <v>17644.5864</v>
      </c>
      <c r="C272" s="842">
        <f>+'1.4.1 MSFLR'!C172+'1.4.1 MSFLR'!D172</f>
        <v>10462</v>
      </c>
      <c r="D272" s="945">
        <v>1108</v>
      </c>
      <c r="E272" s="932">
        <f>+'1.6.1 GasLR'!G152*Units!C$19</f>
        <v>2134.7779999999998</v>
      </c>
      <c r="F272" s="945"/>
      <c r="G272" s="945">
        <v>4091</v>
      </c>
      <c r="H272" s="945"/>
      <c r="I272" s="945"/>
      <c r="J272" s="910"/>
      <c r="K272" s="842">
        <f>'1.8.2 RenHLR'!I272+'1.8.3 RenPTLR'!G272</f>
        <v>240</v>
      </c>
      <c r="L272" s="945">
        <v>14127</v>
      </c>
      <c r="M272" s="950">
        <v>52952</v>
      </c>
      <c r="N272" s="946"/>
      <c r="O272" s="945">
        <v>4368</v>
      </c>
      <c r="P272" s="945">
        <f>78+375</f>
        <v>453</v>
      </c>
      <c r="Q272" s="947" t="s">
        <v>1206</v>
      </c>
      <c r="R272" s="945">
        <v>703</v>
      </c>
      <c r="S272" s="945"/>
      <c r="T272" s="945">
        <v>18</v>
      </c>
      <c r="U272" s="945">
        <v>12945</v>
      </c>
      <c r="V272" s="945"/>
      <c r="W272" s="945">
        <v>141</v>
      </c>
      <c r="X272" s="945"/>
      <c r="Y272" s="945">
        <v>254</v>
      </c>
      <c r="Z272" s="945">
        <v>1237</v>
      </c>
      <c r="AA272" s="945"/>
      <c r="AB272" s="945"/>
      <c r="AC272" s="945">
        <v>2401</v>
      </c>
      <c r="AD272" s="950">
        <f t="shared" si="36"/>
        <v>21331</v>
      </c>
      <c r="AF272" s="841">
        <v>1962</v>
      </c>
      <c r="AG272" s="916">
        <v>24049</v>
      </c>
      <c r="AH272" s="842">
        <f>2776+995</f>
        <v>3771</v>
      </c>
      <c r="AI272" s="842">
        <f>+('1.6.1 GasLR'!E152+'1.6.1 GasLR'!D152)*Units!C$19</f>
        <v>3531.0739999999996</v>
      </c>
      <c r="AJ272" s="947"/>
      <c r="AK272" s="945">
        <v>3927</v>
      </c>
      <c r="AL272" s="945"/>
      <c r="AM272" s="945">
        <f>'1.8.2 RenHLR'!H272</f>
        <v>1060.6000000000004</v>
      </c>
      <c r="AN272" s="945">
        <v>2189</v>
      </c>
      <c r="AO272" s="1083" t="s">
        <v>1213</v>
      </c>
      <c r="AQ272" s="841">
        <v>1962</v>
      </c>
      <c r="AR272" s="916">
        <v>4116</v>
      </c>
      <c r="AS272" s="945">
        <v>3290</v>
      </c>
      <c r="AT272" s="842">
        <f>('1.6.1 GasLR'!C152+'1.6.1 GasLR'!L152)*Units!C$19</f>
        <v>1424.0739999999998</v>
      </c>
      <c r="AU272" s="949">
        <f>('1.6.1 GasLR'!M152)*Units!C$19</f>
        <v>63.037999999999997</v>
      </c>
      <c r="AV272" s="945">
        <v>1967</v>
      </c>
      <c r="AW272" s="945"/>
      <c r="AX272" s="945"/>
      <c r="AY272" s="945">
        <v>4519</v>
      </c>
      <c r="AZ272" s="947" t="s">
        <v>1223</v>
      </c>
      <c r="BB272" s="841">
        <v>1962</v>
      </c>
      <c r="BC272" s="916">
        <f t="shared" si="37"/>
        <v>50318.5864</v>
      </c>
      <c r="BD272" s="944">
        <f t="shared" si="38"/>
        <v>17976</v>
      </c>
      <c r="BE272" s="914"/>
      <c r="BF272" s="832">
        <f t="shared" si="39"/>
        <v>1108</v>
      </c>
      <c r="BG272" s="916">
        <f t="shared" si="40"/>
        <v>7089.9259999999986</v>
      </c>
      <c r="BH272" s="916"/>
      <c r="BI272" s="916">
        <f t="shared" si="41"/>
        <v>10192</v>
      </c>
      <c r="BJ272" s="910"/>
      <c r="BK272" s="842"/>
      <c r="BL272" s="1085">
        <f t="shared" si="30"/>
        <v>1300.6000000000004</v>
      </c>
      <c r="BM272" s="920">
        <f t="shared" si="42"/>
        <v>36884</v>
      </c>
      <c r="BN272" s="921">
        <f t="shared" si="35"/>
        <v>124869.1124</v>
      </c>
    </row>
    <row r="273" spans="1:66" ht="10.5" customHeight="1" x14ac:dyDescent="0.35">
      <c r="A273" s="841">
        <v>1963</v>
      </c>
      <c r="B273" s="916">
        <f>+'1.3.1 CoalLR'!K273*1000*Units!$C$20</f>
        <v>17683.512000000002</v>
      </c>
      <c r="C273" s="842">
        <f>+'1.4.1 MSFLR'!C173+'1.4.1 MSFLR'!D173</f>
        <v>10300</v>
      </c>
      <c r="D273" s="945">
        <v>1126</v>
      </c>
      <c r="E273" s="932">
        <f>+'1.6.1 GasLR'!G153*Units!C$19</f>
        <v>2170.038</v>
      </c>
      <c r="F273" s="945"/>
      <c r="G273" s="945">
        <v>4287</v>
      </c>
      <c r="H273" s="945"/>
      <c r="I273" s="945"/>
      <c r="J273" s="910"/>
      <c r="K273" s="842">
        <f>'1.8.2 RenHLR'!I273+'1.8.3 RenPTLR'!G273</f>
        <v>240</v>
      </c>
      <c r="L273" s="945">
        <v>16202</v>
      </c>
      <c r="M273" s="950">
        <v>54032</v>
      </c>
      <c r="N273" s="946"/>
      <c r="O273" s="945">
        <v>3476</v>
      </c>
      <c r="P273" s="945">
        <f>76+438</f>
        <v>514</v>
      </c>
      <c r="Q273" s="947" t="s">
        <v>1207</v>
      </c>
      <c r="R273" s="945">
        <v>826</v>
      </c>
      <c r="S273" s="945"/>
      <c r="T273" s="945">
        <v>15</v>
      </c>
      <c r="U273" s="945">
        <v>13799</v>
      </c>
      <c r="V273" s="945"/>
      <c r="W273" s="945">
        <v>136</v>
      </c>
      <c r="X273" s="945"/>
      <c r="Y273" s="945">
        <v>224</v>
      </c>
      <c r="Z273" s="945">
        <v>1224</v>
      </c>
      <c r="AA273" s="945"/>
      <c r="AB273" s="945"/>
      <c r="AC273" s="945">
        <v>2547</v>
      </c>
      <c r="AD273" s="950">
        <f t="shared" si="36"/>
        <v>21592</v>
      </c>
      <c r="AF273" s="841">
        <v>1963</v>
      </c>
      <c r="AG273" s="916">
        <v>23532</v>
      </c>
      <c r="AH273" s="842">
        <f>2998+1068</f>
        <v>4066</v>
      </c>
      <c r="AI273" s="842">
        <f>+('1.6.1 GasLR'!E153+'1.6.1 GasLR'!D153)*Units!C$19</f>
        <v>3881.4379999999996</v>
      </c>
      <c r="AJ273" s="947"/>
      <c r="AK273" s="945">
        <v>4496</v>
      </c>
      <c r="AL273" s="945"/>
      <c r="AM273" s="945">
        <f>'1.8.2 RenHLR'!H273</f>
        <v>1050</v>
      </c>
      <c r="AN273" s="945">
        <v>2499</v>
      </c>
      <c r="AO273" s="1083" t="s">
        <v>1214</v>
      </c>
      <c r="AQ273" s="841">
        <v>1963</v>
      </c>
      <c r="AR273" s="916">
        <v>4310</v>
      </c>
      <c r="AS273" s="945">
        <v>3471</v>
      </c>
      <c r="AT273" s="842">
        <f>('1.6.1 GasLR'!C153+'1.6.1 GasLR'!L153)*Units!C$19</f>
        <v>1471.8899999999999</v>
      </c>
      <c r="AU273" s="949">
        <f>('1.6.1 GasLR'!M153)*Units!C$19</f>
        <v>88.23599999999999</v>
      </c>
      <c r="AV273" s="945">
        <v>2174</v>
      </c>
      <c r="AW273" s="945"/>
      <c r="AX273" s="945"/>
      <c r="AY273" s="945">
        <v>5219</v>
      </c>
      <c r="AZ273" s="947" t="s">
        <v>1224</v>
      </c>
      <c r="BB273" s="841">
        <v>1963</v>
      </c>
      <c r="BC273" s="916">
        <f t="shared" si="37"/>
        <v>49137.512000000002</v>
      </c>
      <c r="BD273" s="944">
        <f t="shared" si="38"/>
        <v>18351</v>
      </c>
      <c r="BE273" s="914"/>
      <c r="BF273" s="832">
        <f t="shared" si="39"/>
        <v>1126</v>
      </c>
      <c r="BG273" s="916">
        <f t="shared" si="40"/>
        <v>7523.366</v>
      </c>
      <c r="BH273" s="916"/>
      <c r="BI273" s="916">
        <f t="shared" si="41"/>
        <v>11163</v>
      </c>
      <c r="BJ273" s="910"/>
      <c r="BK273" s="842"/>
      <c r="BL273" s="1085">
        <f t="shared" si="30"/>
        <v>1290</v>
      </c>
      <c r="BM273" s="920">
        <f t="shared" si="42"/>
        <v>41092</v>
      </c>
      <c r="BN273" s="921">
        <f t="shared" si="35"/>
        <v>129682.878</v>
      </c>
    </row>
    <row r="274" spans="1:66" ht="10.5" customHeight="1" x14ac:dyDescent="0.35">
      <c r="A274" s="841">
        <v>1964</v>
      </c>
      <c r="B274" s="916">
        <f>+'1.3.1 CoalLR'!K274*1000*Units!$C$20</f>
        <v>17026.245599999998</v>
      </c>
      <c r="C274" s="842">
        <f>+'1.4.1 MSFLR'!C174+'1.4.1 MSFLR'!D174</f>
        <v>11246</v>
      </c>
      <c r="D274" s="945">
        <v>1317</v>
      </c>
      <c r="E274" s="932">
        <f>+'1.6.1 GasLR'!G154*Units!C$19</f>
        <v>2228.002</v>
      </c>
      <c r="F274" s="945"/>
      <c r="G274" s="945">
        <v>4738</v>
      </c>
      <c r="H274" s="945"/>
      <c r="I274" s="945"/>
      <c r="J274" s="910"/>
      <c r="K274" s="842">
        <f>'1.8.2 RenHLR'!I274+'1.8.3 RenPTLR'!G274</f>
        <v>240</v>
      </c>
      <c r="L274" s="945">
        <v>18207</v>
      </c>
      <c r="M274" s="950">
        <v>56776</v>
      </c>
      <c r="N274" s="946"/>
      <c r="O274" s="945">
        <v>2715</v>
      </c>
      <c r="P274" s="945">
        <f>63+254</f>
        <v>317</v>
      </c>
      <c r="Q274" s="947" t="s">
        <v>1207</v>
      </c>
      <c r="R274" s="945">
        <v>930</v>
      </c>
      <c r="S274" s="945"/>
      <c r="T274" s="945">
        <v>13</v>
      </c>
      <c r="U274" s="945">
        <v>15258</v>
      </c>
      <c r="V274" s="945"/>
      <c r="W274" s="945">
        <v>144</v>
      </c>
      <c r="X274" s="945"/>
      <c r="Y274" s="945">
        <v>186</v>
      </c>
      <c r="Z274" s="945">
        <v>1164</v>
      </c>
      <c r="AA274" s="945"/>
      <c r="AB274" s="945"/>
      <c r="AC274" s="945">
        <v>2617</v>
      </c>
      <c r="AD274" s="950">
        <f t="shared" si="36"/>
        <v>22227</v>
      </c>
      <c r="AF274" s="841">
        <v>1964</v>
      </c>
      <c r="AG274" s="916">
        <v>20568</v>
      </c>
      <c r="AH274" s="842">
        <f>2942+1189</f>
        <v>4131</v>
      </c>
      <c r="AI274" s="842">
        <f>+('1.6.1 GasLR'!E154+'1.6.1 GasLR'!D154)*Units!C$19</f>
        <v>4067.9719999999998</v>
      </c>
      <c r="AJ274" s="947"/>
      <c r="AK274" s="945">
        <v>4501</v>
      </c>
      <c r="AL274" s="945"/>
      <c r="AM274" s="945">
        <f>'1.8.2 RenHLR'!H274</f>
        <v>991.8</v>
      </c>
      <c r="AN274" s="945">
        <v>2295</v>
      </c>
      <c r="AO274" s="1083" t="s">
        <v>1215</v>
      </c>
      <c r="AQ274" s="841">
        <v>1964</v>
      </c>
      <c r="AR274" s="916">
        <v>3768</v>
      </c>
      <c r="AS274" s="945">
        <v>2831</v>
      </c>
      <c r="AT274" s="842">
        <f>('1.6.1 GasLR'!C154+'1.6.1 GasLR'!L154)*Units!C$19</f>
        <v>1451.7659999999998</v>
      </c>
      <c r="AU274" s="949">
        <f>('1.6.1 GasLR'!M154)*Units!C$19</f>
        <v>88.23599999999999</v>
      </c>
      <c r="AV274" s="945">
        <v>2277</v>
      </c>
      <c r="AW274" s="945"/>
      <c r="AX274" s="945"/>
      <c r="AY274" s="945">
        <v>5272</v>
      </c>
      <c r="AZ274" s="947" t="s">
        <v>1225</v>
      </c>
      <c r="BB274" s="841">
        <v>1964</v>
      </c>
      <c r="BC274" s="916">
        <f t="shared" si="37"/>
        <v>44221.245599999995</v>
      </c>
      <c r="BD274" s="944">
        <f t="shared" si="38"/>
        <v>18525</v>
      </c>
      <c r="BE274" s="914"/>
      <c r="BF274" s="832">
        <f t="shared" si="39"/>
        <v>1317</v>
      </c>
      <c r="BG274" s="916">
        <f t="shared" si="40"/>
        <v>7747.74</v>
      </c>
      <c r="BH274" s="916"/>
      <c r="BI274" s="916">
        <f t="shared" si="41"/>
        <v>11720</v>
      </c>
      <c r="BJ274" s="910"/>
      <c r="BK274" s="842"/>
      <c r="BL274" s="1085">
        <f t="shared" si="30"/>
        <v>1231.8</v>
      </c>
      <c r="BM274" s="920">
        <f t="shared" si="42"/>
        <v>44579</v>
      </c>
      <c r="BN274" s="921">
        <f t="shared" si="35"/>
        <v>129341.7856</v>
      </c>
    </row>
    <row r="275" spans="1:66" ht="10.5" customHeight="1" x14ac:dyDescent="0.35">
      <c r="A275" s="841">
        <v>1965</v>
      </c>
      <c r="B275" s="916">
        <f>+'1.3.1 CoalLR'!K275*1000*Units!$C$20</f>
        <v>16548.2016</v>
      </c>
      <c r="C275" s="842">
        <f>+'1.4.1 MSFLR'!C175+'1.4.1 MSFLR'!D175</f>
        <v>11122</v>
      </c>
      <c r="D275" s="945">
        <v>1335</v>
      </c>
      <c r="E275" s="932">
        <f>+'1.6.1 GasLR'!G155*Units!C$19</f>
        <v>2316.2379999999998</v>
      </c>
      <c r="F275" s="945"/>
      <c r="G275" s="945">
        <v>5033</v>
      </c>
      <c r="H275" s="945"/>
      <c r="I275" s="945"/>
      <c r="J275" s="910"/>
      <c r="K275" s="842">
        <f>'1.8.2 RenHLR'!I275+'1.8.3 RenPTLR'!G275</f>
        <v>240</v>
      </c>
      <c r="L275" s="945">
        <v>20419</v>
      </c>
      <c r="M275" s="950">
        <v>58761</v>
      </c>
      <c r="N275" s="946"/>
      <c r="O275" s="945">
        <v>1962</v>
      </c>
      <c r="P275" s="945">
        <v>58</v>
      </c>
      <c r="Q275" s="947" t="s">
        <v>1207</v>
      </c>
      <c r="R275" s="945">
        <v>1013</v>
      </c>
      <c r="S275" s="945"/>
      <c r="T275" s="945">
        <v>10</v>
      </c>
      <c r="U275" s="945">
        <v>16348</v>
      </c>
      <c r="V275" s="945"/>
      <c r="W275" s="945">
        <v>106</v>
      </c>
      <c r="X275" s="945"/>
      <c r="Y275" s="945">
        <v>161</v>
      </c>
      <c r="Z275" s="945">
        <v>1209</v>
      </c>
      <c r="AA275" s="945"/>
      <c r="AB275" s="945"/>
      <c r="AC275" s="945">
        <v>2710</v>
      </c>
      <c r="AD275" s="950">
        <f t="shared" si="36"/>
        <v>22453</v>
      </c>
      <c r="AF275" s="841">
        <v>1965</v>
      </c>
      <c r="AG275" s="916">
        <v>20207</v>
      </c>
      <c r="AH275" s="842">
        <f>3008+1292</f>
        <v>4300</v>
      </c>
      <c r="AI275" s="842">
        <f>+('1.6.1 GasLR'!E155+'1.6.1 GasLR'!D155)*Units!C$19</f>
        <v>4710.6499999999996</v>
      </c>
      <c r="AJ275" s="947"/>
      <c r="AK275" s="945">
        <v>4920</v>
      </c>
      <c r="AL275" s="945"/>
      <c r="AM275" s="945">
        <f>'1.8.2 RenHLR'!H275</f>
        <v>933.59999999999991</v>
      </c>
      <c r="AN275" s="945">
        <v>2441</v>
      </c>
      <c r="AO275" s="1083" t="s">
        <v>1216</v>
      </c>
      <c r="AQ275" s="841">
        <v>1965</v>
      </c>
      <c r="AR275" s="916">
        <v>3741</v>
      </c>
      <c r="AS275" s="945">
        <v>2721</v>
      </c>
      <c r="AT275" s="842">
        <f>('1.6.1 GasLR'!C155+'1.6.1 GasLR'!L155)*Units!C$19</f>
        <v>1456.84</v>
      </c>
      <c r="AU275" s="949">
        <f>('1.6.1 GasLR'!M155)*Units!C$19</f>
        <v>98.297999999999988</v>
      </c>
      <c r="AV275" s="945">
        <v>2496</v>
      </c>
      <c r="AW275" s="945"/>
      <c r="AX275" s="945"/>
      <c r="AY275" s="945">
        <v>5786</v>
      </c>
      <c r="AZ275" s="947" t="s">
        <v>1226</v>
      </c>
      <c r="BB275" s="841">
        <v>1965</v>
      </c>
      <c r="BC275" s="916">
        <f t="shared" si="37"/>
        <v>42564.2016</v>
      </c>
      <c r="BD275" s="944">
        <f t="shared" si="38"/>
        <v>18201</v>
      </c>
      <c r="BE275" s="914"/>
      <c r="BF275" s="832">
        <f t="shared" si="39"/>
        <v>1335</v>
      </c>
      <c r="BG275" s="916">
        <f t="shared" si="40"/>
        <v>8483.7279999999992</v>
      </c>
      <c r="BH275" s="916"/>
      <c r="BI275" s="916">
        <f t="shared" si="41"/>
        <v>12650</v>
      </c>
      <c r="BJ275" s="910"/>
      <c r="BK275" s="842"/>
      <c r="BL275" s="1085">
        <f t="shared" si="30"/>
        <v>1173.5999999999999</v>
      </c>
      <c r="BM275" s="920">
        <f t="shared" si="42"/>
        <v>48717</v>
      </c>
      <c r="BN275" s="921">
        <f t="shared" si="35"/>
        <v>133124.52960000001</v>
      </c>
    </row>
    <row r="276" spans="1:66" ht="10.5" customHeight="1" x14ac:dyDescent="0.35">
      <c r="A276" s="841">
        <v>1966</v>
      </c>
      <c r="B276" s="916">
        <f>+'1.3.1 CoalLR'!K276*1000*Units!$C$20</f>
        <v>15293.7624</v>
      </c>
      <c r="C276" s="842">
        <f>+'1.4.1 MSFLR'!C176+'1.4.1 MSFLR'!D176</f>
        <v>9933</v>
      </c>
      <c r="D276" s="945">
        <v>1217</v>
      </c>
      <c r="E276" s="932">
        <f>+'1.6.1 GasLR'!G156*Units!C$19</f>
        <v>2349.0039999999999</v>
      </c>
      <c r="F276" s="945"/>
      <c r="G276" s="945">
        <v>5169</v>
      </c>
      <c r="H276" s="945"/>
      <c r="I276" s="945"/>
      <c r="J276" s="910"/>
      <c r="K276" s="842">
        <f>'1.8.2 RenHLR'!I276+'1.8.3 RenPTLR'!G276</f>
        <v>240</v>
      </c>
      <c r="L276" s="945">
        <v>21981</v>
      </c>
      <c r="M276" s="950">
        <v>58257</v>
      </c>
      <c r="N276" s="946"/>
      <c r="O276" s="945">
        <v>1285</v>
      </c>
      <c r="P276" s="945">
        <v>48</v>
      </c>
      <c r="Q276" s="947" t="s">
        <v>1208</v>
      </c>
      <c r="R276" s="945">
        <v>1033</v>
      </c>
      <c r="S276" s="945"/>
      <c r="T276" s="945">
        <v>8</v>
      </c>
      <c r="U276" s="945">
        <v>17222</v>
      </c>
      <c r="V276" s="945"/>
      <c r="W276" s="945">
        <v>116</v>
      </c>
      <c r="X276" s="945"/>
      <c r="Y276" s="945">
        <v>144</v>
      </c>
      <c r="Z276" s="945">
        <v>1199</v>
      </c>
      <c r="AA276" s="945"/>
      <c r="AB276" s="945"/>
      <c r="AC276" s="945">
        <v>2932</v>
      </c>
      <c r="AD276" s="950">
        <f t="shared" si="36"/>
        <v>22879</v>
      </c>
      <c r="AF276" s="841">
        <v>1966</v>
      </c>
      <c r="AG276" s="916">
        <v>18865</v>
      </c>
      <c r="AH276" s="842">
        <f>2980+1385</f>
        <v>4365</v>
      </c>
      <c r="AI276" s="842">
        <f>+('1.6.1 GasLR'!E156+'1.6.1 GasLR'!D156)*Units!C$19</f>
        <v>5486.9719999999998</v>
      </c>
      <c r="AJ276" s="947"/>
      <c r="AK276" s="945">
        <v>5141</v>
      </c>
      <c r="AL276" s="945"/>
      <c r="AM276" s="945">
        <f>'1.8.2 RenHLR'!H276</f>
        <v>875.39999999999986</v>
      </c>
      <c r="AN276" s="945">
        <v>2436</v>
      </c>
      <c r="AO276" s="1083" t="s">
        <v>1217</v>
      </c>
      <c r="AQ276" s="841">
        <v>1966</v>
      </c>
      <c r="AR276" s="916">
        <v>3509</v>
      </c>
      <c r="AS276" s="945">
        <v>2416</v>
      </c>
      <c r="AT276" s="842">
        <f>('1.6.1 GasLR'!C156+'1.6.1 GasLR'!L156)*Units!C$19</f>
        <v>1529.8539999999998</v>
      </c>
      <c r="AU276" s="949">
        <f>('1.6.1 GasLR'!M156)*Units!C$19</f>
        <v>103.37199999999999</v>
      </c>
      <c r="AV276" s="945">
        <v>2630</v>
      </c>
      <c r="AW276" s="945"/>
      <c r="AX276" s="945"/>
      <c r="AY276" s="945">
        <v>6182</v>
      </c>
      <c r="AZ276" s="947" t="s">
        <v>1227</v>
      </c>
      <c r="BB276" s="841">
        <v>1966</v>
      </c>
      <c r="BC276" s="916">
        <f t="shared" si="37"/>
        <v>39068.7624</v>
      </c>
      <c r="BD276" s="944">
        <f t="shared" si="38"/>
        <v>16762</v>
      </c>
      <c r="BE276" s="914"/>
      <c r="BF276" s="832">
        <f t="shared" si="39"/>
        <v>1217</v>
      </c>
      <c r="BG276" s="916">
        <f t="shared" si="40"/>
        <v>9365.83</v>
      </c>
      <c r="BH276" s="916"/>
      <c r="BI276" s="916">
        <f t="shared" si="41"/>
        <v>13155</v>
      </c>
      <c r="BJ276" s="910"/>
      <c r="BK276" s="842"/>
      <c r="BL276" s="1085">
        <f t="shared" si="30"/>
        <v>1115.3999999999999</v>
      </c>
      <c r="BM276" s="920">
        <f t="shared" si="42"/>
        <v>51786</v>
      </c>
      <c r="BN276" s="921">
        <f t="shared" si="35"/>
        <v>132469.99239999999</v>
      </c>
    </row>
    <row r="277" spans="1:66" ht="10.5" customHeight="1" x14ac:dyDescent="0.35">
      <c r="A277" s="841">
        <v>1967</v>
      </c>
      <c r="B277" s="916">
        <f>+'1.3.1 CoalLR'!K277*1000*Units!$C$20</f>
        <v>13962.06</v>
      </c>
      <c r="C277" s="842">
        <f>+'1.4.1 MSFLR'!C177+'1.4.1 MSFLR'!D177</f>
        <v>9332</v>
      </c>
      <c r="D277" s="945">
        <v>1161</v>
      </c>
      <c r="E277" s="932">
        <f>+'1.6.1 GasLR'!G157*Units!C$19</f>
        <v>2273.41</v>
      </c>
      <c r="F277" s="916"/>
      <c r="G277" s="945">
        <v>5234</v>
      </c>
      <c r="H277" s="945"/>
      <c r="I277" s="945"/>
      <c r="J277" s="910"/>
      <c r="K277" s="842">
        <f>'1.8.2 RenHLR'!I277+'1.8.3 RenPTLR'!G277</f>
        <v>240</v>
      </c>
      <c r="L277" s="945">
        <v>23507</v>
      </c>
      <c r="M277" s="950">
        <v>57455</v>
      </c>
      <c r="N277" s="946"/>
      <c r="O277" s="945">
        <v>602</v>
      </c>
      <c r="P277" s="945">
        <v>43</v>
      </c>
      <c r="Q277" s="947" t="s">
        <v>1209</v>
      </c>
      <c r="R277" s="945">
        <v>1058</v>
      </c>
      <c r="S277" s="945"/>
      <c r="T277" s="945">
        <v>5</v>
      </c>
      <c r="U277" s="945">
        <v>18379</v>
      </c>
      <c r="V277" s="945"/>
      <c r="W277" s="945">
        <v>108</v>
      </c>
      <c r="X277" s="945"/>
      <c r="Y277" s="945">
        <v>121</v>
      </c>
      <c r="Z277" s="945">
        <v>1179</v>
      </c>
      <c r="AA277" s="945"/>
      <c r="AB277" s="945"/>
      <c r="AC277" s="945">
        <v>3297</v>
      </c>
      <c r="AD277" s="950">
        <f t="shared" si="36"/>
        <v>23722</v>
      </c>
      <c r="AF277" s="841">
        <v>1967</v>
      </c>
      <c r="AG277" s="916">
        <v>17180</v>
      </c>
      <c r="AH277" s="842">
        <f>2857+1494</f>
        <v>4351</v>
      </c>
      <c r="AI277" s="842">
        <f>+('1.6.1 GasLR'!E157+'1.6.1 GasLR'!D157)*Units!C$19</f>
        <v>6230.4419999999991</v>
      </c>
      <c r="AJ277" s="949">
        <f>+'1.6.1 GasLR'!F157*Units!C$19</f>
        <v>2.4939999999999998</v>
      </c>
      <c r="AK277" s="945">
        <v>5360</v>
      </c>
      <c r="AL277" s="945"/>
      <c r="AM277" s="945">
        <f>'1.8.2 RenHLR'!H277</f>
        <v>817.19999999999982</v>
      </c>
      <c r="AN277" s="945">
        <v>2534</v>
      </c>
      <c r="AO277" s="1083" t="s">
        <v>1218</v>
      </c>
      <c r="AQ277" s="841">
        <v>1967</v>
      </c>
      <c r="AR277" s="916">
        <v>3126</v>
      </c>
      <c r="AS277" s="945">
        <v>2151</v>
      </c>
      <c r="AT277" s="842">
        <f>('1.6.1 GasLR'!C157+'1.6.1 GasLR'!L157)*Units!C$19</f>
        <v>1585.3239999999998</v>
      </c>
      <c r="AU277" s="949">
        <f>('1.6.1 GasLR'!M157)*Units!C$19</f>
        <v>110.94</v>
      </c>
      <c r="AV277" s="945">
        <v>2763</v>
      </c>
      <c r="AW277" s="945"/>
      <c r="AX277" s="945"/>
      <c r="AY277" s="945">
        <v>6703</v>
      </c>
      <c r="AZ277" s="947" t="s">
        <v>1228</v>
      </c>
      <c r="BB277" s="841">
        <v>1967</v>
      </c>
      <c r="BC277" s="916">
        <f t="shared" si="37"/>
        <v>34978.06</v>
      </c>
      <c r="BD277" s="944">
        <f t="shared" si="38"/>
        <v>15877</v>
      </c>
      <c r="BE277" s="914"/>
      <c r="BF277" s="832">
        <f t="shared" si="39"/>
        <v>1161</v>
      </c>
      <c r="BG277" s="916">
        <f t="shared" si="40"/>
        <v>10089.175999999999</v>
      </c>
      <c r="BH277" s="916">
        <f t="shared" ref="BH277:BH308" si="43">F277+AJ277+AU277</f>
        <v>113.434</v>
      </c>
      <c r="BI277" s="916">
        <f t="shared" si="41"/>
        <v>13579</v>
      </c>
      <c r="BJ277" s="910"/>
      <c r="BK277" s="842"/>
      <c r="BL277" s="1085">
        <f t="shared" si="30"/>
        <v>1057.1999999999998</v>
      </c>
      <c r="BM277" s="920">
        <f t="shared" si="42"/>
        <v>55478</v>
      </c>
      <c r="BN277" s="921">
        <f t="shared" si="35"/>
        <v>132332.87</v>
      </c>
    </row>
    <row r="278" spans="1:66" ht="10.5" customHeight="1" x14ac:dyDescent="0.35">
      <c r="A278" s="841">
        <v>1968</v>
      </c>
      <c r="B278" s="916">
        <f>+'1.3.1 CoalLR'!K278*1000*Units!$C$20</f>
        <v>13374.648000000001</v>
      </c>
      <c r="C278" s="842">
        <f>+'1.4.1 MSFLR'!C178+'1.4.1 MSFLR'!D178</f>
        <v>9814</v>
      </c>
      <c r="D278" s="945">
        <v>1217</v>
      </c>
      <c r="E278" s="932">
        <f>+'1.6.1 GasLR'!G158*Units!C$19</f>
        <v>2268.3359999999998</v>
      </c>
      <c r="F278" s="916">
        <f>+'1.6.1 GasLR'!H158*Units!C$19</f>
        <v>128.57</v>
      </c>
      <c r="G278" s="945">
        <v>5700</v>
      </c>
      <c r="H278" s="945"/>
      <c r="I278" s="945"/>
      <c r="J278" s="910"/>
      <c r="K278" s="842">
        <f>'1.8.2 RenHLR'!I278+'1.8.3 RenPTLR'!G278</f>
        <v>240</v>
      </c>
      <c r="L278" s="945">
        <v>24895</v>
      </c>
      <c r="M278" s="950">
        <v>59398</v>
      </c>
      <c r="N278" s="946"/>
      <c r="O278" s="945">
        <v>166</v>
      </c>
      <c r="P278" s="945">
        <v>43</v>
      </c>
      <c r="Q278" s="947" t="s">
        <v>1210</v>
      </c>
      <c r="R278" s="945">
        <v>1139</v>
      </c>
      <c r="S278" s="945"/>
      <c r="T278" s="945">
        <v>3</v>
      </c>
      <c r="U278" s="945">
        <v>19563</v>
      </c>
      <c r="V278" s="945"/>
      <c r="W278" s="945">
        <v>71</v>
      </c>
      <c r="X278" s="945"/>
      <c r="Y278" s="945">
        <v>98</v>
      </c>
      <c r="Z278" s="945">
        <v>1083</v>
      </c>
      <c r="AA278" s="945"/>
      <c r="AB278" s="945"/>
      <c r="AC278" s="945">
        <v>3587</v>
      </c>
      <c r="AD278" s="950">
        <f t="shared" si="36"/>
        <v>24823</v>
      </c>
      <c r="AF278" s="841">
        <v>1968</v>
      </c>
      <c r="AG278" s="916">
        <v>15585</v>
      </c>
      <c r="AH278" s="842">
        <f>2605+1743</f>
        <v>4348</v>
      </c>
      <c r="AI278" s="842">
        <f>+('1.6.1 GasLR'!E158+'1.6.1 GasLR'!D158)*Units!C$19</f>
        <v>7059.6539999999995</v>
      </c>
      <c r="AJ278" s="949">
        <f>+'1.6.1 GasLR'!F158*Units!C$19</f>
        <v>70.605999999999995</v>
      </c>
      <c r="AK278" s="945">
        <v>5731</v>
      </c>
      <c r="AL278" s="945"/>
      <c r="AM278" s="945">
        <f>'1.8.2 RenHLR'!H278</f>
        <v>759</v>
      </c>
      <c r="AN278" s="945">
        <v>2809</v>
      </c>
      <c r="AO278" s="1083" t="s">
        <v>1219</v>
      </c>
      <c r="AQ278" s="841">
        <v>1968</v>
      </c>
      <c r="AR278" s="916">
        <v>2607</v>
      </c>
      <c r="AS278" s="945">
        <v>2184</v>
      </c>
      <c r="AT278" s="842">
        <f>('1.6.1 GasLR'!C158+'1.6.1 GasLR'!L158)*Units!C$19</f>
        <v>1708.82</v>
      </c>
      <c r="AU278" s="949">
        <f>('1.6.1 GasLR'!M158)*Units!C$19</f>
        <v>143.70599999999999</v>
      </c>
      <c r="AV278" s="945">
        <v>3015</v>
      </c>
      <c r="AW278" s="945"/>
      <c r="AX278" s="945"/>
      <c r="AY278" s="945">
        <v>7572</v>
      </c>
      <c r="AZ278" s="947" t="s">
        <v>1229</v>
      </c>
      <c r="BB278" s="841">
        <v>1968</v>
      </c>
      <c r="BC278" s="916">
        <f t="shared" si="37"/>
        <v>31803.648000000001</v>
      </c>
      <c r="BD278" s="944">
        <f t="shared" si="38"/>
        <v>16389</v>
      </c>
      <c r="BE278" s="914"/>
      <c r="BF278" s="832">
        <f t="shared" si="39"/>
        <v>1217</v>
      </c>
      <c r="BG278" s="916">
        <f t="shared" si="40"/>
        <v>11036.81</v>
      </c>
      <c r="BH278" s="916">
        <f t="shared" si="43"/>
        <v>342.88199999999995</v>
      </c>
      <c r="BI278" s="916">
        <f t="shared" si="41"/>
        <v>14673</v>
      </c>
      <c r="BJ278" s="910"/>
      <c r="BK278" s="842"/>
      <c r="BL278" s="1085">
        <f t="shared" si="30"/>
        <v>999</v>
      </c>
      <c r="BM278" s="920">
        <f t="shared" si="42"/>
        <v>59565</v>
      </c>
      <c r="BN278" s="921">
        <f t="shared" si="35"/>
        <v>136026.34</v>
      </c>
    </row>
    <row r="279" spans="1:66" s="838" customFormat="1" ht="10.5" customHeight="1" x14ac:dyDescent="0.35">
      <c r="A279" s="841">
        <v>1969</v>
      </c>
      <c r="B279" s="916">
        <f>+'1.3.1 CoalLR'!K279*1000*Units!$C$20</f>
        <v>12647.291999999999</v>
      </c>
      <c r="C279" s="842">
        <f>+'1.4.1 MSFLR'!C179+'1.4.1 MSFLR'!D179</f>
        <v>9910</v>
      </c>
      <c r="D279" s="916">
        <v>1139</v>
      </c>
      <c r="E279" s="932">
        <f>+'1.6.1 GasLR'!G159*Units!C$19</f>
        <v>2142.346</v>
      </c>
      <c r="F279" s="916">
        <f>+'1.6.1 GasLR'!H159*Units!C$19</f>
        <v>496.47799999999995</v>
      </c>
      <c r="G279" s="916">
        <v>6046</v>
      </c>
      <c r="H279" s="916"/>
      <c r="I279" s="916"/>
      <c r="J279" s="832"/>
      <c r="K279" s="842">
        <f>'1.8.2 RenHLR'!I279+'1.8.3 RenPTLR'!G279</f>
        <v>240</v>
      </c>
      <c r="L279" s="916">
        <v>26734</v>
      </c>
      <c r="M279" s="953">
        <v>60948</v>
      </c>
      <c r="N279" s="948"/>
      <c r="O279" s="948">
        <v>106</v>
      </c>
      <c r="P279" s="948">
        <v>38</v>
      </c>
      <c r="Q279" s="948">
        <v>232</v>
      </c>
      <c r="R279" s="948">
        <v>1184</v>
      </c>
      <c r="S279" s="948"/>
      <c r="T279" s="948">
        <v>3</v>
      </c>
      <c r="U279" s="948">
        <v>20321</v>
      </c>
      <c r="V279" s="948"/>
      <c r="W279" s="948">
        <v>30</v>
      </c>
      <c r="X279" s="948"/>
      <c r="Y279" s="948">
        <v>96</v>
      </c>
      <c r="Z279" s="948">
        <v>1131</v>
      </c>
      <c r="AA279" s="948"/>
      <c r="AB279" s="948"/>
      <c r="AC279" s="948">
        <v>3728</v>
      </c>
      <c r="AD279" s="951">
        <v>26868</v>
      </c>
      <c r="AF279" s="841">
        <v>1969</v>
      </c>
      <c r="AG279" s="916">
        <v>15469</v>
      </c>
      <c r="AH279" s="842">
        <f>2280+1957</f>
        <v>4237</v>
      </c>
      <c r="AI279" s="842">
        <f>+('1.6.1 GasLR'!E159+'1.6.1 GasLR'!D159)*Units!C$19</f>
        <v>7626.7379999999994</v>
      </c>
      <c r="AJ279" s="931">
        <f>+'1.6.1 GasLR'!F159*Units!C$19</f>
        <v>466.29199999999997</v>
      </c>
      <c r="AK279" s="832">
        <v>6207</v>
      </c>
      <c r="AL279" s="832"/>
      <c r="AM279" s="945">
        <f>'1.8.2 RenHLR'!H279</f>
        <v>696.2</v>
      </c>
      <c r="AN279" s="916">
        <v>3078</v>
      </c>
      <c r="AO279" s="1084" t="s">
        <v>1220</v>
      </c>
      <c r="AQ279" s="841">
        <v>1969</v>
      </c>
      <c r="AR279" s="916">
        <v>2746</v>
      </c>
      <c r="AS279" s="916">
        <v>1950</v>
      </c>
      <c r="AT279" s="842">
        <f>('1.6.1 GasLR'!C159+'1.6.1 GasLR'!L159)*Units!C$19</f>
        <v>1739.0919999999999</v>
      </c>
      <c r="AU279" s="949">
        <f>('1.6.1 GasLR'!M159)*Units!C$19</f>
        <v>225.23399999999998</v>
      </c>
      <c r="AV279" s="916">
        <v>3244</v>
      </c>
      <c r="AW279" s="916"/>
      <c r="AX279" s="916"/>
      <c r="AY279" s="916">
        <v>8381</v>
      </c>
      <c r="AZ279" s="949" t="s">
        <v>1230</v>
      </c>
      <c r="BA279" s="824"/>
      <c r="BB279" s="841">
        <v>1969</v>
      </c>
      <c r="BC279" s="916">
        <f t="shared" si="37"/>
        <v>30998.292000000001</v>
      </c>
      <c r="BD279" s="944">
        <f t="shared" si="38"/>
        <v>16135</v>
      </c>
      <c r="BE279" s="832"/>
      <c r="BF279" s="832">
        <f t="shared" si="39"/>
        <v>1139</v>
      </c>
      <c r="BG279" s="916">
        <f t="shared" si="40"/>
        <v>11508.175999999999</v>
      </c>
      <c r="BH279" s="916">
        <f t="shared" si="43"/>
        <v>1188.0039999999999</v>
      </c>
      <c r="BI279" s="916">
        <f t="shared" si="41"/>
        <v>15732</v>
      </c>
      <c r="BJ279" s="832"/>
      <c r="BK279" s="842"/>
      <c r="BL279" s="1085">
        <f t="shared" si="30"/>
        <v>936.2</v>
      </c>
      <c r="BM279" s="920">
        <f t="shared" si="42"/>
        <v>63426</v>
      </c>
      <c r="BN279" s="921">
        <f t="shared" si="35"/>
        <v>141062.67200000002</v>
      </c>
    </row>
    <row r="280" spans="1:66" s="838" customFormat="1" ht="10.5" customHeight="1" x14ac:dyDescent="0.35">
      <c r="A280" s="841">
        <v>1970</v>
      </c>
      <c r="B280" s="842">
        <v>12681</v>
      </c>
      <c r="C280" s="842">
        <f>+'1.4.1 MSFLR'!C180+'1.4.1 MSFLR'!D180</f>
        <v>9864</v>
      </c>
      <c r="D280" s="842">
        <v>1164</v>
      </c>
      <c r="E280" s="842">
        <v>1778</v>
      </c>
      <c r="F280" s="842">
        <v>1788</v>
      </c>
      <c r="G280" s="842">
        <v>6275</v>
      </c>
      <c r="H280" s="842"/>
      <c r="I280" s="842"/>
      <c r="J280" s="842" t="s">
        <v>1151</v>
      </c>
      <c r="K280" s="842">
        <f>'1.8.2 RenHLR'!I280+'1.8.3 RenPTLR'!G280</f>
        <v>240</v>
      </c>
      <c r="L280" s="842">
        <v>28397</v>
      </c>
      <c r="M280" s="843">
        <v>62333</v>
      </c>
      <c r="N280" s="841">
        <v>1970</v>
      </c>
      <c r="O280" s="842">
        <v>88</v>
      </c>
      <c r="P280" s="842">
        <v>35</v>
      </c>
      <c r="Q280" s="842">
        <v>234</v>
      </c>
      <c r="R280" s="842">
        <v>1254</v>
      </c>
      <c r="S280" s="842"/>
      <c r="T280" s="842">
        <v>3</v>
      </c>
      <c r="U280" s="842">
        <v>21406</v>
      </c>
      <c r="V280" s="842"/>
      <c r="W280" s="842">
        <v>15</v>
      </c>
      <c r="X280" s="842"/>
      <c r="Y280" s="842">
        <v>88</v>
      </c>
      <c r="Z280" s="842">
        <v>1184</v>
      </c>
      <c r="AA280" s="842"/>
      <c r="AB280" s="842"/>
      <c r="AC280" s="842">
        <v>3869</v>
      </c>
      <c r="AD280" s="843">
        <v>28174</v>
      </c>
      <c r="AF280" s="841">
        <v>1970</v>
      </c>
      <c r="AG280" s="842">
        <v>14242</v>
      </c>
      <c r="AH280" s="842">
        <f>'1.4.1 MSFLR'!F180</f>
        <v>3736</v>
      </c>
      <c r="AI280" s="842">
        <f>+('1.6.1 GasLR'!E160+'1.6.1 GasLR'!D160)*Units!C$19</f>
        <v>7346.98</v>
      </c>
      <c r="AJ280" s="842">
        <v>8922</v>
      </c>
      <c r="AK280" s="842">
        <v>6622</v>
      </c>
      <c r="AL280" s="842" t="s">
        <v>1151</v>
      </c>
      <c r="AM280" s="945">
        <f>'1.8.2 RenHLR'!H280</f>
        <v>633.4000000000002</v>
      </c>
      <c r="AN280" s="842">
        <v>3363</v>
      </c>
      <c r="AO280" s="843">
        <v>36884</v>
      </c>
      <c r="AQ280" s="841">
        <v>1970</v>
      </c>
      <c r="AR280" s="842">
        <v>2723</v>
      </c>
      <c r="AS280" s="842">
        <f>+'1.4.1 MSFLR'!I180</f>
        <v>1499</v>
      </c>
      <c r="AT280" s="842">
        <f>('1.6.1 GasLR'!C160+'1.6.1 GasLR'!L160)*Units!C$19</f>
        <v>1711.3932059999997</v>
      </c>
      <c r="AU280" s="949">
        <f>('1.6.1 GasLR'!M160)*Units!C$19</f>
        <v>294.80799999999999</v>
      </c>
      <c r="AV280" s="842">
        <v>3408</v>
      </c>
      <c r="AW280" s="842" t="s">
        <v>1151</v>
      </c>
      <c r="AX280" s="842"/>
      <c r="AY280" s="842">
        <v>9038</v>
      </c>
      <c r="AZ280" s="843">
        <v>18586</v>
      </c>
      <c r="BA280" s="824"/>
      <c r="BB280" s="841">
        <v>1970</v>
      </c>
      <c r="BC280" s="842">
        <v>29822</v>
      </c>
      <c r="BD280" s="842">
        <v>12950</v>
      </c>
      <c r="BE280" s="842">
        <v>2184</v>
      </c>
      <c r="BF280" s="842">
        <v>1164</v>
      </c>
      <c r="BG280" s="842">
        <v>10746</v>
      </c>
      <c r="BH280" s="916">
        <f t="shared" si="43"/>
        <v>11004.808000000001</v>
      </c>
      <c r="BI280" s="842">
        <v>16542</v>
      </c>
      <c r="BJ280" s="842" t="s">
        <v>1151</v>
      </c>
      <c r="BK280" s="842"/>
      <c r="BL280" s="1085">
        <f t="shared" si="30"/>
        <v>873.4000000000002</v>
      </c>
      <c r="BM280" s="842">
        <v>68511</v>
      </c>
      <c r="BN280" s="843">
        <v>145977</v>
      </c>
    </row>
    <row r="281" spans="1:66" s="838" customFormat="1" ht="10.5" customHeight="1" x14ac:dyDescent="0.35">
      <c r="A281" s="841">
        <v>1971</v>
      </c>
      <c r="B281" s="842">
        <v>10232</v>
      </c>
      <c r="C281" s="842">
        <f>+'1.4.1 MSFLR'!C181+'1.4.1 MSFLR'!D181</f>
        <v>8474</v>
      </c>
      <c r="D281" s="842">
        <v>1118</v>
      </c>
      <c r="E281" s="842">
        <v>1038</v>
      </c>
      <c r="F281" s="842">
        <v>5194</v>
      </c>
      <c r="G281" s="842">
        <v>6313</v>
      </c>
      <c r="H281" s="842"/>
      <c r="I281" s="842"/>
      <c r="J281" s="842" t="s">
        <v>1151</v>
      </c>
      <c r="K281" s="842">
        <f>'1.8.2 RenHLR'!I281+'1.8.3 RenPTLR'!G281</f>
        <v>240</v>
      </c>
      <c r="L281" s="842">
        <v>28130</v>
      </c>
      <c r="M281" s="843">
        <v>60746</v>
      </c>
      <c r="N281" s="841">
        <v>1971</v>
      </c>
      <c r="O281" s="842">
        <v>68</v>
      </c>
      <c r="P281" s="842">
        <v>13</v>
      </c>
      <c r="Q281" s="842">
        <v>237</v>
      </c>
      <c r="R281" s="842">
        <v>1186</v>
      </c>
      <c r="S281" s="842"/>
      <c r="T281" s="844">
        <v>0</v>
      </c>
      <c r="U281" s="842">
        <v>22412</v>
      </c>
      <c r="V281" s="842"/>
      <c r="W281" s="844">
        <v>0</v>
      </c>
      <c r="X281" s="842"/>
      <c r="Y281" s="842">
        <v>63</v>
      </c>
      <c r="Z281" s="842">
        <v>1081</v>
      </c>
      <c r="AA281" s="842"/>
      <c r="AB281" s="842"/>
      <c r="AC281" s="842">
        <v>4247</v>
      </c>
      <c r="AD281" s="843">
        <v>29306</v>
      </c>
      <c r="AF281" s="841">
        <v>1971</v>
      </c>
      <c r="AG281" s="842">
        <v>12164</v>
      </c>
      <c r="AH281" s="842">
        <f>'1.4.1 MSFLR'!F181</f>
        <v>3292</v>
      </c>
      <c r="AI281" s="842">
        <f>+('1.6.1 GasLR'!E161+'1.6.1 GasLR'!D161)*Units!C$19</f>
        <v>6321.1719999999996</v>
      </c>
      <c r="AJ281" s="842">
        <v>9900</v>
      </c>
      <c r="AK281" s="842">
        <v>6937</v>
      </c>
      <c r="AL281" s="842" t="s">
        <v>1151</v>
      </c>
      <c r="AM281" s="945">
        <f>'1.8.2 RenHLR'!H281</f>
        <v>570.60000000000014</v>
      </c>
      <c r="AN281" s="842">
        <v>3328</v>
      </c>
      <c r="AO281" s="843">
        <v>35621</v>
      </c>
      <c r="AQ281" s="841">
        <v>1971</v>
      </c>
      <c r="AR281" s="842">
        <v>2328</v>
      </c>
      <c r="AS281" s="842">
        <f>+'1.4.1 MSFLR'!I181</f>
        <v>688</v>
      </c>
      <c r="AT281" s="842">
        <f>('1.6.1 GasLR'!C161+'1.6.1 GasLR'!L161)*Units!C$19</f>
        <v>1610.5748040000001</v>
      </c>
      <c r="AU281" s="949">
        <f>('1.6.1 GasLR'!M161)*Units!C$19</f>
        <v>647.66599999999994</v>
      </c>
      <c r="AV281" s="842">
        <v>3534</v>
      </c>
      <c r="AW281" s="842" t="s">
        <v>1151</v>
      </c>
      <c r="AX281" s="842"/>
      <c r="AY281" s="842">
        <v>9184</v>
      </c>
      <c r="AZ281" s="843">
        <v>17915</v>
      </c>
      <c r="BA281" s="824"/>
      <c r="BB281" s="841">
        <v>1971</v>
      </c>
      <c r="BC281" s="842">
        <v>24855</v>
      </c>
      <c r="BD281" s="842">
        <v>10134</v>
      </c>
      <c r="BE281" s="842">
        <v>2333</v>
      </c>
      <c r="BF281" s="842">
        <v>1118</v>
      </c>
      <c r="BG281" s="842">
        <v>8882</v>
      </c>
      <c r="BH281" s="916">
        <f t="shared" si="43"/>
        <v>15741.665999999999</v>
      </c>
      <c r="BI281" s="842">
        <v>17021</v>
      </c>
      <c r="BJ281" s="842" t="s">
        <v>1151</v>
      </c>
      <c r="BK281" s="842"/>
      <c r="BL281" s="1085">
        <f t="shared" si="30"/>
        <v>810.60000000000014</v>
      </c>
      <c r="BM281" s="842">
        <v>69568</v>
      </c>
      <c r="BN281" s="843">
        <v>143589</v>
      </c>
    </row>
    <row r="282" spans="1:66" s="838" customFormat="1" ht="10.5" customHeight="1" x14ac:dyDescent="0.35">
      <c r="A282" s="841">
        <v>1972</v>
      </c>
      <c r="B282" s="842">
        <v>7675</v>
      </c>
      <c r="C282" s="842">
        <f>+'1.4.1 MSFLR'!C182+'1.4.1 MSFLR'!D182</f>
        <v>8084</v>
      </c>
      <c r="D282" s="842">
        <v>1111</v>
      </c>
      <c r="E282" s="842">
        <v>1154</v>
      </c>
      <c r="F282" s="842">
        <v>8136</v>
      </c>
      <c r="G282" s="842">
        <v>6292</v>
      </c>
      <c r="H282" s="842"/>
      <c r="I282" s="842"/>
      <c r="J282" s="842" t="s">
        <v>1151</v>
      </c>
      <c r="K282" s="842">
        <f>'1.8.2 RenHLR'!I282+'1.8.3 RenPTLR'!G282</f>
        <v>240</v>
      </c>
      <c r="L282" s="842">
        <v>28674</v>
      </c>
      <c r="M282" s="843">
        <v>61307</v>
      </c>
      <c r="N282" s="841">
        <v>1972</v>
      </c>
      <c r="O282" s="842">
        <v>53</v>
      </c>
      <c r="P282" s="842">
        <v>5</v>
      </c>
      <c r="Q282" s="842">
        <v>229</v>
      </c>
      <c r="R282" s="842">
        <v>1121</v>
      </c>
      <c r="S282" s="842"/>
      <c r="T282" s="844">
        <v>0</v>
      </c>
      <c r="U282" s="842">
        <v>23535</v>
      </c>
      <c r="V282" s="842"/>
      <c r="W282" s="844">
        <v>0</v>
      </c>
      <c r="X282" s="842"/>
      <c r="Y282" s="842">
        <v>23</v>
      </c>
      <c r="Z282" s="842">
        <v>962</v>
      </c>
      <c r="AA282" s="842"/>
      <c r="AB282" s="842"/>
      <c r="AC282" s="842">
        <v>4514</v>
      </c>
      <c r="AD282" s="843">
        <v>30442</v>
      </c>
      <c r="AF282" s="841">
        <v>1972</v>
      </c>
      <c r="AG282" s="842">
        <v>10602</v>
      </c>
      <c r="AH282" s="842">
        <f>'1.4.1 MSFLR'!F182</f>
        <v>2993</v>
      </c>
      <c r="AI282" s="842">
        <f>+('1.6.1 GasLR'!E162+'1.6.1 GasLR'!D162)*Units!C$19</f>
        <v>5587.7639999999992</v>
      </c>
      <c r="AJ282" s="842">
        <v>11359</v>
      </c>
      <c r="AK282" s="842">
        <v>7471</v>
      </c>
      <c r="AL282" s="842" t="s">
        <v>1151</v>
      </c>
      <c r="AM282" s="945">
        <f>'1.8.2 RenHLR'!H282</f>
        <v>507.80000000000013</v>
      </c>
      <c r="AN282" s="842">
        <v>3836</v>
      </c>
      <c r="AO282" s="843">
        <v>36261</v>
      </c>
      <c r="AQ282" s="841">
        <v>1972</v>
      </c>
      <c r="AR282" s="842">
        <v>2013</v>
      </c>
      <c r="AS282" s="842">
        <f>+'1.4.1 MSFLR'!I182</f>
        <v>537</v>
      </c>
      <c r="AT282" s="842">
        <f>('1.6.1 GasLR'!C162+'1.6.1 GasLR'!L162)*Units!C$19</f>
        <v>1499.6679999999999</v>
      </c>
      <c r="AU282" s="949">
        <f>('1.6.1 GasLR'!M162)*Units!C$19</f>
        <v>1154.3779999999999</v>
      </c>
      <c r="AV282" s="842">
        <v>3650</v>
      </c>
      <c r="AW282" s="842" t="s">
        <v>1151</v>
      </c>
      <c r="AX282" s="842"/>
      <c r="AY282" s="842">
        <v>9487</v>
      </c>
      <c r="AZ282" s="843">
        <v>18195</v>
      </c>
      <c r="BA282" s="824"/>
      <c r="BB282" s="841">
        <v>1972</v>
      </c>
      <c r="BC282" s="842">
        <v>20366</v>
      </c>
      <c r="BD282" s="842">
        <v>9222</v>
      </c>
      <c r="BE282" s="842">
        <v>2396</v>
      </c>
      <c r="BF282" s="842">
        <v>1111</v>
      </c>
      <c r="BG282" s="842">
        <v>8094</v>
      </c>
      <c r="BH282" s="916">
        <f t="shared" si="43"/>
        <v>20649.378000000001</v>
      </c>
      <c r="BI282" s="842">
        <v>17643</v>
      </c>
      <c r="BJ282" s="842" t="s">
        <v>1151</v>
      </c>
      <c r="BK282" s="842"/>
      <c r="BL282" s="1085">
        <f t="shared" si="30"/>
        <v>747.80000000000018</v>
      </c>
      <c r="BM282" s="842">
        <v>72129</v>
      </c>
      <c r="BN282" s="843">
        <v>146205</v>
      </c>
    </row>
    <row r="283" spans="1:66" s="838" customFormat="1" ht="10.5" customHeight="1" x14ac:dyDescent="0.35">
      <c r="A283" s="841">
        <v>1973</v>
      </c>
      <c r="B283" s="842">
        <v>7950</v>
      </c>
      <c r="C283" s="842">
        <f>+'1.4.1 MSFLR'!C183+'1.4.1 MSFLR'!D183</f>
        <v>8566</v>
      </c>
      <c r="D283" s="842">
        <v>1290</v>
      </c>
      <c r="E283" s="842">
        <v>788</v>
      </c>
      <c r="F283" s="842">
        <v>10791</v>
      </c>
      <c r="G283" s="842">
        <v>6884</v>
      </c>
      <c r="H283" s="842"/>
      <c r="I283" s="842"/>
      <c r="J283" s="842" t="s">
        <v>1151</v>
      </c>
      <c r="K283" s="842">
        <f>'1.8.2 RenHLR'!I283+'1.8.3 RenPTLR'!G283</f>
        <v>240</v>
      </c>
      <c r="L283" s="842">
        <v>28691</v>
      </c>
      <c r="M283" s="843">
        <v>65149</v>
      </c>
      <c r="N283" s="841">
        <v>1973</v>
      </c>
      <c r="O283" s="842">
        <v>58</v>
      </c>
      <c r="P283" s="844">
        <v>0</v>
      </c>
      <c r="Q283" s="842">
        <v>224</v>
      </c>
      <c r="R283" s="842">
        <v>1123</v>
      </c>
      <c r="S283" s="842"/>
      <c r="T283" s="844">
        <v>0</v>
      </c>
      <c r="U283" s="842">
        <v>25125</v>
      </c>
      <c r="V283" s="842"/>
      <c r="W283" s="844">
        <v>0</v>
      </c>
      <c r="X283" s="842"/>
      <c r="Y283" s="842">
        <v>10</v>
      </c>
      <c r="Z283" s="842">
        <v>1088</v>
      </c>
      <c r="AA283" s="842"/>
      <c r="AB283" s="842"/>
      <c r="AC283" s="842">
        <v>4806</v>
      </c>
      <c r="AD283" s="843">
        <v>32435</v>
      </c>
      <c r="AF283" s="841">
        <v>1973</v>
      </c>
      <c r="AG283" s="842">
        <v>10565</v>
      </c>
      <c r="AH283" s="842">
        <f>'1.4.1 MSFLR'!F183</f>
        <v>2831</v>
      </c>
      <c r="AI283" s="842">
        <f>+('1.6.1 GasLR'!E163+'1.6.1 GasLR'!D163)*Units!C$19</f>
        <v>4007.4279999999999</v>
      </c>
      <c r="AJ283" s="842">
        <v>12129</v>
      </c>
      <c r="AK283" s="842">
        <v>7849</v>
      </c>
      <c r="AL283" s="842" t="s">
        <v>1151</v>
      </c>
      <c r="AM283" s="945">
        <f>'1.8.2 RenHLR'!H283</f>
        <v>445</v>
      </c>
      <c r="AN283" s="842">
        <v>4202</v>
      </c>
      <c r="AO283" s="843">
        <v>37576</v>
      </c>
      <c r="AQ283" s="841">
        <v>1973</v>
      </c>
      <c r="AR283" s="842">
        <v>1731</v>
      </c>
      <c r="AS283" s="842">
        <f>+'1.4.1 MSFLR'!I183</f>
        <v>602</v>
      </c>
      <c r="AT283" s="842">
        <f>('1.6.1 GasLR'!C163+'1.6.1 GasLR'!L163)*Units!C$19</f>
        <v>1076.204</v>
      </c>
      <c r="AU283" s="949">
        <f>('1.6.1 GasLR'!M163)*Units!C$19</f>
        <v>1751.7339999999999</v>
      </c>
      <c r="AV283" s="842">
        <v>3940</v>
      </c>
      <c r="AW283" s="842" t="s">
        <v>1151</v>
      </c>
      <c r="AX283" s="842"/>
      <c r="AY283" s="842">
        <v>9585</v>
      </c>
      <c r="AZ283" s="843">
        <v>18586</v>
      </c>
      <c r="BA283" s="824"/>
      <c r="BB283" s="841">
        <v>1973</v>
      </c>
      <c r="BC283" s="842">
        <v>20313</v>
      </c>
      <c r="BD283" s="842">
        <v>9721</v>
      </c>
      <c r="BE283" s="842">
        <v>2280</v>
      </c>
      <c r="BF283" s="842">
        <v>1290</v>
      </c>
      <c r="BG283" s="842">
        <v>5852</v>
      </c>
      <c r="BH283" s="916">
        <f t="shared" si="43"/>
        <v>24671.734</v>
      </c>
      <c r="BI283" s="842">
        <v>18898</v>
      </c>
      <c r="BJ283" s="842" t="s">
        <v>1151</v>
      </c>
      <c r="BK283" s="842"/>
      <c r="BL283" s="1085">
        <f t="shared" si="30"/>
        <v>685</v>
      </c>
      <c r="BM283" s="842">
        <v>74620</v>
      </c>
      <c r="BN283" s="843">
        <v>153744</v>
      </c>
    </row>
    <row r="284" spans="1:66" s="838" customFormat="1" ht="10.5" customHeight="1" x14ac:dyDescent="0.35">
      <c r="A284" s="841">
        <v>1974</v>
      </c>
      <c r="B284" s="842">
        <v>7290</v>
      </c>
      <c r="C284" s="842">
        <f>+'1.4.1 MSFLR'!C184+'1.4.1 MSFLR'!D184</f>
        <v>7368</v>
      </c>
      <c r="D284" s="842">
        <v>975</v>
      </c>
      <c r="E284" s="842">
        <v>494</v>
      </c>
      <c r="F284" s="842">
        <v>12320</v>
      </c>
      <c r="G284" s="842">
        <v>6517</v>
      </c>
      <c r="H284" s="842"/>
      <c r="I284" s="842"/>
      <c r="J284" s="842" t="s">
        <v>1151</v>
      </c>
      <c r="K284" s="842">
        <f>'1.8.2 RenHLR'!I284+'1.8.3 RenPTLR'!G284</f>
        <v>240</v>
      </c>
      <c r="L284" s="842">
        <v>24968</v>
      </c>
      <c r="M284" s="843">
        <v>60058</v>
      </c>
      <c r="N284" s="841">
        <v>1974</v>
      </c>
      <c r="O284" s="842">
        <v>50</v>
      </c>
      <c r="P284" s="844">
        <v>0</v>
      </c>
      <c r="Q284" s="842">
        <v>234</v>
      </c>
      <c r="R284" s="842">
        <v>1048</v>
      </c>
      <c r="S284" s="842"/>
      <c r="T284" s="844">
        <v>0</v>
      </c>
      <c r="U284" s="842">
        <v>24465</v>
      </c>
      <c r="V284" s="842"/>
      <c r="W284" s="844">
        <v>0</v>
      </c>
      <c r="X284" s="842"/>
      <c r="Y284" s="842">
        <v>10</v>
      </c>
      <c r="Z284" s="842">
        <v>1239</v>
      </c>
      <c r="AA284" s="842"/>
      <c r="AB284" s="842"/>
      <c r="AC284" s="842">
        <v>4219</v>
      </c>
      <c r="AD284" s="843">
        <v>31266</v>
      </c>
      <c r="AF284" s="841">
        <v>1974</v>
      </c>
      <c r="AG284" s="842">
        <v>9968</v>
      </c>
      <c r="AH284" s="842">
        <f>'1.4.1 MSFLR'!F184</f>
        <v>2776</v>
      </c>
      <c r="AI284" s="842">
        <f>+('1.6.1 GasLR'!E164+'1.6.1 GasLR'!D164)*Units!C$19</f>
        <v>2618.6999999999998</v>
      </c>
      <c r="AJ284" s="842">
        <v>13562</v>
      </c>
      <c r="AK284" s="842">
        <v>7963</v>
      </c>
      <c r="AL284" s="842" t="s">
        <v>1151</v>
      </c>
      <c r="AM284" s="945">
        <f>'1.8.2 RenHLR'!H284</f>
        <v>418.8</v>
      </c>
      <c r="AN284" s="842">
        <v>3733</v>
      </c>
      <c r="AO284" s="843">
        <v>38002</v>
      </c>
      <c r="AQ284" s="841">
        <v>1974</v>
      </c>
      <c r="AR284" s="842">
        <v>1685</v>
      </c>
      <c r="AS284" s="842">
        <f>+'1.4.1 MSFLR'!I184</f>
        <v>567</v>
      </c>
      <c r="AT284" s="842">
        <f>('1.6.1 GasLR'!C164+'1.6.1 GasLR'!L164)*Units!C$19</f>
        <v>743.55599999999993</v>
      </c>
      <c r="AU284" s="949">
        <f>('1.6.1 GasLR'!M164)*Units!C$19</f>
        <v>2563.3159999999998</v>
      </c>
      <c r="AV284" s="842">
        <v>3642</v>
      </c>
      <c r="AW284" s="842" t="s">
        <v>1151</v>
      </c>
      <c r="AX284" s="842"/>
      <c r="AY284" s="842">
        <v>8401</v>
      </c>
      <c r="AZ284" s="843">
        <v>17492</v>
      </c>
      <c r="BA284" s="824"/>
      <c r="BB284" s="841">
        <v>1974</v>
      </c>
      <c r="BC284" s="842">
        <v>19003</v>
      </c>
      <c r="BD284" s="842">
        <v>8555</v>
      </c>
      <c r="BE284" s="842">
        <v>2156</v>
      </c>
      <c r="BF284" s="842">
        <v>975</v>
      </c>
      <c r="BG284" s="842">
        <v>3836</v>
      </c>
      <c r="BH284" s="916">
        <f t="shared" si="43"/>
        <v>28445.315999999999</v>
      </c>
      <c r="BI284" s="842">
        <v>18356</v>
      </c>
      <c r="BJ284" s="842" t="s">
        <v>1151</v>
      </c>
      <c r="BK284" s="842"/>
      <c r="BL284" s="1085">
        <f t="shared" si="30"/>
        <v>658.8</v>
      </c>
      <c r="BM284" s="842">
        <v>68072</v>
      </c>
      <c r="BN284" s="843">
        <v>146818</v>
      </c>
    </row>
    <row r="285" spans="1:66" s="838" customFormat="1" ht="10.5" customHeight="1" x14ac:dyDescent="0.35">
      <c r="A285" s="841">
        <v>1975</v>
      </c>
      <c r="B285" s="842">
        <v>6373</v>
      </c>
      <c r="C285" s="842">
        <f>+'1.4.1 MSFLR'!C185+'1.4.1 MSFLR'!D185</f>
        <v>6537</v>
      </c>
      <c r="D285" s="842">
        <v>1038</v>
      </c>
      <c r="E285" s="842">
        <v>222</v>
      </c>
      <c r="F285" s="842">
        <v>12555</v>
      </c>
      <c r="G285" s="842">
        <v>6479</v>
      </c>
      <c r="H285" s="842"/>
      <c r="I285" s="842"/>
      <c r="J285" s="842" t="s">
        <v>1151</v>
      </c>
      <c r="K285" s="842">
        <f>'1.8.2 RenHLR'!I285+'1.8.3 RenPTLR'!G285</f>
        <v>240</v>
      </c>
      <c r="L285" s="842">
        <v>22145</v>
      </c>
      <c r="M285" s="843">
        <v>55444</v>
      </c>
      <c r="N285" s="841">
        <v>1975</v>
      </c>
      <c r="O285" s="842">
        <v>40</v>
      </c>
      <c r="P285" s="844">
        <v>0</v>
      </c>
      <c r="Q285" s="842">
        <v>249</v>
      </c>
      <c r="R285" s="842">
        <v>1000</v>
      </c>
      <c r="S285" s="842"/>
      <c r="T285" s="844">
        <v>0</v>
      </c>
      <c r="U285" s="842">
        <v>23948</v>
      </c>
      <c r="V285" s="842"/>
      <c r="W285" s="844">
        <v>0</v>
      </c>
      <c r="X285" s="842"/>
      <c r="Y285" s="842">
        <v>8</v>
      </c>
      <c r="Z285" s="842">
        <v>1300</v>
      </c>
      <c r="AA285" s="842"/>
      <c r="AB285" s="842"/>
      <c r="AC285" s="842">
        <v>4340</v>
      </c>
      <c r="AD285" s="843">
        <v>30885</v>
      </c>
      <c r="AF285" s="841">
        <v>1975</v>
      </c>
      <c r="AG285" s="842">
        <v>8517</v>
      </c>
      <c r="AH285" s="842">
        <f>'1.4.1 MSFLR'!F185</f>
        <v>2423</v>
      </c>
      <c r="AI285" s="842">
        <f>+('1.6.1 GasLR'!E165+'1.6.1 GasLR'!D165)*Units!C$19</f>
        <v>1247.6019999999999</v>
      </c>
      <c r="AJ285" s="842">
        <v>14840</v>
      </c>
      <c r="AK285" s="842">
        <v>7670</v>
      </c>
      <c r="AL285" s="842" t="s">
        <v>1151</v>
      </c>
      <c r="AM285" s="945">
        <f>'1.8.2 RenHLR'!H285</f>
        <v>392.6</v>
      </c>
      <c r="AN285" s="842">
        <v>3612</v>
      </c>
      <c r="AO285" s="843">
        <v>37062</v>
      </c>
      <c r="AQ285" s="841">
        <v>1975</v>
      </c>
      <c r="AR285" s="842">
        <v>1234</v>
      </c>
      <c r="AS285" s="842">
        <f>+'1.4.1 MSFLR'!I185</f>
        <v>408</v>
      </c>
      <c r="AT285" s="842">
        <f>('1.6.1 GasLR'!C165+'1.6.1 GasLR'!L165)*Units!C$19</f>
        <v>335.22799999999995</v>
      </c>
      <c r="AU285" s="949">
        <f>('1.6.1 GasLR'!M165)*Units!C$19</f>
        <v>3228.6119999999996</v>
      </c>
      <c r="AV285" s="842">
        <v>3894</v>
      </c>
      <c r="AW285" s="842" t="s">
        <v>1151</v>
      </c>
      <c r="AX285" s="842"/>
      <c r="AY285" s="842">
        <v>8431</v>
      </c>
      <c r="AZ285" s="843">
        <v>17360</v>
      </c>
      <c r="BA285" s="824"/>
      <c r="BB285" s="841">
        <v>1975</v>
      </c>
      <c r="BC285" s="842">
        <v>16172</v>
      </c>
      <c r="BD285" s="842">
        <v>7391</v>
      </c>
      <c r="BE285" s="842">
        <v>1977</v>
      </c>
      <c r="BF285" s="842">
        <v>1038</v>
      </c>
      <c r="BG285" s="842">
        <v>1796</v>
      </c>
      <c r="BH285" s="916">
        <f t="shared" si="43"/>
        <v>30623.612000000001</v>
      </c>
      <c r="BI285" s="842">
        <v>18293</v>
      </c>
      <c r="BJ285" s="842" t="s">
        <v>1151</v>
      </c>
      <c r="BK285" s="842"/>
      <c r="BL285" s="1085">
        <f t="shared" si="30"/>
        <v>632.6</v>
      </c>
      <c r="BM285" s="842">
        <v>64776</v>
      </c>
      <c r="BN285" s="843">
        <v>140751</v>
      </c>
    </row>
    <row r="286" spans="1:66" s="838" customFormat="1" ht="10.5" customHeight="1" x14ac:dyDescent="0.35">
      <c r="A286" s="841">
        <v>1976</v>
      </c>
      <c r="B286" s="842">
        <v>5902</v>
      </c>
      <c r="C286" s="842">
        <f>+'1.4.1 MSFLR'!C186+'1.4.1 MSFLR'!D186</f>
        <v>7260</v>
      </c>
      <c r="D286" s="842">
        <v>1091</v>
      </c>
      <c r="E286" s="842">
        <v>68</v>
      </c>
      <c r="F286" s="842">
        <v>14237</v>
      </c>
      <c r="G286" s="842">
        <v>6950</v>
      </c>
      <c r="H286" s="842"/>
      <c r="I286" s="842"/>
      <c r="J286" s="842" t="s">
        <v>1151</v>
      </c>
      <c r="K286" s="842">
        <f>'1.8.2 RenHLR'!I286+'1.8.3 RenPTLR'!G286</f>
        <v>240</v>
      </c>
      <c r="L286" s="842">
        <v>21966</v>
      </c>
      <c r="M286" s="843">
        <v>57584</v>
      </c>
      <c r="N286" s="841">
        <v>1976</v>
      </c>
      <c r="O286" s="842">
        <v>43</v>
      </c>
      <c r="P286" s="842">
        <v>3</v>
      </c>
      <c r="Q286" s="842">
        <v>247</v>
      </c>
      <c r="R286" s="842">
        <v>945</v>
      </c>
      <c r="S286" s="842"/>
      <c r="T286" s="844">
        <v>0</v>
      </c>
      <c r="U286" s="842">
        <v>24994</v>
      </c>
      <c r="V286" s="842"/>
      <c r="W286" s="844">
        <v>0</v>
      </c>
      <c r="X286" s="842"/>
      <c r="Y286" s="842">
        <v>8</v>
      </c>
      <c r="Z286" s="842">
        <v>1317</v>
      </c>
      <c r="AA286" s="842"/>
      <c r="AB286" s="842"/>
      <c r="AC286" s="842">
        <v>4476</v>
      </c>
      <c r="AD286" s="843">
        <v>32032</v>
      </c>
      <c r="AF286" s="841">
        <v>1976</v>
      </c>
      <c r="AG286" s="842">
        <v>7910</v>
      </c>
      <c r="AH286" s="842">
        <f>'1.4.1 MSFLR'!F186</f>
        <v>2189</v>
      </c>
      <c r="AI286" s="842">
        <f>+('1.6.1 GasLR'!E166+'1.6.1 GasLR'!D166)*Units!C$19</f>
        <v>365.49999999999994</v>
      </c>
      <c r="AJ286" s="842">
        <v>15602</v>
      </c>
      <c r="AK286" s="842">
        <v>7318</v>
      </c>
      <c r="AL286" s="842" t="s">
        <v>1151</v>
      </c>
      <c r="AM286" s="945">
        <f>'1.8.2 RenHLR'!H286</f>
        <v>366.40000000000003</v>
      </c>
      <c r="AN286" s="842">
        <v>3615</v>
      </c>
      <c r="AO286" s="843">
        <v>36634</v>
      </c>
      <c r="AQ286" s="841">
        <v>1976</v>
      </c>
      <c r="AR286" s="842">
        <v>1300</v>
      </c>
      <c r="AS286" s="842">
        <f>+'1.4.1 MSFLR'!I186</f>
        <v>335</v>
      </c>
      <c r="AT286" s="842">
        <f>('1.6.1 GasLR'!C166+'1.6.1 GasLR'!L166)*Units!C$19</f>
        <v>105.86599999999999</v>
      </c>
      <c r="AU286" s="949">
        <f>('1.6.1 GasLR'!M166)*Units!C$19</f>
        <v>3881.3519999999999</v>
      </c>
      <c r="AV286" s="842">
        <v>4023</v>
      </c>
      <c r="AW286" s="842" t="s">
        <v>1151</v>
      </c>
      <c r="AX286" s="842"/>
      <c r="AY286" s="842">
        <v>8668</v>
      </c>
      <c r="AZ286" s="843">
        <v>18157</v>
      </c>
      <c r="BA286" s="824"/>
      <c r="BB286" s="841">
        <v>1976</v>
      </c>
      <c r="BC286" s="842">
        <v>15162</v>
      </c>
      <c r="BD286" s="842">
        <v>8016</v>
      </c>
      <c r="BE286" s="842">
        <v>1771</v>
      </c>
      <c r="BF286" s="842">
        <v>1091</v>
      </c>
      <c r="BG286" s="842">
        <v>534</v>
      </c>
      <c r="BH286" s="916">
        <f t="shared" si="43"/>
        <v>33720.351999999999</v>
      </c>
      <c r="BI286" s="842">
        <v>18537</v>
      </c>
      <c r="BJ286" s="842" t="s">
        <v>1151</v>
      </c>
      <c r="BK286" s="842"/>
      <c r="BL286" s="1085">
        <f t="shared" si="30"/>
        <v>606.40000000000009</v>
      </c>
      <c r="BM286" s="842">
        <v>65981</v>
      </c>
      <c r="BN286" s="843">
        <v>144407</v>
      </c>
    </row>
    <row r="287" spans="1:66" s="838" customFormat="1" ht="10.5" customHeight="1" x14ac:dyDescent="0.35">
      <c r="A287" s="841">
        <v>1977</v>
      </c>
      <c r="B287" s="842">
        <v>5947</v>
      </c>
      <c r="C287" s="842">
        <f>+'1.4.1 MSFLR'!C187+'1.4.1 MSFLR'!D187</f>
        <v>6526</v>
      </c>
      <c r="D287" s="842">
        <v>1010</v>
      </c>
      <c r="E287" s="842">
        <v>30</v>
      </c>
      <c r="F287" s="842">
        <v>14940</v>
      </c>
      <c r="G287" s="842">
        <v>7053</v>
      </c>
      <c r="H287" s="842"/>
      <c r="I287" s="842"/>
      <c r="J287" s="842" t="s">
        <v>1151</v>
      </c>
      <c r="K287" s="842">
        <f>'1.8.2 RenHLR'!I287+'1.8.3 RenPTLR'!G287</f>
        <v>240</v>
      </c>
      <c r="L287" s="842">
        <v>21978</v>
      </c>
      <c r="M287" s="843">
        <v>57574</v>
      </c>
      <c r="N287" s="841">
        <v>1977</v>
      </c>
      <c r="O287" s="842">
        <v>40</v>
      </c>
      <c r="P287" s="842">
        <v>3</v>
      </c>
      <c r="Q287" s="842">
        <v>252</v>
      </c>
      <c r="R287" s="842">
        <v>950</v>
      </c>
      <c r="S287" s="842"/>
      <c r="T287" s="844">
        <v>0</v>
      </c>
      <c r="U287" s="842">
        <v>25633</v>
      </c>
      <c r="V287" s="842"/>
      <c r="W287" s="844">
        <v>0</v>
      </c>
      <c r="X287" s="842"/>
      <c r="Y287" s="842">
        <v>8</v>
      </c>
      <c r="Z287" s="842">
        <v>1312</v>
      </c>
      <c r="AA287" s="842"/>
      <c r="AB287" s="842"/>
      <c r="AC287" s="842">
        <v>4678</v>
      </c>
      <c r="AD287" s="843">
        <v>32875</v>
      </c>
      <c r="AF287" s="841">
        <v>1977</v>
      </c>
      <c r="AG287" s="842">
        <v>8136</v>
      </c>
      <c r="AH287" s="842">
        <f>'1.4.1 MSFLR'!F187</f>
        <v>2123</v>
      </c>
      <c r="AI287" s="842">
        <f>+('1.6.1 GasLR'!E167+'1.6.1 GasLR'!D167)*Units!C$19</f>
        <v>110.94</v>
      </c>
      <c r="AJ287" s="842">
        <v>16600</v>
      </c>
      <c r="AK287" s="842">
        <v>7386</v>
      </c>
      <c r="AL287" s="842" t="s">
        <v>1151</v>
      </c>
      <c r="AM287" s="945">
        <f>'1.8.2 RenHLR'!H287</f>
        <v>340.20000000000005</v>
      </c>
      <c r="AN287" s="842">
        <v>3653</v>
      </c>
      <c r="AO287" s="843">
        <v>37898</v>
      </c>
      <c r="AQ287" s="841">
        <v>1977</v>
      </c>
      <c r="AR287" s="842">
        <v>1370</v>
      </c>
      <c r="AS287" s="842">
        <f>+'1.4.1 MSFLR'!I187</f>
        <v>315</v>
      </c>
      <c r="AT287" s="842">
        <f>('1.6.1 GasLR'!C167+'1.6.1 GasLR'!L167)*Units!C$19</f>
        <v>35.26</v>
      </c>
      <c r="AU287" s="949">
        <f>('1.6.1 GasLR'!M167)*Units!C$19</f>
        <v>3967.2659999999996</v>
      </c>
      <c r="AV287" s="842">
        <v>4257</v>
      </c>
      <c r="AW287" s="842" t="s">
        <v>1151</v>
      </c>
      <c r="AX287" s="842"/>
      <c r="AY287" s="842">
        <v>9157</v>
      </c>
      <c r="AZ287" s="843">
        <v>19097</v>
      </c>
      <c r="BA287" s="824"/>
      <c r="BB287" s="841">
        <v>1977</v>
      </c>
      <c r="BC287" s="842">
        <v>15502</v>
      </c>
      <c r="BD287" s="842">
        <v>7220</v>
      </c>
      <c r="BE287" s="842">
        <v>1748</v>
      </c>
      <c r="BF287" s="842">
        <v>1010</v>
      </c>
      <c r="BG287" s="842">
        <v>174</v>
      </c>
      <c r="BH287" s="916">
        <f t="shared" si="43"/>
        <v>35507.266000000003</v>
      </c>
      <c r="BI287" s="842">
        <v>18948</v>
      </c>
      <c r="BJ287" s="842" t="s">
        <v>1151</v>
      </c>
      <c r="BK287" s="842"/>
      <c r="BL287" s="1085">
        <f t="shared" si="30"/>
        <v>580.20000000000005</v>
      </c>
      <c r="BM287" s="842">
        <v>67361</v>
      </c>
      <c r="BN287" s="843">
        <v>147444</v>
      </c>
    </row>
    <row r="288" spans="1:66" s="838" customFormat="1" ht="10.5" customHeight="1" x14ac:dyDescent="0.35">
      <c r="A288" s="841">
        <v>1978</v>
      </c>
      <c r="B288" s="842">
        <v>5627</v>
      </c>
      <c r="C288" s="842">
        <f>+'1.4.1 MSFLR'!C188+'1.4.1 MSFLR'!D188</f>
        <v>6111</v>
      </c>
      <c r="D288" s="842">
        <v>899</v>
      </c>
      <c r="E288" s="842">
        <v>15</v>
      </c>
      <c r="F288" s="842">
        <v>15149</v>
      </c>
      <c r="G288" s="842">
        <v>7222</v>
      </c>
      <c r="H288" s="842"/>
      <c r="I288" s="842"/>
      <c r="J288" s="842" t="s">
        <v>1151</v>
      </c>
      <c r="K288" s="842">
        <f>'1.8.2 RenHLR'!I288+'1.8.3 RenPTLR'!G288</f>
        <v>240</v>
      </c>
      <c r="L288" s="842">
        <v>21570</v>
      </c>
      <c r="M288" s="843">
        <v>56673</v>
      </c>
      <c r="N288" s="841">
        <v>1978</v>
      </c>
      <c r="O288" s="842">
        <v>45</v>
      </c>
      <c r="P288" s="842">
        <v>3</v>
      </c>
      <c r="Q288" s="842">
        <v>254</v>
      </c>
      <c r="R288" s="842">
        <v>967</v>
      </c>
      <c r="S288" s="842"/>
      <c r="T288" s="844">
        <v>0</v>
      </c>
      <c r="U288" s="842">
        <v>26946</v>
      </c>
      <c r="V288" s="842"/>
      <c r="W288" s="844">
        <v>0</v>
      </c>
      <c r="X288" s="842"/>
      <c r="Y288" s="842">
        <v>5</v>
      </c>
      <c r="Z288" s="842">
        <v>1300</v>
      </c>
      <c r="AA288" s="842"/>
      <c r="AB288" s="842"/>
      <c r="AC288" s="842">
        <v>5051</v>
      </c>
      <c r="AD288" s="843">
        <v>34571</v>
      </c>
      <c r="AF288" s="841">
        <v>1978</v>
      </c>
      <c r="AG288" s="842">
        <v>7476</v>
      </c>
      <c r="AH288" s="842">
        <f>'1.4.1 MSFLR'!F188</f>
        <v>1935</v>
      </c>
      <c r="AI288" s="842">
        <f>+('1.6.1 GasLR'!E168+'1.6.1 GasLR'!D168)*Units!C$19</f>
        <v>47.901999999999994</v>
      </c>
      <c r="AJ288" s="842">
        <v>18291</v>
      </c>
      <c r="AK288" s="842">
        <v>7378</v>
      </c>
      <c r="AL288" s="842" t="s">
        <v>1151</v>
      </c>
      <c r="AM288" s="945">
        <f>'1.8.2 RenHLR'!H288</f>
        <v>314</v>
      </c>
      <c r="AN288" s="842">
        <v>3610</v>
      </c>
      <c r="AO288" s="843">
        <v>38689</v>
      </c>
      <c r="AQ288" s="841">
        <v>1978</v>
      </c>
      <c r="AR288" s="842">
        <v>1300</v>
      </c>
      <c r="AS288" s="842">
        <f>+'1.4.1 MSFLR'!I188</f>
        <v>275</v>
      </c>
      <c r="AT288" s="842">
        <f>('1.6.1 GasLR'!C168+'1.6.1 GasLR'!L168)*Units!C$19</f>
        <v>17.63</v>
      </c>
      <c r="AU288" s="949">
        <f>('1.6.1 GasLR'!M168)*Units!C$19</f>
        <v>4377.9159999999993</v>
      </c>
      <c r="AV288" s="842">
        <v>4481</v>
      </c>
      <c r="AW288" s="842" t="s">
        <v>1151</v>
      </c>
      <c r="AX288" s="842"/>
      <c r="AY288" s="842">
        <v>8764</v>
      </c>
      <c r="AZ288" s="843">
        <v>19213</v>
      </c>
      <c r="BA288" s="824"/>
      <c r="BB288" s="841">
        <v>1978</v>
      </c>
      <c r="BC288" s="842">
        <v>14454</v>
      </c>
      <c r="BD288" s="842">
        <v>6681</v>
      </c>
      <c r="BE288" s="842">
        <v>1642</v>
      </c>
      <c r="BF288" s="842">
        <v>899</v>
      </c>
      <c r="BG288" s="842">
        <v>81</v>
      </c>
      <c r="BH288" s="916">
        <f t="shared" si="43"/>
        <v>37817.915999999997</v>
      </c>
      <c r="BI288" s="842">
        <v>19336</v>
      </c>
      <c r="BJ288" s="842" t="s">
        <v>1151</v>
      </c>
      <c r="BK288" s="842"/>
      <c r="BL288" s="1085">
        <f t="shared" si="30"/>
        <v>554</v>
      </c>
      <c r="BM288" s="842">
        <v>68208</v>
      </c>
      <c r="BN288" s="843">
        <v>149146</v>
      </c>
    </row>
    <row r="289" spans="1:66" s="849" customFormat="1" ht="12" customHeight="1" x14ac:dyDescent="0.35">
      <c r="A289" s="845">
        <v>1979</v>
      </c>
      <c r="B289" s="846">
        <v>6081</v>
      </c>
      <c r="C289" s="842">
        <f>+'1.4.1 MSFLR'!C189+'1.4.1 MSFLR'!D189</f>
        <v>6660</v>
      </c>
      <c r="D289" s="846">
        <v>977</v>
      </c>
      <c r="E289" s="846">
        <v>18</v>
      </c>
      <c r="F289" s="846">
        <v>15663</v>
      </c>
      <c r="G289" s="846">
        <v>7527</v>
      </c>
      <c r="H289" s="846"/>
      <c r="I289" s="846"/>
      <c r="J289" s="846" t="s">
        <v>1151</v>
      </c>
      <c r="K289" s="842">
        <f>'1.8.2 RenHLR'!I289+'1.8.3 RenPTLR'!G289</f>
        <v>240</v>
      </c>
      <c r="L289" s="846">
        <v>21590</v>
      </c>
      <c r="M289" s="847">
        <v>58564</v>
      </c>
      <c r="N289" s="845">
        <v>1979</v>
      </c>
      <c r="O289" s="846">
        <v>43</v>
      </c>
      <c r="P289" s="846">
        <v>3</v>
      </c>
      <c r="Q289" s="846">
        <v>254</v>
      </c>
      <c r="R289" s="846">
        <v>947</v>
      </c>
      <c r="S289" s="846"/>
      <c r="T289" s="848">
        <v>0</v>
      </c>
      <c r="U289" s="846">
        <v>27520</v>
      </c>
      <c r="V289" s="846"/>
      <c r="W289" s="848">
        <v>0</v>
      </c>
      <c r="X289" s="846"/>
      <c r="Y289" s="846">
        <v>5</v>
      </c>
      <c r="Z289" s="846">
        <v>1363</v>
      </c>
      <c r="AA289" s="846"/>
      <c r="AB289" s="846"/>
      <c r="AC289" s="846">
        <v>5224</v>
      </c>
      <c r="AD289" s="847">
        <v>35359</v>
      </c>
      <c r="AF289" s="845">
        <v>1979</v>
      </c>
      <c r="AG289" s="846">
        <v>7688</v>
      </c>
      <c r="AH289" s="842">
        <f>'1.4.1 MSFLR'!F189</f>
        <v>1910</v>
      </c>
      <c r="AI289" s="842">
        <f>+('1.6.1 GasLR'!E169+'1.6.1 GasLR'!D169)*Units!C$19</f>
        <v>50.395999999999994</v>
      </c>
      <c r="AJ289" s="846">
        <v>20718</v>
      </c>
      <c r="AK289" s="846">
        <v>7711</v>
      </c>
      <c r="AL289" s="846" t="s">
        <v>1151</v>
      </c>
      <c r="AM289" s="945">
        <f>'1.8.2 RenHLR'!H289</f>
        <v>299.39999999999998</v>
      </c>
      <c r="AN289" s="846">
        <v>3539</v>
      </c>
      <c r="AO289" s="847">
        <v>41566</v>
      </c>
      <c r="AQ289" s="845">
        <v>1979</v>
      </c>
      <c r="AR289" s="846">
        <v>1307</v>
      </c>
      <c r="AS289" s="846">
        <f>+'1.4.1 MSFLR'!I189</f>
        <v>285</v>
      </c>
      <c r="AT289" s="842">
        <f>('1.6.1 GasLR'!C169+'1.6.1 GasLR'!L169)*Units!C$19</f>
        <v>22.703999999999997</v>
      </c>
      <c r="AU289" s="949">
        <f>('1.6.1 GasLR'!M169)*Units!C$19</f>
        <v>4934.8519999999999</v>
      </c>
      <c r="AV289" s="846">
        <v>4731</v>
      </c>
      <c r="AW289" s="846" t="s">
        <v>1151</v>
      </c>
      <c r="AX289" s="846"/>
      <c r="AY289" s="846">
        <v>8754</v>
      </c>
      <c r="AZ289" s="847">
        <v>20031</v>
      </c>
      <c r="BA289" s="850"/>
      <c r="BB289" s="845">
        <v>1979</v>
      </c>
      <c r="BC289" s="846">
        <v>15124</v>
      </c>
      <c r="BD289" s="846">
        <v>7279</v>
      </c>
      <c r="BE289" s="846">
        <v>1579</v>
      </c>
      <c r="BF289" s="846">
        <v>977</v>
      </c>
      <c r="BG289" s="846">
        <v>91</v>
      </c>
      <c r="BH289" s="916">
        <f t="shared" si="43"/>
        <v>41315.851999999999</v>
      </c>
      <c r="BI289" s="846">
        <v>20223</v>
      </c>
      <c r="BJ289" s="846" t="s">
        <v>1151</v>
      </c>
      <c r="BK289" s="842"/>
      <c r="BL289" s="1085">
        <f t="shared" si="30"/>
        <v>539.4</v>
      </c>
      <c r="BM289" s="846">
        <v>68937</v>
      </c>
      <c r="BN289" s="847">
        <v>155521</v>
      </c>
    </row>
    <row r="290" spans="1:66" s="838" customFormat="1" ht="10.5" customHeight="1" x14ac:dyDescent="0.35">
      <c r="A290" s="841">
        <v>1980</v>
      </c>
      <c r="B290" s="842">
        <v>5083</v>
      </c>
      <c r="C290" s="842">
        <f>+'1.4.1 MSFLR'!C190+'1.4.1 MSFLR'!D190</f>
        <v>3468</v>
      </c>
      <c r="D290" s="842">
        <v>642</v>
      </c>
      <c r="E290" s="842">
        <v>13</v>
      </c>
      <c r="F290" s="842">
        <v>15258</v>
      </c>
      <c r="G290" s="842">
        <v>6854</v>
      </c>
      <c r="H290" s="842"/>
      <c r="I290" s="842"/>
      <c r="J290" s="842" t="s">
        <v>1151</v>
      </c>
      <c r="K290" s="842">
        <f>'1.8.2 RenHLR'!I290+'1.8.3 RenPTLR'!G290</f>
        <v>240</v>
      </c>
      <c r="L290" s="842">
        <v>16938</v>
      </c>
      <c r="M290" s="843">
        <v>48291</v>
      </c>
      <c r="N290" s="841">
        <v>1980</v>
      </c>
      <c r="O290" s="842">
        <v>38</v>
      </c>
      <c r="P290" s="842">
        <v>3</v>
      </c>
      <c r="Q290" s="842">
        <v>262</v>
      </c>
      <c r="R290" s="842">
        <v>919</v>
      </c>
      <c r="S290" s="842"/>
      <c r="T290" s="844">
        <v>0</v>
      </c>
      <c r="U290" s="842">
        <v>27815</v>
      </c>
      <c r="V290" s="842"/>
      <c r="W290" s="844">
        <v>0</v>
      </c>
      <c r="X290" s="842"/>
      <c r="Y290" s="842">
        <v>5</v>
      </c>
      <c r="Z290" s="842">
        <v>1257</v>
      </c>
      <c r="AA290" s="842"/>
      <c r="AB290" s="842"/>
      <c r="AC290" s="842">
        <v>5242</v>
      </c>
      <c r="AD290" s="843">
        <v>35541</v>
      </c>
      <c r="AF290" s="841">
        <v>1980</v>
      </c>
      <c r="AG290" s="842">
        <v>6575</v>
      </c>
      <c r="AH290" s="842">
        <f>'1.4.1 MSFLR'!F190</f>
        <v>1771</v>
      </c>
      <c r="AI290" s="842">
        <f>+('1.6.1 GasLR'!E170+'1.6.1 GasLR'!D170)*Units!C$19</f>
        <v>47.901999999999994</v>
      </c>
      <c r="AJ290" s="842">
        <v>21258</v>
      </c>
      <c r="AK290" s="842">
        <v>7403</v>
      </c>
      <c r="AL290" s="842" t="s">
        <v>1151</v>
      </c>
      <c r="AM290" s="945">
        <f>'1.8.2 RenHLR'!H290</f>
        <v>284.79999999999995</v>
      </c>
      <c r="AN290" s="842">
        <v>2834</v>
      </c>
      <c r="AO290" s="843">
        <v>39841</v>
      </c>
      <c r="AQ290" s="841">
        <v>1980</v>
      </c>
      <c r="AR290" s="842">
        <v>1154</v>
      </c>
      <c r="AS290" s="842">
        <f>+'1.4.1 MSFLR'!I190</f>
        <v>237</v>
      </c>
      <c r="AT290" s="842">
        <f>('1.6.1 GasLR'!C170+'1.6.1 GasLR'!L170)*Units!C$19</f>
        <v>17.63</v>
      </c>
      <c r="AU290" s="842">
        <v>5194</v>
      </c>
      <c r="AV290" s="842">
        <v>4733</v>
      </c>
      <c r="AW290" s="842" t="s">
        <v>1151</v>
      </c>
      <c r="AX290" s="842"/>
      <c r="AY290" s="842">
        <v>7403</v>
      </c>
      <c r="AZ290" s="843">
        <v>18721</v>
      </c>
      <c r="BA290" s="824"/>
      <c r="BB290" s="841">
        <v>1980</v>
      </c>
      <c r="BC290" s="842">
        <v>12854</v>
      </c>
      <c r="BD290" s="842">
        <v>3975</v>
      </c>
      <c r="BE290" s="842">
        <v>1504</v>
      </c>
      <c r="BF290" s="842">
        <v>642</v>
      </c>
      <c r="BG290" s="842">
        <v>76</v>
      </c>
      <c r="BH290" s="916">
        <f t="shared" si="43"/>
        <v>41710</v>
      </c>
      <c r="BI290" s="842">
        <v>19252</v>
      </c>
      <c r="BJ290" s="842" t="s">
        <v>1151</v>
      </c>
      <c r="BK290" s="842"/>
      <c r="BL290" s="1085">
        <f t="shared" si="30"/>
        <v>524.79999999999995</v>
      </c>
      <c r="BM290" s="842">
        <v>62408</v>
      </c>
      <c r="BN290" s="843">
        <v>142394</v>
      </c>
    </row>
    <row r="291" spans="1:66" s="838" customFormat="1" ht="10.5" customHeight="1" x14ac:dyDescent="0.35">
      <c r="A291" s="841">
        <v>1981</v>
      </c>
      <c r="B291" s="842">
        <v>4534</v>
      </c>
      <c r="C291" s="842">
        <f>+'1.4.1 MSFLR'!C191+'1.4.1 MSFLR'!D191</f>
        <v>4680</v>
      </c>
      <c r="D291" s="842">
        <v>665</v>
      </c>
      <c r="E291" s="842">
        <v>13</v>
      </c>
      <c r="F291" s="842">
        <v>14489</v>
      </c>
      <c r="G291" s="842">
        <v>6622</v>
      </c>
      <c r="H291" s="842"/>
      <c r="I291" s="842"/>
      <c r="J291" s="842" t="s">
        <v>1151</v>
      </c>
      <c r="K291" s="842">
        <f>'1.8.2 RenHLR'!I291+'1.8.3 RenPTLR'!G291</f>
        <v>240</v>
      </c>
      <c r="L291" s="842">
        <v>14761</v>
      </c>
      <c r="M291" s="843">
        <v>45776</v>
      </c>
      <c r="N291" s="841">
        <v>1981</v>
      </c>
      <c r="O291" s="842">
        <v>38</v>
      </c>
      <c r="P291" s="844">
        <v>0</v>
      </c>
      <c r="Q291" s="842">
        <v>259</v>
      </c>
      <c r="R291" s="842">
        <v>877</v>
      </c>
      <c r="S291" s="842"/>
      <c r="T291" s="844">
        <v>0</v>
      </c>
      <c r="U291" s="842">
        <v>27009</v>
      </c>
      <c r="V291" s="842"/>
      <c r="W291" s="844">
        <v>0</v>
      </c>
      <c r="X291" s="842"/>
      <c r="Y291" s="842">
        <v>0</v>
      </c>
      <c r="Z291" s="842">
        <v>1101</v>
      </c>
      <c r="AA291" s="842"/>
      <c r="AB291" s="842"/>
      <c r="AC291" s="842">
        <v>5020</v>
      </c>
      <c r="AD291" s="843">
        <v>34304</v>
      </c>
      <c r="AF291" s="841">
        <v>1981</v>
      </c>
      <c r="AG291" s="842">
        <v>6214</v>
      </c>
      <c r="AH291" s="842">
        <f>'1.4.1 MSFLR'!F191</f>
        <v>1570</v>
      </c>
      <c r="AI291" s="842">
        <f>+('1.6.1 GasLR'!E171+'1.6.1 GasLR'!D171)*Units!C$19</f>
        <v>40.333999999999996</v>
      </c>
      <c r="AJ291" s="842">
        <v>22076</v>
      </c>
      <c r="AK291" s="842">
        <v>7260</v>
      </c>
      <c r="AL291" s="842" t="s">
        <v>1151</v>
      </c>
      <c r="AM291" s="945">
        <f>'1.8.2 RenHLR'!H291</f>
        <v>270.19999999999993</v>
      </c>
      <c r="AN291" s="842">
        <v>2554</v>
      </c>
      <c r="AO291" s="843">
        <v>39674</v>
      </c>
      <c r="AQ291" s="841">
        <v>1981</v>
      </c>
      <c r="AR291" s="842">
        <v>1174</v>
      </c>
      <c r="AS291" s="842">
        <f>+'1.4.1 MSFLR'!I191</f>
        <v>204</v>
      </c>
      <c r="AT291" s="842">
        <f>('1.6.1 GasLR'!C171+'1.6.1 GasLR'!L171)*Units!C$19</f>
        <v>15.135999999999999</v>
      </c>
      <c r="AU291" s="842">
        <v>5315</v>
      </c>
      <c r="AV291" s="842">
        <v>4804</v>
      </c>
      <c r="AW291" s="842" t="s">
        <v>1151</v>
      </c>
      <c r="AX291" s="842"/>
      <c r="AY291" s="842">
        <v>7096</v>
      </c>
      <c r="AZ291" s="843">
        <v>18592</v>
      </c>
      <c r="BA291" s="824"/>
      <c r="BB291" s="841">
        <v>1981</v>
      </c>
      <c r="BC291" s="842">
        <v>11960</v>
      </c>
      <c r="BD291" s="842">
        <v>5136</v>
      </c>
      <c r="BE291" s="842">
        <v>1317</v>
      </c>
      <c r="BF291" s="842">
        <v>665</v>
      </c>
      <c r="BG291" s="842">
        <v>65</v>
      </c>
      <c r="BH291" s="916">
        <f t="shared" si="43"/>
        <v>41880</v>
      </c>
      <c r="BI291" s="842">
        <v>18945</v>
      </c>
      <c r="BJ291" s="842" t="s">
        <v>1151</v>
      </c>
      <c r="BK291" s="842"/>
      <c r="BL291" s="1085">
        <f t="shared" si="30"/>
        <v>510.19999999999993</v>
      </c>
      <c r="BM291" s="842">
        <v>58420</v>
      </c>
      <c r="BN291" s="843">
        <v>138346</v>
      </c>
    </row>
    <row r="292" spans="1:66" s="838" customFormat="1" ht="10.5" customHeight="1" x14ac:dyDescent="0.35">
      <c r="A292" s="841">
        <v>1982</v>
      </c>
      <c r="B292" s="842">
        <v>4668</v>
      </c>
      <c r="C292" s="842">
        <f>+'1.4.1 MSFLR'!C192+'1.4.1 MSFLR'!D192</f>
        <v>4227</v>
      </c>
      <c r="D292" s="842">
        <v>605</v>
      </c>
      <c r="E292" s="842">
        <v>8</v>
      </c>
      <c r="F292" s="842">
        <v>14588</v>
      </c>
      <c r="G292" s="842">
        <v>6353</v>
      </c>
      <c r="H292" s="842"/>
      <c r="I292" s="842"/>
      <c r="J292" s="842" t="s">
        <v>1151</v>
      </c>
      <c r="K292" s="842">
        <f>'1.8.2 RenHLR'!I292+'1.8.3 RenPTLR'!G292</f>
        <v>240</v>
      </c>
      <c r="L292" s="842">
        <v>13530</v>
      </c>
      <c r="M292" s="843">
        <v>44007</v>
      </c>
      <c r="N292" s="841">
        <v>1982</v>
      </c>
      <c r="O292" s="842">
        <v>35</v>
      </c>
      <c r="P292" s="844">
        <v>0</v>
      </c>
      <c r="Q292" s="842">
        <v>229</v>
      </c>
      <c r="R292" s="842">
        <v>793</v>
      </c>
      <c r="S292" s="842"/>
      <c r="T292" s="844">
        <v>0</v>
      </c>
      <c r="U292" s="842">
        <v>27797</v>
      </c>
      <c r="V292" s="842"/>
      <c r="W292" s="844">
        <v>0</v>
      </c>
      <c r="X292" s="842"/>
      <c r="Y292" s="842">
        <v>3</v>
      </c>
      <c r="Z292" s="842">
        <v>1186</v>
      </c>
      <c r="AA292" s="842"/>
      <c r="AB292" s="842"/>
      <c r="AC292" s="842">
        <v>4993</v>
      </c>
      <c r="AD292" s="843">
        <v>35037</v>
      </c>
      <c r="AF292" s="841">
        <v>1982</v>
      </c>
      <c r="AG292" s="842">
        <v>6242</v>
      </c>
      <c r="AH292" s="842">
        <f>'1.4.1 MSFLR'!F192</f>
        <v>1511</v>
      </c>
      <c r="AI292" s="842">
        <f>+('1.6.1 GasLR'!E172+'1.6.1 GasLR'!D172)*Units!C$19</f>
        <v>35.26</v>
      </c>
      <c r="AJ292" s="842">
        <v>21963</v>
      </c>
      <c r="AK292" s="842">
        <v>7116</v>
      </c>
      <c r="AL292" s="842" t="s">
        <v>1151</v>
      </c>
      <c r="AM292" s="945">
        <f>'1.8.2 RenHLR'!H292</f>
        <v>255.59999999999994</v>
      </c>
      <c r="AN292" s="842">
        <v>2385</v>
      </c>
      <c r="AO292" s="843">
        <v>39218</v>
      </c>
      <c r="AQ292" s="841">
        <v>1982</v>
      </c>
      <c r="AR292" s="842">
        <v>1222</v>
      </c>
      <c r="AS292" s="842">
        <f>+'1.4.1 MSFLR'!I192</f>
        <v>212</v>
      </c>
      <c r="AT292" s="842">
        <f>('1.6.1 GasLR'!C172+'1.6.1 GasLR'!L172)*Units!C$19</f>
        <v>15.135999999999999</v>
      </c>
      <c r="AU292" s="842">
        <v>5486</v>
      </c>
      <c r="AV292" s="842">
        <v>4867</v>
      </c>
      <c r="AW292" s="842" t="s">
        <v>1151</v>
      </c>
      <c r="AX292" s="842"/>
      <c r="AY292" s="842">
        <v>6678</v>
      </c>
      <c r="AZ292" s="843">
        <v>18464</v>
      </c>
      <c r="BA292" s="824"/>
      <c r="BB292" s="841">
        <v>1982</v>
      </c>
      <c r="BC292" s="842">
        <v>12169</v>
      </c>
      <c r="BD292" s="842">
        <v>4660</v>
      </c>
      <c r="BE292" s="842">
        <v>1290</v>
      </c>
      <c r="BF292" s="842">
        <v>605</v>
      </c>
      <c r="BG292" s="842">
        <v>55</v>
      </c>
      <c r="BH292" s="916">
        <f t="shared" si="43"/>
        <v>42037</v>
      </c>
      <c r="BI292" s="842">
        <v>18567</v>
      </c>
      <c r="BJ292" s="842" t="s">
        <v>1151</v>
      </c>
      <c r="BK292" s="842"/>
      <c r="BL292" s="1085">
        <f t="shared" si="30"/>
        <v>495.59999999999991</v>
      </c>
      <c r="BM292" s="842">
        <v>57360</v>
      </c>
      <c r="BN292" s="843">
        <v>136726</v>
      </c>
    </row>
    <row r="293" spans="1:66" s="838" customFormat="1" ht="10.5" customHeight="1" x14ac:dyDescent="0.35">
      <c r="A293" s="841">
        <v>1983</v>
      </c>
      <c r="B293" s="842">
        <v>4708</v>
      </c>
      <c r="C293" s="842">
        <f>+'1.4.1 MSFLR'!C193+'1.4.1 MSFLR'!D193</f>
        <v>4433</v>
      </c>
      <c r="D293" s="842">
        <v>635</v>
      </c>
      <c r="E293" s="842">
        <v>5</v>
      </c>
      <c r="F293" s="842">
        <v>14021</v>
      </c>
      <c r="G293" s="842">
        <v>6376</v>
      </c>
      <c r="H293" s="842"/>
      <c r="I293" s="842"/>
      <c r="J293" s="842" t="s">
        <v>1151</v>
      </c>
      <c r="K293" s="842">
        <f>'1.8.2 RenHLR'!I293+'1.8.3 RenPTLR'!G293</f>
        <v>240</v>
      </c>
      <c r="L293" s="842">
        <v>11988</v>
      </c>
      <c r="M293" s="843">
        <v>42191</v>
      </c>
      <c r="N293" s="841">
        <v>1983</v>
      </c>
      <c r="O293" s="842">
        <v>15</v>
      </c>
      <c r="P293" s="844">
        <v>0</v>
      </c>
      <c r="Q293" s="842">
        <v>247</v>
      </c>
      <c r="R293" s="842">
        <v>849</v>
      </c>
      <c r="S293" s="842"/>
      <c r="T293" s="844">
        <v>0</v>
      </c>
      <c r="U293" s="842">
        <v>28646</v>
      </c>
      <c r="V293" s="842"/>
      <c r="W293" s="844">
        <v>0</v>
      </c>
      <c r="X293" s="842"/>
      <c r="Y293" s="842">
        <v>3</v>
      </c>
      <c r="Z293" s="842">
        <v>1207</v>
      </c>
      <c r="AA293" s="842"/>
      <c r="AB293" s="842"/>
      <c r="AC293" s="842">
        <v>5093</v>
      </c>
      <c r="AD293" s="843">
        <v>36059</v>
      </c>
      <c r="AF293" s="841">
        <v>1983</v>
      </c>
      <c r="AG293" s="842">
        <v>5796</v>
      </c>
      <c r="AH293" s="842">
        <f>'1.4.1 MSFLR'!F193</f>
        <v>1476</v>
      </c>
      <c r="AI293" s="842">
        <f>+('1.6.1 GasLR'!E173+'1.6.1 GasLR'!D173)*Units!C$19</f>
        <v>27.691999999999997</v>
      </c>
      <c r="AJ293" s="842">
        <v>22346</v>
      </c>
      <c r="AK293" s="842">
        <v>7129</v>
      </c>
      <c r="AL293" s="842" t="s">
        <v>1151</v>
      </c>
      <c r="AM293" s="945">
        <f>'1.8.2 RenHLR'!H293</f>
        <v>241</v>
      </c>
      <c r="AN293" s="842">
        <v>2267</v>
      </c>
      <c r="AO293" s="843">
        <v>39014</v>
      </c>
      <c r="AQ293" s="841">
        <v>1983</v>
      </c>
      <c r="AR293" s="842">
        <v>1166</v>
      </c>
      <c r="AS293" s="842">
        <f>+'1.4.1 MSFLR'!I193</f>
        <v>257</v>
      </c>
      <c r="AT293" s="842">
        <f>('1.6.1 GasLR'!C173+'1.6.1 GasLR'!L173)*Units!C$19</f>
        <v>12.641999999999999</v>
      </c>
      <c r="AU293" s="842">
        <v>5915</v>
      </c>
      <c r="AV293" s="842">
        <v>5106</v>
      </c>
      <c r="AW293" s="842" t="s">
        <v>1151</v>
      </c>
      <c r="AX293" s="842"/>
      <c r="AY293" s="842">
        <v>6403</v>
      </c>
      <c r="AZ293" s="843">
        <v>18847</v>
      </c>
      <c r="BA293" s="824"/>
      <c r="BB293" s="841">
        <v>1983</v>
      </c>
      <c r="BC293" s="842">
        <v>11688</v>
      </c>
      <c r="BD293" s="842">
        <v>4899</v>
      </c>
      <c r="BE293" s="842">
        <v>1267</v>
      </c>
      <c r="BF293" s="842">
        <v>635</v>
      </c>
      <c r="BG293" s="842">
        <v>45</v>
      </c>
      <c r="BH293" s="916">
        <f t="shared" si="43"/>
        <v>42282</v>
      </c>
      <c r="BI293" s="842">
        <v>18856</v>
      </c>
      <c r="BJ293" s="842" t="s">
        <v>1151</v>
      </c>
      <c r="BK293" s="842"/>
      <c r="BL293" s="1085">
        <f t="shared" si="30"/>
        <v>481</v>
      </c>
      <c r="BM293" s="842">
        <v>56453</v>
      </c>
      <c r="BN293" s="843">
        <v>136111</v>
      </c>
    </row>
    <row r="294" spans="1:66" s="838" customFormat="1" ht="11.25" customHeight="1" x14ac:dyDescent="0.35">
      <c r="A294" s="841">
        <v>1984</v>
      </c>
      <c r="B294" s="842">
        <v>3796</v>
      </c>
      <c r="C294" s="842">
        <f>+'1.4.1 MSFLR'!C194+'1.4.1 MSFLR'!D194</f>
        <v>4476</v>
      </c>
      <c r="D294" s="842">
        <v>537</v>
      </c>
      <c r="E294" s="842">
        <v>5</v>
      </c>
      <c r="F294" s="842">
        <v>14686</v>
      </c>
      <c r="G294" s="842">
        <v>6758</v>
      </c>
      <c r="H294" s="842"/>
      <c r="I294" s="842"/>
      <c r="J294" s="842" t="s">
        <v>1151</v>
      </c>
      <c r="K294" s="842">
        <f>'1.8.2 RenHLR'!I294+'1.8.3 RenPTLR'!G294</f>
        <v>240</v>
      </c>
      <c r="L294" s="842">
        <v>10859</v>
      </c>
      <c r="M294" s="843">
        <v>41138</v>
      </c>
      <c r="N294" s="841">
        <v>1984</v>
      </c>
      <c r="O294" s="842">
        <v>3</v>
      </c>
      <c r="P294" s="844">
        <v>0</v>
      </c>
      <c r="Q294" s="842">
        <v>247</v>
      </c>
      <c r="R294" s="842">
        <v>816</v>
      </c>
      <c r="S294" s="842"/>
      <c r="T294" s="844">
        <v>0</v>
      </c>
      <c r="U294" s="842">
        <v>30006</v>
      </c>
      <c r="V294" s="842"/>
      <c r="W294" s="844">
        <v>0</v>
      </c>
      <c r="X294" s="842"/>
      <c r="Y294" s="844">
        <v>0</v>
      </c>
      <c r="Z294" s="842">
        <v>1328</v>
      </c>
      <c r="AA294" s="842"/>
      <c r="AB294" s="842"/>
      <c r="AC294" s="842">
        <v>5383</v>
      </c>
      <c r="AD294" s="843">
        <v>37782</v>
      </c>
      <c r="AF294" s="841">
        <v>1984</v>
      </c>
      <c r="AG294" s="842">
        <v>4733</v>
      </c>
      <c r="AH294" s="842">
        <f>'1.4.1 MSFLR'!F194</f>
        <v>1063</v>
      </c>
      <c r="AI294" s="842">
        <f>+('1.6.1 GasLR'!E174+'1.6.1 GasLR'!D174)*Units!C$19</f>
        <v>25.197999999999997</v>
      </c>
      <c r="AJ294" s="842">
        <v>22502</v>
      </c>
      <c r="AK294" s="842">
        <v>7212</v>
      </c>
      <c r="AL294" s="842" t="s">
        <v>1151</v>
      </c>
      <c r="AM294" s="945">
        <f>'1.8.2 RenHLR'!H294</f>
        <v>228</v>
      </c>
      <c r="AN294" s="842">
        <v>2385</v>
      </c>
      <c r="AO294" s="843">
        <v>37896</v>
      </c>
      <c r="AQ294" s="841">
        <v>1984</v>
      </c>
      <c r="AR294" s="842">
        <v>1141</v>
      </c>
      <c r="AS294" s="842">
        <f>+'1.4.1 MSFLR'!I194</f>
        <v>252</v>
      </c>
      <c r="AT294" s="842">
        <f>('1.6.1 GasLR'!C174+'1.6.1 GasLR'!L174)*Units!C$19</f>
        <v>12.641999999999999</v>
      </c>
      <c r="AU294" s="842">
        <v>6101</v>
      </c>
      <c r="AV294" s="842">
        <v>5063</v>
      </c>
      <c r="AW294" s="842" t="s">
        <v>1151</v>
      </c>
      <c r="AX294" s="842"/>
      <c r="AY294" s="842">
        <v>6381</v>
      </c>
      <c r="AZ294" s="843">
        <v>18938</v>
      </c>
      <c r="BA294" s="824"/>
      <c r="BB294" s="841">
        <v>1984</v>
      </c>
      <c r="BC294" s="842">
        <v>9673</v>
      </c>
      <c r="BD294" s="842">
        <v>4995</v>
      </c>
      <c r="BE294" s="842">
        <v>796</v>
      </c>
      <c r="BF294" s="842">
        <v>537</v>
      </c>
      <c r="BG294" s="842">
        <v>43</v>
      </c>
      <c r="BH294" s="916">
        <f t="shared" si="43"/>
        <v>43289</v>
      </c>
      <c r="BI294" s="842">
        <v>19280</v>
      </c>
      <c r="BJ294" s="842" t="s">
        <v>1151</v>
      </c>
      <c r="BK294" s="842"/>
      <c r="BL294" s="1085">
        <f t="shared" si="30"/>
        <v>468</v>
      </c>
      <c r="BM294" s="842">
        <v>57158</v>
      </c>
      <c r="BN294" s="843">
        <v>135753</v>
      </c>
    </row>
    <row r="295" spans="1:66" s="838" customFormat="1" ht="10.5" customHeight="1" x14ac:dyDescent="0.35">
      <c r="A295" s="841">
        <v>1985</v>
      </c>
      <c r="B295" s="842">
        <v>4708</v>
      </c>
      <c r="C295" s="842">
        <f>+'1.4.1 MSFLR'!C195+'1.4.1 MSFLR'!D195</f>
        <v>4806</v>
      </c>
      <c r="D295" s="842">
        <v>768</v>
      </c>
      <c r="E295" s="842">
        <v>3</v>
      </c>
      <c r="F295" s="842">
        <v>14865</v>
      </c>
      <c r="G295" s="842">
        <v>6837</v>
      </c>
      <c r="H295" s="842"/>
      <c r="I295" s="842"/>
      <c r="J295" s="842" t="s">
        <v>1151</v>
      </c>
      <c r="K295" s="842">
        <f>'1.8.2 RenHLR'!I295+'1.8.3 RenPTLR'!G295</f>
        <v>240</v>
      </c>
      <c r="L295" s="842">
        <v>9701</v>
      </c>
      <c r="M295" s="843">
        <v>41702</v>
      </c>
      <c r="N295" s="841">
        <v>1985</v>
      </c>
      <c r="O295" s="842">
        <v>3</v>
      </c>
      <c r="P295" s="844">
        <v>0</v>
      </c>
      <c r="Q295" s="842">
        <v>254</v>
      </c>
      <c r="R295" s="842">
        <v>821</v>
      </c>
      <c r="S295" s="842"/>
      <c r="T295" s="844">
        <v>0</v>
      </c>
      <c r="U295" s="842">
        <v>30586</v>
      </c>
      <c r="V295" s="842"/>
      <c r="W295" s="844">
        <v>0</v>
      </c>
      <c r="X295" s="842"/>
      <c r="Y295" s="844">
        <v>0</v>
      </c>
      <c r="Z295" s="842">
        <v>1254</v>
      </c>
      <c r="AA295" s="842"/>
      <c r="AB295" s="842"/>
      <c r="AC295" s="842">
        <v>5582</v>
      </c>
      <c r="AD295" s="843">
        <v>38500</v>
      </c>
      <c r="AF295" s="841">
        <v>1985</v>
      </c>
      <c r="AG295" s="842">
        <v>6290</v>
      </c>
      <c r="AH295" s="842">
        <f>'1.4.1 MSFLR'!F195</f>
        <v>1342</v>
      </c>
      <c r="AI295" s="842">
        <f>+('1.6.1 GasLR'!E175+'1.6.1 GasLR'!D175)*Units!C$19</f>
        <v>25.197999999999997</v>
      </c>
      <c r="AJ295" s="842">
        <v>24394</v>
      </c>
      <c r="AK295" s="842">
        <v>7582</v>
      </c>
      <c r="AL295" s="842" t="s">
        <v>1151</v>
      </c>
      <c r="AM295" s="945">
        <f>'1.8.2 RenHLR'!H295</f>
        <v>215</v>
      </c>
      <c r="AN295" s="842">
        <v>2454</v>
      </c>
      <c r="AO295" s="843">
        <v>42062</v>
      </c>
      <c r="AQ295" s="841">
        <v>1985</v>
      </c>
      <c r="AR295" s="842">
        <v>1123</v>
      </c>
      <c r="AS295" s="842">
        <f>+'1.4.1 MSFLR'!I195</f>
        <v>297</v>
      </c>
      <c r="AT295" s="842">
        <f>('1.6.1 GasLR'!C175+'1.6.1 GasLR'!L175)*Units!C$19</f>
        <v>12.641999999999999</v>
      </c>
      <c r="AU295" s="842">
        <v>6718</v>
      </c>
      <c r="AV295" s="842">
        <v>5446</v>
      </c>
      <c r="AW295" s="842" t="s">
        <v>1151</v>
      </c>
      <c r="AX295" s="842"/>
      <c r="AY295" s="842">
        <v>6018</v>
      </c>
      <c r="AZ295" s="843">
        <v>19603</v>
      </c>
      <c r="BA295" s="824"/>
      <c r="BB295" s="841">
        <v>1985</v>
      </c>
      <c r="BC295" s="842">
        <v>12124</v>
      </c>
      <c r="BD295" s="842">
        <v>5338</v>
      </c>
      <c r="BE295" s="842">
        <v>1108</v>
      </c>
      <c r="BF295" s="842">
        <v>768</v>
      </c>
      <c r="BG295" s="842">
        <v>40</v>
      </c>
      <c r="BH295" s="916">
        <f t="shared" si="43"/>
        <v>45977</v>
      </c>
      <c r="BI295" s="842">
        <v>20118</v>
      </c>
      <c r="BJ295" s="842" t="s">
        <v>1151</v>
      </c>
      <c r="BK295" s="842"/>
      <c r="BL295" s="1085">
        <f t="shared" si="30"/>
        <v>455</v>
      </c>
      <c r="BM295" s="842">
        <v>56416</v>
      </c>
      <c r="BN295" s="843">
        <v>141867</v>
      </c>
    </row>
    <row r="296" spans="1:66" s="849" customFormat="1" ht="12" customHeight="1" x14ac:dyDescent="0.3">
      <c r="A296" s="845" t="s">
        <v>1152</v>
      </c>
      <c r="B296" s="846">
        <v>5242</v>
      </c>
      <c r="C296" s="842">
        <f>+'1.4.1 MSFLR'!C196+'1.4.1 MSFLR'!D196</f>
        <v>4242</v>
      </c>
      <c r="D296" s="846">
        <v>778</v>
      </c>
      <c r="E296" s="846">
        <v>3</v>
      </c>
      <c r="F296" s="846">
        <v>13542</v>
      </c>
      <c r="G296" s="846">
        <v>6884</v>
      </c>
      <c r="H296" s="846"/>
      <c r="I296" s="846"/>
      <c r="J296" s="846" t="s">
        <v>1151</v>
      </c>
      <c r="K296" s="842">
        <f>'1.8.2 RenHLR'!I296+'1.8.3 RenPTLR'!G296</f>
        <v>240</v>
      </c>
      <c r="L296" s="846">
        <v>10240</v>
      </c>
      <c r="M296" s="847">
        <v>40931</v>
      </c>
      <c r="N296" s="845" t="s">
        <v>1152</v>
      </c>
      <c r="O296" s="846">
        <v>3</v>
      </c>
      <c r="P296" s="846">
        <v>0</v>
      </c>
      <c r="Q296" s="846">
        <v>259</v>
      </c>
      <c r="R296" s="846">
        <v>809</v>
      </c>
      <c r="S296" s="846"/>
      <c r="T296" s="848">
        <v>0</v>
      </c>
      <c r="U296" s="846">
        <v>32606</v>
      </c>
      <c r="V296" s="846"/>
      <c r="W296" s="848">
        <v>0</v>
      </c>
      <c r="X296" s="846"/>
      <c r="Y296" s="846">
        <v>0</v>
      </c>
      <c r="Z296" s="846">
        <v>1151</v>
      </c>
      <c r="AA296" s="846"/>
      <c r="AB296" s="846"/>
      <c r="AC296" s="846">
        <v>6126</v>
      </c>
      <c r="AD296" s="847">
        <v>40954</v>
      </c>
      <c r="AF296" s="845" t="s">
        <v>1152</v>
      </c>
      <c r="AG296" s="846">
        <v>6121</v>
      </c>
      <c r="AH296" s="842">
        <f>'1.4.1 MSFLR'!F196</f>
        <v>1300</v>
      </c>
      <c r="AI296" s="842">
        <f>+('1.6.1 GasLR'!E176+'1.6.1 GasLR'!D176)*Units!C$19</f>
        <v>20.123999999999999</v>
      </c>
      <c r="AJ296" s="846">
        <v>25797</v>
      </c>
      <c r="AK296" s="846">
        <v>7892</v>
      </c>
      <c r="AL296" s="846" t="s">
        <v>1151</v>
      </c>
      <c r="AM296" s="945">
        <f>'1.8.2 RenHLR'!H296</f>
        <v>202.00000000000003</v>
      </c>
      <c r="AN296" s="846">
        <v>2590</v>
      </c>
      <c r="AO296" s="847">
        <v>43700</v>
      </c>
      <c r="AQ296" s="845" t="s">
        <v>1152</v>
      </c>
      <c r="AR296" s="846">
        <v>982</v>
      </c>
      <c r="AS296" s="846">
        <f>+'1.4.1 MSFLR'!I196</f>
        <v>390</v>
      </c>
      <c r="AT296" s="842">
        <f>('1.6.1 GasLR'!C176+'1.6.1 GasLR'!L176)*Units!C$19</f>
        <v>12.641999999999999</v>
      </c>
      <c r="AU296" s="846">
        <v>7308</v>
      </c>
      <c r="AV296" s="846">
        <v>5731</v>
      </c>
      <c r="AW296" s="846" t="s">
        <v>1151</v>
      </c>
      <c r="AX296" s="846"/>
      <c r="AY296" s="846">
        <v>5723</v>
      </c>
      <c r="AZ296" s="847">
        <v>20135</v>
      </c>
      <c r="BA296" s="850"/>
      <c r="BB296" s="845" t="s">
        <v>1152</v>
      </c>
      <c r="BC296" s="846">
        <v>12348</v>
      </c>
      <c r="BD296" s="846">
        <v>4869</v>
      </c>
      <c r="BE296" s="846">
        <v>1063</v>
      </c>
      <c r="BF296" s="846">
        <v>778</v>
      </c>
      <c r="BG296" s="846">
        <v>28</v>
      </c>
      <c r="BH296" s="916">
        <f t="shared" si="43"/>
        <v>46647</v>
      </c>
      <c r="BI296" s="846">
        <v>20763</v>
      </c>
      <c r="BJ296" s="846" t="s">
        <v>1151</v>
      </c>
      <c r="BK296" s="842"/>
      <c r="BL296" s="1085">
        <f t="shared" si="30"/>
        <v>442</v>
      </c>
      <c r="BM296" s="846">
        <v>59245</v>
      </c>
      <c r="BN296" s="847">
        <v>145719</v>
      </c>
    </row>
    <row r="297" spans="1:66" s="838" customFormat="1" ht="10.5" customHeight="1" x14ac:dyDescent="0.35">
      <c r="A297" s="841">
        <v>1987</v>
      </c>
      <c r="B297" s="842">
        <v>4048</v>
      </c>
      <c r="C297" s="842">
        <f>+'1.4.1 MSFLR'!C197+'1.4.1 MSFLR'!D197</f>
        <v>4740</v>
      </c>
      <c r="D297" s="842">
        <v>821</v>
      </c>
      <c r="E297" s="842">
        <v>3</v>
      </c>
      <c r="F297" s="842">
        <v>14137</v>
      </c>
      <c r="G297" s="842">
        <v>8005</v>
      </c>
      <c r="H297" s="842"/>
      <c r="I297" s="842"/>
      <c r="J297" s="842" t="s">
        <v>1151</v>
      </c>
      <c r="K297" s="842">
        <f>'1.8.2 RenHLR'!I297+'1.8.3 RenPTLR'!G297</f>
        <v>240</v>
      </c>
      <c r="L297" s="842">
        <v>8456</v>
      </c>
      <c r="M297" s="843">
        <v>40211</v>
      </c>
      <c r="N297" s="841">
        <v>1987</v>
      </c>
      <c r="O297" s="842">
        <v>3</v>
      </c>
      <c r="P297" s="844">
        <v>0</v>
      </c>
      <c r="Q297" s="842">
        <v>264</v>
      </c>
      <c r="R297" s="842">
        <v>761</v>
      </c>
      <c r="S297" s="842"/>
      <c r="T297" s="844">
        <v>0</v>
      </c>
      <c r="U297" s="842">
        <v>34062</v>
      </c>
      <c r="V297" s="842"/>
      <c r="W297" s="844">
        <v>0</v>
      </c>
      <c r="X297" s="842"/>
      <c r="Y297" s="844">
        <v>0</v>
      </c>
      <c r="Z297" s="842">
        <v>1103</v>
      </c>
      <c r="AA297" s="842"/>
      <c r="AB297" s="842"/>
      <c r="AC297" s="842">
        <v>6479</v>
      </c>
      <c r="AD297" s="843">
        <v>42672</v>
      </c>
      <c r="AF297" s="841">
        <v>1987</v>
      </c>
      <c r="AG297" s="842">
        <v>5189</v>
      </c>
      <c r="AH297" s="842">
        <f>'1.4.1 MSFLR'!F197</f>
        <v>1333</v>
      </c>
      <c r="AI297" s="842">
        <f>+('1.6.1 GasLR'!E177+'1.6.1 GasLR'!D177)*Units!C$19</f>
        <v>12.641999999999999</v>
      </c>
      <c r="AJ297" s="842">
        <v>26450</v>
      </c>
      <c r="AK297" s="842">
        <v>8015</v>
      </c>
      <c r="AL297" s="842" t="s">
        <v>1151</v>
      </c>
      <c r="AM297" s="945">
        <f>'1.8.2 RenHLR'!H297</f>
        <v>189</v>
      </c>
      <c r="AN297" s="842">
        <v>2474</v>
      </c>
      <c r="AO297" s="843">
        <v>43460</v>
      </c>
      <c r="AQ297" s="841">
        <v>1987</v>
      </c>
      <c r="AR297" s="842">
        <v>935</v>
      </c>
      <c r="AS297" s="842">
        <f>+'1.4.1 MSFLR'!I197</f>
        <v>368</v>
      </c>
      <c r="AT297" s="842">
        <f>('1.6.1 GasLR'!C177+'1.6.1 GasLR'!L177)*Units!C$19</f>
        <v>12.641999999999999</v>
      </c>
      <c r="AU297" s="842">
        <v>7534</v>
      </c>
      <c r="AV297" s="842">
        <v>5965</v>
      </c>
      <c r="AW297" s="842" t="s">
        <v>1151</v>
      </c>
      <c r="AX297" s="842"/>
      <c r="AY297" s="842">
        <v>4988</v>
      </c>
      <c r="AZ297" s="843">
        <v>19790</v>
      </c>
      <c r="BA297" s="824"/>
      <c r="BB297" s="841">
        <v>1987</v>
      </c>
      <c r="BC297" s="842">
        <v>10174</v>
      </c>
      <c r="BD297" s="842">
        <v>5343</v>
      </c>
      <c r="BE297" s="842">
        <v>1098</v>
      </c>
      <c r="BF297" s="842">
        <v>821</v>
      </c>
      <c r="BG297" s="842">
        <v>28</v>
      </c>
      <c r="BH297" s="916">
        <f t="shared" si="43"/>
        <v>48121</v>
      </c>
      <c r="BI297" s="842">
        <v>22252</v>
      </c>
      <c r="BJ297" s="842" t="s">
        <v>1151</v>
      </c>
      <c r="BK297" s="842"/>
      <c r="BL297" s="1085">
        <f>K297+V297+AM297</f>
        <v>429</v>
      </c>
      <c r="BM297" s="842">
        <v>58325</v>
      </c>
      <c r="BN297" s="843">
        <v>146132</v>
      </c>
    </row>
    <row r="298" spans="1:66" s="838" customFormat="1" ht="10.5" customHeight="1" x14ac:dyDescent="0.35">
      <c r="A298" s="841">
        <v>1988</v>
      </c>
      <c r="B298" s="842">
        <v>4166</v>
      </c>
      <c r="C298" s="842">
        <f>+'1.4.1 MSFLR'!C198+'1.4.1 MSFLR'!D198</f>
        <v>5096</v>
      </c>
      <c r="D298" s="842">
        <v>771</v>
      </c>
      <c r="E298" s="844">
        <v>0</v>
      </c>
      <c r="F298" s="842">
        <v>12883</v>
      </c>
      <c r="G298" s="842">
        <v>8350</v>
      </c>
      <c r="H298" s="842"/>
      <c r="I298" s="842"/>
      <c r="J298" s="842" t="s">
        <v>1151</v>
      </c>
      <c r="K298" s="842">
        <f>'1.8.2 RenHLR'!I298+'1.8.3 RenPTLR'!G298</f>
        <v>240</v>
      </c>
      <c r="L298" s="842">
        <v>9441</v>
      </c>
      <c r="M298" s="843">
        <v>40807</v>
      </c>
      <c r="N298" s="841">
        <v>1988</v>
      </c>
      <c r="O298" s="844">
        <v>0</v>
      </c>
      <c r="P298" s="844">
        <v>0</v>
      </c>
      <c r="Q298" s="842">
        <v>282</v>
      </c>
      <c r="R298" s="842">
        <v>766</v>
      </c>
      <c r="S298" s="842"/>
      <c r="T298" s="844">
        <v>0</v>
      </c>
      <c r="U298" s="842">
        <v>36233</v>
      </c>
      <c r="V298" s="842"/>
      <c r="W298" s="844">
        <v>0</v>
      </c>
      <c r="X298" s="842"/>
      <c r="Y298" s="844">
        <v>0</v>
      </c>
      <c r="Z298" s="842">
        <v>1159</v>
      </c>
      <c r="AA298" s="842"/>
      <c r="AB298" s="842"/>
      <c r="AC298" s="842">
        <v>6905</v>
      </c>
      <c r="AD298" s="843">
        <v>45345</v>
      </c>
      <c r="AF298" s="841">
        <v>1988</v>
      </c>
      <c r="AG298" s="842">
        <v>4741</v>
      </c>
      <c r="AH298" s="842">
        <f>'1.4.1 MSFLR'!F198</f>
        <v>1207</v>
      </c>
      <c r="AI298" s="842">
        <f>+('1.6.1 GasLR'!E178+'1.6.1 GasLR'!D178)*Units!C$19</f>
        <v>2.4939999999999998</v>
      </c>
      <c r="AJ298" s="842">
        <v>25833</v>
      </c>
      <c r="AK298" s="842">
        <v>7940</v>
      </c>
      <c r="AL298" s="842" t="s">
        <v>1151</v>
      </c>
      <c r="AM298" s="842">
        <v>205</v>
      </c>
      <c r="AN298" s="842">
        <v>2441</v>
      </c>
      <c r="AO298" s="843">
        <v>42367</v>
      </c>
      <c r="AQ298" s="841">
        <v>1988</v>
      </c>
      <c r="AR298" s="842">
        <v>831</v>
      </c>
      <c r="AS298" s="842">
        <f>+'1.4.1 MSFLR'!I198</f>
        <v>264</v>
      </c>
      <c r="AT298" s="842">
        <f>('1.6.1 GasLR'!C178+'1.6.1 GasLR'!L178)*Units!C$19</f>
        <v>5.0739999999999998</v>
      </c>
      <c r="AU298" s="842">
        <v>7569</v>
      </c>
      <c r="AV298" s="842">
        <v>6240</v>
      </c>
      <c r="AW298" s="842" t="s">
        <v>1151</v>
      </c>
      <c r="AX298" s="842">
        <v>138</v>
      </c>
      <c r="AY298" s="842">
        <v>5008</v>
      </c>
      <c r="AZ298" s="843">
        <v>20050</v>
      </c>
      <c r="BA298" s="824"/>
      <c r="BB298" s="841">
        <v>1988</v>
      </c>
      <c r="BC298" s="842">
        <v>9738</v>
      </c>
      <c r="BD298" s="842">
        <v>5605</v>
      </c>
      <c r="BE298" s="842">
        <v>962</v>
      </c>
      <c r="BF298" s="842">
        <v>771</v>
      </c>
      <c r="BG298" s="842">
        <v>8</v>
      </c>
      <c r="BH298" s="916">
        <f t="shared" si="43"/>
        <v>46285</v>
      </c>
      <c r="BI298" s="842">
        <v>22811</v>
      </c>
      <c r="BJ298" s="842" t="s">
        <v>1151</v>
      </c>
      <c r="BK298" s="842"/>
      <c r="BL298" s="842">
        <v>443</v>
      </c>
      <c r="BM298" s="842">
        <v>61952</v>
      </c>
      <c r="BN298" s="843">
        <v>148569</v>
      </c>
    </row>
    <row r="299" spans="1:66" s="849" customFormat="1" ht="12" customHeight="1" x14ac:dyDescent="0.3">
      <c r="A299" s="845">
        <v>1989</v>
      </c>
      <c r="B299" s="846">
        <v>4489</v>
      </c>
      <c r="C299" s="842">
        <f>+'1.4.1 MSFLR'!C199+'1.4.1 MSFLR'!D199</f>
        <v>4316</v>
      </c>
      <c r="D299" s="846">
        <v>613</v>
      </c>
      <c r="E299" s="846">
        <v>0</v>
      </c>
      <c r="F299" s="846">
        <v>12515</v>
      </c>
      <c r="G299" s="846">
        <v>8550</v>
      </c>
      <c r="H299" s="846"/>
      <c r="I299" s="846"/>
      <c r="J299" s="846" t="s">
        <v>1151</v>
      </c>
      <c r="K299" s="842">
        <f>'1.8.2 RenHLR'!I299+'1.8.3 RenPTLR'!G299</f>
        <v>239.4</v>
      </c>
      <c r="L299" s="846">
        <v>8820</v>
      </c>
      <c r="M299" s="847">
        <v>39405</v>
      </c>
      <c r="N299" s="845">
        <v>1989</v>
      </c>
      <c r="O299" s="846">
        <v>3</v>
      </c>
      <c r="P299" s="846">
        <v>0</v>
      </c>
      <c r="Q299" s="846">
        <v>272</v>
      </c>
      <c r="R299" s="846">
        <v>702</v>
      </c>
      <c r="S299" s="846"/>
      <c r="T299" s="848">
        <v>0</v>
      </c>
      <c r="U299" s="846">
        <v>37801</v>
      </c>
      <c r="V299" s="846"/>
      <c r="W299" s="848">
        <v>0</v>
      </c>
      <c r="X299" s="846"/>
      <c r="Y299" s="846">
        <v>0</v>
      </c>
      <c r="Z299" s="846">
        <v>1355</v>
      </c>
      <c r="AA299" s="846"/>
      <c r="AB299" s="846"/>
      <c r="AC299" s="846">
        <v>7308</v>
      </c>
      <c r="AD299" s="847">
        <v>47442</v>
      </c>
      <c r="AF299" s="845">
        <v>1989</v>
      </c>
      <c r="AG299" s="846">
        <v>3719</v>
      </c>
      <c r="AH299" s="842">
        <f>'1.4.1 MSFLR'!F199</f>
        <v>1054</v>
      </c>
      <c r="AI299" s="842"/>
      <c r="AJ299" s="846">
        <v>24988</v>
      </c>
      <c r="AK299" s="846">
        <v>7935</v>
      </c>
      <c r="AL299" s="846" t="s">
        <v>1151</v>
      </c>
      <c r="AM299" s="846">
        <v>207</v>
      </c>
      <c r="AN299" s="846">
        <v>2355</v>
      </c>
      <c r="AO299" s="847">
        <v>40258</v>
      </c>
      <c r="AQ299" s="845">
        <v>1989</v>
      </c>
      <c r="AR299" s="846">
        <v>698</v>
      </c>
      <c r="AS299" s="846">
        <f>+'1.4.1 MSFLR'!I199</f>
        <v>119</v>
      </c>
      <c r="AT299" s="842"/>
      <c r="AU299" s="846">
        <v>7278</v>
      </c>
      <c r="AV299" s="846">
        <v>6497</v>
      </c>
      <c r="AW299" s="846" t="s">
        <v>1151</v>
      </c>
      <c r="AX299" s="846">
        <v>138</v>
      </c>
      <c r="AY299" s="846">
        <v>4345</v>
      </c>
      <c r="AZ299" s="847">
        <v>19075</v>
      </c>
      <c r="BA299" s="850"/>
      <c r="BB299" s="845">
        <v>1989</v>
      </c>
      <c r="BC299" s="846">
        <v>8909</v>
      </c>
      <c r="BD299" s="846">
        <v>4645</v>
      </c>
      <c r="BE299" s="846">
        <v>845</v>
      </c>
      <c r="BF299" s="846">
        <v>613</v>
      </c>
      <c r="BG299" s="846">
        <v>0</v>
      </c>
      <c r="BH299" s="916">
        <f t="shared" si="43"/>
        <v>44781</v>
      </c>
      <c r="BI299" s="846">
        <v>23254</v>
      </c>
      <c r="BJ299" s="846" t="s">
        <v>1151</v>
      </c>
      <c r="BK299" s="842"/>
      <c r="BL299" s="846">
        <v>447</v>
      </c>
      <c r="BM299" s="846">
        <v>62685</v>
      </c>
      <c r="BN299" s="847">
        <v>146180</v>
      </c>
    </row>
    <row r="300" spans="1:66" s="838" customFormat="1" ht="10.5" customHeight="1" x14ac:dyDescent="0.35">
      <c r="A300" s="841">
        <v>1990</v>
      </c>
      <c r="B300" s="842">
        <v>4172</v>
      </c>
      <c r="C300" s="842">
        <f>+'1.4.1 MSFLR'!C200+'1.4.1 MSFLR'!D200</f>
        <v>3993</v>
      </c>
      <c r="D300" s="842">
        <v>602</v>
      </c>
      <c r="E300" s="844">
        <v>0</v>
      </c>
      <c r="F300" s="842">
        <v>12889</v>
      </c>
      <c r="G300" s="842">
        <v>8655</v>
      </c>
      <c r="H300" s="842"/>
      <c r="I300" s="842"/>
      <c r="J300" s="842" t="s">
        <v>1151</v>
      </c>
      <c r="K300" s="842">
        <f>'1.8.2 RenHLR'!I300+'1.8.3 RenPTLR'!G300</f>
        <v>238.73750000000001</v>
      </c>
      <c r="L300" s="842">
        <v>8242</v>
      </c>
      <c r="M300" s="843">
        <v>38659.599999999999</v>
      </c>
      <c r="N300" s="841">
        <v>1990</v>
      </c>
      <c r="O300" s="842">
        <v>2</v>
      </c>
      <c r="P300" s="844">
        <v>0</v>
      </c>
      <c r="Q300" s="842">
        <v>455</v>
      </c>
      <c r="R300" s="842">
        <v>668</v>
      </c>
      <c r="S300" s="842"/>
      <c r="T300" s="844">
        <v>0</v>
      </c>
      <c r="U300" s="842">
        <v>38816</v>
      </c>
      <c r="V300" s="842"/>
      <c r="W300" s="844">
        <v>0</v>
      </c>
      <c r="X300" s="844"/>
      <c r="Y300" s="844">
        <v>0</v>
      </c>
      <c r="Z300" s="842">
        <v>1363</v>
      </c>
      <c r="AA300" s="842"/>
      <c r="AB300" s="842"/>
      <c r="AC300" s="842">
        <v>7332</v>
      </c>
      <c r="AD300" s="843">
        <v>48635</v>
      </c>
      <c r="AF300" s="841">
        <v>1990</v>
      </c>
      <c r="AG300" s="842">
        <v>3153</v>
      </c>
      <c r="AH300" s="842">
        <f>'1.4.1 MSFLR'!F200</f>
        <v>1016</v>
      </c>
      <c r="AI300" s="842"/>
      <c r="AJ300" s="842">
        <v>25835</v>
      </c>
      <c r="AK300" s="842">
        <v>8066</v>
      </c>
      <c r="AL300" s="842" t="s">
        <v>1151</v>
      </c>
      <c r="AM300" s="842">
        <v>205.5</v>
      </c>
      <c r="AN300" s="842">
        <v>2480</v>
      </c>
      <c r="AO300" s="843">
        <v>40755.5</v>
      </c>
      <c r="AQ300" s="841">
        <v>1990</v>
      </c>
      <c r="AR300" s="842">
        <v>795</v>
      </c>
      <c r="AS300" s="842">
        <f>+'1.4.1 MSFLR'!I200</f>
        <v>127</v>
      </c>
      <c r="AT300" s="842"/>
      <c r="AU300" s="842">
        <v>7329</v>
      </c>
      <c r="AV300" s="842">
        <v>6426</v>
      </c>
      <c r="AW300" s="842" t="s">
        <v>1151</v>
      </c>
      <c r="AX300" s="842">
        <v>138.6</v>
      </c>
      <c r="AY300" s="842">
        <v>4402</v>
      </c>
      <c r="AZ300" s="843">
        <v>19217.599999999999</v>
      </c>
      <c r="BA300" s="824"/>
      <c r="BB300" s="841">
        <v>1990</v>
      </c>
      <c r="BC300" s="842">
        <v>8122</v>
      </c>
      <c r="BD300" s="842">
        <v>4333</v>
      </c>
      <c r="BE300" s="842">
        <v>804</v>
      </c>
      <c r="BF300" s="842">
        <v>602</v>
      </c>
      <c r="BG300" s="844">
        <v>0</v>
      </c>
      <c r="BH300" s="916">
        <f t="shared" si="43"/>
        <v>46053</v>
      </c>
      <c r="BI300" s="842">
        <v>23601</v>
      </c>
      <c r="BJ300" s="842" t="s">
        <v>1151</v>
      </c>
      <c r="BK300" s="842"/>
      <c r="BL300" s="842">
        <v>450.70000000000005</v>
      </c>
      <c r="BM300" s="842">
        <v>63302</v>
      </c>
      <c r="BN300" s="843">
        <v>147267.70000000001</v>
      </c>
    </row>
    <row r="301" spans="1:66" s="838" customFormat="1" ht="10.5" customHeight="1" x14ac:dyDescent="0.35">
      <c r="A301" s="841">
        <v>1991</v>
      </c>
      <c r="B301" s="842">
        <v>4270</v>
      </c>
      <c r="C301" s="842">
        <f>+'1.4.1 MSFLR'!C201+'1.4.1 MSFLR'!D201</f>
        <v>3705</v>
      </c>
      <c r="D301" s="842">
        <v>570</v>
      </c>
      <c r="E301" s="844">
        <v>0</v>
      </c>
      <c r="F301" s="842">
        <v>12311</v>
      </c>
      <c r="G301" s="842">
        <v>8563</v>
      </c>
      <c r="H301" s="842"/>
      <c r="I301" s="842"/>
      <c r="J301" s="842" t="s">
        <v>1151</v>
      </c>
      <c r="K301" s="842">
        <f>'1.8.2 RenHLR'!I301+'1.8.3 RenPTLR'!G301</f>
        <v>238.07500000000002</v>
      </c>
      <c r="L301" s="842">
        <v>8729</v>
      </c>
      <c r="M301" s="843">
        <v>38256.699999999997</v>
      </c>
      <c r="N301" s="841">
        <v>1991</v>
      </c>
      <c r="O301" s="844">
        <v>0</v>
      </c>
      <c r="P301" s="844">
        <v>0</v>
      </c>
      <c r="Q301" s="842">
        <v>454</v>
      </c>
      <c r="R301" s="842">
        <v>685</v>
      </c>
      <c r="S301" s="842"/>
      <c r="T301" s="844">
        <v>0</v>
      </c>
      <c r="U301" s="842">
        <v>38535</v>
      </c>
      <c r="V301" s="842"/>
      <c r="W301" s="844">
        <v>0</v>
      </c>
      <c r="X301" s="844"/>
      <c r="Y301" s="844">
        <v>0</v>
      </c>
      <c r="Z301" s="842">
        <v>1424</v>
      </c>
      <c r="AA301" s="842"/>
      <c r="AB301" s="842"/>
      <c r="AC301" s="842">
        <v>6872</v>
      </c>
      <c r="AD301" s="843">
        <v>47973</v>
      </c>
      <c r="AF301" s="841">
        <v>1991</v>
      </c>
      <c r="AG301" s="842">
        <v>3582</v>
      </c>
      <c r="AH301" s="842">
        <f>'1.4.1 MSFLR'!F201</f>
        <v>995</v>
      </c>
      <c r="AI301" s="842"/>
      <c r="AJ301" s="842">
        <v>28721</v>
      </c>
      <c r="AK301" s="842">
        <v>8436</v>
      </c>
      <c r="AL301" s="842" t="s">
        <v>1151</v>
      </c>
      <c r="AM301" s="842">
        <v>208.7</v>
      </c>
      <c r="AN301" s="842">
        <v>2825</v>
      </c>
      <c r="AO301" s="843">
        <v>44767.7</v>
      </c>
      <c r="AQ301" s="841">
        <v>1991</v>
      </c>
      <c r="AR301" s="842">
        <v>753</v>
      </c>
      <c r="AS301" s="842">
        <f>+'1.4.1 MSFLR'!I201</f>
        <v>105</v>
      </c>
      <c r="AT301" s="842"/>
      <c r="AU301" s="842">
        <v>8640</v>
      </c>
      <c r="AV301" s="842">
        <v>6717</v>
      </c>
      <c r="AW301" s="842" t="s">
        <v>1151</v>
      </c>
      <c r="AX301" s="842">
        <v>149.1</v>
      </c>
      <c r="AY301" s="842">
        <v>4456</v>
      </c>
      <c r="AZ301" s="843">
        <v>20820.099999999999</v>
      </c>
      <c r="BA301" s="824"/>
      <c r="BB301" s="841">
        <v>1991</v>
      </c>
      <c r="BC301" s="842">
        <v>8605</v>
      </c>
      <c r="BD301" s="842">
        <v>4006</v>
      </c>
      <c r="BE301" s="842">
        <v>799</v>
      </c>
      <c r="BF301" s="842">
        <v>570</v>
      </c>
      <c r="BG301" s="844">
        <v>0</v>
      </c>
      <c r="BH301" s="916">
        <f t="shared" si="43"/>
        <v>49672</v>
      </c>
      <c r="BI301" s="842">
        <v>24170</v>
      </c>
      <c r="BJ301" s="842" t="s">
        <v>1151</v>
      </c>
      <c r="BK301" s="842"/>
      <c r="BL301" s="842">
        <v>466.5</v>
      </c>
      <c r="BM301" s="842">
        <v>63525</v>
      </c>
      <c r="BN301" s="843">
        <v>151817.5</v>
      </c>
    </row>
    <row r="302" spans="1:66" s="838" customFormat="1" ht="10.5" customHeight="1" x14ac:dyDescent="0.35">
      <c r="A302" s="841">
        <v>1992</v>
      </c>
      <c r="B302" s="842">
        <v>4375</v>
      </c>
      <c r="C302" s="842">
        <f>+'1.4.1 MSFLR'!C202+'1.4.1 MSFLR'!D202</f>
        <v>3615</v>
      </c>
      <c r="D302" s="842">
        <v>534</v>
      </c>
      <c r="E302" s="844">
        <v>0</v>
      </c>
      <c r="F302" s="842">
        <v>11380</v>
      </c>
      <c r="G302" s="842">
        <v>8194</v>
      </c>
      <c r="H302" s="842"/>
      <c r="I302" s="842"/>
      <c r="J302" s="842" t="s">
        <v>1151</v>
      </c>
      <c r="K302" s="842">
        <v>278.60000000000002</v>
      </c>
      <c r="L302" s="842">
        <v>8334</v>
      </c>
      <c r="M302" s="843">
        <v>36710.6</v>
      </c>
      <c r="N302" s="841">
        <v>1992</v>
      </c>
      <c r="O302" s="844">
        <v>0</v>
      </c>
      <c r="P302" s="844">
        <v>0</v>
      </c>
      <c r="Q302" s="842">
        <v>461</v>
      </c>
      <c r="R302" s="842">
        <v>715</v>
      </c>
      <c r="S302" s="842"/>
      <c r="T302" s="844">
        <v>0</v>
      </c>
      <c r="U302" s="842">
        <v>39363</v>
      </c>
      <c r="V302" s="842"/>
      <c r="W302" s="844">
        <v>0</v>
      </c>
      <c r="X302" s="844"/>
      <c r="Y302" s="844">
        <v>0</v>
      </c>
      <c r="Z302" s="842">
        <v>1377</v>
      </c>
      <c r="AA302" s="842"/>
      <c r="AB302" s="842"/>
      <c r="AC302" s="842">
        <v>7435</v>
      </c>
      <c r="AD302" s="843">
        <v>49355</v>
      </c>
      <c r="AF302" s="841">
        <v>1992</v>
      </c>
      <c r="AG302" s="842">
        <v>3105</v>
      </c>
      <c r="AH302" s="842">
        <f>'1.4.1 MSFLR'!F202</f>
        <v>885</v>
      </c>
      <c r="AI302" s="842"/>
      <c r="AJ302" s="842">
        <v>28389</v>
      </c>
      <c r="AK302" s="842">
        <v>8555</v>
      </c>
      <c r="AL302" s="842" t="s">
        <v>1151</v>
      </c>
      <c r="AM302" s="842">
        <v>243.3</v>
      </c>
      <c r="AN302" s="842">
        <v>2889</v>
      </c>
      <c r="AO302" s="843">
        <v>44066.3</v>
      </c>
      <c r="AQ302" s="841">
        <v>1992</v>
      </c>
      <c r="AR302" s="842">
        <v>622</v>
      </c>
      <c r="AS302" s="842">
        <f>+'1.4.1 MSFLR'!I202</f>
        <v>88</v>
      </c>
      <c r="AT302" s="842"/>
      <c r="AU302" s="842">
        <v>8585</v>
      </c>
      <c r="AV302" s="842">
        <v>6996</v>
      </c>
      <c r="AW302" s="842" t="s">
        <v>1151</v>
      </c>
      <c r="AX302" s="842">
        <v>150.19999999999999</v>
      </c>
      <c r="AY302" s="842">
        <v>4518</v>
      </c>
      <c r="AZ302" s="843">
        <v>20959.2</v>
      </c>
      <c r="BA302" s="824"/>
      <c r="BB302" s="841">
        <v>1992</v>
      </c>
      <c r="BC302" s="842">
        <v>8101</v>
      </c>
      <c r="BD302" s="842">
        <v>3866</v>
      </c>
      <c r="BE302" s="842">
        <v>723</v>
      </c>
      <c r="BF302" s="842">
        <v>534</v>
      </c>
      <c r="BG302" s="844">
        <v>0</v>
      </c>
      <c r="BH302" s="916">
        <f t="shared" si="43"/>
        <v>48354</v>
      </c>
      <c r="BI302" s="842">
        <v>24206</v>
      </c>
      <c r="BJ302" s="842" t="s">
        <v>1151</v>
      </c>
      <c r="BK302" s="842"/>
      <c r="BL302" s="842">
        <v>672.10000000000014</v>
      </c>
      <c r="BM302" s="842">
        <v>64632</v>
      </c>
      <c r="BN302" s="843">
        <v>151091.1</v>
      </c>
    </row>
    <row r="303" spans="1:66" s="838" customFormat="1" ht="10.5" customHeight="1" x14ac:dyDescent="0.35">
      <c r="A303" s="841">
        <v>1993</v>
      </c>
      <c r="B303" s="842">
        <v>3553</v>
      </c>
      <c r="C303" s="842">
        <f>+'1.4.1 MSFLR'!C203+'1.4.1 MSFLR'!D203</f>
        <v>3620</v>
      </c>
      <c r="D303" s="842">
        <v>560</v>
      </c>
      <c r="E303" s="844">
        <v>0</v>
      </c>
      <c r="F303" s="842">
        <v>11521</v>
      </c>
      <c r="G303" s="842">
        <v>8328</v>
      </c>
      <c r="H303" s="842"/>
      <c r="I303" s="842"/>
      <c r="J303" s="842" t="s">
        <v>1151</v>
      </c>
      <c r="K303" s="842">
        <v>265.8</v>
      </c>
      <c r="L303" s="842">
        <v>8592</v>
      </c>
      <c r="M303" s="843">
        <v>36439.800000000003</v>
      </c>
      <c r="N303" s="841">
        <v>1993</v>
      </c>
      <c r="O303" s="844">
        <v>0</v>
      </c>
      <c r="P303" s="844">
        <v>0</v>
      </c>
      <c r="Q303" s="842">
        <v>641</v>
      </c>
      <c r="R303" s="842">
        <v>665</v>
      </c>
      <c r="S303" s="842"/>
      <c r="T303" s="844">
        <v>0</v>
      </c>
      <c r="U303" s="842">
        <v>39502</v>
      </c>
      <c r="V303" s="842"/>
      <c r="W303" s="844">
        <v>0</v>
      </c>
      <c r="X303" s="844"/>
      <c r="Y303" s="844">
        <v>0</v>
      </c>
      <c r="Z303" s="842">
        <v>1341</v>
      </c>
      <c r="AA303" s="842"/>
      <c r="AB303" s="842"/>
      <c r="AC303" s="842">
        <v>7871</v>
      </c>
      <c r="AD303" s="843">
        <v>50024</v>
      </c>
      <c r="AF303" s="841">
        <v>1993</v>
      </c>
      <c r="AG303" s="842">
        <v>3498</v>
      </c>
      <c r="AH303" s="842">
        <f>'1.4.1 MSFLR'!F203</f>
        <v>898</v>
      </c>
      <c r="AI303" s="842"/>
      <c r="AJ303" s="842">
        <v>29254</v>
      </c>
      <c r="AK303" s="842">
        <v>8639</v>
      </c>
      <c r="AL303" s="842" t="s">
        <v>1151</v>
      </c>
      <c r="AM303" s="842">
        <v>240.6</v>
      </c>
      <c r="AN303" s="842">
        <v>3019</v>
      </c>
      <c r="AO303" s="843">
        <v>45548.6</v>
      </c>
      <c r="AQ303" s="841">
        <v>1993</v>
      </c>
      <c r="AR303" s="842">
        <v>566</v>
      </c>
      <c r="AS303" s="842">
        <f>+'1.4.1 MSFLR'!I203</f>
        <v>74</v>
      </c>
      <c r="AT303" s="842"/>
      <c r="AU303" s="842">
        <v>8504</v>
      </c>
      <c r="AV303" s="842">
        <v>6999</v>
      </c>
      <c r="AW303" s="842" t="s">
        <v>1151</v>
      </c>
      <c r="AX303" s="842">
        <v>145.5</v>
      </c>
      <c r="AY303" s="842">
        <v>4446</v>
      </c>
      <c r="AZ303" s="843">
        <v>20734.5</v>
      </c>
      <c r="BA303" s="824"/>
      <c r="BB303" s="841">
        <v>1993</v>
      </c>
      <c r="BC303" s="842">
        <v>7617</v>
      </c>
      <c r="BD303" s="842">
        <v>3833</v>
      </c>
      <c r="BE303" s="842">
        <v>758</v>
      </c>
      <c r="BF303" s="842">
        <v>560</v>
      </c>
      <c r="BG303" s="844">
        <v>0</v>
      </c>
      <c r="BH303" s="916">
        <f t="shared" si="43"/>
        <v>49279</v>
      </c>
      <c r="BI303" s="842">
        <v>24607</v>
      </c>
      <c r="BJ303" s="842" t="s">
        <v>1151</v>
      </c>
      <c r="BK303" s="842"/>
      <c r="BL303" s="842">
        <v>651.9</v>
      </c>
      <c r="BM303" s="842">
        <v>65437</v>
      </c>
      <c r="BN303" s="843">
        <v>152746.9</v>
      </c>
    </row>
    <row r="304" spans="1:66" s="838" customFormat="1" ht="10.5" customHeight="1" x14ac:dyDescent="0.35">
      <c r="A304" s="841">
        <v>1994</v>
      </c>
      <c r="B304" s="842">
        <v>3402</v>
      </c>
      <c r="C304" s="842">
        <f>+'1.4.1 MSFLR'!C204+'1.4.1 MSFLR'!D204</f>
        <v>4012</v>
      </c>
      <c r="D304" s="842">
        <v>590</v>
      </c>
      <c r="E304" s="844">
        <v>0</v>
      </c>
      <c r="F304" s="842">
        <v>12885</v>
      </c>
      <c r="G304" s="842">
        <v>8082</v>
      </c>
      <c r="H304" s="842"/>
      <c r="I304" s="842"/>
      <c r="J304" s="842" t="s">
        <v>1151</v>
      </c>
      <c r="K304" s="842">
        <v>487.3</v>
      </c>
      <c r="L304" s="842">
        <v>8253</v>
      </c>
      <c r="M304" s="843">
        <v>37711.300000000003</v>
      </c>
      <c r="N304" s="841">
        <v>1994</v>
      </c>
      <c r="O304" s="844">
        <v>0</v>
      </c>
      <c r="P304" s="844">
        <v>0</v>
      </c>
      <c r="Q304" s="842">
        <v>599</v>
      </c>
      <c r="R304" s="842">
        <v>651</v>
      </c>
      <c r="S304" s="842"/>
      <c r="T304" s="844">
        <v>0</v>
      </c>
      <c r="U304" s="842">
        <v>39690</v>
      </c>
      <c r="V304" s="842"/>
      <c r="W304" s="844">
        <v>0</v>
      </c>
      <c r="X304" s="844"/>
      <c r="Y304" s="844">
        <v>0</v>
      </c>
      <c r="Z304" s="842">
        <v>1239</v>
      </c>
      <c r="AA304" s="842"/>
      <c r="AB304" s="842"/>
      <c r="AC304" s="842">
        <v>8070</v>
      </c>
      <c r="AD304" s="843">
        <v>50253</v>
      </c>
      <c r="AF304" s="841">
        <v>1994</v>
      </c>
      <c r="AG304" s="842">
        <v>2957</v>
      </c>
      <c r="AH304" s="842">
        <f>'1.4.1 MSFLR'!F204</f>
        <v>668</v>
      </c>
      <c r="AI304" s="842"/>
      <c r="AJ304" s="842">
        <v>28355</v>
      </c>
      <c r="AK304" s="842">
        <v>8721</v>
      </c>
      <c r="AL304" s="842" t="s">
        <v>1151</v>
      </c>
      <c r="AM304" s="842">
        <v>241.6</v>
      </c>
      <c r="AN304" s="842">
        <v>3004</v>
      </c>
      <c r="AO304" s="843">
        <v>43946.6</v>
      </c>
      <c r="AQ304" s="841">
        <v>1994</v>
      </c>
      <c r="AR304" s="842">
        <v>496</v>
      </c>
      <c r="AS304" s="842">
        <f>+'1.4.1 MSFLR'!I204</f>
        <v>34</v>
      </c>
      <c r="AT304" s="842"/>
      <c r="AU304" s="842">
        <v>8695</v>
      </c>
      <c r="AV304" s="842">
        <v>6951</v>
      </c>
      <c r="AW304" s="842" t="s">
        <v>1151</v>
      </c>
      <c r="AX304" s="842">
        <v>172</v>
      </c>
      <c r="AY304" s="842">
        <v>4289</v>
      </c>
      <c r="AZ304" s="843">
        <v>20637</v>
      </c>
      <c r="BA304" s="824"/>
      <c r="BB304" s="841">
        <v>1994</v>
      </c>
      <c r="BC304" s="842">
        <v>6855</v>
      </c>
      <c r="BD304" s="842">
        <v>3919</v>
      </c>
      <c r="BE304" s="842">
        <v>795</v>
      </c>
      <c r="BF304" s="842">
        <v>590</v>
      </c>
      <c r="BG304" s="844">
        <v>0</v>
      </c>
      <c r="BH304" s="916">
        <f t="shared" si="43"/>
        <v>49935</v>
      </c>
      <c r="BI304" s="842">
        <v>24353</v>
      </c>
      <c r="BJ304" s="842" t="s">
        <v>1151</v>
      </c>
      <c r="BK304" s="842"/>
      <c r="BL304" s="842">
        <v>900.9</v>
      </c>
      <c r="BM304" s="842">
        <v>65196</v>
      </c>
      <c r="BN304" s="843">
        <v>152547.9</v>
      </c>
    </row>
    <row r="305" spans="1:66" s="838" customFormat="1" ht="10.5" customHeight="1" x14ac:dyDescent="0.35">
      <c r="A305" s="841">
        <v>1995</v>
      </c>
      <c r="B305" s="842">
        <v>2840</v>
      </c>
      <c r="C305" s="842">
        <f>+'1.4.1 MSFLR'!C205+'1.4.1 MSFLR'!D205</f>
        <v>3934</v>
      </c>
      <c r="D305" s="842">
        <v>576.49</v>
      </c>
      <c r="E305" s="844">
        <v>0</v>
      </c>
      <c r="F305" s="842">
        <v>12679.621668099731</v>
      </c>
      <c r="G305" s="842">
        <v>8654.4453998280333</v>
      </c>
      <c r="H305" s="842"/>
      <c r="I305" s="842"/>
      <c r="J305" s="842" t="s">
        <v>1151</v>
      </c>
      <c r="K305" s="842">
        <v>525.9</v>
      </c>
      <c r="L305" s="842">
        <v>7066</v>
      </c>
      <c r="M305" s="843">
        <v>36276.457067927768</v>
      </c>
      <c r="N305" s="841">
        <v>1995</v>
      </c>
      <c r="O305" s="844">
        <v>0</v>
      </c>
      <c r="P305" s="844">
        <v>0</v>
      </c>
      <c r="Q305" s="842">
        <v>636</v>
      </c>
      <c r="R305" s="842">
        <v>654</v>
      </c>
      <c r="S305" s="842"/>
      <c r="T305" s="844">
        <v>0</v>
      </c>
      <c r="U305" s="842">
        <v>39268</v>
      </c>
      <c r="V305" s="842"/>
      <c r="W305" s="844">
        <v>0</v>
      </c>
      <c r="X305" s="844"/>
      <c r="Y305" s="844">
        <v>0</v>
      </c>
      <c r="Z305" s="842">
        <v>1193</v>
      </c>
      <c r="AA305" s="842"/>
      <c r="AB305" s="842"/>
      <c r="AC305" s="842">
        <v>8485</v>
      </c>
      <c r="AD305" s="843">
        <v>50238</v>
      </c>
      <c r="AF305" s="841">
        <v>1995</v>
      </c>
      <c r="AG305" s="842">
        <v>2077</v>
      </c>
      <c r="AH305" s="842">
        <f>'1.4.1 MSFLR'!F205</f>
        <v>548</v>
      </c>
      <c r="AI305" s="842"/>
      <c r="AJ305" s="842">
        <v>28037</v>
      </c>
      <c r="AK305" s="842">
        <v>8790</v>
      </c>
      <c r="AL305" s="842" t="s">
        <v>1151</v>
      </c>
      <c r="AM305" s="842">
        <v>241.7</v>
      </c>
      <c r="AN305" s="842">
        <v>2997</v>
      </c>
      <c r="AO305" s="843">
        <v>42690.7</v>
      </c>
      <c r="AQ305" s="841">
        <v>1995</v>
      </c>
      <c r="AR305" s="842">
        <v>362</v>
      </c>
      <c r="AS305" s="842">
        <f>+'1.4.1 MSFLR'!I205</f>
        <v>39</v>
      </c>
      <c r="AT305" s="842"/>
      <c r="AU305" s="842">
        <v>9374</v>
      </c>
      <c r="AV305" s="842">
        <v>7199</v>
      </c>
      <c r="AW305" s="842" t="s">
        <v>1151</v>
      </c>
      <c r="AX305" s="842">
        <v>188.8</v>
      </c>
      <c r="AY305" s="842">
        <v>4016</v>
      </c>
      <c r="AZ305" s="843">
        <v>21178.799999999999</v>
      </c>
      <c r="BA305" s="824"/>
      <c r="BB305" s="841">
        <v>1995</v>
      </c>
      <c r="BC305" s="842">
        <v>5279</v>
      </c>
      <c r="BD305" s="842">
        <v>3867</v>
      </c>
      <c r="BE305" s="842">
        <v>654</v>
      </c>
      <c r="BF305" s="842">
        <v>576.49</v>
      </c>
      <c r="BG305" s="844">
        <v>0</v>
      </c>
      <c r="BH305" s="916">
        <f t="shared" si="43"/>
        <v>50090.621668099731</v>
      </c>
      <c r="BI305" s="842">
        <v>25279.445399828033</v>
      </c>
      <c r="BJ305" s="842" t="s">
        <v>1151</v>
      </c>
      <c r="BK305" s="842"/>
      <c r="BL305" s="842">
        <v>956.39999999999986</v>
      </c>
      <c r="BM305" s="842">
        <v>63679</v>
      </c>
      <c r="BN305" s="843">
        <v>150383.95706792775</v>
      </c>
    </row>
    <row r="306" spans="1:66" s="838" customFormat="1" ht="10.5" customHeight="1" x14ac:dyDescent="0.35">
      <c r="A306" s="841">
        <v>1996</v>
      </c>
      <c r="B306" s="842">
        <v>1959.4604401333877</v>
      </c>
      <c r="C306" s="842">
        <f>+'1.4.1 MSFLR'!C206+'1.4.1 MSFLR'!D206</f>
        <v>1088.1000955383586</v>
      </c>
      <c r="D306" s="842">
        <v>439.09986000000004</v>
      </c>
      <c r="E306" s="844">
        <v>0</v>
      </c>
      <c r="F306" s="842">
        <v>14080.851246775579</v>
      </c>
      <c r="G306" s="842">
        <v>9004.0835399999978</v>
      </c>
      <c r="H306" s="842"/>
      <c r="I306" s="842"/>
      <c r="J306" s="842" t="s">
        <v>1151</v>
      </c>
      <c r="K306" s="842">
        <v>532.5</v>
      </c>
      <c r="L306" s="842">
        <v>7058.0414471449803</v>
      </c>
      <c r="M306" s="847">
        <v>34470.202969592305</v>
      </c>
      <c r="N306" s="841">
        <v>1996</v>
      </c>
      <c r="O306" s="844">
        <v>0</v>
      </c>
      <c r="P306" s="844">
        <v>0</v>
      </c>
      <c r="Q306" s="842">
        <v>709.59294</v>
      </c>
      <c r="R306" s="842">
        <v>628.58002699194799</v>
      </c>
      <c r="S306" s="842"/>
      <c r="T306" s="844">
        <v>0</v>
      </c>
      <c r="U306" s="842">
        <v>40771.540699105928</v>
      </c>
      <c r="V306" s="842"/>
      <c r="W306" s="844">
        <v>0</v>
      </c>
      <c r="X306" s="844"/>
      <c r="Y306" s="844">
        <v>0</v>
      </c>
      <c r="Z306" s="842">
        <v>1294.4309898408392</v>
      </c>
      <c r="AA306" s="842"/>
      <c r="AB306" s="842"/>
      <c r="AC306" s="842">
        <v>8917.2345415825384</v>
      </c>
      <c r="AD306" s="843">
        <v>52321.379197521259</v>
      </c>
      <c r="AF306" s="841">
        <v>1996</v>
      </c>
      <c r="AG306" s="842">
        <v>2084.4311098952689</v>
      </c>
      <c r="AH306" s="842">
        <f>'1.4.1 MSFLR'!F206</f>
        <v>716.67072704690929</v>
      </c>
      <c r="AI306" s="842"/>
      <c r="AJ306" s="842">
        <v>32316.543422184008</v>
      </c>
      <c r="AK306" s="842">
        <v>9243.96774</v>
      </c>
      <c r="AL306" s="842" t="s">
        <v>1151</v>
      </c>
      <c r="AM306" s="842">
        <v>240.49999999999997</v>
      </c>
      <c r="AN306" s="842">
        <v>3517.7718230838232</v>
      </c>
      <c r="AO306" s="843">
        <v>48119.884822210006</v>
      </c>
      <c r="AQ306" s="841">
        <v>1996</v>
      </c>
      <c r="AR306" s="842">
        <v>384.68479760152331</v>
      </c>
      <c r="AS306" s="844"/>
      <c r="AT306" s="844"/>
      <c r="AU306" s="842">
        <v>10138.228718830611</v>
      </c>
      <c r="AV306" s="842">
        <v>7494.8765999999996</v>
      </c>
      <c r="AW306" s="842" t="s">
        <v>1151</v>
      </c>
      <c r="AX306" s="842">
        <v>181.30000000000004</v>
      </c>
      <c r="AY306" s="842">
        <v>3908.6701899903269</v>
      </c>
      <c r="AZ306" s="843">
        <v>22107.76030642246</v>
      </c>
      <c r="BA306" s="824"/>
      <c r="BB306" s="841">
        <v>1996</v>
      </c>
      <c r="BC306" s="842">
        <v>4428.57634763018</v>
      </c>
      <c r="BD306" s="842">
        <v>984.12617751027028</v>
      </c>
      <c r="BE306" s="842">
        <v>820.64464507499758</v>
      </c>
      <c r="BF306" s="842">
        <v>439.09986000000004</v>
      </c>
      <c r="BG306" s="844">
        <v>0</v>
      </c>
      <c r="BH306" s="916">
        <f t="shared" si="43"/>
        <v>56535.623387790198</v>
      </c>
      <c r="BI306" s="842">
        <v>26452.520819999998</v>
      </c>
      <c r="BJ306" s="842" t="s">
        <v>1151</v>
      </c>
      <c r="BK306" s="842"/>
      <c r="BL306" s="842">
        <v>954.30000000000007</v>
      </c>
      <c r="BM306" s="842">
        <v>66096.269717740375</v>
      </c>
      <c r="BN306" s="851">
        <v>157019.22729574601</v>
      </c>
    </row>
    <row r="307" spans="1:66" s="838" customFormat="1" ht="10.5" customHeight="1" x14ac:dyDescent="0.35">
      <c r="A307" s="841">
        <v>1997</v>
      </c>
      <c r="B307" s="842">
        <v>1963.1071607044119</v>
      </c>
      <c r="C307" s="842">
        <f>+'1.4.1 MSFLR'!C207+'1.4.1 MSFLR'!D207</f>
        <v>1036.1558194411555</v>
      </c>
      <c r="D307" s="842">
        <v>457.17970765262254</v>
      </c>
      <c r="E307" s="844">
        <v>0</v>
      </c>
      <c r="F307" s="842">
        <v>14754.084264832329</v>
      </c>
      <c r="G307" s="842">
        <v>9188.6500429922598</v>
      </c>
      <c r="H307" s="842"/>
      <c r="I307" s="842"/>
      <c r="J307" s="842" t="s">
        <v>1151</v>
      </c>
      <c r="K307" s="842">
        <v>532</v>
      </c>
      <c r="L307" s="842">
        <v>6314.6608698091777</v>
      </c>
      <c r="M307" s="847">
        <v>34577.480169817172</v>
      </c>
      <c r="N307" s="841">
        <v>1997</v>
      </c>
      <c r="O307" s="844">
        <v>0</v>
      </c>
      <c r="P307" s="844">
        <v>0</v>
      </c>
      <c r="Q307" s="842">
        <v>729.14875322441958</v>
      </c>
      <c r="R307" s="842">
        <v>515.94343317983123</v>
      </c>
      <c r="S307" s="842"/>
      <c r="T307" s="844">
        <v>0</v>
      </c>
      <c r="U307" s="842">
        <v>41259.448133880949</v>
      </c>
      <c r="V307" s="842"/>
      <c r="W307" s="844">
        <v>0</v>
      </c>
      <c r="X307" s="844"/>
      <c r="Y307" s="844">
        <v>0</v>
      </c>
      <c r="Z307" s="842">
        <v>1255.692903505746</v>
      </c>
      <c r="AA307" s="842"/>
      <c r="AB307" s="842"/>
      <c r="AC307" s="842">
        <v>9322.297282639609</v>
      </c>
      <c r="AD307" s="843">
        <v>53082.530506430558</v>
      </c>
      <c r="AF307" s="841">
        <v>1997</v>
      </c>
      <c r="AG307" s="842">
        <v>1992.2624096867032</v>
      </c>
      <c r="AH307" s="842">
        <f>'1.4.1 MSFLR'!F207</f>
        <v>477.65043945352056</v>
      </c>
      <c r="AI307" s="842"/>
      <c r="AJ307" s="842">
        <v>29710.404127257094</v>
      </c>
      <c r="AK307" s="842">
        <v>8981.5133276010311</v>
      </c>
      <c r="AL307" s="842" t="s">
        <v>1151</v>
      </c>
      <c r="AM307" s="842">
        <v>224.82</v>
      </c>
      <c r="AN307" s="842">
        <v>3388.7388704090476</v>
      </c>
      <c r="AO307" s="843">
        <v>44775.389174407392</v>
      </c>
      <c r="AQ307" s="841">
        <v>1997</v>
      </c>
      <c r="AR307" s="842">
        <v>375.42882467414279</v>
      </c>
      <c r="AS307" s="844"/>
      <c r="AT307" s="844"/>
      <c r="AU307" s="842">
        <v>9697.0765262252862</v>
      </c>
      <c r="AV307" s="842">
        <v>7859.3293207222669</v>
      </c>
      <c r="AW307" s="842" t="s">
        <v>1151</v>
      </c>
      <c r="AX307" s="842">
        <v>173.63439380911439</v>
      </c>
      <c r="AY307" s="842">
        <v>3361.516395428313</v>
      </c>
      <c r="AZ307" s="843">
        <v>21466.985460859127</v>
      </c>
      <c r="BA307" s="824"/>
      <c r="BB307" s="841">
        <v>1997</v>
      </c>
      <c r="BC307" s="842">
        <v>4330.7983950652579</v>
      </c>
      <c r="BD307" s="842">
        <v>846.34484570555071</v>
      </c>
      <c r="BE307" s="842">
        <v>667.46141318912532</v>
      </c>
      <c r="BF307" s="842">
        <v>457.17970765262254</v>
      </c>
      <c r="BG307" s="844">
        <v>0</v>
      </c>
      <c r="BH307" s="916">
        <f t="shared" si="43"/>
        <v>54161.564918314703</v>
      </c>
      <c r="BI307" s="842">
        <v>26758.641444539979</v>
      </c>
      <c r="BJ307" s="842" t="s">
        <v>1151</v>
      </c>
      <c r="BK307" s="842"/>
      <c r="BL307" s="842">
        <v>930.45439380911432</v>
      </c>
      <c r="BM307" s="842">
        <v>65418.29788885267</v>
      </c>
      <c r="BN307" s="851">
        <v>153902.38531151426</v>
      </c>
    </row>
    <row r="308" spans="1:66" s="838" customFormat="1" ht="10.5" customHeight="1" x14ac:dyDescent="0.35">
      <c r="A308" s="841">
        <v>1998</v>
      </c>
      <c r="B308" s="842">
        <v>1606.8251093521822</v>
      </c>
      <c r="C308" s="842">
        <f>+'1.4.1 MSFLR'!C208+'1.4.1 MSFLR'!D208</f>
        <v>1046.0114646030381</v>
      </c>
      <c r="D308" s="842">
        <v>384.86672398968182</v>
      </c>
      <c r="E308" s="844">
        <v>0</v>
      </c>
      <c r="F308" s="842">
        <v>15140.498710232159</v>
      </c>
      <c r="G308" s="842">
        <v>9215.5631986242479</v>
      </c>
      <c r="H308" s="842"/>
      <c r="I308" s="842"/>
      <c r="J308" s="842" t="s">
        <v>1151</v>
      </c>
      <c r="K308" s="842">
        <v>460.9</v>
      </c>
      <c r="L308" s="842">
        <v>6379.1577292778102</v>
      </c>
      <c r="M308" s="847">
        <v>34512.154836337075</v>
      </c>
      <c r="N308" s="841">
        <v>1998</v>
      </c>
      <c r="O308" s="844">
        <v>0</v>
      </c>
      <c r="P308" s="844">
        <v>0</v>
      </c>
      <c r="Q308" s="842">
        <v>731.81427343078246</v>
      </c>
      <c r="R308" s="842">
        <v>607.62014914699739</v>
      </c>
      <c r="S308" s="852"/>
      <c r="T308" s="844">
        <v>0</v>
      </c>
      <c r="U308" s="842">
        <v>41020.32788860162</v>
      </c>
      <c r="V308" s="842"/>
      <c r="W308" s="844">
        <v>0</v>
      </c>
      <c r="X308" s="844"/>
      <c r="Y308" s="844">
        <v>0</v>
      </c>
      <c r="Z308" s="842">
        <v>1175.2567727028227</v>
      </c>
      <c r="AA308" s="842"/>
      <c r="AB308" s="842"/>
      <c r="AC308" s="842">
        <v>10236.967389892863</v>
      </c>
      <c r="AD308" s="843">
        <v>53771.98647377509</v>
      </c>
      <c r="AE308" s="853"/>
      <c r="AF308" s="841">
        <v>1998</v>
      </c>
      <c r="AG308" s="842">
        <v>1818.9019383406535</v>
      </c>
      <c r="AH308" s="842">
        <f>'1.4.1 MSFLR'!F208</f>
        <v>524.83610394573418</v>
      </c>
      <c r="AI308" s="842"/>
      <c r="AJ308" s="842">
        <v>30601.461736887359</v>
      </c>
      <c r="AK308" s="842">
        <v>9407.5666380051589</v>
      </c>
      <c r="AL308" s="842" t="s">
        <v>1151</v>
      </c>
      <c r="AM308" s="842">
        <v>230</v>
      </c>
      <c r="AN308" s="842">
        <v>3543.1268719592022</v>
      </c>
      <c r="AO308" s="843">
        <v>46125.893289138112</v>
      </c>
      <c r="AP308" s="853"/>
      <c r="AQ308" s="841">
        <v>1998</v>
      </c>
      <c r="AR308" s="842">
        <v>290.50709040852553</v>
      </c>
      <c r="AS308" s="844"/>
      <c r="AT308" s="844"/>
      <c r="AU308" s="842">
        <v>10113.843508168531</v>
      </c>
      <c r="AV308" s="842">
        <v>7788.4780739466878</v>
      </c>
      <c r="AW308" s="842" t="s">
        <v>1151</v>
      </c>
      <c r="AX308" s="842">
        <v>174.24</v>
      </c>
      <c r="AY308" s="842">
        <v>3144.0476081208467</v>
      </c>
      <c r="AZ308" s="843">
        <v>21511.116280644594</v>
      </c>
      <c r="BA308" s="823"/>
      <c r="BB308" s="841">
        <v>1998</v>
      </c>
      <c r="BC308" s="842">
        <v>3716.2341381013612</v>
      </c>
      <c r="BD308" s="842">
        <v>888.62615840259855</v>
      </c>
      <c r="BE308" s="842">
        <v>682.22141014617364</v>
      </c>
      <c r="BF308" s="842">
        <v>384.86672398968182</v>
      </c>
      <c r="BG308" s="844">
        <v>0</v>
      </c>
      <c r="BH308" s="916">
        <f t="shared" si="43"/>
        <v>55855.803955288051</v>
      </c>
      <c r="BI308" s="842">
        <v>27143.422184006879</v>
      </c>
      <c r="BJ308" s="842" t="s">
        <v>1151</v>
      </c>
      <c r="BK308" s="842"/>
      <c r="BL308" s="842">
        <v>865.14</v>
      </c>
      <c r="BM308" s="842">
        <v>66106.50440970216</v>
      </c>
      <c r="BN308" s="851">
        <v>155921.15087989491</v>
      </c>
    </row>
    <row r="309" spans="1:66" s="849" customFormat="1" ht="12" customHeight="1" x14ac:dyDescent="0.3">
      <c r="A309" s="845">
        <v>1999</v>
      </c>
      <c r="B309" s="846">
        <v>1353.4860278212193</v>
      </c>
      <c r="C309" s="842">
        <f>+'1.4.1 MSFLR'!C209+'1.4.1 MSFLR'!D209</f>
        <v>1034.9531384350817</v>
      </c>
      <c r="D309" s="846">
        <v>205.07308684436799</v>
      </c>
      <c r="E309" s="846">
        <v>0</v>
      </c>
      <c r="F309" s="846">
        <v>15203.353396388651</v>
      </c>
      <c r="G309" s="846">
        <v>9542.3903697334481</v>
      </c>
      <c r="H309" s="846"/>
      <c r="I309" s="846"/>
      <c r="J309" s="846">
        <v>1086.1661188306107</v>
      </c>
      <c r="K309" s="846">
        <v>283.2</v>
      </c>
      <c r="L309" s="846">
        <v>5374.2926994359959</v>
      </c>
      <c r="M309" s="847">
        <v>34221.86582631139</v>
      </c>
      <c r="N309" s="845">
        <v>1999</v>
      </c>
      <c r="O309" s="846">
        <v>0</v>
      </c>
      <c r="P309" s="846">
        <v>0</v>
      </c>
      <c r="Q309" s="846">
        <v>737.65326741186573</v>
      </c>
      <c r="R309" s="846">
        <v>632.31389741147257</v>
      </c>
      <c r="S309" s="846"/>
      <c r="T309" s="848">
        <v>0</v>
      </c>
      <c r="U309" s="846">
        <v>41398.592592669564</v>
      </c>
      <c r="V309" s="846"/>
      <c r="W309" s="848">
        <v>0</v>
      </c>
      <c r="X309" s="846"/>
      <c r="Y309" s="846">
        <v>0</v>
      </c>
      <c r="Z309" s="846">
        <v>1067.2426473404764</v>
      </c>
      <c r="AA309" s="846"/>
      <c r="AB309" s="846"/>
      <c r="AC309" s="846">
        <v>11017.294629624945</v>
      </c>
      <c r="AD309" s="847">
        <v>54853.097034458326</v>
      </c>
      <c r="AF309" s="845">
        <v>1999</v>
      </c>
      <c r="AG309" s="846">
        <v>1915.7779970188099</v>
      </c>
      <c r="AH309" s="842">
        <f>'1.4.1 MSFLR'!F209</f>
        <v>495.81131174166421</v>
      </c>
      <c r="AI309" s="846"/>
      <c r="AJ309" s="846">
        <v>30788.134135855544</v>
      </c>
      <c r="AK309" s="846">
        <v>9484.7807394668962</v>
      </c>
      <c r="AL309" s="846">
        <v>43.615256749785033</v>
      </c>
      <c r="AM309" s="846">
        <v>230.36199999999997</v>
      </c>
      <c r="AN309" s="846">
        <v>3162.3480387070458</v>
      </c>
      <c r="AO309" s="847">
        <v>46120.829479539738</v>
      </c>
      <c r="AQ309" s="845">
        <v>1999</v>
      </c>
      <c r="AR309" s="846">
        <v>189.01528873021516</v>
      </c>
      <c r="AS309" s="846"/>
      <c r="AT309" s="846"/>
      <c r="AU309" s="846">
        <v>9156.2338779019774</v>
      </c>
      <c r="AV309" s="846">
        <v>7986.1564918314725</v>
      </c>
      <c r="AW309" s="846">
        <v>1368.2208232158212</v>
      </c>
      <c r="AX309" s="846">
        <v>174.29999999999995</v>
      </c>
      <c r="AY309" s="846">
        <v>2463.9681997438693</v>
      </c>
      <c r="AZ309" s="847">
        <v>21337.894681423357</v>
      </c>
      <c r="BA309" s="850"/>
      <c r="BB309" s="845">
        <v>1999</v>
      </c>
      <c r="BC309" s="846">
        <v>3458.2793135702445</v>
      </c>
      <c r="BD309" s="846">
        <v>905.81350912391326</v>
      </c>
      <c r="BE309" s="846">
        <v>624.9509410528326</v>
      </c>
      <c r="BF309" s="846">
        <v>205.07308684436799</v>
      </c>
      <c r="BG309" s="846">
        <v>0</v>
      </c>
      <c r="BH309" s="916">
        <f t="shared" ref="BH309:BH327" si="44">F309+AJ309+AU309</f>
        <v>55147.721410146172</v>
      </c>
      <c r="BI309" s="846">
        <v>27750.980868443683</v>
      </c>
      <c r="BJ309" s="846">
        <v>2498.0021987962168</v>
      </c>
      <c r="BK309" s="842"/>
      <c r="BL309" s="846">
        <v>687.86199999999985</v>
      </c>
      <c r="BM309" s="846">
        <v>65116.052704933369</v>
      </c>
      <c r="BN309" s="847">
        <v>156533.6870217328</v>
      </c>
    </row>
    <row r="310" spans="1:66" ht="10.5" customHeight="1" x14ac:dyDescent="0.35">
      <c r="A310" s="841">
        <v>2000</v>
      </c>
      <c r="B310" s="842">
        <v>1227.7435056157328</v>
      </c>
      <c r="C310" s="842">
        <f>+'1.4.1 MSFLR'!C210+'1.4.1 MSFLR'!D210</f>
        <v>978.39280596159358</v>
      </c>
      <c r="D310" s="842">
        <v>216.2510748065348</v>
      </c>
      <c r="E310" s="844">
        <v>0</v>
      </c>
      <c r="F310" s="842">
        <v>15773.086844368012</v>
      </c>
      <c r="G310" s="842">
        <v>9811.9518486672405</v>
      </c>
      <c r="H310" s="842"/>
      <c r="I310" s="842"/>
      <c r="J310" s="842">
        <v>1099.4159071367155</v>
      </c>
      <c r="K310" s="842">
        <v>264.06</v>
      </c>
      <c r="L310" s="842">
        <v>6039.4734330869005</v>
      </c>
      <c r="M310" s="843">
        <v>35506.162178026221</v>
      </c>
      <c r="N310" s="841">
        <f t="shared" ref="N310:N328" si="45">A310</f>
        <v>2000</v>
      </c>
      <c r="O310" s="844">
        <v>0</v>
      </c>
      <c r="P310" s="844">
        <v>0</v>
      </c>
      <c r="Q310" s="842">
        <v>741.44453998280301</v>
      </c>
      <c r="R310" s="842">
        <v>638.84433108777409</v>
      </c>
      <c r="S310" s="852"/>
      <c r="T310" s="844"/>
      <c r="U310" s="842">
        <v>41070.65569657497</v>
      </c>
      <c r="V310" s="842"/>
      <c r="W310" s="844">
        <v>0</v>
      </c>
      <c r="X310" s="844"/>
      <c r="Y310" s="844">
        <v>0</v>
      </c>
      <c r="Z310" s="842">
        <v>1032.4496257317489</v>
      </c>
      <c r="AA310" s="842"/>
      <c r="AB310" s="854"/>
      <c r="AC310" s="842">
        <v>11977.722693369014</v>
      </c>
      <c r="AD310" s="843">
        <v>55461.116886746313</v>
      </c>
      <c r="AE310" s="823"/>
      <c r="AF310" s="841">
        <f>N310</f>
        <v>2000</v>
      </c>
      <c r="AG310" s="842">
        <v>1448.2970743317337</v>
      </c>
      <c r="AH310" s="842">
        <f>'1.4.1 MSFLR'!F210</f>
        <v>459.91774147320143</v>
      </c>
      <c r="AI310" s="842"/>
      <c r="AJ310" s="842">
        <v>31806.448839208941</v>
      </c>
      <c r="AK310" s="842">
        <v>9616.6809974204643</v>
      </c>
      <c r="AL310" s="842">
        <v>44.414961306964749</v>
      </c>
      <c r="AM310" s="842">
        <v>236.02500000000001</v>
      </c>
      <c r="AN310" s="842">
        <v>3239.3917008538378</v>
      </c>
      <c r="AO310" s="843">
        <v>46851.176314595155</v>
      </c>
      <c r="AP310" s="823"/>
      <c r="AQ310" s="841">
        <f t="shared" ref="AQ310:AQ328" si="46">AF310</f>
        <v>2000</v>
      </c>
      <c r="AR310" s="842">
        <v>57.151071998584968</v>
      </c>
      <c r="AS310" s="844"/>
      <c r="AT310" s="844"/>
      <c r="AU310" s="842">
        <v>9497.506448839209</v>
      </c>
      <c r="AV310" s="842">
        <v>8154.9441100601889</v>
      </c>
      <c r="AW310" s="842">
        <v>1371.0910576096303</v>
      </c>
      <c r="AX310" s="842">
        <v>171.98</v>
      </c>
      <c r="AY310" s="842">
        <v>2294.2147039860952</v>
      </c>
      <c r="AZ310" s="843">
        <v>21546.887392493703</v>
      </c>
      <c r="BA310" s="823"/>
      <c r="BB310" s="841">
        <f>AQ310</f>
        <v>2000</v>
      </c>
      <c r="BC310" s="842">
        <v>2733.1916519460515</v>
      </c>
      <c r="BD310" s="842">
        <v>848.11311741664281</v>
      </c>
      <c r="BE310" s="842">
        <v>590.19743001815209</v>
      </c>
      <c r="BF310" s="842">
        <v>216.2510748065348</v>
      </c>
      <c r="BG310" s="844">
        <v>0</v>
      </c>
      <c r="BH310" s="916">
        <f t="shared" si="44"/>
        <v>57077.042132416158</v>
      </c>
      <c r="BI310" s="842">
        <v>28325.021496130699</v>
      </c>
      <c r="BJ310" s="842">
        <v>2514.9219260533105</v>
      </c>
      <c r="BK310" s="842"/>
      <c r="BL310" s="842">
        <v>672.06500000000005</v>
      </c>
      <c r="BM310" s="842">
        <v>66292.752184690355</v>
      </c>
      <c r="BN310" s="843">
        <v>159365.34277186138</v>
      </c>
    </row>
    <row r="311" spans="1:66" ht="10.5" customHeight="1" x14ac:dyDescent="0.35">
      <c r="A311" s="841">
        <v>2001</v>
      </c>
      <c r="B311" s="842">
        <v>1194.9551082855403</v>
      </c>
      <c r="C311" s="842">
        <f>+'1.4.1 MSFLR'!C211+'1.4.1 MSFLR'!D211</f>
        <v>928.88480462405641</v>
      </c>
      <c r="D311" s="842">
        <v>154.25623387790196</v>
      </c>
      <c r="E311" s="844">
        <v>0</v>
      </c>
      <c r="F311" s="842">
        <v>15463.71453138435</v>
      </c>
      <c r="G311" s="842">
        <v>9573.3447979363718</v>
      </c>
      <c r="H311" s="842"/>
      <c r="I311" s="842"/>
      <c r="J311" s="842">
        <v>1001.2271281169391</v>
      </c>
      <c r="K311" s="842">
        <v>243.07</v>
      </c>
      <c r="L311" s="842">
        <v>6611.0456630972485</v>
      </c>
      <c r="M311" s="843">
        <v>35442.639281939773</v>
      </c>
      <c r="N311" s="841">
        <f t="shared" si="45"/>
        <v>2001</v>
      </c>
      <c r="O311" s="844">
        <v>0</v>
      </c>
      <c r="P311" s="844">
        <v>0</v>
      </c>
      <c r="Q311" s="842">
        <v>759.07136715391221</v>
      </c>
      <c r="R311" s="842">
        <v>664.25644356869179</v>
      </c>
      <c r="S311" s="852"/>
      <c r="T311" s="844"/>
      <c r="U311" s="842">
        <v>41096.560427636476</v>
      </c>
      <c r="V311" s="842"/>
      <c r="W311" s="844">
        <v>0</v>
      </c>
      <c r="X311" s="844"/>
      <c r="Y311" s="844">
        <v>0</v>
      </c>
      <c r="Z311" s="842">
        <v>843.88785290009378</v>
      </c>
      <c r="AA311" s="842"/>
      <c r="AB311" s="854"/>
      <c r="AC311" s="842">
        <v>11773.505351470245</v>
      </c>
      <c r="AD311" s="843">
        <v>55137.281442729422</v>
      </c>
      <c r="AE311" s="823"/>
      <c r="AF311" s="841">
        <f t="shared" ref="AF311:AF327" si="47">N311</f>
        <v>2001</v>
      </c>
      <c r="AG311" s="842">
        <v>1461.1878141354796</v>
      </c>
      <c r="AH311" s="842">
        <f>'1.4.1 MSFLR'!F211</f>
        <v>375.95848858316612</v>
      </c>
      <c r="AI311" s="842"/>
      <c r="AJ311" s="842">
        <v>32624.763542562338</v>
      </c>
      <c r="AK311" s="842">
        <v>9917.1969045571786</v>
      </c>
      <c r="AL311" s="842">
        <v>31.877487446259675</v>
      </c>
      <c r="AM311" s="842">
        <v>240.44</v>
      </c>
      <c r="AN311" s="842">
        <v>3526.9046276978524</v>
      </c>
      <c r="AO311" s="843">
        <v>48178.328864982279</v>
      </c>
      <c r="AP311" s="823"/>
      <c r="AQ311" s="841">
        <f t="shared" si="46"/>
        <v>2001</v>
      </c>
      <c r="AR311" s="842">
        <v>47.462079044206888</v>
      </c>
      <c r="AS311" s="844"/>
      <c r="AT311" s="844"/>
      <c r="AU311" s="842">
        <v>9725.7953568357698</v>
      </c>
      <c r="AV311" s="842">
        <v>8359.3293207222705</v>
      </c>
      <c r="AW311" s="842">
        <v>1294.078807394669</v>
      </c>
      <c r="AX311" s="842">
        <v>172.53000000000003</v>
      </c>
      <c r="AY311" s="842">
        <v>2568.2855818610378</v>
      </c>
      <c r="AZ311" s="843">
        <v>22167.481145857953</v>
      </c>
      <c r="BA311" s="823"/>
      <c r="BB311" s="841">
        <f t="shared" ref="BB311:BB327" si="48">AQ311</f>
        <v>2001</v>
      </c>
      <c r="BC311" s="842">
        <v>2703.6050014652265</v>
      </c>
      <c r="BD311" s="842">
        <v>766.27973631412999</v>
      </c>
      <c r="BE311" s="842">
        <v>538.56355689309248</v>
      </c>
      <c r="BF311" s="842">
        <v>154.25623387790196</v>
      </c>
      <c r="BG311" s="844">
        <v>0</v>
      </c>
      <c r="BH311" s="916">
        <f t="shared" si="44"/>
        <v>57814.273430782458</v>
      </c>
      <c r="BI311" s="842">
        <v>28608.942390369735</v>
      </c>
      <c r="BJ311" s="842">
        <v>2327.1834229578676</v>
      </c>
      <c r="BK311" s="842"/>
      <c r="BL311" s="842">
        <v>656.04</v>
      </c>
      <c r="BM311" s="842">
        <v>67084.445948231645</v>
      </c>
      <c r="BN311" s="843">
        <v>160925.73073550942</v>
      </c>
    </row>
    <row r="312" spans="1:66" ht="10.5" customHeight="1" x14ac:dyDescent="0.35">
      <c r="A312" s="841">
        <v>2002</v>
      </c>
      <c r="B312" s="842">
        <v>1185.6783218694509</v>
      </c>
      <c r="C312" s="842">
        <f>+'1.4.1 MSFLR'!C212+'1.4.1 MSFLR'!D212</f>
        <v>780.39250710778492</v>
      </c>
      <c r="D312" s="842">
        <v>78.182356285427431</v>
      </c>
      <c r="E312" s="844">
        <v>0</v>
      </c>
      <c r="F312" s="842">
        <v>14201.691417826749</v>
      </c>
      <c r="G312" s="842">
        <v>9472.7208284391436</v>
      </c>
      <c r="H312" s="842"/>
      <c r="I312" s="842"/>
      <c r="J312" s="842">
        <v>1320.6416165090284</v>
      </c>
      <c r="K312" s="842">
        <v>250.03</v>
      </c>
      <c r="L312" s="842">
        <v>6248.2606866719052</v>
      </c>
      <c r="M312" s="843">
        <v>33763.887609628349</v>
      </c>
      <c r="N312" s="841">
        <f t="shared" si="45"/>
        <v>2002</v>
      </c>
      <c r="O312" s="844">
        <v>0</v>
      </c>
      <c r="P312" s="844">
        <v>0</v>
      </c>
      <c r="Q312" s="842">
        <v>726.93742107954813</v>
      </c>
      <c r="R312" s="842">
        <v>661.6168549795301</v>
      </c>
      <c r="S312" s="852"/>
      <c r="T312" s="844"/>
      <c r="U312" s="842">
        <v>41936.080608409269</v>
      </c>
      <c r="V312" s="842"/>
      <c r="W312" s="844">
        <v>0</v>
      </c>
      <c r="X312" s="844"/>
      <c r="Y312" s="844">
        <v>0</v>
      </c>
      <c r="Z312" s="842">
        <v>702.45953225731046</v>
      </c>
      <c r="AA312" s="842"/>
      <c r="AB312" s="854"/>
      <c r="AC312" s="842">
        <v>11657.751483667444</v>
      </c>
      <c r="AD312" s="843">
        <v>55684.845900393098</v>
      </c>
      <c r="AE312" s="823"/>
      <c r="AF312" s="841">
        <f t="shared" si="47"/>
        <v>2002</v>
      </c>
      <c r="AG312" s="842">
        <v>1009.0795121455683</v>
      </c>
      <c r="AH312" s="842">
        <f>'1.4.1 MSFLR'!F212</f>
        <v>415.99404369808968</v>
      </c>
      <c r="AI312" s="842"/>
      <c r="AJ312" s="842">
        <v>32362.161876887574</v>
      </c>
      <c r="AK312" s="842">
        <v>10319.3815133276</v>
      </c>
      <c r="AL312" s="842">
        <v>33.190025795356831</v>
      </c>
      <c r="AM312" s="842">
        <v>243.34900000000002</v>
      </c>
      <c r="AN312" s="842">
        <v>3087.4552215727704</v>
      </c>
      <c r="AO312" s="843">
        <v>47470.611193426965</v>
      </c>
      <c r="AP312" s="823"/>
      <c r="AQ312" s="841">
        <f t="shared" si="46"/>
        <v>2002</v>
      </c>
      <c r="AR312" s="842">
        <v>14.474856226793907</v>
      </c>
      <c r="AS312" s="844"/>
      <c r="AT312" s="844"/>
      <c r="AU312" s="842">
        <v>8670.1263289244398</v>
      </c>
      <c r="AV312" s="842">
        <v>8148.3082900313048</v>
      </c>
      <c r="AW312" s="842">
        <v>730.05692175408421</v>
      </c>
      <c r="AX312" s="842">
        <v>188.27</v>
      </c>
      <c r="AY312" s="842">
        <v>1805.0881183871893</v>
      </c>
      <c r="AZ312" s="843">
        <v>19556.324515323813</v>
      </c>
      <c r="BA312" s="823"/>
      <c r="BB312" s="841">
        <f t="shared" si="48"/>
        <v>2002</v>
      </c>
      <c r="BC312" s="842">
        <v>2209.2326902418131</v>
      </c>
      <c r="BD312" s="842">
        <v>737.14766823171294</v>
      </c>
      <c r="BE312" s="842">
        <v>459.23888257416172</v>
      </c>
      <c r="BF312" s="842">
        <v>78.182356285427431</v>
      </c>
      <c r="BG312" s="844">
        <v>0</v>
      </c>
      <c r="BH312" s="916">
        <f t="shared" si="44"/>
        <v>55233.979623638763</v>
      </c>
      <c r="BI312" s="842">
        <v>28667.348052877598</v>
      </c>
      <c r="BJ312" s="842">
        <v>2083.8885640584695</v>
      </c>
      <c r="BK312" s="842"/>
      <c r="BL312" s="842">
        <v>681.649</v>
      </c>
      <c r="BM312" s="842">
        <v>66098.712505945412</v>
      </c>
      <c r="BN312" s="843">
        <v>156475.66921877224</v>
      </c>
    </row>
    <row r="313" spans="1:66" ht="10.5" customHeight="1" x14ac:dyDescent="0.35">
      <c r="A313" s="841">
        <v>2003</v>
      </c>
      <c r="B313" s="842">
        <v>1247.9660292310678</v>
      </c>
      <c r="C313" s="842">
        <f>+'1.4.1 MSFLR'!C213+'1.4.1 MSFLR'!D213</f>
        <v>754.17171955303093</v>
      </c>
      <c r="D313" s="842">
        <v>53.189439497637615</v>
      </c>
      <c r="E313" s="844">
        <v>0</v>
      </c>
      <c r="F313" s="842">
        <v>14292.024855908721</v>
      </c>
      <c r="G313" s="842">
        <v>9396.2491433873474</v>
      </c>
      <c r="H313" s="842"/>
      <c r="I313" s="842"/>
      <c r="J313" s="842">
        <v>1128.3124710266552</v>
      </c>
      <c r="K313" s="842">
        <v>266.69</v>
      </c>
      <c r="L313" s="842">
        <v>6899.2176642987397</v>
      </c>
      <c r="M313" s="843">
        <v>34074.19348748801</v>
      </c>
      <c r="N313" s="841">
        <f t="shared" si="45"/>
        <v>2003</v>
      </c>
      <c r="O313" s="844">
        <v>0</v>
      </c>
      <c r="P313" s="844">
        <v>0</v>
      </c>
      <c r="Q313" s="842">
        <v>706.1405644624125</v>
      </c>
      <c r="R313" s="842">
        <v>666.90825068050117</v>
      </c>
      <c r="S313" s="852"/>
      <c r="T313" s="844"/>
      <c r="U313" s="842">
        <v>41822.642350399277</v>
      </c>
      <c r="V313" s="842"/>
      <c r="W313" s="844">
        <v>0</v>
      </c>
      <c r="X313" s="844"/>
      <c r="Y313" s="844">
        <v>0</v>
      </c>
      <c r="Z313" s="842">
        <v>1234.3120493422707</v>
      </c>
      <c r="AA313" s="842"/>
      <c r="AB313" s="854"/>
      <c r="AC313" s="842">
        <v>11935.784293723171</v>
      </c>
      <c r="AD313" s="843">
        <v>56365.787508607631</v>
      </c>
      <c r="AE313" s="823"/>
      <c r="AF313" s="841">
        <f t="shared" si="47"/>
        <v>2003</v>
      </c>
      <c r="AG313" s="842">
        <v>812.73438969953281</v>
      </c>
      <c r="AH313" s="842">
        <f>'1.4.1 MSFLR'!F213</f>
        <v>346.21414116260803</v>
      </c>
      <c r="AI313" s="842"/>
      <c r="AJ313" s="842">
        <v>33231.838631292419</v>
      </c>
      <c r="AK313" s="842">
        <v>10576.161332760103</v>
      </c>
      <c r="AL313" s="842">
        <v>10.834049871023215</v>
      </c>
      <c r="AM313" s="842">
        <v>247.06</v>
      </c>
      <c r="AN313" s="842">
        <v>3068.1835672143725</v>
      </c>
      <c r="AO313" s="843">
        <v>48293.026112000058</v>
      </c>
      <c r="AP313" s="823"/>
      <c r="AQ313" s="841">
        <f t="shared" si="46"/>
        <v>2003</v>
      </c>
      <c r="AR313" s="842">
        <v>17.346023927125916</v>
      </c>
      <c r="AS313" s="844"/>
      <c r="AT313" s="844"/>
      <c r="AU313" s="842">
        <v>9177.4818375428567</v>
      </c>
      <c r="AV313" s="842">
        <v>8231.0327487550876</v>
      </c>
      <c r="AW313" s="842">
        <v>647.73727171109203</v>
      </c>
      <c r="AX313" s="842">
        <v>196.02000000000004</v>
      </c>
      <c r="AY313" s="842">
        <v>1144.512716071772</v>
      </c>
      <c r="AZ313" s="843">
        <v>19414.130598007934</v>
      </c>
      <c r="BA313" s="823"/>
      <c r="BB313" s="841">
        <f t="shared" si="48"/>
        <v>2003</v>
      </c>
      <c r="BC313" s="842">
        <v>2078.0464428577266</v>
      </c>
      <c r="BD313" s="842">
        <v>680.13815637045479</v>
      </c>
      <c r="BE313" s="842">
        <v>420.24770434518416</v>
      </c>
      <c r="BF313" s="842">
        <v>53.189439497637615</v>
      </c>
      <c r="BG313" s="844">
        <v>0</v>
      </c>
      <c r="BH313" s="916">
        <f t="shared" si="44"/>
        <v>56701.345324743997</v>
      </c>
      <c r="BI313" s="842">
        <v>28909.583789364951</v>
      </c>
      <c r="BJ313" s="842">
        <v>1786.8837926087704</v>
      </c>
      <c r="BK313" s="842"/>
      <c r="BL313" s="842">
        <v>709.77</v>
      </c>
      <c r="BM313" s="842">
        <v>66771.5608917301</v>
      </c>
      <c r="BN313" s="843">
        <v>158147.13770610362</v>
      </c>
    </row>
    <row r="314" spans="1:66" ht="10.5" customHeight="1" x14ac:dyDescent="0.35">
      <c r="A314" s="841">
        <v>2004</v>
      </c>
      <c r="B314" s="842">
        <v>1235.2520132036436</v>
      </c>
      <c r="C314" s="842">
        <f>+'1.4.1 MSFLR'!C214+'1.4.1 MSFLR'!D214</f>
        <v>739.3708966462749</v>
      </c>
      <c r="D314" s="842">
        <v>67.499392691315592</v>
      </c>
      <c r="E314" s="844">
        <v>0</v>
      </c>
      <c r="F314" s="842">
        <v>13237.600393465918</v>
      </c>
      <c r="G314" s="842">
        <v>9584.4690528171723</v>
      </c>
      <c r="H314" s="842"/>
      <c r="I314" s="842"/>
      <c r="J314" s="842">
        <v>832.34041616509035</v>
      </c>
      <c r="K314" s="842">
        <v>265.24</v>
      </c>
      <c r="L314" s="842">
        <v>6918.4197487788297</v>
      </c>
      <c r="M314" s="843">
        <v>32912.437611279856</v>
      </c>
      <c r="N314" s="841">
        <f t="shared" si="45"/>
        <v>2004</v>
      </c>
      <c r="O314" s="844">
        <v>0</v>
      </c>
      <c r="P314" s="844">
        <v>0</v>
      </c>
      <c r="Q314" s="842">
        <v>347.27518906870904</v>
      </c>
      <c r="R314" s="842">
        <v>699.9363356079009</v>
      </c>
      <c r="S314" s="852"/>
      <c r="T314" s="844">
        <v>1.6167956434508455</v>
      </c>
      <c r="U314" s="842">
        <v>42220.851529002073</v>
      </c>
      <c r="V314" s="842"/>
      <c r="W314" s="844">
        <v>0</v>
      </c>
      <c r="X314" s="844"/>
      <c r="Y314" s="844">
        <v>0</v>
      </c>
      <c r="Z314" s="842">
        <v>1195.9810932255584</v>
      </c>
      <c r="AA314" s="842"/>
      <c r="AB314" s="854"/>
      <c r="AC314" s="842">
        <v>12908.480266541383</v>
      </c>
      <c r="AD314" s="843">
        <v>57374.141209089074</v>
      </c>
      <c r="AE314" s="823"/>
      <c r="AF314" s="841">
        <f t="shared" si="47"/>
        <v>2004</v>
      </c>
      <c r="AG314" s="842">
        <v>732.88776659346036</v>
      </c>
      <c r="AH314" s="842">
        <f>'1.4.1 MSFLR'!F214</f>
        <v>266.50563777087189</v>
      </c>
      <c r="AI314" s="842"/>
      <c r="AJ314" s="842">
        <v>34085.185408355013</v>
      </c>
      <c r="AK314" s="842">
        <v>10679.318075124678</v>
      </c>
      <c r="AL314" s="842">
        <v>51.934651762682712</v>
      </c>
      <c r="AM314" s="842">
        <v>251.65</v>
      </c>
      <c r="AN314" s="842">
        <v>3265.3271867418698</v>
      </c>
      <c r="AO314" s="843">
        <v>49332.80872634858</v>
      </c>
      <c r="AP314" s="823"/>
      <c r="AQ314" s="841">
        <f t="shared" si="46"/>
        <v>2004</v>
      </c>
      <c r="AR314" s="842">
        <v>19.401737493269682</v>
      </c>
      <c r="AS314" s="844"/>
      <c r="AT314" s="844"/>
      <c r="AU314" s="842">
        <v>9757.0868479995497</v>
      </c>
      <c r="AV314" s="842">
        <v>8531.5689298654725</v>
      </c>
      <c r="AW314" s="842">
        <v>373.31008168529667</v>
      </c>
      <c r="AX314" s="842">
        <v>197.68000000000004</v>
      </c>
      <c r="AY314" s="842">
        <v>1437.7909332977506</v>
      </c>
      <c r="AZ314" s="843">
        <v>20316.838530341338</v>
      </c>
      <c r="BA314" s="823"/>
      <c r="BB314" s="841">
        <f t="shared" si="48"/>
        <v>2004</v>
      </c>
      <c r="BC314" s="842">
        <v>1987.5415172903736</v>
      </c>
      <c r="BD314" s="842">
        <v>595.35117516395906</v>
      </c>
      <c r="BE314" s="842">
        <v>410.52535925318773</v>
      </c>
      <c r="BF314" s="842">
        <v>67.499392691315592</v>
      </c>
      <c r="BG314" s="844">
        <v>0</v>
      </c>
      <c r="BH314" s="916">
        <f t="shared" si="44"/>
        <v>57079.872649820478</v>
      </c>
      <c r="BI314" s="842">
        <v>29144.248042519484</v>
      </c>
      <c r="BJ314" s="842">
        <v>1257.5851496130697</v>
      </c>
      <c r="BK314" s="842"/>
      <c r="BL314" s="842">
        <v>714.57</v>
      </c>
      <c r="BM314" s="842">
        <v>68646.787093195366</v>
      </c>
      <c r="BN314" s="843">
        <v>159936.22607705885</v>
      </c>
    </row>
    <row r="315" spans="1:66" ht="10.5" customHeight="1" x14ac:dyDescent="0.35">
      <c r="A315" s="841">
        <v>2005</v>
      </c>
      <c r="B315" s="842">
        <v>1179.9244306020712</v>
      </c>
      <c r="C315" s="842">
        <f>+'1.4.1 MSFLR'!C215+'1.4.1 MSFLR'!D215</f>
        <v>705.43169095235021</v>
      </c>
      <c r="D315" s="842">
        <v>78.515824180567449</v>
      </c>
      <c r="E315" s="844">
        <v>0</v>
      </c>
      <c r="F315" s="842">
        <v>13021.582487031812</v>
      </c>
      <c r="G315" s="842">
        <v>9976.2745144353157</v>
      </c>
      <c r="H315" s="842"/>
      <c r="I315" s="842"/>
      <c r="J315" s="842">
        <v>830.50753787745134</v>
      </c>
      <c r="K315" s="842">
        <v>200.76085640426902</v>
      </c>
      <c r="L315" s="842">
        <v>6282.1847243872035</v>
      </c>
      <c r="M315" s="843">
        <v>32303.189892445414</v>
      </c>
      <c r="N315" s="841">
        <f t="shared" si="45"/>
        <v>2005</v>
      </c>
      <c r="O315" s="844">
        <v>2.9164341061883712</v>
      </c>
      <c r="P315" s="844">
        <v>0</v>
      </c>
      <c r="Q315" s="842">
        <v>347.39853777503276</v>
      </c>
      <c r="R315" s="842">
        <v>633.78887902364977</v>
      </c>
      <c r="S315" s="852"/>
      <c r="T315" s="844">
        <v>1.6468902264259102</v>
      </c>
      <c r="U315" s="842">
        <v>42506.75881608497</v>
      </c>
      <c r="V315" s="842">
        <v>74.051215618694485</v>
      </c>
      <c r="W315" s="844">
        <v>0</v>
      </c>
      <c r="X315" s="844"/>
      <c r="Y315" s="844">
        <v>0</v>
      </c>
      <c r="Z315" s="842">
        <v>1370.3128880699489</v>
      </c>
      <c r="AA315" s="842"/>
      <c r="AB315" s="854"/>
      <c r="AC315" s="842">
        <v>13856.29347654933</v>
      </c>
      <c r="AD315" s="843">
        <v>58793.167137454249</v>
      </c>
      <c r="AE315" s="823"/>
      <c r="AF315" s="841">
        <f t="shared" si="47"/>
        <v>2005</v>
      </c>
      <c r="AG315" s="842">
        <v>473.78242069329252</v>
      </c>
      <c r="AH315" s="842">
        <f>'1.4.1 MSFLR'!F215</f>
        <v>223.46497686388119</v>
      </c>
      <c r="AI315" s="842"/>
      <c r="AJ315" s="842">
        <v>32835.681148755371</v>
      </c>
      <c r="AK315" s="842">
        <v>10809.212209802234</v>
      </c>
      <c r="AL315" s="842">
        <v>51.934651762682712</v>
      </c>
      <c r="AM315" s="842">
        <v>317.80096206411804</v>
      </c>
      <c r="AN315" s="842">
        <v>3093.5455413799227</v>
      </c>
      <c r="AO315" s="843">
        <v>47805.4219113215</v>
      </c>
      <c r="AP315" s="823"/>
      <c r="AQ315" s="841">
        <f t="shared" si="46"/>
        <v>2005</v>
      </c>
      <c r="AR315" s="842">
        <v>38.095509913882537</v>
      </c>
      <c r="AS315" s="844"/>
      <c r="AT315" s="844"/>
      <c r="AU315" s="842">
        <v>9526.3268911176474</v>
      </c>
      <c r="AV315" s="842">
        <v>8846.092462007502</v>
      </c>
      <c r="AW315" s="842">
        <v>385.53377730008589</v>
      </c>
      <c r="AX315" s="842">
        <v>204.89309555492798</v>
      </c>
      <c r="AY315" s="842">
        <v>1773.4799151017687</v>
      </c>
      <c r="AZ315" s="843">
        <v>20774.421650995817</v>
      </c>
      <c r="BA315" s="823"/>
      <c r="BB315" s="841">
        <f t="shared" si="48"/>
        <v>2005</v>
      </c>
      <c r="BC315" s="842">
        <v>1694.7187953154346</v>
      </c>
      <c r="BD315" s="842">
        <v>559.21978121715858</v>
      </c>
      <c r="BE315" s="842">
        <v>369.67688659907287</v>
      </c>
      <c r="BF315" s="842">
        <v>78.515824180567449</v>
      </c>
      <c r="BG315" s="844">
        <v>0</v>
      </c>
      <c r="BH315" s="916">
        <f t="shared" si="44"/>
        <v>55383.590526904831</v>
      </c>
      <c r="BI315" s="842">
        <v>29980.62461424651</v>
      </c>
      <c r="BJ315" s="842">
        <v>1267.9759669402199</v>
      </c>
      <c r="BK315" s="842"/>
      <c r="BL315" s="842">
        <v>797.50612964200957</v>
      </c>
      <c r="BM315" s="842">
        <v>69516.364240596784</v>
      </c>
      <c r="BN315" s="843">
        <v>159676.20059221698</v>
      </c>
    </row>
    <row r="316" spans="1:66" ht="10.5" customHeight="1" x14ac:dyDescent="0.35">
      <c r="A316" s="841">
        <v>2006</v>
      </c>
      <c r="B316" s="842">
        <v>1163.6484360418717</v>
      </c>
      <c r="C316" s="842">
        <f>+'1.4.1 MSFLR'!C216+'1.4.1 MSFLR'!D216</f>
        <v>665.40904418069977</v>
      </c>
      <c r="D316" s="842">
        <v>106.23725760963013</v>
      </c>
      <c r="E316" s="844">
        <v>0</v>
      </c>
      <c r="F316" s="842">
        <v>12428.286430306776</v>
      </c>
      <c r="G316" s="842">
        <v>9879.3033502618928</v>
      </c>
      <c r="H316" s="842"/>
      <c r="I316" s="842"/>
      <c r="J316" s="842">
        <v>808.93292777300076</v>
      </c>
      <c r="K316" s="842">
        <v>213.48946654426669</v>
      </c>
      <c r="L316" s="842">
        <v>6099.3517627279189</v>
      </c>
      <c r="M316" s="843">
        <v>31442.201843310198</v>
      </c>
      <c r="N316" s="841">
        <f t="shared" si="45"/>
        <v>2006</v>
      </c>
      <c r="O316" s="844">
        <v>13.707240299085345</v>
      </c>
      <c r="P316" s="844">
        <v>0</v>
      </c>
      <c r="Q316" s="842">
        <v>342.47504655357915</v>
      </c>
      <c r="R316" s="842">
        <v>631.88356881114021</v>
      </c>
      <c r="S316" s="852"/>
      <c r="T316" s="844">
        <v>1.6139294926913157</v>
      </c>
      <c r="U316" s="842">
        <v>42512.640559712221</v>
      </c>
      <c r="V316" s="842">
        <v>187.79203607410454</v>
      </c>
      <c r="W316" s="844">
        <v>0</v>
      </c>
      <c r="X316" s="844"/>
      <c r="Y316" s="844">
        <v>0</v>
      </c>
      <c r="Z316" s="842">
        <v>1812.2867055712352</v>
      </c>
      <c r="AA316" s="842"/>
      <c r="AB316" s="854"/>
      <c r="AC316" s="842">
        <v>13999.047372228359</v>
      </c>
      <c r="AD316" s="843">
        <v>59501.446458742415</v>
      </c>
      <c r="AE316" s="823"/>
      <c r="AF316" s="841">
        <f t="shared" si="47"/>
        <v>2006</v>
      </c>
      <c r="AG316" s="842">
        <v>426.03157813197453</v>
      </c>
      <c r="AH316" s="842">
        <f>'1.4.1 MSFLR'!F216</f>
        <v>215.75994705205565</v>
      </c>
      <c r="AI316" s="842"/>
      <c r="AJ316" s="842">
        <v>31550.130632644225</v>
      </c>
      <c r="AK316" s="842">
        <v>10722.606978180804</v>
      </c>
      <c r="AL316" s="842">
        <v>51.934651762682712</v>
      </c>
      <c r="AM316" s="842">
        <v>357.90954169533995</v>
      </c>
      <c r="AN316" s="842">
        <v>3250.7735213187925</v>
      </c>
      <c r="AO316" s="843">
        <v>46575.146850785881</v>
      </c>
      <c r="AP316" s="823"/>
      <c r="AQ316" s="841">
        <f t="shared" si="46"/>
        <v>2006</v>
      </c>
      <c r="AR316" s="842">
        <v>23.891277612025167</v>
      </c>
      <c r="AS316" s="844"/>
      <c r="AT316" s="844"/>
      <c r="AU316" s="842">
        <v>8654.6472234467547</v>
      </c>
      <c r="AV316" s="842">
        <v>8738.3724777961161</v>
      </c>
      <c r="AW316" s="842">
        <v>383.89735597592437</v>
      </c>
      <c r="AX316" s="842">
        <v>192.42807477786357</v>
      </c>
      <c r="AY316" s="842">
        <v>1529.6486932978787</v>
      </c>
      <c r="AZ316" s="843">
        <v>19522.885102906563</v>
      </c>
      <c r="BA316" s="823"/>
      <c r="BB316" s="841">
        <f t="shared" si="48"/>
        <v>2006</v>
      </c>
      <c r="BC316" s="842">
        <v>1627.2785320849566</v>
      </c>
      <c r="BD316" s="842">
        <v>503.5152097055086</v>
      </c>
      <c r="BE316" s="842">
        <v>377.65378152724679</v>
      </c>
      <c r="BF316" s="842">
        <v>106.23725760963013</v>
      </c>
      <c r="BG316" s="844">
        <v>0</v>
      </c>
      <c r="BH316" s="916">
        <f t="shared" si="44"/>
        <v>52633.064286397755</v>
      </c>
      <c r="BI316" s="842">
        <v>29684.371782285081</v>
      </c>
      <c r="BJ316" s="842">
        <v>1244.7649355116077</v>
      </c>
      <c r="BK316" s="842"/>
      <c r="BL316" s="842">
        <v>951.61911909157482</v>
      </c>
      <c r="BM316" s="842">
        <v>69835.632183667534</v>
      </c>
      <c r="BN316" s="843">
        <v>157041.68025574504</v>
      </c>
    </row>
    <row r="317" spans="1:66" ht="10.45" customHeight="1" x14ac:dyDescent="0.35">
      <c r="A317" s="841">
        <v>2007</v>
      </c>
      <c r="B317" s="842">
        <v>1268.4052921213993</v>
      </c>
      <c r="C317" s="842">
        <f>+'1.4.1 MSFLR'!C217+'1.4.1 MSFLR'!D217</f>
        <v>690.07982412553224</v>
      </c>
      <c r="D317" s="842">
        <v>101.27890689595874</v>
      </c>
      <c r="E317" s="844">
        <v>0</v>
      </c>
      <c r="F317" s="842">
        <v>11466.075649125158</v>
      </c>
      <c r="G317" s="842">
        <v>9699.0105405461327</v>
      </c>
      <c r="H317" s="842"/>
      <c r="I317" s="842"/>
      <c r="J317" s="842">
        <v>895.84403783318999</v>
      </c>
      <c r="K317" s="842">
        <v>276.33064723402265</v>
      </c>
      <c r="L317" s="842">
        <v>6095.3471147107966</v>
      </c>
      <c r="M317" s="843">
        <v>30540.28267870397</v>
      </c>
      <c r="N317" s="841">
        <f t="shared" si="45"/>
        <v>2007</v>
      </c>
      <c r="O317" s="844">
        <v>13.707240299085345</v>
      </c>
      <c r="P317" s="844">
        <v>0</v>
      </c>
      <c r="Q317" s="842">
        <v>339.04935600162639</v>
      </c>
      <c r="R317" s="842">
        <v>646.35966658753659</v>
      </c>
      <c r="S317" s="852"/>
      <c r="T317" s="844">
        <v>1.5835482946402981</v>
      </c>
      <c r="U317" s="842">
        <v>42884.399591435002</v>
      </c>
      <c r="V317" s="842">
        <v>361.69050647440218</v>
      </c>
      <c r="W317" s="844">
        <v>0</v>
      </c>
      <c r="X317" s="844"/>
      <c r="Y317" s="844">
        <v>0</v>
      </c>
      <c r="Z317" s="842">
        <v>1618.174755405485</v>
      </c>
      <c r="AA317" s="842"/>
      <c r="AB317" s="854"/>
      <c r="AC317" s="842">
        <v>13905.964685498055</v>
      </c>
      <c r="AD317" s="843">
        <v>59770.929349995822</v>
      </c>
      <c r="AE317" s="823"/>
      <c r="AF317" s="841">
        <f t="shared" si="47"/>
        <v>2007</v>
      </c>
      <c r="AG317" s="842">
        <v>487.09548419463022</v>
      </c>
      <c r="AH317" s="842">
        <f>'1.4.1 MSFLR'!F217</f>
        <v>193.02716558069034</v>
      </c>
      <c r="AI317" s="842"/>
      <c r="AJ317" s="842">
        <v>30341.178864337828</v>
      </c>
      <c r="AK317" s="842">
        <v>10582.633366813881</v>
      </c>
      <c r="AL317" s="842">
        <v>51.934651762682712</v>
      </c>
      <c r="AM317" s="842">
        <v>399.72912132656188</v>
      </c>
      <c r="AN317" s="842">
        <v>2876.8254619473687</v>
      </c>
      <c r="AO317" s="843">
        <v>44932.424115963644</v>
      </c>
      <c r="AP317" s="823"/>
      <c r="AQ317" s="841">
        <f t="shared" si="46"/>
        <v>2007</v>
      </c>
      <c r="AR317" s="842">
        <v>18.552191091532578</v>
      </c>
      <c r="AS317" s="844"/>
      <c r="AT317" s="844"/>
      <c r="AU317" s="842">
        <v>8153.6798193937975</v>
      </c>
      <c r="AV317" s="842">
        <v>8754.8828137297987</v>
      </c>
      <c r="AW317" s="842">
        <v>390.20266552020632</v>
      </c>
      <c r="AX317" s="842">
        <v>197.66223108436361</v>
      </c>
      <c r="AY317" s="842">
        <v>1500.8061320957618</v>
      </c>
      <c r="AZ317" s="843">
        <v>19015.785852915458</v>
      </c>
      <c r="BA317" s="823"/>
      <c r="BB317" s="841">
        <f t="shared" si="48"/>
        <v>2007</v>
      </c>
      <c r="BC317" s="842">
        <v>1787.7602077066474</v>
      </c>
      <c r="BD317" s="842">
        <v>523.6359176459348</v>
      </c>
      <c r="BE317" s="842">
        <v>359.47107206028772</v>
      </c>
      <c r="BF317" s="842">
        <v>101.27890689595874</v>
      </c>
      <c r="BG317" s="844">
        <v>0</v>
      </c>
      <c r="BH317" s="916">
        <f t="shared" si="44"/>
        <v>49960.934332856777</v>
      </c>
      <c r="BI317" s="842">
        <v>29377.159625386077</v>
      </c>
      <c r="BJ317" s="842">
        <v>1337.9813551160792</v>
      </c>
      <c r="BK317" s="842"/>
      <c r="BL317" s="842">
        <v>1235.4125061193504</v>
      </c>
      <c r="BM317" s="842">
        <v>69527.877407680004</v>
      </c>
      <c r="BN317" s="843">
        <v>154259.4219975789</v>
      </c>
    </row>
    <row r="318" spans="1:66" s="838" customFormat="1" ht="10.5" customHeight="1" x14ac:dyDescent="0.35">
      <c r="A318" s="841">
        <v>2008</v>
      </c>
      <c r="B318" s="842">
        <v>1296.1614753611334</v>
      </c>
      <c r="C318" s="842">
        <f>+'1.4.1 MSFLR'!C218+'1.4.1 MSFLR'!D218</f>
        <v>616.68896817758764</v>
      </c>
      <c r="D318" s="842">
        <v>92.10906796128927</v>
      </c>
      <c r="E318" s="844">
        <v>0</v>
      </c>
      <c r="F318" s="842">
        <v>11029.70743779055</v>
      </c>
      <c r="G318" s="842">
        <v>9815.2112752107187</v>
      </c>
      <c r="H318" s="842"/>
      <c r="I318" s="842"/>
      <c r="J318" s="842">
        <v>1020.7031470335338</v>
      </c>
      <c r="K318" s="842">
        <v>414.24453862492618</v>
      </c>
      <c r="L318" s="842">
        <v>5895.148580583098</v>
      </c>
      <c r="M318" s="847">
        <v>30219.599863619296</v>
      </c>
      <c r="N318" s="841">
        <f t="shared" si="45"/>
        <v>2008</v>
      </c>
      <c r="O318" s="844">
        <v>13.508924216531584</v>
      </c>
      <c r="P318" s="844">
        <v>0</v>
      </c>
      <c r="Q318" s="842">
        <v>338.39222685054204</v>
      </c>
      <c r="R318" s="842">
        <v>657.63881542775198</v>
      </c>
      <c r="S318" s="852"/>
      <c r="T318" s="844">
        <v>1.5666380051590716</v>
      </c>
      <c r="U318" s="842">
        <v>41097.674345032428</v>
      </c>
      <c r="V318" s="842">
        <v>844.50717934176851</v>
      </c>
      <c r="W318" s="844">
        <v>0</v>
      </c>
      <c r="X318" s="844"/>
      <c r="Y318" s="844">
        <v>0</v>
      </c>
      <c r="Z318" s="842">
        <v>1013.9336826750556</v>
      </c>
      <c r="AA318" s="842"/>
      <c r="AB318" s="842"/>
      <c r="AC318" s="842">
        <v>13426.090093550307</v>
      </c>
      <c r="AD318" s="843">
        <v>57393.311905099545</v>
      </c>
      <c r="AE318" s="853"/>
      <c r="AF318" s="841">
        <f t="shared" si="47"/>
        <v>2008</v>
      </c>
      <c r="AG318" s="842">
        <v>514.72227816375698</v>
      </c>
      <c r="AH318" s="842">
        <f>'1.4.1 MSFLR'!F218</f>
        <v>237.95887073090898</v>
      </c>
      <c r="AI318" s="842"/>
      <c r="AJ318" s="842">
        <v>30916.063435096061</v>
      </c>
      <c r="AK318" s="842">
        <v>10300.945829750643</v>
      </c>
      <c r="AL318" s="842">
        <v>51.934651762682712</v>
      </c>
      <c r="AM318" s="842">
        <v>942.8402779293865</v>
      </c>
      <c r="AN318" s="842">
        <v>3033.4603866455491</v>
      </c>
      <c r="AO318" s="843">
        <v>45997.925730078983</v>
      </c>
      <c r="AP318" s="853"/>
      <c r="AQ318" s="841">
        <f t="shared" si="46"/>
        <v>2008</v>
      </c>
      <c r="AR318" s="842">
        <v>20.791580985890505</v>
      </c>
      <c r="AS318" s="844"/>
      <c r="AT318" s="844"/>
      <c r="AU318" s="842">
        <v>9556.56977727708</v>
      </c>
      <c r="AV318" s="842">
        <v>8935.2951308749507</v>
      </c>
      <c r="AW318" s="842">
        <v>392.82619948409285</v>
      </c>
      <c r="AX318" s="842">
        <v>228.80737812631514</v>
      </c>
      <c r="AY318" s="842">
        <v>1411.1033710794227</v>
      </c>
      <c r="AZ318" s="843">
        <v>20545.393437827752</v>
      </c>
      <c r="BA318" s="823"/>
      <c r="BB318" s="841">
        <f t="shared" si="48"/>
        <v>2008</v>
      </c>
      <c r="BC318" s="842">
        <v>1845.1842587273125</v>
      </c>
      <c r="BD318" s="842">
        <v>451.56540229544879</v>
      </c>
      <c r="BE318" s="842">
        <v>403.08243661304783</v>
      </c>
      <c r="BF318" s="842">
        <v>92.10906796128927</v>
      </c>
      <c r="BG318" s="844">
        <v>0</v>
      </c>
      <c r="BH318" s="916">
        <f t="shared" si="44"/>
        <v>51502.340650163693</v>
      </c>
      <c r="BI318" s="842">
        <v>29391.41110069201</v>
      </c>
      <c r="BJ318" s="842">
        <v>1465.4639982803092</v>
      </c>
      <c r="BK318" s="842"/>
      <c r="BL318" s="842">
        <v>2430.3993740223964</v>
      </c>
      <c r="BM318" s="842">
        <v>66535.049274993624</v>
      </c>
      <c r="BN318" s="851">
        <v>154156.23093662559</v>
      </c>
    </row>
    <row r="319" spans="1:66" s="849" customFormat="1" ht="10.5" customHeight="1" x14ac:dyDescent="0.3">
      <c r="A319" s="845">
        <v>2009</v>
      </c>
      <c r="B319" s="846">
        <v>1151.7584715571911</v>
      </c>
      <c r="C319" s="842">
        <f>+'1.4.1 MSFLR'!C219+'1.4.1 MSFLR'!D219</f>
        <v>407.01188236227983</v>
      </c>
      <c r="D319" s="846">
        <v>48.512382649096985</v>
      </c>
      <c r="E319" s="848">
        <v>0</v>
      </c>
      <c r="F319" s="846">
        <v>9145.6240566431479</v>
      </c>
      <c r="G319" s="846">
        <v>8575.9230031542011</v>
      </c>
      <c r="H319" s="846"/>
      <c r="I319" s="846"/>
      <c r="J319" s="846">
        <v>762.83546345657783</v>
      </c>
      <c r="K319" s="846">
        <v>415.02565744561963</v>
      </c>
      <c r="L319" s="846">
        <v>5151.591369515143</v>
      </c>
      <c r="M319" s="847">
        <v>25687.284656385735</v>
      </c>
      <c r="N319" s="845">
        <f t="shared" si="45"/>
        <v>2009</v>
      </c>
      <c r="O319" s="846">
        <v>13.475871536105958</v>
      </c>
      <c r="P319" s="848">
        <v>0</v>
      </c>
      <c r="Q319" s="846">
        <v>346.76954770434816</v>
      </c>
      <c r="R319" s="846">
        <v>656.1633436593853</v>
      </c>
      <c r="S319" s="846"/>
      <c r="T319" s="848">
        <v>1.547434795070221</v>
      </c>
      <c r="U319" s="846">
        <v>39634.889832559536</v>
      </c>
      <c r="V319" s="846">
        <v>1038.4891526573133</v>
      </c>
      <c r="W319" s="848">
        <v>0</v>
      </c>
      <c r="X319" s="848"/>
      <c r="Y319" s="848">
        <v>0</v>
      </c>
      <c r="Z319" s="846">
        <v>950.87776726193215</v>
      </c>
      <c r="AA319" s="846"/>
      <c r="AB319" s="846"/>
      <c r="AC319" s="846">
        <v>12751.302537523068</v>
      </c>
      <c r="AD319" s="847">
        <v>55393.515487696757</v>
      </c>
      <c r="AF319" s="845">
        <f t="shared" si="47"/>
        <v>2009</v>
      </c>
      <c r="AG319" s="846">
        <v>514.23942590770287</v>
      </c>
      <c r="AH319" s="842">
        <f>'1.4.1 MSFLR'!F219</f>
        <v>199.11039195703503</v>
      </c>
      <c r="AI319" s="846"/>
      <c r="AJ319" s="846">
        <v>29681.796042715046</v>
      </c>
      <c r="AK319" s="846">
        <v>10192.673546235867</v>
      </c>
      <c r="AL319" s="846">
        <v>51.934651762682712</v>
      </c>
      <c r="AM319" s="846">
        <v>1031.8659177626284</v>
      </c>
      <c r="AN319" s="846">
        <v>3013.1351100927232</v>
      </c>
      <c r="AO319" s="847">
        <v>44684.755086433681</v>
      </c>
      <c r="AQ319" s="845">
        <f t="shared" si="46"/>
        <v>2009</v>
      </c>
      <c r="AR319" s="846">
        <v>53.094637608387188</v>
      </c>
      <c r="AS319" s="848"/>
      <c r="AT319" s="848"/>
      <c r="AU319" s="846">
        <v>8000.1813716612669</v>
      </c>
      <c r="AV319" s="846">
        <v>8548.4401145114207</v>
      </c>
      <c r="AW319" s="846">
        <v>391.56700318142731</v>
      </c>
      <c r="AX319" s="846">
        <v>231.04563855715855</v>
      </c>
      <c r="AY319" s="846">
        <v>1250.9654819767775</v>
      </c>
      <c r="AZ319" s="847">
        <v>18475.29424749644</v>
      </c>
      <c r="BA319" s="850"/>
      <c r="BB319" s="845">
        <f t="shared" si="48"/>
        <v>2009</v>
      </c>
      <c r="BC319" s="846">
        <v>1732.5684066093872</v>
      </c>
      <c r="BD319" s="846">
        <v>394.60246993953785</v>
      </c>
      <c r="BE319" s="846">
        <v>211.51980437977704</v>
      </c>
      <c r="BF319" s="846">
        <v>48.512382649096985</v>
      </c>
      <c r="BG319" s="848">
        <v>0</v>
      </c>
      <c r="BH319" s="916">
        <f t="shared" si="44"/>
        <v>46827.601471019458</v>
      </c>
      <c r="BI319" s="846">
        <v>27665.353646400905</v>
      </c>
      <c r="BJ319" s="846">
        <v>1206.3371184006878</v>
      </c>
      <c r="BK319" s="842"/>
      <c r="BL319" s="846">
        <v>2716.4263664227201</v>
      </c>
      <c r="BM319" s="846">
        <v>63408.925442588567</v>
      </c>
      <c r="BN319" s="847">
        <v>144240.84947801262</v>
      </c>
    </row>
    <row r="320" spans="1:66" s="838" customFormat="1" ht="10.5" customHeight="1" x14ac:dyDescent="0.35">
      <c r="A320" s="841">
        <v>2010</v>
      </c>
      <c r="B320" s="842">
        <v>1311.2186156292478</v>
      </c>
      <c r="C320" s="842">
        <f>+'1.4.1 MSFLR'!C220+'1.4.1 MSFLR'!D220</f>
        <v>355.8144633415709</v>
      </c>
      <c r="D320" s="842">
        <v>96.584462930622237</v>
      </c>
      <c r="E320" s="844">
        <v>0</v>
      </c>
      <c r="F320" s="842">
        <v>9395.4252090848931</v>
      </c>
      <c r="G320" s="842">
        <v>8988.6085371713943</v>
      </c>
      <c r="H320" s="842"/>
      <c r="I320" s="842"/>
      <c r="J320" s="842">
        <v>822.14959060383489</v>
      </c>
      <c r="K320" s="842">
        <v>471.89816720406105</v>
      </c>
      <c r="L320" s="842">
        <v>5482.2398352265118</v>
      </c>
      <c r="M320" s="847">
        <v>27010.806079137845</v>
      </c>
      <c r="N320" s="841">
        <f t="shared" si="45"/>
        <v>2010</v>
      </c>
      <c r="O320" s="844">
        <v>13.605617901204438</v>
      </c>
      <c r="P320" s="844">
        <v>0</v>
      </c>
      <c r="Q320" s="842">
        <v>348.19064754817134</v>
      </c>
      <c r="R320" s="842">
        <v>659.75974742471817</v>
      </c>
      <c r="S320" s="852"/>
      <c r="T320" s="844">
        <v>1.5488678704499859</v>
      </c>
      <c r="U320" s="842">
        <v>39159.259749010103</v>
      </c>
      <c r="V320" s="842">
        <v>1217.5695041559184</v>
      </c>
      <c r="W320" s="844">
        <v>0</v>
      </c>
      <c r="X320" s="844"/>
      <c r="Y320" s="844">
        <v>0</v>
      </c>
      <c r="Z320" s="842">
        <v>948.24264036389673</v>
      </c>
      <c r="AA320" s="842"/>
      <c r="AB320" s="842"/>
      <c r="AC320" s="842">
        <v>12287.762496786872</v>
      </c>
      <c r="AD320" s="843">
        <v>54635.939271061332</v>
      </c>
      <c r="AE320" s="853"/>
      <c r="AF320" s="841">
        <f t="shared" si="47"/>
        <v>2010</v>
      </c>
      <c r="AG320" s="842">
        <v>536.73674567412149</v>
      </c>
      <c r="AH320" s="842">
        <f>'1.4.1 MSFLR'!F220</f>
        <v>228.59290242189738</v>
      </c>
      <c r="AI320" s="842"/>
      <c r="AJ320" s="842">
        <v>33499.183037932096</v>
      </c>
      <c r="AK320" s="842">
        <v>10217.708738960253</v>
      </c>
      <c r="AL320" s="842">
        <v>51.934651762682712</v>
      </c>
      <c r="AM320" s="842">
        <v>1448.44994044137</v>
      </c>
      <c r="AN320" s="842">
        <v>3427.7441373090637</v>
      </c>
      <c r="AO320" s="843">
        <v>49410.350154501488</v>
      </c>
      <c r="AP320" s="853"/>
      <c r="AQ320" s="841">
        <f t="shared" si="46"/>
        <v>2010</v>
      </c>
      <c r="AR320" s="842">
        <v>27.596208160579067</v>
      </c>
      <c r="AS320" s="844"/>
      <c r="AT320" s="844"/>
      <c r="AU320" s="842">
        <v>8735.8360575966435</v>
      </c>
      <c r="AV320" s="842">
        <v>8718.8619374450755</v>
      </c>
      <c r="AW320" s="842">
        <v>392.29822012037835</v>
      </c>
      <c r="AX320" s="842">
        <v>306.26134268048872</v>
      </c>
      <c r="AY320" s="842">
        <v>1257.7755539161012</v>
      </c>
      <c r="AZ320" s="843">
        <v>19438.629319919266</v>
      </c>
      <c r="BA320" s="823"/>
      <c r="BB320" s="841">
        <f t="shared" si="48"/>
        <v>2010</v>
      </c>
      <c r="BC320" s="842">
        <v>1889.1571873651528</v>
      </c>
      <c r="BD320" s="842">
        <v>346.12060025385904</v>
      </c>
      <c r="BE320" s="842">
        <v>238.28676550960927</v>
      </c>
      <c r="BF320" s="842">
        <v>96.584462930622237</v>
      </c>
      <c r="BG320" s="844">
        <v>0</v>
      </c>
      <c r="BH320" s="916">
        <f t="shared" si="44"/>
        <v>51630.444304613637</v>
      </c>
      <c r="BI320" s="842">
        <v>28274.918728995344</v>
      </c>
      <c r="BJ320" s="842">
        <v>1266.382462486896</v>
      </c>
      <c r="BK320" s="842"/>
      <c r="BL320" s="842">
        <v>3444.178954481838</v>
      </c>
      <c r="BM320" s="842">
        <v>63222.78416003727</v>
      </c>
      <c r="BN320" s="851">
        <v>150495.72482461992</v>
      </c>
    </row>
    <row r="321" spans="1:66" s="838" customFormat="1" ht="10.5" customHeight="1" x14ac:dyDescent="0.35">
      <c r="A321" s="841">
        <v>2011</v>
      </c>
      <c r="B321" s="842">
        <v>1193.615431177602</v>
      </c>
      <c r="C321" s="842">
        <f>+'1.4.1 MSFLR'!C221+'1.4.1 MSFLR'!D221</f>
        <v>323.45071502241939</v>
      </c>
      <c r="D321" s="842">
        <v>59.455101929533114</v>
      </c>
      <c r="E321" s="844">
        <v>0</v>
      </c>
      <c r="F321" s="842">
        <v>9007.3051524692328</v>
      </c>
      <c r="G321" s="842">
        <v>8806.1474767315285</v>
      </c>
      <c r="H321" s="842"/>
      <c r="I321" s="842"/>
      <c r="J321" s="842">
        <v>769.35151848667238</v>
      </c>
      <c r="K321" s="842">
        <v>530.87702999173212</v>
      </c>
      <c r="L321" s="842">
        <v>4499.9607610473277</v>
      </c>
      <c r="M321" s="847">
        <v>25254.276723457951</v>
      </c>
      <c r="N321" s="841">
        <f t="shared" si="45"/>
        <v>2011</v>
      </c>
      <c r="O321" s="844">
        <v>11.066478010912933</v>
      </c>
      <c r="P321" s="844">
        <v>0</v>
      </c>
      <c r="Q321" s="842">
        <v>359.78252442464373</v>
      </c>
      <c r="R321" s="842">
        <v>650.58667519924279</v>
      </c>
      <c r="S321" s="852"/>
      <c r="T321" s="844">
        <v>1.8162797363141301</v>
      </c>
      <c r="U321" s="842">
        <v>38646.014313469423</v>
      </c>
      <c r="V321" s="842">
        <v>1127.5246011273525</v>
      </c>
      <c r="W321" s="844">
        <v>0</v>
      </c>
      <c r="X321" s="844"/>
      <c r="Y321" s="844">
        <v>0</v>
      </c>
      <c r="Z321" s="842">
        <v>893.89695866130228</v>
      </c>
      <c r="AA321" s="842"/>
      <c r="AB321" s="842"/>
      <c r="AC321" s="842">
        <v>12802.443135694315</v>
      </c>
      <c r="AD321" s="843">
        <v>54493.130966323508</v>
      </c>
      <c r="AE321" s="853"/>
      <c r="AF321" s="841">
        <f t="shared" si="47"/>
        <v>2011</v>
      </c>
      <c r="AG321" s="842">
        <v>530.09755897045579</v>
      </c>
      <c r="AH321" s="842">
        <f>'1.4.1 MSFLR'!F221</f>
        <v>198.03650286137386</v>
      </c>
      <c r="AI321" s="842"/>
      <c r="AJ321" s="842">
        <v>26555.524611580287</v>
      </c>
      <c r="AK321" s="842">
        <v>9594.7048679519321</v>
      </c>
      <c r="AL321" s="842">
        <v>51.934651762682712</v>
      </c>
      <c r="AM321" s="842">
        <v>1283.354633482189</v>
      </c>
      <c r="AN321" s="842">
        <v>2669.0169432249522</v>
      </c>
      <c r="AO321" s="843">
        <v>40882.669769833868</v>
      </c>
      <c r="AP321" s="853"/>
      <c r="AQ321" s="841">
        <f t="shared" si="46"/>
        <v>2011</v>
      </c>
      <c r="AR321" s="842">
        <v>28.062131242632177</v>
      </c>
      <c r="AS321" s="844"/>
      <c r="AT321" s="844"/>
      <c r="AU321" s="842">
        <v>7344.4432311493656</v>
      </c>
      <c r="AV321" s="842">
        <v>8569.6884370658117</v>
      </c>
      <c r="AW321" s="842">
        <v>384.77200748065349</v>
      </c>
      <c r="AX321" s="842">
        <v>270.04646042697573</v>
      </c>
      <c r="AY321" s="842">
        <v>1360.0242589467739</v>
      </c>
      <c r="AZ321" s="843">
        <v>17957.036526312211</v>
      </c>
      <c r="BA321" s="823"/>
      <c r="BB321" s="841">
        <f t="shared" si="48"/>
        <v>2011</v>
      </c>
      <c r="BC321" s="842">
        <v>1762.8415994016029</v>
      </c>
      <c r="BD321" s="842">
        <v>312.46891700446298</v>
      </c>
      <c r="BE321" s="842">
        <v>209.01830087933027</v>
      </c>
      <c r="BF321" s="842">
        <v>59.455101929533114</v>
      </c>
      <c r="BG321" s="844">
        <v>0</v>
      </c>
      <c r="BH321" s="916">
        <f t="shared" si="44"/>
        <v>42907.272995198888</v>
      </c>
      <c r="BI321" s="842">
        <v>27332.13958591023</v>
      </c>
      <c r="BJ321" s="842">
        <v>1206.0581777300085</v>
      </c>
      <c r="BK321" s="842"/>
      <c r="BL321" s="842">
        <v>3211.8027250282494</v>
      </c>
      <c r="BM321" s="842">
        <v>61521.943046243337</v>
      </c>
      <c r="BN321" s="851">
        <v>138587.11398592754</v>
      </c>
    </row>
    <row r="322" spans="1:66" s="838" customFormat="1" ht="10.5" customHeight="1" x14ac:dyDescent="0.35">
      <c r="A322" s="841">
        <v>2012</v>
      </c>
      <c r="B322" s="842">
        <v>1212.4032942979215</v>
      </c>
      <c r="C322" s="842">
        <f>+'1.4.1 MSFLR'!C222+'1.4.1 MSFLR'!D222</f>
        <v>392.18509923598333</v>
      </c>
      <c r="D322" s="842">
        <v>43.304894249300148</v>
      </c>
      <c r="E322" s="844">
        <v>0</v>
      </c>
      <c r="F322" s="842">
        <v>8821.4825661080722</v>
      </c>
      <c r="G322" s="842">
        <v>8465.6749557082549</v>
      </c>
      <c r="H322" s="842"/>
      <c r="I322" s="842"/>
      <c r="J322" s="842">
        <v>757.91728288907996</v>
      </c>
      <c r="K322" s="842">
        <v>488.26195111222518</v>
      </c>
      <c r="L322" s="842">
        <v>4668.6523494417343</v>
      </c>
      <c r="M322" s="847">
        <v>24875.657647464472</v>
      </c>
      <c r="N322" s="841">
        <f t="shared" si="45"/>
        <v>2012</v>
      </c>
      <c r="O322" s="844">
        <v>11.604285449070062</v>
      </c>
      <c r="P322" s="844">
        <v>0</v>
      </c>
      <c r="Q322" s="842">
        <v>382.95643684045956</v>
      </c>
      <c r="R322" s="842">
        <v>672.62283797456382</v>
      </c>
      <c r="S322" s="852"/>
      <c r="T322" s="844">
        <v>2.2662654055603326</v>
      </c>
      <c r="U322" s="842">
        <v>38508.15389367842</v>
      </c>
      <c r="V322" s="842">
        <v>957.76249164039359</v>
      </c>
      <c r="W322" s="844">
        <v>0</v>
      </c>
      <c r="X322" s="844"/>
      <c r="Y322" s="844">
        <v>0</v>
      </c>
      <c r="Z322" s="842">
        <v>833.19314651415448</v>
      </c>
      <c r="AA322" s="842"/>
      <c r="AB322" s="842"/>
      <c r="AC322" s="842">
        <v>12407.908517219363</v>
      </c>
      <c r="AD322" s="843">
        <v>53776.467874721988</v>
      </c>
      <c r="AE322" s="853"/>
      <c r="AF322" s="841">
        <f t="shared" si="47"/>
        <v>2012</v>
      </c>
      <c r="AG322" s="842">
        <v>506.34623700748983</v>
      </c>
      <c r="AH322" s="842">
        <f>'1.4.1 MSFLR'!F222</f>
        <v>184.79143989681856</v>
      </c>
      <c r="AI322" s="842"/>
      <c r="AJ322" s="842">
        <v>29508.178367469285</v>
      </c>
      <c r="AK322" s="842">
        <v>9859.2111287015905</v>
      </c>
      <c r="AL322" s="842">
        <v>51.934651762682712</v>
      </c>
      <c r="AM322" s="842">
        <v>1623.6362181358747</v>
      </c>
      <c r="AN322" s="842">
        <v>2706.9049014384491</v>
      </c>
      <c r="AO322" s="843">
        <v>44441.002944412197</v>
      </c>
      <c r="AP322" s="853"/>
      <c r="AQ322" s="841">
        <f t="shared" si="46"/>
        <v>2012</v>
      </c>
      <c r="AR322" s="842">
        <v>16.965451398250195</v>
      </c>
      <c r="AS322" s="844"/>
      <c r="AT322" s="844"/>
      <c r="AU322" s="842">
        <v>8523.4394932617652</v>
      </c>
      <c r="AV322" s="842">
        <v>8656.3163840983616</v>
      </c>
      <c r="AW322" s="842">
        <v>397.79045571797076</v>
      </c>
      <c r="AX322" s="842">
        <v>301.83916852890979</v>
      </c>
      <c r="AY322" s="842">
        <v>1340.2718718429269</v>
      </c>
      <c r="AZ322" s="843">
        <v>19236.622824848186</v>
      </c>
      <c r="BA322" s="823"/>
      <c r="BB322" s="841">
        <f t="shared" si="48"/>
        <v>2012</v>
      </c>
      <c r="BC322" s="842">
        <v>1747.3192681527319</v>
      </c>
      <c r="BD322" s="842">
        <v>380.16710737146678</v>
      </c>
      <c r="BE322" s="842">
        <v>196.80943176133511</v>
      </c>
      <c r="BF322" s="842">
        <v>43.304894249300148</v>
      </c>
      <c r="BG322" s="844">
        <v>0</v>
      </c>
      <c r="BH322" s="916">
        <f t="shared" si="44"/>
        <v>46853.100426839119</v>
      </c>
      <c r="BI322" s="842">
        <v>27366.425170754228</v>
      </c>
      <c r="BJ322" s="842">
        <v>1207.6423903697334</v>
      </c>
      <c r="BK322" s="842"/>
      <c r="BL322" s="842">
        <v>3371.4998294174034</v>
      </c>
      <c r="BM322" s="842">
        <v>61137.707518109615</v>
      </c>
      <c r="BN322" s="851">
        <v>142329.75129144685</v>
      </c>
    </row>
    <row r="323" spans="1:66" s="838" customFormat="1" ht="10.5" customHeight="1" x14ac:dyDescent="0.35">
      <c r="A323" s="841">
        <v>2013</v>
      </c>
      <c r="B323" s="842">
        <v>1555.1993051691288</v>
      </c>
      <c r="C323" s="842">
        <f>+'1.4.1 MSFLR'!C223+'1.4.1 MSFLR'!D223</f>
        <v>519.39734955061215</v>
      </c>
      <c r="D323" s="842">
        <v>61.573721069315447</v>
      </c>
      <c r="E323" s="844">
        <v>0</v>
      </c>
      <c r="F323" s="842">
        <v>9029.6529664140216</v>
      </c>
      <c r="G323" s="842">
        <v>8338.8480043534692</v>
      </c>
      <c r="H323" s="842"/>
      <c r="I323" s="842"/>
      <c r="J323" s="842">
        <v>739.45795356835777</v>
      </c>
      <c r="K323" s="842">
        <v>576.93996470712898</v>
      </c>
      <c r="L323" s="842">
        <v>4055.6550412664842</v>
      </c>
      <c r="M323" s="847">
        <v>24889.310290445803</v>
      </c>
      <c r="N323" s="841">
        <f t="shared" si="45"/>
        <v>2013</v>
      </c>
      <c r="O323" s="844">
        <v>9.8765067838007088</v>
      </c>
      <c r="P323" s="844">
        <v>0</v>
      </c>
      <c r="Q323" s="842">
        <v>371.39941847103887</v>
      </c>
      <c r="R323" s="842">
        <v>667.41569343659307</v>
      </c>
      <c r="S323" s="852"/>
      <c r="T323" s="844">
        <v>2.8311837202636858</v>
      </c>
      <c r="U323" s="842">
        <v>38176.909876221369</v>
      </c>
      <c r="V323" s="842">
        <v>1091.5830706028469</v>
      </c>
      <c r="W323" s="844">
        <v>0</v>
      </c>
      <c r="X323" s="844"/>
      <c r="Y323" s="844">
        <v>0</v>
      </c>
      <c r="Z323" s="842">
        <v>736.17943994167172</v>
      </c>
      <c r="AA323" s="842"/>
      <c r="AB323" s="842"/>
      <c r="AC323" s="842">
        <v>12433.519661992355</v>
      </c>
      <c r="AD323" s="843">
        <v>53489.714851169934</v>
      </c>
      <c r="AE323" s="853"/>
      <c r="AF323" s="841">
        <f t="shared" si="47"/>
        <v>2013</v>
      </c>
      <c r="AG323" s="842">
        <v>486.00503962321892</v>
      </c>
      <c r="AH323" s="842">
        <f>'1.4.1 MSFLR'!F223</f>
        <v>220.53437148409938</v>
      </c>
      <c r="AI323" s="842"/>
      <c r="AJ323" s="842">
        <v>29621.75079019264</v>
      </c>
      <c r="AK323" s="842">
        <v>9751.7173148596867</v>
      </c>
      <c r="AL323" s="842">
        <v>51.934651762682712</v>
      </c>
      <c r="AM323" s="842">
        <v>1914.0607059821064</v>
      </c>
      <c r="AN323" s="842">
        <v>2844.5841286132127</v>
      </c>
      <c r="AO323" s="843">
        <v>44890.587002517648</v>
      </c>
      <c r="AP323" s="853"/>
      <c r="AQ323" s="841">
        <f t="shared" si="46"/>
        <v>2013</v>
      </c>
      <c r="AR323" s="842">
        <v>25.058808248270964</v>
      </c>
      <c r="AS323" s="844"/>
      <c r="AT323" s="844"/>
      <c r="AU323" s="842">
        <v>8777.9544108523587</v>
      </c>
      <c r="AV323" s="842">
        <v>8729.645456018492</v>
      </c>
      <c r="AW323" s="842">
        <v>400.82631126397251</v>
      </c>
      <c r="AX323" s="842">
        <v>480.27611149532413</v>
      </c>
      <c r="AY323" s="842">
        <v>1305.4838377094184</v>
      </c>
      <c r="AZ323" s="843">
        <v>19719.244935587834</v>
      </c>
      <c r="BA323" s="823"/>
      <c r="BB323" s="841">
        <f t="shared" si="48"/>
        <v>2013</v>
      </c>
      <c r="BC323" s="842">
        <v>2076.1396598244196</v>
      </c>
      <c r="BD323" s="842">
        <v>508.51695478249036</v>
      </c>
      <c r="BE323" s="842">
        <v>231.41476625222117</v>
      </c>
      <c r="BF323" s="842">
        <v>61.573721069315447</v>
      </c>
      <c r="BG323" s="844">
        <v>0</v>
      </c>
      <c r="BH323" s="916">
        <f t="shared" si="44"/>
        <v>47429.358167459024</v>
      </c>
      <c r="BI323" s="842">
        <v>27194.441377422954</v>
      </c>
      <c r="BJ323" s="842">
        <v>1192.2189165950131</v>
      </c>
      <c r="BK323" s="842"/>
      <c r="BL323" s="842">
        <v>4062.8598527874065</v>
      </c>
      <c r="BM323" s="842">
        <v>60219.747679181106</v>
      </c>
      <c r="BN323" s="851">
        <v>142988.85707972123</v>
      </c>
    </row>
    <row r="324" spans="1:66" s="838" customFormat="1" ht="10.5" customHeight="1" x14ac:dyDescent="0.35">
      <c r="A324" s="841">
        <v>2014</v>
      </c>
      <c r="B324" s="842">
        <v>1626.9860523013881</v>
      </c>
      <c r="C324" s="842">
        <f>+'1.4.1 MSFLR'!C224+'1.4.1 MSFLR'!D224</f>
        <v>496.85577225642703</v>
      </c>
      <c r="D324" s="842">
        <v>54.981080839993382</v>
      </c>
      <c r="E324" s="844">
        <v>0</v>
      </c>
      <c r="F324" s="842">
        <v>8653.146699406896</v>
      </c>
      <c r="G324" s="842">
        <v>7996.9823459123891</v>
      </c>
      <c r="H324" s="842"/>
      <c r="I324" s="842"/>
      <c r="J324" s="842">
        <v>626.81496130696473</v>
      </c>
      <c r="K324" s="842">
        <v>594.10507078248997</v>
      </c>
      <c r="L324" s="842">
        <v>4238.2779962570839</v>
      </c>
      <c r="M324" s="847">
        <v>24301.948223853047</v>
      </c>
      <c r="N324" s="841">
        <f t="shared" si="45"/>
        <v>2014</v>
      </c>
      <c r="O324" s="844">
        <v>9.3640162314643014</v>
      </c>
      <c r="P324" s="844">
        <v>0</v>
      </c>
      <c r="Q324" s="842">
        <v>381.49277710466663</v>
      </c>
      <c r="R324" s="842">
        <v>675.78016233761218</v>
      </c>
      <c r="S324" s="852"/>
      <c r="T324" s="844">
        <v>5.8091143594153056</v>
      </c>
      <c r="U324" s="842">
        <v>38713.240608265427</v>
      </c>
      <c r="V324" s="842">
        <v>1242.6674309735358</v>
      </c>
      <c r="W324" s="844">
        <v>0</v>
      </c>
      <c r="X324" s="844"/>
      <c r="Y324" s="844">
        <v>0</v>
      </c>
      <c r="Z324" s="842">
        <v>698.64704120851638</v>
      </c>
      <c r="AA324" s="842"/>
      <c r="AB324" s="842"/>
      <c r="AC324" s="842">
        <v>12418.816353895738</v>
      </c>
      <c r="AD324" s="843">
        <v>54145.817504376384</v>
      </c>
      <c r="AE324" s="853"/>
      <c r="AF324" s="841">
        <f t="shared" si="47"/>
        <v>2014</v>
      </c>
      <c r="AG324" s="842">
        <v>414.98222443341558</v>
      </c>
      <c r="AH324" s="842">
        <f>'1.4.1 MSFLR'!F224</f>
        <v>181.94710221171306</v>
      </c>
      <c r="AI324" s="842"/>
      <c r="AJ324" s="842">
        <v>24393.03445041809</v>
      </c>
      <c r="AK324" s="842">
        <v>9292.8718614012396</v>
      </c>
      <c r="AL324" s="842">
        <v>51.934651762682712</v>
      </c>
      <c r="AM324" s="842">
        <v>1837.3643950555024</v>
      </c>
      <c r="AN324" s="842">
        <v>2507.9081057118087</v>
      </c>
      <c r="AO324" s="843">
        <v>38680.042790994456</v>
      </c>
      <c r="AP324" s="853"/>
      <c r="AQ324" s="841">
        <f t="shared" si="46"/>
        <v>2014</v>
      </c>
      <c r="AR324" s="842">
        <v>25.545753453472969</v>
      </c>
      <c r="AS324" s="844"/>
      <c r="AT324" s="844"/>
      <c r="AU324" s="842">
        <v>7381.2361318907024</v>
      </c>
      <c r="AV324" s="842">
        <v>8357.7436835539083</v>
      </c>
      <c r="AW324" s="842">
        <v>476.04333619948397</v>
      </c>
      <c r="AX324" s="842">
        <v>624.888833671268</v>
      </c>
      <c r="AY324" s="842">
        <v>1615.6593407481409</v>
      </c>
      <c r="AZ324" s="843">
        <v>18481.117079516975</v>
      </c>
      <c r="BA324" s="823"/>
      <c r="BB324" s="841">
        <f t="shared" si="48"/>
        <v>2014</v>
      </c>
      <c r="BC324" s="842">
        <v>2076.8780464197412</v>
      </c>
      <c r="BD324" s="842">
        <v>486.83572520438383</v>
      </c>
      <c r="BE324" s="842">
        <v>191.96714926375626</v>
      </c>
      <c r="BF324" s="842">
        <v>54.981080839993382</v>
      </c>
      <c r="BG324" s="844">
        <v>0</v>
      </c>
      <c r="BH324" s="916">
        <f t="shared" si="44"/>
        <v>40427.417281715694</v>
      </c>
      <c r="BI324" s="842">
        <v>26034.89978233162</v>
      </c>
      <c r="BJ324" s="842">
        <v>1154.7929492691314</v>
      </c>
      <c r="BK324" s="842"/>
      <c r="BL324" s="842">
        <v>4299.0257304827965</v>
      </c>
      <c r="BM324" s="842">
        <v>60868.329608424334</v>
      </c>
      <c r="BN324" s="851">
        <v>135608.92559874087</v>
      </c>
    </row>
    <row r="325" spans="1:66" s="838" customFormat="1" ht="10.5" customHeight="1" x14ac:dyDescent="0.35">
      <c r="A325" s="841">
        <v>2015</v>
      </c>
      <c r="B325" s="842">
        <v>1380.1747303471507</v>
      </c>
      <c r="C325" s="842">
        <f>+'1.4.1 MSFLR'!C225+'1.4.1 MSFLR'!D225</f>
        <v>395.45200726091537</v>
      </c>
      <c r="D325" s="842">
        <v>88.253494523885905</v>
      </c>
      <c r="E325" s="844">
        <v>0</v>
      </c>
      <c r="F325" s="842">
        <v>8418.0361670822294</v>
      </c>
      <c r="G325" s="855">
        <v>7991.2611619615109</v>
      </c>
      <c r="H325" s="855"/>
      <c r="I325" s="855"/>
      <c r="J325" s="842">
        <v>678.40621816342639</v>
      </c>
      <c r="K325" s="855">
        <v>1115.4219238182495</v>
      </c>
      <c r="L325" s="842">
        <v>4211.9047205856295</v>
      </c>
      <c r="M325" s="856">
        <v>24305.413447888794</v>
      </c>
      <c r="N325" s="841">
        <f t="shared" si="45"/>
        <v>2015</v>
      </c>
      <c r="O325" s="844">
        <v>9.3640162314643032</v>
      </c>
      <c r="P325" s="844">
        <v>0</v>
      </c>
      <c r="Q325" s="855">
        <v>379.99531120286866</v>
      </c>
      <c r="R325" s="842">
        <v>673.66651821431162</v>
      </c>
      <c r="S325" s="852"/>
      <c r="T325" s="844">
        <v>8.3539696188019494</v>
      </c>
      <c r="U325" s="842">
        <v>39509.615470585908</v>
      </c>
      <c r="V325" s="842">
        <v>997.79306391516184</v>
      </c>
      <c r="W325" s="844">
        <v>0</v>
      </c>
      <c r="X325" s="844"/>
      <c r="Y325" s="844">
        <v>0</v>
      </c>
      <c r="Z325" s="842">
        <v>905.95132602070021</v>
      </c>
      <c r="AA325" s="842"/>
      <c r="AB325" s="842"/>
      <c r="AC325" s="842">
        <v>12527.896093298437</v>
      </c>
      <c r="AD325" s="856">
        <v>55012.635769087661</v>
      </c>
      <c r="AE325" s="853"/>
      <c r="AF325" s="841">
        <f t="shared" si="47"/>
        <v>2015</v>
      </c>
      <c r="AG325" s="842">
        <v>417.7994416198278</v>
      </c>
      <c r="AH325" s="842">
        <f>'1.4.1 MSFLR'!F225</f>
        <v>166.96478707843696</v>
      </c>
      <c r="AI325" s="842"/>
      <c r="AJ325" s="842">
        <v>25587.415453380796</v>
      </c>
      <c r="AK325" s="842">
        <v>9266.0230251528046</v>
      </c>
      <c r="AL325" s="842">
        <v>260.44203527052508</v>
      </c>
      <c r="AM325" s="855">
        <v>2064.7595753929709</v>
      </c>
      <c r="AN325" s="842">
        <v>2518.0798035752996</v>
      </c>
      <c r="AO325" s="856">
        <v>40281.484121470668</v>
      </c>
      <c r="AP325" s="853"/>
      <c r="AQ325" s="841">
        <f t="shared" si="46"/>
        <v>2015</v>
      </c>
      <c r="AR325" s="842">
        <v>26.510504461673861</v>
      </c>
      <c r="AS325" s="844"/>
      <c r="AT325" s="844"/>
      <c r="AU325" s="842">
        <v>7890.2411543253838</v>
      </c>
      <c r="AV325" s="855">
        <v>8448.9486792768803</v>
      </c>
      <c r="AW325" s="842">
        <v>297.61693063977629</v>
      </c>
      <c r="AX325" s="855">
        <v>1157.3693334043437</v>
      </c>
      <c r="AY325" s="842">
        <v>1952.2453571408905</v>
      </c>
      <c r="AZ325" s="856">
        <v>19772.931959248948</v>
      </c>
      <c r="BA325" s="823"/>
      <c r="BB325" s="841">
        <f t="shared" si="48"/>
        <v>2015</v>
      </c>
      <c r="BC325" s="842">
        <v>1833.8486926601167</v>
      </c>
      <c r="BD325" s="842">
        <v>397.30258526798519</v>
      </c>
      <c r="BE325" s="842">
        <v>165.11420907136716</v>
      </c>
      <c r="BF325" s="842">
        <v>88.253494523885905</v>
      </c>
      <c r="BG325" s="844"/>
      <c r="BH325" s="916">
        <f t="shared" si="44"/>
        <v>41895.692774788411</v>
      </c>
      <c r="BI325" s="855">
        <v>26094.582147212866</v>
      </c>
      <c r="BJ325" s="842">
        <v>1236.4651840737276</v>
      </c>
      <c r="BK325" s="842"/>
      <c r="BL325" s="855">
        <v>5335.3438965307259</v>
      </c>
      <c r="BM325" s="842">
        <v>62299.359289421169</v>
      </c>
      <c r="BN325" s="856">
        <v>139372.46529769606</v>
      </c>
    </row>
    <row r="326" spans="1:66" s="838" customFormat="1" ht="10.5" customHeight="1" x14ac:dyDescent="0.35">
      <c r="A326" s="841">
        <v>2016</v>
      </c>
      <c r="B326" s="855">
        <v>1304.367788962343</v>
      </c>
      <c r="C326" s="842">
        <f>+'1.4.1 MSFLR'!C226+'1.4.1 MSFLR'!D226</f>
        <v>224.84028620562586</v>
      </c>
      <c r="D326" s="842">
        <v>66.604270696701406</v>
      </c>
      <c r="E326" s="844">
        <v>0</v>
      </c>
      <c r="F326" s="855">
        <v>8646.6981913439922</v>
      </c>
      <c r="G326" s="855">
        <v>8023.7332651530442</v>
      </c>
      <c r="H326" s="855"/>
      <c r="I326" s="855"/>
      <c r="J326" s="855">
        <v>666.96202211871434</v>
      </c>
      <c r="K326" s="855">
        <v>1245.3895034230563</v>
      </c>
      <c r="L326" s="855">
        <v>2215.7861973054078</v>
      </c>
      <c r="M326" s="856">
        <v>22417.310098690334</v>
      </c>
      <c r="N326" s="841">
        <f t="shared" si="45"/>
        <v>2016</v>
      </c>
      <c r="O326" s="844">
        <v>10.80463411322804</v>
      </c>
      <c r="P326" s="844">
        <v>0</v>
      </c>
      <c r="Q326" s="855">
        <v>391.84269337674237</v>
      </c>
      <c r="R326" s="842">
        <v>666.40550283397317</v>
      </c>
      <c r="S326" s="852"/>
      <c r="T326" s="855">
        <v>11.432215534537114</v>
      </c>
      <c r="U326" s="842">
        <v>40429.265794247724</v>
      </c>
      <c r="V326" s="842">
        <v>1009.5442820292349</v>
      </c>
      <c r="W326" s="844">
        <v>0</v>
      </c>
      <c r="X326" s="844"/>
      <c r="Y326" s="844">
        <v>0</v>
      </c>
      <c r="Z326" s="855">
        <v>944.77868780794824</v>
      </c>
      <c r="AA326" s="855"/>
      <c r="AB326" s="842"/>
      <c r="AC326" s="855">
        <v>12536.459300654953</v>
      </c>
      <c r="AD326" s="856">
        <v>56000.53311059835</v>
      </c>
      <c r="AE326" s="853"/>
      <c r="AF326" s="841">
        <f t="shared" si="47"/>
        <v>2016</v>
      </c>
      <c r="AG326" s="855">
        <v>401.76668676276745</v>
      </c>
      <c r="AH326" s="842">
        <f>'1.4.1 MSFLR'!F226</f>
        <v>167.62247253749882</v>
      </c>
      <c r="AI326" s="842"/>
      <c r="AJ326" s="855">
        <v>26300.512002094496</v>
      </c>
      <c r="AK326" s="855">
        <v>9288.4818041256767</v>
      </c>
      <c r="AL326" s="842">
        <v>260.44203527052508</v>
      </c>
      <c r="AM326" s="855">
        <v>2181.5052482818514</v>
      </c>
      <c r="AN326" s="855">
        <v>2512.8963270212307</v>
      </c>
      <c r="AO326" s="856">
        <v>41113.22657609405</v>
      </c>
      <c r="AP326" s="853"/>
      <c r="AQ326" s="841">
        <f t="shared" si="46"/>
        <v>2016</v>
      </c>
      <c r="AR326" s="855">
        <v>28.272771318557602</v>
      </c>
      <c r="AS326" s="844"/>
      <c r="AT326" s="844"/>
      <c r="AU326" s="855">
        <v>8111.1725117465103</v>
      </c>
      <c r="AV326" s="855">
        <v>8426.677463334694</v>
      </c>
      <c r="AW326" s="855">
        <v>311.93129005508155</v>
      </c>
      <c r="AX326" s="855">
        <v>1150.4229677454441</v>
      </c>
      <c r="AY326" s="855">
        <v>3750.797777750201</v>
      </c>
      <c r="AZ326" s="856">
        <v>21779.274781950495</v>
      </c>
      <c r="BA326" s="823"/>
      <c r="BB326" s="841">
        <f t="shared" si="48"/>
        <v>2016</v>
      </c>
      <c r="BC326" s="855">
        <v>1745.2118811568962</v>
      </c>
      <c r="BD326" s="842">
        <v>224.84028620562586</v>
      </c>
      <c r="BE326" s="842">
        <v>167.62247253749882</v>
      </c>
      <c r="BF326" s="842">
        <v>66.604270696701406</v>
      </c>
      <c r="BG326" s="844"/>
      <c r="BH326" s="916">
        <f t="shared" si="44"/>
        <v>43058.382705184995</v>
      </c>
      <c r="BI326" s="855">
        <v>26142.167441524696</v>
      </c>
      <c r="BJ326" s="855">
        <v>1239.3353474443209</v>
      </c>
      <c r="BK326" s="855"/>
      <c r="BL326" s="855">
        <v>5586.862001479587</v>
      </c>
      <c r="BM326" s="855">
        <v>63056.389587621445</v>
      </c>
      <c r="BN326" s="856">
        <v>141310.34456733323</v>
      </c>
    </row>
    <row r="327" spans="1:66" s="838" customFormat="1" ht="10.5" customHeight="1" x14ac:dyDescent="0.35">
      <c r="A327" s="841">
        <v>2017</v>
      </c>
      <c r="B327" s="855">
        <v>1124.8503322095792</v>
      </c>
      <c r="C327" s="842">
        <f>+'1.4.1 MSFLR'!C227+'1.4.1 MSFLR'!D227</f>
        <v>210.33379840041491</v>
      </c>
      <c r="D327" s="842">
        <v>65.006328279325174</v>
      </c>
      <c r="E327" s="844">
        <v>0</v>
      </c>
      <c r="F327" s="855">
        <v>8881.4314640945267</v>
      </c>
      <c r="G327" s="855">
        <v>7937.0908575059821</v>
      </c>
      <c r="H327" s="855"/>
      <c r="I327" s="855"/>
      <c r="J327" s="855">
        <v>689.88257241966028</v>
      </c>
      <c r="K327" s="855">
        <v>1268.0232853373484</v>
      </c>
      <c r="L327" s="855">
        <v>2458.4113073114067</v>
      </c>
      <c r="M327" s="856">
        <v>22655.665367865604</v>
      </c>
      <c r="N327" s="841">
        <f t="shared" si="45"/>
        <v>2017</v>
      </c>
      <c r="O327" s="844">
        <v>10.766921603234223</v>
      </c>
      <c r="P327" s="844">
        <v>0</v>
      </c>
      <c r="Q327" s="855">
        <v>399.76635330716664</v>
      </c>
      <c r="R327" s="842">
        <v>661.4174160978572</v>
      </c>
      <c r="S327" s="852"/>
      <c r="T327" s="855">
        <v>15.820005732301519</v>
      </c>
      <c r="U327" s="855">
        <v>40521.794149438814</v>
      </c>
      <c r="V327" s="842">
        <v>997.12429540460482</v>
      </c>
      <c r="W327" s="844">
        <v>0</v>
      </c>
      <c r="X327" s="844"/>
      <c r="Y327" s="844">
        <v>0</v>
      </c>
      <c r="Z327" s="855">
        <v>929.47709762334489</v>
      </c>
      <c r="AA327" s="855"/>
      <c r="AB327" s="842"/>
      <c r="AC327" s="855">
        <v>13465.898891256902</v>
      </c>
      <c r="AD327" s="856">
        <v>57002.065130464223</v>
      </c>
      <c r="AE327" s="853"/>
      <c r="AF327" s="841">
        <f t="shared" si="47"/>
        <v>2017</v>
      </c>
      <c r="AG327" s="855">
        <v>370.53038010630172</v>
      </c>
      <c r="AH327" s="842">
        <f>'1.4.1 MSFLR'!F227</f>
        <v>172.40530705550782</v>
      </c>
      <c r="AI327" s="842"/>
      <c r="AJ327" s="855">
        <v>25372.014019006394</v>
      </c>
      <c r="AK327" s="855">
        <v>9060.0086620343282</v>
      </c>
      <c r="AL327" s="842">
        <v>260.44203527052508</v>
      </c>
      <c r="AM327" s="855">
        <v>2172.8141520055215</v>
      </c>
      <c r="AN327" s="855">
        <v>2466.0397090502051</v>
      </c>
      <c r="AO327" s="856">
        <v>39874.25426452879</v>
      </c>
      <c r="AP327" s="853"/>
      <c r="AQ327" s="841">
        <f t="shared" si="46"/>
        <v>2017</v>
      </c>
      <c r="AR327" s="855">
        <v>26.873208585734176</v>
      </c>
      <c r="AS327" s="844"/>
      <c r="AT327" s="844"/>
      <c r="AU327" s="855">
        <v>7886.0137052726313</v>
      </c>
      <c r="AV327" s="855">
        <v>8352.5117721425195</v>
      </c>
      <c r="AW327" s="855">
        <v>317.35201232507296</v>
      </c>
      <c r="AX327" s="855">
        <v>1188.4817528580229</v>
      </c>
      <c r="AY327" s="855">
        <v>3799.5456095580416</v>
      </c>
      <c r="AZ327" s="856">
        <v>21570.778060742025</v>
      </c>
      <c r="BA327" s="823"/>
      <c r="BB327" s="841">
        <f t="shared" si="48"/>
        <v>2017</v>
      </c>
      <c r="BC327" s="855">
        <v>1533.0208425048493</v>
      </c>
      <c r="BD327" s="842">
        <v>210.33379840041491</v>
      </c>
      <c r="BE327" s="842">
        <v>172.40530705550782</v>
      </c>
      <c r="BF327" s="842">
        <v>65.006328279325174</v>
      </c>
      <c r="BG327" s="844"/>
      <c r="BH327" s="916">
        <f t="shared" si="44"/>
        <v>42139.459188373556</v>
      </c>
      <c r="BI327" s="855">
        <v>25765.197650722297</v>
      </c>
      <c r="BJ327" s="855">
        <v>1267.6766200152583</v>
      </c>
      <c r="BK327" s="855"/>
      <c r="BL327" s="855">
        <v>5626.4434856054977</v>
      </c>
      <c r="BM327" s="855">
        <v>64302.584180336577</v>
      </c>
      <c r="BN327" s="856">
        <v>141102.76282360064</v>
      </c>
    </row>
    <row r="328" spans="1:66" ht="11.25" customHeight="1" thickBot="1" x14ac:dyDescent="0.4">
      <c r="A328" s="857">
        <v>2018</v>
      </c>
      <c r="B328" s="858">
        <v>1026.7198948718435</v>
      </c>
      <c r="C328" s="858">
        <f>+'1.4.1 MSFLR'!C228+'1.4.1 MSFLR'!D228</f>
        <v>192.92275723703065</v>
      </c>
      <c r="D328" s="858">
        <v>63.486588647338984</v>
      </c>
      <c r="E328" s="859">
        <v>0</v>
      </c>
      <c r="F328" s="858">
        <v>9063.5229296595662</v>
      </c>
      <c r="G328" s="858">
        <v>7998.3162898078281</v>
      </c>
      <c r="H328" s="858"/>
      <c r="I328" s="858"/>
      <c r="J328" s="858">
        <v>677.22281317632405</v>
      </c>
      <c r="K328" s="858">
        <v>1451.9420819045956</v>
      </c>
      <c r="L328" s="858">
        <v>2232.193920204968</v>
      </c>
      <c r="M328" s="860">
        <v>22715.528782418685</v>
      </c>
      <c r="N328" s="857">
        <f t="shared" si="45"/>
        <v>2018</v>
      </c>
      <c r="O328" s="859">
        <v>10.766921603234223</v>
      </c>
      <c r="P328" s="859">
        <v>0</v>
      </c>
      <c r="Q328" s="858">
        <v>407.77619970836588</v>
      </c>
      <c r="R328" s="858">
        <v>661.57053437887862</v>
      </c>
      <c r="S328" s="861"/>
      <c r="T328" s="859">
        <v>20.731728288907998</v>
      </c>
      <c r="U328" s="858">
        <v>39956.598056570561</v>
      </c>
      <c r="V328" s="858">
        <v>1363.9724849527086</v>
      </c>
      <c r="W328" s="859">
        <v>0</v>
      </c>
      <c r="X328" s="859"/>
      <c r="Y328" s="859">
        <v>0</v>
      </c>
      <c r="Z328" s="858">
        <v>961.83577808321502</v>
      </c>
      <c r="AA328" s="858"/>
      <c r="AB328" s="858"/>
      <c r="AC328" s="858">
        <v>13570.954066992494</v>
      </c>
      <c r="AD328" s="860">
        <v>56954.205770578366</v>
      </c>
      <c r="AE328" s="862"/>
      <c r="AF328" s="857">
        <f>N328</f>
        <v>2018</v>
      </c>
      <c r="AG328" s="858">
        <v>354.50417306360441</v>
      </c>
      <c r="AH328" s="858">
        <f>'1.4.1 MSFLR'!F228</f>
        <v>170.86665251265882</v>
      </c>
      <c r="AI328" s="858"/>
      <c r="AJ328" s="858">
        <v>26583.863108545145</v>
      </c>
      <c r="AK328" s="858">
        <v>9033.9249157161703</v>
      </c>
      <c r="AL328" s="858">
        <v>260.44203527052508</v>
      </c>
      <c r="AM328" s="858">
        <v>2368.533018957577</v>
      </c>
      <c r="AN328" s="858">
        <v>2477.1676585641771</v>
      </c>
      <c r="AO328" s="860">
        <v>41249.301562629858</v>
      </c>
      <c r="AP328" s="863"/>
      <c r="AQ328" s="857">
        <f t="shared" si="46"/>
        <v>2018</v>
      </c>
      <c r="AR328" s="864">
        <v>26.352830126503306</v>
      </c>
      <c r="AS328" s="859"/>
      <c r="AT328" s="859"/>
      <c r="AU328" s="864">
        <v>8139.4336008706996</v>
      </c>
      <c r="AV328" s="864">
        <v>8304.0840618129641</v>
      </c>
      <c r="AW328" s="864">
        <v>325.44109229067914</v>
      </c>
      <c r="AX328" s="864">
        <v>1282.7461444358746</v>
      </c>
      <c r="AY328" s="864">
        <v>3727.2578844562368</v>
      </c>
      <c r="AZ328" s="865">
        <v>21805.315613992956</v>
      </c>
      <c r="BA328" s="862"/>
      <c r="BB328" s="857">
        <f>AQ328</f>
        <v>2018</v>
      </c>
      <c r="BC328" s="858">
        <v>1418.3438196651855</v>
      </c>
      <c r="BD328" s="858">
        <v>192.92275723703065</v>
      </c>
      <c r="BE328" s="858">
        <v>170.86665251265882</v>
      </c>
      <c r="BF328" s="858">
        <v>63.486588647338984</v>
      </c>
      <c r="BG328" s="859"/>
      <c r="BH328" s="858">
        <v>43786.819639075416</v>
      </c>
      <c r="BI328" s="858">
        <v>25764.833195334235</v>
      </c>
      <c r="BJ328" s="858">
        <v>1263.1059407375283</v>
      </c>
      <c r="BK328" s="858"/>
      <c r="BL328" s="858">
        <v>6467.1937302507558</v>
      </c>
      <c r="BM328" s="858">
        <v>63587.577899250529</v>
      </c>
      <c r="BN328" s="860">
        <v>142724.35172961987</v>
      </c>
    </row>
    <row r="329" spans="1:66" ht="11.25" customHeight="1" thickTop="1" x14ac:dyDescent="0.35">
      <c r="A329" s="841"/>
      <c r="B329" s="842"/>
      <c r="C329" s="842"/>
      <c r="D329" s="842"/>
      <c r="E329" s="844"/>
      <c r="F329" s="842"/>
      <c r="G329" s="842"/>
      <c r="H329" s="842"/>
      <c r="I329" s="842"/>
      <c r="J329" s="842"/>
      <c r="K329" s="842"/>
      <c r="L329" s="842"/>
      <c r="M329" s="843"/>
      <c r="N329" s="841"/>
      <c r="O329" s="844"/>
      <c r="P329" s="844"/>
      <c r="Q329" s="842"/>
      <c r="R329" s="842"/>
      <c r="S329" s="842"/>
      <c r="T329" s="844"/>
      <c r="U329" s="842"/>
      <c r="V329" s="842"/>
      <c r="W329" s="844"/>
      <c r="X329" s="842"/>
      <c r="Y329" s="844"/>
      <c r="Z329" s="844"/>
      <c r="AA329" s="842"/>
      <c r="AB329" s="842"/>
      <c r="AC329" s="842"/>
      <c r="AD329" s="843"/>
      <c r="AE329" s="866"/>
      <c r="AF329" s="841"/>
      <c r="AG329" s="842"/>
      <c r="AH329" s="842"/>
      <c r="AI329" s="842"/>
      <c r="AJ329" s="842"/>
      <c r="AK329" s="842"/>
      <c r="AL329" s="842"/>
      <c r="AM329" s="842"/>
      <c r="AN329" s="842"/>
      <c r="AO329" s="843"/>
      <c r="AP329" s="866"/>
      <c r="AQ329" s="841"/>
      <c r="AR329" s="842"/>
      <c r="AS329" s="844"/>
      <c r="AT329" s="844"/>
      <c r="AU329" s="842"/>
      <c r="AV329" s="842"/>
      <c r="AW329" s="842"/>
      <c r="AX329" s="842"/>
      <c r="AY329" s="842"/>
      <c r="AZ329" s="843"/>
      <c r="BA329" s="866"/>
      <c r="BB329" s="841"/>
      <c r="BC329" s="842"/>
      <c r="BD329" s="842"/>
      <c r="BE329" s="842"/>
      <c r="BF329" s="842"/>
      <c r="BG329" s="844"/>
      <c r="BH329" s="842"/>
      <c r="BI329" s="842"/>
      <c r="BJ329" s="842"/>
      <c r="BK329" s="842"/>
      <c r="BL329" s="842"/>
      <c r="BM329" s="842"/>
      <c r="BN329" s="843"/>
    </row>
    <row r="330" spans="1:66" ht="6.75" customHeight="1" x14ac:dyDescent="0.35">
      <c r="B330" s="826"/>
      <c r="C330" s="826"/>
      <c r="D330" s="826"/>
      <c r="E330" s="826"/>
      <c r="F330" s="826"/>
      <c r="G330" s="826"/>
      <c r="H330" s="826"/>
      <c r="I330" s="826"/>
      <c r="J330" s="826"/>
      <c r="K330" s="826"/>
      <c r="L330" s="826"/>
      <c r="N330" s="841"/>
      <c r="O330" s="842"/>
      <c r="P330" s="842"/>
      <c r="Q330" s="842"/>
      <c r="R330" s="842"/>
      <c r="S330" s="842"/>
      <c r="T330" s="842"/>
      <c r="U330" s="842"/>
      <c r="V330" s="842"/>
      <c r="W330" s="842"/>
      <c r="X330" s="842"/>
      <c r="Y330" s="842"/>
      <c r="Z330" s="842"/>
      <c r="AA330" s="842"/>
      <c r="AB330" s="842"/>
      <c r="AC330" s="842"/>
      <c r="AD330" s="842"/>
      <c r="AE330" s="839"/>
      <c r="AF330" s="841"/>
      <c r="AG330" s="842"/>
      <c r="AH330" s="842"/>
      <c r="AI330" s="842"/>
      <c r="AJ330" s="842"/>
      <c r="AK330" s="842"/>
      <c r="AL330" s="842"/>
      <c r="AM330" s="842"/>
      <c r="AN330" s="842"/>
      <c r="AO330" s="842"/>
      <c r="AP330" s="839"/>
      <c r="AQ330" s="841"/>
      <c r="AR330" s="842"/>
      <c r="AS330" s="842"/>
      <c r="AT330" s="842"/>
      <c r="AU330" s="842"/>
      <c r="AV330" s="842"/>
      <c r="AW330" s="842"/>
      <c r="AX330" s="842"/>
      <c r="AY330" s="842"/>
      <c r="AZ330" s="843"/>
      <c r="BA330" s="839"/>
      <c r="BB330" s="841"/>
      <c r="BC330" s="842"/>
      <c r="BD330" s="842"/>
      <c r="BE330" s="842"/>
      <c r="BF330" s="842"/>
      <c r="BG330" s="842"/>
      <c r="BH330" s="842"/>
      <c r="BI330" s="842"/>
      <c r="BJ330" s="842"/>
      <c r="BK330" s="842"/>
      <c r="BL330" s="842"/>
      <c r="BM330" s="842"/>
      <c r="BN330" s="843"/>
    </row>
    <row r="331" spans="1:66" ht="11.25" customHeight="1" x14ac:dyDescent="0.35">
      <c r="A331" s="867" t="s">
        <v>1153</v>
      </c>
      <c r="B331" s="826"/>
      <c r="C331" s="826"/>
      <c r="D331" s="826"/>
      <c r="E331" s="826"/>
      <c r="F331" s="826"/>
      <c r="G331" s="826"/>
      <c r="H331" s="826"/>
      <c r="I331" s="826"/>
      <c r="J331" s="826"/>
      <c r="K331" s="826"/>
      <c r="L331" s="826"/>
      <c r="M331" s="868"/>
      <c r="N331" s="869" t="s">
        <v>1154</v>
      </c>
      <c r="AF331" s="867" t="s">
        <v>1155</v>
      </c>
      <c r="AG331" s="838"/>
      <c r="AH331" s="838"/>
      <c r="AI331" s="838"/>
      <c r="AJ331" s="838"/>
      <c r="AK331" s="838"/>
      <c r="AL331" s="838"/>
      <c r="AM331" s="838"/>
      <c r="AN331" s="838"/>
      <c r="AO331" s="838"/>
      <c r="AQ331" s="867" t="s">
        <v>1156</v>
      </c>
      <c r="BB331" s="867" t="s">
        <v>1157</v>
      </c>
    </row>
    <row r="332" spans="1:66" ht="11.25" customHeight="1" x14ac:dyDescent="0.35">
      <c r="A332" s="867" t="s">
        <v>1158</v>
      </c>
      <c r="B332" s="826"/>
      <c r="C332" s="826"/>
      <c r="D332" s="826"/>
      <c r="E332" s="826"/>
      <c r="F332" s="826"/>
      <c r="G332" s="826"/>
      <c r="H332" s="826"/>
      <c r="I332" s="826"/>
      <c r="J332" s="826"/>
      <c r="K332" s="826"/>
      <c r="L332" s="826"/>
      <c r="N332" s="869" t="s">
        <v>1159</v>
      </c>
      <c r="AA332" s="870"/>
      <c r="AG332" s="838"/>
      <c r="AH332" s="838"/>
      <c r="AI332" s="838"/>
      <c r="AJ332" s="838"/>
      <c r="AK332" s="838"/>
      <c r="AL332" s="838"/>
      <c r="AM332" s="838"/>
      <c r="AN332" s="838"/>
      <c r="AO332" s="838"/>
      <c r="AQ332" s="867" t="s">
        <v>1160</v>
      </c>
      <c r="BA332" s="867"/>
      <c r="BB332" s="867" t="s">
        <v>1161</v>
      </c>
    </row>
    <row r="333" spans="1:66" ht="11.25" customHeight="1" x14ac:dyDescent="0.35">
      <c r="A333" s="867" t="s">
        <v>1162</v>
      </c>
      <c r="B333" s="826"/>
      <c r="C333" s="826"/>
      <c r="D333" s="826"/>
      <c r="E333" s="826"/>
      <c r="F333" s="826"/>
      <c r="G333" s="826"/>
      <c r="H333" s="826"/>
      <c r="I333" s="826"/>
      <c r="J333" s="826"/>
      <c r="K333" s="826"/>
      <c r="L333" s="826"/>
      <c r="AA333" s="870"/>
      <c r="AC333" s="870"/>
      <c r="AD333" s="870"/>
      <c r="AE333" s="870"/>
      <c r="AF333" s="871"/>
      <c r="AG333" s="842"/>
      <c r="AH333" s="842"/>
      <c r="AI333" s="842"/>
      <c r="AJ333" s="842"/>
      <c r="AK333" s="842"/>
      <c r="AL333" s="842"/>
      <c r="AM333" s="842"/>
      <c r="AN333" s="842"/>
      <c r="AO333" s="843"/>
      <c r="BB333" s="867" t="s">
        <v>1163</v>
      </c>
      <c r="BC333" s="867"/>
      <c r="BD333" s="867"/>
      <c r="BE333" s="867"/>
      <c r="BF333" s="867"/>
      <c r="BG333" s="867"/>
      <c r="BH333" s="867"/>
      <c r="BI333" s="867"/>
      <c r="BJ333" s="867"/>
      <c r="BK333" s="867"/>
      <c r="BL333" s="867"/>
      <c r="BM333" s="867"/>
      <c r="BN333" s="843"/>
    </row>
    <row r="334" spans="1:66" ht="11.25" customHeight="1" x14ac:dyDescent="0.35">
      <c r="A334" s="867" t="s">
        <v>1164</v>
      </c>
      <c r="B334" s="826"/>
      <c r="C334" s="826"/>
      <c r="D334" s="826"/>
      <c r="E334" s="826"/>
      <c r="F334" s="826"/>
      <c r="G334" s="826"/>
      <c r="H334" s="826"/>
      <c r="I334" s="826"/>
      <c r="J334" s="826"/>
      <c r="K334" s="826"/>
      <c r="L334" s="826"/>
      <c r="O334" s="844"/>
      <c r="P334" s="844"/>
      <c r="Q334" s="842"/>
      <c r="R334" s="842"/>
      <c r="S334" s="842"/>
      <c r="T334" s="844"/>
      <c r="U334" s="842"/>
      <c r="V334" s="842"/>
      <c r="W334" s="844"/>
      <c r="X334" s="844"/>
      <c r="Y334" s="844"/>
      <c r="Z334" s="844"/>
      <c r="AA334" s="842"/>
      <c r="AB334" s="854"/>
      <c r="AC334" s="842"/>
      <c r="AD334" s="843"/>
      <c r="AE334" s="870"/>
      <c r="AF334" s="870"/>
      <c r="AG334" s="846"/>
      <c r="AH334" s="846"/>
      <c r="AI334" s="846"/>
      <c r="AJ334" s="846"/>
      <c r="AK334" s="846"/>
      <c r="AL334" s="846"/>
      <c r="AM334" s="846"/>
      <c r="AN334" s="846"/>
      <c r="AO334" s="847"/>
      <c r="AR334" s="842"/>
      <c r="AS334" s="844"/>
      <c r="AT334" s="844"/>
      <c r="AU334" s="842"/>
      <c r="AV334" s="842"/>
      <c r="AW334" s="842"/>
      <c r="AX334" s="842"/>
      <c r="AY334" s="842"/>
      <c r="AZ334" s="843"/>
      <c r="BA334" s="870"/>
      <c r="BB334" s="867"/>
      <c r="BC334" s="867"/>
      <c r="BD334" s="867"/>
      <c r="BE334" s="867"/>
      <c r="BF334" s="867"/>
      <c r="BG334" s="867"/>
      <c r="BH334" s="867"/>
      <c r="BI334" s="867"/>
      <c r="BJ334" s="867"/>
      <c r="BK334" s="867"/>
      <c r="BL334" s="867"/>
      <c r="BM334" s="867"/>
      <c r="BN334" s="847"/>
    </row>
    <row r="335" spans="1:66" ht="11.25" customHeight="1" x14ac:dyDescent="0.35">
      <c r="A335" s="867" t="s">
        <v>1165</v>
      </c>
      <c r="B335" s="826"/>
      <c r="C335" s="826"/>
      <c r="D335" s="826"/>
      <c r="E335" s="826"/>
      <c r="F335" s="826"/>
      <c r="G335" s="826"/>
      <c r="H335" s="826"/>
      <c r="I335" s="826"/>
      <c r="J335" s="826"/>
      <c r="K335" s="826"/>
      <c r="L335" s="826"/>
      <c r="M335" s="839"/>
      <c r="O335" s="848"/>
      <c r="P335" s="848"/>
      <c r="Q335" s="846"/>
      <c r="R335" s="846"/>
      <c r="S335" s="846"/>
      <c r="T335" s="848"/>
      <c r="U335" s="846"/>
      <c r="V335" s="846"/>
      <c r="W335" s="848"/>
      <c r="X335" s="848"/>
      <c r="Y335" s="848"/>
      <c r="Z335" s="848"/>
      <c r="AA335" s="846"/>
      <c r="AB335" s="872"/>
      <c r="AC335" s="846"/>
      <c r="AD335" s="847"/>
      <c r="AE335" s="870"/>
      <c r="AF335" s="870"/>
      <c r="AG335" s="842"/>
      <c r="AH335" s="842"/>
      <c r="AI335" s="842"/>
      <c r="AJ335" s="842"/>
      <c r="AK335" s="842"/>
      <c r="AL335" s="842"/>
      <c r="AM335" s="842"/>
      <c r="AN335" s="842"/>
      <c r="AO335" s="843"/>
      <c r="AR335" s="846"/>
      <c r="AS335" s="848"/>
      <c r="AT335" s="848"/>
      <c r="AU335" s="846"/>
      <c r="AV335" s="846"/>
      <c r="AW335" s="846"/>
      <c r="AX335" s="846"/>
      <c r="AY335" s="846"/>
      <c r="AZ335" s="847"/>
      <c r="BA335" s="870"/>
      <c r="BB335" s="867"/>
      <c r="BC335" s="842"/>
      <c r="BD335" s="842"/>
      <c r="BE335" s="842"/>
      <c r="BF335" s="842"/>
      <c r="BG335" s="844"/>
      <c r="BH335" s="842"/>
      <c r="BI335" s="842"/>
      <c r="BJ335" s="842"/>
      <c r="BK335" s="842"/>
      <c r="BL335" s="842"/>
      <c r="BM335" s="842"/>
      <c r="BN335" s="843"/>
    </row>
    <row r="336" spans="1:66" ht="11.25" customHeight="1" x14ac:dyDescent="0.35">
      <c r="A336" s="867" t="s">
        <v>1166</v>
      </c>
      <c r="B336" s="826"/>
      <c r="C336" s="826"/>
      <c r="D336" s="826"/>
      <c r="E336" s="826"/>
      <c r="F336" s="826"/>
      <c r="G336" s="826"/>
      <c r="H336" s="826"/>
      <c r="I336" s="826"/>
      <c r="J336" s="826"/>
      <c r="K336" s="826"/>
      <c r="L336" s="826"/>
      <c r="O336" s="844"/>
      <c r="P336" s="844"/>
      <c r="Q336" s="842"/>
      <c r="R336" s="842"/>
      <c r="S336" s="842"/>
      <c r="T336" s="844"/>
      <c r="U336" s="842"/>
      <c r="V336" s="842"/>
      <c r="W336" s="844"/>
      <c r="X336" s="844"/>
      <c r="Y336" s="844"/>
      <c r="Z336" s="844"/>
      <c r="AA336" s="842"/>
      <c r="AB336" s="854"/>
      <c r="AC336" s="842"/>
      <c r="AD336" s="843"/>
      <c r="AE336" s="870"/>
      <c r="AF336" s="870"/>
      <c r="AG336" s="842"/>
      <c r="AH336" s="842"/>
      <c r="AI336" s="842"/>
      <c r="AJ336" s="842"/>
      <c r="AK336" s="842"/>
      <c r="AL336" s="842"/>
      <c r="AM336" s="842"/>
      <c r="AN336" s="842"/>
      <c r="AO336" s="843"/>
      <c r="AR336" s="842"/>
      <c r="AS336" s="844"/>
      <c r="AT336" s="844"/>
      <c r="AU336" s="842"/>
      <c r="AV336" s="842"/>
      <c r="AW336" s="842"/>
      <c r="AX336" s="842"/>
      <c r="AY336" s="842"/>
      <c r="AZ336" s="843"/>
      <c r="BA336" s="870"/>
      <c r="BB336" s="867"/>
      <c r="BC336" s="842"/>
      <c r="BD336" s="842"/>
      <c r="BE336" s="842"/>
      <c r="BF336" s="842"/>
      <c r="BG336" s="844"/>
      <c r="BH336" s="842"/>
      <c r="BI336" s="842"/>
      <c r="BJ336" s="842"/>
      <c r="BK336" s="842"/>
      <c r="BL336" s="842"/>
      <c r="BM336" s="842"/>
      <c r="BN336" s="843"/>
    </row>
    <row r="337" spans="1:77" x14ac:dyDescent="0.35">
      <c r="A337" s="867" t="s">
        <v>1167</v>
      </c>
      <c r="O337" s="844"/>
      <c r="P337" s="844"/>
      <c r="Q337" s="842"/>
      <c r="R337" s="842"/>
      <c r="S337" s="842"/>
      <c r="T337" s="844"/>
      <c r="U337" s="842"/>
      <c r="V337" s="842"/>
      <c r="W337" s="844"/>
      <c r="X337" s="844"/>
      <c r="Y337" s="844"/>
      <c r="Z337" s="844"/>
      <c r="AA337" s="842"/>
      <c r="AB337" s="854"/>
      <c r="AC337" s="842"/>
      <c r="AD337" s="843"/>
      <c r="AE337" s="870"/>
      <c r="AF337" s="870"/>
      <c r="AG337" s="842"/>
      <c r="AH337" s="842"/>
      <c r="AI337" s="842"/>
      <c r="AJ337" s="842"/>
      <c r="AK337" s="842"/>
      <c r="AL337" s="842"/>
      <c r="AM337" s="842"/>
      <c r="AN337" s="842"/>
      <c r="AO337" s="843"/>
      <c r="AR337" s="842"/>
      <c r="AS337" s="844"/>
      <c r="AT337" s="844"/>
      <c r="AU337" s="842"/>
      <c r="AV337" s="842"/>
      <c r="AW337" s="842"/>
      <c r="AX337" s="842"/>
      <c r="AY337" s="842"/>
      <c r="AZ337" s="843"/>
      <c r="BA337" s="870"/>
      <c r="BB337" s="870"/>
      <c r="BC337" s="842"/>
      <c r="BD337" s="842"/>
      <c r="BE337" s="842"/>
      <c r="BF337" s="842"/>
      <c r="BG337" s="844"/>
      <c r="BH337" s="842"/>
      <c r="BI337" s="842"/>
      <c r="BJ337" s="842"/>
      <c r="BK337" s="842"/>
      <c r="BL337" s="842"/>
      <c r="BM337" s="842"/>
      <c r="BN337" s="843"/>
    </row>
    <row r="338" spans="1:77" s="873" customFormat="1" ht="12.75" customHeight="1" x14ac:dyDescent="0.7">
      <c r="A338" s="867" t="s">
        <v>1168</v>
      </c>
      <c r="O338" s="844"/>
      <c r="P338" s="844"/>
      <c r="Q338" s="842"/>
      <c r="R338" s="842"/>
      <c r="S338" s="842"/>
      <c r="T338" s="844"/>
      <c r="U338" s="842"/>
      <c r="V338" s="842"/>
      <c r="W338" s="844"/>
      <c r="X338" s="844"/>
      <c r="Y338" s="844"/>
      <c r="Z338" s="844"/>
      <c r="AA338" s="842"/>
      <c r="AB338" s="854"/>
      <c r="AC338" s="842"/>
      <c r="AD338" s="843"/>
      <c r="AE338" s="870"/>
      <c r="AF338" s="870"/>
      <c r="AG338" s="842"/>
      <c r="AH338" s="842"/>
      <c r="AI338" s="842"/>
      <c r="AJ338" s="842"/>
      <c r="AK338" s="842"/>
      <c r="AL338" s="842"/>
      <c r="AM338" s="842"/>
      <c r="AN338" s="842"/>
      <c r="AO338" s="843"/>
      <c r="AP338" s="824"/>
      <c r="AQ338" s="824"/>
      <c r="AR338" s="842"/>
      <c r="AS338" s="844"/>
      <c r="AT338" s="844"/>
      <c r="AU338" s="842"/>
      <c r="AV338" s="842"/>
      <c r="AW338" s="842"/>
      <c r="AX338" s="842"/>
      <c r="AY338" s="842"/>
      <c r="AZ338" s="843"/>
      <c r="BA338" s="870"/>
      <c r="BB338" s="870"/>
      <c r="BC338" s="842"/>
      <c r="BD338" s="842"/>
      <c r="BE338" s="842"/>
      <c r="BF338" s="842"/>
      <c r="BG338" s="844"/>
      <c r="BH338" s="842"/>
      <c r="BI338" s="842"/>
      <c r="BJ338" s="842"/>
      <c r="BK338" s="842"/>
      <c r="BL338" s="842"/>
      <c r="BM338" s="842"/>
      <c r="BN338" s="843"/>
      <c r="BO338" s="824"/>
      <c r="BP338" s="824"/>
      <c r="BQ338" s="824"/>
      <c r="BR338" s="824"/>
      <c r="BS338" s="824"/>
      <c r="BT338" s="824"/>
      <c r="BU338" s="824"/>
      <c r="BV338" s="824"/>
      <c r="BW338" s="824"/>
      <c r="BX338" s="824"/>
      <c r="BY338" s="824"/>
    </row>
    <row r="339" spans="1:77" x14ac:dyDescent="0.35">
      <c r="B339" s="842"/>
      <c r="C339" s="842"/>
      <c r="D339" s="842"/>
      <c r="E339" s="844"/>
      <c r="F339" s="842"/>
      <c r="G339" s="842"/>
      <c r="H339" s="842"/>
      <c r="I339" s="842"/>
      <c r="J339" s="842"/>
      <c r="K339" s="842"/>
      <c r="L339" s="842"/>
      <c r="M339" s="843"/>
      <c r="O339" s="844"/>
      <c r="P339" s="844"/>
      <c r="Q339" s="842"/>
      <c r="R339" s="842"/>
      <c r="S339" s="852"/>
      <c r="T339" s="844"/>
      <c r="U339" s="842"/>
      <c r="V339" s="842"/>
      <c r="W339" s="844"/>
      <c r="X339" s="844"/>
      <c r="Y339" s="844"/>
      <c r="Z339" s="844"/>
      <c r="AA339" s="842"/>
      <c r="AB339" s="854"/>
      <c r="AC339" s="842"/>
      <c r="AD339" s="843"/>
      <c r="AG339" s="842"/>
      <c r="AH339" s="842"/>
      <c r="AI339" s="842"/>
      <c r="AJ339" s="842"/>
      <c r="AK339" s="842"/>
      <c r="AL339" s="842"/>
      <c r="AM339" s="842"/>
      <c r="AN339" s="842"/>
      <c r="AO339" s="843"/>
      <c r="AR339" s="842"/>
      <c r="AS339" s="844"/>
      <c r="AT339" s="844"/>
      <c r="AU339" s="842"/>
      <c r="AV339" s="842"/>
      <c r="AW339" s="842"/>
      <c r="AX339" s="842"/>
      <c r="AY339" s="842"/>
      <c r="AZ339" s="843"/>
      <c r="BC339" s="842"/>
      <c r="BD339" s="842"/>
      <c r="BE339" s="842"/>
      <c r="BF339" s="842"/>
      <c r="BG339" s="844"/>
      <c r="BH339" s="842"/>
      <c r="BI339" s="842"/>
      <c r="BJ339" s="842"/>
      <c r="BK339" s="842"/>
      <c r="BL339" s="842"/>
      <c r="BM339" s="842"/>
      <c r="BN339" s="843"/>
    </row>
    <row r="340" spans="1:77" x14ac:dyDescent="0.35">
      <c r="A340" s="824" t="s">
        <v>2292</v>
      </c>
      <c r="B340" s="1075" t="s">
        <v>2293</v>
      </c>
      <c r="C340" s="874"/>
      <c r="D340" s="874"/>
      <c r="E340" s="874"/>
      <c r="F340" s="874"/>
      <c r="G340" s="874"/>
      <c r="H340" s="874"/>
      <c r="I340" s="874"/>
      <c r="J340" s="874"/>
      <c r="K340" s="874"/>
      <c r="L340" s="874"/>
      <c r="M340" s="874"/>
      <c r="N340" s="874"/>
      <c r="O340" s="874"/>
      <c r="P340" s="874"/>
      <c r="Q340" s="874"/>
      <c r="R340" s="874"/>
      <c r="S340" s="874"/>
      <c r="T340" s="874"/>
      <c r="U340" s="874"/>
      <c r="V340" s="874"/>
      <c r="W340" s="874"/>
      <c r="X340" s="874"/>
      <c r="Y340" s="874"/>
      <c r="Z340" s="874"/>
      <c r="AA340" s="874"/>
      <c r="AB340" s="874"/>
      <c r="AC340" s="874"/>
      <c r="AD340" s="874"/>
      <c r="AE340" s="874"/>
      <c r="AF340" s="874"/>
      <c r="AG340" s="874"/>
      <c r="AH340" s="874"/>
      <c r="AI340" s="874"/>
      <c r="AJ340" s="874"/>
      <c r="AK340" s="874"/>
      <c r="AL340" s="874"/>
      <c r="AM340" s="874"/>
      <c r="AN340" s="874"/>
      <c r="AO340" s="874"/>
      <c r="AP340" s="874"/>
      <c r="AQ340" s="874"/>
      <c r="AR340" s="874"/>
      <c r="AS340" s="874"/>
      <c r="AT340" s="874"/>
      <c r="AU340" s="874"/>
      <c r="AV340" s="874"/>
      <c r="AW340" s="874"/>
      <c r="AX340" s="874"/>
      <c r="AY340" s="874"/>
      <c r="AZ340" s="874"/>
      <c r="BA340" s="874"/>
      <c r="BB340" s="874"/>
      <c r="BC340" s="874"/>
      <c r="BD340" s="874"/>
      <c r="BE340" s="874"/>
      <c r="BF340" s="874"/>
      <c r="BG340" s="874"/>
      <c r="BH340" s="874"/>
      <c r="BI340" s="874"/>
      <c r="BJ340" s="874"/>
      <c r="BK340" s="874"/>
      <c r="BL340" s="874"/>
      <c r="BM340" s="874"/>
      <c r="BN340" s="874"/>
    </row>
    <row r="341" spans="1:77" x14ac:dyDescent="0.35">
      <c r="A341" s="875"/>
      <c r="B341" s="875"/>
      <c r="C341" s="875"/>
      <c r="D341" s="875"/>
      <c r="E341" s="875"/>
      <c r="F341" s="875"/>
      <c r="G341" s="875"/>
      <c r="H341" s="875"/>
      <c r="I341" s="875"/>
      <c r="J341" s="875"/>
      <c r="K341" s="875"/>
      <c r="L341" s="875"/>
      <c r="M341" s="875"/>
      <c r="N341" s="875"/>
      <c r="O341" s="875"/>
      <c r="P341" s="875"/>
      <c r="Q341" s="875"/>
      <c r="R341" s="875"/>
      <c r="S341" s="875"/>
      <c r="T341" s="875"/>
      <c r="U341" s="875"/>
      <c r="V341" s="875"/>
      <c r="W341" s="875"/>
      <c r="X341" s="875"/>
      <c r="Y341" s="875"/>
      <c r="Z341" s="875"/>
      <c r="AA341" s="875"/>
      <c r="AB341" s="875"/>
      <c r="AC341" s="875"/>
      <c r="AD341" s="875"/>
      <c r="AE341" s="875"/>
      <c r="AF341" s="875"/>
      <c r="AG341" s="875"/>
      <c r="AH341" s="875"/>
      <c r="AI341" s="875"/>
      <c r="AJ341" s="875"/>
      <c r="AK341" s="875"/>
      <c r="AL341" s="875"/>
      <c r="AM341" s="875"/>
      <c r="AN341" s="875"/>
      <c r="AO341" s="875"/>
      <c r="AP341" s="875"/>
      <c r="AQ341" s="875"/>
      <c r="AR341" s="875"/>
      <c r="AS341" s="875"/>
      <c r="AT341" s="875"/>
      <c r="AU341" s="875"/>
      <c r="AV341" s="875"/>
      <c r="AW341" s="875"/>
      <c r="AX341" s="875"/>
      <c r="AY341" s="875"/>
      <c r="AZ341" s="875"/>
      <c r="BA341" s="875"/>
      <c r="BB341" s="875"/>
      <c r="BC341" s="875"/>
      <c r="BD341" s="875"/>
      <c r="BE341" s="875"/>
      <c r="BF341" s="875"/>
      <c r="BG341" s="875"/>
      <c r="BH341" s="875"/>
      <c r="BI341" s="875"/>
      <c r="BJ341" s="875"/>
      <c r="BK341" s="875"/>
      <c r="BL341" s="875"/>
      <c r="BM341" s="875"/>
      <c r="BN341" s="875"/>
    </row>
    <row r="342" spans="1:77" x14ac:dyDescent="0.35">
      <c r="A342" s="875"/>
      <c r="B342" s="875"/>
      <c r="C342" s="875"/>
      <c r="D342" s="875"/>
      <c r="E342" s="875"/>
      <c r="F342" s="875"/>
      <c r="G342" s="875"/>
      <c r="H342" s="875"/>
      <c r="I342" s="875"/>
      <c r="J342" s="875"/>
      <c r="K342" s="875"/>
      <c r="L342" s="875"/>
      <c r="M342" s="875"/>
      <c r="N342" s="875"/>
      <c r="O342" s="875"/>
      <c r="P342" s="875"/>
      <c r="Q342" s="875"/>
      <c r="R342" s="875"/>
      <c r="S342" s="875"/>
      <c r="T342" s="875"/>
      <c r="U342" s="875"/>
      <c r="V342" s="875"/>
      <c r="W342" s="875"/>
      <c r="X342" s="875"/>
      <c r="Y342" s="875"/>
      <c r="Z342" s="875"/>
      <c r="AA342" s="875"/>
      <c r="AB342" s="875"/>
      <c r="AC342" s="875"/>
      <c r="AD342" s="875"/>
      <c r="AE342" s="875"/>
      <c r="AF342" s="875"/>
      <c r="AG342" s="875"/>
      <c r="AH342" s="875"/>
      <c r="AI342" s="875"/>
      <c r="AJ342" s="875"/>
      <c r="AK342" s="875"/>
      <c r="AL342" s="875"/>
      <c r="AM342" s="875"/>
      <c r="AN342" s="875"/>
      <c r="AO342" s="875"/>
      <c r="AP342" s="875"/>
      <c r="AQ342" s="875"/>
      <c r="AR342" s="875"/>
      <c r="AS342" s="875"/>
      <c r="AT342" s="875"/>
      <c r="AU342" s="875"/>
      <c r="AV342" s="875"/>
      <c r="AW342" s="875"/>
      <c r="AX342" s="875"/>
      <c r="AY342" s="875"/>
      <c r="AZ342" s="875"/>
      <c r="BA342" s="875"/>
      <c r="BB342" s="875"/>
      <c r="BC342" s="875"/>
      <c r="BD342" s="875"/>
      <c r="BE342" s="875"/>
      <c r="BF342" s="875"/>
      <c r="BG342" s="875"/>
      <c r="BH342" s="875"/>
      <c r="BI342" s="875"/>
      <c r="BJ342" s="875"/>
      <c r="BK342" s="875"/>
      <c r="BL342" s="875"/>
      <c r="BM342" s="875"/>
      <c r="BN342" s="875"/>
    </row>
    <row r="343" spans="1:77" x14ac:dyDescent="0.35">
      <c r="A343" s="875"/>
      <c r="B343" s="875"/>
      <c r="C343" s="875"/>
      <c r="D343" s="875"/>
      <c r="E343" s="875"/>
      <c r="F343" s="875"/>
      <c r="G343" s="875"/>
      <c r="H343" s="875"/>
      <c r="I343" s="875"/>
      <c r="J343" s="875"/>
      <c r="K343" s="875"/>
      <c r="L343" s="875"/>
      <c r="M343" s="875"/>
      <c r="N343" s="875"/>
      <c r="O343" s="875"/>
      <c r="P343" s="875"/>
      <c r="Q343" s="875"/>
      <c r="R343" s="875"/>
      <c r="S343" s="875"/>
      <c r="T343" s="875"/>
      <c r="U343" s="875"/>
      <c r="V343" s="875"/>
      <c r="W343" s="875"/>
      <c r="X343" s="875"/>
      <c r="Y343" s="875"/>
      <c r="Z343" s="875"/>
      <c r="AA343" s="875"/>
      <c r="AB343" s="875"/>
      <c r="AC343" s="875"/>
      <c r="AD343" s="875"/>
      <c r="AE343" s="875"/>
      <c r="AF343" s="875"/>
      <c r="AG343" s="875"/>
      <c r="AH343" s="875"/>
      <c r="AI343" s="875"/>
      <c r="AJ343" s="875"/>
      <c r="AK343" s="875"/>
      <c r="AL343" s="875"/>
      <c r="AM343" s="875"/>
      <c r="AN343" s="875"/>
      <c r="AO343" s="875"/>
      <c r="AP343" s="875"/>
      <c r="AQ343" s="875"/>
      <c r="AR343" s="875"/>
      <c r="AS343" s="875"/>
      <c r="AT343" s="875"/>
      <c r="AU343" s="875"/>
      <c r="AV343" s="875"/>
      <c r="AW343" s="875"/>
      <c r="AX343" s="875"/>
      <c r="AY343" s="875"/>
      <c r="AZ343" s="875"/>
      <c r="BA343" s="875"/>
      <c r="BB343" s="875"/>
      <c r="BC343" s="875"/>
      <c r="BD343" s="875"/>
      <c r="BE343" s="875"/>
      <c r="BF343" s="875"/>
      <c r="BG343" s="875"/>
      <c r="BH343" s="875"/>
      <c r="BI343" s="875"/>
      <c r="BJ343" s="875"/>
      <c r="BK343" s="875"/>
      <c r="BL343" s="875"/>
      <c r="BM343" s="875"/>
      <c r="BN343" s="875"/>
    </row>
    <row r="344" spans="1:77" x14ac:dyDescent="0.35">
      <c r="O344" s="876"/>
      <c r="P344" s="876"/>
      <c r="Q344" s="876"/>
      <c r="R344" s="876"/>
      <c r="S344" s="876"/>
      <c r="T344" s="876"/>
      <c r="U344" s="876"/>
      <c r="V344" s="876"/>
      <c r="W344" s="876"/>
      <c r="X344" s="876"/>
      <c r="Y344" s="876"/>
      <c r="Z344" s="876"/>
      <c r="AA344" s="876"/>
      <c r="AB344" s="876"/>
      <c r="AC344" s="876"/>
      <c r="AD344" s="876"/>
      <c r="AG344" s="840"/>
      <c r="AH344" s="840"/>
      <c r="AI344" s="840"/>
      <c r="AJ344" s="840"/>
      <c r="AK344" s="840"/>
      <c r="AL344" s="840"/>
      <c r="AM344" s="840"/>
      <c r="AN344" s="840"/>
      <c r="AO344" s="840"/>
      <c r="AR344" s="839"/>
      <c r="AS344" s="839"/>
      <c r="AT344" s="839"/>
      <c r="AU344" s="839"/>
      <c r="AV344" s="839"/>
      <c r="AW344" s="839"/>
      <c r="AX344" s="839"/>
      <c r="AY344" s="839"/>
      <c r="AZ344" s="839"/>
      <c r="BC344" s="839"/>
      <c r="BD344" s="839"/>
      <c r="BE344" s="839"/>
      <c r="BF344" s="839"/>
      <c r="BG344" s="839"/>
      <c r="BH344" s="839"/>
      <c r="BI344" s="839"/>
      <c r="BJ344" s="839"/>
      <c r="BK344" s="839"/>
      <c r="BL344" s="839"/>
      <c r="BM344" s="839"/>
      <c r="BN344" s="839"/>
    </row>
    <row r="345" spans="1:77" x14ac:dyDescent="0.35">
      <c r="B345" s="839"/>
      <c r="C345" s="839"/>
      <c r="D345" s="839"/>
      <c r="E345" s="839"/>
      <c r="F345" s="839"/>
      <c r="G345" s="839"/>
      <c r="H345" s="839"/>
      <c r="I345" s="839"/>
      <c r="J345" s="839"/>
      <c r="K345" s="839"/>
      <c r="L345" s="839"/>
      <c r="M345" s="839"/>
      <c r="O345" s="876"/>
      <c r="P345" s="876"/>
      <c r="Q345" s="876"/>
      <c r="R345" s="876"/>
      <c r="S345" s="876"/>
      <c r="T345" s="876"/>
      <c r="U345" s="876"/>
      <c r="V345" s="876"/>
      <c r="W345" s="876"/>
      <c r="X345" s="876"/>
      <c r="Y345" s="876"/>
      <c r="Z345" s="876"/>
      <c r="AA345" s="876"/>
      <c r="AB345" s="876"/>
      <c r="AC345" s="876"/>
      <c r="AD345" s="876"/>
      <c r="AG345" s="840"/>
      <c r="AH345" s="840"/>
      <c r="AI345" s="840"/>
      <c r="AJ345" s="840"/>
      <c r="AK345" s="840"/>
      <c r="AL345" s="840"/>
      <c r="AM345" s="840"/>
      <c r="AN345" s="840"/>
      <c r="AO345" s="840"/>
      <c r="AR345" s="839"/>
      <c r="AS345" s="839"/>
      <c r="AT345" s="839"/>
      <c r="AU345" s="839"/>
      <c r="AV345" s="839"/>
      <c r="AW345" s="839"/>
      <c r="AX345" s="839"/>
      <c r="AY345" s="839"/>
      <c r="AZ345" s="839"/>
      <c r="BC345" s="839"/>
      <c r="BD345" s="839"/>
      <c r="BE345" s="839"/>
      <c r="BF345" s="839"/>
      <c r="BG345" s="839"/>
      <c r="BH345" s="839"/>
      <c r="BI345" s="839"/>
      <c r="BJ345" s="839"/>
      <c r="BK345" s="839"/>
      <c r="BL345" s="839"/>
      <c r="BM345" s="839"/>
      <c r="BN345" s="839"/>
    </row>
    <row r="346" spans="1:77" x14ac:dyDescent="0.35">
      <c r="B346" s="839"/>
      <c r="C346" s="839"/>
      <c r="D346" s="839"/>
      <c r="E346" s="839"/>
      <c r="F346" s="839"/>
      <c r="G346" s="839"/>
      <c r="H346" s="839"/>
      <c r="I346" s="839"/>
      <c r="J346" s="839"/>
      <c r="K346" s="839"/>
      <c r="L346" s="839"/>
      <c r="M346" s="839"/>
      <c r="O346" s="876"/>
      <c r="P346" s="876"/>
      <c r="Q346" s="876"/>
      <c r="R346" s="876"/>
      <c r="S346" s="876"/>
      <c r="T346" s="876"/>
      <c r="U346" s="876"/>
      <c r="V346" s="876"/>
      <c r="W346" s="876"/>
      <c r="X346" s="876"/>
      <c r="Y346" s="876"/>
      <c r="Z346" s="876"/>
      <c r="AA346" s="876"/>
      <c r="AB346" s="876"/>
      <c r="AC346" s="876"/>
      <c r="AD346" s="876"/>
      <c r="AG346" s="840"/>
      <c r="AH346" s="840"/>
      <c r="AI346" s="840"/>
      <c r="AJ346" s="840"/>
      <c r="AK346" s="840"/>
      <c r="AL346" s="840"/>
      <c r="AM346" s="840"/>
      <c r="AN346" s="840"/>
      <c r="AO346" s="840"/>
      <c r="AR346" s="839"/>
      <c r="AS346" s="839"/>
      <c r="AT346" s="839"/>
      <c r="AU346" s="839"/>
      <c r="AV346" s="839"/>
      <c r="AW346" s="839"/>
      <c r="AX346" s="839"/>
      <c r="AY346" s="839"/>
      <c r="AZ346" s="839"/>
    </row>
    <row r="347" spans="1:77" x14ac:dyDescent="0.35">
      <c r="B347" s="839"/>
      <c r="C347" s="839"/>
      <c r="D347" s="839"/>
      <c r="E347" s="839"/>
      <c r="F347" s="839"/>
      <c r="G347" s="839"/>
      <c r="H347" s="839"/>
      <c r="I347" s="839"/>
      <c r="J347" s="839"/>
      <c r="K347" s="839"/>
      <c r="L347" s="839"/>
      <c r="M347" s="839"/>
      <c r="AG347" s="840"/>
      <c r="AH347" s="840"/>
      <c r="AI347" s="840"/>
      <c r="AJ347" s="840"/>
      <c r="AK347" s="840"/>
      <c r="AL347" s="840"/>
      <c r="AM347" s="840"/>
      <c r="AN347" s="840"/>
      <c r="AO347" s="840"/>
    </row>
    <row r="348" spans="1:77" x14ac:dyDescent="0.35">
      <c r="B348" s="839"/>
      <c r="C348" s="839"/>
      <c r="D348" s="839"/>
      <c r="E348" s="839"/>
      <c r="F348" s="839"/>
      <c r="G348" s="839"/>
      <c r="H348" s="839"/>
      <c r="I348" s="839"/>
      <c r="J348" s="839"/>
      <c r="K348" s="839"/>
      <c r="L348" s="839"/>
      <c r="M348" s="839"/>
      <c r="AG348" s="838"/>
      <c r="AH348" s="838"/>
      <c r="AI348" s="838"/>
      <c r="AJ348" s="838"/>
      <c r="AK348" s="838"/>
      <c r="AL348" s="838"/>
      <c r="AM348" s="838"/>
      <c r="AN348" s="838"/>
      <c r="AO348" s="838"/>
    </row>
    <row r="349" spans="1:77" x14ac:dyDescent="0.35">
      <c r="B349" s="839"/>
      <c r="C349" s="839"/>
      <c r="D349" s="839"/>
      <c r="E349" s="839"/>
      <c r="F349" s="839"/>
      <c r="G349" s="839"/>
      <c r="H349" s="839"/>
      <c r="I349" s="839"/>
      <c r="J349" s="839"/>
      <c r="K349" s="839"/>
      <c r="L349" s="839"/>
      <c r="M349" s="839"/>
      <c r="AG349" s="838"/>
      <c r="AH349" s="838"/>
      <c r="AI349" s="838"/>
      <c r="AJ349" s="838"/>
      <c r="AK349" s="838"/>
      <c r="AL349" s="838"/>
      <c r="AM349" s="838"/>
      <c r="AN349" s="838"/>
      <c r="AO349" s="838"/>
    </row>
    <row r="350" spans="1:77" x14ac:dyDescent="0.35">
      <c r="B350" s="839"/>
      <c r="C350" s="839"/>
      <c r="D350" s="839"/>
      <c r="E350" s="839"/>
      <c r="F350" s="839"/>
      <c r="G350" s="839"/>
      <c r="H350" s="839"/>
      <c r="I350" s="839"/>
      <c r="J350" s="839"/>
      <c r="K350" s="839"/>
      <c r="L350" s="839"/>
      <c r="M350" s="839"/>
      <c r="AG350" s="838"/>
      <c r="AH350" s="838"/>
      <c r="AI350" s="838"/>
      <c r="AJ350" s="838"/>
      <c r="AK350" s="838"/>
      <c r="AL350" s="838"/>
      <c r="AM350" s="838"/>
      <c r="AN350" s="838"/>
      <c r="AO350" s="838"/>
    </row>
    <row r="351" spans="1:77" x14ac:dyDescent="0.35">
      <c r="B351" s="839"/>
      <c r="C351" s="839"/>
      <c r="D351" s="839"/>
      <c r="E351" s="839"/>
      <c r="F351" s="839"/>
      <c r="G351" s="839"/>
      <c r="H351" s="839"/>
      <c r="I351" s="839"/>
      <c r="J351" s="839"/>
      <c r="K351" s="839"/>
      <c r="L351" s="839"/>
      <c r="M351" s="839"/>
      <c r="AG351" s="838"/>
      <c r="AH351" s="838"/>
      <c r="AI351" s="838"/>
      <c r="AJ351" s="838"/>
      <c r="AK351" s="838"/>
      <c r="AL351" s="838"/>
      <c r="AM351" s="838"/>
      <c r="AN351" s="838"/>
      <c r="AO351" s="838"/>
    </row>
    <row r="352" spans="1:77" x14ac:dyDescent="0.35">
      <c r="B352" s="839"/>
      <c r="C352" s="839"/>
      <c r="D352" s="839"/>
      <c r="E352" s="839"/>
      <c r="F352" s="839"/>
      <c r="G352" s="839"/>
      <c r="H352" s="839"/>
      <c r="I352" s="839"/>
      <c r="J352" s="839"/>
      <c r="K352" s="839"/>
      <c r="L352" s="839"/>
      <c r="M352" s="839"/>
      <c r="AG352" s="838"/>
      <c r="AH352" s="838"/>
      <c r="AI352" s="838"/>
      <c r="AJ352" s="838"/>
      <c r="AK352" s="838"/>
      <c r="AL352" s="838"/>
      <c r="AM352" s="838"/>
      <c r="AN352" s="838"/>
      <c r="AO352" s="838"/>
    </row>
    <row r="353" spans="33:41" x14ac:dyDescent="0.35">
      <c r="AG353" s="838"/>
      <c r="AH353" s="838"/>
      <c r="AI353" s="838"/>
      <c r="AJ353" s="838"/>
      <c r="AK353" s="838"/>
      <c r="AL353" s="838"/>
      <c r="AM353" s="838"/>
      <c r="AN353" s="838"/>
      <c r="AO353" s="838"/>
    </row>
    <row r="354" spans="33:41" x14ac:dyDescent="0.35">
      <c r="AG354" s="838"/>
      <c r="AH354" s="838"/>
      <c r="AI354" s="838"/>
      <c r="AJ354" s="838"/>
      <c r="AK354" s="838"/>
      <c r="AL354" s="838"/>
      <c r="AM354" s="838"/>
      <c r="AN354" s="838"/>
      <c r="AO354" s="838"/>
    </row>
    <row r="355" spans="33:41" x14ac:dyDescent="0.35">
      <c r="AG355" s="838"/>
      <c r="AH355" s="838"/>
      <c r="AI355" s="838"/>
      <c r="AJ355" s="838"/>
      <c r="AK355" s="838"/>
      <c r="AL355" s="838"/>
      <c r="AM355" s="838"/>
      <c r="AN355" s="838"/>
      <c r="AO355" s="838"/>
    </row>
    <row r="356" spans="33:41" x14ac:dyDescent="0.35">
      <c r="AG356" s="838"/>
      <c r="AH356" s="838"/>
      <c r="AI356" s="838"/>
      <c r="AJ356" s="838"/>
      <c r="AK356" s="838"/>
      <c r="AL356" s="838"/>
      <c r="AM356" s="838"/>
      <c r="AN356" s="838"/>
      <c r="AO356" s="838"/>
    </row>
    <row r="357" spans="33:41" x14ac:dyDescent="0.35">
      <c r="AG357" s="838"/>
      <c r="AH357" s="838"/>
      <c r="AI357" s="838"/>
      <c r="AJ357" s="838"/>
      <c r="AK357" s="838"/>
      <c r="AL357" s="838"/>
      <c r="AM357" s="838"/>
      <c r="AN357" s="838"/>
      <c r="AO357" s="838"/>
    </row>
    <row r="358" spans="33:41" x14ac:dyDescent="0.35">
      <c r="AG358" s="838"/>
      <c r="AH358" s="838"/>
      <c r="AI358" s="838"/>
      <c r="AJ358" s="838"/>
      <c r="AK358" s="838"/>
      <c r="AL358" s="838"/>
      <c r="AM358" s="838"/>
      <c r="AN358" s="838"/>
      <c r="AO358" s="838"/>
    </row>
    <row r="359" spans="33:41" x14ac:dyDescent="0.35">
      <c r="AG359" s="838"/>
      <c r="AH359" s="838"/>
      <c r="AI359" s="838"/>
      <c r="AJ359" s="838"/>
      <c r="AK359" s="838"/>
      <c r="AL359" s="838"/>
      <c r="AM359" s="838"/>
      <c r="AN359" s="838"/>
      <c r="AO359" s="838"/>
    </row>
    <row r="360" spans="33:41" x14ac:dyDescent="0.35">
      <c r="AG360" s="838"/>
      <c r="AH360" s="838"/>
      <c r="AI360" s="838"/>
      <c r="AJ360" s="838"/>
      <c r="AK360" s="838"/>
      <c r="AL360" s="838"/>
      <c r="AM360" s="838"/>
      <c r="AN360" s="838"/>
      <c r="AO360" s="838"/>
    </row>
    <row r="377" spans="1:66" s="873" customFormat="1" ht="27.4" x14ac:dyDescent="0.7">
      <c r="A377" s="824"/>
      <c r="B377" s="824"/>
      <c r="C377" s="824"/>
      <c r="D377" s="824"/>
      <c r="E377" s="824"/>
      <c r="F377" s="824"/>
      <c r="G377" s="824"/>
      <c r="H377" s="824"/>
      <c r="I377" s="824"/>
      <c r="J377" s="824"/>
      <c r="K377" s="824"/>
      <c r="L377" s="824"/>
      <c r="M377" s="824"/>
      <c r="AF377" s="824"/>
      <c r="AG377" s="824"/>
      <c r="AH377" s="824"/>
      <c r="AI377" s="824"/>
      <c r="AJ377" s="824"/>
      <c r="AK377" s="824"/>
      <c r="AL377" s="824"/>
      <c r="AM377" s="824"/>
      <c r="AN377" s="824"/>
      <c r="AO377" s="824"/>
      <c r="AQ377" s="824"/>
      <c r="AR377" s="824"/>
      <c r="AS377" s="824"/>
      <c r="AT377" s="824"/>
      <c r="AU377" s="824"/>
      <c r="AV377" s="824"/>
      <c r="AW377" s="824"/>
      <c r="AX377" s="824"/>
      <c r="AY377" s="824"/>
      <c r="AZ377" s="824"/>
      <c r="BA377" s="824"/>
      <c r="BB377" s="824"/>
      <c r="BC377" s="824"/>
      <c r="BD377" s="824"/>
      <c r="BE377" s="824"/>
      <c r="BF377" s="824"/>
      <c r="BG377" s="824"/>
      <c r="BH377" s="824"/>
      <c r="BI377" s="824"/>
      <c r="BJ377" s="824"/>
      <c r="BK377" s="824"/>
      <c r="BL377" s="824"/>
      <c r="BM377" s="824"/>
      <c r="BN377" s="824"/>
    </row>
    <row r="378" spans="1:66" s="873" customFormat="1" ht="27.4" x14ac:dyDescent="0.7">
      <c r="AQ378" s="824"/>
      <c r="AR378" s="824"/>
      <c r="AS378" s="824"/>
      <c r="AT378" s="824"/>
      <c r="AU378" s="824"/>
      <c r="AV378" s="824"/>
      <c r="AW378" s="824"/>
      <c r="AX378" s="824"/>
      <c r="AY378" s="824"/>
      <c r="AZ378" s="824"/>
      <c r="BA378" s="824"/>
      <c r="BB378" s="824"/>
      <c r="BC378" s="824"/>
      <c r="BD378" s="824"/>
      <c r="BE378" s="824"/>
      <c r="BF378" s="824"/>
      <c r="BG378" s="824"/>
      <c r="BH378" s="824"/>
      <c r="BI378" s="824"/>
      <c r="BJ378" s="824"/>
      <c r="BK378" s="824"/>
      <c r="BL378" s="824"/>
      <c r="BM378" s="824"/>
      <c r="BN378" s="824"/>
    </row>
    <row r="379" spans="1:66" ht="27.4" x14ac:dyDescent="0.7">
      <c r="A379" s="873"/>
      <c r="B379" s="873"/>
      <c r="C379" s="873"/>
      <c r="D379" s="873"/>
      <c r="E379" s="873"/>
      <c r="F379" s="873"/>
      <c r="G379" s="873"/>
      <c r="H379" s="873"/>
      <c r="I379" s="873"/>
      <c r="J379" s="873"/>
      <c r="K379" s="873"/>
      <c r="L379" s="873"/>
      <c r="M379" s="873"/>
      <c r="AF379" s="873"/>
      <c r="AG379" s="873"/>
      <c r="AH379" s="873"/>
      <c r="AI379" s="873"/>
      <c r="AJ379" s="873"/>
      <c r="AK379" s="873"/>
      <c r="AL379" s="873"/>
      <c r="AM379" s="873"/>
      <c r="AN379" s="873"/>
      <c r="AO379" s="873"/>
      <c r="AQ379" s="873"/>
      <c r="AR379" s="873"/>
      <c r="AS379" s="873"/>
      <c r="AT379" s="873"/>
      <c r="AU379" s="873"/>
      <c r="AV379" s="873"/>
      <c r="AW379" s="873"/>
      <c r="AX379" s="873"/>
      <c r="AY379" s="873"/>
      <c r="AZ379" s="873"/>
      <c r="BB379" s="873"/>
      <c r="BC379" s="873"/>
      <c r="BD379" s="873"/>
      <c r="BE379" s="873"/>
      <c r="BF379" s="873"/>
      <c r="BG379" s="873"/>
      <c r="BH379" s="873"/>
      <c r="BI379" s="873"/>
      <c r="BJ379" s="873"/>
      <c r="BK379" s="873"/>
      <c r="BL379" s="873"/>
      <c r="BM379" s="873"/>
      <c r="BN379" s="873"/>
    </row>
    <row r="380" spans="1:66" ht="27.4" x14ac:dyDescent="0.7">
      <c r="AQ380" s="873"/>
      <c r="AR380" s="873"/>
      <c r="AS380" s="873"/>
      <c r="AT380" s="873"/>
      <c r="AU380" s="873"/>
      <c r="AV380" s="873"/>
      <c r="AW380" s="873"/>
      <c r="AX380" s="873"/>
      <c r="AY380" s="873"/>
      <c r="AZ380" s="873"/>
      <c r="BB380" s="873"/>
      <c r="BC380" s="873"/>
      <c r="BD380" s="873"/>
      <c r="BE380" s="873"/>
      <c r="BF380" s="873"/>
      <c r="BG380" s="873"/>
      <c r="BH380" s="873"/>
      <c r="BI380" s="873"/>
      <c r="BJ380" s="873"/>
      <c r="BK380" s="873"/>
      <c r="BL380" s="873"/>
      <c r="BM380" s="873"/>
      <c r="BN380" s="873"/>
    </row>
    <row r="426" spans="1:66" s="873" customFormat="1" ht="27.4" x14ac:dyDescent="0.7">
      <c r="A426" s="824"/>
      <c r="B426" s="824"/>
      <c r="C426" s="824"/>
      <c r="D426" s="824"/>
      <c r="E426" s="824"/>
      <c r="F426" s="824"/>
      <c r="G426" s="824"/>
      <c r="H426" s="824"/>
      <c r="I426" s="824"/>
      <c r="J426" s="824"/>
      <c r="K426" s="824"/>
      <c r="L426" s="824"/>
      <c r="M426" s="824"/>
      <c r="AF426" s="824"/>
      <c r="AG426" s="824"/>
      <c r="AH426" s="824"/>
      <c r="AI426" s="824"/>
      <c r="AJ426" s="824"/>
      <c r="AK426" s="824"/>
      <c r="AL426" s="824"/>
      <c r="AM426" s="824"/>
      <c r="AN426" s="824"/>
      <c r="AO426" s="824"/>
      <c r="AQ426" s="824"/>
      <c r="AR426" s="824"/>
      <c r="AS426" s="824"/>
      <c r="AT426" s="824"/>
      <c r="AU426" s="824"/>
      <c r="AV426" s="824"/>
      <c r="AW426" s="824"/>
      <c r="AX426" s="824"/>
      <c r="AY426" s="824"/>
      <c r="AZ426" s="824"/>
      <c r="BA426" s="824"/>
      <c r="BB426" s="824"/>
      <c r="BC426" s="824"/>
      <c r="BD426" s="824"/>
      <c r="BE426" s="824"/>
      <c r="BF426" s="824"/>
      <c r="BG426" s="824"/>
      <c r="BH426" s="824"/>
      <c r="BI426" s="824"/>
      <c r="BJ426" s="824"/>
      <c r="BK426" s="824"/>
      <c r="BL426" s="824"/>
      <c r="BM426" s="824"/>
      <c r="BN426" s="824"/>
    </row>
    <row r="427" spans="1:66" s="873" customFormat="1" ht="27.4" x14ac:dyDescent="0.7">
      <c r="AQ427" s="824"/>
      <c r="AR427" s="824"/>
      <c r="AS427" s="824"/>
      <c r="AT427" s="824"/>
      <c r="AU427" s="824"/>
      <c r="AV427" s="824"/>
      <c r="AW427" s="824"/>
      <c r="AX427" s="824"/>
      <c r="AY427" s="824"/>
      <c r="AZ427" s="824"/>
      <c r="BA427" s="824"/>
      <c r="BB427" s="824"/>
      <c r="BC427" s="824"/>
      <c r="BD427" s="824"/>
      <c r="BE427" s="824"/>
      <c r="BF427" s="824"/>
      <c r="BG427" s="824"/>
      <c r="BH427" s="824"/>
      <c r="BI427" s="824"/>
      <c r="BJ427" s="824"/>
      <c r="BK427" s="824"/>
      <c r="BL427" s="824"/>
      <c r="BM427" s="824"/>
      <c r="BN427" s="824"/>
    </row>
    <row r="428" spans="1:66" ht="27.4" x14ac:dyDescent="0.7">
      <c r="A428" s="873"/>
      <c r="B428" s="873"/>
      <c r="C428" s="873"/>
      <c r="D428" s="873"/>
      <c r="E428" s="873"/>
      <c r="F428" s="873"/>
      <c r="G428" s="873"/>
      <c r="H428" s="873"/>
      <c r="I428" s="873"/>
      <c r="J428" s="873"/>
      <c r="K428" s="873"/>
      <c r="L428" s="873"/>
      <c r="M428" s="873"/>
      <c r="AF428" s="873"/>
      <c r="AG428" s="873"/>
      <c r="AH428" s="873"/>
      <c r="AI428" s="873"/>
      <c r="AJ428" s="873"/>
      <c r="AK428" s="873"/>
      <c r="AL428" s="873"/>
      <c r="AM428" s="873"/>
      <c r="AN428" s="873"/>
      <c r="AO428" s="873"/>
      <c r="AQ428" s="873"/>
      <c r="AR428" s="873"/>
      <c r="AS428" s="873"/>
      <c r="AT428" s="873"/>
      <c r="AU428" s="873"/>
      <c r="AV428" s="873"/>
      <c r="AW428" s="873"/>
      <c r="AX428" s="873"/>
      <c r="AY428" s="873"/>
      <c r="AZ428" s="873"/>
      <c r="BB428" s="873"/>
      <c r="BC428" s="873"/>
      <c r="BD428" s="873"/>
      <c r="BE428" s="873"/>
      <c r="BF428" s="873"/>
      <c r="BG428" s="873"/>
      <c r="BH428" s="873"/>
      <c r="BI428" s="873"/>
      <c r="BJ428" s="873"/>
      <c r="BK428" s="873"/>
      <c r="BL428" s="873"/>
      <c r="BM428" s="873"/>
      <c r="BN428" s="873"/>
    </row>
    <row r="429" spans="1:66" ht="27.4" x14ac:dyDescent="0.7">
      <c r="AQ429" s="873"/>
      <c r="AR429" s="873"/>
      <c r="AS429" s="873"/>
      <c r="AT429" s="873"/>
      <c r="AU429" s="873"/>
      <c r="AV429" s="873"/>
      <c r="AW429" s="873"/>
      <c r="AX429" s="873"/>
      <c r="AY429" s="873"/>
      <c r="AZ429" s="873"/>
      <c r="BB429" s="873"/>
      <c r="BC429" s="873"/>
      <c r="BD429" s="873"/>
      <c r="BE429" s="873"/>
      <c r="BF429" s="873"/>
      <c r="BG429" s="873"/>
      <c r="BH429" s="873"/>
      <c r="BI429" s="873"/>
      <c r="BJ429" s="873"/>
      <c r="BK429" s="873"/>
      <c r="BL429" s="873"/>
      <c r="BM429" s="873"/>
      <c r="BN429" s="873"/>
    </row>
    <row r="430" spans="1:66" ht="13.15" x14ac:dyDescent="0.4">
      <c r="A430" s="877"/>
    </row>
    <row r="435" spans="2:13" x14ac:dyDescent="0.35">
      <c r="B435" s="878"/>
      <c r="C435" s="878"/>
      <c r="D435" s="878"/>
      <c r="E435" s="878"/>
      <c r="F435" s="878"/>
      <c r="G435" s="878"/>
      <c r="H435" s="878"/>
      <c r="I435" s="878"/>
      <c r="J435" s="878"/>
      <c r="L435" s="878"/>
      <c r="M435" s="878"/>
    </row>
    <row r="436" spans="2:13" x14ac:dyDescent="0.35">
      <c r="B436" s="878"/>
      <c r="C436" s="878"/>
      <c r="D436" s="878"/>
      <c r="E436" s="878"/>
      <c r="F436" s="878"/>
      <c r="G436" s="878"/>
      <c r="H436" s="878"/>
      <c r="I436" s="878"/>
      <c r="J436" s="878"/>
      <c r="L436" s="878"/>
      <c r="M436" s="878"/>
    </row>
    <row r="437" spans="2:13" x14ac:dyDescent="0.35">
      <c r="B437" s="878"/>
      <c r="C437" s="878"/>
      <c r="D437" s="878"/>
      <c r="E437" s="878"/>
      <c r="F437" s="878"/>
      <c r="G437" s="878"/>
      <c r="H437" s="878"/>
      <c r="I437" s="878"/>
      <c r="J437" s="878"/>
      <c r="L437" s="878"/>
      <c r="M437" s="878"/>
    </row>
    <row r="438" spans="2:13" x14ac:dyDescent="0.35">
      <c r="B438" s="878"/>
      <c r="C438" s="878"/>
      <c r="D438" s="878"/>
      <c r="E438" s="878"/>
      <c r="F438" s="878"/>
      <c r="G438" s="878"/>
      <c r="H438" s="878"/>
      <c r="I438" s="878"/>
      <c r="J438" s="878"/>
      <c r="L438" s="878"/>
      <c r="M438" s="878"/>
    </row>
    <row r="439" spans="2:13" x14ac:dyDescent="0.35">
      <c r="B439" s="878"/>
      <c r="C439" s="878"/>
      <c r="E439" s="878"/>
      <c r="F439" s="878"/>
      <c r="G439" s="878"/>
      <c r="H439" s="878"/>
      <c r="I439" s="878"/>
      <c r="J439" s="878"/>
      <c r="L439" s="878"/>
      <c r="M439" s="878"/>
    </row>
    <row r="440" spans="2:13" x14ac:dyDescent="0.35">
      <c r="B440" s="878"/>
      <c r="C440" s="878"/>
      <c r="D440" s="878"/>
      <c r="E440" s="878"/>
      <c r="F440" s="878"/>
      <c r="G440" s="878"/>
      <c r="H440" s="878"/>
      <c r="I440" s="878"/>
      <c r="J440" s="878"/>
      <c r="L440" s="878"/>
      <c r="M440" s="878"/>
    </row>
    <row r="441" spans="2:13" x14ac:dyDescent="0.35">
      <c r="B441" s="878"/>
      <c r="C441" s="878"/>
      <c r="D441" s="878"/>
      <c r="F441" s="878"/>
      <c r="G441" s="878"/>
      <c r="H441" s="878"/>
      <c r="I441" s="878"/>
      <c r="J441" s="878"/>
      <c r="L441" s="878"/>
      <c r="M441" s="878"/>
    </row>
    <row r="442" spans="2:13" x14ac:dyDescent="0.35">
      <c r="B442" s="878"/>
      <c r="C442" s="878"/>
      <c r="D442" s="878"/>
      <c r="F442" s="878"/>
      <c r="G442" s="878"/>
      <c r="H442" s="878"/>
      <c r="I442" s="878"/>
      <c r="J442" s="878"/>
      <c r="L442" s="878"/>
      <c r="M442" s="878"/>
    </row>
    <row r="443" spans="2:13" x14ac:dyDescent="0.35">
      <c r="B443" s="878"/>
      <c r="C443" s="878"/>
      <c r="F443" s="878"/>
      <c r="G443" s="878"/>
      <c r="H443" s="878"/>
      <c r="I443" s="878"/>
      <c r="J443" s="878"/>
      <c r="L443" s="878"/>
      <c r="M443" s="878"/>
    </row>
    <row r="444" spans="2:13" x14ac:dyDescent="0.35">
      <c r="B444" s="878"/>
      <c r="C444" s="878"/>
      <c r="F444" s="878"/>
      <c r="G444" s="878"/>
      <c r="H444" s="878"/>
      <c r="I444" s="878"/>
      <c r="J444" s="878"/>
      <c r="L444" s="878"/>
      <c r="M444" s="878"/>
    </row>
    <row r="446" spans="2:13" x14ac:dyDescent="0.35">
      <c r="B446" s="878"/>
      <c r="C446" s="878"/>
      <c r="F446" s="878"/>
      <c r="G446" s="878"/>
      <c r="H446" s="878"/>
      <c r="I446" s="878"/>
      <c r="J446" s="878"/>
      <c r="L446" s="878"/>
      <c r="M446" s="878"/>
    </row>
    <row r="447" spans="2:13" x14ac:dyDescent="0.35">
      <c r="B447" s="878"/>
      <c r="C447" s="878"/>
      <c r="F447" s="878"/>
      <c r="G447" s="878"/>
      <c r="H447" s="878"/>
      <c r="I447" s="878"/>
      <c r="J447" s="878"/>
      <c r="L447" s="878"/>
      <c r="M447" s="878"/>
    </row>
    <row r="448" spans="2:13" x14ac:dyDescent="0.35">
      <c r="B448" s="878"/>
      <c r="C448" s="878"/>
      <c r="F448" s="878"/>
      <c r="G448" s="878"/>
      <c r="H448" s="878"/>
      <c r="I448" s="878"/>
      <c r="J448" s="878"/>
      <c r="L448" s="878"/>
      <c r="M448" s="878"/>
    </row>
    <row r="449" spans="2:13" x14ac:dyDescent="0.35">
      <c r="B449" s="878"/>
      <c r="C449" s="878"/>
      <c r="F449" s="878"/>
      <c r="G449" s="878"/>
      <c r="H449" s="878"/>
      <c r="I449" s="878"/>
      <c r="J449" s="878"/>
      <c r="L449" s="878"/>
      <c r="M449" s="878"/>
    </row>
    <row r="450" spans="2:13" x14ac:dyDescent="0.35">
      <c r="B450" s="878"/>
      <c r="C450" s="878"/>
      <c r="F450" s="878"/>
      <c r="G450" s="878"/>
      <c r="H450" s="878"/>
      <c r="I450" s="878"/>
      <c r="J450" s="878"/>
      <c r="L450" s="878"/>
      <c r="M450" s="878"/>
    </row>
    <row r="451" spans="2:13" x14ac:dyDescent="0.35">
      <c r="B451" s="878"/>
      <c r="C451" s="878"/>
      <c r="F451" s="878"/>
      <c r="G451" s="878"/>
      <c r="H451" s="878"/>
      <c r="I451" s="878"/>
      <c r="J451" s="878"/>
      <c r="L451" s="878"/>
      <c r="M451" s="878"/>
    </row>
    <row r="452" spans="2:13" x14ac:dyDescent="0.35">
      <c r="B452" s="878"/>
      <c r="C452" s="878"/>
      <c r="F452" s="878"/>
      <c r="G452" s="878"/>
      <c r="H452" s="878"/>
      <c r="I452" s="878"/>
      <c r="J452" s="878"/>
      <c r="L452" s="878"/>
      <c r="M452" s="878"/>
    </row>
    <row r="454" spans="2:13" x14ac:dyDescent="0.35">
      <c r="B454" s="878"/>
      <c r="C454" s="878"/>
      <c r="F454" s="878"/>
      <c r="G454" s="878"/>
      <c r="H454" s="878"/>
      <c r="I454" s="878"/>
      <c r="J454" s="878"/>
      <c r="L454" s="878"/>
      <c r="M454" s="878"/>
    </row>
    <row r="455" spans="2:13" x14ac:dyDescent="0.35">
      <c r="B455" s="878"/>
      <c r="C455" s="878"/>
      <c r="G455" s="878"/>
      <c r="H455" s="878"/>
      <c r="I455" s="878"/>
      <c r="J455" s="878"/>
      <c r="L455" s="878"/>
    </row>
    <row r="456" spans="2:13" x14ac:dyDescent="0.35">
      <c r="B456" s="878"/>
      <c r="C456" s="878"/>
      <c r="F456" s="878"/>
      <c r="G456" s="878"/>
      <c r="H456" s="878"/>
      <c r="I456" s="878"/>
      <c r="J456" s="878"/>
      <c r="L456" s="878"/>
    </row>
    <row r="458" spans="2:13" x14ac:dyDescent="0.35">
      <c r="B458" s="878"/>
      <c r="C458" s="878"/>
      <c r="F458" s="878"/>
      <c r="G458" s="878"/>
      <c r="H458" s="878"/>
      <c r="I458" s="878"/>
      <c r="J458" s="878"/>
      <c r="L458" s="878"/>
      <c r="M458" s="878"/>
    </row>
    <row r="459" spans="2:13" x14ac:dyDescent="0.35">
      <c r="B459" s="878"/>
      <c r="C459" s="878"/>
      <c r="F459" s="878"/>
      <c r="G459" s="878"/>
      <c r="H459" s="878"/>
      <c r="I459" s="878"/>
      <c r="J459" s="878"/>
      <c r="L459" s="878"/>
      <c r="M459" s="878"/>
    </row>
    <row r="460" spans="2:13" x14ac:dyDescent="0.35">
      <c r="B460" s="878"/>
      <c r="C460" s="878"/>
      <c r="F460" s="878"/>
      <c r="G460" s="878"/>
      <c r="H460" s="878"/>
      <c r="I460" s="878"/>
      <c r="J460" s="878"/>
      <c r="L460" s="878"/>
    </row>
    <row r="461" spans="2:13" x14ac:dyDescent="0.35">
      <c r="B461" s="878"/>
      <c r="C461" s="878"/>
      <c r="F461" s="878"/>
      <c r="G461" s="878"/>
      <c r="H461" s="878"/>
      <c r="I461" s="878"/>
      <c r="J461" s="878"/>
      <c r="L461" s="878"/>
    </row>
    <row r="462" spans="2:13" x14ac:dyDescent="0.35">
      <c r="B462" s="878"/>
      <c r="G462" s="878"/>
      <c r="H462" s="878"/>
      <c r="I462" s="878"/>
      <c r="J462" s="878"/>
      <c r="L462" s="878"/>
    </row>
    <row r="464" spans="2:13" x14ac:dyDescent="0.35">
      <c r="G464" s="878"/>
      <c r="H464" s="878"/>
      <c r="I464" s="878"/>
      <c r="J464" s="878"/>
    </row>
    <row r="466" spans="2:13" x14ac:dyDescent="0.35">
      <c r="F466" s="878"/>
    </row>
    <row r="469" spans="2:13" x14ac:dyDescent="0.35">
      <c r="B469" s="878"/>
      <c r="F469" s="878"/>
      <c r="G469" s="878"/>
      <c r="H469" s="878"/>
      <c r="I469" s="878"/>
      <c r="J469" s="878"/>
      <c r="L469" s="878"/>
      <c r="M469" s="878"/>
    </row>
  </sheetData>
  <mergeCells count="11">
    <mergeCell ref="BB4:BN4"/>
    <mergeCell ref="A5:M5"/>
    <mergeCell ref="N5:Y5"/>
    <mergeCell ref="AF5:AO5"/>
    <mergeCell ref="AQ5:BA5"/>
    <mergeCell ref="BB5:BN5"/>
    <mergeCell ref="O6:R6"/>
    <mergeCell ref="A4:M4"/>
    <mergeCell ref="N4:AD4"/>
    <mergeCell ref="AF4:AO4"/>
    <mergeCell ref="AQ4:AZ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330"/>
  <sheetViews>
    <sheetView zoomScaleNormal="100" workbookViewId="0">
      <pane xSplit="1" ySplit="9" topLeftCell="B150" activePane="bottomRight" state="frozen"/>
      <selection pane="topRight" activeCell="B1" sqref="B1"/>
      <selection pane="bottomLeft" activeCell="A10" sqref="A10"/>
      <selection pane="bottomRight" activeCell="A2" sqref="A2"/>
    </sheetView>
  </sheetViews>
  <sheetFormatPr defaultRowHeight="14.25" x14ac:dyDescent="0.45"/>
  <cols>
    <col min="16" max="16" width="12" customWidth="1"/>
    <col min="17" max="17" width="19" customWidth="1"/>
    <col min="18" max="18" width="17" customWidth="1"/>
    <col min="19" max="19" width="22.73046875" customWidth="1"/>
    <col min="20" max="20" width="20.796875" customWidth="1"/>
  </cols>
  <sheetData>
    <row r="1" spans="1:20" ht="17.649999999999999" x14ac:dyDescent="0.5">
      <c r="A1" s="1090" t="s">
        <v>2499</v>
      </c>
      <c r="B1" s="1"/>
      <c r="C1" s="1"/>
      <c r="D1" s="1"/>
      <c r="E1" s="2"/>
      <c r="G1" s="2"/>
      <c r="H1" s="2"/>
      <c r="K1" s="3"/>
      <c r="L1" s="3"/>
      <c r="M1" s="3"/>
      <c r="N1" s="3"/>
      <c r="O1" s="3"/>
      <c r="P1" s="3"/>
      <c r="Q1" s="3"/>
      <c r="R1" s="3"/>
      <c r="S1" s="3"/>
      <c r="T1" s="3"/>
    </row>
    <row r="2" spans="1:20" s="926" customFormat="1" ht="15.75" x14ac:dyDescent="0.5">
      <c r="A2"/>
      <c r="B2" s="1166"/>
      <c r="C2" s="1173"/>
      <c r="D2" s="1136"/>
      <c r="E2" s="1174"/>
      <c r="F2" s="1136"/>
      <c r="G2" s="1167"/>
      <c r="H2" s="1167"/>
      <c r="K2" s="1168"/>
      <c r="L2" s="1168"/>
      <c r="M2" s="1168"/>
      <c r="N2" s="1168"/>
      <c r="O2" s="1168"/>
      <c r="P2" s="1168"/>
      <c r="Q2" s="1168"/>
      <c r="R2" s="1168"/>
      <c r="S2" s="1168"/>
      <c r="T2" s="1168"/>
    </row>
    <row r="3" spans="1:20" s="926" customFormat="1" ht="15.75" x14ac:dyDescent="0.5">
      <c r="A3" s="4"/>
      <c r="B3" s="1091" t="s">
        <v>2341</v>
      </c>
      <c r="C3" s="1136" t="s">
        <v>2342</v>
      </c>
      <c r="D3" s="1162"/>
      <c r="E3" s="1175"/>
      <c r="F3" s="1175"/>
      <c r="G3" s="1169"/>
      <c r="H3" s="1167"/>
      <c r="I3" s="1168"/>
      <c r="K3" s="1168"/>
      <c r="L3" s="1168"/>
      <c r="M3" s="1168"/>
      <c r="N3" s="1168"/>
      <c r="O3" s="1168"/>
      <c r="P3" s="1168"/>
      <c r="Q3" s="1168"/>
      <c r="R3" s="1168"/>
      <c r="S3" s="1168"/>
      <c r="T3" s="1168"/>
    </row>
    <row r="4" spans="1:20" s="926" customFormat="1" ht="15.75" x14ac:dyDescent="0.5">
      <c r="A4"/>
      <c r="C4" s="1136"/>
      <c r="D4" s="1176"/>
      <c r="E4" s="1176"/>
      <c r="F4" s="1176"/>
      <c r="G4" s="1171"/>
      <c r="H4" s="1170"/>
      <c r="I4" s="1170"/>
      <c r="J4" s="1170"/>
      <c r="K4" s="1170"/>
      <c r="L4" s="1170"/>
      <c r="M4" s="1170"/>
      <c r="N4" s="1170"/>
      <c r="O4" s="1170"/>
      <c r="P4" s="1170"/>
      <c r="Q4" s="1170"/>
      <c r="R4" s="1170"/>
      <c r="S4" s="1170"/>
      <c r="T4" s="1172"/>
    </row>
    <row r="5" spans="1:20" ht="14.65" thickBot="1" x14ac:dyDescent="0.5">
      <c r="A5" s="12"/>
      <c r="B5" s="12"/>
      <c r="C5" s="12"/>
      <c r="D5" s="12"/>
      <c r="E5" s="13"/>
      <c r="F5" s="12"/>
      <c r="G5" s="12"/>
      <c r="H5" s="14"/>
      <c r="I5" s="12"/>
      <c r="J5" s="12"/>
      <c r="K5" s="12"/>
      <c r="L5" s="12"/>
      <c r="M5" s="12"/>
      <c r="N5" s="12"/>
      <c r="O5" s="12"/>
      <c r="P5" s="12"/>
      <c r="Q5" s="12"/>
      <c r="R5" s="14"/>
      <c r="S5" s="12"/>
      <c r="T5" s="15" t="s">
        <v>0</v>
      </c>
    </row>
    <row r="6" spans="1:20" ht="15.75" thickTop="1" x14ac:dyDescent="0.45">
      <c r="A6" s="17"/>
      <c r="B6" s="17"/>
      <c r="C6" s="17" t="s">
        <v>1</v>
      </c>
      <c r="D6" s="18" t="s">
        <v>2</v>
      </c>
      <c r="E6" s="18"/>
      <c r="F6" s="17"/>
      <c r="G6" s="17"/>
      <c r="H6" s="17" t="s">
        <v>3</v>
      </c>
      <c r="I6" s="17"/>
      <c r="J6" s="17"/>
      <c r="K6" s="17"/>
      <c r="L6" s="17"/>
      <c r="M6" s="17"/>
      <c r="N6" s="17" t="s">
        <v>4</v>
      </c>
      <c r="O6" s="17"/>
      <c r="P6" s="17" t="s">
        <v>5</v>
      </c>
      <c r="Q6" s="17" t="s">
        <v>1031</v>
      </c>
      <c r="R6" s="17" t="s">
        <v>6</v>
      </c>
      <c r="S6" s="17" t="s">
        <v>7</v>
      </c>
      <c r="T6" s="17" t="s">
        <v>8</v>
      </c>
    </row>
    <row r="7" spans="1:20" ht="15.4" x14ac:dyDescent="0.45">
      <c r="A7" s="14" t="s">
        <v>9</v>
      </c>
      <c r="B7" s="14" t="s">
        <v>10</v>
      </c>
      <c r="C7" s="14" t="s">
        <v>11</v>
      </c>
      <c r="D7" s="14" t="s">
        <v>11</v>
      </c>
      <c r="E7" s="19" t="s">
        <v>12</v>
      </c>
      <c r="F7" s="14" t="s">
        <v>13</v>
      </c>
      <c r="G7" s="14" t="s">
        <v>14</v>
      </c>
      <c r="H7" s="14" t="s">
        <v>15</v>
      </c>
      <c r="I7" s="14" t="s">
        <v>16</v>
      </c>
      <c r="J7" s="14" t="s">
        <v>17</v>
      </c>
      <c r="K7" s="14" t="s">
        <v>18</v>
      </c>
      <c r="L7" s="14" t="s">
        <v>19</v>
      </c>
      <c r="M7" s="14" t="s">
        <v>20</v>
      </c>
      <c r="N7" s="14" t="s">
        <v>21</v>
      </c>
      <c r="O7" s="14" t="s">
        <v>22</v>
      </c>
      <c r="P7" s="14" t="s">
        <v>23</v>
      </c>
      <c r="Q7" s="14" t="s">
        <v>24</v>
      </c>
      <c r="R7" s="14" t="s">
        <v>24</v>
      </c>
      <c r="S7" s="14" t="s">
        <v>25</v>
      </c>
      <c r="T7" s="14" t="s">
        <v>26</v>
      </c>
    </row>
    <row r="8" spans="1:20" x14ac:dyDescent="0.45">
      <c r="A8" s="20"/>
      <c r="B8" s="21" t="s">
        <v>27</v>
      </c>
      <c r="C8" s="21" t="s">
        <v>28</v>
      </c>
      <c r="D8" s="21" t="s">
        <v>29</v>
      </c>
      <c r="E8" s="22" t="s">
        <v>30</v>
      </c>
      <c r="F8" s="21" t="s">
        <v>31</v>
      </c>
      <c r="G8" s="21" t="s">
        <v>32</v>
      </c>
      <c r="H8" s="21" t="s">
        <v>33</v>
      </c>
      <c r="I8" s="21" t="s">
        <v>34</v>
      </c>
      <c r="J8" s="21" t="s">
        <v>35</v>
      </c>
      <c r="K8" s="21" t="s">
        <v>36</v>
      </c>
      <c r="L8" s="21" t="s">
        <v>37</v>
      </c>
      <c r="M8" s="21" t="s">
        <v>38</v>
      </c>
      <c r="N8" s="21" t="s">
        <v>39</v>
      </c>
      <c r="O8" s="21" t="s">
        <v>40</v>
      </c>
      <c r="P8" s="21" t="s">
        <v>41</v>
      </c>
      <c r="Q8" s="21" t="s">
        <v>42</v>
      </c>
      <c r="R8" s="21" t="s">
        <v>43</v>
      </c>
      <c r="S8" s="21" t="s">
        <v>44</v>
      </c>
      <c r="T8" s="21" t="s">
        <v>1033</v>
      </c>
    </row>
    <row r="9" spans="1:20" x14ac:dyDescent="0.45">
      <c r="A9" s="23"/>
      <c r="B9" s="23"/>
      <c r="C9" s="23"/>
      <c r="D9" s="23"/>
      <c r="E9" s="24"/>
      <c r="F9" s="23"/>
      <c r="G9" s="23"/>
      <c r="H9" s="23"/>
      <c r="I9" s="23"/>
      <c r="J9" s="23"/>
      <c r="K9" s="23"/>
      <c r="L9" s="23"/>
      <c r="M9" s="23"/>
      <c r="N9" s="23"/>
      <c r="O9" s="23"/>
      <c r="P9" s="23"/>
      <c r="Q9" s="23" t="s">
        <v>1032</v>
      </c>
      <c r="R9" s="23" t="s">
        <v>45</v>
      </c>
      <c r="S9" s="23"/>
      <c r="T9" s="23" t="s">
        <v>46</v>
      </c>
    </row>
    <row r="10" spans="1:20" x14ac:dyDescent="0.45">
      <c r="A10" s="14">
        <v>1700</v>
      </c>
      <c r="B10" s="506">
        <f>+'1.3.4 Coal3'!B10</f>
        <v>3.0327600000000001</v>
      </c>
      <c r="C10" s="506"/>
      <c r="D10" s="506"/>
      <c r="E10" s="506">
        <f>+'1.3.4 Coal3'!E10</f>
        <v>0</v>
      </c>
      <c r="F10" s="506"/>
      <c r="G10" s="506"/>
      <c r="H10" s="506"/>
      <c r="I10" s="506"/>
      <c r="J10" s="506"/>
      <c r="K10" s="506"/>
      <c r="L10" s="506"/>
      <c r="M10" s="506"/>
      <c r="N10" s="506"/>
      <c r="O10" s="506">
        <f t="shared" ref="O10:O73" si="0">R10-SUM(I10:N10)-SUM(C10:H10)</f>
        <v>2.9636266124447621</v>
      </c>
      <c r="P10" s="506"/>
      <c r="Q10" s="603">
        <f t="shared" ref="Q10:Q73" si="1">SUM(I10:O10)</f>
        <v>2.9636266124447621</v>
      </c>
      <c r="R10" s="506">
        <f>+'1.3.4 Coal3'!R10</f>
        <v>2.9636266124447621</v>
      </c>
      <c r="S10" s="506">
        <f>+'1.3.4 Coal3'!S10</f>
        <v>6.9133387555238013E-2</v>
      </c>
      <c r="T10" s="506">
        <f>+'1.3.4 Coal3'!T10</f>
        <v>3.0327600000000001</v>
      </c>
    </row>
    <row r="11" spans="1:20" x14ac:dyDescent="0.45">
      <c r="A11" s="14">
        <v>1701</v>
      </c>
      <c r="B11" s="506">
        <f>+'1.3.4 Coal3'!B11</f>
        <v>3.0783784000000001</v>
      </c>
      <c r="C11" s="506"/>
      <c r="D11" s="506"/>
      <c r="E11" s="506">
        <f>+'1.3.4 Coal3'!E11</f>
        <v>0</v>
      </c>
      <c r="F11" s="506"/>
      <c r="G11" s="506"/>
      <c r="H11" s="506"/>
      <c r="I11" s="506"/>
      <c r="J11" s="506"/>
      <c r="K11" s="506"/>
      <c r="L11" s="506"/>
      <c r="M11" s="506"/>
      <c r="N11" s="506"/>
      <c r="O11" s="506">
        <f t="shared" si="0"/>
        <v>3.0020939014894457</v>
      </c>
      <c r="P11" s="506"/>
      <c r="Q11" s="603">
        <f t="shared" si="1"/>
        <v>3.0020939014894457</v>
      </c>
      <c r="R11" s="506">
        <f>+'1.3.4 Coal3'!R11</f>
        <v>3.0020939014894457</v>
      </c>
      <c r="S11" s="506">
        <f>+'1.3.4 Coal3'!S11</f>
        <v>7.628449851055441E-2</v>
      </c>
      <c r="T11" s="506">
        <f>+'1.3.4 Coal3'!T11</f>
        <v>3.0783784000000001</v>
      </c>
    </row>
    <row r="12" spans="1:20" x14ac:dyDescent="0.45">
      <c r="A12" s="14">
        <v>1702</v>
      </c>
      <c r="B12" s="506">
        <f>+'1.3.4 Coal3'!B12</f>
        <v>3.1239968000000005</v>
      </c>
      <c r="C12" s="506"/>
      <c r="D12" s="506"/>
      <c r="E12" s="506">
        <f>+'1.3.4 Coal3'!E12</f>
        <v>0</v>
      </c>
      <c r="F12" s="506"/>
      <c r="G12" s="506"/>
      <c r="H12" s="506"/>
      <c r="I12" s="506"/>
      <c r="J12" s="506"/>
      <c r="K12" s="506"/>
      <c r="L12" s="506"/>
      <c r="M12" s="506"/>
      <c r="N12" s="506"/>
      <c r="O12" s="506">
        <f t="shared" si="0"/>
        <v>3.067954273700459</v>
      </c>
      <c r="P12" s="506"/>
      <c r="Q12" s="603">
        <f t="shared" si="1"/>
        <v>3.067954273700459</v>
      </c>
      <c r="R12" s="506">
        <f>+'1.3.4 Coal3'!R12</f>
        <v>3.067954273700459</v>
      </c>
      <c r="S12" s="506">
        <f>+'1.3.4 Coal3'!S12</f>
        <v>5.6042526299541429E-2</v>
      </c>
      <c r="T12" s="506">
        <f>+'1.3.4 Coal3'!T12</f>
        <v>3.1239968000000005</v>
      </c>
    </row>
    <row r="13" spans="1:20" x14ac:dyDescent="0.45">
      <c r="A13" s="14">
        <v>1703</v>
      </c>
      <c r="B13" s="506">
        <f>+'1.3.4 Coal3'!B13</f>
        <v>3.1696152000000004</v>
      </c>
      <c r="C13" s="506"/>
      <c r="D13" s="506"/>
      <c r="E13" s="506">
        <f>+'1.3.4 Coal3'!E13</f>
        <v>0</v>
      </c>
      <c r="F13" s="506"/>
      <c r="G13" s="506"/>
      <c r="H13" s="506"/>
      <c r="I13" s="506"/>
      <c r="J13" s="506"/>
      <c r="K13" s="506"/>
      <c r="L13" s="506"/>
      <c r="M13" s="506"/>
      <c r="N13" s="506"/>
      <c r="O13" s="506">
        <f t="shared" si="0"/>
        <v>3.1225985254643911</v>
      </c>
      <c r="P13" s="506"/>
      <c r="Q13" s="603">
        <f t="shared" si="1"/>
        <v>3.1225985254643911</v>
      </c>
      <c r="R13" s="506">
        <f>+'1.3.4 Coal3'!R13</f>
        <v>3.1225985254643911</v>
      </c>
      <c r="S13" s="506">
        <f>+'1.3.4 Coal3'!S13</f>
        <v>4.7016674535609315E-2</v>
      </c>
      <c r="T13" s="506">
        <f>+'1.3.4 Coal3'!T13</f>
        <v>3.1696152000000004</v>
      </c>
    </row>
    <row r="14" spans="1:20" x14ac:dyDescent="0.45">
      <c r="A14" s="14">
        <v>1704</v>
      </c>
      <c r="B14" s="506">
        <f>+'1.3.4 Coal3'!B14</f>
        <v>3.2152336000000004</v>
      </c>
      <c r="C14" s="506"/>
      <c r="D14" s="506"/>
      <c r="E14" s="506">
        <f>+'1.3.4 Coal3'!E14</f>
        <v>0</v>
      </c>
      <c r="F14" s="506"/>
      <c r="G14" s="506"/>
      <c r="H14" s="506"/>
      <c r="I14" s="506"/>
      <c r="J14" s="506"/>
      <c r="K14" s="506"/>
      <c r="L14" s="506"/>
      <c r="M14" s="506"/>
      <c r="N14" s="506"/>
      <c r="O14" s="506">
        <f t="shared" si="0"/>
        <v>3.1639934159426715</v>
      </c>
      <c r="P14" s="506"/>
      <c r="Q14" s="603">
        <f t="shared" si="1"/>
        <v>3.1639934159426715</v>
      </c>
      <c r="R14" s="506">
        <f>+'1.3.4 Coal3'!R14</f>
        <v>3.1639934159426715</v>
      </c>
      <c r="S14" s="506">
        <f>+'1.3.4 Coal3'!S14</f>
        <v>5.1240184057328886E-2</v>
      </c>
      <c r="T14" s="506">
        <f>+'1.3.4 Coal3'!T14</f>
        <v>3.2152336000000004</v>
      </c>
    </row>
    <row r="15" spans="1:20" x14ac:dyDescent="0.45">
      <c r="A15" s="14">
        <v>1705</v>
      </c>
      <c r="B15" s="506">
        <f>+'1.3.4 Coal3'!B15</f>
        <v>3.2608520000000007</v>
      </c>
      <c r="C15" s="506"/>
      <c r="D15" s="506"/>
      <c r="E15" s="506">
        <f>+'1.3.4 Coal3'!E15</f>
        <v>0</v>
      </c>
      <c r="F15" s="506"/>
      <c r="G15" s="506"/>
      <c r="H15" s="506"/>
      <c r="I15" s="506"/>
      <c r="J15" s="506"/>
      <c r="K15" s="506"/>
      <c r="L15" s="506"/>
      <c r="M15" s="506"/>
      <c r="N15" s="506"/>
      <c r="O15" s="506">
        <f t="shared" si="0"/>
        <v>3.2094096659202802</v>
      </c>
      <c r="P15" s="506"/>
      <c r="Q15" s="603">
        <f t="shared" si="1"/>
        <v>3.2094096659202802</v>
      </c>
      <c r="R15" s="506">
        <f>+'1.3.4 Coal3'!R15</f>
        <v>3.2094096659202802</v>
      </c>
      <c r="S15" s="506">
        <f>+'1.3.4 Coal3'!S15</f>
        <v>5.1442334079720542E-2</v>
      </c>
      <c r="T15" s="506">
        <f>+'1.3.4 Coal3'!T15</f>
        <v>3.2608520000000007</v>
      </c>
    </row>
    <row r="16" spans="1:20" x14ac:dyDescent="0.45">
      <c r="A16" s="14">
        <v>1706</v>
      </c>
      <c r="B16" s="506">
        <f>+'1.3.4 Coal3'!B16</f>
        <v>3.3064704000000007</v>
      </c>
      <c r="C16" s="506"/>
      <c r="D16" s="506"/>
      <c r="E16" s="506">
        <f>+'1.3.4 Coal3'!E16</f>
        <v>0</v>
      </c>
      <c r="F16" s="506"/>
      <c r="G16" s="506"/>
      <c r="H16" s="506"/>
      <c r="I16" s="506"/>
      <c r="J16" s="506"/>
      <c r="K16" s="506"/>
      <c r="L16" s="506"/>
      <c r="M16" s="506"/>
      <c r="N16" s="506"/>
      <c r="O16" s="506">
        <f t="shared" si="0"/>
        <v>3.2578299566188456</v>
      </c>
      <c r="P16" s="506"/>
      <c r="Q16" s="603">
        <f t="shared" si="1"/>
        <v>3.2578299566188456</v>
      </c>
      <c r="R16" s="506">
        <f>+'1.3.4 Coal3'!R16</f>
        <v>3.2578299566188456</v>
      </c>
      <c r="S16" s="506">
        <f>+'1.3.4 Coal3'!S16</f>
        <v>4.8640443381155141E-2</v>
      </c>
      <c r="T16" s="506">
        <f>+'1.3.4 Coal3'!T16</f>
        <v>3.3064704000000007</v>
      </c>
    </row>
    <row r="17" spans="1:20" x14ac:dyDescent="0.45">
      <c r="A17" s="14">
        <v>1707</v>
      </c>
      <c r="B17" s="506">
        <f>+'1.3.4 Coal3'!B17</f>
        <v>3.3520888000000011</v>
      </c>
      <c r="C17" s="506"/>
      <c r="D17" s="506"/>
      <c r="E17" s="506">
        <f>+'1.3.4 Coal3'!E17</f>
        <v>0</v>
      </c>
      <c r="F17" s="506"/>
      <c r="G17" s="506"/>
      <c r="H17" s="506"/>
      <c r="I17" s="506"/>
      <c r="J17" s="506"/>
      <c r="K17" s="506"/>
      <c r="L17" s="506"/>
      <c r="M17" s="506"/>
      <c r="N17" s="506"/>
      <c r="O17" s="506">
        <f t="shared" si="0"/>
        <v>3.2929969284730372</v>
      </c>
      <c r="P17" s="506"/>
      <c r="Q17" s="603">
        <f t="shared" si="1"/>
        <v>3.2929969284730372</v>
      </c>
      <c r="R17" s="506">
        <f>+'1.3.4 Coal3'!R17</f>
        <v>3.2929969284730372</v>
      </c>
      <c r="S17" s="506">
        <f>+'1.3.4 Coal3'!S17</f>
        <v>5.9091871526963935E-2</v>
      </c>
      <c r="T17" s="506">
        <f>+'1.3.4 Coal3'!T17</f>
        <v>3.3520888000000011</v>
      </c>
    </row>
    <row r="18" spans="1:20" x14ac:dyDescent="0.45">
      <c r="A18" s="14">
        <v>1708</v>
      </c>
      <c r="B18" s="506">
        <f>+'1.3.4 Coal3'!B18</f>
        <v>3.397707200000001</v>
      </c>
      <c r="C18" s="506"/>
      <c r="D18" s="506"/>
      <c r="E18" s="506">
        <f>+'1.3.4 Coal3'!E18</f>
        <v>0</v>
      </c>
      <c r="F18" s="506"/>
      <c r="G18" s="506"/>
      <c r="H18" s="506"/>
      <c r="I18" s="506"/>
      <c r="J18" s="506"/>
      <c r="K18" s="506"/>
      <c r="L18" s="506"/>
      <c r="M18" s="506"/>
      <c r="N18" s="506"/>
      <c r="O18" s="506">
        <f t="shared" si="0"/>
        <v>3.3352291798691103</v>
      </c>
      <c r="P18" s="506"/>
      <c r="Q18" s="603">
        <f t="shared" si="1"/>
        <v>3.3352291798691103</v>
      </c>
      <c r="R18" s="506">
        <f>+'1.3.4 Coal3'!R18</f>
        <v>3.3352291798691103</v>
      </c>
      <c r="S18" s="506">
        <f>+'1.3.4 Coal3'!S18</f>
        <v>6.2478020130890766E-2</v>
      </c>
      <c r="T18" s="506">
        <f>+'1.3.4 Coal3'!T18</f>
        <v>3.397707200000001</v>
      </c>
    </row>
    <row r="19" spans="1:20" x14ac:dyDescent="0.45">
      <c r="A19" s="14">
        <v>1709</v>
      </c>
      <c r="B19" s="506">
        <f>+'1.3.4 Coal3'!B19</f>
        <v>3.4433256000000014</v>
      </c>
      <c r="C19" s="506"/>
      <c r="D19" s="506"/>
      <c r="E19" s="506">
        <f>+'1.3.4 Coal3'!E19</f>
        <v>0</v>
      </c>
      <c r="F19" s="506"/>
      <c r="G19" s="506"/>
      <c r="H19" s="506"/>
      <c r="I19" s="506"/>
      <c r="J19" s="506"/>
      <c r="K19" s="506"/>
      <c r="L19" s="506"/>
      <c r="M19" s="506"/>
      <c r="N19" s="506"/>
      <c r="O19" s="506">
        <f t="shared" si="0"/>
        <v>3.3713172658444437</v>
      </c>
      <c r="P19" s="506"/>
      <c r="Q19" s="603">
        <f t="shared" si="1"/>
        <v>3.3713172658444437</v>
      </c>
      <c r="R19" s="506">
        <f>+'1.3.4 Coal3'!R19</f>
        <v>3.3713172658444437</v>
      </c>
      <c r="S19" s="506">
        <f>+'1.3.4 Coal3'!S19</f>
        <v>7.2008334155557741E-2</v>
      </c>
      <c r="T19" s="506">
        <f>+'1.3.4 Coal3'!T19</f>
        <v>3.4433256000000014</v>
      </c>
    </row>
    <row r="20" spans="1:20" x14ac:dyDescent="0.45">
      <c r="A20" s="14">
        <v>1710</v>
      </c>
      <c r="B20" s="506">
        <f>+'1.3.4 Coal3'!B20</f>
        <v>3.4889440000000014</v>
      </c>
      <c r="C20" s="506"/>
      <c r="D20" s="506"/>
      <c r="E20" s="506">
        <f>+'1.3.4 Coal3'!E20</f>
        <v>0</v>
      </c>
      <c r="F20" s="506"/>
      <c r="G20" s="506"/>
      <c r="H20" s="506"/>
      <c r="I20" s="506"/>
      <c r="J20" s="506"/>
      <c r="K20" s="506"/>
      <c r="L20" s="506"/>
      <c r="M20" s="506"/>
      <c r="N20" s="506"/>
      <c r="O20" s="506">
        <f t="shared" si="0"/>
        <v>3.421579696746849</v>
      </c>
      <c r="P20" s="506"/>
      <c r="Q20" s="603">
        <f t="shared" si="1"/>
        <v>3.421579696746849</v>
      </c>
      <c r="R20" s="506">
        <f>+'1.3.4 Coal3'!R20</f>
        <v>3.421579696746849</v>
      </c>
      <c r="S20" s="506">
        <f>+'1.3.4 Coal3'!S20</f>
        <v>6.7364303253152347E-2</v>
      </c>
      <c r="T20" s="506">
        <f>+'1.3.4 Coal3'!T20</f>
        <v>3.4889440000000014</v>
      </c>
    </row>
    <row r="21" spans="1:20" x14ac:dyDescent="0.45">
      <c r="A21" s="14">
        <v>1711</v>
      </c>
      <c r="B21" s="506">
        <f>+'1.3.4 Coal3'!B21</f>
        <v>3.5345624000000018</v>
      </c>
      <c r="C21" s="506"/>
      <c r="D21" s="506"/>
      <c r="E21" s="506">
        <f>+'1.3.4 Coal3'!E21</f>
        <v>0</v>
      </c>
      <c r="F21" s="506"/>
      <c r="G21" s="506"/>
      <c r="H21" s="506"/>
      <c r="I21" s="506"/>
      <c r="J21" s="506"/>
      <c r="K21" s="506"/>
      <c r="L21" s="506"/>
      <c r="M21" s="506"/>
      <c r="N21" s="506"/>
      <c r="O21" s="506">
        <f t="shared" si="0"/>
        <v>3.4636629368524221</v>
      </c>
      <c r="P21" s="506"/>
      <c r="Q21" s="603">
        <f t="shared" si="1"/>
        <v>3.4636629368524221</v>
      </c>
      <c r="R21" s="506">
        <f>+'1.3.4 Coal3'!R21</f>
        <v>3.4636629368524221</v>
      </c>
      <c r="S21" s="506">
        <f>+'1.3.4 Coal3'!S21</f>
        <v>7.0899463147579667E-2</v>
      </c>
      <c r="T21" s="506">
        <f>+'1.3.4 Coal3'!T21</f>
        <v>3.5345624000000018</v>
      </c>
    </row>
    <row r="22" spans="1:20" x14ac:dyDescent="0.45">
      <c r="A22" s="14">
        <v>1712</v>
      </c>
      <c r="B22" s="506">
        <f>+'1.3.4 Coal3'!B22</f>
        <v>3.5801808000000017</v>
      </c>
      <c r="C22" s="506"/>
      <c r="D22" s="506"/>
      <c r="E22" s="506">
        <f>+'1.3.4 Coal3'!E22</f>
        <v>0</v>
      </c>
      <c r="F22" s="506"/>
      <c r="G22" s="506"/>
      <c r="H22" s="506"/>
      <c r="I22" s="506"/>
      <c r="J22" s="506"/>
      <c r="K22" s="506"/>
      <c r="L22" s="506"/>
      <c r="M22" s="506"/>
      <c r="N22" s="506"/>
      <c r="O22" s="506">
        <f t="shared" si="0"/>
        <v>3.4752134029406418</v>
      </c>
      <c r="P22" s="506"/>
      <c r="Q22" s="603">
        <f t="shared" si="1"/>
        <v>3.4752134029406418</v>
      </c>
      <c r="R22" s="506">
        <f>+'1.3.4 Coal3'!R22</f>
        <v>3.4752134029406418</v>
      </c>
      <c r="S22" s="506">
        <f>+'1.3.4 Coal3'!S22</f>
        <v>0.10496739705935987</v>
      </c>
      <c r="T22" s="506">
        <f>+'1.3.4 Coal3'!T22</f>
        <v>3.5801808000000017</v>
      </c>
    </row>
    <row r="23" spans="1:20" x14ac:dyDescent="0.45">
      <c r="A23" s="14">
        <v>1713</v>
      </c>
      <c r="B23" s="506">
        <f>+'1.3.4 Coal3'!B23</f>
        <v>3.6257992000000021</v>
      </c>
      <c r="C23" s="506"/>
      <c r="D23" s="506"/>
      <c r="E23" s="506">
        <f>+'1.3.4 Coal3'!E23</f>
        <v>0</v>
      </c>
      <c r="F23" s="506"/>
      <c r="G23" s="506"/>
      <c r="H23" s="506"/>
      <c r="I23" s="506"/>
      <c r="J23" s="506"/>
      <c r="K23" s="506"/>
      <c r="L23" s="506"/>
      <c r="M23" s="506"/>
      <c r="N23" s="506"/>
      <c r="O23" s="506">
        <f t="shared" si="0"/>
        <v>3.5395414628254036</v>
      </c>
      <c r="P23" s="506"/>
      <c r="Q23" s="603">
        <f t="shared" si="1"/>
        <v>3.5395414628254036</v>
      </c>
      <c r="R23" s="506">
        <f>+'1.3.4 Coal3'!R23</f>
        <v>3.5395414628254036</v>
      </c>
      <c r="S23" s="506">
        <f>+'1.3.4 Coal3'!S23</f>
        <v>8.6257737174598503E-2</v>
      </c>
      <c r="T23" s="506">
        <f>+'1.3.4 Coal3'!T23</f>
        <v>3.6257992000000021</v>
      </c>
    </row>
    <row r="24" spans="1:20" x14ac:dyDescent="0.45">
      <c r="A24" s="14">
        <v>1714</v>
      </c>
      <c r="B24" s="506">
        <f>+'1.3.4 Coal3'!B24</f>
        <v>3.6714176000000021</v>
      </c>
      <c r="C24" s="506"/>
      <c r="D24" s="506"/>
      <c r="E24" s="506">
        <f>+'1.3.4 Coal3'!E24</f>
        <v>0</v>
      </c>
      <c r="F24" s="506"/>
      <c r="G24" s="506"/>
      <c r="H24" s="506"/>
      <c r="I24" s="506"/>
      <c r="J24" s="506"/>
      <c r="K24" s="506"/>
      <c r="L24" s="506"/>
      <c r="M24" s="506"/>
      <c r="N24" s="506"/>
      <c r="O24" s="506">
        <f t="shared" si="0"/>
        <v>3.562157433840623</v>
      </c>
      <c r="P24" s="506"/>
      <c r="Q24" s="603">
        <f t="shared" si="1"/>
        <v>3.562157433840623</v>
      </c>
      <c r="R24" s="506">
        <f>+'1.3.4 Coal3'!R24</f>
        <v>3.562157433840623</v>
      </c>
      <c r="S24" s="506">
        <f>+'1.3.4 Coal3'!S24</f>
        <v>0.10926016615937906</v>
      </c>
      <c r="T24" s="506">
        <f>+'1.3.4 Coal3'!T24</f>
        <v>3.6714176000000021</v>
      </c>
    </row>
    <row r="25" spans="1:20" x14ac:dyDescent="0.45">
      <c r="A25" s="14">
        <v>1715</v>
      </c>
      <c r="B25" s="506">
        <f>+'1.3.4 Coal3'!B25</f>
        <v>3.7170360000000024</v>
      </c>
      <c r="C25" s="506"/>
      <c r="D25" s="506"/>
      <c r="E25" s="506">
        <f>+'1.3.4 Coal3'!E25</f>
        <v>0</v>
      </c>
      <c r="F25" s="506"/>
      <c r="G25" s="506"/>
      <c r="H25" s="506"/>
      <c r="I25" s="506"/>
      <c r="J25" s="506"/>
      <c r="K25" s="506"/>
      <c r="L25" s="506"/>
      <c r="M25" s="506"/>
      <c r="N25" s="506"/>
      <c r="O25" s="506">
        <f t="shared" si="0"/>
        <v>3.6121475812789923</v>
      </c>
      <c r="P25" s="506"/>
      <c r="Q25" s="603">
        <f t="shared" si="1"/>
        <v>3.6121475812789923</v>
      </c>
      <c r="R25" s="506">
        <f>+'1.3.4 Coal3'!R25</f>
        <v>3.6121475812789923</v>
      </c>
      <c r="S25" s="506">
        <f>+'1.3.4 Coal3'!S25</f>
        <v>0.10488841872101018</v>
      </c>
      <c r="T25" s="506">
        <f>+'1.3.4 Coal3'!T25</f>
        <v>3.7170360000000024</v>
      </c>
    </row>
    <row r="26" spans="1:20" x14ac:dyDescent="0.45">
      <c r="A26" s="14">
        <v>1716</v>
      </c>
      <c r="B26" s="506">
        <f>+'1.3.4 Coal3'!B26</f>
        <v>3.7626544000000024</v>
      </c>
      <c r="C26" s="506"/>
      <c r="D26" s="506"/>
      <c r="E26" s="506">
        <f>+'1.3.4 Coal3'!E26</f>
        <v>0</v>
      </c>
      <c r="F26" s="506"/>
      <c r="G26" s="506"/>
      <c r="H26" s="506"/>
      <c r="I26" s="506"/>
      <c r="J26" s="506"/>
      <c r="K26" s="506"/>
      <c r="L26" s="506"/>
      <c r="M26" s="506"/>
      <c r="N26" s="506"/>
      <c r="O26" s="506">
        <f t="shared" si="0"/>
        <v>3.6549661167824663</v>
      </c>
      <c r="P26" s="506"/>
      <c r="Q26" s="603">
        <f t="shared" si="1"/>
        <v>3.6549661167824663</v>
      </c>
      <c r="R26" s="506">
        <f>+'1.3.4 Coal3'!R26</f>
        <v>3.6549661167824663</v>
      </c>
      <c r="S26" s="506">
        <f>+'1.3.4 Coal3'!S26</f>
        <v>0.1076882832175361</v>
      </c>
      <c r="T26" s="506">
        <f>+'1.3.4 Coal3'!T26</f>
        <v>3.7626544000000024</v>
      </c>
    </row>
    <row r="27" spans="1:20" x14ac:dyDescent="0.45">
      <c r="A27" s="14">
        <v>1717</v>
      </c>
      <c r="B27" s="506">
        <f>+'1.3.4 Coal3'!B27</f>
        <v>3.8082728000000028</v>
      </c>
      <c r="C27" s="506"/>
      <c r="D27" s="506"/>
      <c r="E27" s="506">
        <f>+'1.3.4 Coal3'!E27</f>
        <v>0</v>
      </c>
      <c r="F27" s="506"/>
      <c r="G27" s="506"/>
      <c r="H27" s="506"/>
      <c r="I27" s="506"/>
      <c r="J27" s="506"/>
      <c r="K27" s="506"/>
      <c r="L27" s="506"/>
      <c r="M27" s="506"/>
      <c r="N27" s="506"/>
      <c r="O27" s="506">
        <f t="shared" si="0"/>
        <v>3.7129631966829546</v>
      </c>
      <c r="P27" s="506"/>
      <c r="Q27" s="603">
        <f t="shared" si="1"/>
        <v>3.7129631966829546</v>
      </c>
      <c r="R27" s="506">
        <f>+'1.3.4 Coal3'!R27</f>
        <v>3.7129631966829546</v>
      </c>
      <c r="S27" s="506">
        <f>+'1.3.4 Coal3'!S27</f>
        <v>9.5309603317048186E-2</v>
      </c>
      <c r="T27" s="506">
        <f>+'1.3.4 Coal3'!T27</f>
        <v>3.8082728000000028</v>
      </c>
    </row>
    <row r="28" spans="1:20" x14ac:dyDescent="0.45">
      <c r="A28" s="14">
        <v>1718</v>
      </c>
      <c r="B28" s="506">
        <f>+'1.3.4 Coal3'!B28</f>
        <v>3.8538912000000027</v>
      </c>
      <c r="C28" s="506"/>
      <c r="D28" s="506"/>
      <c r="E28" s="506">
        <f>+'1.3.4 Coal3'!E28</f>
        <v>0</v>
      </c>
      <c r="F28" s="506"/>
      <c r="G28" s="506"/>
      <c r="H28" s="506"/>
      <c r="I28" s="506"/>
      <c r="J28" s="506"/>
      <c r="K28" s="506"/>
      <c r="L28" s="506"/>
      <c r="M28" s="506"/>
      <c r="N28" s="506"/>
      <c r="O28" s="506">
        <f t="shared" si="0"/>
        <v>3.7495609202917066</v>
      </c>
      <c r="P28" s="506"/>
      <c r="Q28" s="603">
        <f t="shared" si="1"/>
        <v>3.7495609202917066</v>
      </c>
      <c r="R28" s="506">
        <f>+'1.3.4 Coal3'!R28</f>
        <v>3.7495609202917066</v>
      </c>
      <c r="S28" s="506">
        <f>+'1.3.4 Coal3'!S28</f>
        <v>0.10433027970829611</v>
      </c>
      <c r="T28" s="506">
        <f>+'1.3.4 Coal3'!T28</f>
        <v>3.8538912000000027</v>
      </c>
    </row>
    <row r="29" spans="1:20" x14ac:dyDescent="0.45">
      <c r="A29" s="14">
        <v>1719</v>
      </c>
      <c r="B29" s="506">
        <f>+'1.3.4 Coal3'!B29</f>
        <v>3.8995096000000031</v>
      </c>
      <c r="C29" s="506"/>
      <c r="D29" s="506"/>
      <c r="E29" s="506">
        <f>+'1.3.4 Coal3'!E29</f>
        <v>0</v>
      </c>
      <c r="F29" s="506"/>
      <c r="G29" s="506"/>
      <c r="H29" s="506"/>
      <c r="I29" s="506"/>
      <c r="J29" s="506"/>
      <c r="K29" s="506"/>
      <c r="L29" s="506"/>
      <c r="M29" s="506"/>
      <c r="N29" s="506"/>
      <c r="O29" s="506">
        <f t="shared" si="0"/>
        <v>3.7860933281357796</v>
      </c>
      <c r="P29" s="506"/>
      <c r="Q29" s="603">
        <f t="shared" si="1"/>
        <v>3.7860933281357796</v>
      </c>
      <c r="R29" s="506">
        <f>+'1.3.4 Coal3'!R29</f>
        <v>3.7860933281357796</v>
      </c>
      <c r="S29" s="506">
        <f>+'1.3.4 Coal3'!S29</f>
        <v>0.11341627186422354</v>
      </c>
      <c r="T29" s="506">
        <f>+'1.3.4 Coal3'!T29</f>
        <v>3.8995096000000031</v>
      </c>
    </row>
    <row r="30" spans="1:20" x14ac:dyDescent="0.45">
      <c r="A30" s="14">
        <v>1720</v>
      </c>
      <c r="B30" s="506">
        <f>+'1.3.4 Coal3'!B30</f>
        <v>3.9451280000000031</v>
      </c>
      <c r="C30" s="506"/>
      <c r="D30" s="506"/>
      <c r="E30" s="506">
        <f>+'1.3.4 Coal3'!E30</f>
        <v>0</v>
      </c>
      <c r="F30" s="506"/>
      <c r="G30" s="506"/>
      <c r="H30" s="506"/>
      <c r="I30" s="506"/>
      <c r="J30" s="506"/>
      <c r="K30" s="506"/>
      <c r="L30" s="506"/>
      <c r="M30" s="506"/>
      <c r="N30" s="506"/>
      <c r="O30" s="506">
        <f t="shared" si="0"/>
        <v>3.8418624001399793</v>
      </c>
      <c r="P30" s="506"/>
      <c r="Q30" s="603">
        <f t="shared" si="1"/>
        <v>3.8418624001399793</v>
      </c>
      <c r="R30" s="506">
        <f>+'1.3.4 Coal3'!R30</f>
        <v>3.8418624001399793</v>
      </c>
      <c r="S30" s="506">
        <f>+'1.3.4 Coal3'!S30</f>
        <v>0.10326559986002382</v>
      </c>
      <c r="T30" s="506">
        <f>+'1.3.4 Coal3'!T30</f>
        <v>3.9451280000000031</v>
      </c>
    </row>
    <row r="31" spans="1:20" x14ac:dyDescent="0.45">
      <c r="A31" s="14">
        <v>1721</v>
      </c>
      <c r="B31" s="506">
        <f>+'1.3.4 Coal3'!B31</f>
        <v>3.9907464000000035</v>
      </c>
      <c r="C31" s="506"/>
      <c r="D31" s="506"/>
      <c r="E31" s="506">
        <f>+'1.3.4 Coal3'!E31</f>
        <v>0</v>
      </c>
      <c r="F31" s="506"/>
      <c r="G31" s="506"/>
      <c r="H31" s="506"/>
      <c r="I31" s="506"/>
      <c r="J31" s="506"/>
      <c r="K31" s="506"/>
      <c r="L31" s="506"/>
      <c r="M31" s="506"/>
      <c r="N31" s="506"/>
      <c r="O31" s="506">
        <f t="shared" si="0"/>
        <v>3.8741940537525559</v>
      </c>
      <c r="P31" s="506"/>
      <c r="Q31" s="603">
        <f t="shared" si="1"/>
        <v>3.8741940537525559</v>
      </c>
      <c r="R31" s="506">
        <f>+'1.3.4 Coal3'!R31</f>
        <v>3.8741940537525559</v>
      </c>
      <c r="S31" s="506">
        <f>+'1.3.4 Coal3'!S31</f>
        <v>0.11655234624744759</v>
      </c>
      <c r="T31" s="506">
        <f>+'1.3.4 Coal3'!T31</f>
        <v>3.9907464000000035</v>
      </c>
    </row>
    <row r="32" spans="1:20" x14ac:dyDescent="0.45">
      <c r="A32" s="14">
        <v>1722</v>
      </c>
      <c r="B32" s="506">
        <f>+'1.3.4 Coal3'!B32</f>
        <v>4.0363648000000039</v>
      </c>
      <c r="C32" s="506"/>
      <c r="D32" s="506"/>
      <c r="E32" s="506">
        <f>+'1.3.4 Coal3'!E32</f>
        <v>0</v>
      </c>
      <c r="F32" s="506"/>
      <c r="G32" s="506"/>
      <c r="H32" s="506"/>
      <c r="I32" s="506"/>
      <c r="J32" s="506"/>
      <c r="K32" s="506"/>
      <c r="L32" s="506"/>
      <c r="M32" s="506"/>
      <c r="N32" s="506"/>
      <c r="O32" s="506">
        <f t="shared" si="0"/>
        <v>3.917630142012944</v>
      </c>
      <c r="P32" s="506"/>
      <c r="Q32" s="603">
        <f t="shared" si="1"/>
        <v>3.917630142012944</v>
      </c>
      <c r="R32" s="506">
        <f>+'1.3.4 Coal3'!R32</f>
        <v>3.917630142012944</v>
      </c>
      <c r="S32" s="506">
        <f>+'1.3.4 Coal3'!S32</f>
        <v>0.11873465798705984</v>
      </c>
      <c r="T32" s="506">
        <f>+'1.3.4 Coal3'!T32</f>
        <v>4.0363648000000039</v>
      </c>
    </row>
    <row r="33" spans="1:20" x14ac:dyDescent="0.45">
      <c r="A33" s="14">
        <v>1723</v>
      </c>
      <c r="B33" s="506">
        <f>+'1.3.4 Coal3'!B33</f>
        <v>4.0819832000000034</v>
      </c>
      <c r="C33" s="506"/>
      <c r="D33" s="506"/>
      <c r="E33" s="506">
        <f>+'1.3.4 Coal3'!E33</f>
        <v>0</v>
      </c>
      <c r="F33" s="506"/>
      <c r="G33" s="506"/>
      <c r="H33" s="506"/>
      <c r="I33" s="506"/>
      <c r="J33" s="506"/>
      <c r="K33" s="506"/>
      <c r="L33" s="506"/>
      <c r="M33" s="506"/>
      <c r="N33" s="506"/>
      <c r="O33" s="506">
        <f t="shared" si="0"/>
        <v>3.959976451559736</v>
      </c>
      <c r="P33" s="506"/>
      <c r="Q33" s="603">
        <f t="shared" si="1"/>
        <v>3.959976451559736</v>
      </c>
      <c r="R33" s="506">
        <f>+'1.3.4 Coal3'!R33</f>
        <v>3.959976451559736</v>
      </c>
      <c r="S33" s="506">
        <f>+'1.3.4 Coal3'!S33</f>
        <v>0.12200674844026738</v>
      </c>
      <c r="T33" s="506">
        <f>+'1.3.4 Coal3'!T33</f>
        <v>4.0819832000000034</v>
      </c>
    </row>
    <row r="34" spans="1:20" x14ac:dyDescent="0.45">
      <c r="A34" s="14">
        <v>1724</v>
      </c>
      <c r="B34" s="506">
        <f>+'1.3.4 Coal3'!B34</f>
        <v>4.1276016000000038</v>
      </c>
      <c r="C34" s="506"/>
      <c r="D34" s="506"/>
      <c r="E34" s="506">
        <f>+'1.3.4 Coal3'!E34</f>
        <v>0</v>
      </c>
      <c r="F34" s="506"/>
      <c r="G34" s="506"/>
      <c r="H34" s="506"/>
      <c r="I34" s="506"/>
      <c r="J34" s="506"/>
      <c r="K34" s="506"/>
      <c r="L34" s="506"/>
      <c r="M34" s="506"/>
      <c r="N34" s="506"/>
      <c r="O34" s="506">
        <f t="shared" si="0"/>
        <v>3.9453507005770478</v>
      </c>
      <c r="P34" s="506"/>
      <c r="Q34" s="603">
        <f t="shared" si="1"/>
        <v>3.9453507005770478</v>
      </c>
      <c r="R34" s="506">
        <f>+'1.3.4 Coal3'!R34</f>
        <v>3.9453507005770478</v>
      </c>
      <c r="S34" s="506">
        <f>+'1.3.4 Coal3'!S34</f>
        <v>0.18225089942295591</v>
      </c>
      <c r="T34" s="506">
        <f>+'1.3.4 Coal3'!T34</f>
        <v>4.1276016000000038</v>
      </c>
    </row>
    <row r="35" spans="1:20" x14ac:dyDescent="0.45">
      <c r="A35" s="14">
        <v>1725</v>
      </c>
      <c r="B35" s="506">
        <f>+'1.3.4 Coal3'!B35</f>
        <v>4.1732200000000033</v>
      </c>
      <c r="C35" s="506"/>
      <c r="D35" s="506"/>
      <c r="E35" s="506">
        <f>+'1.3.4 Coal3'!E35</f>
        <v>0</v>
      </c>
      <c r="F35" s="506"/>
      <c r="G35" s="506"/>
      <c r="H35" s="506"/>
      <c r="I35" s="506"/>
      <c r="J35" s="506"/>
      <c r="K35" s="506"/>
      <c r="L35" s="506"/>
      <c r="M35" s="506"/>
      <c r="N35" s="506"/>
      <c r="O35" s="506">
        <f t="shared" si="0"/>
        <v>4.0556145366773686</v>
      </c>
      <c r="P35" s="506"/>
      <c r="Q35" s="603">
        <f t="shared" si="1"/>
        <v>4.0556145366773686</v>
      </c>
      <c r="R35" s="506">
        <f>+'1.3.4 Coal3'!R35</f>
        <v>4.0556145366773686</v>
      </c>
      <c r="S35" s="506">
        <f>+'1.3.4 Coal3'!S35</f>
        <v>0.11760546332263466</v>
      </c>
      <c r="T35" s="506">
        <f>+'1.3.4 Coal3'!T35</f>
        <v>4.1732200000000033</v>
      </c>
    </row>
    <row r="36" spans="1:20" x14ac:dyDescent="0.45">
      <c r="A36" s="14">
        <v>1726</v>
      </c>
      <c r="B36" s="506">
        <f>+'1.3.4 Coal3'!B36</f>
        <v>4.2188384000000037</v>
      </c>
      <c r="C36" s="506"/>
      <c r="D36" s="506"/>
      <c r="E36" s="506">
        <f>+'1.3.4 Coal3'!E36</f>
        <v>0</v>
      </c>
      <c r="F36" s="506"/>
      <c r="G36" s="506"/>
      <c r="H36" s="506"/>
      <c r="I36" s="506"/>
      <c r="J36" s="506"/>
      <c r="K36" s="506"/>
      <c r="L36" s="506"/>
      <c r="M36" s="506"/>
      <c r="N36" s="506"/>
      <c r="O36" s="506">
        <f t="shared" si="0"/>
        <v>4.0774055347189364</v>
      </c>
      <c r="P36" s="506"/>
      <c r="Q36" s="603">
        <f t="shared" si="1"/>
        <v>4.0774055347189364</v>
      </c>
      <c r="R36" s="506">
        <f>+'1.3.4 Coal3'!R36</f>
        <v>4.0774055347189364</v>
      </c>
      <c r="S36" s="506">
        <f>+'1.3.4 Coal3'!S36</f>
        <v>0.14143286528106724</v>
      </c>
      <c r="T36" s="506">
        <f>+'1.3.4 Coal3'!T36</f>
        <v>4.2188384000000037</v>
      </c>
    </row>
    <row r="37" spans="1:20" x14ac:dyDescent="0.45">
      <c r="A37" s="14">
        <v>1727</v>
      </c>
      <c r="B37" s="506">
        <f>+'1.3.4 Coal3'!B37</f>
        <v>4.264456800000004</v>
      </c>
      <c r="C37" s="506"/>
      <c r="D37" s="506"/>
      <c r="E37" s="506">
        <f>+'1.3.4 Coal3'!E37</f>
        <v>0</v>
      </c>
      <c r="F37" s="506"/>
      <c r="G37" s="506"/>
      <c r="H37" s="506"/>
      <c r="I37" s="506"/>
      <c r="J37" s="506"/>
      <c r="K37" s="506"/>
      <c r="L37" s="506"/>
      <c r="M37" s="506"/>
      <c r="N37" s="506"/>
      <c r="O37" s="506">
        <f t="shared" si="0"/>
        <v>4.1113051945556052</v>
      </c>
      <c r="P37" s="506"/>
      <c r="Q37" s="603">
        <f t="shared" si="1"/>
        <v>4.1113051945556052</v>
      </c>
      <c r="R37" s="506">
        <f>+'1.3.4 Coal3'!R37</f>
        <v>4.1113051945556052</v>
      </c>
      <c r="S37" s="506">
        <f>+'1.3.4 Coal3'!S37</f>
        <v>0.15315160544439888</v>
      </c>
      <c r="T37" s="506">
        <f>+'1.3.4 Coal3'!T37</f>
        <v>4.264456800000004</v>
      </c>
    </row>
    <row r="38" spans="1:20" x14ac:dyDescent="0.45">
      <c r="A38" s="14">
        <v>1728</v>
      </c>
      <c r="B38" s="506">
        <f>+'1.3.4 Coal3'!B38</f>
        <v>4.3100752000000044</v>
      </c>
      <c r="C38" s="506"/>
      <c r="D38" s="506"/>
      <c r="E38" s="506">
        <f>+'1.3.4 Coal3'!E38</f>
        <v>0</v>
      </c>
      <c r="F38" s="506"/>
      <c r="G38" s="506"/>
      <c r="H38" s="506"/>
      <c r="I38" s="506"/>
      <c r="J38" s="506"/>
      <c r="K38" s="506"/>
      <c r="L38" s="506"/>
      <c r="M38" s="506"/>
      <c r="N38" s="506"/>
      <c r="O38" s="506">
        <f t="shared" si="0"/>
        <v>4.1888069387171178</v>
      </c>
      <c r="P38" s="506"/>
      <c r="Q38" s="603">
        <f t="shared" si="1"/>
        <v>4.1888069387171178</v>
      </c>
      <c r="R38" s="506">
        <f>+'1.3.4 Coal3'!R38</f>
        <v>4.1888069387171178</v>
      </c>
      <c r="S38" s="506">
        <f>+'1.3.4 Coal3'!S38</f>
        <v>0.12126826128288659</v>
      </c>
      <c r="T38" s="506">
        <f>+'1.3.4 Coal3'!T38</f>
        <v>4.3100752000000044</v>
      </c>
    </row>
    <row r="39" spans="1:20" x14ac:dyDescent="0.45">
      <c r="A39" s="14">
        <v>1729</v>
      </c>
      <c r="B39" s="506">
        <f>+'1.3.4 Coal3'!B39</f>
        <v>4.3556936000000039</v>
      </c>
      <c r="C39" s="506"/>
      <c r="D39" s="506"/>
      <c r="E39" s="506">
        <f>+'1.3.4 Coal3'!E39</f>
        <v>0</v>
      </c>
      <c r="F39" s="506"/>
      <c r="G39" s="506"/>
      <c r="H39" s="506"/>
      <c r="I39" s="506"/>
      <c r="J39" s="506"/>
      <c r="K39" s="506"/>
      <c r="L39" s="506"/>
      <c r="M39" s="506"/>
      <c r="N39" s="506"/>
      <c r="O39" s="506">
        <f t="shared" si="0"/>
        <v>4.2042441100176475</v>
      </c>
      <c r="P39" s="506"/>
      <c r="Q39" s="603">
        <f t="shared" si="1"/>
        <v>4.2042441100176475</v>
      </c>
      <c r="R39" s="506">
        <f>+'1.3.4 Coal3'!R39</f>
        <v>4.2042441100176475</v>
      </c>
      <c r="S39" s="506">
        <f>+'1.3.4 Coal3'!S39</f>
        <v>0.15144948998235641</v>
      </c>
      <c r="T39" s="506">
        <f>+'1.3.4 Coal3'!T39</f>
        <v>4.3556936000000039</v>
      </c>
    </row>
    <row r="40" spans="1:20" x14ac:dyDescent="0.45">
      <c r="A40" s="14">
        <v>1730</v>
      </c>
      <c r="B40" s="506">
        <f>+'1.3.4 Coal3'!B40</f>
        <v>4.4013120000000043</v>
      </c>
      <c r="C40" s="506"/>
      <c r="D40" s="506"/>
      <c r="E40" s="506">
        <f>+'1.3.4 Coal3'!E40</f>
        <v>0</v>
      </c>
      <c r="F40" s="506"/>
      <c r="G40" s="506"/>
      <c r="H40" s="506"/>
      <c r="I40" s="506"/>
      <c r="J40" s="506"/>
      <c r="K40" s="506"/>
      <c r="L40" s="506"/>
      <c r="M40" s="506"/>
      <c r="N40" s="506"/>
      <c r="O40" s="506">
        <f t="shared" si="0"/>
        <v>4.2866459690903591</v>
      </c>
      <c r="P40" s="506"/>
      <c r="Q40" s="603">
        <f t="shared" si="1"/>
        <v>4.2866459690903591</v>
      </c>
      <c r="R40" s="506">
        <f>+'1.3.4 Coal3'!R40</f>
        <v>4.2866459690903591</v>
      </c>
      <c r="S40" s="506">
        <f>+'1.3.4 Coal3'!S40</f>
        <v>0.11466603090964522</v>
      </c>
      <c r="T40" s="506">
        <f>+'1.3.4 Coal3'!T40</f>
        <v>4.4013120000000043</v>
      </c>
    </row>
    <row r="41" spans="1:20" x14ac:dyDescent="0.45">
      <c r="A41" s="14">
        <v>1731</v>
      </c>
      <c r="B41" s="506">
        <f>+'1.3.4 Coal3'!B41</f>
        <v>4.4469304000000047</v>
      </c>
      <c r="C41" s="506"/>
      <c r="D41" s="506"/>
      <c r="E41" s="506">
        <f>+'1.3.4 Coal3'!E41</f>
        <v>0</v>
      </c>
      <c r="F41" s="506"/>
      <c r="G41" s="506"/>
      <c r="H41" s="506"/>
      <c r="I41" s="506"/>
      <c r="J41" s="506"/>
      <c r="K41" s="506"/>
      <c r="L41" s="506"/>
      <c r="M41" s="506"/>
      <c r="N41" s="506"/>
      <c r="O41" s="506">
        <f t="shared" si="0"/>
        <v>4.2988496918457306</v>
      </c>
      <c r="P41" s="506"/>
      <c r="Q41" s="603">
        <f t="shared" si="1"/>
        <v>4.2988496918457306</v>
      </c>
      <c r="R41" s="506">
        <f>+'1.3.4 Coal3'!R41</f>
        <v>4.2988496918457306</v>
      </c>
      <c r="S41" s="506">
        <f>+'1.3.4 Coal3'!S41</f>
        <v>0.1480807081542741</v>
      </c>
      <c r="T41" s="506">
        <f>+'1.3.4 Coal3'!T41</f>
        <v>4.4469304000000047</v>
      </c>
    </row>
    <row r="42" spans="1:20" x14ac:dyDescent="0.45">
      <c r="A42" s="14">
        <v>1732</v>
      </c>
      <c r="B42" s="506">
        <f>+'1.3.4 Coal3'!B42</f>
        <v>4.4925488000000051</v>
      </c>
      <c r="C42" s="506"/>
      <c r="D42" s="506"/>
      <c r="E42" s="506">
        <f>+'1.3.4 Coal3'!E42</f>
        <v>0</v>
      </c>
      <c r="F42" s="506"/>
      <c r="G42" s="506"/>
      <c r="H42" s="506"/>
      <c r="I42" s="506"/>
      <c r="J42" s="506"/>
      <c r="K42" s="506"/>
      <c r="L42" s="506"/>
      <c r="M42" s="506"/>
      <c r="N42" s="506"/>
      <c r="O42" s="506">
        <f t="shared" si="0"/>
        <v>4.3312763668512684</v>
      </c>
      <c r="P42" s="506"/>
      <c r="Q42" s="603">
        <f t="shared" si="1"/>
        <v>4.3312763668512684</v>
      </c>
      <c r="R42" s="506">
        <f>+'1.3.4 Coal3'!R42</f>
        <v>4.3312763668512684</v>
      </c>
      <c r="S42" s="506">
        <f>+'1.3.4 Coal3'!S42</f>
        <v>0.16127243314873674</v>
      </c>
      <c r="T42" s="506">
        <f>+'1.3.4 Coal3'!T42</f>
        <v>4.4925488000000051</v>
      </c>
    </row>
    <row r="43" spans="1:20" x14ac:dyDescent="0.45">
      <c r="A43" s="14">
        <v>1733</v>
      </c>
      <c r="B43" s="506">
        <f>+'1.3.4 Coal3'!B43</f>
        <v>4.5381672000000046</v>
      </c>
      <c r="C43" s="506"/>
      <c r="D43" s="506"/>
      <c r="E43" s="506">
        <f>+'1.3.4 Coal3'!E43</f>
        <v>0</v>
      </c>
      <c r="F43" s="506"/>
      <c r="G43" s="506"/>
      <c r="H43" s="506"/>
      <c r="I43" s="506"/>
      <c r="J43" s="506"/>
      <c r="K43" s="506"/>
      <c r="L43" s="506"/>
      <c r="M43" s="506"/>
      <c r="N43" s="506"/>
      <c r="O43" s="506">
        <f t="shared" si="0"/>
        <v>4.3818909926301748</v>
      </c>
      <c r="P43" s="506"/>
      <c r="Q43" s="603">
        <f t="shared" si="1"/>
        <v>4.3818909926301748</v>
      </c>
      <c r="R43" s="506">
        <f>+'1.3.4 Coal3'!R43</f>
        <v>4.3818909926301748</v>
      </c>
      <c r="S43" s="506">
        <f>+'1.3.4 Coal3'!S43</f>
        <v>0.15627620736982983</v>
      </c>
      <c r="T43" s="506">
        <f>+'1.3.4 Coal3'!T43</f>
        <v>4.5381672000000046</v>
      </c>
    </row>
    <row r="44" spans="1:20" x14ac:dyDescent="0.45">
      <c r="A44" s="14">
        <v>1734</v>
      </c>
      <c r="B44" s="506">
        <f>+'1.3.4 Coal3'!B44</f>
        <v>4.583785600000005</v>
      </c>
      <c r="C44" s="506"/>
      <c r="D44" s="506"/>
      <c r="E44" s="506">
        <f>+'1.3.4 Coal3'!E44</f>
        <v>0</v>
      </c>
      <c r="F44" s="506"/>
      <c r="G44" s="506"/>
      <c r="H44" s="506"/>
      <c r="I44" s="506"/>
      <c r="J44" s="506"/>
      <c r="K44" s="506"/>
      <c r="L44" s="506"/>
      <c r="M44" s="506"/>
      <c r="N44" s="506"/>
      <c r="O44" s="506">
        <f t="shared" si="0"/>
        <v>4.4130984748764686</v>
      </c>
      <c r="P44" s="506"/>
      <c r="Q44" s="603">
        <f t="shared" si="1"/>
        <v>4.4130984748764686</v>
      </c>
      <c r="R44" s="506">
        <f>+'1.3.4 Coal3'!R44</f>
        <v>4.4130984748764686</v>
      </c>
      <c r="S44" s="506">
        <f>+'1.3.4 Coal3'!S44</f>
        <v>0.17068712512353645</v>
      </c>
      <c r="T44" s="506">
        <f>+'1.3.4 Coal3'!T44</f>
        <v>4.583785600000005</v>
      </c>
    </row>
    <row r="45" spans="1:20" x14ac:dyDescent="0.45">
      <c r="A45" s="14">
        <v>1735</v>
      </c>
      <c r="B45" s="506">
        <f>+'1.3.4 Coal3'!B45</f>
        <v>4.6294040000000054</v>
      </c>
      <c r="C45" s="506"/>
      <c r="D45" s="506"/>
      <c r="E45" s="506">
        <f>+'1.3.4 Coal3'!E45</f>
        <v>0</v>
      </c>
      <c r="F45" s="506"/>
      <c r="G45" s="506"/>
      <c r="H45" s="506"/>
      <c r="I45" s="506"/>
      <c r="J45" s="506"/>
      <c r="K45" s="506"/>
      <c r="L45" s="506"/>
      <c r="M45" s="506"/>
      <c r="N45" s="506"/>
      <c r="O45" s="506">
        <f t="shared" si="0"/>
        <v>4.4543596235839882</v>
      </c>
      <c r="P45" s="506"/>
      <c r="Q45" s="603">
        <f t="shared" si="1"/>
        <v>4.4543596235839882</v>
      </c>
      <c r="R45" s="506">
        <f>+'1.3.4 Coal3'!R45</f>
        <v>4.4543596235839882</v>
      </c>
      <c r="S45" s="506">
        <f>+'1.3.4 Coal3'!S45</f>
        <v>0.17504437641601722</v>
      </c>
      <c r="T45" s="506">
        <f>+'1.3.4 Coal3'!T45</f>
        <v>4.6294040000000054</v>
      </c>
    </row>
    <row r="46" spans="1:20" x14ac:dyDescent="0.45">
      <c r="A46" s="14">
        <v>1736</v>
      </c>
      <c r="B46" s="506">
        <f>+'1.3.4 Coal3'!B46</f>
        <v>4.6750224000000058</v>
      </c>
      <c r="C46" s="506"/>
      <c r="D46" s="506"/>
      <c r="E46" s="506">
        <f>+'1.3.4 Coal3'!E46</f>
        <v>0</v>
      </c>
      <c r="F46" s="506"/>
      <c r="G46" s="506"/>
      <c r="H46" s="506"/>
      <c r="I46" s="506"/>
      <c r="J46" s="506"/>
      <c r="K46" s="506"/>
      <c r="L46" s="506"/>
      <c r="M46" s="506"/>
      <c r="N46" s="506"/>
      <c r="O46" s="506">
        <f t="shared" si="0"/>
        <v>4.4904311500865859</v>
      </c>
      <c r="P46" s="506"/>
      <c r="Q46" s="603">
        <f t="shared" si="1"/>
        <v>4.4904311500865859</v>
      </c>
      <c r="R46" s="506">
        <f>+'1.3.4 Coal3'!R46</f>
        <v>4.4904311500865859</v>
      </c>
      <c r="S46" s="506">
        <f>+'1.3.4 Coal3'!S46</f>
        <v>0.18459124991341991</v>
      </c>
      <c r="T46" s="506">
        <f>+'1.3.4 Coal3'!T46</f>
        <v>4.6750224000000058</v>
      </c>
    </row>
    <row r="47" spans="1:20" x14ac:dyDescent="0.45">
      <c r="A47" s="14">
        <v>1737</v>
      </c>
      <c r="B47" s="506">
        <f>+'1.3.4 Coal3'!B47</f>
        <v>4.7206408000000053</v>
      </c>
      <c r="C47" s="506"/>
      <c r="D47" s="506"/>
      <c r="E47" s="506">
        <f>+'1.3.4 Coal3'!E47</f>
        <v>0</v>
      </c>
      <c r="F47" s="506"/>
      <c r="G47" s="506"/>
      <c r="H47" s="506"/>
      <c r="I47" s="506"/>
      <c r="J47" s="506"/>
      <c r="K47" s="506"/>
      <c r="L47" s="506"/>
      <c r="M47" s="506"/>
      <c r="N47" s="506"/>
      <c r="O47" s="506">
        <f t="shared" si="0"/>
        <v>4.5436616640067893</v>
      </c>
      <c r="P47" s="506"/>
      <c r="Q47" s="603">
        <f t="shared" si="1"/>
        <v>4.5436616640067893</v>
      </c>
      <c r="R47" s="506">
        <f>+'1.3.4 Coal3'!R47</f>
        <v>4.5436616640067893</v>
      </c>
      <c r="S47" s="506">
        <f>+'1.3.4 Coal3'!S47</f>
        <v>0.17697913599321602</v>
      </c>
      <c r="T47" s="506">
        <f>+'1.3.4 Coal3'!T47</f>
        <v>4.7206408000000053</v>
      </c>
    </row>
    <row r="48" spans="1:20" x14ac:dyDescent="0.45">
      <c r="A48" s="14">
        <v>1738</v>
      </c>
      <c r="B48" s="506">
        <f>+'1.3.4 Coal3'!B48</f>
        <v>4.7662592000000057</v>
      </c>
      <c r="C48" s="506"/>
      <c r="D48" s="506"/>
      <c r="E48" s="506">
        <f>+'1.3.4 Coal3'!E48</f>
        <v>0</v>
      </c>
      <c r="F48" s="506"/>
      <c r="G48" s="506"/>
      <c r="H48" s="506"/>
      <c r="I48" s="506"/>
      <c r="J48" s="506"/>
      <c r="K48" s="506"/>
      <c r="L48" s="506"/>
      <c r="M48" s="506"/>
      <c r="N48" s="506"/>
      <c r="O48" s="506">
        <f t="shared" si="0"/>
        <v>4.586615670110092</v>
      </c>
      <c r="P48" s="506"/>
      <c r="Q48" s="603">
        <f t="shared" si="1"/>
        <v>4.586615670110092</v>
      </c>
      <c r="R48" s="506">
        <f>+'1.3.4 Coal3'!R48</f>
        <v>4.586615670110092</v>
      </c>
      <c r="S48" s="506">
        <f>+'1.3.4 Coal3'!S48</f>
        <v>0.17964352988991372</v>
      </c>
      <c r="T48" s="506">
        <f>+'1.3.4 Coal3'!T48</f>
        <v>4.7662592000000057</v>
      </c>
    </row>
    <row r="49" spans="1:20" x14ac:dyDescent="0.45">
      <c r="A49" s="14">
        <v>1739</v>
      </c>
      <c r="B49" s="506">
        <f>+'1.3.4 Coal3'!B49</f>
        <v>4.8118776000000061</v>
      </c>
      <c r="C49" s="506"/>
      <c r="D49" s="506"/>
      <c r="E49" s="506">
        <f>+'1.3.4 Coal3'!E49</f>
        <v>0</v>
      </c>
      <c r="F49" s="506"/>
      <c r="G49" s="506"/>
      <c r="H49" s="506"/>
      <c r="I49" s="506"/>
      <c r="J49" s="506"/>
      <c r="K49" s="506"/>
      <c r="L49" s="506"/>
      <c r="M49" s="506"/>
      <c r="N49" s="506"/>
      <c r="O49" s="506">
        <f t="shared" si="0"/>
        <v>4.6081135650619505</v>
      </c>
      <c r="P49" s="506"/>
      <c r="Q49" s="603">
        <f t="shared" si="1"/>
        <v>4.6081135650619505</v>
      </c>
      <c r="R49" s="506">
        <f>+'1.3.4 Coal3'!R49</f>
        <v>4.6081135650619505</v>
      </c>
      <c r="S49" s="506">
        <f>+'1.3.4 Coal3'!S49</f>
        <v>0.20376403493805562</v>
      </c>
      <c r="T49" s="506">
        <f>+'1.3.4 Coal3'!T49</f>
        <v>4.8118776000000061</v>
      </c>
    </row>
    <row r="50" spans="1:20" x14ac:dyDescent="0.45">
      <c r="A50" s="14">
        <v>1740</v>
      </c>
      <c r="B50" s="506">
        <f>+'1.3.4 Coal3'!B50</f>
        <v>4.8574960000000065</v>
      </c>
      <c r="C50" s="506"/>
      <c r="D50" s="506"/>
      <c r="E50" s="506">
        <f>+'1.3.4 Coal3'!E50</f>
        <v>0</v>
      </c>
      <c r="F50" s="506"/>
      <c r="G50" s="506"/>
      <c r="H50" s="506"/>
      <c r="I50" s="506"/>
      <c r="J50" s="506"/>
      <c r="K50" s="506"/>
      <c r="L50" s="506"/>
      <c r="M50" s="506"/>
      <c r="N50" s="506"/>
      <c r="O50" s="506">
        <f t="shared" si="0"/>
        <v>4.6274556340844848</v>
      </c>
      <c r="P50" s="506"/>
      <c r="Q50" s="603">
        <f t="shared" si="1"/>
        <v>4.6274556340844848</v>
      </c>
      <c r="R50" s="506">
        <f>+'1.3.4 Coal3'!R50</f>
        <v>4.6274556340844848</v>
      </c>
      <c r="S50" s="506">
        <f>+'1.3.4 Coal3'!S50</f>
        <v>0.23004036591552168</v>
      </c>
      <c r="T50" s="506">
        <f>+'1.3.4 Coal3'!T50</f>
        <v>4.8574960000000065</v>
      </c>
    </row>
    <row r="51" spans="1:20" x14ac:dyDescent="0.45">
      <c r="A51" s="14">
        <v>1741</v>
      </c>
      <c r="B51" s="506">
        <f>+'1.3.4 Coal3'!B51</f>
        <v>4.903114400000006</v>
      </c>
      <c r="C51" s="506"/>
      <c r="D51" s="506"/>
      <c r="E51" s="506">
        <f>+'1.3.4 Coal3'!E51</f>
        <v>0</v>
      </c>
      <c r="F51" s="506"/>
      <c r="G51" s="506"/>
      <c r="H51" s="506"/>
      <c r="I51" s="506"/>
      <c r="J51" s="506"/>
      <c r="K51" s="506"/>
      <c r="L51" s="506"/>
      <c r="M51" s="506"/>
      <c r="N51" s="506"/>
      <c r="O51" s="506">
        <f t="shared" si="0"/>
        <v>4.7076300475097792</v>
      </c>
      <c r="P51" s="506"/>
      <c r="Q51" s="603">
        <f t="shared" si="1"/>
        <v>4.7076300475097792</v>
      </c>
      <c r="R51" s="506">
        <f>+'1.3.4 Coal3'!R51</f>
        <v>4.7076300475097792</v>
      </c>
      <c r="S51" s="506">
        <f>+'1.3.4 Coal3'!S51</f>
        <v>0.19548435249022678</v>
      </c>
      <c r="T51" s="506">
        <f>+'1.3.4 Coal3'!T51</f>
        <v>4.903114400000006</v>
      </c>
    </row>
    <row r="52" spans="1:20" x14ac:dyDescent="0.45">
      <c r="A52" s="14">
        <v>1742</v>
      </c>
      <c r="B52" s="506">
        <f>+'1.3.4 Coal3'!B52</f>
        <v>4.9487328000000064</v>
      </c>
      <c r="C52" s="506"/>
      <c r="D52" s="506"/>
      <c r="E52" s="506">
        <f>+'1.3.4 Coal3'!E52</f>
        <v>0</v>
      </c>
      <c r="F52" s="506"/>
      <c r="G52" s="506"/>
      <c r="H52" s="506"/>
      <c r="I52" s="506"/>
      <c r="J52" s="506"/>
      <c r="K52" s="506"/>
      <c r="L52" s="506"/>
      <c r="M52" s="506"/>
      <c r="N52" s="506"/>
      <c r="O52" s="506">
        <f t="shared" si="0"/>
        <v>4.7612568572265754</v>
      </c>
      <c r="P52" s="506"/>
      <c r="Q52" s="603">
        <f t="shared" si="1"/>
        <v>4.7612568572265754</v>
      </c>
      <c r="R52" s="506">
        <f>+'1.3.4 Coal3'!R52</f>
        <v>4.7612568572265754</v>
      </c>
      <c r="S52" s="506">
        <f>+'1.3.4 Coal3'!S52</f>
        <v>0.18747594277343094</v>
      </c>
      <c r="T52" s="506">
        <f>+'1.3.4 Coal3'!T52</f>
        <v>4.9487328000000064</v>
      </c>
    </row>
    <row r="53" spans="1:20" x14ac:dyDescent="0.45">
      <c r="A53" s="14">
        <v>1743</v>
      </c>
      <c r="B53" s="506">
        <f>+'1.3.4 Coal3'!B53</f>
        <v>4.9943512000000068</v>
      </c>
      <c r="C53" s="506"/>
      <c r="D53" s="506"/>
      <c r="E53" s="506">
        <f>+'1.3.4 Coal3'!E53</f>
        <v>0</v>
      </c>
      <c r="F53" s="506"/>
      <c r="G53" s="506"/>
      <c r="H53" s="506"/>
      <c r="I53" s="506"/>
      <c r="J53" s="506"/>
      <c r="K53" s="506"/>
      <c r="L53" s="506"/>
      <c r="M53" s="506"/>
      <c r="N53" s="506"/>
      <c r="O53" s="506">
        <f t="shared" si="0"/>
        <v>4.783251993017088</v>
      </c>
      <c r="P53" s="506"/>
      <c r="Q53" s="603">
        <f t="shared" si="1"/>
        <v>4.783251993017088</v>
      </c>
      <c r="R53" s="506">
        <f>+'1.3.4 Coal3'!R53</f>
        <v>4.783251993017088</v>
      </c>
      <c r="S53" s="506">
        <f>+'1.3.4 Coal3'!S53</f>
        <v>0.21109920698291873</v>
      </c>
      <c r="T53" s="506">
        <f>+'1.3.4 Coal3'!T53</f>
        <v>4.9943512000000068</v>
      </c>
    </row>
    <row r="54" spans="1:20" x14ac:dyDescent="0.45">
      <c r="A54" s="14">
        <v>1744</v>
      </c>
      <c r="B54" s="506">
        <f>+'1.3.4 Coal3'!B54</f>
        <v>5.0399696000000072</v>
      </c>
      <c r="C54" s="506"/>
      <c r="D54" s="506"/>
      <c r="E54" s="506">
        <f>+'1.3.4 Coal3'!E54</f>
        <v>0</v>
      </c>
      <c r="F54" s="506"/>
      <c r="G54" s="506"/>
      <c r="H54" s="506"/>
      <c r="I54" s="506"/>
      <c r="J54" s="506"/>
      <c r="K54" s="506"/>
      <c r="L54" s="506"/>
      <c r="M54" s="506"/>
      <c r="N54" s="506"/>
      <c r="O54" s="506">
        <f t="shared" si="0"/>
        <v>4.8406672587805035</v>
      </c>
      <c r="P54" s="506"/>
      <c r="Q54" s="603">
        <f t="shared" si="1"/>
        <v>4.8406672587805035</v>
      </c>
      <c r="R54" s="506">
        <f>+'1.3.4 Coal3'!R54</f>
        <v>4.8406672587805035</v>
      </c>
      <c r="S54" s="506">
        <f>+'1.3.4 Coal3'!S54</f>
        <v>0.19930234121950363</v>
      </c>
      <c r="T54" s="506">
        <f>+'1.3.4 Coal3'!T54</f>
        <v>5.0399696000000072</v>
      </c>
    </row>
    <row r="55" spans="1:20" x14ac:dyDescent="0.45">
      <c r="A55" s="14">
        <v>1745</v>
      </c>
      <c r="B55" s="506">
        <f>+'1.3.4 Coal3'!B55</f>
        <v>5.0855880000000067</v>
      </c>
      <c r="C55" s="506"/>
      <c r="D55" s="506"/>
      <c r="E55" s="506">
        <f>+'1.3.4 Coal3'!E55</f>
        <v>0</v>
      </c>
      <c r="F55" s="506"/>
      <c r="G55" s="506"/>
      <c r="H55" s="506"/>
      <c r="I55" s="506"/>
      <c r="J55" s="506"/>
      <c r="K55" s="506"/>
      <c r="L55" s="506"/>
      <c r="M55" s="506"/>
      <c r="N55" s="506"/>
      <c r="O55" s="506">
        <f t="shared" si="0"/>
        <v>4.8796503286396939</v>
      </c>
      <c r="P55" s="506"/>
      <c r="Q55" s="603">
        <f t="shared" si="1"/>
        <v>4.8796503286396939</v>
      </c>
      <c r="R55" s="506">
        <f>+'1.3.4 Coal3'!R55</f>
        <v>4.8796503286396939</v>
      </c>
      <c r="S55" s="506">
        <f>+'1.3.4 Coal3'!S55</f>
        <v>0.20593767136031271</v>
      </c>
      <c r="T55" s="506">
        <f>+'1.3.4 Coal3'!T55</f>
        <v>5.0855880000000067</v>
      </c>
    </row>
    <row r="56" spans="1:20" x14ac:dyDescent="0.45">
      <c r="A56" s="14">
        <v>1746</v>
      </c>
      <c r="B56" s="506">
        <f>+'1.3.4 Coal3'!B56</f>
        <v>5.1312064000000071</v>
      </c>
      <c r="C56" s="506"/>
      <c r="D56" s="506"/>
      <c r="E56" s="506">
        <f>+'1.3.4 Coal3'!E56</f>
        <v>0</v>
      </c>
      <c r="F56" s="506"/>
      <c r="G56" s="506"/>
      <c r="H56" s="506"/>
      <c r="I56" s="506"/>
      <c r="J56" s="506"/>
      <c r="K56" s="506"/>
      <c r="L56" s="506"/>
      <c r="M56" s="506"/>
      <c r="N56" s="506"/>
      <c r="O56" s="506">
        <f t="shared" si="0"/>
        <v>4.9134047429275194</v>
      </c>
      <c r="P56" s="506"/>
      <c r="Q56" s="603">
        <f t="shared" si="1"/>
        <v>4.9134047429275194</v>
      </c>
      <c r="R56" s="506">
        <f>+'1.3.4 Coal3'!R56</f>
        <v>4.9134047429275194</v>
      </c>
      <c r="S56" s="506">
        <f>+'1.3.4 Coal3'!S56</f>
        <v>0.21780165707248766</v>
      </c>
      <c r="T56" s="506">
        <f>+'1.3.4 Coal3'!T56</f>
        <v>5.1312064000000071</v>
      </c>
    </row>
    <row r="57" spans="1:20" x14ac:dyDescent="0.45">
      <c r="A57" s="14">
        <v>1747</v>
      </c>
      <c r="B57" s="506">
        <f>+'1.3.4 Coal3'!B57</f>
        <v>5.1768248000000074</v>
      </c>
      <c r="C57" s="506"/>
      <c r="D57" s="506"/>
      <c r="E57" s="506">
        <f>+'1.3.4 Coal3'!E57</f>
        <v>0</v>
      </c>
      <c r="F57" s="506"/>
      <c r="G57" s="506"/>
      <c r="H57" s="506"/>
      <c r="I57" s="506"/>
      <c r="J57" s="506"/>
      <c r="K57" s="506"/>
      <c r="L57" s="506"/>
      <c r="M57" s="506"/>
      <c r="N57" s="506"/>
      <c r="O57" s="506">
        <f t="shared" si="0"/>
        <v>4.9764699040489893</v>
      </c>
      <c r="P57" s="506"/>
      <c r="Q57" s="603">
        <f t="shared" si="1"/>
        <v>4.9764699040489893</v>
      </c>
      <c r="R57" s="506">
        <f>+'1.3.4 Coal3'!R57</f>
        <v>4.9764699040489893</v>
      </c>
      <c r="S57" s="506">
        <f>+'1.3.4 Coal3'!S57</f>
        <v>0.20035489595101819</v>
      </c>
      <c r="T57" s="506">
        <f>+'1.3.4 Coal3'!T57</f>
        <v>5.1768248000000074</v>
      </c>
    </row>
    <row r="58" spans="1:20" x14ac:dyDescent="0.45">
      <c r="A58" s="14">
        <v>1748</v>
      </c>
      <c r="B58" s="506">
        <f>+'1.3.4 Coal3'!B58</f>
        <v>5.2224432000000078</v>
      </c>
      <c r="C58" s="506"/>
      <c r="D58" s="506"/>
      <c r="E58" s="506">
        <f>+'1.3.4 Coal3'!E58</f>
        <v>0</v>
      </c>
      <c r="F58" s="506"/>
      <c r="G58" s="506"/>
      <c r="H58" s="506"/>
      <c r="I58" s="506"/>
      <c r="J58" s="506"/>
      <c r="K58" s="506"/>
      <c r="L58" s="506"/>
      <c r="M58" s="506"/>
      <c r="N58" s="506"/>
      <c r="O58" s="506">
        <f t="shared" si="0"/>
        <v>4.9926410722154531</v>
      </c>
      <c r="P58" s="506"/>
      <c r="Q58" s="603">
        <f t="shared" si="1"/>
        <v>4.9926410722154531</v>
      </c>
      <c r="R58" s="506">
        <f>+'1.3.4 Coal3'!R58</f>
        <v>4.9926410722154531</v>
      </c>
      <c r="S58" s="506">
        <f>+'1.3.4 Coal3'!S58</f>
        <v>0.22980212778455478</v>
      </c>
      <c r="T58" s="506">
        <f>+'1.3.4 Coal3'!T58</f>
        <v>5.2224432000000078</v>
      </c>
    </row>
    <row r="59" spans="1:20" x14ac:dyDescent="0.45">
      <c r="A59" s="14">
        <v>1749</v>
      </c>
      <c r="B59" s="506">
        <f>+'1.3.4 Coal3'!B59</f>
        <v>5.2680616000000073</v>
      </c>
      <c r="C59" s="506"/>
      <c r="D59" s="506"/>
      <c r="E59" s="506">
        <f>+'1.3.4 Coal3'!E59</f>
        <v>0</v>
      </c>
      <c r="F59" s="506"/>
      <c r="G59" s="506"/>
      <c r="H59" s="506"/>
      <c r="I59" s="506"/>
      <c r="J59" s="506"/>
      <c r="K59" s="506"/>
      <c r="L59" s="506"/>
      <c r="M59" s="506"/>
      <c r="N59" s="506"/>
      <c r="O59" s="506">
        <f t="shared" si="0"/>
        <v>5.0096653610468582</v>
      </c>
      <c r="P59" s="506"/>
      <c r="Q59" s="603">
        <f t="shared" si="1"/>
        <v>5.0096653610468582</v>
      </c>
      <c r="R59" s="506">
        <f>+'1.3.4 Coal3'!R59</f>
        <v>5.0096653610468582</v>
      </c>
      <c r="S59" s="506">
        <f>+'1.3.4 Coal3'!S59</f>
        <v>0.25839623895314912</v>
      </c>
      <c r="T59" s="506">
        <f>+'1.3.4 Coal3'!T59</f>
        <v>5.2680616000000073</v>
      </c>
    </row>
    <row r="60" spans="1:20" x14ac:dyDescent="0.45">
      <c r="A60" s="14">
        <v>1750</v>
      </c>
      <c r="B60" s="506">
        <f>+'1.3.4 Coal3'!B60</f>
        <v>5.3136800000000006</v>
      </c>
      <c r="C60" s="506"/>
      <c r="D60" s="506"/>
      <c r="E60" s="506">
        <f>+'1.3.4 Coal3'!E60</f>
        <v>0</v>
      </c>
      <c r="F60" s="506"/>
      <c r="G60" s="506"/>
      <c r="H60" s="506"/>
      <c r="I60" s="506"/>
      <c r="J60" s="506"/>
      <c r="K60" s="506"/>
      <c r="L60" s="506"/>
      <c r="M60" s="506"/>
      <c r="N60" s="506"/>
      <c r="O60" s="506">
        <f t="shared" si="0"/>
        <v>5.0620817330379912</v>
      </c>
      <c r="P60" s="506"/>
      <c r="Q60" s="603">
        <f t="shared" si="1"/>
        <v>5.0620817330379912</v>
      </c>
      <c r="R60" s="506">
        <f>+'1.3.4 Coal3'!R60</f>
        <v>5.0620817330379912</v>
      </c>
      <c r="S60" s="506">
        <f>+'1.3.4 Coal3'!S60</f>
        <v>0.25159826696200938</v>
      </c>
      <c r="T60" s="506">
        <f>+'1.3.4 Coal3'!T60</f>
        <v>5.3136800000000006</v>
      </c>
    </row>
    <row r="61" spans="1:20" x14ac:dyDescent="0.45">
      <c r="A61" s="14">
        <v>1751</v>
      </c>
      <c r="B61" s="506">
        <f>+'1.3.4 Coal3'!B61</f>
        <v>5.4607968000000007</v>
      </c>
      <c r="C61" s="506"/>
      <c r="D61" s="506"/>
      <c r="E61" s="506">
        <f>+'1.3.4 Coal3'!E61</f>
        <v>0</v>
      </c>
      <c r="F61" s="506"/>
      <c r="G61" s="506"/>
      <c r="H61" s="506"/>
      <c r="I61" s="506"/>
      <c r="J61" s="506"/>
      <c r="K61" s="506"/>
      <c r="L61" s="506"/>
      <c r="M61" s="506"/>
      <c r="N61" s="506"/>
      <c r="O61" s="506">
        <f t="shared" si="0"/>
        <v>5.154253794884526</v>
      </c>
      <c r="P61" s="506"/>
      <c r="Q61" s="603">
        <f t="shared" si="1"/>
        <v>5.154253794884526</v>
      </c>
      <c r="R61" s="506">
        <f>+'1.3.4 Coal3'!R61</f>
        <v>5.154253794884526</v>
      </c>
      <c r="S61" s="506">
        <f>+'1.3.4 Coal3'!S61</f>
        <v>0.30654300511547472</v>
      </c>
      <c r="T61" s="506">
        <f>+'1.3.4 Coal3'!T61</f>
        <v>5.4607968000000007</v>
      </c>
    </row>
    <row r="62" spans="1:20" x14ac:dyDescent="0.45">
      <c r="A62" s="14">
        <v>1752</v>
      </c>
      <c r="B62" s="506">
        <f>+'1.3.4 Coal3'!B62</f>
        <v>5.6079136000000007</v>
      </c>
      <c r="C62" s="506"/>
      <c r="D62" s="506"/>
      <c r="E62" s="506">
        <f>+'1.3.4 Coal3'!E62</f>
        <v>0</v>
      </c>
      <c r="F62" s="506"/>
      <c r="G62" s="506"/>
      <c r="H62" s="506"/>
      <c r="I62" s="506"/>
      <c r="J62" s="506"/>
      <c r="K62" s="506"/>
      <c r="L62" s="506"/>
      <c r="M62" s="506"/>
      <c r="N62" s="506"/>
      <c r="O62" s="506">
        <f t="shared" si="0"/>
        <v>5.3143193926644612</v>
      </c>
      <c r="P62" s="506"/>
      <c r="Q62" s="603">
        <f t="shared" si="1"/>
        <v>5.3143193926644612</v>
      </c>
      <c r="R62" s="506">
        <f>+'1.3.4 Coal3'!R62</f>
        <v>5.3143193926644612</v>
      </c>
      <c r="S62" s="506">
        <f>+'1.3.4 Coal3'!S62</f>
        <v>0.29359420733553954</v>
      </c>
      <c r="T62" s="506">
        <f>+'1.3.4 Coal3'!T62</f>
        <v>5.6079136000000007</v>
      </c>
    </row>
    <row r="63" spans="1:20" x14ac:dyDescent="0.45">
      <c r="A63" s="14">
        <v>1753</v>
      </c>
      <c r="B63" s="506">
        <f>+'1.3.4 Coal3'!B63</f>
        <v>5.7550304000000008</v>
      </c>
      <c r="C63" s="506"/>
      <c r="D63" s="506"/>
      <c r="E63" s="506">
        <f>+'1.3.4 Coal3'!E63</f>
        <v>0</v>
      </c>
      <c r="F63" s="506"/>
      <c r="G63" s="506"/>
      <c r="H63" s="506"/>
      <c r="I63" s="506"/>
      <c r="J63" s="506"/>
      <c r="K63" s="506"/>
      <c r="L63" s="506"/>
      <c r="M63" s="506"/>
      <c r="N63" s="506"/>
      <c r="O63" s="506">
        <f t="shared" si="0"/>
        <v>5.4548970068705787</v>
      </c>
      <c r="P63" s="506"/>
      <c r="Q63" s="603">
        <f t="shared" si="1"/>
        <v>5.4548970068705787</v>
      </c>
      <c r="R63" s="506">
        <f>+'1.3.4 Coal3'!R63</f>
        <v>5.4548970068705787</v>
      </c>
      <c r="S63" s="506">
        <f>+'1.3.4 Coal3'!S63</f>
        <v>0.30013339312942211</v>
      </c>
      <c r="T63" s="506">
        <f>+'1.3.4 Coal3'!T63</f>
        <v>5.7550304000000008</v>
      </c>
    </row>
    <row r="64" spans="1:20" x14ac:dyDescent="0.45">
      <c r="A64" s="14">
        <v>1754</v>
      </c>
      <c r="B64" s="506">
        <f>+'1.3.4 Coal3'!B64</f>
        <v>5.9021472000000008</v>
      </c>
      <c r="C64" s="506"/>
      <c r="D64" s="506"/>
      <c r="E64" s="506">
        <f>+'1.3.4 Coal3'!E64</f>
        <v>0</v>
      </c>
      <c r="F64" s="506"/>
      <c r="G64" s="506"/>
      <c r="H64" s="506"/>
      <c r="I64" s="506"/>
      <c r="J64" s="506"/>
      <c r="K64" s="506"/>
      <c r="L64" s="506"/>
      <c r="M64" s="506"/>
      <c r="N64" s="506"/>
      <c r="O64" s="506">
        <f t="shared" si="0"/>
        <v>5.6145889472892554</v>
      </c>
      <c r="P64" s="506"/>
      <c r="Q64" s="603">
        <f t="shared" si="1"/>
        <v>5.6145889472892554</v>
      </c>
      <c r="R64" s="506">
        <f>+'1.3.4 Coal3'!R64</f>
        <v>5.6145889472892554</v>
      </c>
      <c r="S64" s="506">
        <f>+'1.3.4 Coal3'!S64</f>
        <v>0.28755825271074542</v>
      </c>
      <c r="T64" s="506">
        <f>+'1.3.4 Coal3'!T64</f>
        <v>5.9021472000000008</v>
      </c>
    </row>
    <row r="65" spans="1:20" x14ac:dyDescent="0.45">
      <c r="A65" s="14">
        <v>1755</v>
      </c>
      <c r="B65" s="506">
        <f>+'1.3.4 Coal3'!B65</f>
        <v>6.0492640000000009</v>
      </c>
      <c r="C65" s="506"/>
      <c r="D65" s="506"/>
      <c r="E65" s="506">
        <f>+'1.3.4 Coal3'!E65</f>
        <v>0</v>
      </c>
      <c r="F65" s="506"/>
      <c r="G65" s="506"/>
      <c r="H65" s="506"/>
      <c r="I65" s="506"/>
      <c r="J65" s="506"/>
      <c r="K65" s="506"/>
      <c r="L65" s="506"/>
      <c r="M65" s="506"/>
      <c r="N65" s="506"/>
      <c r="O65" s="506">
        <f t="shared" si="0"/>
        <v>5.7669733477208815</v>
      </c>
      <c r="P65" s="506"/>
      <c r="Q65" s="603">
        <f t="shared" si="1"/>
        <v>5.7669733477208815</v>
      </c>
      <c r="R65" s="506">
        <f>+'1.3.4 Coal3'!R65</f>
        <v>5.7669733477208815</v>
      </c>
      <c r="S65" s="506">
        <f>+'1.3.4 Coal3'!S65</f>
        <v>0.28229065227911931</v>
      </c>
      <c r="T65" s="506">
        <f>+'1.3.4 Coal3'!T65</f>
        <v>6.0492640000000009</v>
      </c>
    </row>
    <row r="66" spans="1:20" x14ac:dyDescent="0.45">
      <c r="A66" s="14">
        <v>1756</v>
      </c>
      <c r="B66" s="506">
        <f>+'1.3.4 Coal3'!B66</f>
        <v>6.1963808000000009</v>
      </c>
      <c r="C66" s="506"/>
      <c r="D66" s="506"/>
      <c r="E66" s="506">
        <f>+'1.3.4 Coal3'!E66</f>
        <v>0</v>
      </c>
      <c r="F66" s="506"/>
      <c r="G66" s="506"/>
      <c r="H66" s="506"/>
      <c r="I66" s="506"/>
      <c r="J66" s="506"/>
      <c r="K66" s="506"/>
      <c r="L66" s="506"/>
      <c r="M66" s="506"/>
      <c r="N66" s="506"/>
      <c r="O66" s="506">
        <f t="shared" si="0"/>
        <v>5.9120441605369916</v>
      </c>
      <c r="P66" s="506"/>
      <c r="Q66" s="603">
        <f t="shared" si="1"/>
        <v>5.9120441605369916</v>
      </c>
      <c r="R66" s="506">
        <f>+'1.3.4 Coal3'!R66</f>
        <v>5.9120441605369916</v>
      </c>
      <c r="S66" s="506">
        <f>+'1.3.4 Coal3'!S66</f>
        <v>0.28433663946300936</v>
      </c>
      <c r="T66" s="506">
        <f>+'1.3.4 Coal3'!T66</f>
        <v>6.1963808000000009</v>
      </c>
    </row>
    <row r="67" spans="1:20" x14ac:dyDescent="0.45">
      <c r="A67" s="14">
        <v>1757</v>
      </c>
      <c r="B67" s="506">
        <f>+'1.3.4 Coal3'!B67</f>
        <v>6.343497600000001</v>
      </c>
      <c r="C67" s="506"/>
      <c r="D67" s="506"/>
      <c r="E67" s="506">
        <f>+'1.3.4 Coal3'!E67</f>
        <v>0</v>
      </c>
      <c r="F67" s="506"/>
      <c r="G67" s="506"/>
      <c r="H67" s="506"/>
      <c r="I67" s="506"/>
      <c r="J67" s="506"/>
      <c r="K67" s="506"/>
      <c r="L67" s="506"/>
      <c r="M67" s="506"/>
      <c r="N67" s="506"/>
      <c r="O67" s="506">
        <f t="shared" si="0"/>
        <v>6.0812911510690633</v>
      </c>
      <c r="P67" s="506"/>
      <c r="Q67" s="603">
        <f t="shared" si="1"/>
        <v>6.0812911510690633</v>
      </c>
      <c r="R67" s="506">
        <f>+'1.3.4 Coal3'!R67</f>
        <v>6.0812911510690633</v>
      </c>
      <c r="S67" s="506">
        <f>+'1.3.4 Coal3'!S67</f>
        <v>0.2622064489309377</v>
      </c>
      <c r="T67" s="506">
        <f>+'1.3.4 Coal3'!T67</f>
        <v>6.343497600000001</v>
      </c>
    </row>
    <row r="68" spans="1:20" x14ac:dyDescent="0.45">
      <c r="A68" s="14">
        <v>1758</v>
      </c>
      <c r="B68" s="506">
        <f>+'1.3.4 Coal3'!B68</f>
        <v>6.490614400000001</v>
      </c>
      <c r="C68" s="506"/>
      <c r="D68" s="506"/>
      <c r="E68" s="506">
        <f>+'1.3.4 Coal3'!E68</f>
        <v>0</v>
      </c>
      <c r="F68" s="506"/>
      <c r="G68" s="506"/>
      <c r="H68" s="506"/>
      <c r="I68" s="506"/>
      <c r="J68" s="506"/>
      <c r="K68" s="506"/>
      <c r="L68" s="506"/>
      <c r="M68" s="506"/>
      <c r="N68" s="506"/>
      <c r="O68" s="506">
        <f t="shared" si="0"/>
        <v>6.2228918918237763</v>
      </c>
      <c r="P68" s="506"/>
      <c r="Q68" s="603">
        <f t="shared" si="1"/>
        <v>6.2228918918237763</v>
      </c>
      <c r="R68" s="506">
        <f>+'1.3.4 Coal3'!R68</f>
        <v>6.2228918918237763</v>
      </c>
      <c r="S68" s="506">
        <f>+'1.3.4 Coal3'!S68</f>
        <v>0.26772250817622467</v>
      </c>
      <c r="T68" s="506">
        <f>+'1.3.4 Coal3'!T68</f>
        <v>6.490614400000001</v>
      </c>
    </row>
    <row r="69" spans="1:20" x14ac:dyDescent="0.45">
      <c r="A69" s="14">
        <v>1759</v>
      </c>
      <c r="B69" s="506">
        <f>+'1.3.4 Coal3'!B69</f>
        <v>6.6377312000000011</v>
      </c>
      <c r="C69" s="506"/>
      <c r="D69" s="506"/>
      <c r="E69" s="506">
        <f>+'1.3.4 Coal3'!E69</f>
        <v>0</v>
      </c>
      <c r="F69" s="506"/>
      <c r="G69" s="506"/>
      <c r="H69" s="506"/>
      <c r="I69" s="506"/>
      <c r="J69" s="506"/>
      <c r="K69" s="506"/>
      <c r="L69" s="506"/>
      <c r="M69" s="506"/>
      <c r="N69" s="506"/>
      <c r="O69" s="506">
        <f t="shared" si="0"/>
        <v>6.3744317565193578</v>
      </c>
      <c r="P69" s="506"/>
      <c r="Q69" s="603">
        <f t="shared" si="1"/>
        <v>6.3744317565193578</v>
      </c>
      <c r="R69" s="506">
        <f>+'1.3.4 Coal3'!R69</f>
        <v>6.3744317565193578</v>
      </c>
      <c r="S69" s="506">
        <f>+'1.3.4 Coal3'!S69</f>
        <v>0.26329944348064327</v>
      </c>
      <c r="T69" s="506">
        <f>+'1.3.4 Coal3'!T69</f>
        <v>6.6377312000000011</v>
      </c>
    </row>
    <row r="70" spans="1:20" x14ac:dyDescent="0.45">
      <c r="A70" s="14">
        <v>1760</v>
      </c>
      <c r="B70" s="506">
        <f>+'1.3.4 Coal3'!B70</f>
        <v>6.7848480000000011</v>
      </c>
      <c r="C70" s="506"/>
      <c r="D70" s="506"/>
      <c r="E70" s="506">
        <f>+'1.3.4 Coal3'!E70</f>
        <v>0</v>
      </c>
      <c r="F70" s="506"/>
      <c r="G70" s="506"/>
      <c r="H70" s="506"/>
      <c r="I70" s="506"/>
      <c r="J70" s="506"/>
      <c r="K70" s="506"/>
      <c r="L70" s="506"/>
      <c r="M70" s="506"/>
      <c r="N70" s="506"/>
      <c r="O70" s="506">
        <f t="shared" si="0"/>
        <v>6.5176159139374823</v>
      </c>
      <c r="P70" s="506"/>
      <c r="Q70" s="603">
        <f t="shared" si="1"/>
        <v>6.5176159139374823</v>
      </c>
      <c r="R70" s="506">
        <f>+'1.3.4 Coal3'!R70</f>
        <v>6.5176159139374823</v>
      </c>
      <c r="S70" s="506">
        <f>+'1.3.4 Coal3'!S70</f>
        <v>0.2672320860625188</v>
      </c>
      <c r="T70" s="506">
        <f>+'1.3.4 Coal3'!T70</f>
        <v>6.7848480000000011</v>
      </c>
    </row>
    <row r="71" spans="1:20" x14ac:dyDescent="0.45">
      <c r="A71" s="14">
        <v>1761</v>
      </c>
      <c r="B71" s="506">
        <f>+'1.3.4 Coal3'!B71</f>
        <v>6.9319648000000011</v>
      </c>
      <c r="C71" s="506"/>
      <c r="D71" s="506"/>
      <c r="E71" s="506">
        <f>+'1.3.4 Coal3'!E71</f>
        <v>0</v>
      </c>
      <c r="F71" s="506"/>
      <c r="G71" s="506"/>
      <c r="H71" s="506"/>
      <c r="I71" s="506"/>
      <c r="J71" s="506"/>
      <c r="K71" s="506"/>
      <c r="L71" s="506"/>
      <c r="M71" s="506"/>
      <c r="N71" s="506"/>
      <c r="O71" s="506">
        <f t="shared" si="0"/>
        <v>6.6209413215850335</v>
      </c>
      <c r="P71" s="506"/>
      <c r="Q71" s="603">
        <f t="shared" si="1"/>
        <v>6.6209413215850335</v>
      </c>
      <c r="R71" s="506">
        <f>+'1.3.4 Coal3'!R71</f>
        <v>6.6209413215850335</v>
      </c>
      <c r="S71" s="506">
        <f>+'1.3.4 Coal3'!S71</f>
        <v>0.31102347841496769</v>
      </c>
      <c r="T71" s="506">
        <f>+'1.3.4 Coal3'!T71</f>
        <v>6.9319648000000011</v>
      </c>
    </row>
    <row r="72" spans="1:20" x14ac:dyDescent="0.45">
      <c r="A72" s="14">
        <v>1762</v>
      </c>
      <c r="B72" s="506">
        <f>+'1.3.4 Coal3'!B72</f>
        <v>7.0790816000000012</v>
      </c>
      <c r="C72" s="506"/>
      <c r="D72" s="506"/>
      <c r="E72" s="506">
        <f>+'1.3.4 Coal3'!E72</f>
        <v>0</v>
      </c>
      <c r="F72" s="506"/>
      <c r="G72" s="506"/>
      <c r="H72" s="506"/>
      <c r="I72" s="506"/>
      <c r="J72" s="506"/>
      <c r="K72" s="506"/>
      <c r="L72" s="506"/>
      <c r="M72" s="506"/>
      <c r="N72" s="506"/>
      <c r="O72" s="506">
        <f t="shared" si="0"/>
        <v>6.7636487191598276</v>
      </c>
      <c r="P72" s="506"/>
      <c r="Q72" s="603">
        <f t="shared" si="1"/>
        <v>6.7636487191598276</v>
      </c>
      <c r="R72" s="506">
        <f>+'1.3.4 Coal3'!R72</f>
        <v>6.7636487191598276</v>
      </c>
      <c r="S72" s="506">
        <f>+'1.3.4 Coal3'!S72</f>
        <v>0.31543288084017362</v>
      </c>
      <c r="T72" s="506">
        <f>+'1.3.4 Coal3'!T72</f>
        <v>7.0790816000000012</v>
      </c>
    </row>
    <row r="73" spans="1:20" x14ac:dyDescent="0.45">
      <c r="A73" s="14">
        <v>1763</v>
      </c>
      <c r="B73" s="506">
        <f>+'1.3.4 Coal3'!B73</f>
        <v>7.2261984000000012</v>
      </c>
      <c r="C73" s="506"/>
      <c r="D73" s="506"/>
      <c r="E73" s="506">
        <f>+'1.3.4 Coal3'!E73</f>
        <v>0</v>
      </c>
      <c r="F73" s="506"/>
      <c r="G73" s="506"/>
      <c r="H73" s="506"/>
      <c r="I73" s="506"/>
      <c r="J73" s="506"/>
      <c r="K73" s="506"/>
      <c r="L73" s="506"/>
      <c r="M73" s="506"/>
      <c r="N73" s="506"/>
      <c r="O73" s="506">
        <f t="shared" si="0"/>
        <v>6.8918826218142559</v>
      </c>
      <c r="P73" s="506"/>
      <c r="Q73" s="603">
        <f t="shared" si="1"/>
        <v>6.8918826218142559</v>
      </c>
      <c r="R73" s="506">
        <f>+'1.3.4 Coal3'!R73</f>
        <v>6.8918826218142559</v>
      </c>
      <c r="S73" s="506">
        <f>+'1.3.4 Coal3'!S73</f>
        <v>0.33431577818574532</v>
      </c>
      <c r="T73" s="506">
        <f>+'1.3.4 Coal3'!T73</f>
        <v>7.2261984000000012</v>
      </c>
    </row>
    <row r="74" spans="1:20" x14ac:dyDescent="0.45">
      <c r="A74" s="14">
        <v>1764</v>
      </c>
      <c r="B74" s="506">
        <f>+'1.3.4 Coal3'!B74</f>
        <v>7.3733152000000013</v>
      </c>
      <c r="C74" s="506"/>
      <c r="D74" s="506"/>
      <c r="E74" s="506">
        <f>+'1.3.4 Coal3'!E74</f>
        <v>0</v>
      </c>
      <c r="F74" s="506"/>
      <c r="G74" s="506"/>
      <c r="H74" s="506"/>
      <c r="I74" s="506"/>
      <c r="J74" s="506"/>
      <c r="K74" s="506"/>
      <c r="L74" s="506"/>
      <c r="M74" s="506"/>
      <c r="N74" s="506"/>
      <c r="O74" s="506">
        <f t="shared" ref="O74:O137" si="2">R74-SUM(I74:N74)-SUM(C74:H74)</f>
        <v>7.0198593132105724</v>
      </c>
      <c r="P74" s="506"/>
      <c r="Q74" s="603">
        <f t="shared" ref="Q74:Q137" si="3">SUM(I74:O74)</f>
        <v>7.0198593132105724</v>
      </c>
      <c r="R74" s="506">
        <f>+'1.3.4 Coal3'!R74</f>
        <v>7.0198593132105724</v>
      </c>
      <c r="S74" s="506">
        <f>+'1.3.4 Coal3'!S74</f>
        <v>0.35345588678942885</v>
      </c>
      <c r="T74" s="506">
        <f>+'1.3.4 Coal3'!T74</f>
        <v>7.3733152000000013</v>
      </c>
    </row>
    <row r="75" spans="1:20" x14ac:dyDescent="0.45">
      <c r="A75" s="14">
        <v>1765</v>
      </c>
      <c r="B75" s="506">
        <f>+'1.3.4 Coal3'!B75</f>
        <v>7.5204320000000013</v>
      </c>
      <c r="C75" s="506"/>
      <c r="D75" s="506"/>
      <c r="E75" s="506">
        <f>+'1.3.4 Coal3'!E75</f>
        <v>0</v>
      </c>
      <c r="F75" s="506"/>
      <c r="G75" s="506"/>
      <c r="H75" s="506"/>
      <c r="I75" s="506"/>
      <c r="J75" s="506"/>
      <c r="K75" s="506"/>
      <c r="L75" s="506"/>
      <c r="M75" s="506"/>
      <c r="N75" s="506"/>
      <c r="O75" s="506">
        <f t="shared" si="2"/>
        <v>7.0652748383614155</v>
      </c>
      <c r="P75" s="506"/>
      <c r="Q75" s="603">
        <f t="shared" si="3"/>
        <v>7.0652748383614155</v>
      </c>
      <c r="R75" s="506">
        <f>+'1.3.4 Coal3'!R75</f>
        <v>7.0652748383614155</v>
      </c>
      <c r="S75" s="506">
        <f>+'1.3.4 Coal3'!S75</f>
        <v>0.45515716163858588</v>
      </c>
      <c r="T75" s="506">
        <f>+'1.3.4 Coal3'!T75</f>
        <v>7.5204320000000013</v>
      </c>
    </row>
    <row r="76" spans="1:20" x14ac:dyDescent="0.45">
      <c r="A76" s="14">
        <v>1766</v>
      </c>
      <c r="B76" s="506">
        <f>+'1.3.4 Coal3'!B76</f>
        <v>7.6675488000000014</v>
      </c>
      <c r="C76" s="506"/>
      <c r="D76" s="506"/>
      <c r="E76" s="506">
        <f>+'1.3.4 Coal3'!E76</f>
        <v>0</v>
      </c>
      <c r="F76" s="506"/>
      <c r="G76" s="506"/>
      <c r="H76" s="506"/>
      <c r="I76" s="506"/>
      <c r="J76" s="506"/>
      <c r="K76" s="506"/>
      <c r="L76" s="506"/>
      <c r="M76" s="506"/>
      <c r="N76" s="506"/>
      <c r="O76" s="506">
        <f t="shared" si="2"/>
        <v>7.0352329962488822</v>
      </c>
      <c r="P76" s="506"/>
      <c r="Q76" s="603">
        <f t="shared" si="3"/>
        <v>7.0352329962488822</v>
      </c>
      <c r="R76" s="506">
        <f>+'1.3.4 Coal3'!R76</f>
        <v>7.0352329962488822</v>
      </c>
      <c r="S76" s="506">
        <f>+'1.3.4 Coal3'!S76</f>
        <v>0.63231580375111918</v>
      </c>
      <c r="T76" s="506">
        <f>+'1.3.4 Coal3'!T76</f>
        <v>7.6675488000000014</v>
      </c>
    </row>
    <row r="77" spans="1:20" x14ac:dyDescent="0.45">
      <c r="A77" s="14">
        <v>1767</v>
      </c>
      <c r="B77" s="506">
        <f>+'1.3.4 Coal3'!B77</f>
        <v>7.8146656000000014</v>
      </c>
      <c r="C77" s="506"/>
      <c r="D77" s="506"/>
      <c r="E77" s="506">
        <f>+'1.3.4 Coal3'!E77</f>
        <v>0</v>
      </c>
      <c r="F77" s="506"/>
      <c r="G77" s="506"/>
      <c r="H77" s="506"/>
      <c r="I77" s="506"/>
      <c r="J77" s="506"/>
      <c r="K77" s="506"/>
      <c r="L77" s="506"/>
      <c r="M77" s="506"/>
      <c r="N77" s="506"/>
      <c r="O77" s="506">
        <f t="shared" si="2"/>
        <v>7.1938853322153413</v>
      </c>
      <c r="P77" s="506"/>
      <c r="Q77" s="603">
        <f t="shared" si="3"/>
        <v>7.1938853322153413</v>
      </c>
      <c r="R77" s="506">
        <f>+'1.3.4 Coal3'!R77</f>
        <v>7.1938853322153413</v>
      </c>
      <c r="S77" s="506">
        <f>+'1.3.4 Coal3'!S77</f>
        <v>0.62078026778466011</v>
      </c>
      <c r="T77" s="506">
        <f>+'1.3.4 Coal3'!T77</f>
        <v>7.8146656000000014</v>
      </c>
    </row>
    <row r="78" spans="1:20" x14ac:dyDescent="0.45">
      <c r="A78" s="14">
        <v>1768</v>
      </c>
      <c r="B78" s="506">
        <f>+'1.3.4 Coal3'!B78</f>
        <v>7.9617824000000015</v>
      </c>
      <c r="C78" s="506"/>
      <c r="D78" s="506"/>
      <c r="E78" s="506">
        <f>+'1.3.4 Coal3'!E78</f>
        <v>0</v>
      </c>
      <c r="F78" s="506"/>
      <c r="G78" s="506"/>
      <c r="H78" s="506"/>
      <c r="I78" s="506"/>
      <c r="J78" s="506"/>
      <c r="K78" s="506"/>
      <c r="L78" s="506"/>
      <c r="M78" s="506"/>
      <c r="N78" s="506"/>
      <c r="O78" s="506">
        <f t="shared" si="2"/>
        <v>7.43454313011891</v>
      </c>
      <c r="P78" s="506"/>
      <c r="Q78" s="603">
        <f t="shared" si="3"/>
        <v>7.43454313011891</v>
      </c>
      <c r="R78" s="506">
        <f>+'1.3.4 Coal3'!R78</f>
        <v>7.43454313011891</v>
      </c>
      <c r="S78" s="506">
        <f>+'1.3.4 Coal3'!S78</f>
        <v>0.52723926988109149</v>
      </c>
      <c r="T78" s="506">
        <f>+'1.3.4 Coal3'!T78</f>
        <v>7.9617824000000015</v>
      </c>
    </row>
    <row r="79" spans="1:20" x14ac:dyDescent="0.45">
      <c r="A79" s="14">
        <v>1769</v>
      </c>
      <c r="B79" s="506">
        <f>+'1.3.4 Coal3'!B79</f>
        <v>8.1088992000000015</v>
      </c>
      <c r="C79" s="506"/>
      <c r="D79" s="506"/>
      <c r="E79" s="506">
        <f>+'1.3.4 Coal3'!E79</f>
        <v>0</v>
      </c>
      <c r="F79" s="506"/>
      <c r="G79" s="506"/>
      <c r="H79" s="506"/>
      <c r="I79" s="506"/>
      <c r="J79" s="506"/>
      <c r="K79" s="506"/>
      <c r="L79" s="506"/>
      <c r="M79" s="506"/>
      <c r="N79" s="506"/>
      <c r="O79" s="506">
        <f t="shared" si="2"/>
        <v>7.6027654042462984</v>
      </c>
      <c r="P79" s="506"/>
      <c r="Q79" s="603">
        <f t="shared" si="3"/>
        <v>7.6027654042462984</v>
      </c>
      <c r="R79" s="506">
        <f>+'1.3.4 Coal3'!R79</f>
        <v>7.6027654042462984</v>
      </c>
      <c r="S79" s="506">
        <f>+'1.3.4 Coal3'!S79</f>
        <v>0.5061337957537031</v>
      </c>
      <c r="T79" s="506">
        <f>+'1.3.4 Coal3'!T79</f>
        <v>8.1088992000000015</v>
      </c>
    </row>
    <row r="80" spans="1:20" x14ac:dyDescent="0.45">
      <c r="A80" s="14">
        <v>1770</v>
      </c>
      <c r="B80" s="506">
        <f>+'1.3.4 Coal3'!B80</f>
        <v>8.2560160000000007</v>
      </c>
      <c r="C80" s="506"/>
      <c r="D80" s="506"/>
      <c r="E80" s="506">
        <f>+'1.3.4 Coal3'!E80</f>
        <v>0</v>
      </c>
      <c r="F80" s="506"/>
      <c r="G80" s="506"/>
      <c r="H80" s="506"/>
      <c r="I80" s="506"/>
      <c r="J80" s="506"/>
      <c r="K80" s="506"/>
      <c r="L80" s="506"/>
      <c r="M80" s="506"/>
      <c r="N80" s="506"/>
      <c r="O80" s="506">
        <f t="shared" si="2"/>
        <v>7.7940468909755651</v>
      </c>
      <c r="P80" s="506"/>
      <c r="Q80" s="603">
        <f t="shared" si="3"/>
        <v>7.7940468909755651</v>
      </c>
      <c r="R80" s="506">
        <f>+'1.3.4 Coal3'!R80</f>
        <v>7.7940468909755651</v>
      </c>
      <c r="S80" s="506">
        <f>+'1.3.4 Coal3'!S80</f>
        <v>0.46196910902443555</v>
      </c>
      <c r="T80" s="506">
        <f>+'1.3.4 Coal3'!T80</f>
        <v>8.2560160000000007</v>
      </c>
    </row>
    <row r="81" spans="1:20" x14ac:dyDescent="0.45">
      <c r="A81" s="14">
        <v>1771</v>
      </c>
      <c r="B81" s="506">
        <f>+'1.3.4 Coal3'!B81</f>
        <v>8.4031328000000016</v>
      </c>
      <c r="C81" s="506"/>
      <c r="D81" s="506"/>
      <c r="E81" s="506">
        <f>+'1.3.4 Coal3'!E81</f>
        <v>0</v>
      </c>
      <c r="F81" s="506"/>
      <c r="G81" s="506"/>
      <c r="H81" s="506"/>
      <c r="I81" s="506"/>
      <c r="J81" s="506"/>
      <c r="K81" s="506"/>
      <c r="L81" s="506"/>
      <c r="M81" s="506"/>
      <c r="N81" s="506"/>
      <c r="O81" s="506">
        <f t="shared" si="2"/>
        <v>7.8478500401809956</v>
      </c>
      <c r="P81" s="506"/>
      <c r="Q81" s="603">
        <f t="shared" si="3"/>
        <v>7.8478500401809956</v>
      </c>
      <c r="R81" s="506">
        <f>+'1.3.4 Coal3'!R81</f>
        <v>7.8478500401809956</v>
      </c>
      <c r="S81" s="506">
        <f>+'1.3.4 Coal3'!S81</f>
        <v>0.55528275981900599</v>
      </c>
      <c r="T81" s="506">
        <f>+'1.3.4 Coal3'!T81</f>
        <v>8.4031328000000016</v>
      </c>
    </row>
    <row r="82" spans="1:20" x14ac:dyDescent="0.45">
      <c r="A82" s="14">
        <v>1772</v>
      </c>
      <c r="B82" s="506">
        <f>+'1.3.4 Coal3'!B82</f>
        <v>8.5502496000000008</v>
      </c>
      <c r="C82" s="506"/>
      <c r="D82" s="506"/>
      <c r="E82" s="506">
        <f>+'1.3.4 Coal3'!E82</f>
        <v>0</v>
      </c>
      <c r="F82" s="506"/>
      <c r="G82" s="506"/>
      <c r="H82" s="506"/>
      <c r="I82" s="506"/>
      <c r="J82" s="506"/>
      <c r="K82" s="506"/>
      <c r="L82" s="506"/>
      <c r="M82" s="506"/>
      <c r="N82" s="506"/>
      <c r="O82" s="506">
        <f t="shared" si="2"/>
        <v>7.991749006372161</v>
      </c>
      <c r="P82" s="506"/>
      <c r="Q82" s="603">
        <f t="shared" si="3"/>
        <v>7.991749006372161</v>
      </c>
      <c r="R82" s="506">
        <f>+'1.3.4 Coal3'!R82</f>
        <v>7.991749006372161</v>
      </c>
      <c r="S82" s="506">
        <f>+'1.3.4 Coal3'!S82</f>
        <v>0.55850059362783977</v>
      </c>
      <c r="T82" s="506">
        <f>+'1.3.4 Coal3'!T82</f>
        <v>8.5502496000000008</v>
      </c>
    </row>
    <row r="83" spans="1:20" x14ac:dyDescent="0.45">
      <c r="A83" s="14">
        <v>1773</v>
      </c>
      <c r="B83" s="506">
        <f>+'1.3.4 Coal3'!B83</f>
        <v>8.6973664000000017</v>
      </c>
      <c r="C83" s="506"/>
      <c r="D83" s="506"/>
      <c r="E83" s="506">
        <f>+'1.3.4 Coal3'!E83</f>
        <v>0</v>
      </c>
      <c r="F83" s="506"/>
      <c r="G83" s="506"/>
      <c r="H83" s="506"/>
      <c r="I83" s="506"/>
      <c r="J83" s="506"/>
      <c r="K83" s="506"/>
      <c r="L83" s="506"/>
      <c r="M83" s="506"/>
      <c r="N83" s="506"/>
      <c r="O83" s="506">
        <f t="shared" si="2"/>
        <v>8.1546136395589279</v>
      </c>
      <c r="P83" s="506"/>
      <c r="Q83" s="603">
        <f t="shared" si="3"/>
        <v>8.1546136395589279</v>
      </c>
      <c r="R83" s="506">
        <f>+'1.3.4 Coal3'!R83</f>
        <v>8.1546136395589279</v>
      </c>
      <c r="S83" s="506">
        <f>+'1.3.4 Coal3'!S83</f>
        <v>0.54275276044107379</v>
      </c>
      <c r="T83" s="506">
        <f>+'1.3.4 Coal3'!T83</f>
        <v>8.6973664000000017</v>
      </c>
    </row>
    <row r="84" spans="1:20" x14ac:dyDescent="0.45">
      <c r="A84" s="14">
        <v>1774</v>
      </c>
      <c r="B84" s="506">
        <f>+'1.3.4 Coal3'!B84</f>
        <v>8.8444832000000009</v>
      </c>
      <c r="C84" s="506"/>
      <c r="D84" s="506"/>
      <c r="E84" s="506">
        <f>+'1.3.4 Coal3'!E84</f>
        <v>0</v>
      </c>
      <c r="F84" s="506"/>
      <c r="G84" s="506"/>
      <c r="H84" s="506"/>
      <c r="I84" s="506"/>
      <c r="J84" s="506"/>
      <c r="K84" s="506"/>
      <c r="L84" s="506"/>
      <c r="M84" s="506"/>
      <c r="N84" s="506"/>
      <c r="O84" s="506">
        <f t="shared" si="2"/>
        <v>8.2439774758339457</v>
      </c>
      <c r="P84" s="506"/>
      <c r="Q84" s="603">
        <f t="shared" si="3"/>
        <v>8.2439774758339457</v>
      </c>
      <c r="R84" s="506">
        <f>+'1.3.4 Coal3'!R84</f>
        <v>8.2439774758339457</v>
      </c>
      <c r="S84" s="506">
        <f>+'1.3.4 Coal3'!S84</f>
        <v>0.60050572416605519</v>
      </c>
      <c r="T84" s="506">
        <f>+'1.3.4 Coal3'!T84</f>
        <v>8.8444832000000009</v>
      </c>
    </row>
    <row r="85" spans="1:20" x14ac:dyDescent="0.45">
      <c r="A85" s="14">
        <v>1775</v>
      </c>
      <c r="B85" s="506">
        <f>+'1.3.4 Coal3'!B85</f>
        <v>8.9916</v>
      </c>
      <c r="C85" s="506"/>
      <c r="D85" s="506"/>
      <c r="E85" s="506">
        <f>+'1.3.4 Coal3'!E85</f>
        <v>0</v>
      </c>
      <c r="F85" s="506"/>
      <c r="G85" s="506"/>
      <c r="H85" s="506"/>
      <c r="I85" s="506"/>
      <c r="J85" s="506"/>
      <c r="K85" s="506"/>
      <c r="L85" s="506"/>
      <c r="M85" s="506"/>
      <c r="N85" s="506"/>
      <c r="O85" s="506">
        <f t="shared" si="2"/>
        <v>8.3868297276638604</v>
      </c>
      <c r="P85" s="506"/>
      <c r="Q85" s="603">
        <f t="shared" si="3"/>
        <v>8.3868297276638604</v>
      </c>
      <c r="R85" s="506">
        <f>+'1.3.4 Coal3'!R85</f>
        <v>8.3868297276638604</v>
      </c>
      <c r="S85" s="506">
        <f>+'1.3.4 Coal3'!S85</f>
        <v>0.60477027233613967</v>
      </c>
      <c r="T85" s="506">
        <f>+'1.3.4 Coal3'!T85</f>
        <v>8.9916</v>
      </c>
    </row>
    <row r="86" spans="1:20" x14ac:dyDescent="0.45">
      <c r="A86" s="14">
        <v>1776</v>
      </c>
      <c r="B86" s="506">
        <f>+'1.3.4 Coal3'!B86</f>
        <v>9.2433648000000002</v>
      </c>
      <c r="C86" s="506"/>
      <c r="D86" s="506"/>
      <c r="E86" s="506">
        <f>+'1.3.4 Coal3'!E86</f>
        <v>0</v>
      </c>
      <c r="F86" s="506"/>
      <c r="G86" s="506"/>
      <c r="H86" s="506"/>
      <c r="I86" s="506"/>
      <c r="J86" s="506"/>
      <c r="K86" s="506"/>
      <c r="L86" s="506"/>
      <c r="M86" s="506"/>
      <c r="N86" s="506"/>
      <c r="O86" s="506">
        <f t="shared" si="2"/>
        <v>8.6114040738802693</v>
      </c>
      <c r="P86" s="506"/>
      <c r="Q86" s="603">
        <f t="shared" si="3"/>
        <v>8.6114040738802693</v>
      </c>
      <c r="R86" s="506">
        <f>+'1.3.4 Coal3'!R86</f>
        <v>8.6114040738802693</v>
      </c>
      <c r="S86" s="506">
        <f>+'1.3.4 Coal3'!S86</f>
        <v>0.63196072611973086</v>
      </c>
      <c r="T86" s="506">
        <f>+'1.3.4 Coal3'!T86</f>
        <v>9.2433648000000002</v>
      </c>
    </row>
    <row r="87" spans="1:20" x14ac:dyDescent="0.45">
      <c r="A87" s="14">
        <v>1777</v>
      </c>
      <c r="B87" s="506">
        <f>+'1.3.4 Coal3'!B87</f>
        <v>9.4951295999999985</v>
      </c>
      <c r="C87" s="506"/>
      <c r="D87" s="506"/>
      <c r="E87" s="506">
        <f>+'1.3.4 Coal3'!E87</f>
        <v>0</v>
      </c>
      <c r="F87" s="506"/>
      <c r="G87" s="506"/>
      <c r="H87" s="506"/>
      <c r="I87" s="506"/>
      <c r="J87" s="506"/>
      <c r="K87" s="506"/>
      <c r="L87" s="506"/>
      <c r="M87" s="506"/>
      <c r="N87" s="506"/>
      <c r="O87" s="506">
        <f t="shared" si="2"/>
        <v>8.8488042493611001</v>
      </c>
      <c r="P87" s="506"/>
      <c r="Q87" s="603">
        <f t="shared" si="3"/>
        <v>8.8488042493611001</v>
      </c>
      <c r="R87" s="506">
        <f>+'1.3.4 Coal3'!R87</f>
        <v>8.8488042493611001</v>
      </c>
      <c r="S87" s="506">
        <f>+'1.3.4 Coal3'!S87</f>
        <v>0.6463253506388984</v>
      </c>
      <c r="T87" s="506">
        <f>+'1.3.4 Coal3'!T87</f>
        <v>9.4951295999999985</v>
      </c>
    </row>
    <row r="88" spans="1:20" x14ac:dyDescent="0.45">
      <c r="A88" s="14">
        <v>1778</v>
      </c>
      <c r="B88" s="506">
        <f>+'1.3.4 Coal3'!B88</f>
        <v>9.7468943999999986</v>
      </c>
      <c r="C88" s="506"/>
      <c r="D88" s="506"/>
      <c r="E88" s="506">
        <f>+'1.3.4 Coal3'!E88</f>
        <v>0</v>
      </c>
      <c r="F88" s="506"/>
      <c r="G88" s="506"/>
      <c r="H88" s="506"/>
      <c r="I88" s="506"/>
      <c r="J88" s="506"/>
      <c r="K88" s="506"/>
      <c r="L88" s="506"/>
      <c r="M88" s="506"/>
      <c r="N88" s="506"/>
      <c r="O88" s="506">
        <f t="shared" si="2"/>
        <v>9.1559144343928871</v>
      </c>
      <c r="P88" s="506"/>
      <c r="Q88" s="603">
        <f t="shared" si="3"/>
        <v>9.1559144343928871</v>
      </c>
      <c r="R88" s="506">
        <f>+'1.3.4 Coal3'!R88</f>
        <v>9.1559144343928871</v>
      </c>
      <c r="S88" s="506">
        <f>+'1.3.4 Coal3'!S88</f>
        <v>0.59097996560711152</v>
      </c>
      <c r="T88" s="506">
        <f>+'1.3.4 Coal3'!T88</f>
        <v>9.7468943999999986</v>
      </c>
    </row>
    <row r="89" spans="1:20" x14ac:dyDescent="0.45">
      <c r="A89" s="14">
        <v>1779</v>
      </c>
      <c r="B89" s="506">
        <f>+'1.3.4 Coal3'!B89</f>
        <v>9.9986591999999987</v>
      </c>
      <c r="C89" s="506"/>
      <c r="D89" s="506"/>
      <c r="E89" s="506">
        <f>+'1.3.4 Coal3'!E89</f>
        <v>0</v>
      </c>
      <c r="F89" s="506"/>
      <c r="G89" s="506"/>
      <c r="H89" s="506"/>
      <c r="I89" s="506"/>
      <c r="J89" s="506"/>
      <c r="K89" s="506"/>
      <c r="L89" s="506"/>
      <c r="M89" s="506"/>
      <c r="N89" s="506"/>
      <c r="O89" s="506">
        <f t="shared" si="2"/>
        <v>9.4331544437040087</v>
      </c>
      <c r="P89" s="506"/>
      <c r="Q89" s="603">
        <f t="shared" si="3"/>
        <v>9.4331544437040087</v>
      </c>
      <c r="R89" s="506">
        <f>+'1.3.4 Coal3'!R89</f>
        <v>9.4331544437040087</v>
      </c>
      <c r="S89" s="506">
        <f>+'1.3.4 Coal3'!S89</f>
        <v>0.56550475629599006</v>
      </c>
      <c r="T89" s="506">
        <f>+'1.3.4 Coal3'!T89</f>
        <v>9.9986591999999987</v>
      </c>
    </row>
    <row r="90" spans="1:20" x14ac:dyDescent="0.45">
      <c r="A90" s="14">
        <v>1780</v>
      </c>
      <c r="B90" s="506">
        <f>+'1.3.4 Coal3'!B90</f>
        <v>10.250423999999999</v>
      </c>
      <c r="C90" s="506"/>
      <c r="D90" s="506"/>
      <c r="E90" s="506">
        <f>+'1.3.4 Coal3'!E90</f>
        <v>0</v>
      </c>
      <c r="F90" s="506"/>
      <c r="G90" s="506"/>
      <c r="H90" s="506"/>
      <c r="I90" s="506"/>
      <c r="J90" s="506"/>
      <c r="K90" s="506"/>
      <c r="L90" s="506"/>
      <c r="M90" s="506"/>
      <c r="N90" s="506"/>
      <c r="O90" s="506">
        <f t="shared" si="2"/>
        <v>9.6693357151587698</v>
      </c>
      <c r="P90" s="506"/>
      <c r="Q90" s="603">
        <f t="shared" si="3"/>
        <v>9.6693357151587698</v>
      </c>
      <c r="R90" s="506">
        <f>+'1.3.4 Coal3'!R90</f>
        <v>9.6693357151587698</v>
      </c>
      <c r="S90" s="506">
        <f>+'1.3.4 Coal3'!S90</f>
        <v>0.5810882848412291</v>
      </c>
      <c r="T90" s="506">
        <f>+'1.3.4 Coal3'!T90</f>
        <v>10.250423999999999</v>
      </c>
    </row>
    <row r="91" spans="1:20" x14ac:dyDescent="0.45">
      <c r="A91" s="14">
        <v>1781</v>
      </c>
      <c r="B91" s="506">
        <f>+'1.3.4 Coal3'!B91</f>
        <v>10.502188799999999</v>
      </c>
      <c r="C91" s="506"/>
      <c r="D91" s="506"/>
      <c r="E91" s="506">
        <f>+'1.3.4 Coal3'!E91</f>
        <v>0</v>
      </c>
      <c r="F91" s="506"/>
      <c r="G91" s="506"/>
      <c r="H91" s="506"/>
      <c r="I91" s="506"/>
      <c r="J91" s="506"/>
      <c r="K91" s="506"/>
      <c r="L91" s="506"/>
      <c r="M91" s="506"/>
      <c r="N91" s="506"/>
      <c r="O91" s="506">
        <f t="shared" si="2"/>
        <v>9.9904292981018266</v>
      </c>
      <c r="P91" s="506"/>
      <c r="Q91" s="603">
        <f t="shared" si="3"/>
        <v>9.9904292981018266</v>
      </c>
      <c r="R91" s="506">
        <f>+'1.3.4 Coal3'!R91</f>
        <v>9.9904292981018266</v>
      </c>
      <c r="S91" s="506">
        <f>+'1.3.4 Coal3'!S91</f>
        <v>0.51175950189817243</v>
      </c>
      <c r="T91" s="506">
        <f>+'1.3.4 Coal3'!T91</f>
        <v>10.502188799999999</v>
      </c>
    </row>
    <row r="92" spans="1:20" x14ac:dyDescent="0.45">
      <c r="A92" s="14">
        <v>1782</v>
      </c>
      <c r="B92" s="506">
        <f>+'1.3.4 Coal3'!B92</f>
        <v>10.753953599999999</v>
      </c>
      <c r="C92" s="506"/>
      <c r="D92" s="506"/>
      <c r="E92" s="506">
        <f>+'1.3.4 Coal3'!E92</f>
        <v>0</v>
      </c>
      <c r="F92" s="506"/>
      <c r="G92" s="506"/>
      <c r="H92" s="506"/>
      <c r="I92" s="506"/>
      <c r="J92" s="506"/>
      <c r="K92" s="506"/>
      <c r="L92" s="506"/>
      <c r="M92" s="506"/>
      <c r="N92" s="506"/>
      <c r="O92" s="506">
        <f t="shared" si="2"/>
        <v>10.226749841342089</v>
      </c>
      <c r="P92" s="506"/>
      <c r="Q92" s="603">
        <f t="shared" si="3"/>
        <v>10.226749841342089</v>
      </c>
      <c r="R92" s="506">
        <f>+'1.3.4 Coal3'!R92</f>
        <v>10.226749841342089</v>
      </c>
      <c r="S92" s="506">
        <f>+'1.3.4 Coal3'!S92</f>
        <v>0.52720375865790992</v>
      </c>
      <c r="T92" s="506">
        <f>+'1.3.4 Coal3'!T92</f>
        <v>10.753953599999999</v>
      </c>
    </row>
    <row r="93" spans="1:20" x14ac:dyDescent="0.45">
      <c r="A93" s="14">
        <v>1783</v>
      </c>
      <c r="B93" s="506">
        <f>+'1.3.4 Coal3'!B93</f>
        <v>11.005718399999997</v>
      </c>
      <c r="C93" s="506"/>
      <c r="D93" s="506"/>
      <c r="E93" s="506">
        <f>+'1.3.4 Coal3'!E93</f>
        <v>0</v>
      </c>
      <c r="F93" s="506"/>
      <c r="G93" s="506"/>
      <c r="H93" s="506"/>
      <c r="I93" s="506"/>
      <c r="J93" s="506"/>
      <c r="K93" s="506"/>
      <c r="L93" s="506"/>
      <c r="M93" s="506"/>
      <c r="N93" s="506"/>
      <c r="O93" s="506">
        <f t="shared" si="2"/>
        <v>10.326467580765037</v>
      </c>
      <c r="P93" s="506"/>
      <c r="Q93" s="603">
        <f t="shared" si="3"/>
        <v>10.326467580765037</v>
      </c>
      <c r="R93" s="506">
        <f>+'1.3.4 Coal3'!R93</f>
        <v>10.326467580765037</v>
      </c>
      <c r="S93" s="506">
        <f>+'1.3.4 Coal3'!S93</f>
        <v>0.67925081923496045</v>
      </c>
      <c r="T93" s="506">
        <f>+'1.3.4 Coal3'!T93</f>
        <v>11.005718399999997</v>
      </c>
    </row>
    <row r="94" spans="1:20" x14ac:dyDescent="0.45">
      <c r="A94" s="14">
        <v>1784</v>
      </c>
      <c r="B94" s="506">
        <f>+'1.3.4 Coal3'!B94</f>
        <v>11.257483199999998</v>
      </c>
      <c r="C94" s="506"/>
      <c r="D94" s="506"/>
      <c r="E94" s="506">
        <f>+'1.3.4 Coal3'!E94</f>
        <v>0</v>
      </c>
      <c r="F94" s="506"/>
      <c r="G94" s="506"/>
      <c r="H94" s="506"/>
      <c r="I94" s="506"/>
      <c r="J94" s="506"/>
      <c r="K94" s="506"/>
      <c r="L94" s="506"/>
      <c r="M94" s="506"/>
      <c r="N94" s="506"/>
      <c r="O94" s="506">
        <f t="shared" si="2"/>
        <v>10.576080326561897</v>
      </c>
      <c r="P94" s="506"/>
      <c r="Q94" s="603">
        <f t="shared" si="3"/>
        <v>10.576080326561897</v>
      </c>
      <c r="R94" s="506">
        <f>+'1.3.4 Coal3'!R94</f>
        <v>10.576080326561897</v>
      </c>
      <c r="S94" s="506">
        <f>+'1.3.4 Coal3'!S94</f>
        <v>0.6814028734381008</v>
      </c>
      <c r="T94" s="506">
        <f>+'1.3.4 Coal3'!T94</f>
        <v>11.257483199999998</v>
      </c>
    </row>
    <row r="95" spans="1:20" x14ac:dyDescent="0.45">
      <c r="A95" s="14">
        <v>1785</v>
      </c>
      <c r="B95" s="506">
        <f>+'1.3.4 Coal3'!B95</f>
        <v>11.509247999999998</v>
      </c>
      <c r="C95" s="506"/>
      <c r="D95" s="506"/>
      <c r="E95" s="506">
        <f>+'1.3.4 Coal3'!E95</f>
        <v>0</v>
      </c>
      <c r="F95" s="506"/>
      <c r="G95" s="506"/>
      <c r="H95" s="506"/>
      <c r="I95" s="506"/>
      <c r="J95" s="506"/>
      <c r="K95" s="506"/>
      <c r="L95" s="506"/>
      <c r="M95" s="506"/>
      <c r="N95" s="506"/>
      <c r="O95" s="506">
        <f t="shared" si="2"/>
        <v>10.688045450063809</v>
      </c>
      <c r="P95" s="506"/>
      <c r="Q95" s="603">
        <f t="shared" si="3"/>
        <v>10.688045450063809</v>
      </c>
      <c r="R95" s="506">
        <f>+'1.3.4 Coal3'!R95</f>
        <v>10.688045450063809</v>
      </c>
      <c r="S95" s="506">
        <f>+'1.3.4 Coal3'!S95</f>
        <v>0.82120254993618857</v>
      </c>
      <c r="T95" s="506">
        <f>+'1.3.4 Coal3'!T95</f>
        <v>11.509247999999998</v>
      </c>
    </row>
    <row r="96" spans="1:20" x14ac:dyDescent="0.45">
      <c r="A96" s="14">
        <v>1786</v>
      </c>
      <c r="B96" s="506">
        <f>+'1.3.4 Coal3'!B96</f>
        <v>11.761012799999998</v>
      </c>
      <c r="C96" s="506"/>
      <c r="D96" s="506"/>
      <c r="E96" s="506">
        <f>+'1.3.4 Coal3'!E96</f>
        <v>0</v>
      </c>
      <c r="F96" s="506"/>
      <c r="G96" s="506"/>
      <c r="H96" s="506"/>
      <c r="I96" s="506"/>
      <c r="J96" s="506"/>
      <c r="K96" s="506"/>
      <c r="L96" s="506"/>
      <c r="M96" s="506"/>
      <c r="N96" s="506"/>
      <c r="O96" s="506">
        <f t="shared" si="2"/>
        <v>10.973243870168876</v>
      </c>
      <c r="P96" s="506"/>
      <c r="Q96" s="603">
        <f t="shared" si="3"/>
        <v>10.973243870168876</v>
      </c>
      <c r="R96" s="506">
        <f>+'1.3.4 Coal3'!R96</f>
        <v>10.973243870168876</v>
      </c>
      <c r="S96" s="506">
        <f>+'1.3.4 Coal3'!S96</f>
        <v>0.78776892983112212</v>
      </c>
      <c r="T96" s="506">
        <f>+'1.3.4 Coal3'!T96</f>
        <v>11.761012799999998</v>
      </c>
    </row>
    <row r="97" spans="1:20" x14ac:dyDescent="0.45">
      <c r="A97" s="14">
        <v>1787</v>
      </c>
      <c r="B97" s="506">
        <f>+'1.3.4 Coal3'!B97</f>
        <v>12.012777599999998</v>
      </c>
      <c r="C97" s="506"/>
      <c r="D97" s="506"/>
      <c r="E97" s="506">
        <f>+'1.3.4 Coal3'!E97</f>
        <v>0</v>
      </c>
      <c r="F97" s="506"/>
      <c r="G97" s="506"/>
      <c r="H97" s="506"/>
      <c r="I97" s="506"/>
      <c r="J97" s="506"/>
      <c r="K97" s="506"/>
      <c r="L97" s="506"/>
      <c r="M97" s="506"/>
      <c r="N97" s="506"/>
      <c r="O97" s="506">
        <f t="shared" si="2"/>
        <v>11.268084039349356</v>
      </c>
      <c r="P97" s="506"/>
      <c r="Q97" s="603">
        <f t="shared" si="3"/>
        <v>11.268084039349356</v>
      </c>
      <c r="R97" s="506">
        <f>+'1.3.4 Coal3'!R97</f>
        <v>11.268084039349356</v>
      </c>
      <c r="S97" s="506">
        <f>+'1.3.4 Coal3'!S97</f>
        <v>0.74469356065064218</v>
      </c>
      <c r="T97" s="506">
        <f>+'1.3.4 Coal3'!T97</f>
        <v>12.012777599999998</v>
      </c>
    </row>
    <row r="98" spans="1:20" x14ac:dyDescent="0.45">
      <c r="A98" s="14">
        <v>1788</v>
      </c>
      <c r="B98" s="506">
        <f>+'1.3.4 Coal3'!B98</f>
        <v>12.264542399999996</v>
      </c>
      <c r="C98" s="506"/>
      <c r="D98" s="506"/>
      <c r="E98" s="506">
        <f>+'1.3.4 Coal3'!E98</f>
        <v>0</v>
      </c>
      <c r="F98" s="506"/>
      <c r="G98" s="506"/>
      <c r="H98" s="506"/>
      <c r="I98" s="506"/>
      <c r="J98" s="506"/>
      <c r="K98" s="506"/>
      <c r="L98" s="506"/>
      <c r="M98" s="506"/>
      <c r="N98" s="506"/>
      <c r="O98" s="506">
        <f t="shared" si="2"/>
        <v>11.353093929226141</v>
      </c>
      <c r="P98" s="506"/>
      <c r="Q98" s="603">
        <f t="shared" si="3"/>
        <v>11.353093929226141</v>
      </c>
      <c r="R98" s="506">
        <f>+'1.3.4 Coal3'!R98</f>
        <v>11.353093929226141</v>
      </c>
      <c r="S98" s="506">
        <f>+'1.3.4 Coal3'!S98</f>
        <v>0.91144847077385549</v>
      </c>
      <c r="T98" s="506">
        <f>+'1.3.4 Coal3'!T98</f>
        <v>12.264542399999996</v>
      </c>
    </row>
    <row r="99" spans="1:20" x14ac:dyDescent="0.45">
      <c r="A99" s="14">
        <v>1789</v>
      </c>
      <c r="B99" s="506">
        <f>+'1.3.4 Coal3'!B99</f>
        <v>12.516307199999996</v>
      </c>
      <c r="C99" s="506"/>
      <c r="D99" s="506"/>
      <c r="E99" s="506">
        <f>+'1.3.4 Coal3'!E99</f>
        <v>0</v>
      </c>
      <c r="F99" s="506"/>
      <c r="G99" s="506"/>
      <c r="H99" s="506"/>
      <c r="I99" s="506"/>
      <c r="J99" s="506"/>
      <c r="K99" s="506"/>
      <c r="L99" s="506"/>
      <c r="M99" s="506"/>
      <c r="N99" s="506"/>
      <c r="O99" s="506">
        <f t="shared" si="2"/>
        <v>11.623481015697051</v>
      </c>
      <c r="P99" s="506"/>
      <c r="Q99" s="603">
        <f t="shared" si="3"/>
        <v>11.623481015697051</v>
      </c>
      <c r="R99" s="506">
        <f>+'1.3.4 Coal3'!R99</f>
        <v>11.623481015697051</v>
      </c>
      <c r="S99" s="506">
        <f>+'1.3.4 Coal3'!S99</f>
        <v>0.89282618430294569</v>
      </c>
      <c r="T99" s="506">
        <f>+'1.3.4 Coal3'!T99</f>
        <v>12.516307199999996</v>
      </c>
    </row>
    <row r="100" spans="1:20" x14ac:dyDescent="0.45">
      <c r="A100" s="14">
        <v>1790</v>
      </c>
      <c r="B100" s="506">
        <f>+'1.3.4 Coal3'!B100</f>
        <v>12.768071999999997</v>
      </c>
      <c r="C100" s="506"/>
      <c r="D100" s="506"/>
      <c r="E100" s="506">
        <f>+'1.3.4 Coal3'!E100</f>
        <v>0</v>
      </c>
      <c r="F100" s="506"/>
      <c r="G100" s="506"/>
      <c r="H100" s="506"/>
      <c r="I100" s="506"/>
      <c r="J100" s="506"/>
      <c r="K100" s="506"/>
      <c r="L100" s="506"/>
      <c r="M100" s="506"/>
      <c r="N100" s="506"/>
      <c r="O100" s="506">
        <f t="shared" si="2"/>
        <v>11.843516263605208</v>
      </c>
      <c r="P100" s="506"/>
      <c r="Q100" s="603">
        <f t="shared" si="3"/>
        <v>11.843516263605208</v>
      </c>
      <c r="R100" s="506">
        <f>+'1.3.4 Coal3'!R100</f>
        <v>11.843516263605208</v>
      </c>
      <c r="S100" s="506">
        <f>+'1.3.4 Coal3'!S100</f>
        <v>0.9245557363947885</v>
      </c>
      <c r="T100" s="506">
        <f>+'1.3.4 Coal3'!T100</f>
        <v>12.768071999999997</v>
      </c>
    </row>
    <row r="101" spans="1:20" x14ac:dyDescent="0.45">
      <c r="A101" s="14">
        <v>1791</v>
      </c>
      <c r="B101" s="506">
        <f>+'1.3.4 Coal3'!B101</f>
        <v>13.019836799999997</v>
      </c>
      <c r="C101" s="506"/>
      <c r="D101" s="506"/>
      <c r="E101" s="506">
        <f>+'1.3.4 Coal3'!E101</f>
        <v>0</v>
      </c>
      <c r="F101" s="506"/>
      <c r="G101" s="506"/>
      <c r="H101" s="506"/>
      <c r="I101" s="506"/>
      <c r="J101" s="506"/>
      <c r="K101" s="506"/>
      <c r="L101" s="506"/>
      <c r="M101" s="506"/>
      <c r="N101" s="506"/>
      <c r="O101" s="506">
        <f t="shared" si="2"/>
        <v>12.056870110933202</v>
      </c>
      <c r="P101" s="506"/>
      <c r="Q101" s="603">
        <f t="shared" si="3"/>
        <v>12.056870110933202</v>
      </c>
      <c r="R101" s="506">
        <f>+'1.3.4 Coal3'!R101</f>
        <v>12.056870110933202</v>
      </c>
      <c r="S101" s="506">
        <f>+'1.3.4 Coal3'!S101</f>
        <v>0.9629666890667945</v>
      </c>
      <c r="T101" s="506">
        <f>+'1.3.4 Coal3'!T101</f>
        <v>13.019836799999997</v>
      </c>
    </row>
    <row r="102" spans="1:20" x14ac:dyDescent="0.45">
      <c r="A102" s="14">
        <v>1792</v>
      </c>
      <c r="B102" s="506">
        <f>+'1.3.4 Coal3'!B102</f>
        <v>13.271601599999997</v>
      </c>
      <c r="C102" s="506"/>
      <c r="D102" s="506"/>
      <c r="E102" s="506">
        <f>+'1.3.4 Coal3'!E102</f>
        <v>0</v>
      </c>
      <c r="F102" s="506"/>
      <c r="G102" s="506"/>
      <c r="H102" s="506"/>
      <c r="I102" s="506"/>
      <c r="J102" s="506"/>
      <c r="K102" s="506"/>
      <c r="L102" s="506"/>
      <c r="M102" s="506"/>
      <c r="N102" s="506"/>
      <c r="O102" s="506">
        <f t="shared" si="2"/>
        <v>12.261492452508458</v>
      </c>
      <c r="P102" s="506"/>
      <c r="Q102" s="603">
        <f t="shared" si="3"/>
        <v>12.261492452508458</v>
      </c>
      <c r="R102" s="506">
        <f>+'1.3.4 Coal3'!R102</f>
        <v>12.261492452508458</v>
      </c>
      <c r="S102" s="506">
        <f>+'1.3.4 Coal3'!S102</f>
        <v>1.0101091474915389</v>
      </c>
      <c r="T102" s="506">
        <f>+'1.3.4 Coal3'!T102</f>
        <v>13.271601599999997</v>
      </c>
    </row>
    <row r="103" spans="1:20" x14ac:dyDescent="0.45">
      <c r="A103" s="14">
        <v>1793</v>
      </c>
      <c r="B103" s="506">
        <f>+'1.3.4 Coal3'!B103</f>
        <v>13.523366399999997</v>
      </c>
      <c r="C103" s="506"/>
      <c r="D103" s="506"/>
      <c r="E103" s="506">
        <f>+'1.3.4 Coal3'!E103</f>
        <v>0</v>
      </c>
      <c r="F103" s="506"/>
      <c r="G103" s="506"/>
      <c r="H103" s="506"/>
      <c r="I103" s="506"/>
      <c r="J103" s="506"/>
      <c r="K103" s="506"/>
      <c r="L103" s="506"/>
      <c r="M103" s="506"/>
      <c r="N103" s="506"/>
      <c r="O103" s="506">
        <f t="shared" si="2"/>
        <v>12.478700623204595</v>
      </c>
      <c r="P103" s="506"/>
      <c r="Q103" s="603">
        <f t="shared" si="3"/>
        <v>12.478700623204595</v>
      </c>
      <c r="R103" s="506">
        <f>+'1.3.4 Coal3'!R103</f>
        <v>12.478700623204595</v>
      </c>
      <c r="S103" s="506">
        <f>+'1.3.4 Coal3'!S103</f>
        <v>1.0446657767954015</v>
      </c>
      <c r="T103" s="506">
        <f>+'1.3.4 Coal3'!T103</f>
        <v>13.523366399999997</v>
      </c>
    </row>
    <row r="104" spans="1:20" x14ac:dyDescent="0.45">
      <c r="A104" s="14">
        <v>1794</v>
      </c>
      <c r="B104" s="506">
        <f>+'1.3.4 Coal3'!B104</f>
        <v>13.775131199999995</v>
      </c>
      <c r="C104" s="506"/>
      <c r="D104" s="506"/>
      <c r="E104" s="506">
        <f>+'1.3.4 Coal3'!E104</f>
        <v>0</v>
      </c>
      <c r="F104" s="506"/>
      <c r="G104" s="506"/>
      <c r="H104" s="506"/>
      <c r="I104" s="506"/>
      <c r="J104" s="506"/>
      <c r="K104" s="506"/>
      <c r="L104" s="506"/>
      <c r="M104" s="506"/>
      <c r="N104" s="506"/>
      <c r="O104" s="506">
        <f t="shared" si="2"/>
        <v>12.802963380623295</v>
      </c>
      <c r="P104" s="506"/>
      <c r="Q104" s="603">
        <f t="shared" si="3"/>
        <v>12.802963380623295</v>
      </c>
      <c r="R104" s="506">
        <f>+'1.3.4 Coal3'!R104</f>
        <v>12.802963380623295</v>
      </c>
      <c r="S104" s="506">
        <f>+'1.3.4 Coal3'!S104</f>
        <v>0.97216781937670049</v>
      </c>
      <c r="T104" s="506">
        <f>+'1.3.4 Coal3'!T104</f>
        <v>13.775131199999995</v>
      </c>
    </row>
    <row r="105" spans="1:20" x14ac:dyDescent="0.45">
      <c r="A105" s="14">
        <v>1795</v>
      </c>
      <c r="B105" s="506">
        <f>+'1.3.4 Coal3'!B105</f>
        <v>14.026895999999995</v>
      </c>
      <c r="C105" s="506"/>
      <c r="D105" s="506"/>
      <c r="E105" s="506">
        <f>+'1.3.4 Coal3'!E105</f>
        <v>0</v>
      </c>
      <c r="F105" s="506"/>
      <c r="G105" s="506"/>
      <c r="H105" s="506"/>
      <c r="I105" s="506"/>
      <c r="J105" s="506"/>
      <c r="K105" s="506"/>
      <c r="L105" s="506"/>
      <c r="M105" s="506"/>
      <c r="N105" s="506"/>
      <c r="O105" s="506">
        <f t="shared" si="2"/>
        <v>13.13367688724051</v>
      </c>
      <c r="P105" s="506"/>
      <c r="Q105" s="603">
        <f t="shared" si="3"/>
        <v>13.13367688724051</v>
      </c>
      <c r="R105" s="506">
        <f>+'1.3.4 Coal3'!R105</f>
        <v>13.13367688724051</v>
      </c>
      <c r="S105" s="506">
        <f>+'1.3.4 Coal3'!S105</f>
        <v>0.89321911275948551</v>
      </c>
      <c r="T105" s="506">
        <f>+'1.3.4 Coal3'!T105</f>
        <v>14.026895999999995</v>
      </c>
    </row>
    <row r="106" spans="1:20" x14ac:dyDescent="0.45">
      <c r="A106" s="14">
        <v>1796</v>
      </c>
      <c r="B106" s="506">
        <f>+'1.3.4 Coal3'!B106</f>
        <v>14.278660799999995</v>
      </c>
      <c r="C106" s="506"/>
      <c r="D106" s="506"/>
      <c r="E106" s="506">
        <f>+'1.3.4 Coal3'!E106</f>
        <v>0</v>
      </c>
      <c r="F106" s="506"/>
      <c r="G106" s="506"/>
      <c r="H106" s="506"/>
      <c r="I106" s="506"/>
      <c r="J106" s="506"/>
      <c r="K106" s="506"/>
      <c r="L106" s="506"/>
      <c r="M106" s="506"/>
      <c r="N106" s="506"/>
      <c r="O106" s="506">
        <f t="shared" si="2"/>
        <v>13.294036692000525</v>
      </c>
      <c r="P106" s="506"/>
      <c r="Q106" s="603">
        <f t="shared" si="3"/>
        <v>13.294036692000525</v>
      </c>
      <c r="R106" s="506">
        <f>+'1.3.4 Coal3'!R106</f>
        <v>13.294036692000525</v>
      </c>
      <c r="S106" s="506">
        <f>+'1.3.4 Coal3'!S106</f>
        <v>0.98462410799947087</v>
      </c>
      <c r="T106" s="506">
        <f>+'1.3.4 Coal3'!T106</f>
        <v>14.278660799999995</v>
      </c>
    </row>
    <row r="107" spans="1:20" x14ac:dyDescent="0.45">
      <c r="A107" s="14">
        <v>1797</v>
      </c>
      <c r="B107" s="506">
        <f>+'1.3.4 Coal3'!B107</f>
        <v>14.530425599999996</v>
      </c>
      <c r="C107" s="506"/>
      <c r="D107" s="506"/>
      <c r="E107" s="506">
        <f>+'1.3.4 Coal3'!E107</f>
        <v>0</v>
      </c>
      <c r="F107" s="506"/>
      <c r="G107" s="506"/>
      <c r="H107" s="506"/>
      <c r="I107" s="506"/>
      <c r="J107" s="506"/>
      <c r="K107" s="506"/>
      <c r="L107" s="506"/>
      <c r="M107" s="506"/>
      <c r="N107" s="506"/>
      <c r="O107" s="506">
        <f t="shared" si="2"/>
        <v>13.609141711340747</v>
      </c>
      <c r="P107" s="506"/>
      <c r="Q107" s="603">
        <f t="shared" si="3"/>
        <v>13.609141711340747</v>
      </c>
      <c r="R107" s="506">
        <f>+'1.3.4 Coal3'!R107</f>
        <v>13.609141711340747</v>
      </c>
      <c r="S107" s="506">
        <f>+'1.3.4 Coal3'!S107</f>
        <v>0.92128388865924826</v>
      </c>
      <c r="T107" s="506">
        <f>+'1.3.4 Coal3'!T107</f>
        <v>14.530425599999996</v>
      </c>
    </row>
    <row r="108" spans="1:20" x14ac:dyDescent="0.45">
      <c r="A108" s="14">
        <v>1798</v>
      </c>
      <c r="B108" s="506">
        <f>+'1.3.4 Coal3'!B108</f>
        <v>14.782190399999996</v>
      </c>
      <c r="C108" s="506"/>
      <c r="D108" s="506"/>
      <c r="E108" s="506">
        <f>+'1.3.4 Coal3'!E108</f>
        <v>0</v>
      </c>
      <c r="F108" s="506"/>
      <c r="G108" s="506"/>
      <c r="H108" s="506"/>
      <c r="I108" s="506"/>
      <c r="J108" s="506"/>
      <c r="K108" s="506"/>
      <c r="L108" s="506"/>
      <c r="M108" s="506"/>
      <c r="N108" s="506"/>
      <c r="O108" s="506">
        <f t="shared" si="2"/>
        <v>13.846306209629635</v>
      </c>
      <c r="P108" s="506"/>
      <c r="Q108" s="603">
        <f t="shared" si="3"/>
        <v>13.846306209629635</v>
      </c>
      <c r="R108" s="506">
        <f>+'1.3.4 Coal3'!R108</f>
        <v>13.846306209629635</v>
      </c>
      <c r="S108" s="506">
        <f>+'1.3.4 Coal3'!S108</f>
        <v>0.93588419037036097</v>
      </c>
      <c r="T108" s="506">
        <f>+'1.3.4 Coal3'!T108</f>
        <v>14.782190399999996</v>
      </c>
    </row>
    <row r="109" spans="1:20" x14ac:dyDescent="0.45">
      <c r="A109" s="14">
        <v>1799</v>
      </c>
      <c r="B109" s="506">
        <f>+'1.3.4 Coal3'!B109</f>
        <v>15.033955199999994</v>
      </c>
      <c r="C109" s="506"/>
      <c r="D109" s="506"/>
      <c r="E109" s="506">
        <f>+'1.3.4 Coal3'!E109</f>
        <v>0</v>
      </c>
      <c r="F109" s="506"/>
      <c r="G109" s="506"/>
      <c r="H109" s="506"/>
      <c r="I109" s="506"/>
      <c r="J109" s="506"/>
      <c r="K109" s="506"/>
      <c r="L109" s="506"/>
      <c r="M109" s="506"/>
      <c r="N109" s="506"/>
      <c r="O109" s="506">
        <f t="shared" si="2"/>
        <v>14.066467778999625</v>
      </c>
      <c r="P109" s="506"/>
      <c r="Q109" s="603">
        <f t="shared" si="3"/>
        <v>14.066467778999625</v>
      </c>
      <c r="R109" s="506">
        <f>+'1.3.4 Coal3'!R109</f>
        <v>14.066467778999625</v>
      </c>
      <c r="S109" s="506">
        <f>+'1.3.4 Coal3'!S109</f>
        <v>0.967487421000369</v>
      </c>
      <c r="T109" s="506">
        <f>+'1.3.4 Coal3'!T109</f>
        <v>15.033955199999994</v>
      </c>
    </row>
    <row r="110" spans="1:20" x14ac:dyDescent="0.45">
      <c r="A110" s="14">
        <v>1800</v>
      </c>
      <c r="B110" s="506">
        <f>+'1.3.4 Coal3'!B110</f>
        <v>15.28572</v>
      </c>
      <c r="C110" s="506"/>
      <c r="D110" s="506"/>
      <c r="E110" s="506">
        <f>+'1.3.4 Coal3'!E110</f>
        <v>0</v>
      </c>
      <c r="F110" s="506"/>
      <c r="G110" s="506"/>
      <c r="H110" s="1160">
        <f>'1.3.4 Coal3'!H110</f>
        <v>0</v>
      </c>
      <c r="I110" s="506"/>
      <c r="J110" s="506"/>
      <c r="K110" s="506"/>
      <c r="L110" s="506"/>
      <c r="M110" s="506"/>
      <c r="N110" s="506"/>
      <c r="O110" s="506">
        <f t="shared" si="2"/>
        <v>14.248267318556318</v>
      </c>
      <c r="P110" s="506"/>
      <c r="Q110" s="603">
        <f t="shared" si="3"/>
        <v>14.248267318556318</v>
      </c>
      <c r="R110" s="506">
        <f>+'1.3.4 Coal3'!R110</f>
        <v>14.248267318556318</v>
      </c>
      <c r="S110" s="506">
        <f>+'1.3.4 Coal3'!S110</f>
        <v>1.037452681443682</v>
      </c>
      <c r="T110" s="506">
        <f>+'1.3.4 Coal3'!T110</f>
        <v>15.28572</v>
      </c>
    </row>
    <row r="111" spans="1:20" x14ac:dyDescent="0.45">
      <c r="A111" s="14">
        <v>1801</v>
      </c>
      <c r="B111" s="506">
        <f>+'1.3.4 Coal3'!B111</f>
        <v>15.804895999999999</v>
      </c>
      <c r="C111" s="506"/>
      <c r="D111" s="506"/>
      <c r="E111" s="506">
        <f>+'1.3.4 Coal3'!E111</f>
        <v>0</v>
      </c>
      <c r="F111" s="506"/>
      <c r="G111" s="506"/>
      <c r="H111" s="1160">
        <f>'1.3.4 Coal3'!H111</f>
        <v>0</v>
      </c>
      <c r="I111" s="506"/>
      <c r="J111" s="506"/>
      <c r="K111" s="506"/>
      <c r="L111" s="506"/>
      <c r="M111" s="506"/>
      <c r="N111" s="506"/>
      <c r="O111" s="506">
        <f t="shared" si="2"/>
        <v>14.817859146277991</v>
      </c>
      <c r="P111" s="506"/>
      <c r="Q111" s="603">
        <f t="shared" si="3"/>
        <v>14.817859146277991</v>
      </c>
      <c r="R111" s="506">
        <f>+'1.3.4 Coal3'!R111</f>
        <v>14.817859146277991</v>
      </c>
      <c r="S111" s="506">
        <f>+'1.3.4 Coal3'!S111</f>
        <v>0.98703685372200844</v>
      </c>
      <c r="T111" s="506">
        <f>+'1.3.4 Coal3'!T111</f>
        <v>15.804895999999999</v>
      </c>
    </row>
    <row r="112" spans="1:20" x14ac:dyDescent="0.45">
      <c r="A112" s="14">
        <v>1802</v>
      </c>
      <c r="B112" s="506">
        <f>+'1.3.4 Coal3'!B112</f>
        <v>16.324072000000001</v>
      </c>
      <c r="C112" s="506"/>
      <c r="D112" s="506"/>
      <c r="E112" s="506">
        <f>+'1.3.4 Coal3'!E112</f>
        <v>0</v>
      </c>
      <c r="F112" s="506"/>
      <c r="G112" s="506"/>
      <c r="H112" s="1160">
        <f>'1.3.4 Coal3'!H112</f>
        <v>0</v>
      </c>
      <c r="I112" s="506"/>
      <c r="J112" s="506"/>
      <c r="K112" s="506"/>
      <c r="L112" s="506"/>
      <c r="M112" s="506"/>
      <c r="N112" s="506"/>
      <c r="O112" s="506">
        <f t="shared" si="2"/>
        <v>15.245408576918894</v>
      </c>
      <c r="P112" s="506"/>
      <c r="Q112" s="603">
        <f t="shared" si="3"/>
        <v>15.245408576918894</v>
      </c>
      <c r="R112" s="506">
        <f>+'1.3.4 Coal3'!R112</f>
        <v>15.245408576918894</v>
      </c>
      <c r="S112" s="506">
        <f>+'1.3.4 Coal3'!S112</f>
        <v>1.0786634230811067</v>
      </c>
      <c r="T112" s="506">
        <f>+'1.3.4 Coal3'!T112</f>
        <v>16.324072000000001</v>
      </c>
    </row>
    <row r="113" spans="1:20" x14ac:dyDescent="0.45">
      <c r="A113" s="14">
        <v>1803</v>
      </c>
      <c r="B113" s="506">
        <f>+'1.3.4 Coal3'!B113</f>
        <v>16.843247999999999</v>
      </c>
      <c r="C113" s="506"/>
      <c r="D113" s="506"/>
      <c r="E113" s="506">
        <f>+'1.3.4 Coal3'!E113</f>
        <v>0</v>
      </c>
      <c r="F113" s="506"/>
      <c r="G113" s="506"/>
      <c r="H113" s="1160">
        <f>'1.3.4 Coal3'!H113</f>
        <v>0</v>
      </c>
      <c r="I113" s="506"/>
      <c r="J113" s="506"/>
      <c r="K113" s="506"/>
      <c r="L113" s="506"/>
      <c r="M113" s="506"/>
      <c r="N113" s="506"/>
      <c r="O113" s="506">
        <f t="shared" si="2"/>
        <v>15.749330299229099</v>
      </c>
      <c r="P113" s="506"/>
      <c r="Q113" s="603">
        <f t="shared" si="3"/>
        <v>15.749330299229099</v>
      </c>
      <c r="R113" s="506">
        <f>+'1.3.4 Coal3'!R113</f>
        <v>15.749330299229099</v>
      </c>
      <c r="S113" s="506">
        <f>+'1.3.4 Coal3'!S113</f>
        <v>1.0939177007709002</v>
      </c>
      <c r="T113" s="506">
        <f>+'1.3.4 Coal3'!T113</f>
        <v>16.843247999999999</v>
      </c>
    </row>
    <row r="114" spans="1:20" x14ac:dyDescent="0.45">
      <c r="A114" s="14">
        <v>1804</v>
      </c>
      <c r="B114" s="506">
        <f>+'1.3.4 Coal3'!B114</f>
        <v>17.362423999999997</v>
      </c>
      <c r="C114" s="506"/>
      <c r="D114" s="506"/>
      <c r="E114" s="506">
        <f>+'1.3.4 Coal3'!E114</f>
        <v>0</v>
      </c>
      <c r="F114" s="506"/>
      <c r="G114" s="506"/>
      <c r="H114" s="1160">
        <f>'1.3.4 Coal3'!H114</f>
        <v>0</v>
      </c>
      <c r="I114" s="506"/>
      <c r="J114" s="506"/>
      <c r="K114" s="506"/>
      <c r="L114" s="506"/>
      <c r="M114" s="506"/>
      <c r="N114" s="506"/>
      <c r="O114" s="506">
        <f t="shared" si="2"/>
        <v>16.253398219136525</v>
      </c>
      <c r="P114" s="506"/>
      <c r="Q114" s="603">
        <f t="shared" si="3"/>
        <v>16.253398219136525</v>
      </c>
      <c r="R114" s="506">
        <f>+'1.3.4 Coal3'!R114</f>
        <v>16.253398219136525</v>
      </c>
      <c r="S114" s="506">
        <f>+'1.3.4 Coal3'!S114</f>
        <v>1.1090257808634725</v>
      </c>
      <c r="T114" s="506">
        <f>+'1.3.4 Coal3'!T114</f>
        <v>17.362423999999997</v>
      </c>
    </row>
    <row r="115" spans="1:20" x14ac:dyDescent="0.45">
      <c r="A115" s="14">
        <v>1805</v>
      </c>
      <c r="B115" s="506">
        <f>+'1.3.4 Coal3'!B115</f>
        <v>17.881599999999999</v>
      </c>
      <c r="C115" s="506"/>
      <c r="D115" s="506"/>
      <c r="E115" s="506">
        <f>+'1.3.4 Coal3'!E115</f>
        <v>0</v>
      </c>
      <c r="F115" s="506"/>
      <c r="G115" s="506"/>
      <c r="H115" s="1160">
        <f>'1.3.4 Coal3'!H115</f>
        <v>0</v>
      </c>
      <c r="I115" s="506"/>
      <c r="J115" s="506"/>
      <c r="K115" s="506"/>
      <c r="L115" s="506"/>
      <c r="M115" s="506"/>
      <c r="N115" s="506"/>
      <c r="O115" s="506">
        <f t="shared" si="2"/>
        <v>16.76164943553594</v>
      </c>
      <c r="P115" s="506"/>
      <c r="Q115" s="603">
        <f t="shared" si="3"/>
        <v>16.76164943553594</v>
      </c>
      <c r="R115" s="506">
        <f>+'1.3.4 Coal3'!R115</f>
        <v>16.76164943553594</v>
      </c>
      <c r="S115" s="506">
        <f>+'1.3.4 Coal3'!S115</f>
        <v>1.1199505644640588</v>
      </c>
      <c r="T115" s="506">
        <f>+'1.3.4 Coal3'!T115</f>
        <v>17.881599999999999</v>
      </c>
    </row>
    <row r="116" spans="1:20" x14ac:dyDescent="0.45">
      <c r="A116" s="14">
        <v>1806</v>
      </c>
      <c r="B116" s="506">
        <f>+'1.3.4 Coal3'!B116</f>
        <v>18.400775999999997</v>
      </c>
      <c r="C116" s="506"/>
      <c r="D116" s="506"/>
      <c r="E116" s="506">
        <f>+'1.3.4 Coal3'!E116</f>
        <v>0</v>
      </c>
      <c r="F116" s="506"/>
      <c r="G116" s="506"/>
      <c r="H116" s="1160">
        <f>'1.3.4 Coal3'!H116</f>
        <v>0</v>
      </c>
      <c r="I116" s="506"/>
      <c r="J116" s="506"/>
      <c r="K116" s="506"/>
      <c r="L116" s="506"/>
      <c r="M116" s="506"/>
      <c r="N116" s="506"/>
      <c r="O116" s="506">
        <f t="shared" si="2"/>
        <v>17.222240215329144</v>
      </c>
      <c r="P116" s="506"/>
      <c r="Q116" s="603">
        <f t="shared" si="3"/>
        <v>17.222240215329144</v>
      </c>
      <c r="R116" s="506">
        <f>+'1.3.4 Coal3'!R116</f>
        <v>17.222240215329144</v>
      </c>
      <c r="S116" s="506">
        <f>+'1.3.4 Coal3'!S116</f>
        <v>1.1785357846708528</v>
      </c>
      <c r="T116" s="506">
        <f>+'1.3.4 Coal3'!T116</f>
        <v>18.400775999999997</v>
      </c>
    </row>
    <row r="117" spans="1:20" x14ac:dyDescent="0.45">
      <c r="A117" s="14">
        <v>1807</v>
      </c>
      <c r="B117" s="506">
        <f>+'1.3.4 Coal3'!B117</f>
        <v>18.919951999999995</v>
      </c>
      <c r="C117" s="506"/>
      <c r="D117" s="506"/>
      <c r="E117" s="506">
        <f>+'1.3.4 Coal3'!E117</f>
        <v>0</v>
      </c>
      <c r="F117" s="506"/>
      <c r="G117" s="506"/>
      <c r="H117" s="1160">
        <f>'1.3.4 Coal3'!H117</f>
        <v>0</v>
      </c>
      <c r="I117" s="506"/>
      <c r="J117" s="506"/>
      <c r="K117" s="506"/>
      <c r="L117" s="506"/>
      <c r="M117" s="506"/>
      <c r="N117" s="506"/>
      <c r="O117" s="506">
        <f t="shared" si="2"/>
        <v>17.818021967693277</v>
      </c>
      <c r="P117" s="506"/>
      <c r="Q117" s="603">
        <f t="shared" si="3"/>
        <v>17.818021967693277</v>
      </c>
      <c r="R117" s="506">
        <f>+'1.3.4 Coal3'!R117</f>
        <v>17.818021967693277</v>
      </c>
      <c r="S117" s="506">
        <f>+'1.3.4 Coal3'!S117</f>
        <v>1.1019300323067185</v>
      </c>
      <c r="T117" s="506">
        <f>+'1.3.4 Coal3'!T117</f>
        <v>18.919951999999995</v>
      </c>
    </row>
    <row r="118" spans="1:20" x14ac:dyDescent="0.45">
      <c r="A118" s="14">
        <v>1808</v>
      </c>
      <c r="B118" s="506">
        <f>+'1.3.4 Coal3'!B118</f>
        <v>19.439127999999997</v>
      </c>
      <c r="C118" s="506"/>
      <c r="D118" s="506"/>
      <c r="E118" s="506">
        <f>+'1.3.4 Coal3'!E118</f>
        <v>0</v>
      </c>
      <c r="F118" s="506"/>
      <c r="G118" s="506"/>
      <c r="H118" s="1160">
        <f>'1.3.4 Coal3'!H118</f>
        <v>0</v>
      </c>
      <c r="I118" s="506"/>
      <c r="J118" s="506"/>
      <c r="K118" s="506"/>
      <c r="L118" s="506"/>
      <c r="M118" s="506"/>
      <c r="N118" s="506"/>
      <c r="O118" s="506">
        <f t="shared" si="2"/>
        <v>18.258389217553205</v>
      </c>
      <c r="P118" s="506"/>
      <c r="Q118" s="603">
        <f t="shared" si="3"/>
        <v>18.258389217553205</v>
      </c>
      <c r="R118" s="506">
        <f>+'1.3.4 Coal3'!R118</f>
        <v>18.258389217553205</v>
      </c>
      <c r="S118" s="506">
        <f>+'1.3.4 Coal3'!S118</f>
        <v>1.1807387824467916</v>
      </c>
      <c r="T118" s="506">
        <f>+'1.3.4 Coal3'!T118</f>
        <v>19.439127999999997</v>
      </c>
    </row>
    <row r="119" spans="1:20" x14ac:dyDescent="0.45">
      <c r="A119" s="14">
        <v>1809</v>
      </c>
      <c r="B119" s="506">
        <f>+'1.3.4 Coal3'!B119</f>
        <v>19.958303999999995</v>
      </c>
      <c r="C119" s="506"/>
      <c r="D119" s="506"/>
      <c r="E119" s="506">
        <f>+'1.3.4 Coal3'!E119</f>
        <v>0</v>
      </c>
      <c r="F119" s="506"/>
      <c r="G119" s="506"/>
      <c r="H119" s="1160">
        <f>'1.3.4 Coal3'!H119</f>
        <v>0</v>
      </c>
      <c r="I119" s="506"/>
      <c r="J119" s="506"/>
      <c r="K119" s="506"/>
      <c r="L119" s="506"/>
      <c r="M119" s="506"/>
      <c r="N119" s="506"/>
      <c r="O119" s="506">
        <f t="shared" si="2"/>
        <v>18.724709911566876</v>
      </c>
      <c r="P119" s="506"/>
      <c r="Q119" s="603">
        <f t="shared" si="3"/>
        <v>18.724709911566876</v>
      </c>
      <c r="R119" s="506">
        <f>+'1.3.4 Coal3'!R119</f>
        <v>18.724709911566876</v>
      </c>
      <c r="S119" s="506">
        <f>+'1.3.4 Coal3'!S119</f>
        <v>1.2335940884331187</v>
      </c>
      <c r="T119" s="506">
        <f>+'1.3.4 Coal3'!T119</f>
        <v>19.958303999999995</v>
      </c>
    </row>
    <row r="120" spans="1:20" x14ac:dyDescent="0.45">
      <c r="A120" s="14">
        <v>1810</v>
      </c>
      <c r="B120" s="506">
        <f>+'1.3.4 Coal3'!B120</f>
        <v>20.477479999999993</v>
      </c>
      <c r="C120" s="506"/>
      <c r="D120" s="506"/>
      <c r="E120" s="506">
        <f>+'1.3.4 Coal3'!E120</f>
        <v>0</v>
      </c>
      <c r="F120" s="506"/>
      <c r="G120" s="506"/>
      <c r="H120" s="1160">
        <f>'1.3.4 Coal3'!H120</f>
        <v>0</v>
      </c>
      <c r="I120" s="506"/>
      <c r="J120" s="506"/>
      <c r="K120" s="506"/>
      <c r="L120" s="506"/>
      <c r="M120" s="506"/>
      <c r="N120" s="506"/>
      <c r="O120" s="506">
        <f t="shared" si="2"/>
        <v>19.189986389931487</v>
      </c>
      <c r="P120" s="506"/>
      <c r="Q120" s="603">
        <f t="shared" si="3"/>
        <v>19.189986389931487</v>
      </c>
      <c r="R120" s="506">
        <f>+'1.3.4 Coal3'!R120</f>
        <v>19.189986389931487</v>
      </c>
      <c r="S120" s="506">
        <f>+'1.3.4 Coal3'!S120</f>
        <v>1.2874936100685055</v>
      </c>
      <c r="T120" s="506">
        <f>+'1.3.4 Coal3'!T120</f>
        <v>20.477479999999993</v>
      </c>
    </row>
    <row r="121" spans="1:20" x14ac:dyDescent="0.45">
      <c r="A121" s="14">
        <v>1811</v>
      </c>
      <c r="B121" s="506">
        <f>+'1.3.4 Coal3'!B121</f>
        <v>20.996655999999994</v>
      </c>
      <c r="C121" s="506"/>
      <c r="D121" s="506"/>
      <c r="E121" s="506">
        <f>+'1.3.4 Coal3'!E121</f>
        <v>0</v>
      </c>
      <c r="F121" s="506"/>
      <c r="G121" s="506"/>
      <c r="H121" s="1160">
        <f>'1.3.4 Coal3'!H121</f>
        <v>0</v>
      </c>
      <c r="I121" s="506"/>
      <c r="J121" s="506"/>
      <c r="K121" s="506"/>
      <c r="L121" s="506"/>
      <c r="M121" s="506"/>
      <c r="N121" s="506"/>
      <c r="O121" s="506">
        <f t="shared" si="2"/>
        <v>19.65418635731768</v>
      </c>
      <c r="P121" s="506"/>
      <c r="Q121" s="603">
        <f t="shared" si="3"/>
        <v>19.65418635731768</v>
      </c>
      <c r="R121" s="506">
        <f>+'1.3.4 Coal3'!R121</f>
        <v>19.65418635731768</v>
      </c>
      <c r="S121" s="506">
        <f>+'1.3.4 Coal3'!S121</f>
        <v>1.3424696426823139</v>
      </c>
      <c r="T121" s="506">
        <f>+'1.3.4 Coal3'!T121</f>
        <v>20.996655999999994</v>
      </c>
    </row>
    <row r="122" spans="1:20" x14ac:dyDescent="0.45">
      <c r="A122" s="14">
        <v>1812</v>
      </c>
      <c r="B122" s="506">
        <f>+'1.3.4 Coal3'!B122</f>
        <v>21.515831999999993</v>
      </c>
      <c r="C122" s="506"/>
      <c r="D122" s="506"/>
      <c r="E122" s="506">
        <f>+'1.3.4 Coal3'!E122</f>
        <v>0</v>
      </c>
      <c r="F122" s="506"/>
      <c r="G122" s="506"/>
      <c r="H122" s="1160">
        <f>'1.3.4 Coal3'!H122</f>
        <v>0</v>
      </c>
      <c r="I122" s="506"/>
      <c r="J122" s="506"/>
      <c r="K122" s="506"/>
      <c r="L122" s="506"/>
      <c r="M122" s="506"/>
      <c r="N122" s="506"/>
      <c r="O122" s="506">
        <f t="shared" si="2"/>
        <v>20.117276519571497</v>
      </c>
      <c r="P122" s="506"/>
      <c r="Q122" s="603">
        <f t="shared" si="3"/>
        <v>20.117276519571497</v>
      </c>
      <c r="R122" s="506">
        <f>+'1.3.4 Coal3'!R122</f>
        <v>20.117276519571497</v>
      </c>
      <c r="S122" s="506">
        <f>+'1.3.4 Coal3'!S122</f>
        <v>1.3985554804284952</v>
      </c>
      <c r="T122" s="506">
        <f>+'1.3.4 Coal3'!T122</f>
        <v>21.515831999999993</v>
      </c>
    </row>
    <row r="123" spans="1:20" x14ac:dyDescent="0.45">
      <c r="A123" s="14">
        <v>1813</v>
      </c>
      <c r="B123" s="506">
        <f>+'1.3.4 Coal3'!B123</f>
        <v>22.035007999999991</v>
      </c>
      <c r="C123" s="506"/>
      <c r="D123" s="506"/>
      <c r="E123" s="506">
        <f>+'1.3.4 Coal3'!E123</f>
        <v>0</v>
      </c>
      <c r="F123" s="506"/>
      <c r="G123" s="506"/>
      <c r="H123" s="1160">
        <f>'1.3.4 Coal3'!H123</f>
        <v>0</v>
      </c>
      <c r="I123" s="506"/>
      <c r="J123" s="506"/>
      <c r="K123" s="506"/>
      <c r="L123" s="506"/>
      <c r="M123" s="506"/>
      <c r="N123" s="506"/>
      <c r="O123" s="506">
        <f t="shared" si="2"/>
        <v>20.579222552822845</v>
      </c>
      <c r="P123" s="506"/>
      <c r="Q123" s="603">
        <f t="shared" si="3"/>
        <v>20.579222552822845</v>
      </c>
      <c r="R123" s="506">
        <f>+'1.3.4 Coal3'!R123</f>
        <v>20.579222552822845</v>
      </c>
      <c r="S123" s="506">
        <f>+'1.3.4 Coal3'!S123</f>
        <v>1.4557854471771456</v>
      </c>
      <c r="T123" s="506">
        <f>+'1.3.4 Coal3'!T123</f>
        <v>22.035007999999991</v>
      </c>
    </row>
    <row r="124" spans="1:20" x14ac:dyDescent="0.45">
      <c r="A124" s="14">
        <v>1814</v>
      </c>
      <c r="B124" s="506">
        <f>+'1.3.4 Coal3'!B124</f>
        <v>22.554183999999992</v>
      </c>
      <c r="C124" s="506"/>
      <c r="D124" s="506"/>
      <c r="E124" s="506">
        <f>+'1.3.4 Coal3'!E124</f>
        <v>0</v>
      </c>
      <c r="F124" s="506"/>
      <c r="G124" s="506"/>
      <c r="H124" s="1160">
        <f>'1.3.4 Coal3'!H124</f>
        <v>0</v>
      </c>
      <c r="I124" s="506"/>
      <c r="J124" s="506"/>
      <c r="K124" s="506"/>
      <c r="L124" s="506"/>
      <c r="M124" s="506"/>
      <c r="N124" s="506"/>
      <c r="O124" s="506">
        <f t="shared" si="2"/>
        <v>21.039989071638672</v>
      </c>
      <c r="P124" s="506"/>
      <c r="Q124" s="603">
        <f t="shared" si="3"/>
        <v>21.039989071638672</v>
      </c>
      <c r="R124" s="506">
        <f>+'1.3.4 Coal3'!R124</f>
        <v>21.039989071638672</v>
      </c>
      <c r="S124" s="506">
        <f>+'1.3.4 Coal3'!S124</f>
        <v>1.5141949283613201</v>
      </c>
      <c r="T124" s="506">
        <f>+'1.3.4 Coal3'!T124</f>
        <v>22.554183999999992</v>
      </c>
    </row>
    <row r="125" spans="1:20" x14ac:dyDescent="0.45">
      <c r="A125" s="14">
        <v>1815</v>
      </c>
      <c r="B125" s="506">
        <f>+'1.3.4 Coal3'!B125</f>
        <v>23.07335999999999</v>
      </c>
      <c r="C125" s="506"/>
      <c r="D125" s="506"/>
      <c r="E125" s="506">
        <f>+'1.3.4 Coal3'!E125</f>
        <v>0</v>
      </c>
      <c r="F125" s="506"/>
      <c r="G125" s="506"/>
      <c r="H125" s="1160">
        <f>'1.3.4 Coal3'!H125</f>
        <v>0</v>
      </c>
      <c r="I125" s="506"/>
      <c r="J125" s="506"/>
      <c r="K125" s="506"/>
      <c r="L125" s="506"/>
      <c r="M125" s="506"/>
      <c r="N125" s="506"/>
      <c r="O125" s="506">
        <f t="shared" si="2"/>
        <v>21.49953959619107</v>
      </c>
      <c r="P125" s="506"/>
      <c r="Q125" s="603">
        <f t="shared" si="3"/>
        <v>21.49953959619107</v>
      </c>
      <c r="R125" s="506">
        <f>+'1.3.4 Coal3'!R125</f>
        <v>21.49953959619107</v>
      </c>
      <c r="S125" s="506">
        <f>+'1.3.4 Coal3'!S125</f>
        <v>1.5738204038089201</v>
      </c>
      <c r="T125" s="506">
        <f>+'1.3.4 Coal3'!T125</f>
        <v>23.07335999999999</v>
      </c>
    </row>
    <row r="126" spans="1:20" x14ac:dyDescent="0.45">
      <c r="A126" s="14">
        <v>1816</v>
      </c>
      <c r="B126" s="506">
        <f>+'1.3.4 Coal3'!B126</f>
        <v>23.592535999999988</v>
      </c>
      <c r="C126" s="506"/>
      <c r="D126" s="506"/>
      <c r="E126" s="506">
        <f>+'1.3.4 Coal3'!E126</f>
        <v>0</v>
      </c>
      <c r="F126" s="506"/>
      <c r="G126" s="506"/>
      <c r="H126" s="1160">
        <f>'1.3.4 Coal3'!H126</f>
        <v>0</v>
      </c>
      <c r="I126" s="506"/>
      <c r="J126" s="506"/>
      <c r="K126" s="506"/>
      <c r="L126" s="506"/>
      <c r="M126" s="506"/>
      <c r="N126" s="506"/>
      <c r="O126" s="506">
        <f t="shared" si="2"/>
        <v>21.957836518410041</v>
      </c>
      <c r="P126" s="506"/>
      <c r="Q126" s="603">
        <f t="shared" si="3"/>
        <v>21.957836518410041</v>
      </c>
      <c r="R126" s="506">
        <f>+'1.3.4 Coal3'!R126</f>
        <v>21.957836518410041</v>
      </c>
      <c r="S126" s="506">
        <f>+'1.3.4 Coal3'!S126</f>
        <v>1.6346994815899478</v>
      </c>
      <c r="T126" s="506">
        <f>+'1.3.4 Coal3'!T126</f>
        <v>23.592535999999988</v>
      </c>
    </row>
    <row r="127" spans="1:20" x14ac:dyDescent="0.45">
      <c r="A127" s="14">
        <v>1817</v>
      </c>
      <c r="B127" s="506">
        <f>+'1.3.4 Coal3'!B127</f>
        <v>24.11171199999999</v>
      </c>
      <c r="C127" s="506"/>
      <c r="D127" s="506"/>
      <c r="E127" s="506">
        <f>+'1.3.4 Coal3'!E127</f>
        <v>0</v>
      </c>
      <c r="F127" s="506"/>
      <c r="G127" s="506"/>
      <c r="H127" s="1160">
        <f>'1.3.4 Coal3'!H127</f>
        <v>0</v>
      </c>
      <c r="I127" s="506"/>
      <c r="J127" s="506"/>
      <c r="K127" s="506"/>
      <c r="L127" s="506"/>
      <c r="M127" s="506"/>
      <c r="N127" s="506"/>
      <c r="O127" s="506">
        <f t="shared" si="2"/>
        <v>22.418693400422718</v>
      </c>
      <c r="P127" s="506"/>
      <c r="Q127" s="603">
        <f t="shared" si="3"/>
        <v>22.418693400422718</v>
      </c>
      <c r="R127" s="506">
        <f>+'1.3.4 Coal3'!R127</f>
        <v>22.418693400422718</v>
      </c>
      <c r="S127" s="506">
        <f>+'1.3.4 Coal3'!S127</f>
        <v>1.6930185995772717</v>
      </c>
      <c r="T127" s="506">
        <f>+'1.3.4 Coal3'!T127</f>
        <v>24.11171199999999</v>
      </c>
    </row>
    <row r="128" spans="1:20" x14ac:dyDescent="0.45">
      <c r="A128" s="14">
        <v>1818</v>
      </c>
      <c r="B128" s="506">
        <f>+'1.3.4 Coal3'!B128</f>
        <v>24.630887999999988</v>
      </c>
      <c r="C128" s="506"/>
      <c r="D128" s="506"/>
      <c r="E128" s="506">
        <f>+'1.3.4 Coal3'!E128</f>
        <v>0</v>
      </c>
      <c r="F128" s="506"/>
      <c r="G128" s="506"/>
      <c r="H128" s="1160">
        <f>'1.3.4 Coal3'!H128</f>
        <v>0</v>
      </c>
      <c r="I128" s="506"/>
      <c r="J128" s="506"/>
      <c r="K128" s="506"/>
      <c r="L128" s="506"/>
      <c r="M128" s="506"/>
      <c r="N128" s="506"/>
      <c r="O128" s="506">
        <f t="shared" si="2"/>
        <v>22.874153938580122</v>
      </c>
      <c r="P128" s="506"/>
      <c r="Q128" s="603">
        <f t="shared" si="3"/>
        <v>22.874153938580122</v>
      </c>
      <c r="R128" s="506">
        <f>+'1.3.4 Coal3'!R128</f>
        <v>22.874153938580122</v>
      </c>
      <c r="S128" s="506">
        <f>+'1.3.4 Coal3'!S128</f>
        <v>1.7567340614198663</v>
      </c>
      <c r="T128" s="506">
        <f>+'1.3.4 Coal3'!T128</f>
        <v>24.630887999999988</v>
      </c>
    </row>
    <row r="129" spans="1:20" x14ac:dyDescent="0.45">
      <c r="A129" s="14">
        <v>1819</v>
      </c>
      <c r="B129" s="506">
        <f>+'1.3.4 Coal3'!B129</f>
        <v>25.150063999999986</v>
      </c>
      <c r="C129" s="506"/>
      <c r="D129" s="506"/>
      <c r="E129" s="506">
        <f>+'1.3.4 Coal3'!E129</f>
        <v>0</v>
      </c>
      <c r="F129" s="506"/>
      <c r="G129" s="506"/>
      <c r="H129" s="1160">
        <f>'1.3.4 Coal3'!H129</f>
        <v>0</v>
      </c>
      <c r="I129" s="506"/>
      <c r="J129" s="506"/>
      <c r="K129" s="506"/>
      <c r="L129" s="506"/>
      <c r="M129" s="506"/>
      <c r="N129" s="506"/>
      <c r="O129" s="506">
        <f t="shared" si="2"/>
        <v>23.382088926371257</v>
      </c>
      <c r="P129" s="506"/>
      <c r="Q129" s="603">
        <f t="shared" si="3"/>
        <v>23.382088926371257</v>
      </c>
      <c r="R129" s="506">
        <f>+'1.3.4 Coal3'!R129</f>
        <v>23.382088926371257</v>
      </c>
      <c r="S129" s="506">
        <f>+'1.3.4 Coal3'!S129</f>
        <v>1.7679750736287296</v>
      </c>
      <c r="T129" s="506">
        <f>+'1.3.4 Coal3'!T129</f>
        <v>25.150063999999986</v>
      </c>
    </row>
    <row r="130" spans="1:20" x14ac:dyDescent="0.45">
      <c r="A130" s="14">
        <v>1820</v>
      </c>
      <c r="B130" s="506">
        <f>+'1.3.4 Coal3'!B130</f>
        <v>25.669239999999988</v>
      </c>
      <c r="C130" s="506"/>
      <c r="D130" s="506"/>
      <c r="E130" s="506">
        <f>+'1.3.4 Coal3'!E130</f>
        <v>0</v>
      </c>
      <c r="F130" s="506"/>
      <c r="G130" s="506"/>
      <c r="H130" s="1160">
        <f>'1.3.4 Coal3'!H130</f>
        <v>0</v>
      </c>
      <c r="I130" s="506"/>
      <c r="J130" s="506"/>
      <c r="K130" s="506"/>
      <c r="L130" s="506"/>
      <c r="M130" s="506"/>
      <c r="N130" s="506"/>
      <c r="O130" s="506">
        <f t="shared" si="2"/>
        <v>23.840855882856967</v>
      </c>
      <c r="P130" s="506"/>
      <c r="Q130" s="603">
        <f t="shared" si="3"/>
        <v>23.840855882856967</v>
      </c>
      <c r="R130" s="506">
        <f>+'1.3.4 Coal3'!R130</f>
        <v>23.840855882856967</v>
      </c>
      <c r="S130" s="506">
        <f>+'1.3.4 Coal3'!S130</f>
        <v>1.8283841171430204</v>
      </c>
      <c r="T130" s="506">
        <f>+'1.3.4 Coal3'!T130</f>
        <v>25.669239999999988</v>
      </c>
    </row>
    <row r="131" spans="1:20" x14ac:dyDescent="0.45">
      <c r="A131" s="14">
        <v>1821</v>
      </c>
      <c r="B131" s="506">
        <f>+'1.3.4 Coal3'!B131</f>
        <v>26.188415999999986</v>
      </c>
      <c r="C131" s="506"/>
      <c r="D131" s="506"/>
      <c r="E131" s="506">
        <f>+'1.3.4 Coal3'!E131</f>
        <v>0</v>
      </c>
      <c r="F131" s="506"/>
      <c r="G131" s="506"/>
      <c r="H131" s="1160">
        <f>'1.3.4 Coal3'!H131</f>
        <v>0</v>
      </c>
      <c r="I131" s="506"/>
      <c r="J131" s="506"/>
      <c r="K131" s="506"/>
      <c r="L131" s="506"/>
      <c r="M131" s="506"/>
      <c r="N131" s="506"/>
      <c r="O131" s="506">
        <f t="shared" si="2"/>
        <v>24.299179013254605</v>
      </c>
      <c r="P131" s="506"/>
      <c r="Q131" s="603">
        <f t="shared" si="3"/>
        <v>24.299179013254605</v>
      </c>
      <c r="R131" s="506">
        <f>+'1.3.4 Coal3'!R131</f>
        <v>24.299179013254605</v>
      </c>
      <c r="S131" s="506">
        <f>+'1.3.4 Coal3'!S131</f>
        <v>1.8892369867453809</v>
      </c>
      <c r="T131" s="506">
        <f>+'1.3.4 Coal3'!T131</f>
        <v>26.188415999999986</v>
      </c>
    </row>
    <row r="132" spans="1:20" x14ac:dyDescent="0.45">
      <c r="A132" s="14">
        <v>1822</v>
      </c>
      <c r="B132" s="506">
        <f>+'1.3.4 Coal3'!B132</f>
        <v>26.707591999999984</v>
      </c>
      <c r="C132" s="506"/>
      <c r="D132" s="506"/>
      <c r="E132" s="506">
        <f>+'1.3.4 Coal3'!E132</f>
        <v>0</v>
      </c>
      <c r="F132" s="506"/>
      <c r="G132" s="506"/>
      <c r="H132" s="1160">
        <f>'1.3.4 Coal3'!H132</f>
        <v>0</v>
      </c>
      <c r="I132" s="506"/>
      <c r="J132" s="506"/>
      <c r="K132" s="506"/>
      <c r="L132" s="506"/>
      <c r="M132" s="506"/>
      <c r="N132" s="506"/>
      <c r="O132" s="506">
        <f t="shared" si="2"/>
        <v>24.743805168303719</v>
      </c>
      <c r="P132" s="506"/>
      <c r="Q132" s="603">
        <f t="shared" si="3"/>
        <v>24.743805168303719</v>
      </c>
      <c r="R132" s="506">
        <f>+'1.3.4 Coal3'!R132</f>
        <v>24.743805168303719</v>
      </c>
      <c r="S132" s="506">
        <f>+'1.3.4 Coal3'!S132</f>
        <v>1.9637868316962646</v>
      </c>
      <c r="T132" s="506">
        <f>+'1.3.4 Coal3'!T132</f>
        <v>26.707591999999984</v>
      </c>
    </row>
    <row r="133" spans="1:20" x14ac:dyDescent="0.45">
      <c r="A133" s="14">
        <v>1823</v>
      </c>
      <c r="B133" s="506">
        <f>+'1.3.4 Coal3'!B133</f>
        <v>27.226767999999986</v>
      </c>
      <c r="C133" s="506"/>
      <c r="D133" s="506"/>
      <c r="E133" s="506">
        <f>+'1.3.4 Coal3'!E133</f>
        <v>0</v>
      </c>
      <c r="F133" s="506"/>
      <c r="G133" s="506"/>
      <c r="H133" s="1160">
        <f>'1.3.4 Coal3'!H133</f>
        <v>0</v>
      </c>
      <c r="I133" s="506"/>
      <c r="J133" s="506"/>
      <c r="K133" s="506"/>
      <c r="L133" s="506"/>
      <c r="M133" s="506"/>
      <c r="N133" s="506"/>
      <c r="O133" s="506">
        <f t="shared" si="2"/>
        <v>25.244791802374966</v>
      </c>
      <c r="P133" s="506"/>
      <c r="Q133" s="603">
        <f t="shared" si="3"/>
        <v>25.244791802374966</v>
      </c>
      <c r="R133" s="506">
        <f>+'1.3.4 Coal3'!R133</f>
        <v>25.244791802374966</v>
      </c>
      <c r="S133" s="506">
        <f>+'1.3.4 Coal3'!S133</f>
        <v>1.9819761976250199</v>
      </c>
      <c r="T133" s="506">
        <f>+'1.3.4 Coal3'!T133</f>
        <v>27.226767999999986</v>
      </c>
    </row>
    <row r="134" spans="1:20" x14ac:dyDescent="0.45">
      <c r="A134" s="14">
        <v>1824</v>
      </c>
      <c r="B134" s="506">
        <f>+'1.3.4 Coal3'!B134</f>
        <v>27.745943999999984</v>
      </c>
      <c r="C134" s="506"/>
      <c r="D134" s="506"/>
      <c r="E134" s="506">
        <f>+'1.3.4 Coal3'!E134</f>
        <v>0</v>
      </c>
      <c r="F134" s="506"/>
      <c r="G134" s="506"/>
      <c r="H134" s="1160">
        <f>'1.3.4 Coal3'!H134</f>
        <v>0</v>
      </c>
      <c r="I134" s="506"/>
      <c r="J134" s="506"/>
      <c r="K134" s="506"/>
      <c r="L134" s="506"/>
      <c r="M134" s="506"/>
      <c r="N134" s="506"/>
      <c r="O134" s="506">
        <f t="shared" si="2"/>
        <v>25.68220293028347</v>
      </c>
      <c r="P134" s="506"/>
      <c r="Q134" s="603">
        <f t="shared" si="3"/>
        <v>25.68220293028347</v>
      </c>
      <c r="R134" s="506">
        <f>+'1.3.4 Coal3'!R134</f>
        <v>25.68220293028347</v>
      </c>
      <c r="S134" s="506">
        <f>+'1.3.4 Coal3'!S134</f>
        <v>2.0637410697165137</v>
      </c>
      <c r="T134" s="506">
        <f>+'1.3.4 Coal3'!T134</f>
        <v>27.745943999999984</v>
      </c>
    </row>
    <row r="135" spans="1:20" x14ac:dyDescent="0.45">
      <c r="A135" s="14">
        <v>1825</v>
      </c>
      <c r="B135" s="506">
        <f>+'1.3.4 Coal3'!B135</f>
        <v>28.265119999999982</v>
      </c>
      <c r="C135" s="506"/>
      <c r="D135" s="506"/>
      <c r="E135" s="506">
        <f>+'1.3.4 Coal3'!E135</f>
        <v>0</v>
      </c>
      <c r="F135" s="506"/>
      <c r="G135" s="506"/>
      <c r="H135" s="1160">
        <f>'1.3.4 Coal3'!H135</f>
        <v>0</v>
      </c>
      <c r="I135" s="506"/>
      <c r="J135" s="506"/>
      <c r="K135" s="506"/>
      <c r="L135" s="506"/>
      <c r="M135" s="506"/>
      <c r="N135" s="506"/>
      <c r="O135" s="506">
        <f t="shared" si="2"/>
        <v>26.114917082766464</v>
      </c>
      <c r="P135" s="506"/>
      <c r="Q135" s="603">
        <f t="shared" si="3"/>
        <v>26.114917082766464</v>
      </c>
      <c r="R135" s="506">
        <f>+'1.3.4 Coal3'!R135</f>
        <v>26.114917082766464</v>
      </c>
      <c r="S135" s="506">
        <f>+'1.3.4 Coal3'!S135</f>
        <v>2.1502029172335178</v>
      </c>
      <c r="T135" s="506">
        <f>+'1.3.4 Coal3'!T135</f>
        <v>28.265119999999982</v>
      </c>
    </row>
    <row r="136" spans="1:20" x14ac:dyDescent="0.45">
      <c r="A136" s="14">
        <v>1826</v>
      </c>
      <c r="B136" s="506">
        <f>+'1.3.4 Coal3'!B136</f>
        <v>28.784295999999983</v>
      </c>
      <c r="C136" s="506"/>
      <c r="D136" s="506"/>
      <c r="E136" s="506">
        <f>+'1.3.4 Coal3'!E136</f>
        <v>0</v>
      </c>
      <c r="F136" s="506"/>
      <c r="G136" s="506"/>
      <c r="H136" s="1160">
        <f>'1.3.4 Coal3'!H136</f>
        <v>0</v>
      </c>
      <c r="I136" s="506"/>
      <c r="J136" s="506"/>
      <c r="K136" s="506">
        <f>+'1.3.4 Coal3'!K136</f>
        <v>0</v>
      </c>
      <c r="L136" s="506"/>
      <c r="M136" s="506"/>
      <c r="N136" s="506"/>
      <c r="O136" s="506">
        <f t="shared" si="2"/>
        <v>26.541867260583984</v>
      </c>
      <c r="P136" s="506"/>
      <c r="Q136" s="603">
        <f t="shared" si="3"/>
        <v>26.541867260583984</v>
      </c>
      <c r="R136" s="506">
        <f>+'1.3.4 Coal3'!R136</f>
        <v>26.541867260583984</v>
      </c>
      <c r="S136" s="506">
        <f>+'1.3.4 Coal3'!S136</f>
        <v>2.242428739415999</v>
      </c>
      <c r="T136" s="506">
        <f>+'1.3.4 Coal3'!T136</f>
        <v>28.784295999999983</v>
      </c>
    </row>
    <row r="137" spans="1:20" x14ac:dyDescent="0.45">
      <c r="A137" s="14">
        <v>1827</v>
      </c>
      <c r="B137" s="506">
        <f>+'1.3.4 Coal3'!B137</f>
        <v>29.303471999999982</v>
      </c>
      <c r="C137" s="506"/>
      <c r="D137" s="506"/>
      <c r="E137" s="506">
        <f>+'1.3.4 Coal3'!E137</f>
        <v>0</v>
      </c>
      <c r="F137" s="506"/>
      <c r="G137" s="506"/>
      <c r="H137" s="1160">
        <f>'1.3.4 Coal3'!H137</f>
        <v>0</v>
      </c>
      <c r="I137" s="506"/>
      <c r="J137" s="506"/>
      <c r="K137" s="506">
        <f>+'1.3.4 Coal3'!K137</f>
        <v>0</v>
      </c>
      <c r="L137" s="506"/>
      <c r="M137" s="506"/>
      <c r="N137" s="506"/>
      <c r="O137" s="506">
        <f t="shared" si="2"/>
        <v>26.981288887199984</v>
      </c>
      <c r="P137" s="506"/>
      <c r="Q137" s="603">
        <f t="shared" si="3"/>
        <v>26.981288887199984</v>
      </c>
      <c r="R137" s="506">
        <f>+'1.3.4 Coal3'!R137</f>
        <v>26.981288887199984</v>
      </c>
      <c r="S137" s="506">
        <f>+'1.3.4 Coal3'!S137</f>
        <v>2.3221831127999977</v>
      </c>
      <c r="T137" s="506">
        <f>+'1.3.4 Coal3'!T137</f>
        <v>29.303471999999982</v>
      </c>
    </row>
    <row r="138" spans="1:20" x14ac:dyDescent="0.45">
      <c r="A138" s="14">
        <v>1828</v>
      </c>
      <c r="B138" s="506">
        <f>+'1.3.4 Coal3'!B138</f>
        <v>29.82264799999998</v>
      </c>
      <c r="C138" s="506"/>
      <c r="D138" s="506"/>
      <c r="E138" s="506">
        <f>+'1.3.4 Coal3'!E138</f>
        <v>0</v>
      </c>
      <c r="F138" s="506"/>
      <c r="G138" s="506"/>
      <c r="H138" s="1160">
        <f>'1.3.4 Coal3'!H138</f>
        <v>0</v>
      </c>
      <c r="I138" s="506"/>
      <c r="J138" s="506"/>
      <c r="K138" s="506">
        <f>+'1.3.4 Coal3'!K138</f>
        <v>0</v>
      </c>
      <c r="L138" s="506"/>
      <c r="M138" s="506"/>
      <c r="N138" s="506"/>
      <c r="O138" s="506">
        <f t="shared" ref="O138:O139" si="4">R138-SUM(I138:N138)-SUM(C138:H138)</f>
        <v>27.451415759999978</v>
      </c>
      <c r="P138" s="506"/>
      <c r="Q138" s="603">
        <f t="shared" ref="Q138:Q201" si="5">SUM(I138:O138)</f>
        <v>27.451415759999978</v>
      </c>
      <c r="R138" s="506">
        <f>+'1.3.4 Coal3'!R138</f>
        <v>27.451415759999978</v>
      </c>
      <c r="S138" s="506">
        <f>+'1.3.4 Coal3'!S138</f>
        <v>2.3712322400000012</v>
      </c>
      <c r="T138" s="506">
        <f>+'1.3.4 Coal3'!T138</f>
        <v>29.82264799999998</v>
      </c>
    </row>
    <row r="139" spans="1:20" x14ac:dyDescent="0.45">
      <c r="A139" s="14">
        <v>1829</v>
      </c>
      <c r="B139" s="506">
        <f>+'1.3.4 Coal3'!B139</f>
        <v>30.341823999999981</v>
      </c>
      <c r="C139" s="506"/>
      <c r="D139" s="506"/>
      <c r="E139" s="506">
        <f>+'1.3.4 Coal3'!E139</f>
        <v>0</v>
      </c>
      <c r="F139" s="506"/>
      <c r="G139" s="506"/>
      <c r="H139" s="1160">
        <f>'1.3.4 Coal3'!H139</f>
        <v>0</v>
      </c>
      <c r="I139" s="506"/>
      <c r="J139" s="506"/>
      <c r="K139" s="506">
        <f>+'1.3.4 Coal3'!K139</f>
        <v>0</v>
      </c>
      <c r="L139" s="506"/>
      <c r="M139" s="506"/>
      <c r="N139" s="506"/>
      <c r="O139" s="506">
        <f t="shared" si="4"/>
        <v>27.895295999999981</v>
      </c>
      <c r="P139" s="506"/>
      <c r="Q139" s="603">
        <f t="shared" si="5"/>
        <v>27.895295999999981</v>
      </c>
      <c r="R139" s="506">
        <f>+'1.3.4 Coal3'!R139</f>
        <v>27.895295999999981</v>
      </c>
      <c r="S139" s="506">
        <f>+'1.3.4 Coal3'!S139</f>
        <v>2.4465280000000007</v>
      </c>
      <c r="T139" s="506">
        <f>+'1.3.4 Coal3'!T139</f>
        <v>30.341823999999981</v>
      </c>
    </row>
    <row r="140" spans="1:20" x14ac:dyDescent="0.45">
      <c r="A140" s="14">
        <v>1830</v>
      </c>
      <c r="B140" s="506">
        <f>+'1.3.4 Coal3'!B140</f>
        <v>30.988</v>
      </c>
      <c r="C140" s="506"/>
      <c r="D140" s="506"/>
      <c r="E140" s="506">
        <f>+'1.3.4 Coal3'!E140</f>
        <v>1.5</v>
      </c>
      <c r="F140" s="506"/>
      <c r="G140" s="506">
        <f>+'1.3.4 Coal3'!G140</f>
        <v>0.5</v>
      </c>
      <c r="H140" s="1160">
        <f>'1.3.4 Coal3'!H140</f>
        <v>2.1262287609272144</v>
      </c>
      <c r="I140" s="506">
        <f>+'1.3.4 Coal3'!I140</f>
        <v>0</v>
      </c>
      <c r="J140" s="506">
        <f>+'1.3.4 Coal3'!J140</f>
        <v>11.836400000000001</v>
      </c>
      <c r="K140" s="506">
        <f>+'1.3.4 Coal3'!K140</f>
        <v>11.647881449769706</v>
      </c>
      <c r="L140" s="506"/>
      <c r="M140" s="506"/>
      <c r="N140" s="506">
        <f>+'1.3.4 Coal3'!N140</f>
        <v>0</v>
      </c>
      <c r="O140" s="506"/>
      <c r="P140" s="506"/>
      <c r="Q140" s="603">
        <f t="shared" si="5"/>
        <v>23.484281449769707</v>
      </c>
      <c r="R140" s="506">
        <f>+'1.3.4 Coal3'!R140</f>
        <v>26.188171239072787</v>
      </c>
      <c r="S140" s="506">
        <f>+'1.3.4 Coal3'!S140</f>
        <v>4.7998287609272126</v>
      </c>
      <c r="T140" s="506">
        <f>+'1.3.4 Coal3'!T140</f>
        <v>30.988</v>
      </c>
    </row>
    <row r="141" spans="1:20" x14ac:dyDescent="0.45">
      <c r="A141" s="14">
        <v>1831</v>
      </c>
      <c r="B141" s="506">
        <f>+'1.3.4 Coal3'!B141</f>
        <v>31.597600000000003</v>
      </c>
      <c r="C141" s="506"/>
      <c r="D141" s="506"/>
      <c r="E141" s="507">
        <f>+'1.3.4 Coal3'!E141</f>
        <v>1.6</v>
      </c>
      <c r="F141" s="507"/>
      <c r="G141" s="507">
        <f>+'1.3.4 Coal3'!G141</f>
        <v>0.54</v>
      </c>
      <c r="H141" s="1160">
        <f>'1.3.4 Coal3'!H141</f>
        <v>2.2869916130408017</v>
      </c>
      <c r="I141" s="507">
        <f>+'1.3.4 Coal3'!I141</f>
        <v>0.03</v>
      </c>
      <c r="J141" s="507">
        <f>+'1.3.4 Coal3'!J141</f>
        <v>11.782532428394569</v>
      </c>
      <c r="K141" s="507">
        <f>+'1.3.4 Coal3'!K141</f>
        <v>12.215391920184482</v>
      </c>
      <c r="L141" s="507"/>
      <c r="M141" s="507"/>
      <c r="N141" s="507">
        <f>+'1.3.4 Coal3'!N141</f>
        <v>2.0320000000000001E-2</v>
      </c>
      <c r="O141" s="507"/>
      <c r="P141" s="507"/>
      <c r="Q141" s="1209">
        <f t="shared" si="5"/>
        <v>24.04824434857905</v>
      </c>
      <c r="R141" s="506">
        <f>+'1.3.4 Coal3'!R141</f>
        <v>26.920780815353766</v>
      </c>
      <c r="S141" s="506">
        <f>+'1.3.4 Coal3'!S141</f>
        <v>4.6768191846462379</v>
      </c>
      <c r="T141" s="506">
        <f>+'1.3.4 Coal3'!T141</f>
        <v>31.597600000000003</v>
      </c>
    </row>
    <row r="142" spans="1:20" x14ac:dyDescent="0.45">
      <c r="A142" s="14">
        <v>1832</v>
      </c>
      <c r="B142" s="506">
        <f>+'1.3.4 Coal3'!B142</f>
        <v>32.512</v>
      </c>
      <c r="C142" s="506"/>
      <c r="D142" s="506"/>
      <c r="E142" s="507">
        <f>+'1.3.4 Coal3'!E142</f>
        <v>1.7000000000000002</v>
      </c>
      <c r="F142" s="507"/>
      <c r="G142" s="507">
        <f>+'1.3.4 Coal3'!G142</f>
        <v>0.58000000000000007</v>
      </c>
      <c r="H142" s="1160">
        <f>'1.3.4 Coal3'!H142</f>
        <v>2.4487020071074772</v>
      </c>
      <c r="I142" s="507">
        <f>+'1.3.4 Coal3'!I142</f>
        <v>0.06</v>
      </c>
      <c r="J142" s="507">
        <f>+'1.3.4 Coal3'!J142</f>
        <v>11.823302663297518</v>
      </c>
      <c r="K142" s="507">
        <f>+'1.3.4 Coal3'!K142</f>
        <v>12.781954848646167</v>
      </c>
      <c r="L142" s="507"/>
      <c r="M142" s="507"/>
      <c r="N142" s="507">
        <f>+'1.3.4 Coal3'!N142</f>
        <v>4.0640000000000003E-2</v>
      </c>
      <c r="O142" s="507"/>
      <c r="P142" s="507"/>
      <c r="Q142" s="1209">
        <f t="shared" si="5"/>
        <v>24.705897511943686</v>
      </c>
      <c r="R142" s="506">
        <f>+'1.3.4 Coal3'!R142</f>
        <v>27.74708065619004</v>
      </c>
      <c r="S142" s="506">
        <f>+'1.3.4 Coal3'!S142</f>
        <v>4.7649193438099608</v>
      </c>
      <c r="T142" s="506">
        <f>+'1.3.4 Coal3'!T142</f>
        <v>32.512</v>
      </c>
    </row>
    <row r="143" spans="1:20" x14ac:dyDescent="0.45">
      <c r="A143" s="14">
        <v>1833</v>
      </c>
      <c r="B143" s="506">
        <f>+'1.3.4 Coal3'!B143</f>
        <v>33.324799999999996</v>
      </c>
      <c r="C143" s="506"/>
      <c r="D143" s="506"/>
      <c r="E143" s="507">
        <f>+'1.3.4 Coal3'!E143</f>
        <v>1.8000000000000003</v>
      </c>
      <c r="F143" s="507"/>
      <c r="G143" s="507">
        <f>+'1.3.4 Coal3'!G143</f>
        <v>0.62000000000000011</v>
      </c>
      <c r="H143" s="1160">
        <f>'1.3.4 Coal3'!H143</f>
        <v>2.6113599431272432</v>
      </c>
      <c r="I143" s="507">
        <f>+'1.3.4 Coal3'!I143</f>
        <v>0.09</v>
      </c>
      <c r="J143" s="507">
        <f>+'1.3.4 Coal3'!J143</f>
        <v>11.825987023928997</v>
      </c>
      <c r="K143" s="507">
        <f>+'1.3.4 Coal3'!K143</f>
        <v>13.347570235154766</v>
      </c>
      <c r="L143" s="507"/>
      <c r="M143" s="507"/>
      <c r="N143" s="507">
        <f>+'1.3.4 Coal3'!N143</f>
        <v>6.096E-2</v>
      </c>
      <c r="O143" s="507"/>
      <c r="P143" s="507"/>
      <c r="Q143" s="1209">
        <f t="shared" si="5"/>
        <v>25.324517259083763</v>
      </c>
      <c r="R143" s="506">
        <f>+'1.3.4 Coal3'!R143</f>
        <v>28.534347080801755</v>
      </c>
      <c r="S143" s="506">
        <f>+'1.3.4 Coal3'!S143</f>
        <v>4.7904529191982412</v>
      </c>
      <c r="T143" s="506">
        <f>+'1.3.4 Coal3'!T143</f>
        <v>33.324799999999996</v>
      </c>
    </row>
    <row r="144" spans="1:20" x14ac:dyDescent="0.45">
      <c r="A144" s="14">
        <v>1834</v>
      </c>
      <c r="B144" s="506">
        <f>+'1.3.4 Coal3'!B144</f>
        <v>34.239200000000004</v>
      </c>
      <c r="C144" s="506"/>
      <c r="D144" s="506"/>
      <c r="E144" s="507">
        <f>+'1.3.4 Coal3'!E144</f>
        <v>1.9000000000000004</v>
      </c>
      <c r="F144" s="507"/>
      <c r="G144" s="507">
        <f>+'1.3.4 Coal3'!G144</f>
        <v>0.66000000000000014</v>
      </c>
      <c r="H144" s="1160">
        <f>'1.3.4 Coal3'!H144</f>
        <v>2.7749654211000991</v>
      </c>
      <c r="I144" s="507">
        <f>+'1.3.4 Coal3'!I144</f>
        <v>0.12</v>
      </c>
      <c r="J144" s="507">
        <f>+'1.3.4 Coal3'!J144</f>
        <v>11.886897424770327</v>
      </c>
      <c r="K144" s="507">
        <f>+'1.3.4 Coal3'!K144</f>
        <v>13.912238079710271</v>
      </c>
      <c r="L144" s="507"/>
      <c r="M144" s="507"/>
      <c r="N144" s="507">
        <f>+'1.3.4 Coal3'!N144</f>
        <v>8.1280000000000005E-2</v>
      </c>
      <c r="O144" s="507"/>
      <c r="P144" s="507"/>
      <c r="Q144" s="1209">
        <f t="shared" si="5"/>
        <v>26.000415504480596</v>
      </c>
      <c r="R144" s="506">
        <f>+'1.3.4 Coal3'!R144</f>
        <v>29.378892003670224</v>
      </c>
      <c r="S144" s="506">
        <f>+'1.3.4 Coal3'!S144</f>
        <v>4.8603079963297802</v>
      </c>
      <c r="T144" s="506">
        <f>+'1.3.4 Coal3'!T144</f>
        <v>34.239200000000004</v>
      </c>
    </row>
    <row r="145" spans="1:20" x14ac:dyDescent="0.45">
      <c r="A145" s="14">
        <v>1835</v>
      </c>
      <c r="B145" s="506">
        <f>+'1.3.4 Coal3'!B145</f>
        <v>35.6616</v>
      </c>
      <c r="C145" s="506"/>
      <c r="D145" s="506"/>
      <c r="E145" s="507">
        <f>+'1.3.4 Coal3'!E145</f>
        <v>2.0000000000000004</v>
      </c>
      <c r="F145" s="507"/>
      <c r="G145" s="507">
        <f>+'1.3.4 Coal3'!G145</f>
        <v>0.70000000000000018</v>
      </c>
      <c r="H145" s="1160">
        <f>'1.3.4 Coal3'!H145</f>
        <v>2.9395184410260438</v>
      </c>
      <c r="I145" s="507">
        <f>+'1.3.4 Coal3'!I145</f>
        <v>0.15</v>
      </c>
      <c r="J145" s="507">
        <f>+'1.3.4 Coal3'!J145</f>
        <v>12.085510040841607</v>
      </c>
      <c r="K145" s="507">
        <f>+'1.3.4 Coal3'!K145</f>
        <v>14.475958382312687</v>
      </c>
      <c r="L145" s="507"/>
      <c r="M145" s="507"/>
      <c r="N145" s="507">
        <f>+'1.3.4 Coal3'!N145</f>
        <v>0.10160000000000001</v>
      </c>
      <c r="O145" s="507"/>
      <c r="P145" s="507"/>
      <c r="Q145" s="1209">
        <f t="shared" si="5"/>
        <v>26.813068423154295</v>
      </c>
      <c r="R145" s="506">
        <f>+'1.3.4 Coal3'!R145</f>
        <v>30.360191599815558</v>
      </c>
      <c r="S145" s="506">
        <f>+'1.3.4 Coal3'!S145</f>
        <v>5.3014084001844424</v>
      </c>
      <c r="T145" s="506">
        <f>+'1.3.4 Coal3'!T145</f>
        <v>35.6616</v>
      </c>
    </row>
    <row r="146" spans="1:20" x14ac:dyDescent="0.45">
      <c r="A146" s="14">
        <v>1836</v>
      </c>
      <c r="B146" s="506">
        <f>+'1.3.4 Coal3'!B146</f>
        <v>37.084000000000003</v>
      </c>
      <c r="C146" s="506"/>
      <c r="D146" s="506"/>
      <c r="E146" s="507">
        <f>+'1.3.4 Coal3'!E146</f>
        <v>2.1000000000000005</v>
      </c>
      <c r="F146" s="507"/>
      <c r="G146" s="507">
        <f>+'1.3.4 Coal3'!G146</f>
        <v>0.74000000000000021</v>
      </c>
      <c r="H146" s="1160">
        <f>'1.3.4 Coal3'!H146</f>
        <v>3.1050190029050797</v>
      </c>
      <c r="I146" s="507">
        <f>+'1.3.4 Coal3'!I146</f>
        <v>0.18</v>
      </c>
      <c r="J146" s="507">
        <f>+'1.3.4 Coal3'!J146</f>
        <v>12.240196816236672</v>
      </c>
      <c r="K146" s="507">
        <f>+'1.3.4 Coal3'!K146</f>
        <v>15.038731142962016</v>
      </c>
      <c r="L146" s="507"/>
      <c r="M146" s="507"/>
      <c r="N146" s="507">
        <f>+'1.3.4 Coal3'!N146</f>
        <v>0.12192000000000001</v>
      </c>
      <c r="O146" s="507"/>
      <c r="P146" s="507"/>
      <c r="Q146" s="1209">
        <f t="shared" si="5"/>
        <v>27.580847959198689</v>
      </c>
      <c r="R146" s="506">
        <f>+'1.3.4 Coal3'!R146</f>
        <v>31.29661781333159</v>
      </c>
      <c r="S146" s="506">
        <f>+'1.3.4 Coal3'!S146</f>
        <v>5.7873821866684132</v>
      </c>
      <c r="T146" s="506">
        <f>+'1.3.4 Coal3'!T146</f>
        <v>37.084000000000003</v>
      </c>
    </row>
    <row r="147" spans="1:20" x14ac:dyDescent="0.45">
      <c r="A147" s="14">
        <v>1837</v>
      </c>
      <c r="B147" s="506">
        <f>+'1.3.4 Coal3'!B147</f>
        <v>38.303200000000004</v>
      </c>
      <c r="C147" s="506"/>
      <c r="D147" s="506"/>
      <c r="E147" s="507">
        <f>+'1.3.4 Coal3'!E147</f>
        <v>2.2000000000000006</v>
      </c>
      <c r="F147" s="507"/>
      <c r="G147" s="507">
        <f>+'1.3.4 Coal3'!G147</f>
        <v>0.78000000000000025</v>
      </c>
      <c r="H147" s="1160">
        <f>'1.3.4 Coal3'!H147</f>
        <v>3.2714671067372034</v>
      </c>
      <c r="I147" s="507">
        <f>+'1.3.4 Coal3'!I147</f>
        <v>0.21</v>
      </c>
      <c r="J147" s="507">
        <f>+'1.3.4 Coal3'!J147</f>
        <v>12.295464451705355</v>
      </c>
      <c r="K147" s="507">
        <f>+'1.3.4 Coal3'!K147</f>
        <v>15.600556361658253</v>
      </c>
      <c r="L147" s="507"/>
      <c r="M147" s="507"/>
      <c r="N147" s="507">
        <f>+'1.3.4 Coal3'!N147</f>
        <v>0.14224000000000001</v>
      </c>
      <c r="O147" s="507"/>
      <c r="P147" s="507"/>
      <c r="Q147" s="1209">
        <f t="shared" si="5"/>
        <v>28.248260813363608</v>
      </c>
      <c r="R147" s="506">
        <f>+'1.3.4 Coal3'!R147</f>
        <v>32.132677344968151</v>
      </c>
      <c r="S147" s="506">
        <f>+'1.3.4 Coal3'!S147</f>
        <v>6.1705226550318528</v>
      </c>
      <c r="T147" s="506">
        <f>+'1.3.4 Coal3'!T147</f>
        <v>38.303200000000004</v>
      </c>
    </row>
    <row r="148" spans="1:20" x14ac:dyDescent="0.45">
      <c r="A148" s="14">
        <v>1838</v>
      </c>
      <c r="B148" s="506">
        <f>+'1.3.4 Coal3'!B148</f>
        <v>39.827200000000005</v>
      </c>
      <c r="C148" s="506"/>
      <c r="D148" s="506"/>
      <c r="E148" s="507">
        <f>+'1.3.4 Coal3'!E148</f>
        <v>2.3000000000000007</v>
      </c>
      <c r="F148" s="507"/>
      <c r="G148" s="507">
        <f>+'1.3.4 Coal3'!G148</f>
        <v>0.82000000000000028</v>
      </c>
      <c r="H148" s="1160">
        <f>'1.3.4 Coal3'!H148</f>
        <v>3.4388627525224185</v>
      </c>
      <c r="I148" s="507">
        <f>+'1.3.4 Coal3'!I148</f>
        <v>0.24</v>
      </c>
      <c r="J148" s="507">
        <f>+'1.3.4 Coal3'!J148</f>
        <v>12.449150374245002</v>
      </c>
      <c r="K148" s="507">
        <f>+'1.3.4 Coal3'!K148</f>
        <v>16.161434038401403</v>
      </c>
      <c r="L148" s="507"/>
      <c r="M148" s="507"/>
      <c r="N148" s="507">
        <f>+'1.3.4 Coal3'!N148</f>
        <v>0.16256000000000001</v>
      </c>
      <c r="O148" s="507"/>
      <c r="P148" s="507"/>
      <c r="Q148" s="1209">
        <f t="shared" si="5"/>
        <v>29.013144412646405</v>
      </c>
      <c r="R148" s="506">
        <f>+'1.3.4 Coal3'!R148</f>
        <v>33.066207621722583</v>
      </c>
      <c r="S148" s="506">
        <f>+'1.3.4 Coal3'!S148</f>
        <v>6.7609923782774217</v>
      </c>
      <c r="T148" s="506">
        <f>+'1.3.4 Coal3'!T148</f>
        <v>39.827200000000005</v>
      </c>
    </row>
    <row r="149" spans="1:20" x14ac:dyDescent="0.45">
      <c r="A149" s="14">
        <v>1839</v>
      </c>
      <c r="B149" s="506">
        <f>+'1.3.4 Coal3'!B149</f>
        <v>41.351200000000006</v>
      </c>
      <c r="C149" s="506"/>
      <c r="D149" s="506"/>
      <c r="E149" s="507">
        <f>+'1.3.4 Coal3'!E149</f>
        <v>2.4000000000000008</v>
      </c>
      <c r="F149" s="507"/>
      <c r="G149" s="507">
        <f>+'1.3.4 Coal3'!G149</f>
        <v>0.86000000000000032</v>
      </c>
      <c r="H149" s="1160">
        <f>'1.3.4 Coal3'!H149</f>
        <v>3.6072059402607222</v>
      </c>
      <c r="I149" s="507">
        <f>+'1.3.4 Coal3'!I149</f>
        <v>0.27</v>
      </c>
      <c r="J149" s="507">
        <f>+'1.3.4 Coal3'!J149</f>
        <v>12.610678474978529</v>
      </c>
      <c r="K149" s="507">
        <f>+'1.3.4 Coal3'!K149</f>
        <v>16.721364173191461</v>
      </c>
      <c r="L149" s="507"/>
      <c r="M149" s="507"/>
      <c r="N149" s="507">
        <f>+'1.3.4 Coal3'!N149</f>
        <v>0.18287999999999999</v>
      </c>
      <c r="O149" s="507"/>
      <c r="P149" s="507"/>
      <c r="Q149" s="1209">
        <f t="shared" si="5"/>
        <v>29.784922648169992</v>
      </c>
      <c r="R149" s="506">
        <f>+'1.3.4 Coal3'!R149</f>
        <v>34.006632534717795</v>
      </c>
      <c r="S149" s="506">
        <f>+'1.3.4 Coal3'!S149</f>
        <v>7.3445674652822106</v>
      </c>
      <c r="T149" s="506">
        <f>+'1.3.4 Coal3'!T149</f>
        <v>41.351200000000006</v>
      </c>
    </row>
    <row r="150" spans="1:20" x14ac:dyDescent="0.45">
      <c r="A150" s="14">
        <v>1840</v>
      </c>
      <c r="B150" s="506">
        <f>+'1.3.4 Coal3'!B150</f>
        <v>43.18</v>
      </c>
      <c r="C150" s="506"/>
      <c r="D150" s="506"/>
      <c r="E150" s="506">
        <f>+'1.3.4 Coal3'!E150</f>
        <v>2.5</v>
      </c>
      <c r="F150" s="506"/>
      <c r="G150" s="506">
        <f>+'1.3.4 Coal3'!G150</f>
        <v>0.9</v>
      </c>
      <c r="H150" s="1160">
        <f>'1.3.4 Coal3'!H150</f>
        <v>3.7764966699521172</v>
      </c>
      <c r="I150" s="506">
        <f>+'1.3.4 Coal3'!I150</f>
        <v>0.3</v>
      </c>
      <c r="J150" s="506">
        <f>+'1.3.4 Coal3'!J150</f>
        <v>12.852400000000001</v>
      </c>
      <c r="K150" s="506">
        <f>+'1.3.4 Coal3'!K150</f>
        <v>17.280346766028437</v>
      </c>
      <c r="L150" s="506"/>
      <c r="M150" s="506"/>
      <c r="N150" s="506">
        <f>+'1.3.4 Coal3'!N150</f>
        <v>0.20320000000000002</v>
      </c>
      <c r="O150" s="506"/>
      <c r="P150" s="506"/>
      <c r="Q150" s="603">
        <f t="shared" si="5"/>
        <v>30.635946766028436</v>
      </c>
      <c r="R150" s="506">
        <f>+'1.3.4 Coal3'!R150</f>
        <v>35.026303330047888</v>
      </c>
      <c r="S150" s="506">
        <f>+'1.3.4 Coal3'!S150</f>
        <v>8.1536966699521116</v>
      </c>
      <c r="T150" s="506">
        <f>+'1.3.4 Coal3'!T150</f>
        <v>43.18</v>
      </c>
    </row>
    <row r="151" spans="1:20" x14ac:dyDescent="0.45">
      <c r="A151" s="14">
        <v>1841</v>
      </c>
      <c r="B151" s="506">
        <f>+'1.3.4 Coal3'!B151</f>
        <v>44.3992</v>
      </c>
      <c r="C151" s="506"/>
      <c r="D151" s="506"/>
      <c r="E151" s="507">
        <f>+'1.3.4 Coal3'!E151</f>
        <v>2.6666666666666665</v>
      </c>
      <c r="F151" s="507"/>
      <c r="G151" s="507">
        <f>+'1.3.4 Coal3'!G151</f>
        <v>0.95333333333333337</v>
      </c>
      <c r="H151" s="1160">
        <f>'1.3.4 Coal3'!H151</f>
        <v>4.0395251387972415</v>
      </c>
      <c r="I151" s="507">
        <f>+'1.3.4 Coal3'!I151</f>
        <v>0.44</v>
      </c>
      <c r="J151" s="507">
        <f>+'1.3.4 Coal3'!J151</f>
        <v>12.861353616790574</v>
      </c>
      <c r="K151" s="507">
        <f>+'1.3.4 Coal3'!K151</f>
        <v>18.332829004908863</v>
      </c>
      <c r="L151" s="507"/>
      <c r="M151" s="507"/>
      <c r="N151" s="507">
        <f>+'1.3.4 Coal3'!N151</f>
        <v>0.23029333333333335</v>
      </c>
      <c r="O151" s="507"/>
      <c r="P151" s="507"/>
      <c r="Q151" s="1209">
        <f t="shared" si="5"/>
        <v>31.86447595503277</v>
      </c>
      <c r="R151" s="506">
        <f>+'1.3.4 Coal3'!R151</f>
        <v>36.534308477993342</v>
      </c>
      <c r="S151" s="506">
        <f>+'1.3.4 Coal3'!S151</f>
        <v>7.8648915220066584</v>
      </c>
      <c r="T151" s="506">
        <f>+'1.3.4 Coal3'!T151</f>
        <v>44.3992</v>
      </c>
    </row>
    <row r="152" spans="1:20" x14ac:dyDescent="0.45">
      <c r="A152" s="14">
        <v>1842</v>
      </c>
      <c r="B152" s="506">
        <f>+'1.3.4 Coal3'!B152</f>
        <v>44.805600000000005</v>
      </c>
      <c r="C152" s="506"/>
      <c r="D152" s="506"/>
      <c r="E152" s="507">
        <f>+'1.3.4 Coal3'!E152</f>
        <v>2.833333333333333</v>
      </c>
      <c r="F152" s="507"/>
      <c r="G152" s="507">
        <f>+'1.3.4 Coal3'!G152</f>
        <v>1.0066666666666666</v>
      </c>
      <c r="H152" s="1160">
        <f>'1.3.4 Coal3'!H152</f>
        <v>4.3045208852211605</v>
      </c>
      <c r="I152" s="507">
        <f>+'1.3.4 Coal3'!I152</f>
        <v>0.58000000000000007</v>
      </c>
      <c r="J152" s="507">
        <f>+'1.3.4 Coal3'!J152</f>
        <v>12.610784722732353</v>
      </c>
      <c r="K152" s="507">
        <f>+'1.3.4 Coal3'!K152</f>
        <v>19.383343966210496</v>
      </c>
      <c r="L152" s="507"/>
      <c r="M152" s="507"/>
      <c r="N152" s="507">
        <f>+'1.3.4 Coal3'!N152</f>
        <v>0.25738666666666671</v>
      </c>
      <c r="O152" s="507"/>
      <c r="P152" s="507"/>
      <c r="Q152" s="1209">
        <f t="shared" si="5"/>
        <v>32.831515355609518</v>
      </c>
      <c r="R152" s="506">
        <f>+'1.3.4 Coal3'!R152</f>
        <v>37.7808238375112</v>
      </c>
      <c r="S152" s="506">
        <f>+'1.3.4 Coal3'!S152</f>
        <v>7.0247761624888057</v>
      </c>
      <c r="T152" s="506">
        <f>+'1.3.4 Coal3'!T152</f>
        <v>44.805600000000005</v>
      </c>
    </row>
    <row r="153" spans="1:20" x14ac:dyDescent="0.45">
      <c r="A153" s="14">
        <v>1843</v>
      </c>
      <c r="B153" s="506">
        <f>+'1.3.4 Coal3'!B153</f>
        <v>46.634399999999999</v>
      </c>
      <c r="C153" s="506"/>
      <c r="D153" s="506"/>
      <c r="E153" s="507">
        <f>+'1.3.4 Coal3'!E153</f>
        <v>2.9999999999999996</v>
      </c>
      <c r="F153" s="507"/>
      <c r="G153" s="507">
        <f>+'1.3.4 Coal3'!G153</f>
        <v>1.0599999999999998</v>
      </c>
      <c r="H153" s="1160">
        <f>'1.3.4 Coal3'!H153</f>
        <v>4.5714839092238764</v>
      </c>
      <c r="I153" s="507">
        <f>+'1.3.4 Coal3'!I153</f>
        <v>0.72000000000000008</v>
      </c>
      <c r="J153" s="507">
        <f>+'1.3.4 Coal3'!J153</f>
        <v>12.951177821212015</v>
      </c>
      <c r="K153" s="507">
        <f>+'1.3.4 Coal3'!K153</f>
        <v>20.431891649933338</v>
      </c>
      <c r="L153" s="507"/>
      <c r="M153" s="507"/>
      <c r="N153" s="507">
        <f>+'1.3.4 Coal3'!N153</f>
        <v>0.28448000000000001</v>
      </c>
      <c r="O153" s="507"/>
      <c r="P153" s="507"/>
      <c r="Q153" s="1209">
        <f t="shared" si="5"/>
        <v>34.387549471145356</v>
      </c>
      <c r="R153" s="506">
        <f>+'1.3.4 Coal3'!R153</f>
        <v>39.616333911988136</v>
      </c>
      <c r="S153" s="506">
        <f>+'1.3.4 Coal3'!S153</f>
        <v>7.0180660880118637</v>
      </c>
      <c r="T153" s="506">
        <f>+'1.3.4 Coal3'!T153</f>
        <v>46.634399999999999</v>
      </c>
    </row>
    <row r="154" spans="1:20" x14ac:dyDescent="0.45">
      <c r="A154" s="14">
        <v>1844</v>
      </c>
      <c r="B154" s="506">
        <f>+'1.3.4 Coal3'!B154</f>
        <v>48.26</v>
      </c>
      <c r="C154" s="506"/>
      <c r="D154" s="506"/>
      <c r="E154" s="507">
        <f>+'1.3.4 Coal3'!E154</f>
        <v>3.1666666666666661</v>
      </c>
      <c r="F154" s="507"/>
      <c r="G154" s="507">
        <f>+'1.3.4 Coal3'!G154</f>
        <v>1.1133333333333331</v>
      </c>
      <c r="H154" s="1160">
        <f>'1.3.4 Coal3'!H154</f>
        <v>4.8404142108053874</v>
      </c>
      <c r="I154" s="507">
        <f>+'1.3.4 Coal3'!I154</f>
        <v>0.8600000000000001</v>
      </c>
      <c r="J154" s="507">
        <f>+'1.3.4 Coal3'!J154</f>
        <v>13.18897978221214</v>
      </c>
      <c r="K154" s="507">
        <f>+'1.3.4 Coal3'!K154</f>
        <v>21.478472056077379</v>
      </c>
      <c r="L154" s="507"/>
      <c r="M154" s="507"/>
      <c r="N154" s="507">
        <f>+'1.3.4 Coal3'!N154</f>
        <v>0.31157333333333337</v>
      </c>
      <c r="O154" s="507"/>
      <c r="P154" s="507"/>
      <c r="Q154" s="1209">
        <f t="shared" si="5"/>
        <v>35.839025171622858</v>
      </c>
      <c r="R154" s="506">
        <f>+'1.3.4 Coal3'!R154</f>
        <v>41.347285571406758</v>
      </c>
      <c r="S154" s="506">
        <f>+'1.3.4 Coal3'!S154</f>
        <v>6.9127144285932403</v>
      </c>
      <c r="T154" s="506">
        <f>+'1.3.4 Coal3'!T154</f>
        <v>48.26</v>
      </c>
    </row>
    <row r="155" spans="1:20" x14ac:dyDescent="0.45">
      <c r="A155" s="14">
        <v>1845</v>
      </c>
      <c r="B155" s="506">
        <f>+'1.3.4 Coal3'!B155</f>
        <v>51.816000000000003</v>
      </c>
      <c r="C155" s="506"/>
      <c r="D155" s="506"/>
      <c r="E155" s="507">
        <f>+'1.3.4 Coal3'!E155</f>
        <v>3.3333333333333326</v>
      </c>
      <c r="F155" s="507"/>
      <c r="G155" s="507">
        <f>+'1.3.4 Coal3'!G155</f>
        <v>1.1666666666666663</v>
      </c>
      <c r="H155" s="1160">
        <f>'1.3.4 Coal3'!H155</f>
        <v>5.1113117899656935</v>
      </c>
      <c r="I155" s="507">
        <f>+'1.3.4 Coal3'!I155</f>
        <v>1</v>
      </c>
      <c r="J155" s="507">
        <f>+'1.3.4 Coal3'!J155</f>
        <v>13.755202431758565</v>
      </c>
      <c r="K155" s="507">
        <f>+'1.3.4 Coal3'!K155</f>
        <v>22.523085184642628</v>
      </c>
      <c r="L155" s="507"/>
      <c r="M155" s="507"/>
      <c r="N155" s="507">
        <f>+'1.3.4 Coal3'!N155</f>
        <v>0.33866666666666673</v>
      </c>
      <c r="O155" s="507"/>
      <c r="P155" s="507"/>
      <c r="Q155" s="1209">
        <f t="shared" si="5"/>
        <v>37.616954283067862</v>
      </c>
      <c r="R155" s="506">
        <f>+'1.3.4 Coal3'!R155</f>
        <v>43.404690641792875</v>
      </c>
      <c r="S155" s="506">
        <f>+'1.3.4 Coal3'!S155</f>
        <v>8.4113093582071272</v>
      </c>
      <c r="T155" s="506">
        <f>+'1.3.4 Coal3'!T155</f>
        <v>51.816000000000003</v>
      </c>
    </row>
    <row r="156" spans="1:20" x14ac:dyDescent="0.45">
      <c r="A156" s="14">
        <v>1846</v>
      </c>
      <c r="B156" s="506">
        <f>+'1.3.4 Coal3'!B156</f>
        <v>53.847999999999999</v>
      </c>
      <c r="C156" s="506"/>
      <c r="D156" s="506"/>
      <c r="E156" s="507">
        <f>+'1.3.4 Coal3'!E156</f>
        <v>3.4999999999999991</v>
      </c>
      <c r="F156" s="507"/>
      <c r="G156" s="507">
        <f>+'1.3.4 Coal3'!G156</f>
        <v>1.2199999999999995</v>
      </c>
      <c r="H156" s="1160">
        <f>'1.3.4 Coal3'!H156</f>
        <v>5.3841766467047965</v>
      </c>
      <c r="I156" s="507">
        <f>+'1.3.4 Coal3'!I156</f>
        <v>1.1400000000000001</v>
      </c>
      <c r="J156" s="507">
        <f>+'1.3.4 Coal3'!J156</f>
        <v>14.052975019622361</v>
      </c>
      <c r="K156" s="507">
        <f>+'1.3.4 Coal3'!K156</f>
        <v>23.565731035629078</v>
      </c>
      <c r="L156" s="507"/>
      <c r="M156" s="507"/>
      <c r="N156" s="507">
        <f>+'1.3.4 Coal3'!N156</f>
        <v>0.36576000000000003</v>
      </c>
      <c r="O156" s="507"/>
      <c r="P156" s="507"/>
      <c r="Q156" s="1209">
        <f t="shared" si="5"/>
        <v>39.124466055251439</v>
      </c>
      <c r="R156" s="506">
        <f>+'1.3.4 Coal3'!R156</f>
        <v>45.191678372917565</v>
      </c>
      <c r="S156" s="506">
        <f>+'1.3.4 Coal3'!S156</f>
        <v>8.6563216270824341</v>
      </c>
      <c r="T156" s="506">
        <f>+'1.3.4 Coal3'!T156</f>
        <v>53.847999999999999</v>
      </c>
    </row>
    <row r="157" spans="1:20" x14ac:dyDescent="0.45">
      <c r="A157" s="14">
        <v>1847</v>
      </c>
      <c r="B157" s="506">
        <f>+'1.3.4 Coal3'!B157</f>
        <v>54.7624</v>
      </c>
      <c r="C157" s="506"/>
      <c r="D157" s="506"/>
      <c r="E157" s="507">
        <f>+'1.3.4 Coal3'!E157</f>
        <v>3.6666666666666656</v>
      </c>
      <c r="F157" s="507"/>
      <c r="G157" s="507">
        <f>+'1.3.4 Coal3'!G157</f>
        <v>1.2733333333333328</v>
      </c>
      <c r="H157" s="1160">
        <f>'1.3.4 Coal3'!H157</f>
        <v>5.6590087810226928</v>
      </c>
      <c r="I157" s="507">
        <f>+'1.3.4 Coal3'!I157</f>
        <v>1.2800000000000002</v>
      </c>
      <c r="J157" s="507">
        <f>+'1.3.4 Coal3'!J157</f>
        <v>14.084463365023488</v>
      </c>
      <c r="K157" s="507">
        <f>+'1.3.4 Coal3'!K157</f>
        <v>24.606409609036739</v>
      </c>
      <c r="L157" s="507"/>
      <c r="M157" s="507"/>
      <c r="N157" s="507">
        <f>+'1.3.4 Coal3'!N157</f>
        <v>0.39285333333333339</v>
      </c>
      <c r="O157" s="507"/>
      <c r="P157" s="507"/>
      <c r="Q157" s="1209">
        <f t="shared" si="5"/>
        <v>40.363726307393563</v>
      </c>
      <c r="R157" s="506">
        <f>+'1.3.4 Coal3'!R157</f>
        <v>46.710414584000802</v>
      </c>
      <c r="S157" s="506">
        <f>+'1.3.4 Coal3'!S157</f>
        <v>8.0519854159991979</v>
      </c>
      <c r="T157" s="506">
        <f>+'1.3.4 Coal3'!T157</f>
        <v>54.7624</v>
      </c>
    </row>
    <row r="158" spans="1:20" x14ac:dyDescent="0.45">
      <c r="A158" s="14">
        <v>1848</v>
      </c>
      <c r="B158" s="506">
        <f>+'1.3.4 Coal3'!B158</f>
        <v>57.404000000000003</v>
      </c>
      <c r="C158" s="506"/>
      <c r="D158" s="506"/>
      <c r="E158" s="507">
        <f>+'1.3.4 Coal3'!E158</f>
        <v>3.8333333333333321</v>
      </c>
      <c r="F158" s="507"/>
      <c r="G158" s="507">
        <f>+'1.3.4 Coal3'!G158</f>
        <v>1.326666666666666</v>
      </c>
      <c r="H158" s="1160">
        <f>'1.3.4 Coal3'!H158</f>
        <v>5.9358081929193878</v>
      </c>
      <c r="I158" s="507">
        <f>+'1.3.4 Coal3'!I158</f>
        <v>1.4200000000000004</v>
      </c>
      <c r="J158" s="507">
        <f>+'1.3.4 Coal3'!J158</f>
        <v>14.286816578089656</v>
      </c>
      <c r="K158" s="507">
        <f>+'1.3.4 Coal3'!K158</f>
        <v>25.6451209048656</v>
      </c>
      <c r="L158" s="507"/>
      <c r="M158" s="507"/>
      <c r="N158" s="507">
        <f>+'1.3.4 Coal3'!N158</f>
        <v>0.41994666666666675</v>
      </c>
      <c r="O158" s="507"/>
      <c r="P158" s="507"/>
      <c r="Q158" s="1209">
        <f t="shared" si="5"/>
        <v>41.771884149621926</v>
      </c>
      <c r="R158" s="506">
        <f>+'1.3.4 Coal3'!R158</f>
        <v>48.398048385170277</v>
      </c>
      <c r="S158" s="506">
        <f>+'1.3.4 Coal3'!S158</f>
        <v>9.0059516148297263</v>
      </c>
      <c r="T158" s="506">
        <f>+'1.3.4 Coal3'!T158</f>
        <v>57.404000000000003</v>
      </c>
    </row>
    <row r="159" spans="1:20" x14ac:dyDescent="0.45">
      <c r="A159" s="14">
        <v>1849</v>
      </c>
      <c r="B159" s="506">
        <f>+'1.3.4 Coal3'!B159</f>
        <v>60.147200000000005</v>
      </c>
      <c r="C159" s="506"/>
      <c r="D159" s="506"/>
      <c r="E159" s="507">
        <f>+'1.3.4 Coal3'!E159</f>
        <v>3.9999999999999987</v>
      </c>
      <c r="F159" s="507"/>
      <c r="G159" s="507">
        <f>+'1.3.4 Coal3'!G159</f>
        <v>1.3799999999999992</v>
      </c>
      <c r="H159" s="1160">
        <f>'1.3.4 Coal3'!H159</f>
        <v>6.214574882394877</v>
      </c>
      <c r="I159" s="507">
        <f>+'1.3.4 Coal3'!I159</f>
        <v>1.5600000000000005</v>
      </c>
      <c r="J159" s="507">
        <f>+'1.3.4 Coal3'!J159</f>
        <v>14.705943890842551</v>
      </c>
      <c r="K159" s="507">
        <f>+'1.3.4 Coal3'!K159</f>
        <v>26.681864923115661</v>
      </c>
      <c r="L159" s="507"/>
      <c r="M159" s="507"/>
      <c r="N159" s="507">
        <f>+'1.3.4 Coal3'!N159</f>
        <v>0.44704000000000005</v>
      </c>
      <c r="O159" s="507"/>
      <c r="P159" s="507"/>
      <c r="Q159" s="1209">
        <f t="shared" si="5"/>
        <v>43.394848813958212</v>
      </c>
      <c r="R159" s="506">
        <f>+'1.3.4 Coal3'!R159</f>
        <v>50.300489008447677</v>
      </c>
      <c r="S159" s="506">
        <f>+'1.3.4 Coal3'!S159</f>
        <v>9.8467109915523281</v>
      </c>
      <c r="T159" s="506">
        <f>+'1.3.4 Coal3'!T159</f>
        <v>60.147200000000005</v>
      </c>
    </row>
    <row r="160" spans="1:20" x14ac:dyDescent="0.45">
      <c r="A160" s="14">
        <v>1850</v>
      </c>
      <c r="B160" s="506">
        <f>+'1.3.4 Coal3'!B160</f>
        <v>63.398400000000002</v>
      </c>
      <c r="C160" s="506"/>
      <c r="D160" s="506"/>
      <c r="E160" s="507">
        <f>+'1.3.4 Coal3'!E160</f>
        <v>4.1666666666666652</v>
      </c>
      <c r="F160" s="507"/>
      <c r="G160" s="507">
        <f>+'1.3.4 Coal3'!G160</f>
        <v>1.4333333333333325</v>
      </c>
      <c r="H160" s="1160">
        <f>'1.3.4 Coal3'!H160</f>
        <v>6.4953088494491604</v>
      </c>
      <c r="I160" s="507">
        <f>+'1.3.4 Coal3'!I160</f>
        <v>1.7000000000000006</v>
      </c>
      <c r="J160" s="507">
        <f>+'1.3.4 Coal3'!J160</f>
        <v>15.10913835672169</v>
      </c>
      <c r="K160" s="507">
        <f>+'1.3.4 Coal3'!K160</f>
        <v>27.716641663786927</v>
      </c>
      <c r="L160" s="507"/>
      <c r="M160" s="507"/>
      <c r="N160" s="507">
        <f>+'1.3.4 Coal3'!N160</f>
        <v>0.47413333333333341</v>
      </c>
      <c r="O160" s="507"/>
      <c r="P160" s="507"/>
      <c r="Q160" s="1209">
        <f t="shared" si="5"/>
        <v>44.999913353841954</v>
      </c>
      <c r="R160" s="506">
        <f>+'1.3.4 Coal3'!R160</f>
        <v>52.185029507272525</v>
      </c>
      <c r="S160" s="506">
        <f>+'1.3.4 Coal3'!S160</f>
        <v>11.213370492727478</v>
      </c>
      <c r="T160" s="506">
        <f>+'1.3.4 Coal3'!T160</f>
        <v>63.398400000000002</v>
      </c>
    </row>
    <row r="161" spans="1:20" x14ac:dyDescent="0.45">
      <c r="A161" s="14">
        <v>1851</v>
      </c>
      <c r="B161" s="506">
        <f>+'1.3.4 Coal3'!B161</f>
        <v>66.141599999999997</v>
      </c>
      <c r="C161" s="506"/>
      <c r="D161" s="506"/>
      <c r="E161" s="507">
        <f>+'1.3.4 Coal3'!E161</f>
        <v>4.3333333333333321</v>
      </c>
      <c r="F161" s="507"/>
      <c r="G161" s="507">
        <f>+'1.3.4 Coal3'!G161</f>
        <v>1.4866666666666657</v>
      </c>
      <c r="H161" s="1160">
        <f>'1.3.4 Coal3'!H161</f>
        <v>6.7780100940822416</v>
      </c>
      <c r="I161" s="507">
        <f>+'1.3.4 Coal3'!I161</f>
        <v>1.8400000000000007</v>
      </c>
      <c r="J161" s="507">
        <f>+'1.3.4 Coal3'!J161</f>
        <v>15.439417120723672</v>
      </c>
      <c r="K161" s="507">
        <f>+'1.3.4 Coal3'!K161</f>
        <v>28.749451126879404</v>
      </c>
      <c r="L161" s="507"/>
      <c r="M161" s="507"/>
      <c r="N161" s="507">
        <f>+'1.3.4 Coal3'!N161</f>
        <v>0.50122666666666671</v>
      </c>
      <c r="O161" s="507"/>
      <c r="P161" s="507"/>
      <c r="Q161" s="1209">
        <f t="shared" si="5"/>
        <v>46.530094914269739</v>
      </c>
      <c r="R161" s="506">
        <f>+'1.3.4 Coal3'!R161</f>
        <v>53.994687026641436</v>
      </c>
      <c r="S161" s="506">
        <f>+'1.3.4 Coal3'!S161</f>
        <v>12.14691297335856</v>
      </c>
      <c r="T161" s="506">
        <f>+'1.3.4 Coal3'!T161</f>
        <v>66.141599999999997</v>
      </c>
    </row>
    <row r="162" spans="1:20" x14ac:dyDescent="0.45">
      <c r="A162" s="14">
        <v>1852</v>
      </c>
      <c r="B162" s="506">
        <f>+'1.3.4 Coal3'!B162</f>
        <v>69.291200000000003</v>
      </c>
      <c r="C162" s="506"/>
      <c r="D162" s="506"/>
      <c r="E162" s="507">
        <f>+'1.3.4 Coal3'!E162</f>
        <v>4.4999999999999991</v>
      </c>
      <c r="F162" s="507"/>
      <c r="G162" s="507">
        <f>+'1.3.4 Coal3'!G162</f>
        <v>1.5399999999999989</v>
      </c>
      <c r="H162" s="1160">
        <f>'1.3.4 Coal3'!H162</f>
        <v>7.062678616294118</v>
      </c>
      <c r="I162" s="507">
        <f>+'1.3.4 Coal3'!I162</f>
        <v>1.9800000000000009</v>
      </c>
      <c r="J162" s="507">
        <f>+'1.3.4 Coal3'!J162</f>
        <v>15.828309463091184</v>
      </c>
      <c r="K162" s="507">
        <f>+'1.3.4 Coal3'!K162</f>
        <v>29.780293312393081</v>
      </c>
      <c r="L162" s="507"/>
      <c r="M162" s="507"/>
      <c r="N162" s="507">
        <f>+'1.3.4 Coal3'!N162</f>
        <v>0.52832000000000001</v>
      </c>
      <c r="O162" s="507"/>
      <c r="P162" s="507"/>
      <c r="Q162" s="1209">
        <f t="shared" si="5"/>
        <v>48.116922775484262</v>
      </c>
      <c r="R162" s="506">
        <f>+'1.3.4 Coal3'!R162</f>
        <v>55.860990846797073</v>
      </c>
      <c r="S162" s="506">
        <f>+'1.3.4 Coal3'!S162</f>
        <v>13.430209153202931</v>
      </c>
      <c r="T162" s="506">
        <f>+'1.3.4 Coal3'!T162</f>
        <v>69.291200000000003</v>
      </c>
    </row>
    <row r="163" spans="1:20" x14ac:dyDescent="0.45">
      <c r="A163" s="14">
        <v>1853</v>
      </c>
      <c r="B163" s="506">
        <f>+'1.3.4 Coal3'!B163</f>
        <v>72.2376</v>
      </c>
      <c r="C163" s="506"/>
      <c r="D163" s="506"/>
      <c r="E163" s="507">
        <f>+'1.3.4 Coal3'!E163</f>
        <v>4.6666666666666661</v>
      </c>
      <c r="F163" s="507"/>
      <c r="G163" s="507">
        <f>+'1.3.4 Coal3'!G163</f>
        <v>1.5933333333333322</v>
      </c>
      <c r="H163" s="1160">
        <f>'1.3.4 Coal3'!H163</f>
        <v>7.3493144160847885</v>
      </c>
      <c r="I163" s="507">
        <f>+'1.3.4 Coal3'!I163</f>
        <v>2.120000000000001</v>
      </c>
      <c r="J163" s="507">
        <f>+'1.3.4 Coal3'!J163</f>
        <v>16.095989108286428</v>
      </c>
      <c r="K163" s="507">
        <f>+'1.3.4 Coal3'!K163</f>
        <v>30.809168220327958</v>
      </c>
      <c r="L163" s="507"/>
      <c r="M163" s="507"/>
      <c r="N163" s="507">
        <f>+'1.3.4 Coal3'!N163</f>
        <v>0.55541333333333331</v>
      </c>
      <c r="O163" s="507"/>
      <c r="P163" s="507"/>
      <c r="Q163" s="1209">
        <f t="shared" si="5"/>
        <v>49.580570661947718</v>
      </c>
      <c r="R163" s="506">
        <f>+'1.3.4 Coal3'!R163</f>
        <v>57.604114692201641</v>
      </c>
      <c r="S163" s="506">
        <f>+'1.3.4 Coal3'!S163</f>
        <v>14.63348530779836</v>
      </c>
      <c r="T163" s="506">
        <f>+'1.3.4 Coal3'!T163</f>
        <v>72.2376</v>
      </c>
    </row>
    <row r="164" spans="1:20" x14ac:dyDescent="0.45">
      <c r="A164" s="14">
        <v>1854</v>
      </c>
      <c r="B164" s="506">
        <f>+'1.3.4 Coal3'!B164</f>
        <v>76.2</v>
      </c>
      <c r="C164" s="506"/>
      <c r="D164" s="506"/>
      <c r="E164" s="507">
        <f>+'1.3.4 Coal3'!E164</f>
        <v>4.833333333333333</v>
      </c>
      <c r="F164" s="507"/>
      <c r="G164" s="507">
        <f>+'1.3.4 Coal3'!G164</f>
        <v>1.6466666666666654</v>
      </c>
      <c r="H164" s="1160">
        <f>'1.3.4 Coal3'!H164</f>
        <v>7.6379174934542569</v>
      </c>
      <c r="I164" s="507">
        <f>+'1.3.4 Coal3'!I164</f>
        <v>2.2600000000000011</v>
      </c>
      <c r="J164" s="507">
        <f>+'1.3.4 Coal3'!J164</f>
        <v>16.58072687419449</v>
      </c>
      <c r="K164" s="507">
        <f>+'1.3.4 Coal3'!K164</f>
        <v>31.836075850684047</v>
      </c>
      <c r="L164" s="507"/>
      <c r="M164" s="507"/>
      <c r="N164" s="507">
        <f>+'1.3.4 Coal3'!N164</f>
        <v>0.58250666666666662</v>
      </c>
      <c r="O164" s="507"/>
      <c r="P164" s="507"/>
      <c r="Q164" s="1209">
        <f t="shared" si="5"/>
        <v>51.259309391545209</v>
      </c>
      <c r="R164" s="506">
        <f>+'1.3.4 Coal3'!R164</f>
        <v>59.562329380740238</v>
      </c>
      <c r="S164" s="506">
        <f>+'1.3.4 Coal3'!S164</f>
        <v>16.637670619259765</v>
      </c>
      <c r="T164" s="506">
        <f>+'1.3.4 Coal3'!T164</f>
        <v>76.2</v>
      </c>
    </row>
    <row r="165" spans="1:20" x14ac:dyDescent="0.45">
      <c r="A165" s="14">
        <v>1855</v>
      </c>
      <c r="B165" s="506">
        <f>+'1.3.4 Coal3'!B165</f>
        <v>77.520799999999994</v>
      </c>
      <c r="C165" s="506"/>
      <c r="D165" s="506"/>
      <c r="E165" s="506">
        <f>+'1.3.4 Coal3'!E165</f>
        <v>5</v>
      </c>
      <c r="F165" s="506"/>
      <c r="G165" s="506">
        <f>+'1.3.4 Coal3'!G165</f>
        <v>1.7</v>
      </c>
      <c r="H165" s="1160">
        <f>'1.3.4 Coal3'!H165</f>
        <v>7.9284878484025221</v>
      </c>
      <c r="I165" s="506">
        <f>+'1.3.4 Coal3'!I165</f>
        <v>2.4</v>
      </c>
      <c r="J165" s="506">
        <f>+'1.3.4 Coal3'!J165</f>
        <v>16.256</v>
      </c>
      <c r="K165" s="506">
        <f>+'1.3.4 Coal3'!K165</f>
        <v>32.86101620346134</v>
      </c>
      <c r="L165" s="506"/>
      <c r="M165" s="506"/>
      <c r="N165" s="506">
        <f>+'1.3.4 Coal3'!N165</f>
        <v>0.60960000000000003</v>
      </c>
      <c r="O165" s="506"/>
      <c r="P165" s="506"/>
      <c r="Q165" s="603">
        <f t="shared" si="5"/>
        <v>52.126616203461339</v>
      </c>
      <c r="R165" s="506">
        <f>+'1.3.4 Coal3'!R165</f>
        <v>60.709112151597481</v>
      </c>
      <c r="S165" s="506">
        <f>+'1.3.4 Coal3'!S165</f>
        <v>16.811687848402514</v>
      </c>
      <c r="T165" s="506">
        <f>+'1.3.4 Coal3'!T165</f>
        <v>77.520799999999994</v>
      </c>
    </row>
    <row r="166" spans="1:20" x14ac:dyDescent="0.45">
      <c r="A166" s="14">
        <v>1856</v>
      </c>
      <c r="B166" s="506">
        <f>+'1.3.4 Coal3'!B166</f>
        <v>80.162400000000005</v>
      </c>
      <c r="C166" s="506"/>
      <c r="D166" s="506"/>
      <c r="E166" s="507">
        <f>+'1.3.4 Coal3'!E166</f>
        <v>5.1785714285714288</v>
      </c>
      <c r="F166" s="507"/>
      <c r="G166" s="507">
        <f>+'1.3.4 Coal3'!G166</f>
        <v>1.8428571428571427</v>
      </c>
      <c r="H166" s="1160">
        <f>'1.3.4 Coal3'!H166</f>
        <v>8.2008078923017553</v>
      </c>
      <c r="I166" s="507">
        <f>+'1.3.4 Coal3'!I166</f>
        <v>2.4571428571428573</v>
      </c>
      <c r="J166" s="507">
        <f>+'1.3.4 Coal3'!J166</f>
        <v>16.51148755671915</v>
      </c>
      <c r="K166" s="507">
        <f>+'1.3.4 Coal3'!K166</f>
        <v>33.863209333908017</v>
      </c>
      <c r="L166" s="507"/>
      <c r="M166" s="507"/>
      <c r="N166" s="507">
        <f>+'1.3.4 Coal3'!N166</f>
        <v>0.65314285714285714</v>
      </c>
      <c r="O166" s="507"/>
      <c r="P166" s="507"/>
      <c r="Q166" s="1209">
        <f t="shared" si="5"/>
        <v>53.484982604912886</v>
      </c>
      <c r="R166" s="506">
        <f>+'1.3.4 Coal3'!R166</f>
        <v>62.449708235845968</v>
      </c>
      <c r="S166" s="506">
        <f>+'1.3.4 Coal3'!S166</f>
        <v>17.712691764154037</v>
      </c>
      <c r="T166" s="506">
        <f>+'1.3.4 Coal3'!T166</f>
        <v>80.162400000000005</v>
      </c>
    </row>
    <row r="167" spans="1:20" x14ac:dyDescent="0.45">
      <c r="A167" s="14">
        <v>1857</v>
      </c>
      <c r="B167" s="506">
        <f>+'1.3.4 Coal3'!B167</f>
        <v>82.600799999999992</v>
      </c>
      <c r="C167" s="506"/>
      <c r="D167" s="506"/>
      <c r="E167" s="507">
        <f>+'1.3.4 Coal3'!E167</f>
        <v>5.3571428571428577</v>
      </c>
      <c r="F167" s="507"/>
      <c r="G167" s="507">
        <f>+'1.3.4 Coal3'!G167</f>
        <v>1.9857142857142855</v>
      </c>
      <c r="H167" s="1160">
        <f>'1.3.4 Coal3'!H167</f>
        <v>8.4751390456524476</v>
      </c>
      <c r="I167" s="507">
        <f>+'1.3.4 Coal3'!I167</f>
        <v>2.5142857142857142</v>
      </c>
      <c r="J167" s="507">
        <f>+'1.3.4 Coal3'!J167</f>
        <v>16.699251646132787</v>
      </c>
      <c r="K167" s="507">
        <f>+'1.3.4 Coal3'!K167</f>
        <v>34.863391354903243</v>
      </c>
      <c r="L167" s="507"/>
      <c r="M167" s="507"/>
      <c r="N167" s="507">
        <f>+'1.3.4 Coal3'!N167</f>
        <v>0.69668571428571424</v>
      </c>
      <c r="O167" s="507"/>
      <c r="P167" s="507"/>
      <c r="Q167" s="1209">
        <f t="shared" si="5"/>
        <v>54.773614429607456</v>
      </c>
      <c r="R167" s="506">
        <f>+'1.3.4 Coal3'!R167</f>
        <v>64.120569743337484</v>
      </c>
      <c r="S167" s="506">
        <f>+'1.3.4 Coal3'!S167</f>
        <v>18.480230256662509</v>
      </c>
      <c r="T167" s="506">
        <f>+'1.3.4 Coal3'!T167</f>
        <v>82.600799999999992</v>
      </c>
    </row>
    <row r="168" spans="1:20" x14ac:dyDescent="0.45">
      <c r="A168" s="14">
        <v>1858</v>
      </c>
      <c r="B168" s="506">
        <f>+'1.3.4 Coal3'!B168</f>
        <v>81.483200000000011</v>
      </c>
      <c r="C168" s="506"/>
      <c r="D168" s="506"/>
      <c r="E168" s="507">
        <f>+'1.3.4 Coal3'!E168</f>
        <v>5.5357142857142865</v>
      </c>
      <c r="F168" s="507"/>
      <c r="G168" s="507">
        <f>+'1.3.4 Coal3'!G168</f>
        <v>2.1285714285714286</v>
      </c>
      <c r="H168" s="1160">
        <f>'1.3.4 Coal3'!H168</f>
        <v>8.7514813084545953</v>
      </c>
      <c r="I168" s="507">
        <f>+'1.3.4 Coal3'!I168</f>
        <v>2.5714285714285712</v>
      </c>
      <c r="J168" s="507">
        <f>+'1.3.4 Coal3'!J168</f>
        <v>16.171498229852869</v>
      </c>
      <c r="K168" s="507">
        <f>+'1.3.4 Coal3'!K168</f>
        <v>35.86156226644701</v>
      </c>
      <c r="L168" s="507"/>
      <c r="M168" s="507"/>
      <c r="N168" s="507">
        <f>+'1.3.4 Coal3'!N168</f>
        <v>0.74022857142857124</v>
      </c>
      <c r="O168" s="507"/>
      <c r="P168" s="507"/>
      <c r="Q168" s="1209">
        <f t="shared" si="5"/>
        <v>55.344717639157025</v>
      </c>
      <c r="R168" s="506">
        <f>+'1.3.4 Coal3'!R168</f>
        <v>65.073902635683993</v>
      </c>
      <c r="S168" s="506">
        <f>+'1.3.4 Coal3'!S168</f>
        <v>16.409297364316018</v>
      </c>
      <c r="T168" s="506">
        <f>+'1.3.4 Coal3'!T168</f>
        <v>81.483200000000011</v>
      </c>
    </row>
    <row r="169" spans="1:20" x14ac:dyDescent="0.45">
      <c r="A169" s="14">
        <v>1859</v>
      </c>
      <c r="B169" s="506">
        <f>+'1.3.4 Coal3'!B169</f>
        <v>84.023200000000003</v>
      </c>
      <c r="C169" s="506"/>
      <c r="D169" s="506"/>
      <c r="E169" s="507">
        <f>+'1.3.4 Coal3'!E169</f>
        <v>5.7142857142857153</v>
      </c>
      <c r="F169" s="507"/>
      <c r="G169" s="507">
        <f>+'1.3.4 Coal3'!G169</f>
        <v>2.2714285714285714</v>
      </c>
      <c r="H169" s="1160">
        <f>'1.3.4 Coal3'!H169</f>
        <v>9.0298346807081966</v>
      </c>
      <c r="I169" s="507">
        <f>+'1.3.4 Coal3'!I169</f>
        <v>2.6285714285714281</v>
      </c>
      <c r="J169" s="507">
        <f>+'1.3.4 Coal3'!J169</f>
        <v>16.479700147304154</v>
      </c>
      <c r="K169" s="507">
        <f>+'1.3.4 Coal3'!K169</f>
        <v>36.857722068539324</v>
      </c>
      <c r="L169" s="507"/>
      <c r="M169" s="507"/>
      <c r="N169" s="507">
        <f>+'1.3.4 Coal3'!N169</f>
        <v>0.78377142857142834</v>
      </c>
      <c r="O169" s="507"/>
      <c r="P169" s="507"/>
      <c r="Q169" s="1209">
        <f t="shared" si="5"/>
        <v>56.749765072986335</v>
      </c>
      <c r="R169" s="506">
        <f>+'1.3.4 Coal3'!R169</f>
        <v>66.86117975231025</v>
      </c>
      <c r="S169" s="506">
        <f>+'1.3.4 Coal3'!S169</f>
        <v>17.162020247689753</v>
      </c>
      <c r="T169" s="506">
        <f>+'1.3.4 Coal3'!T169</f>
        <v>84.023200000000003</v>
      </c>
    </row>
    <row r="170" spans="1:20" x14ac:dyDescent="0.45">
      <c r="A170" s="14">
        <v>1860</v>
      </c>
      <c r="B170" s="506">
        <f>+'1.3.4 Coal3'!B170</f>
        <v>89.204799999999992</v>
      </c>
      <c r="C170" s="506"/>
      <c r="D170" s="506"/>
      <c r="E170" s="507">
        <f>+'1.3.4 Coal3'!E170</f>
        <v>5.8928571428571441</v>
      </c>
      <c r="F170" s="507"/>
      <c r="G170" s="507">
        <f>+'1.3.4 Coal3'!G170</f>
        <v>2.4142857142857141</v>
      </c>
      <c r="H170" s="1160">
        <f>'1.3.4 Coal3'!H170</f>
        <v>9.310199162413257</v>
      </c>
      <c r="I170" s="507">
        <f>+'1.3.4 Coal3'!I170</f>
        <v>2.6857142857142851</v>
      </c>
      <c r="J170" s="507">
        <f>+'1.3.4 Coal3'!J170</f>
        <v>17.498992309519224</v>
      </c>
      <c r="K170" s="507">
        <f>+'1.3.4 Coal3'!K170</f>
        <v>37.85187076118018</v>
      </c>
      <c r="L170" s="507"/>
      <c r="M170" s="507"/>
      <c r="N170" s="507">
        <f>+'1.3.4 Coal3'!N170</f>
        <v>0.82731428571428545</v>
      </c>
      <c r="O170" s="507"/>
      <c r="P170" s="507"/>
      <c r="Q170" s="1209">
        <f t="shared" si="5"/>
        <v>58.863891642127975</v>
      </c>
      <c r="R170" s="506">
        <f>+'1.3.4 Coal3'!R170</f>
        <v>69.357536004248843</v>
      </c>
      <c r="S170" s="506">
        <f>+'1.3.4 Coal3'!S170</f>
        <v>19.847263995751149</v>
      </c>
      <c r="T170" s="506">
        <f>+'1.3.4 Coal3'!T170</f>
        <v>89.204799999999992</v>
      </c>
    </row>
    <row r="171" spans="1:20" x14ac:dyDescent="0.45">
      <c r="A171" s="14">
        <v>1861</v>
      </c>
      <c r="B171" s="506">
        <f>+'1.3.4 Coal3'!B171</f>
        <v>90.525599999999997</v>
      </c>
      <c r="C171" s="506"/>
      <c r="D171" s="506"/>
      <c r="E171" s="507">
        <f>+'1.3.4 Coal3'!E171</f>
        <v>6.071428571428573</v>
      </c>
      <c r="F171" s="507"/>
      <c r="G171" s="507">
        <f>+'1.3.4 Coal3'!G171</f>
        <v>2.5571428571428569</v>
      </c>
      <c r="H171" s="1160">
        <f>'1.3.4 Coal3'!H171</f>
        <v>9.592574753569771</v>
      </c>
      <c r="I171" s="507">
        <f>+'1.3.4 Coal3'!I171</f>
        <v>2.742857142857142</v>
      </c>
      <c r="J171" s="507">
        <f>+'1.3.4 Coal3'!J171</f>
        <v>17.485384630135957</v>
      </c>
      <c r="K171" s="507">
        <f>+'1.3.4 Coal3'!K171</f>
        <v>38.844008344369584</v>
      </c>
      <c r="L171" s="507"/>
      <c r="M171" s="507"/>
      <c r="N171" s="507">
        <f>+'1.3.4 Coal3'!N171</f>
        <v>0.87085714285714255</v>
      </c>
      <c r="O171" s="507"/>
      <c r="P171" s="507"/>
      <c r="Q171" s="1209">
        <f t="shared" si="5"/>
        <v>59.943107260219826</v>
      </c>
      <c r="R171" s="506">
        <f>+'1.3.4 Coal3'!R171</f>
        <v>70.818981305137626</v>
      </c>
      <c r="S171" s="506">
        <f>+'1.3.4 Coal3'!S171</f>
        <v>19.706618694862371</v>
      </c>
      <c r="T171" s="506">
        <f>+'1.3.4 Coal3'!T171</f>
        <v>90.525599999999997</v>
      </c>
    </row>
    <row r="172" spans="1:20" x14ac:dyDescent="0.45">
      <c r="A172" s="14">
        <v>1862</v>
      </c>
      <c r="B172" s="506">
        <f>+'1.3.4 Coal3'!B172</f>
        <v>92.456000000000003</v>
      </c>
      <c r="C172" s="506"/>
      <c r="D172" s="506"/>
      <c r="E172" s="507">
        <f>+'1.3.4 Coal3'!E172</f>
        <v>6.2500000000000018</v>
      </c>
      <c r="F172" s="507"/>
      <c r="G172" s="507">
        <f>+'1.3.4 Coal3'!G172</f>
        <v>2.6999999999999997</v>
      </c>
      <c r="H172" s="1160">
        <f>'1.3.4 Coal3'!H172</f>
        <v>9.8769614541777386</v>
      </c>
      <c r="I172" s="507">
        <f>+'1.3.4 Coal3'!I172</f>
        <v>2.7999999999999989</v>
      </c>
      <c r="J172" s="507">
        <f>+'1.3.4 Coal3'!J172</f>
        <v>17.621715723882499</v>
      </c>
      <c r="K172" s="507">
        <f>+'1.3.4 Coal3'!K172</f>
        <v>39.834134818107529</v>
      </c>
      <c r="L172" s="507"/>
      <c r="M172" s="507"/>
      <c r="N172" s="507">
        <f>+'1.3.4 Coal3'!N172</f>
        <v>0.91439999999999966</v>
      </c>
      <c r="O172" s="507"/>
      <c r="P172" s="507"/>
      <c r="Q172" s="1209">
        <f t="shared" si="5"/>
        <v>61.170250541990029</v>
      </c>
      <c r="R172" s="506">
        <f>+'1.3.4 Coal3'!R172</f>
        <v>72.428354269704784</v>
      </c>
      <c r="S172" s="506">
        <f>+'1.3.4 Coal3'!S172</f>
        <v>20.02764573029522</v>
      </c>
      <c r="T172" s="506">
        <f>+'1.3.4 Coal3'!T172</f>
        <v>92.456000000000003</v>
      </c>
    </row>
    <row r="173" spans="1:20" x14ac:dyDescent="0.45">
      <c r="A173" s="14">
        <v>1863</v>
      </c>
      <c r="B173" s="506">
        <f>+'1.3.4 Coal3'!B173</f>
        <v>97.129599999999996</v>
      </c>
      <c r="C173" s="506"/>
      <c r="D173" s="506"/>
      <c r="E173" s="507">
        <f>+'1.3.4 Coal3'!E173</f>
        <v>6.4285714285714306</v>
      </c>
      <c r="F173" s="507"/>
      <c r="G173" s="507">
        <f>+'1.3.4 Coal3'!G173</f>
        <v>2.8428571428571425</v>
      </c>
      <c r="H173" s="1160">
        <f>'1.3.4 Coal3'!H173</f>
        <v>10.163359264237164</v>
      </c>
      <c r="I173" s="507">
        <f>+'1.3.4 Coal3'!I173</f>
        <v>2.8571428571428559</v>
      </c>
      <c r="J173" s="507">
        <f>+'1.3.4 Coal3'!J173</f>
        <v>18.581557099894528</v>
      </c>
      <c r="K173" s="507">
        <f>+'1.3.4 Coal3'!K173</f>
        <v>40.822250182394022</v>
      </c>
      <c r="L173" s="507"/>
      <c r="M173" s="507"/>
      <c r="N173" s="507">
        <f>+'1.3.4 Coal3'!N173</f>
        <v>0.95794285714285676</v>
      </c>
      <c r="O173" s="507"/>
      <c r="P173" s="507"/>
      <c r="Q173" s="1209">
        <f t="shared" si="5"/>
        <v>63.218892996574262</v>
      </c>
      <c r="R173" s="506">
        <f>+'1.3.4 Coal3'!R173</f>
        <v>74.859226407085941</v>
      </c>
      <c r="S173" s="506">
        <f>+'1.3.4 Coal3'!S173</f>
        <v>22.270373592914055</v>
      </c>
      <c r="T173" s="506">
        <f>+'1.3.4 Coal3'!T173</f>
        <v>97.129599999999996</v>
      </c>
    </row>
    <row r="174" spans="1:20" x14ac:dyDescent="0.45">
      <c r="A174" s="14">
        <v>1864</v>
      </c>
      <c r="B174" s="506">
        <f>+'1.3.4 Coal3'!B174</f>
        <v>100.584</v>
      </c>
      <c r="C174" s="506"/>
      <c r="D174" s="506"/>
      <c r="E174" s="507">
        <f>+'1.3.4 Coal3'!E174</f>
        <v>6.6071428571428594</v>
      </c>
      <c r="F174" s="507"/>
      <c r="G174" s="507">
        <f>+'1.3.4 Coal3'!G174</f>
        <v>2.9857142857142853</v>
      </c>
      <c r="H174" s="1160">
        <f>'1.3.4 Coal3'!H174</f>
        <v>10.451768183748046</v>
      </c>
      <c r="I174" s="507">
        <f>+'1.3.4 Coal3'!I174</f>
        <v>2.9142857142857128</v>
      </c>
      <c r="J174" s="507">
        <f>+'1.3.4 Coal3'!J174</f>
        <v>19.053012937158218</v>
      </c>
      <c r="K174" s="507">
        <f>+'1.3.4 Coal3'!K174</f>
        <v>41.808354437229056</v>
      </c>
      <c r="L174" s="507"/>
      <c r="M174" s="507"/>
      <c r="N174" s="507">
        <f>+'1.3.4 Coal3'!N174</f>
        <v>1.0014857142857139</v>
      </c>
      <c r="O174" s="507"/>
      <c r="P174" s="507"/>
      <c r="Q174" s="1209">
        <f t="shared" si="5"/>
        <v>64.777138802958703</v>
      </c>
      <c r="R174" s="506">
        <f>+'1.3.4 Coal3'!R174</f>
        <v>76.799701896267351</v>
      </c>
      <c r="S174" s="506">
        <f>+'1.3.4 Coal3'!S174</f>
        <v>23.784298103732652</v>
      </c>
      <c r="T174" s="506">
        <f>+'1.3.4 Coal3'!T174</f>
        <v>100.584</v>
      </c>
    </row>
    <row r="175" spans="1:20" x14ac:dyDescent="0.45">
      <c r="A175" s="14">
        <v>1865</v>
      </c>
      <c r="B175" s="506">
        <f>+'1.3.4 Coal3'!B175</f>
        <v>103.8352</v>
      </c>
      <c r="C175" s="506"/>
      <c r="D175" s="506"/>
      <c r="E175" s="507">
        <f>+'1.3.4 Coal3'!E175</f>
        <v>6.7857142857142883</v>
      </c>
      <c r="F175" s="507"/>
      <c r="G175" s="507">
        <f>+'1.3.4 Coal3'!G175</f>
        <v>3.1285714285714281</v>
      </c>
      <c r="H175" s="1160">
        <f>'1.3.4 Coal3'!H175</f>
        <v>10.74218821271038</v>
      </c>
      <c r="I175" s="507">
        <f>+'1.3.4 Coal3'!I175</f>
        <v>2.9714285714285698</v>
      </c>
      <c r="J175" s="507">
        <f>+'1.3.4 Coal3'!J175</f>
        <v>19.515757445922528</v>
      </c>
      <c r="K175" s="507">
        <f>+'1.3.4 Coal3'!K175</f>
        <v>42.792447582612638</v>
      </c>
      <c r="L175" s="507"/>
      <c r="M175" s="507"/>
      <c r="N175" s="507">
        <f>+'1.3.4 Coal3'!N175</f>
        <v>1.0450285714285712</v>
      </c>
      <c r="O175" s="507"/>
      <c r="P175" s="507"/>
      <c r="Q175" s="1209">
        <f t="shared" si="5"/>
        <v>66.324662171392319</v>
      </c>
      <c r="R175" s="506">
        <f>+'1.3.4 Coal3'!R175</f>
        <v>78.729454947497899</v>
      </c>
      <c r="S175" s="506">
        <f>+'1.3.4 Coal3'!S175</f>
        <v>25.105745052502101</v>
      </c>
      <c r="T175" s="506">
        <f>+'1.3.4 Coal3'!T175</f>
        <v>103.8352</v>
      </c>
    </row>
    <row r="176" spans="1:20" x14ac:dyDescent="0.45">
      <c r="A176" s="14">
        <v>1866</v>
      </c>
      <c r="B176" s="506">
        <f>+'1.3.4 Coal3'!B176</f>
        <v>106.4768</v>
      </c>
      <c r="C176" s="506"/>
      <c r="D176" s="506"/>
      <c r="E176" s="507">
        <f>+'1.3.4 Coal3'!E176</f>
        <v>6.9642857142857171</v>
      </c>
      <c r="F176" s="507"/>
      <c r="G176" s="507">
        <f>+'1.3.4 Coal3'!G176</f>
        <v>3.2714285714285709</v>
      </c>
      <c r="H176" s="1160">
        <f>'1.3.4 Coal3'!H176</f>
        <v>11.034619351124176</v>
      </c>
      <c r="I176" s="507">
        <f>+'1.3.4 Coal3'!I176</f>
        <v>3.0285714285714267</v>
      </c>
      <c r="J176" s="507">
        <f>+'1.3.4 Coal3'!J176</f>
        <v>19.724504550764888</v>
      </c>
      <c r="K176" s="507">
        <f>+'1.3.4 Coal3'!K176</f>
        <v>43.774529618544761</v>
      </c>
      <c r="L176" s="507"/>
      <c r="M176" s="507"/>
      <c r="N176" s="507">
        <f>+'1.3.4 Coal3'!N176</f>
        <v>1.0885714285714283</v>
      </c>
      <c r="O176" s="507"/>
      <c r="P176" s="507"/>
      <c r="Q176" s="1209">
        <f t="shared" si="5"/>
        <v>67.616177026452505</v>
      </c>
      <c r="R176" s="506">
        <f>+'1.3.4 Coal3'!R176</f>
        <v>80.403199485355017</v>
      </c>
      <c r="S176" s="506">
        <f>+'1.3.4 Coal3'!S176</f>
        <v>26.07360051464498</v>
      </c>
      <c r="T176" s="506">
        <f>+'1.3.4 Coal3'!T176</f>
        <v>106.4768</v>
      </c>
    </row>
    <row r="177" spans="1:20" x14ac:dyDescent="0.45">
      <c r="A177" s="14">
        <v>1867</v>
      </c>
      <c r="B177" s="506">
        <f>+'1.3.4 Coal3'!B177</f>
        <v>108.0008</v>
      </c>
      <c r="C177" s="506"/>
      <c r="D177" s="506"/>
      <c r="E177" s="507">
        <f>+'1.3.4 Coal3'!E177</f>
        <v>7.1428571428571459</v>
      </c>
      <c r="F177" s="507"/>
      <c r="G177" s="507">
        <f>+'1.3.4 Coal3'!G177</f>
        <v>3.4142857142857137</v>
      </c>
      <c r="H177" s="1160">
        <f>'1.3.4 Coal3'!H177</f>
        <v>11.329061598989421</v>
      </c>
      <c r="I177" s="507">
        <f>+'1.3.4 Coal3'!I177</f>
        <v>3.0857142857142836</v>
      </c>
      <c r="J177" s="507">
        <f>+'1.3.4 Coal3'!J177</f>
        <v>19.733333291434171</v>
      </c>
      <c r="K177" s="507">
        <f>+'1.3.4 Coal3'!K177</f>
        <v>44.754600545025426</v>
      </c>
      <c r="L177" s="507"/>
      <c r="M177" s="507"/>
      <c r="N177" s="507">
        <f>+'1.3.4 Coal3'!N177</f>
        <v>1.1321142857142856</v>
      </c>
      <c r="O177" s="507"/>
      <c r="P177" s="507"/>
      <c r="Q177" s="1209">
        <f t="shared" si="5"/>
        <v>68.705762407888159</v>
      </c>
      <c r="R177" s="506">
        <f>+'1.3.4 Coal3'!R177</f>
        <v>81.875014549587632</v>
      </c>
      <c r="S177" s="506">
        <f>+'1.3.4 Coal3'!S177</f>
        <v>26.125785450412366</v>
      </c>
      <c r="T177" s="506">
        <f>+'1.3.4 Coal3'!T177</f>
        <v>108.0008</v>
      </c>
    </row>
    <row r="178" spans="1:20" x14ac:dyDescent="0.45">
      <c r="A178" s="14">
        <v>1868</v>
      </c>
      <c r="B178" s="506">
        <f>+'1.3.4 Coal3'!B178</f>
        <v>109.8296</v>
      </c>
      <c r="C178" s="506"/>
      <c r="D178" s="506"/>
      <c r="E178" s="506">
        <f>+'1.3.4 Coal3'!E178</f>
        <v>7.3214285714285747</v>
      </c>
      <c r="F178" s="506"/>
      <c r="G178" s="506">
        <f>+'1.3.4 Coal3'!G178</f>
        <v>3.5571428571428565</v>
      </c>
      <c r="H178" s="1160">
        <f>'1.3.4 Coal3'!H178</f>
        <v>11.625514956306125</v>
      </c>
      <c r="I178" s="506">
        <f>+'1.3.4 Coal3'!I178</f>
        <v>3.1428571428571406</v>
      </c>
      <c r="J178" s="506">
        <f>+'1.3.4 Coal3'!J178</f>
        <v>19.836586958437447</v>
      </c>
      <c r="K178" s="506">
        <f>+'1.3.4 Coal3'!K178</f>
        <v>45.732660362054638</v>
      </c>
      <c r="L178" s="506"/>
      <c r="M178" s="506"/>
      <c r="N178" s="506">
        <f>+'1.3.4 Coal3'!N178</f>
        <v>1.1756571428571427</v>
      </c>
      <c r="O178" s="506"/>
      <c r="P178" s="506"/>
      <c r="Q178" s="603">
        <f t="shared" si="5"/>
        <v>69.887761606206368</v>
      </c>
      <c r="R178" s="506">
        <f>+'1.3.4 Coal3'!R178</f>
        <v>83.439243430702788</v>
      </c>
      <c r="S178" s="506">
        <f>+'1.3.4 Coal3'!S178</f>
        <v>26.390356569297211</v>
      </c>
      <c r="T178" s="506">
        <f>+'1.3.4 Coal3'!T178</f>
        <v>109.8296</v>
      </c>
    </row>
    <row r="179" spans="1:20" x14ac:dyDescent="0.45">
      <c r="A179" s="14">
        <v>1869</v>
      </c>
      <c r="B179" s="506">
        <f>+'1.3.4 Coal3'!B179</f>
        <v>112.5728</v>
      </c>
      <c r="C179" s="506"/>
      <c r="D179" s="506"/>
      <c r="E179" s="507">
        <f>+'1.3.4 Coal3'!E179</f>
        <v>7.5</v>
      </c>
      <c r="F179" s="507"/>
      <c r="G179" s="507">
        <f>+'1.3.4 Coal3'!G179</f>
        <v>3.7</v>
      </c>
      <c r="H179" s="1160">
        <f>'1.3.4 Coal3'!H179</f>
        <v>11.923979423074277</v>
      </c>
      <c r="I179" s="507">
        <f>+'1.3.4 Coal3'!I179</f>
        <v>3.2</v>
      </c>
      <c r="J179" s="507">
        <f>+'1.3.4 Coal3'!J179</f>
        <v>20.32</v>
      </c>
      <c r="K179" s="507">
        <f>+'1.3.4 Coal3'!K179</f>
        <v>46.708709069632377</v>
      </c>
      <c r="L179" s="507"/>
      <c r="M179" s="507"/>
      <c r="N179" s="507">
        <f>+'1.3.4 Coal3'!N179</f>
        <v>1.2192000000000001</v>
      </c>
      <c r="O179" s="507"/>
      <c r="P179" s="507"/>
      <c r="Q179" s="1209">
        <f t="shared" si="5"/>
        <v>71.447909069632374</v>
      </c>
      <c r="R179" s="506">
        <f>+'1.3.4 Coal3'!R179</f>
        <v>85.381620576925727</v>
      </c>
      <c r="S179" s="506">
        <f>+'1.3.4 Coal3'!S179</f>
        <v>27.191179423074274</v>
      </c>
      <c r="T179" s="506">
        <f>+'1.3.4 Coal3'!T179</f>
        <v>112.5728</v>
      </c>
    </row>
    <row r="180" spans="1:20" x14ac:dyDescent="0.45">
      <c r="A180" s="14">
        <v>1870</v>
      </c>
      <c r="B180" s="506">
        <f>+'1.3.4 Coal3'!B180</f>
        <v>117.24640000000001</v>
      </c>
      <c r="C180" s="506"/>
      <c r="D180" s="506"/>
      <c r="E180" s="507">
        <f>+'1.3.4 Coal3'!E180</f>
        <v>7.6888888888888891</v>
      </c>
      <c r="F180" s="507"/>
      <c r="G180" s="507">
        <f>+'1.3.4 Coal3'!G180</f>
        <v>3.8000000000000003</v>
      </c>
      <c r="H180" s="1160">
        <f>'1.3.4 Coal3'!H180</f>
        <v>12.020583817177162</v>
      </c>
      <c r="I180" s="507">
        <f>+'1.3.4 Coal3'!I180</f>
        <v>3.3833333333333333</v>
      </c>
      <c r="J180" s="507">
        <f>+'1.3.4 Coal3'!J180</f>
        <v>21.111732899397261</v>
      </c>
      <c r="K180" s="507">
        <f>+'1.3.4 Coal3'!K180</f>
        <v>47.407498300597013</v>
      </c>
      <c r="L180" s="507"/>
      <c r="M180" s="507"/>
      <c r="N180" s="507">
        <f>+'1.3.4 Coal3'!N180</f>
        <v>1.2361333333333333</v>
      </c>
      <c r="O180" s="507"/>
      <c r="P180" s="507"/>
      <c r="Q180" s="1209">
        <f t="shared" si="5"/>
        <v>73.138697866660934</v>
      </c>
      <c r="R180" s="506">
        <f>+'1.3.4 Coal3'!R180</f>
        <v>87.429504637775651</v>
      </c>
      <c r="S180" s="506">
        <f>+'1.3.4 Coal3'!S180</f>
        <v>29.816895362224358</v>
      </c>
      <c r="T180" s="506">
        <f>+'1.3.4 Coal3'!T180</f>
        <v>117.24640000000001</v>
      </c>
    </row>
    <row r="181" spans="1:20" x14ac:dyDescent="0.45">
      <c r="A181" s="14">
        <v>1871</v>
      </c>
      <c r="B181" s="506">
        <f>+'1.3.4 Coal3'!B181</f>
        <v>123.1392</v>
      </c>
      <c r="C181" s="506"/>
      <c r="D181" s="506"/>
      <c r="E181" s="507">
        <f>+'1.3.4 Coal3'!E181</f>
        <v>7.8777777777777782</v>
      </c>
      <c r="F181" s="507"/>
      <c r="G181" s="507">
        <f>+'1.3.4 Coal3'!G181</f>
        <v>3.9000000000000004</v>
      </c>
      <c r="H181" s="1160">
        <f>'1.3.4 Coal3'!H181</f>
        <v>12.11944426354931</v>
      </c>
      <c r="I181" s="507">
        <f>+'1.3.4 Coal3'!I181</f>
        <v>3.5666666666666664</v>
      </c>
      <c r="J181" s="507">
        <f>+'1.3.4 Coal3'!J181</f>
        <v>22.197166455164545</v>
      </c>
      <c r="K181" s="507">
        <f>+'1.3.4 Coal3'!K181</f>
        <v>48.104031479292402</v>
      </c>
      <c r="L181" s="507"/>
      <c r="M181" s="507"/>
      <c r="N181" s="507">
        <f>+'1.3.4 Coal3'!N181</f>
        <v>1.2530666666666666</v>
      </c>
      <c r="O181" s="507"/>
      <c r="P181" s="507"/>
      <c r="Q181" s="1209">
        <f t="shared" si="5"/>
        <v>75.120931267790283</v>
      </c>
      <c r="R181" s="506">
        <f>+'1.3.4 Coal3'!R181</f>
        <v>89.76883330272635</v>
      </c>
      <c r="S181" s="506">
        <f>+'1.3.4 Coal3'!S181</f>
        <v>33.370366697273653</v>
      </c>
      <c r="T181" s="506">
        <f>+'1.3.4 Coal3'!T181</f>
        <v>123.1392</v>
      </c>
    </row>
    <row r="182" spans="1:20" x14ac:dyDescent="0.45">
      <c r="A182" s="14">
        <v>1872</v>
      </c>
      <c r="B182" s="506">
        <f>+'1.3.4 Coal3'!B182</f>
        <v>127</v>
      </c>
      <c r="C182" s="506"/>
      <c r="D182" s="506"/>
      <c r="E182" s="507">
        <f>+'1.3.4 Coal3'!E182</f>
        <v>8.0666666666666664</v>
      </c>
      <c r="F182" s="507"/>
      <c r="G182" s="507">
        <f>+'1.3.4 Coal3'!G182</f>
        <v>4</v>
      </c>
      <c r="H182" s="1160">
        <f>'1.3.4 Coal3'!H182</f>
        <v>12.220560762190718</v>
      </c>
      <c r="I182" s="507">
        <f>+'1.3.4 Coal3'!I182</f>
        <v>3.7499999999999996</v>
      </c>
      <c r="J182" s="507">
        <f>+'1.3.4 Coal3'!J182</f>
        <v>22.925477686295633</v>
      </c>
      <c r="K182" s="507">
        <f>+'1.3.4 Coal3'!K182</f>
        <v>48.798308605718518</v>
      </c>
      <c r="L182" s="507"/>
      <c r="M182" s="507"/>
      <c r="N182" s="507">
        <f>+'1.3.4 Coal3'!N182</f>
        <v>1.2699999999999998</v>
      </c>
      <c r="O182" s="507"/>
      <c r="P182" s="507"/>
      <c r="Q182" s="1209">
        <f t="shared" si="5"/>
        <v>76.74378629201415</v>
      </c>
      <c r="R182" s="506">
        <f>+'1.3.4 Coal3'!R182</f>
        <v>91.748783590771581</v>
      </c>
      <c r="S182" s="506">
        <f>+'1.3.4 Coal3'!S182</f>
        <v>35.251216409228419</v>
      </c>
      <c r="T182" s="506">
        <f>+'1.3.4 Coal3'!T182</f>
        <v>127</v>
      </c>
    </row>
    <row r="183" spans="1:20" x14ac:dyDescent="0.45">
      <c r="A183" s="14">
        <v>1873</v>
      </c>
      <c r="B183" s="506">
        <f>+'1.3.4 Coal3'!B183</f>
        <v>129.94640000000001</v>
      </c>
      <c r="C183" s="506"/>
      <c r="D183" s="506"/>
      <c r="E183" s="507">
        <f>+'1.3.4 Coal3'!E183</f>
        <v>8.2555555555555546</v>
      </c>
      <c r="F183" s="507"/>
      <c r="G183" s="507">
        <f>+'1.3.4 Coal3'!G183</f>
        <v>4.0999999999999996</v>
      </c>
      <c r="H183" s="1160">
        <f>'1.3.4 Coal3'!H183</f>
        <v>12.323933313101389</v>
      </c>
      <c r="I183" s="507">
        <f>+'1.3.4 Coal3'!I183</f>
        <v>3.9333333333333327</v>
      </c>
      <c r="J183" s="507">
        <f>+'1.3.4 Coal3'!J183</f>
        <v>24.129353925575096</v>
      </c>
      <c r="K183" s="507">
        <f>+'1.3.4 Coal3'!K183</f>
        <v>49.490329679875387</v>
      </c>
      <c r="L183" s="507"/>
      <c r="M183" s="507"/>
      <c r="N183" s="507">
        <f>+'1.3.4 Coal3'!N183</f>
        <v>1.286933333333333</v>
      </c>
      <c r="O183" s="507"/>
      <c r="P183" s="507"/>
      <c r="Q183" s="1209">
        <f t="shared" si="5"/>
        <v>78.83995027211715</v>
      </c>
      <c r="R183" s="506">
        <f>+'1.3.4 Coal3'!R183</f>
        <v>94.202042834695931</v>
      </c>
      <c r="S183" s="506">
        <f>+'1.3.4 Coal3'!S183</f>
        <v>35.744357165304081</v>
      </c>
      <c r="T183" s="506">
        <f>+'1.3.4 Coal3'!T183</f>
        <v>129.94640000000001</v>
      </c>
    </row>
    <row r="184" spans="1:20" x14ac:dyDescent="0.45">
      <c r="A184" s="14">
        <v>1874</v>
      </c>
      <c r="B184" s="506">
        <f>+'1.3.4 Coal3'!B184</f>
        <v>129.1336</v>
      </c>
      <c r="C184" s="506"/>
      <c r="D184" s="506"/>
      <c r="E184" s="507">
        <f>+'1.3.4 Coal3'!E184</f>
        <v>8.4444444444444429</v>
      </c>
      <c r="F184" s="507"/>
      <c r="G184" s="507">
        <f>+'1.3.4 Coal3'!G184</f>
        <v>4.1999999999999993</v>
      </c>
      <c r="H184" s="1160">
        <f>'1.3.4 Coal3'!H184</f>
        <v>12.429561916281319</v>
      </c>
      <c r="I184" s="507">
        <f>+'1.3.4 Coal3'!I184</f>
        <v>4.1166666666666663</v>
      </c>
      <c r="J184" s="507">
        <f>+'1.3.4 Coal3'!J184</f>
        <v>23.664761309737976</v>
      </c>
      <c r="K184" s="507">
        <f>+'1.3.4 Coal3'!K184</f>
        <v>50.180094701762989</v>
      </c>
      <c r="L184" s="507"/>
      <c r="M184" s="507"/>
      <c r="N184" s="507">
        <f>+'1.3.4 Coal3'!N184</f>
        <v>1.3038666666666663</v>
      </c>
      <c r="O184" s="507"/>
      <c r="P184" s="507"/>
      <c r="Q184" s="1209">
        <f t="shared" si="5"/>
        <v>79.26538934483429</v>
      </c>
      <c r="R184" s="506">
        <f>+'1.3.4 Coal3'!R184</f>
        <v>94.984577171234434</v>
      </c>
      <c r="S184" s="506">
        <f>+'1.3.4 Coal3'!S184</f>
        <v>34.149022828765567</v>
      </c>
      <c r="T184" s="506">
        <f>+'1.3.4 Coal3'!T184</f>
        <v>129.1336</v>
      </c>
    </row>
    <row r="185" spans="1:20" x14ac:dyDescent="0.45">
      <c r="A185" s="14">
        <v>1875</v>
      </c>
      <c r="B185" s="506">
        <f>+'1.3.4 Coal3'!B185</f>
        <v>135.43280000000001</v>
      </c>
      <c r="C185" s="506"/>
      <c r="D185" s="506"/>
      <c r="E185" s="507">
        <f>+'1.3.4 Coal3'!E185</f>
        <v>8.6333333333333311</v>
      </c>
      <c r="F185" s="507"/>
      <c r="G185" s="507">
        <f>+'1.3.4 Coal3'!G185</f>
        <v>4.2999999999999989</v>
      </c>
      <c r="H185" s="1160">
        <f>'1.3.4 Coal3'!H185</f>
        <v>12.537446571730513</v>
      </c>
      <c r="I185" s="507">
        <f>+'1.3.4 Coal3'!I185</f>
        <v>4.3</v>
      </c>
      <c r="J185" s="507">
        <f>+'1.3.4 Coal3'!J185</f>
        <v>24.978443990324774</v>
      </c>
      <c r="K185" s="507">
        <f>+'1.3.4 Coal3'!K185</f>
        <v>50.867603671381325</v>
      </c>
      <c r="L185" s="507"/>
      <c r="M185" s="507"/>
      <c r="N185" s="507">
        <f>+'1.3.4 Coal3'!N185</f>
        <v>1.3207999999999995</v>
      </c>
      <c r="O185" s="507"/>
      <c r="P185" s="507"/>
      <c r="Q185" s="1209">
        <f t="shared" si="5"/>
        <v>81.466847661706097</v>
      </c>
      <c r="R185" s="506">
        <f>+'1.3.4 Coal3'!R185</f>
        <v>97.543130751927606</v>
      </c>
      <c r="S185" s="506">
        <f>+'1.3.4 Coal3'!S185</f>
        <v>37.889669248072408</v>
      </c>
      <c r="T185" s="506">
        <f>+'1.3.4 Coal3'!T185</f>
        <v>135.43280000000001</v>
      </c>
    </row>
    <row r="186" spans="1:20" x14ac:dyDescent="0.45">
      <c r="A186" s="14">
        <v>1876</v>
      </c>
      <c r="B186" s="506">
        <f>+'1.3.4 Coal3'!B186</f>
        <v>136.2456</v>
      </c>
      <c r="C186" s="506"/>
      <c r="D186" s="506"/>
      <c r="E186" s="507">
        <f>+'1.3.4 Coal3'!E186</f>
        <v>8.8222222222222193</v>
      </c>
      <c r="F186" s="507"/>
      <c r="G186" s="507">
        <f>+'1.3.4 Coal3'!G186</f>
        <v>4.3999999999999986</v>
      </c>
      <c r="H186" s="1160">
        <f>'1.3.4 Coal3'!H186</f>
        <v>12.647587279448965</v>
      </c>
      <c r="I186" s="507">
        <f>+'1.3.4 Coal3'!I186</f>
        <v>4.4833333333333334</v>
      </c>
      <c r="J186" s="507">
        <f>+'1.3.4 Coal3'!J186</f>
        <v>24.659671903102325</v>
      </c>
      <c r="K186" s="507">
        <f>+'1.3.4 Coal3'!K186</f>
        <v>51.552856588730407</v>
      </c>
      <c r="L186" s="507"/>
      <c r="M186" s="507"/>
      <c r="N186" s="507">
        <f>+'1.3.4 Coal3'!N186</f>
        <v>1.337733333333333</v>
      </c>
      <c r="O186" s="507"/>
      <c r="P186" s="507"/>
      <c r="Q186" s="1209">
        <f t="shared" si="5"/>
        <v>82.033595158499395</v>
      </c>
      <c r="R186" s="506">
        <f>+'1.3.4 Coal3'!R186</f>
        <v>98.466973512542253</v>
      </c>
      <c r="S186" s="506">
        <f>+'1.3.4 Coal3'!S186</f>
        <v>37.778626487457743</v>
      </c>
      <c r="T186" s="506">
        <f>+'1.3.4 Coal3'!T186</f>
        <v>136.2456</v>
      </c>
    </row>
    <row r="187" spans="1:20" x14ac:dyDescent="0.45">
      <c r="A187" s="14">
        <v>1877</v>
      </c>
      <c r="B187" s="506">
        <f>+'1.3.4 Coal3'!B187</f>
        <v>136.2456</v>
      </c>
      <c r="C187" s="506"/>
      <c r="D187" s="506"/>
      <c r="E187" s="507">
        <f>+'1.3.4 Coal3'!E187</f>
        <v>9.0111111111111075</v>
      </c>
      <c r="F187" s="507"/>
      <c r="G187" s="507">
        <f>+'1.3.4 Coal3'!G187</f>
        <v>4.4999999999999982</v>
      </c>
      <c r="H187" s="1160">
        <f>'1.3.4 Coal3'!H187</f>
        <v>12.759984039436681</v>
      </c>
      <c r="I187" s="507">
        <f>+'1.3.4 Coal3'!I187</f>
        <v>4.666666666666667</v>
      </c>
      <c r="J187" s="507">
        <f>+'1.3.4 Coal3'!J187</f>
        <v>24.854019064884959</v>
      </c>
      <c r="K187" s="507">
        <f>+'1.3.4 Coal3'!K187</f>
        <v>52.235853453810222</v>
      </c>
      <c r="L187" s="507"/>
      <c r="M187" s="507"/>
      <c r="N187" s="507">
        <f>+'1.3.4 Coal3'!N187</f>
        <v>1.3546666666666662</v>
      </c>
      <c r="O187" s="507"/>
      <c r="P187" s="507"/>
      <c r="Q187" s="1209">
        <f t="shared" si="5"/>
        <v>83.111205852028505</v>
      </c>
      <c r="R187" s="506">
        <f>+'1.3.4 Coal3'!R187</f>
        <v>99.901679469892713</v>
      </c>
      <c r="S187" s="506">
        <f>+'1.3.4 Coal3'!S187</f>
        <v>36.343920530107283</v>
      </c>
      <c r="T187" s="506">
        <f>+'1.3.4 Coal3'!T187</f>
        <v>136.2456</v>
      </c>
    </row>
    <row r="188" spans="1:20" x14ac:dyDescent="0.45">
      <c r="A188" s="14">
        <v>1878</v>
      </c>
      <c r="B188" s="506">
        <f>+'1.3.4 Coal3'!B188</f>
        <v>134.7216</v>
      </c>
      <c r="C188" s="506"/>
      <c r="D188" s="506"/>
      <c r="E188" s="507">
        <f>+'1.3.4 Coal3'!E188</f>
        <v>9.1999999999999957</v>
      </c>
      <c r="F188" s="507"/>
      <c r="G188" s="507">
        <f>+'1.3.4 Coal3'!G188</f>
        <v>4.5999999999999979</v>
      </c>
      <c r="H188" s="1160">
        <f>'1.3.4 Coal3'!H188</f>
        <v>12.874636851693653</v>
      </c>
      <c r="I188" s="507">
        <f>+'1.3.4 Coal3'!I188</f>
        <v>4.8500000000000005</v>
      </c>
      <c r="J188" s="507">
        <f>+'1.3.4 Coal3'!J188</f>
        <v>24.384699251020123</v>
      </c>
      <c r="K188" s="507">
        <f>+'1.3.4 Coal3'!K188</f>
        <v>52.916594266620784</v>
      </c>
      <c r="L188" s="507"/>
      <c r="M188" s="507"/>
      <c r="N188" s="507">
        <f>+'1.3.4 Coal3'!N188</f>
        <v>1.3715999999999995</v>
      </c>
      <c r="O188" s="507"/>
      <c r="P188" s="507"/>
      <c r="Q188" s="1209">
        <f t="shared" si="5"/>
        <v>83.52289351764091</v>
      </c>
      <c r="R188" s="506">
        <f>+'1.3.4 Coal3'!R188</f>
        <v>100.67046239932647</v>
      </c>
      <c r="S188" s="506">
        <f>+'1.3.4 Coal3'!S188</f>
        <v>34.051137600673528</v>
      </c>
      <c r="T188" s="506">
        <f>+'1.3.4 Coal3'!T188</f>
        <v>134.7216</v>
      </c>
    </row>
    <row r="189" spans="1:20" x14ac:dyDescent="0.45">
      <c r="A189" s="14">
        <v>1879</v>
      </c>
      <c r="B189" s="506">
        <f>+'1.3.4 Coal3'!B189</f>
        <v>135.83919999999998</v>
      </c>
      <c r="C189" s="506"/>
      <c r="D189" s="506"/>
      <c r="E189" s="507">
        <f>+'1.3.4 Coal3'!E189</f>
        <v>9.388888888888884</v>
      </c>
      <c r="F189" s="507"/>
      <c r="G189" s="507">
        <f>+'1.3.4 Coal3'!G189</f>
        <v>4.6999999999999975</v>
      </c>
      <c r="H189" s="1160">
        <f>'1.3.4 Coal3'!H189</f>
        <v>12.991545716219889</v>
      </c>
      <c r="I189" s="507">
        <f>+'1.3.4 Coal3'!I189</f>
        <v>5.0333333333333341</v>
      </c>
      <c r="J189" s="507">
        <f>+'1.3.4 Coal3'!J189</f>
        <v>24.331852466847163</v>
      </c>
      <c r="K189" s="507">
        <f>+'1.3.4 Coal3'!K189</f>
        <v>53.595079027162072</v>
      </c>
      <c r="L189" s="507"/>
      <c r="M189" s="507"/>
      <c r="N189" s="507">
        <f>+'1.3.4 Coal3'!N189</f>
        <v>1.3885333333333327</v>
      </c>
      <c r="O189" s="507"/>
      <c r="P189" s="507"/>
      <c r="Q189" s="1209">
        <f t="shared" si="5"/>
        <v>84.348798160675898</v>
      </c>
      <c r="R189" s="506">
        <f>+'1.3.4 Coal3'!R189</f>
        <v>101.85346230618282</v>
      </c>
      <c r="S189" s="506">
        <f>+'1.3.4 Coal3'!S189</f>
        <v>33.985737693817157</v>
      </c>
      <c r="T189" s="506">
        <f>+'1.3.4 Coal3'!T189</f>
        <v>135.83919999999998</v>
      </c>
    </row>
    <row r="190" spans="1:20" x14ac:dyDescent="0.45">
      <c r="A190" s="14">
        <v>1880</v>
      </c>
      <c r="B190" s="506">
        <f>+'1.3.4 Coal3'!B190</f>
        <v>149.352</v>
      </c>
      <c r="C190" s="506"/>
      <c r="D190" s="506"/>
      <c r="E190" s="507">
        <f>+'1.3.4 Coal3'!E190</f>
        <v>9.5777777777777722</v>
      </c>
      <c r="F190" s="507"/>
      <c r="G190" s="507">
        <f>+'1.3.4 Coal3'!G190</f>
        <v>4.7999999999999972</v>
      </c>
      <c r="H190" s="1160">
        <f>'1.3.4 Coal3'!H190</f>
        <v>13.110710633015387</v>
      </c>
      <c r="I190" s="507">
        <f>+'1.3.4 Coal3'!I190</f>
        <v>5.2166666666666677</v>
      </c>
      <c r="J190" s="507">
        <f>+'1.3.4 Coal3'!J190</f>
        <v>26.901090069040592</v>
      </c>
      <c r="K190" s="507">
        <f>+'1.3.4 Coal3'!K190</f>
        <v>54.271307735434114</v>
      </c>
      <c r="L190" s="507"/>
      <c r="M190" s="507"/>
      <c r="N190" s="507">
        <f>+'1.3.4 Coal3'!N190</f>
        <v>1.405466666666666</v>
      </c>
      <c r="O190" s="507"/>
      <c r="P190" s="507"/>
      <c r="Q190" s="1209">
        <f t="shared" si="5"/>
        <v>87.79453113780805</v>
      </c>
      <c r="R190" s="506">
        <f>+'1.3.4 Coal3'!R190</f>
        <v>105.65629054713634</v>
      </c>
      <c r="S190" s="506">
        <f>+'1.3.4 Coal3'!S190</f>
        <v>43.695709452863667</v>
      </c>
      <c r="T190" s="506">
        <f>+'1.3.4 Coal3'!T190</f>
        <v>149.352</v>
      </c>
    </row>
    <row r="191" spans="1:20" x14ac:dyDescent="0.45">
      <c r="A191" s="14">
        <v>1881</v>
      </c>
      <c r="B191" s="506">
        <f>+'1.3.4 Coal3'!B191</f>
        <v>156.66719999999998</v>
      </c>
      <c r="C191" s="506"/>
      <c r="D191" s="506"/>
      <c r="E191" s="507">
        <f>+'1.3.4 Coal3'!E191</f>
        <v>9.7666666666666604</v>
      </c>
      <c r="F191" s="507"/>
      <c r="G191" s="507">
        <f>+'1.3.4 Coal3'!G191</f>
        <v>4.8999999999999968</v>
      </c>
      <c r="H191" s="1160">
        <f>'1.3.4 Coal3'!H191</f>
        <v>13.232131602080148</v>
      </c>
      <c r="I191" s="507">
        <f>+'1.3.4 Coal3'!I191</f>
        <v>5.4000000000000012</v>
      </c>
      <c r="J191" s="507">
        <f>+'1.3.4 Coal3'!J191</f>
        <v>28.417271419503784</v>
      </c>
      <c r="K191" s="507">
        <f>+'1.3.4 Coal3'!K191</f>
        <v>54.945280391436889</v>
      </c>
      <c r="L191" s="507"/>
      <c r="M191" s="507"/>
      <c r="N191" s="507">
        <f>+'1.3.4 Coal3'!N191</f>
        <v>1.4223999999999992</v>
      </c>
      <c r="O191" s="507"/>
      <c r="P191" s="507"/>
      <c r="Q191" s="1209">
        <f t="shared" si="5"/>
        <v>90.18495181094066</v>
      </c>
      <c r="R191" s="506">
        <f>+'1.3.4 Coal3'!R191</f>
        <v>108.4038064840903</v>
      </c>
      <c r="S191" s="506">
        <f>+'1.3.4 Coal3'!S191</f>
        <v>48.263393515909684</v>
      </c>
      <c r="T191" s="506">
        <f>+'1.3.4 Coal3'!T191</f>
        <v>156.66719999999998</v>
      </c>
    </row>
    <row r="192" spans="1:20" x14ac:dyDescent="0.45">
      <c r="A192" s="14">
        <v>1882</v>
      </c>
      <c r="B192" s="506">
        <f>+'1.3.4 Coal3'!B192</f>
        <v>159.00399999999999</v>
      </c>
      <c r="C192" s="506"/>
      <c r="D192" s="506"/>
      <c r="E192" s="507">
        <f>+'1.3.4 Coal3'!E192</f>
        <v>9.9555555555555486</v>
      </c>
      <c r="F192" s="507"/>
      <c r="G192" s="507">
        <f>+'1.3.4 Coal3'!G192</f>
        <v>4.9999999999999964</v>
      </c>
      <c r="H192" s="1160">
        <f>'1.3.4 Coal3'!H192</f>
        <v>13.355808623414168</v>
      </c>
      <c r="I192" s="507">
        <f>+'1.3.4 Coal3'!I192</f>
        <v>5.5833333333333348</v>
      </c>
      <c r="J192" s="507">
        <f>+'1.3.4 Coal3'!J192</f>
        <v>28.548136113045619</v>
      </c>
      <c r="K192" s="507">
        <f>+'1.3.4 Coal3'!K192</f>
        <v>55.616996995170403</v>
      </c>
      <c r="L192" s="507"/>
      <c r="M192" s="507"/>
      <c r="N192" s="507">
        <f>+'1.3.4 Coal3'!N192</f>
        <v>1.4393333333333325</v>
      </c>
      <c r="O192" s="507"/>
      <c r="P192" s="507"/>
      <c r="Q192" s="1209">
        <f t="shared" si="5"/>
        <v>91.187799774882691</v>
      </c>
      <c r="R192" s="506">
        <f>+'1.3.4 Coal3'!R192</f>
        <v>109.76374971185369</v>
      </c>
      <c r="S192" s="506">
        <f>+'1.3.4 Coal3'!S192</f>
        <v>49.240250288146299</v>
      </c>
      <c r="T192" s="506">
        <f>+'1.3.4 Coal3'!T192</f>
        <v>159.00399999999999</v>
      </c>
    </row>
    <row r="193" spans="1:20" x14ac:dyDescent="0.45">
      <c r="A193" s="14">
        <v>1883</v>
      </c>
      <c r="B193" s="506">
        <f>+'1.3.4 Coal3'!B193</f>
        <v>166.3192</v>
      </c>
      <c r="C193" s="506"/>
      <c r="D193" s="506"/>
      <c r="E193" s="507">
        <f>+'1.3.4 Coal3'!E193</f>
        <v>10.144444444444437</v>
      </c>
      <c r="F193" s="507"/>
      <c r="G193" s="507">
        <f>+'1.3.4 Coal3'!G193</f>
        <v>5.0999999999999961</v>
      </c>
      <c r="H193" s="1160">
        <f>'1.3.4 Coal3'!H193</f>
        <v>13.48174169701745</v>
      </c>
      <c r="I193" s="507">
        <f>+'1.3.4 Coal3'!I193</f>
        <v>5.7666666666666684</v>
      </c>
      <c r="J193" s="507">
        <f>+'1.3.4 Coal3'!J193</f>
        <v>29.702163940971722</v>
      </c>
      <c r="K193" s="507">
        <f>+'1.3.4 Coal3'!K193</f>
        <v>56.286457546634651</v>
      </c>
      <c r="L193" s="507"/>
      <c r="M193" s="507"/>
      <c r="N193" s="507">
        <f>+'1.3.4 Coal3'!N193</f>
        <v>1.4562666666666657</v>
      </c>
      <c r="O193" s="507"/>
      <c r="P193" s="507"/>
      <c r="Q193" s="1209">
        <f t="shared" si="5"/>
        <v>93.21155482093971</v>
      </c>
      <c r="R193" s="506">
        <f>+'1.3.4 Coal3'!R193</f>
        <v>112.14460002173206</v>
      </c>
      <c r="S193" s="506">
        <f>+'1.3.4 Coal3'!S193</f>
        <v>54.174599978267935</v>
      </c>
      <c r="T193" s="506">
        <f>+'1.3.4 Coal3'!T193</f>
        <v>166.3192</v>
      </c>
    </row>
    <row r="194" spans="1:20" x14ac:dyDescent="0.45">
      <c r="A194" s="14">
        <v>1884</v>
      </c>
      <c r="B194" s="506">
        <f>+'1.3.4 Coal3'!B194</f>
        <v>163.37280000000001</v>
      </c>
      <c r="C194" s="506"/>
      <c r="D194" s="506"/>
      <c r="E194" s="507">
        <f>+'1.3.4 Coal3'!E194</f>
        <v>10.333333333333325</v>
      </c>
      <c r="F194" s="507"/>
      <c r="G194" s="507">
        <f>+'1.3.4 Coal3'!G194</f>
        <v>5.1999999999999957</v>
      </c>
      <c r="H194" s="1160">
        <f>'1.3.4 Coal3'!H194</f>
        <v>13.609930822889989</v>
      </c>
      <c r="I194" s="507">
        <f>+'1.3.4 Coal3'!I194</f>
        <v>5.950000000000002</v>
      </c>
      <c r="J194" s="507">
        <f>+'1.3.4 Coal3'!J194</f>
        <v>28.785715345296236</v>
      </c>
      <c r="K194" s="507">
        <f>+'1.3.4 Coal3'!K194</f>
        <v>56.953662045829638</v>
      </c>
      <c r="L194" s="507"/>
      <c r="M194" s="507"/>
      <c r="N194" s="507">
        <f>+'1.3.4 Coal3'!N194</f>
        <v>1.4731999999999992</v>
      </c>
      <c r="O194" s="507"/>
      <c r="P194" s="507"/>
      <c r="Q194" s="1209">
        <f t="shared" si="5"/>
        <v>93.162577391125879</v>
      </c>
      <c r="R194" s="506">
        <f>+'1.3.4 Coal3'!R194</f>
        <v>112.45271785573961</v>
      </c>
      <c r="S194" s="506">
        <f>+'1.3.4 Coal3'!S194</f>
        <v>50.920082144260405</v>
      </c>
      <c r="T194" s="506">
        <f>+'1.3.4 Coal3'!T194</f>
        <v>163.37280000000001</v>
      </c>
    </row>
    <row r="195" spans="1:20" x14ac:dyDescent="0.45">
      <c r="A195" s="14">
        <v>1885</v>
      </c>
      <c r="B195" s="506">
        <f>+'1.3.4 Coal3'!B195</f>
        <v>161.9504</v>
      </c>
      <c r="C195" s="506"/>
      <c r="D195" s="506"/>
      <c r="E195" s="507">
        <f>+'1.3.4 Coal3'!E195</f>
        <v>10.522222222222213</v>
      </c>
      <c r="F195" s="507"/>
      <c r="G195" s="507">
        <f>+'1.3.4 Coal3'!G195</f>
        <v>5.2999999999999954</v>
      </c>
      <c r="H195" s="1160">
        <f>'1.3.4 Coal3'!H195</f>
        <v>13.740376001031795</v>
      </c>
      <c r="I195" s="507">
        <f>+'1.3.4 Coal3'!I195</f>
        <v>6.1333333333333355</v>
      </c>
      <c r="J195" s="507">
        <f>+'1.3.4 Coal3'!J195</f>
        <v>28.290254177429109</v>
      </c>
      <c r="K195" s="507">
        <f>+'1.3.4 Coal3'!K195</f>
        <v>57.618610492755366</v>
      </c>
      <c r="L195" s="507"/>
      <c r="M195" s="507"/>
      <c r="N195" s="507">
        <f>+'1.3.4 Coal3'!N195</f>
        <v>1.4901333333333324</v>
      </c>
      <c r="O195" s="507"/>
      <c r="P195" s="507"/>
      <c r="Q195" s="1209">
        <f t="shared" si="5"/>
        <v>93.532331336851144</v>
      </c>
      <c r="R195" s="506">
        <f>+'1.3.4 Coal3'!R195</f>
        <v>113.17956706528621</v>
      </c>
      <c r="S195" s="506">
        <f>+'1.3.4 Coal3'!S195</f>
        <v>48.770832934713795</v>
      </c>
      <c r="T195" s="506">
        <f>+'1.3.4 Coal3'!T195</f>
        <v>161.9504</v>
      </c>
    </row>
    <row r="196" spans="1:20" x14ac:dyDescent="0.45">
      <c r="A196" s="14">
        <v>1886</v>
      </c>
      <c r="B196" s="506">
        <f>+'1.3.4 Coal3'!B196</f>
        <v>160.02000000000001</v>
      </c>
      <c r="C196" s="506"/>
      <c r="D196" s="506"/>
      <c r="E196" s="507">
        <f>+'1.3.4 Coal3'!E196</f>
        <v>10.711111111111101</v>
      </c>
      <c r="F196" s="507"/>
      <c r="G196" s="507">
        <f>+'1.3.4 Coal3'!G196</f>
        <v>5.399999999999995</v>
      </c>
      <c r="H196" s="1160">
        <f>'1.3.4 Coal3'!H196</f>
        <v>13.873077231442858</v>
      </c>
      <c r="I196" s="507">
        <f>+'1.3.4 Coal3'!I196</f>
        <v>6.3166666666666691</v>
      </c>
      <c r="J196" s="507">
        <f>+'1.3.4 Coal3'!J196</f>
        <v>27.917428582940904</v>
      </c>
      <c r="K196" s="507">
        <f>+'1.3.4 Coal3'!K196</f>
        <v>58.281302887411833</v>
      </c>
      <c r="L196" s="507"/>
      <c r="M196" s="507"/>
      <c r="N196" s="507">
        <f>+'1.3.4 Coal3'!N196</f>
        <v>1.5070666666666657</v>
      </c>
      <c r="O196" s="507"/>
      <c r="P196" s="507"/>
      <c r="Q196" s="1209">
        <f t="shared" si="5"/>
        <v>94.022464803686063</v>
      </c>
      <c r="R196" s="506">
        <f>+'1.3.4 Coal3'!R196</f>
        <v>114.02679579594249</v>
      </c>
      <c r="S196" s="506">
        <f>+'1.3.4 Coal3'!S196</f>
        <v>45.99320420405752</v>
      </c>
      <c r="T196" s="506">
        <f>+'1.3.4 Coal3'!T196</f>
        <v>160.02000000000001</v>
      </c>
    </row>
    <row r="197" spans="1:20" x14ac:dyDescent="0.45">
      <c r="A197" s="14">
        <v>1887</v>
      </c>
      <c r="B197" s="506">
        <f>+'1.3.4 Coal3'!B197</f>
        <v>164.6936</v>
      </c>
      <c r="C197" s="506"/>
      <c r="D197" s="506"/>
      <c r="E197" s="506">
        <f>+'1.3.4 Coal3'!E197</f>
        <v>10.9</v>
      </c>
      <c r="F197" s="506"/>
      <c r="G197" s="506">
        <f>+'1.3.4 Coal3'!G197</f>
        <v>5.5</v>
      </c>
      <c r="H197" s="1160">
        <f>'1.3.4 Coal3'!H197</f>
        <v>14.008034514123187</v>
      </c>
      <c r="I197" s="506">
        <f>+'1.3.4 Coal3'!I197</f>
        <v>6.5</v>
      </c>
      <c r="J197" s="506">
        <f>+'1.3.4 Coal3'!J197</f>
        <v>28.752800000000001</v>
      </c>
      <c r="K197" s="506">
        <f>+'1.3.4 Coal3'!K197</f>
        <v>58.941739229799026</v>
      </c>
      <c r="L197" s="506"/>
      <c r="M197" s="506"/>
      <c r="N197" s="506">
        <f>+'1.3.4 Coal3'!N197</f>
        <v>1.524</v>
      </c>
      <c r="O197" s="506"/>
      <c r="P197" s="506"/>
      <c r="Q197" s="603">
        <f t="shared" si="5"/>
        <v>95.718539229799035</v>
      </c>
      <c r="R197" s="506">
        <f>+'1.3.4 Coal3'!R197</f>
        <v>116.07996548587683</v>
      </c>
      <c r="S197" s="506">
        <f>+'1.3.4 Coal3'!S197</f>
        <v>48.613634514123177</v>
      </c>
      <c r="T197" s="506">
        <f>+'1.3.4 Coal3'!T197</f>
        <v>164.6936</v>
      </c>
    </row>
    <row r="198" spans="1:20" x14ac:dyDescent="0.45">
      <c r="A198" s="14">
        <v>1888</v>
      </c>
      <c r="B198" s="506">
        <f>+'1.3.4 Coal3'!B198</f>
        <v>172.61840000000001</v>
      </c>
      <c r="C198" s="506"/>
      <c r="D198" s="506"/>
      <c r="E198" s="507">
        <f>+'1.3.4 Coal3'!E198</f>
        <v>11.21875</v>
      </c>
      <c r="F198" s="507"/>
      <c r="G198" s="507">
        <f>+'1.3.4 Coal3'!G198</f>
        <v>5.6875</v>
      </c>
      <c r="H198" s="1160">
        <f>'1.3.4 Coal3'!H198</f>
        <v>14.326744454767212</v>
      </c>
      <c r="I198" s="507">
        <f>+'1.3.4 Coal3'!I198</f>
        <v>6.90625</v>
      </c>
      <c r="J198" s="507">
        <f>+'1.3.4 Coal3'!J198</f>
        <v>29.8704</v>
      </c>
      <c r="K198" s="507">
        <f>+'1.3.4 Coal3'!K198</f>
        <v>58.200066981352947</v>
      </c>
      <c r="L198" s="507"/>
      <c r="M198" s="507"/>
      <c r="N198" s="507">
        <f>+'1.3.4 Coal3'!N198</f>
        <v>1.5621</v>
      </c>
      <c r="O198" s="507"/>
      <c r="P198" s="507"/>
      <c r="Q198" s="1209">
        <f t="shared" si="5"/>
        <v>96.538816981352952</v>
      </c>
      <c r="R198" s="506">
        <f>+'1.3.4 Coal3'!R198</f>
        <v>117.47099891004015</v>
      </c>
      <c r="S198" s="506">
        <f>+'1.3.4 Coal3'!S198</f>
        <v>55.147401089959857</v>
      </c>
      <c r="T198" s="506">
        <f>+'1.3.4 Coal3'!T198</f>
        <v>172.61840000000001</v>
      </c>
    </row>
    <row r="199" spans="1:20" x14ac:dyDescent="0.45">
      <c r="A199" s="14">
        <v>1889</v>
      </c>
      <c r="B199" s="506">
        <f>+'1.3.4 Coal3'!B199</f>
        <v>179.7304</v>
      </c>
      <c r="C199" s="506"/>
      <c r="D199" s="506"/>
      <c r="E199" s="507">
        <f>+'1.3.4 Coal3'!E199</f>
        <v>11.5375</v>
      </c>
      <c r="F199" s="507"/>
      <c r="G199" s="507">
        <f>+'1.3.4 Coal3'!G199</f>
        <v>5.875</v>
      </c>
      <c r="H199" s="1160">
        <f>'1.3.4 Coal3'!H199</f>
        <v>14.654516806563215</v>
      </c>
      <c r="I199" s="507">
        <f>+'1.3.4 Coal3'!I199</f>
        <v>7.3125</v>
      </c>
      <c r="J199" s="507">
        <f>+'1.3.4 Coal3'!J199</f>
        <v>30.988</v>
      </c>
      <c r="K199" s="507">
        <f>+'1.3.4 Coal3'!K199</f>
        <v>57.458394732906868</v>
      </c>
      <c r="L199" s="507"/>
      <c r="M199" s="507"/>
      <c r="N199" s="507">
        <f>+'1.3.4 Coal3'!N199</f>
        <v>1.6002000000000003</v>
      </c>
      <c r="O199" s="507"/>
      <c r="P199" s="507"/>
      <c r="Q199" s="1209">
        <f t="shared" si="5"/>
        <v>97.359094732906868</v>
      </c>
      <c r="R199" s="506">
        <f>+'1.3.4 Coal3'!R199</f>
        <v>118.86203233420346</v>
      </c>
      <c r="S199" s="506">
        <f>+'1.3.4 Coal3'!S199</f>
        <v>60.868367665796541</v>
      </c>
      <c r="T199" s="506">
        <f>+'1.3.4 Coal3'!T199</f>
        <v>179.7304</v>
      </c>
    </row>
    <row r="200" spans="1:20" x14ac:dyDescent="0.45">
      <c r="A200" s="14">
        <v>1890</v>
      </c>
      <c r="B200" s="506">
        <f>+'1.3.4 Coal3'!B200</f>
        <v>184.50559999999999</v>
      </c>
      <c r="C200" s="506"/>
      <c r="D200" s="506"/>
      <c r="E200" s="507">
        <f>+'1.3.4 Coal3'!E200</f>
        <v>11.856249999999999</v>
      </c>
      <c r="F200" s="507"/>
      <c r="G200" s="507">
        <f>+'1.3.4 Coal3'!G200</f>
        <v>6.0625</v>
      </c>
      <c r="H200" s="1160">
        <f>'1.3.4 Coal3'!H200</f>
        <v>14.987117479890713</v>
      </c>
      <c r="I200" s="507">
        <f>+'1.3.4 Coal3'!I200</f>
        <v>7.71875</v>
      </c>
      <c r="J200" s="507">
        <f>+'1.3.4 Coal3'!J200</f>
        <v>32.105600000000003</v>
      </c>
      <c r="K200" s="507">
        <f>+'1.3.4 Coal3'!K200</f>
        <v>56.716722484460789</v>
      </c>
      <c r="L200" s="507"/>
      <c r="M200" s="507"/>
      <c r="N200" s="507">
        <f>+'1.3.4 Coal3'!N200</f>
        <v>1.6383000000000003</v>
      </c>
      <c r="O200" s="507"/>
      <c r="P200" s="507"/>
      <c r="Q200" s="1209">
        <f t="shared" si="5"/>
        <v>98.179372484460785</v>
      </c>
      <c r="R200" s="506">
        <f>+'1.3.4 Coal3'!R200</f>
        <v>120.25306575836679</v>
      </c>
      <c r="S200" s="506">
        <f>+'1.3.4 Coal3'!S200</f>
        <v>64.252534241633199</v>
      </c>
      <c r="T200" s="506">
        <f>+'1.3.4 Coal3'!T200</f>
        <v>184.50559999999999</v>
      </c>
    </row>
    <row r="201" spans="1:20" x14ac:dyDescent="0.45">
      <c r="A201" s="14">
        <v>1891</v>
      </c>
      <c r="B201" s="506">
        <f>+'1.3.4 Coal3'!B201</f>
        <v>188.46799999999999</v>
      </c>
      <c r="C201" s="506"/>
      <c r="D201" s="506"/>
      <c r="E201" s="507">
        <f>+'1.3.4 Coal3'!E201</f>
        <v>12.174999999999999</v>
      </c>
      <c r="F201" s="507"/>
      <c r="G201" s="507">
        <f>+'1.3.4 Coal3'!G201</f>
        <v>6.25</v>
      </c>
      <c r="H201" s="1160">
        <f>'1.3.4 Coal3'!H201</f>
        <v>15.323517304954974</v>
      </c>
      <c r="I201" s="507">
        <f>+'1.3.4 Coal3'!I201</f>
        <v>8.125</v>
      </c>
      <c r="J201" s="507">
        <f>+'1.3.4 Coal3'!J201</f>
        <v>33.223200000000006</v>
      </c>
      <c r="K201" s="507">
        <f>+'1.3.4 Coal3'!K201</f>
        <v>55.97505023601471</v>
      </c>
      <c r="L201" s="507"/>
      <c r="M201" s="507"/>
      <c r="N201" s="507">
        <f>+'1.3.4 Coal3'!N201</f>
        <v>1.6764000000000003</v>
      </c>
      <c r="O201" s="507"/>
      <c r="P201" s="507"/>
      <c r="Q201" s="1209">
        <f t="shared" si="5"/>
        <v>98.999650236014716</v>
      </c>
      <c r="R201" s="506">
        <f>+'1.3.4 Coal3'!R201</f>
        <v>121.64409918253011</v>
      </c>
      <c r="S201" s="506">
        <f>+'1.3.4 Coal3'!S201</f>
        <v>66.823900817469877</v>
      </c>
      <c r="T201" s="506">
        <f>+'1.3.4 Coal3'!T201</f>
        <v>188.46799999999999</v>
      </c>
    </row>
    <row r="202" spans="1:20" x14ac:dyDescent="0.45">
      <c r="A202" s="14">
        <v>1892</v>
      </c>
      <c r="B202" s="506">
        <f>+'1.3.4 Coal3'!B202</f>
        <v>184.70880000000002</v>
      </c>
      <c r="C202" s="506"/>
      <c r="D202" s="506"/>
      <c r="E202" s="507">
        <f>+'1.3.4 Coal3'!E202</f>
        <v>12.493749999999999</v>
      </c>
      <c r="F202" s="507"/>
      <c r="G202" s="507">
        <f>+'1.3.4 Coal3'!G202</f>
        <v>6.4375</v>
      </c>
      <c r="H202" s="1160">
        <f>'1.3.4 Coal3'!H202</f>
        <v>15.638081121682838</v>
      </c>
      <c r="I202" s="507">
        <f>+'1.3.4 Coal3'!I202</f>
        <v>8.53125</v>
      </c>
      <c r="J202" s="507">
        <f>+'1.3.4 Coal3'!J202</f>
        <v>34.340800000000009</v>
      </c>
      <c r="K202" s="507">
        <f>+'1.3.4 Coal3'!K202</f>
        <v>55.23337798756863</v>
      </c>
      <c r="L202" s="507"/>
      <c r="M202" s="507"/>
      <c r="N202" s="507">
        <f>+'1.3.4 Coal3'!N202</f>
        <v>1.7145000000000006</v>
      </c>
      <c r="O202" s="507"/>
      <c r="P202" s="507"/>
      <c r="Q202" s="1209">
        <f t="shared" ref="Q202:Q265" si="6">SUM(I202:O202)</f>
        <v>99.819927987568647</v>
      </c>
      <c r="R202" s="506">
        <f>+'1.3.4 Coal3'!R202</f>
        <v>123.03513260669344</v>
      </c>
      <c r="S202" s="506">
        <f>+'1.3.4 Coal3'!S202</f>
        <v>61.673667393306587</v>
      </c>
      <c r="T202" s="506">
        <f>+'1.3.4 Coal3'!T202</f>
        <v>184.70880000000002</v>
      </c>
    </row>
    <row r="203" spans="1:20" x14ac:dyDescent="0.45">
      <c r="A203" s="14">
        <v>1893</v>
      </c>
      <c r="B203" s="506">
        <f>+'1.3.4 Coal3'!B203</f>
        <v>166.92880000000002</v>
      </c>
      <c r="C203" s="506"/>
      <c r="D203" s="506"/>
      <c r="E203" s="507">
        <f>+'1.3.4 Coal3'!E203</f>
        <v>12.812499999999998</v>
      </c>
      <c r="F203" s="507"/>
      <c r="G203" s="507">
        <f>+'1.3.4 Coal3'!G203</f>
        <v>6.625</v>
      </c>
      <c r="H203" s="1160">
        <f>'1.3.4 Coal3'!H203</f>
        <v>15.873873917782412</v>
      </c>
      <c r="I203" s="507">
        <f>+'1.3.4 Coal3'!I203</f>
        <v>8.9375</v>
      </c>
      <c r="J203" s="507">
        <f>+'1.3.4 Coal3'!J203</f>
        <v>35.458400000000012</v>
      </c>
      <c r="K203" s="507">
        <f>+'1.3.4 Coal3'!K203</f>
        <v>54.491705739122551</v>
      </c>
      <c r="L203" s="507"/>
      <c r="M203" s="507"/>
      <c r="N203" s="507">
        <f>+'1.3.4 Coal3'!N203</f>
        <v>1.7526000000000006</v>
      </c>
      <c r="O203" s="507"/>
      <c r="P203" s="507"/>
      <c r="Q203" s="1209">
        <f t="shared" si="6"/>
        <v>100.64020573912256</v>
      </c>
      <c r="R203" s="506">
        <f>+'1.3.4 Coal3'!R203</f>
        <v>124.42616603085676</v>
      </c>
      <c r="S203" s="506">
        <f>+'1.3.4 Coal3'!S203</f>
        <v>42.502633969143261</v>
      </c>
      <c r="T203" s="506">
        <f>+'1.3.4 Coal3'!T203</f>
        <v>166.92880000000002</v>
      </c>
    </row>
    <row r="204" spans="1:20" x14ac:dyDescent="0.45">
      <c r="A204" s="14">
        <v>1894</v>
      </c>
      <c r="B204" s="506">
        <f>+'1.3.4 Coal3'!B204</f>
        <v>191.31280000000001</v>
      </c>
      <c r="C204" s="506"/>
      <c r="D204" s="506"/>
      <c r="E204" s="507">
        <f>+'1.3.4 Coal3'!E204</f>
        <v>13.131249999999998</v>
      </c>
      <c r="F204" s="507"/>
      <c r="G204" s="507">
        <f>+'1.3.4 Coal3'!G204</f>
        <v>6.8125</v>
      </c>
      <c r="H204" s="1160">
        <f>'1.3.4 Coal3'!H204</f>
        <v>16.312803418118268</v>
      </c>
      <c r="I204" s="507">
        <f>+'1.3.4 Coal3'!I204</f>
        <v>9.34375</v>
      </c>
      <c r="J204" s="507">
        <f>+'1.3.4 Coal3'!J204</f>
        <v>36.576000000000015</v>
      </c>
      <c r="K204" s="507">
        <f>+'1.3.4 Coal3'!K204</f>
        <v>53.750033490676472</v>
      </c>
      <c r="L204" s="507"/>
      <c r="M204" s="507"/>
      <c r="N204" s="507">
        <f>+'1.3.4 Coal3'!N204</f>
        <v>1.7907000000000006</v>
      </c>
      <c r="O204" s="507"/>
      <c r="P204" s="507"/>
      <c r="Q204" s="1209">
        <f t="shared" si="6"/>
        <v>101.46048349067648</v>
      </c>
      <c r="R204" s="506">
        <f>+'1.3.4 Coal3'!R204</f>
        <v>125.81719945502009</v>
      </c>
      <c r="S204" s="506">
        <f>+'1.3.4 Coal3'!S204</f>
        <v>65.495600544979922</v>
      </c>
      <c r="T204" s="506">
        <f>+'1.3.4 Coal3'!T204</f>
        <v>191.31280000000001</v>
      </c>
    </row>
    <row r="205" spans="1:20" x14ac:dyDescent="0.45">
      <c r="A205" s="14">
        <v>1895</v>
      </c>
      <c r="B205" s="506">
        <f>+'1.3.4 Coal3'!B205</f>
        <v>192.73519999999999</v>
      </c>
      <c r="C205" s="506"/>
      <c r="D205" s="506"/>
      <c r="E205" s="507">
        <f>+'1.3.4 Coal3'!E205</f>
        <v>13.449999999999998</v>
      </c>
      <c r="F205" s="507">
        <f>+'1.3.4 Coal3'!F205</f>
        <v>0.1</v>
      </c>
      <c r="G205" s="507">
        <f>+'1.3.4 Coal3'!G205</f>
        <v>7</v>
      </c>
      <c r="H205" s="1160">
        <f>'1.3.4 Coal3'!H205</f>
        <v>16.651072081911508</v>
      </c>
      <c r="I205" s="507">
        <f>+'1.3.4 Coal3'!I205</f>
        <v>9.75</v>
      </c>
      <c r="J205" s="507">
        <f>+'1.3.4 Coal3'!J205</f>
        <v>37.693600000000018</v>
      </c>
      <c r="K205" s="507">
        <f>+'1.3.4 Coal3'!K205</f>
        <v>53.008361242230393</v>
      </c>
      <c r="L205" s="507"/>
      <c r="M205" s="507"/>
      <c r="N205" s="507">
        <f>+'1.3.4 Coal3'!N205</f>
        <v>1.8288000000000006</v>
      </c>
      <c r="O205" s="507"/>
      <c r="P205" s="507"/>
      <c r="Q205" s="1209">
        <f t="shared" si="6"/>
        <v>102.28076124223041</v>
      </c>
      <c r="R205" s="506">
        <f>+'1.3.4 Coal3'!R205</f>
        <v>127.30823287918341</v>
      </c>
      <c r="S205" s="506">
        <f>+'1.3.4 Coal3'!S205</f>
        <v>65.426967120816585</v>
      </c>
      <c r="T205" s="506">
        <f>+'1.3.4 Coal3'!T205</f>
        <v>192.73519999999999</v>
      </c>
    </row>
    <row r="206" spans="1:20" x14ac:dyDescent="0.45">
      <c r="A206" s="14">
        <v>1896</v>
      </c>
      <c r="B206" s="506">
        <f>+'1.3.4 Coal3'!B206</f>
        <v>198.5264</v>
      </c>
      <c r="C206" s="506"/>
      <c r="D206" s="506"/>
      <c r="E206" s="507">
        <f>+'1.3.4 Coal3'!E206</f>
        <v>13.768749999999997</v>
      </c>
      <c r="F206" s="507">
        <f>+'1.3.4 Coal3'!F206</f>
        <v>0.46250000000000002</v>
      </c>
      <c r="G206" s="507">
        <f>+'1.3.4 Coal3'!G206</f>
        <v>7.1875</v>
      </c>
      <c r="H206" s="1160">
        <f>'1.3.4 Coal3'!H206</f>
        <v>17.013360824909444</v>
      </c>
      <c r="I206" s="507">
        <f>+'1.3.4 Coal3'!I206</f>
        <v>10.15625</v>
      </c>
      <c r="J206" s="507">
        <f>+'1.3.4 Coal3'!J206</f>
        <v>38.811200000000021</v>
      </c>
      <c r="K206" s="507">
        <f>+'1.3.4 Coal3'!K206</f>
        <v>52.266688993784314</v>
      </c>
      <c r="L206" s="507"/>
      <c r="M206" s="507"/>
      <c r="N206" s="507">
        <f>+'1.3.4 Coal3'!N206</f>
        <v>1.8669000000000009</v>
      </c>
      <c r="O206" s="507"/>
      <c r="P206" s="507"/>
      <c r="Q206" s="1209">
        <f t="shared" si="6"/>
        <v>103.10103899378434</v>
      </c>
      <c r="R206" s="506">
        <f>+'1.3.4 Coal3'!R206</f>
        <v>129.06176630334673</v>
      </c>
      <c r="S206" s="506">
        <f>+'1.3.4 Coal3'!S206</f>
        <v>69.464633696653266</v>
      </c>
      <c r="T206" s="506">
        <f>+'1.3.4 Coal3'!T206</f>
        <v>198.5264</v>
      </c>
    </row>
    <row r="207" spans="1:20" x14ac:dyDescent="0.45">
      <c r="A207" s="14">
        <v>1897</v>
      </c>
      <c r="B207" s="506">
        <f>+'1.3.4 Coal3'!B207</f>
        <v>205.33359999999999</v>
      </c>
      <c r="C207" s="506"/>
      <c r="D207" s="506"/>
      <c r="E207" s="507">
        <f>+'1.3.4 Coal3'!E207</f>
        <v>14.087499999999997</v>
      </c>
      <c r="F207" s="507">
        <f>+'1.3.4 Coal3'!F207</f>
        <v>0.82499999999999996</v>
      </c>
      <c r="G207" s="507">
        <f>+'1.3.4 Coal3'!G207</f>
        <v>7.375</v>
      </c>
      <c r="H207" s="1160">
        <f>'1.3.4 Coal3'!H207</f>
        <v>17.374851919920435</v>
      </c>
      <c r="I207" s="507">
        <f>+'1.3.4 Coal3'!I207</f>
        <v>10.5625</v>
      </c>
      <c r="J207" s="507">
        <f>+'1.3.4 Coal3'!J207</f>
        <v>39.928800000000024</v>
      </c>
      <c r="K207" s="507">
        <f>+'1.3.4 Coal3'!K207</f>
        <v>51.525016745338235</v>
      </c>
      <c r="L207" s="507"/>
      <c r="M207" s="507"/>
      <c r="N207" s="507">
        <f>+'1.3.4 Coal3'!N207</f>
        <v>1.9050000000000009</v>
      </c>
      <c r="O207" s="507"/>
      <c r="P207" s="507"/>
      <c r="Q207" s="1209">
        <f t="shared" si="6"/>
        <v>103.92131674533826</v>
      </c>
      <c r="R207" s="506">
        <f>+'1.3.4 Coal3'!R207</f>
        <v>130.81529972751005</v>
      </c>
      <c r="S207" s="506">
        <f>+'1.3.4 Coal3'!S207</f>
        <v>74.518300272489938</v>
      </c>
      <c r="T207" s="506">
        <f>+'1.3.4 Coal3'!T207</f>
        <v>205.33359999999999</v>
      </c>
    </row>
    <row r="208" spans="1:20" x14ac:dyDescent="0.45">
      <c r="A208" s="14">
        <v>1898</v>
      </c>
      <c r="B208" s="506">
        <f>+'1.3.4 Coal3'!B208</f>
        <v>205.232</v>
      </c>
      <c r="C208" s="506"/>
      <c r="D208" s="506"/>
      <c r="E208" s="507">
        <f>+'1.3.4 Coal3'!E208</f>
        <v>14.406249999999996</v>
      </c>
      <c r="F208" s="507">
        <f>+'1.3.4 Coal3'!F208</f>
        <v>1.1875</v>
      </c>
      <c r="G208" s="507">
        <f>+'1.3.4 Coal3'!G208</f>
        <v>7.5625</v>
      </c>
      <c r="H208" s="1160">
        <f>'1.3.4 Coal3'!H208</f>
        <v>17.705197203347915</v>
      </c>
      <c r="I208" s="507">
        <f>+'1.3.4 Coal3'!I208</f>
        <v>10.96875</v>
      </c>
      <c r="J208" s="507">
        <f>+'1.3.4 Coal3'!J208</f>
        <v>41.046400000000027</v>
      </c>
      <c r="K208" s="507">
        <f>+'1.3.4 Coal3'!K208</f>
        <v>50.783344496892155</v>
      </c>
      <c r="L208" s="507"/>
      <c r="M208" s="507"/>
      <c r="N208" s="507">
        <f>+'1.3.4 Coal3'!N208</f>
        <v>1.9431000000000009</v>
      </c>
      <c r="O208" s="507"/>
      <c r="P208" s="507"/>
      <c r="Q208" s="1209">
        <f t="shared" si="6"/>
        <v>104.74159449689218</v>
      </c>
      <c r="R208" s="506">
        <f>+'1.3.4 Coal3'!R208</f>
        <v>132.56883315167337</v>
      </c>
      <c r="S208" s="506">
        <f>+'1.3.4 Coal3'!S208</f>
        <v>72.663166848326625</v>
      </c>
      <c r="T208" s="506">
        <f>+'1.3.4 Coal3'!T208</f>
        <v>205.232</v>
      </c>
    </row>
    <row r="209" spans="1:22" x14ac:dyDescent="0.45">
      <c r="A209" s="14">
        <v>1899</v>
      </c>
      <c r="B209" s="506">
        <f>+'1.3.4 Coal3'!B209</f>
        <v>223.6216</v>
      </c>
      <c r="C209" s="506"/>
      <c r="D209" s="506"/>
      <c r="E209" s="507">
        <f>+'1.3.4 Coal3'!E209</f>
        <v>14.724999999999996</v>
      </c>
      <c r="F209" s="507">
        <f>+'1.3.4 Coal3'!F209</f>
        <v>1.55</v>
      </c>
      <c r="G209" s="507">
        <f>+'1.3.4 Coal3'!G209</f>
        <v>7.75</v>
      </c>
      <c r="H209" s="1160">
        <f>'1.3.4 Coal3'!H209</f>
        <v>18.157683601824147</v>
      </c>
      <c r="I209" s="507">
        <f>+'1.3.4 Coal3'!I209</f>
        <v>11.375</v>
      </c>
      <c r="J209" s="507">
        <f>+'1.3.4 Coal3'!J209</f>
        <v>42.16400000000003</v>
      </c>
      <c r="K209" s="507">
        <f>+'1.3.4 Coal3'!K209</f>
        <v>50.041672248446076</v>
      </c>
      <c r="L209" s="507"/>
      <c r="M209" s="507"/>
      <c r="N209" s="507">
        <f>+'1.3.4 Coal3'!N209</f>
        <v>1.9812000000000012</v>
      </c>
      <c r="O209" s="507"/>
      <c r="P209" s="507"/>
      <c r="Q209" s="1209">
        <f t="shared" si="6"/>
        <v>105.56187224844611</v>
      </c>
      <c r="R209" s="506">
        <f>+'1.3.4 Coal3'!R209</f>
        <v>134.3223665758367</v>
      </c>
      <c r="S209" s="506">
        <f>+'1.3.4 Coal3'!S209</f>
        <v>89.299233424163305</v>
      </c>
      <c r="T209" s="506">
        <f>+'1.3.4 Coal3'!T209</f>
        <v>223.6216</v>
      </c>
    </row>
    <row r="210" spans="1:22" x14ac:dyDescent="0.45">
      <c r="A210" s="14">
        <v>1900</v>
      </c>
      <c r="B210" s="506">
        <f>+'1.3.4 Coal3'!B210</f>
        <v>228.8032</v>
      </c>
      <c r="C210" s="506"/>
      <c r="D210" s="506"/>
      <c r="E210" s="506">
        <f>+'1.3.4 Coal3'!E210</f>
        <v>15.043749999999996</v>
      </c>
      <c r="F210" s="506">
        <f>+'1.3.4 Coal3'!F210</f>
        <v>1.9125000000000001</v>
      </c>
      <c r="G210" s="506">
        <f>+'1.3.4 Coal3'!G210</f>
        <v>7.9375</v>
      </c>
      <c r="H210" s="506">
        <f>'1.3.3 Coal2'!H10</f>
        <v>16.957039999999999</v>
      </c>
      <c r="I210" s="506">
        <f>'1.3.3 Coal2'!I10</f>
        <v>11.379199999999999</v>
      </c>
      <c r="J210" s="940">
        <f>+'1.3.3 Coal2'!J10</f>
        <v>43.281600000000005</v>
      </c>
      <c r="K210" s="940">
        <f>+'1.3.3 Coal2'!K10</f>
        <v>50.088799999999999</v>
      </c>
      <c r="L210" s="940">
        <f>+'1.3.3 Coal2'!L10</f>
        <v>4.8768000000000002</v>
      </c>
      <c r="M210" s="940">
        <f>+'1.3.3 Coal2'!M10</f>
        <v>1.64592</v>
      </c>
      <c r="N210" s="506">
        <f>+'1.3.4 Coal3'!N210</f>
        <v>2.0193000000000012</v>
      </c>
      <c r="O210" s="506"/>
      <c r="P210" s="506"/>
      <c r="Q210" s="603">
        <f t="shared" si="6"/>
        <v>113.29162000000001</v>
      </c>
      <c r="R210" s="506">
        <f>SUM(E210:H210)+Q210</f>
        <v>155.14241000000001</v>
      </c>
      <c r="S210" s="506">
        <f>+'1.3.4 Coal3'!S210</f>
        <v>75.770260000000007</v>
      </c>
      <c r="T210" s="506">
        <f>+'1.3.4 Coal3'!T210</f>
        <v>228.8032</v>
      </c>
    </row>
    <row r="211" spans="1:22" x14ac:dyDescent="0.45">
      <c r="A211" s="14">
        <v>1901</v>
      </c>
      <c r="B211" s="506">
        <f>+'1.3.4 Coal3'!B211</f>
        <v>222.50399999999999</v>
      </c>
      <c r="C211" s="506"/>
      <c r="D211" s="506"/>
      <c r="E211" s="506">
        <f>+'1.3.4 Coal3'!E211</f>
        <v>15.362499999999995</v>
      </c>
      <c r="F211" s="506">
        <f>+'1.3.4 Coal3'!F211</f>
        <v>2.2749999999999999</v>
      </c>
      <c r="G211" s="506">
        <f>+'1.3.4 Coal3'!G211</f>
        <v>8.125</v>
      </c>
      <c r="H211" s="506">
        <f>'1.3.3 Coal2'!H11</f>
        <v>14.97584</v>
      </c>
      <c r="I211" s="506">
        <f>'1.3.3 Coal2'!I11</f>
        <v>11.19632</v>
      </c>
      <c r="J211" s="940">
        <f>+'1.3.3 Coal2'!J11</f>
        <v>42.926000000000002</v>
      </c>
      <c r="K211" s="940">
        <f>+'1.3.3 Coal2'!K11</f>
        <v>48.148240000000001</v>
      </c>
      <c r="L211" s="940">
        <f>+'1.3.3 Coal2'!L11</f>
        <v>5.7810400000000008</v>
      </c>
      <c r="M211" s="940">
        <f>+'1.3.3 Coal2'!M11</f>
        <v>1.8999200000000001</v>
      </c>
      <c r="N211" s="506">
        <f>+'1.3.4 Coal3'!N211</f>
        <v>2.0574000000000012</v>
      </c>
      <c r="O211" s="506"/>
      <c r="P211" s="506"/>
      <c r="Q211" s="603">
        <f t="shared" si="6"/>
        <v>112.00892</v>
      </c>
      <c r="R211" s="506">
        <f t="shared" ref="R211:R274" si="7">SUM(E211:H211)+Q211</f>
        <v>152.74725999999998</v>
      </c>
      <c r="S211" s="506">
        <f>+'1.3.4 Coal3'!S211</f>
        <v>179.70826</v>
      </c>
      <c r="T211" s="506">
        <f>+'1.3.4 Coal3'!T211</f>
        <v>222.50399999999999</v>
      </c>
    </row>
    <row r="212" spans="1:22" x14ac:dyDescent="0.45">
      <c r="A212" s="14">
        <v>1902</v>
      </c>
      <c r="B212" s="506">
        <f>+'1.3.4 Coal3'!B212</f>
        <v>230.7336</v>
      </c>
      <c r="C212" s="506"/>
      <c r="D212" s="506"/>
      <c r="E212" s="506">
        <f>+'1.3.4 Coal3'!E212</f>
        <v>15.681249999999995</v>
      </c>
      <c r="F212" s="506">
        <f>+'1.3.4 Coal3'!F212</f>
        <v>2.6374999999999997</v>
      </c>
      <c r="G212" s="506">
        <f>+'1.3.4 Coal3'!G212</f>
        <v>8.3125</v>
      </c>
      <c r="H212" s="506">
        <f>'1.3.3 Coal2'!H12</f>
        <v>16.398240000000001</v>
      </c>
      <c r="I212" s="506">
        <f>'1.3.3 Coal2'!I12</f>
        <v>11.52144</v>
      </c>
      <c r="J212" s="940">
        <f>+'1.3.3 Coal2'!J12</f>
        <v>44.592240000000004</v>
      </c>
      <c r="K212" s="940">
        <f>+'1.3.3 Coal2'!K12</f>
        <v>49.550319999999999</v>
      </c>
      <c r="L212" s="940">
        <f>+'1.3.3 Coal2'!L12</f>
        <v>5.1003200000000009</v>
      </c>
      <c r="M212" s="940">
        <f>+'1.3.3 Coal2'!M12</f>
        <v>2.0929600000000002</v>
      </c>
      <c r="N212" s="506">
        <f>+'1.3.4 Coal3'!N212</f>
        <v>2.0955000000000013</v>
      </c>
      <c r="O212" s="506"/>
      <c r="P212" s="506"/>
      <c r="Q212" s="603">
        <f t="shared" si="6"/>
        <v>114.95278</v>
      </c>
      <c r="R212" s="506">
        <f t="shared" si="7"/>
        <v>157.98227</v>
      </c>
      <c r="S212" s="506">
        <f>+'1.3.4 Coal3'!S212</f>
        <v>185.60861</v>
      </c>
      <c r="T212" s="506">
        <f>+'1.3.4 Coal3'!T212</f>
        <v>230.7336</v>
      </c>
    </row>
    <row r="213" spans="1:22" x14ac:dyDescent="0.45">
      <c r="A213" s="14">
        <v>1903</v>
      </c>
      <c r="B213" s="506">
        <f>+'1.3.4 Coal3'!B213</f>
        <v>233.98480000000001</v>
      </c>
      <c r="C213" s="506"/>
      <c r="D213" s="506"/>
      <c r="E213" s="506">
        <f>+'1.3.4 Coal3'!E213</f>
        <v>16</v>
      </c>
      <c r="F213" s="506">
        <f>+'1.3.4 Coal3'!F213</f>
        <v>3</v>
      </c>
      <c r="G213" s="506">
        <f>+'1.3.4 Coal3'!G213</f>
        <v>8.5</v>
      </c>
      <c r="H213" s="506">
        <f>'1.3.3 Coal2'!H13</f>
        <v>17.2212</v>
      </c>
      <c r="I213" s="506">
        <f>'1.3.3 Coal2'!I13</f>
        <v>11.5824</v>
      </c>
      <c r="J213" s="940">
        <f>+'1.3.3 Coal2'!J13</f>
        <v>43.515279999999997</v>
      </c>
      <c r="K213" s="940">
        <f>+'1.3.3 Coal2'!K13</f>
        <v>49.042319999999997</v>
      </c>
      <c r="L213" s="940">
        <f>+'1.3.3 Coal2'!L13</f>
        <v>5.1307999999999998</v>
      </c>
      <c r="M213" s="940">
        <f>+'1.3.3 Coal2'!M13</f>
        <v>2.2758400000000001</v>
      </c>
      <c r="N213" s="506">
        <f>+'1.3.4 Coal3'!N213</f>
        <v>2.1335999999999999</v>
      </c>
      <c r="O213" s="506"/>
      <c r="P213" s="506"/>
      <c r="Q213" s="603">
        <f t="shared" si="6"/>
        <v>113.68023999999998</v>
      </c>
      <c r="R213" s="506">
        <f t="shared" si="7"/>
        <v>158.40143999999998</v>
      </c>
      <c r="S213" s="506">
        <f>+'1.3.4 Coal3'!S213</f>
        <v>187.13</v>
      </c>
      <c r="T213" s="506">
        <f>+'1.3.4 Coal3'!T213</f>
        <v>233.98480000000001</v>
      </c>
      <c r="U213" s="506"/>
      <c r="V213" s="506"/>
    </row>
    <row r="214" spans="1:22" x14ac:dyDescent="0.45">
      <c r="A214" s="14">
        <v>1904</v>
      </c>
      <c r="B214" s="506">
        <f>+'1.3.4 Coal3'!B214</f>
        <v>239.78616</v>
      </c>
      <c r="C214" s="506"/>
      <c r="D214" s="506"/>
      <c r="E214" s="506">
        <f>+'1.3.4 Coal3'!E214</f>
        <v>16.45</v>
      </c>
      <c r="F214" s="506">
        <f>+'1.3.4 Coal3'!F214</f>
        <v>3.2</v>
      </c>
      <c r="G214" s="506">
        <f>+'1.3.4 Coal3'!G214</f>
        <v>9.43</v>
      </c>
      <c r="H214" s="506">
        <f>'1.3.3 Coal2'!H14</f>
        <v>16.967200000000002</v>
      </c>
      <c r="I214" s="506">
        <f>'1.3.3 Coal2'!I14</f>
        <v>11.633199999999999</v>
      </c>
      <c r="J214" s="940">
        <f>+'1.3.3 Coal2'!J14</f>
        <v>43.820080000000004</v>
      </c>
      <c r="K214" s="940">
        <f>+'1.3.3 Coal2'!K14</f>
        <v>48.717200000000005</v>
      </c>
      <c r="L214" s="940">
        <f>+'1.3.3 Coal2'!L14</f>
        <v>5.4051200000000001</v>
      </c>
      <c r="M214" s="940">
        <f>+'1.3.3 Coal2'!M14</f>
        <v>2.3875999999999999</v>
      </c>
      <c r="N214" s="506">
        <f>+'1.3.4 Coal3'!N214</f>
        <v>1.9202399999999999</v>
      </c>
      <c r="O214" s="506"/>
      <c r="P214" s="506"/>
      <c r="Q214" s="603">
        <f t="shared" si="6"/>
        <v>113.88344000000002</v>
      </c>
      <c r="R214" s="506">
        <f t="shared" si="7"/>
        <v>159.93064000000004</v>
      </c>
      <c r="S214" s="506">
        <f>+'1.3.4 Coal3'!S214</f>
        <v>178.00803999999999</v>
      </c>
      <c r="T214" s="506">
        <f>+'1.3.4 Coal3'!T214</f>
        <v>239.78616</v>
      </c>
      <c r="U214" s="507"/>
      <c r="V214" s="507"/>
    </row>
    <row r="215" spans="1:22" x14ac:dyDescent="0.45">
      <c r="A215" s="14">
        <v>1905</v>
      </c>
      <c r="B215" s="506">
        <f>+'1.3.4 Coal3'!B215</f>
        <v>245.58751999999998</v>
      </c>
      <c r="C215" s="506"/>
      <c r="D215" s="506"/>
      <c r="E215" s="506">
        <f>+'1.3.4 Coal3'!E215</f>
        <v>16.899999999999999</v>
      </c>
      <c r="F215" s="506">
        <f>+'1.3.4 Coal3'!F215</f>
        <v>3.4000000000000004</v>
      </c>
      <c r="G215" s="506">
        <f>+'1.3.4 Coal3'!G215</f>
        <v>10.36</v>
      </c>
      <c r="H215" s="506">
        <f>'1.3.3 Coal2'!H15</f>
        <v>18.775680000000001</v>
      </c>
      <c r="I215" s="506">
        <f>'1.3.3 Coal2'!I15</f>
        <v>11.77544</v>
      </c>
      <c r="J215" s="940">
        <f>+'1.3.3 Coal2'!J15</f>
        <v>40.477440000000001</v>
      </c>
      <c r="K215" s="940">
        <f>+'1.3.3 Coal2'!K15</f>
        <v>51.602640000000001</v>
      </c>
      <c r="L215" s="940">
        <f>+'1.3.3 Coal2'!L15</f>
        <v>5.6489599999999998</v>
      </c>
      <c r="M215" s="940">
        <f>+'1.3.3 Coal2'!M15</f>
        <v>2.5298400000000001</v>
      </c>
      <c r="N215" s="506">
        <f>+'1.3.4 Coal3'!N215</f>
        <v>1.70688</v>
      </c>
      <c r="O215" s="506"/>
      <c r="P215" s="506"/>
      <c r="Q215" s="603">
        <f t="shared" si="6"/>
        <v>113.74120000000001</v>
      </c>
      <c r="R215" s="506">
        <f t="shared" si="7"/>
        <v>163.17688000000001</v>
      </c>
      <c r="S215" s="506">
        <f>+'1.3.4 Coal3'!S215</f>
        <v>168.88607999999999</v>
      </c>
      <c r="T215" s="506">
        <f>+'1.3.4 Coal3'!T215</f>
        <v>245.58751999999998</v>
      </c>
      <c r="U215" s="507"/>
      <c r="V215" s="507"/>
    </row>
    <row r="216" spans="1:22" x14ac:dyDescent="0.45">
      <c r="A216" s="14">
        <v>1906</v>
      </c>
      <c r="B216" s="506">
        <f>+'1.3.4 Coal3'!B216</f>
        <v>251.38887999999997</v>
      </c>
      <c r="C216" s="506"/>
      <c r="D216" s="506"/>
      <c r="E216" s="506">
        <f>+'1.3.4 Coal3'!E216</f>
        <v>17.349999999999998</v>
      </c>
      <c r="F216" s="506">
        <f>+'1.3.4 Coal3'!F216</f>
        <v>3.6000000000000005</v>
      </c>
      <c r="G216" s="506">
        <f>+'1.3.4 Coal3'!G216</f>
        <v>11.29</v>
      </c>
      <c r="H216" s="506">
        <f>'1.3.3 Coal2'!H16</f>
        <v>20.909279999999999</v>
      </c>
      <c r="I216" s="506">
        <f>'1.3.3 Coal2'!I16</f>
        <v>12.283440000000001</v>
      </c>
      <c r="J216" s="940">
        <f>+'1.3.3 Coal2'!J16</f>
        <v>39.776400000000002</v>
      </c>
      <c r="K216" s="940">
        <f>+'1.3.3 Coal2'!K16</f>
        <v>53.980079999999994</v>
      </c>
      <c r="L216" s="940">
        <f>+'1.3.3 Coal2'!L16</f>
        <v>5.8318400000000006</v>
      </c>
      <c r="M216" s="940">
        <f>+'1.3.3 Coal2'!M16</f>
        <v>2.7533599999999998</v>
      </c>
      <c r="N216" s="506">
        <f>+'1.3.4 Coal3'!N216</f>
        <v>1.49352</v>
      </c>
      <c r="O216" s="506"/>
      <c r="P216" s="506"/>
      <c r="Q216" s="603">
        <f t="shared" si="6"/>
        <v>116.11864</v>
      </c>
      <c r="R216" s="506">
        <f t="shared" si="7"/>
        <v>169.26792</v>
      </c>
      <c r="S216" s="506">
        <f>+'1.3.4 Coal3'!S216</f>
        <v>159.76411999999999</v>
      </c>
      <c r="T216" s="506">
        <f>+'1.3.4 Coal3'!T216</f>
        <v>251.38887999999997</v>
      </c>
      <c r="U216" s="507"/>
      <c r="V216" s="507"/>
    </row>
    <row r="217" spans="1:22" x14ac:dyDescent="0.45">
      <c r="A217" s="14">
        <v>1907</v>
      </c>
      <c r="B217" s="506">
        <f>+'1.3.4 Coal3'!B217</f>
        <v>257.19023999999996</v>
      </c>
      <c r="C217" s="506"/>
      <c r="D217" s="506"/>
      <c r="E217" s="506">
        <f>+'1.3.4 Coal3'!E217</f>
        <v>17.799999999999997</v>
      </c>
      <c r="F217" s="506">
        <f>+'1.3.4 Coal3'!F217</f>
        <v>3.8000000000000007</v>
      </c>
      <c r="G217" s="506">
        <f>+'1.3.4 Coal3'!G217</f>
        <v>12.219999999999999</v>
      </c>
      <c r="H217" s="506">
        <f>'1.3.3 Coal2'!H17</f>
        <v>22.331679999999999</v>
      </c>
      <c r="I217" s="506">
        <f>'1.3.3 Coal2'!I17</f>
        <v>13.126720000000001</v>
      </c>
      <c r="J217" s="940">
        <f>+'1.3.3 Coal2'!J17</f>
        <v>43.647359999999999</v>
      </c>
      <c r="K217" s="940">
        <f>+'1.3.3 Coal2'!K17</f>
        <v>55.138320000000007</v>
      </c>
      <c r="L217" s="940">
        <f>+'1.3.3 Coal2'!L17</f>
        <v>5.8724799999999995</v>
      </c>
      <c r="M217" s="940">
        <f>+'1.3.3 Coal2'!M17</f>
        <v>3.2105600000000001</v>
      </c>
      <c r="N217" s="506">
        <f>+'1.3.4 Coal3'!N217</f>
        <v>1.28016</v>
      </c>
      <c r="O217" s="506"/>
      <c r="P217" s="506"/>
      <c r="Q217" s="603">
        <f t="shared" si="6"/>
        <v>122.2756</v>
      </c>
      <c r="R217" s="506">
        <f t="shared" si="7"/>
        <v>178.42728</v>
      </c>
      <c r="S217" s="506">
        <f>+'1.3.4 Coal3'!S217</f>
        <v>150.64215999999999</v>
      </c>
      <c r="T217" s="506">
        <f>+'1.3.4 Coal3'!T217</f>
        <v>257.19023999999996</v>
      </c>
      <c r="U217" s="507"/>
      <c r="V217" s="507"/>
    </row>
    <row r="218" spans="1:22" x14ac:dyDescent="0.45">
      <c r="A218" s="14">
        <v>1908</v>
      </c>
      <c r="B218" s="506">
        <f>+'1.3.4 Coal3'!B218</f>
        <v>262.99159999999995</v>
      </c>
      <c r="C218" s="506"/>
      <c r="D218" s="506"/>
      <c r="E218" s="506">
        <f>+'1.3.4 Coal3'!E218</f>
        <v>18.249999999999996</v>
      </c>
      <c r="F218" s="506">
        <f>+'1.3.4 Coal3'!F218</f>
        <v>4.0000000000000009</v>
      </c>
      <c r="G218" s="506">
        <f>+'1.3.4 Coal3'!G218</f>
        <v>13.149999999999999</v>
      </c>
      <c r="H218" s="506">
        <f>'1.3.3 Coal2'!H18</f>
        <v>21.650960000000001</v>
      </c>
      <c r="I218" s="506">
        <f>'1.3.3 Coal2'!I18</f>
        <v>12.68984</v>
      </c>
      <c r="J218" s="940">
        <f>+'1.3.3 Coal2'!J18</f>
        <v>41.960799999999999</v>
      </c>
      <c r="K218" s="940">
        <f>+'1.3.3 Coal2'!K18</f>
        <v>51.501039999999996</v>
      </c>
      <c r="L218" s="940">
        <f>+'1.3.3 Coal2'!L18</f>
        <v>5.8623200000000004</v>
      </c>
      <c r="M218" s="940">
        <f>+'1.3.3 Coal2'!M18</f>
        <v>3.6067999999999998</v>
      </c>
      <c r="N218" s="506">
        <f>+'1.3.4 Coal3'!N218</f>
        <v>1.0668</v>
      </c>
      <c r="O218" s="506"/>
      <c r="P218" s="506"/>
      <c r="Q218" s="603">
        <f t="shared" si="6"/>
        <v>116.6876</v>
      </c>
      <c r="R218" s="506">
        <f t="shared" si="7"/>
        <v>173.73856000000001</v>
      </c>
      <c r="S218" s="506">
        <f>+'1.3.4 Coal3'!S218</f>
        <v>141.52019999999999</v>
      </c>
      <c r="T218" s="506">
        <f>+'1.3.4 Coal3'!T218</f>
        <v>262.99159999999995</v>
      </c>
      <c r="U218" s="507"/>
      <c r="V218" s="507"/>
    </row>
    <row r="219" spans="1:22" x14ac:dyDescent="0.45">
      <c r="A219" s="14">
        <v>1909</v>
      </c>
      <c r="B219" s="506">
        <f>+'1.3.4 Coal3'!B219</f>
        <v>268.79295999999994</v>
      </c>
      <c r="C219" s="506"/>
      <c r="D219" s="506"/>
      <c r="E219" s="506">
        <f>+'1.3.4 Coal3'!E219</f>
        <v>18.699999999999996</v>
      </c>
      <c r="F219" s="506">
        <f>+'1.3.4 Coal3'!F219</f>
        <v>4.2000000000000011</v>
      </c>
      <c r="G219" s="506">
        <f>+'1.3.4 Coal3'!G219</f>
        <v>14.079999999999998</v>
      </c>
      <c r="H219" s="506">
        <f>'1.3.3 Coal2'!H19</f>
        <v>21.031199999999998</v>
      </c>
      <c r="I219" s="506">
        <f>'1.3.3 Coal2'!I19</f>
        <v>12.46632</v>
      </c>
      <c r="J219" s="940">
        <f>+'1.3.3 Coal2'!J19</f>
        <v>41.79824</v>
      </c>
      <c r="K219" s="940">
        <f>+'1.3.3 Coal2'!K19</f>
        <v>53.583839999999995</v>
      </c>
      <c r="L219" s="940">
        <f>+'1.3.3 Coal2'!L19</f>
        <v>6.10616</v>
      </c>
      <c r="M219" s="940">
        <f>+'1.3.3 Coal2'!M19</f>
        <v>3.8506400000000003</v>
      </c>
      <c r="N219" s="506">
        <f>+'1.3.4 Coal3'!N219</f>
        <v>0.85343999999999998</v>
      </c>
      <c r="O219" s="506"/>
      <c r="P219" s="506"/>
      <c r="Q219" s="603">
        <f t="shared" si="6"/>
        <v>118.65864000000001</v>
      </c>
      <c r="R219" s="506">
        <f t="shared" si="7"/>
        <v>176.66983999999999</v>
      </c>
      <c r="S219" s="506">
        <f>+'1.3.4 Coal3'!S219</f>
        <v>132.39823999999999</v>
      </c>
      <c r="T219" s="506">
        <f>+'1.3.4 Coal3'!T219</f>
        <v>268.79295999999994</v>
      </c>
      <c r="U219" s="507"/>
      <c r="V219" s="507"/>
    </row>
    <row r="220" spans="1:22" x14ac:dyDescent="0.45">
      <c r="A220" s="14">
        <v>1910</v>
      </c>
      <c r="B220" s="506">
        <f>+'1.3.4 Coal3'!B220</f>
        <v>274.59431999999993</v>
      </c>
      <c r="C220" s="506"/>
      <c r="D220" s="506"/>
      <c r="E220" s="506">
        <f>+'1.3.4 Coal3'!E220</f>
        <v>19.149999999999995</v>
      </c>
      <c r="F220" s="506">
        <f>+'1.3.4 Coal3'!F220</f>
        <v>4.4000000000000012</v>
      </c>
      <c r="G220" s="506">
        <f>+'1.3.4 Coal3'!G220</f>
        <v>15.009999999999998</v>
      </c>
      <c r="H220" s="506">
        <f>'1.3.3 Coal2'!H20</f>
        <v>21.427440000000001</v>
      </c>
      <c r="I220" s="506">
        <f>'1.3.3 Coal2'!I20</f>
        <v>12.66952</v>
      </c>
      <c r="J220" s="940">
        <f>+'1.3.3 Coal2'!J20</f>
        <v>42.753279999999997</v>
      </c>
      <c r="K220" s="940">
        <f>+'1.3.3 Coal2'!K20</f>
        <v>53.350159999999995</v>
      </c>
      <c r="L220" s="940">
        <f>+'1.3.3 Coal2'!L20</f>
        <v>6.1366399999999999</v>
      </c>
      <c r="M220" s="940">
        <f>+'1.3.3 Coal2'!M20</f>
        <v>4.1554399999999996</v>
      </c>
      <c r="N220" s="506">
        <f>+'1.3.4 Coal3'!N220</f>
        <v>0.64007999999999998</v>
      </c>
      <c r="O220" s="506"/>
      <c r="P220" s="506"/>
      <c r="Q220" s="603">
        <f t="shared" si="6"/>
        <v>119.70511999999998</v>
      </c>
      <c r="R220" s="506">
        <f t="shared" si="7"/>
        <v>179.69255999999996</v>
      </c>
      <c r="S220" s="506">
        <f>+'1.3.4 Coal3'!S220</f>
        <v>123.27627999999999</v>
      </c>
      <c r="T220" s="506">
        <f>+'1.3.4 Coal3'!T220</f>
        <v>274.59431999999993</v>
      </c>
      <c r="U220" s="507"/>
      <c r="V220" s="507"/>
    </row>
    <row r="221" spans="1:22" x14ac:dyDescent="0.45">
      <c r="A221" s="14">
        <v>1911</v>
      </c>
      <c r="B221" s="506">
        <f>+'1.3.4 Coal3'!B221</f>
        <v>280.39567999999991</v>
      </c>
      <c r="C221" s="506"/>
      <c r="D221" s="506"/>
      <c r="E221" s="506">
        <f>+'1.3.4 Coal3'!E221</f>
        <v>19.599999999999994</v>
      </c>
      <c r="F221" s="506">
        <f>+'1.3.4 Coal3'!F221</f>
        <v>4.6000000000000014</v>
      </c>
      <c r="G221" s="506">
        <f>+'1.3.4 Coal3'!G221</f>
        <v>15.939999999999998</v>
      </c>
      <c r="H221" s="506">
        <f>'1.3.3 Coal2'!H21</f>
        <v>20.797519999999999</v>
      </c>
      <c r="I221" s="506">
        <f>'1.3.3 Coal2'!I21</f>
        <v>13.025120000000001</v>
      </c>
      <c r="J221" s="940">
        <f>+'1.3.3 Coal2'!J21</f>
        <v>44.145200000000003</v>
      </c>
      <c r="K221" s="940">
        <f>+'1.3.3 Coal2'!K21</f>
        <v>56.591200000000001</v>
      </c>
      <c r="L221" s="940">
        <f>+'1.3.3 Coal2'!L21</f>
        <v>6.4008000000000003</v>
      </c>
      <c r="M221" s="940">
        <f>+'1.3.3 Coal2'!M21</f>
        <v>4.3484800000000003</v>
      </c>
      <c r="N221" s="506">
        <f>+'1.3.4 Coal3'!N221</f>
        <v>0.42671999999999999</v>
      </c>
      <c r="O221" s="506"/>
      <c r="P221" s="506"/>
      <c r="Q221" s="603">
        <f t="shared" si="6"/>
        <v>124.93752000000001</v>
      </c>
      <c r="R221" s="506">
        <f t="shared" si="7"/>
        <v>185.87504000000001</v>
      </c>
      <c r="S221" s="506">
        <f>+'1.3.4 Coal3'!S221</f>
        <v>114.15431999999998</v>
      </c>
      <c r="T221" s="506">
        <f>+'1.3.4 Coal3'!T221</f>
        <v>280.39567999999991</v>
      </c>
      <c r="U221" s="507"/>
      <c r="V221" s="507"/>
    </row>
    <row r="222" spans="1:22" x14ac:dyDescent="0.45">
      <c r="A222" s="14">
        <v>1912</v>
      </c>
      <c r="B222" s="506">
        <f>+'1.3.4 Coal3'!B222</f>
        <v>286.1970399999999</v>
      </c>
      <c r="C222" s="506"/>
      <c r="D222" s="506"/>
      <c r="E222" s="506">
        <f>+'1.3.4 Coal3'!E222</f>
        <v>20.049999999999994</v>
      </c>
      <c r="F222" s="506">
        <f>+'1.3.4 Coal3'!F222</f>
        <v>4.8000000000000016</v>
      </c>
      <c r="G222" s="506">
        <f>+'1.3.4 Coal3'!G222</f>
        <v>16.869999999999997</v>
      </c>
      <c r="H222" s="506">
        <f>'1.3.3 Coal2'!H22</f>
        <v>19.588480000000001</v>
      </c>
      <c r="I222" s="506">
        <f>'1.3.3 Coal2'!I22</f>
        <v>12.84224</v>
      </c>
      <c r="J222" s="940">
        <f>+'1.3.3 Coal2'!J22</f>
        <v>37.795200000000001</v>
      </c>
      <c r="K222" s="940">
        <f>+'1.3.3 Coal2'!K22</f>
        <v>58.653680000000001</v>
      </c>
      <c r="L222" s="940">
        <f>+'1.3.3 Coal2'!L22</f>
        <v>6.62432</v>
      </c>
      <c r="M222" s="940">
        <f>+'1.3.3 Coal2'!M22</f>
        <v>4.58216</v>
      </c>
      <c r="N222" s="506">
        <f>+'1.3.4 Coal3'!N222</f>
        <v>0.21335999999999999</v>
      </c>
      <c r="O222" s="506"/>
      <c r="P222" s="506"/>
      <c r="Q222" s="603">
        <f t="shared" si="6"/>
        <v>120.71096</v>
      </c>
      <c r="R222" s="506">
        <f t="shared" si="7"/>
        <v>182.01943999999997</v>
      </c>
      <c r="S222" s="506">
        <f>+'1.3.4 Coal3'!S222</f>
        <v>105.03235999999998</v>
      </c>
      <c r="T222" s="506">
        <f>+'1.3.4 Coal3'!T222</f>
        <v>286.1970399999999</v>
      </c>
      <c r="U222" s="507"/>
      <c r="V222" s="507"/>
    </row>
    <row r="223" spans="1:22" x14ac:dyDescent="0.45">
      <c r="A223" s="14">
        <v>1913</v>
      </c>
      <c r="B223" s="506">
        <f>+'1.3.2 Coal1'!B28</f>
        <v>291.9984</v>
      </c>
      <c r="C223" s="506"/>
      <c r="D223" s="506"/>
      <c r="E223" s="506">
        <f>+'1.3.2 Coal1'!E28</f>
        <v>18.288</v>
      </c>
      <c r="F223" s="506">
        <f>+'1.3.2 Coal1'!F28</f>
        <v>4.9784000000000006</v>
      </c>
      <c r="G223" s="506">
        <f>+'1.3.2 Coal1'!G28</f>
        <v>18.084800000000001</v>
      </c>
      <c r="H223" s="506">
        <f>+'1.3.2 Coal1'!H28</f>
        <v>20.0152</v>
      </c>
      <c r="I223" s="506">
        <f>'1.3.3 Coal2'!I23</f>
        <v>13.797280000000001</v>
      </c>
      <c r="J223" s="940">
        <f>+'1.3.3 Coal2'!J23</f>
        <v>42.143679999999996</v>
      </c>
      <c r="K223" s="940">
        <f>+'1.3.3 Coal2'!K23</f>
        <v>59.872880000000002</v>
      </c>
      <c r="L223" s="940">
        <f>+'1.3.3 Coal2'!L23</f>
        <v>6.8681599999999996</v>
      </c>
      <c r="M223" s="940">
        <f>+'1.3.3 Coal2'!M23</f>
        <v>4.9072800000000001</v>
      </c>
      <c r="N223" s="506">
        <f>+'1.3.2 Coal1'!N28</f>
        <v>2.4384000000000001</v>
      </c>
      <c r="O223" s="506"/>
      <c r="P223" s="506"/>
      <c r="Q223" s="603">
        <f t="shared" si="6"/>
        <v>130.02768</v>
      </c>
      <c r="R223" s="506">
        <f t="shared" si="7"/>
        <v>191.39408</v>
      </c>
      <c r="S223" s="506">
        <f>+'1.3.2 Coal1'!S28</f>
        <v>95.91040000000001</v>
      </c>
      <c r="T223" s="506">
        <f>+'1.3.2 Coal1'!T28</f>
        <v>291.9984</v>
      </c>
      <c r="U223" s="506"/>
      <c r="V223" s="506"/>
    </row>
    <row r="224" spans="1:22" x14ac:dyDescent="0.45">
      <c r="A224" s="14">
        <v>1914</v>
      </c>
      <c r="B224" s="506">
        <f>+'1.3.2 Coal1'!B29</f>
        <v>269.95119999999997</v>
      </c>
      <c r="C224" s="506"/>
      <c r="D224" s="506"/>
      <c r="E224" s="506">
        <f>+'1.3.2 Coal1'!E29</f>
        <v>18.288</v>
      </c>
      <c r="F224" s="506">
        <f>+'1.3.2 Coal1'!F29</f>
        <v>5.6895999999999995</v>
      </c>
      <c r="G224" s="506">
        <f>+'1.3.2 Coal1'!G29</f>
        <v>17.78</v>
      </c>
      <c r="H224" s="506">
        <f>+'1.3.2 Coal1'!H29</f>
        <v>17.373600000000003</v>
      </c>
      <c r="I224" s="506">
        <f>+'1.3.2 Coal1'!I29</f>
        <v>14.122400000000001</v>
      </c>
      <c r="J224" s="940">
        <f>+'1.3.3 Coal2'!J24</f>
        <v>40.751759999999997</v>
      </c>
      <c r="K224" s="940">
        <f>+'1.3.3 Coal2'!K24</f>
        <v>59.182000000000002</v>
      </c>
      <c r="L224" s="940">
        <f>+'1.3.3 Coal2'!L24</f>
        <v>8.0264000000000006</v>
      </c>
      <c r="M224" s="940">
        <f>+'1.3.3 Coal2'!M24</f>
        <v>4.8869599999999993</v>
      </c>
      <c r="N224" s="506">
        <f>+'1.3.2 Coal1'!N29</f>
        <v>2.4384000000000001</v>
      </c>
      <c r="O224" s="506"/>
      <c r="P224" s="506"/>
      <c r="Q224" s="603">
        <f t="shared" si="6"/>
        <v>129.40791999999999</v>
      </c>
      <c r="R224" s="506">
        <f t="shared" si="7"/>
        <v>188.53912</v>
      </c>
      <c r="S224" s="506">
        <f>+'1.3.2 Coal1'!S29</f>
        <v>78.8416</v>
      </c>
      <c r="T224" s="506">
        <f>+'1.3.2 Coal1'!T29</f>
        <v>269.95119999999997</v>
      </c>
    </row>
    <row r="225" spans="1:20" x14ac:dyDescent="0.45">
      <c r="A225" s="14">
        <v>1915</v>
      </c>
      <c r="B225" s="506">
        <f>+'1.3.2 Coal1'!B30</f>
        <v>257.25119999999998</v>
      </c>
      <c r="C225" s="506"/>
      <c r="D225" s="506"/>
      <c r="E225" s="506">
        <f>+'1.3.2 Coal1'!E30</f>
        <v>18.288</v>
      </c>
      <c r="F225" s="506">
        <f>+'1.3.2 Coal1'!F30</f>
        <v>5.5880000000000001</v>
      </c>
      <c r="G225" s="506">
        <f>+'1.3.2 Coal1'!G30</f>
        <v>17.6784</v>
      </c>
      <c r="H225" s="506">
        <f>+'1.3.2 Coal1'!H30</f>
        <v>18.491199999999999</v>
      </c>
      <c r="I225" s="506">
        <f>+'1.3.2 Coal1'!I30</f>
        <v>14.427199999999999</v>
      </c>
      <c r="J225" s="940">
        <f>+'1.3.3 Coal2'!J25</f>
        <v>44.612559999999995</v>
      </c>
      <c r="K225" s="940">
        <f>+'1.3.3 Coal2'!K25</f>
        <v>56.194960000000002</v>
      </c>
      <c r="L225" s="940">
        <f>+'1.3.3 Coal2'!L25</f>
        <v>11.379199999999999</v>
      </c>
      <c r="M225" s="940">
        <f>+'1.3.3 Coal2'!M25</f>
        <v>3.9217599999999999</v>
      </c>
      <c r="N225" s="506">
        <f>+'1.3.2 Coal1'!N30</f>
        <v>2.032</v>
      </c>
      <c r="O225" s="506"/>
      <c r="P225" s="506"/>
      <c r="Q225" s="603">
        <f t="shared" si="6"/>
        <v>132.56768</v>
      </c>
      <c r="R225" s="506">
        <f t="shared" si="7"/>
        <v>192.61328</v>
      </c>
      <c r="S225" s="506">
        <f>+'1.3.2 Coal1'!S30</f>
        <v>58.115200000000002</v>
      </c>
      <c r="T225" s="506">
        <f>+'1.3.2 Coal1'!T30</f>
        <v>257.25119999999998</v>
      </c>
    </row>
    <row r="226" spans="1:20" x14ac:dyDescent="0.45">
      <c r="A226" s="14">
        <v>1916</v>
      </c>
      <c r="B226" s="506">
        <f>+'1.3.2 Coal1'!B31</f>
        <v>260.50239999999997</v>
      </c>
      <c r="C226" s="506"/>
      <c r="D226" s="506"/>
      <c r="E226" s="506">
        <f>+'1.3.2 Coal1'!E31</f>
        <v>18.288</v>
      </c>
      <c r="F226" s="506">
        <f>+'1.3.2 Coal1'!F31</f>
        <v>6.0960000000000001</v>
      </c>
      <c r="G226" s="506">
        <f>+'1.3.2 Coal1'!G31</f>
        <v>17.6784</v>
      </c>
      <c r="H226" s="506">
        <f>+'1.3.2 Coal1'!H31</f>
        <v>20.523199999999999</v>
      </c>
      <c r="I226" s="506">
        <f>+'1.3.2 Coal1'!I31</f>
        <v>14.6304</v>
      </c>
      <c r="J226" s="940">
        <f>+'1.3.3 Coal2'!J26</f>
        <v>44.2468</v>
      </c>
      <c r="K226" s="940">
        <f>+'1.3.3 Coal2'!K26</f>
        <v>59.131200000000007</v>
      </c>
      <c r="L226" s="940">
        <f>+'1.3.3 Coal2'!L26</f>
        <v>15.036800000000001</v>
      </c>
      <c r="M226" s="940">
        <f>+'1.3.3 Coal2'!M26</f>
        <v>4.2976800000000006</v>
      </c>
      <c r="N226" s="506">
        <f>+'1.3.2 Coal1'!N31</f>
        <v>1.7272000000000001</v>
      </c>
      <c r="O226" s="506"/>
      <c r="P226" s="506"/>
      <c r="Q226" s="603">
        <f t="shared" si="6"/>
        <v>139.07008000000005</v>
      </c>
      <c r="R226" s="506">
        <f t="shared" si="7"/>
        <v>201.65568000000005</v>
      </c>
      <c r="S226" s="506">
        <f>+'1.3.2 Coal1'!S31</f>
        <v>52.120799999999996</v>
      </c>
      <c r="T226" s="506">
        <f>+'1.3.2 Coal1'!T31</f>
        <v>260.50239999999997</v>
      </c>
    </row>
    <row r="227" spans="1:20" x14ac:dyDescent="0.45">
      <c r="A227" s="14">
        <v>1917</v>
      </c>
      <c r="B227" s="506">
        <f>+'1.3.2 Coal1'!B32</f>
        <v>252.476</v>
      </c>
      <c r="C227" s="506"/>
      <c r="D227" s="506"/>
      <c r="E227" s="506">
        <f>+'1.3.2 Coal1'!E32</f>
        <v>18.288</v>
      </c>
      <c r="F227" s="506">
        <f>+'1.3.2 Coal1'!F32</f>
        <v>6.7055999999999996</v>
      </c>
      <c r="G227" s="506">
        <f>+'1.3.2 Coal1'!G32</f>
        <v>19.1008</v>
      </c>
      <c r="H227" s="506">
        <f>+'1.3.2 Coal1'!H32</f>
        <v>20.827999999999999</v>
      </c>
      <c r="I227" s="506">
        <f>+'1.3.2 Coal1'!I32</f>
        <v>13.817600000000001</v>
      </c>
      <c r="J227" s="940">
        <f>+'1.3.3 Coal2'!J27</f>
        <v>41.930320000000002</v>
      </c>
      <c r="K227" s="940">
        <f>+'1.3.3 Coal2'!K27</f>
        <v>61.42736</v>
      </c>
      <c r="L227" s="940">
        <f>+'1.3.3 Coal2'!L27</f>
        <v>15.748000000000001</v>
      </c>
      <c r="M227" s="940">
        <f>+'1.3.3 Coal2'!M27</f>
        <v>4.5110400000000004</v>
      </c>
      <c r="N227" s="506">
        <f>+'1.3.2 Coal1'!N32</f>
        <v>1.3208</v>
      </c>
      <c r="O227" s="506"/>
      <c r="P227" s="506"/>
      <c r="Q227" s="603">
        <f t="shared" si="6"/>
        <v>138.75512000000001</v>
      </c>
      <c r="R227" s="506">
        <f t="shared" si="7"/>
        <v>203.67752000000002</v>
      </c>
      <c r="S227" s="506">
        <f>+'1.3.2 Coal1'!S32</f>
        <v>45.923200000000001</v>
      </c>
      <c r="T227" s="506">
        <f>+'1.3.2 Coal1'!T32</f>
        <v>252.47600000000003</v>
      </c>
    </row>
    <row r="228" spans="1:20" x14ac:dyDescent="0.45">
      <c r="A228" s="14">
        <v>1918</v>
      </c>
      <c r="B228" s="506">
        <f>+'1.3.2 Coal1'!B33</f>
        <v>231.3432</v>
      </c>
      <c r="C228" s="506"/>
      <c r="D228" s="506"/>
      <c r="E228" s="506">
        <f>+'1.3.2 Coal1'!E33</f>
        <v>17.271999999999998</v>
      </c>
      <c r="F228" s="506">
        <f>+'1.3.2 Coal1'!F33</f>
        <v>7.2135999999999996</v>
      </c>
      <c r="G228" s="506">
        <f>+'1.3.2 Coal1'!G33</f>
        <v>18.795999999999999</v>
      </c>
      <c r="H228" s="506">
        <f>+'1.3.2 Coal1'!H33</f>
        <v>20.0152</v>
      </c>
      <c r="I228" s="506">
        <f>+'1.3.2 Coal1'!I33</f>
        <v>13.5128</v>
      </c>
      <c r="J228" s="940">
        <f>+'1.3.3 Coal2'!J28</f>
        <v>35.234879999999997</v>
      </c>
      <c r="K228" s="940">
        <f>+'1.3.3 Coal2'!K28</f>
        <v>60.004960000000004</v>
      </c>
      <c r="L228" s="940">
        <f>+'1.3.3 Coal2'!L28</f>
        <v>15.951200000000002</v>
      </c>
      <c r="M228" s="940">
        <f>+'1.3.3 Coal2'!M28</f>
        <v>4.5110400000000004</v>
      </c>
      <c r="N228" s="506">
        <f>+'1.3.2 Coal1'!N33</f>
        <v>1.016</v>
      </c>
      <c r="O228" s="506"/>
      <c r="P228" s="506"/>
      <c r="Q228" s="603">
        <f t="shared" si="6"/>
        <v>130.23087999999998</v>
      </c>
      <c r="R228" s="506">
        <f t="shared" si="7"/>
        <v>193.52767999999998</v>
      </c>
      <c r="S228" s="506">
        <f>+'1.3.2 Coal1'!S33</f>
        <v>41.148000000000003</v>
      </c>
      <c r="T228" s="506">
        <f>+'1.3.2 Coal1'!T33</f>
        <v>231.3432</v>
      </c>
    </row>
    <row r="229" spans="1:20" x14ac:dyDescent="0.45">
      <c r="A229" s="14">
        <v>1919</v>
      </c>
      <c r="B229" s="506">
        <f>+'1.3.2 Coal1'!B34</f>
        <v>233.47680000000003</v>
      </c>
      <c r="C229" s="506"/>
      <c r="D229" s="506"/>
      <c r="E229" s="506">
        <f>+'1.3.2 Coal1'!E34</f>
        <v>17.271999999999998</v>
      </c>
      <c r="F229" s="506">
        <f>+'1.3.2 Coal1'!F34</f>
        <v>7.8231999999999999</v>
      </c>
      <c r="G229" s="506">
        <f>+'1.3.2 Coal1'!G34</f>
        <v>17.9832</v>
      </c>
      <c r="H229" s="506">
        <f>+'1.3.2 Coal1'!H34</f>
        <v>17.881600000000002</v>
      </c>
      <c r="I229" s="506">
        <f>+'1.3.2 Coal1'!I34</f>
        <v>13.716000000000001</v>
      </c>
      <c r="J229" s="940">
        <f>+'1.3.3 Coal2'!J29</f>
        <v>37.58184</v>
      </c>
      <c r="K229" s="940">
        <f>+'1.3.3 Coal2'!K29</f>
        <v>55.392319999999998</v>
      </c>
      <c r="L229" s="940">
        <f>+'1.3.3 Coal2'!L29</f>
        <v>10.16</v>
      </c>
      <c r="M229" s="940">
        <f>+'1.3.3 Coal2'!M29</f>
        <v>5.77088</v>
      </c>
      <c r="N229" s="506">
        <f>+'1.3.2 Coal1'!N34</f>
        <v>1.3208</v>
      </c>
      <c r="O229" s="506"/>
      <c r="P229" s="506"/>
      <c r="Q229" s="603">
        <f t="shared" si="6"/>
        <v>123.94184</v>
      </c>
      <c r="R229" s="506">
        <f t="shared" si="7"/>
        <v>184.90183999999999</v>
      </c>
      <c r="S229" s="506">
        <f>+'1.3.2 Coal1'!S34</f>
        <v>48.056799999999996</v>
      </c>
      <c r="T229" s="506">
        <f>+'1.3.2 Coal1'!T34</f>
        <v>233.47680000000003</v>
      </c>
    </row>
    <row r="230" spans="1:20" x14ac:dyDescent="0.45">
      <c r="A230" s="14">
        <v>1920</v>
      </c>
      <c r="B230" s="506">
        <f>+'1.3.2 Coal1'!B35</f>
        <v>233.172</v>
      </c>
      <c r="C230" s="506">
        <f>+'1.3.2 Coal1'!C35</f>
        <v>3.3527999999999998</v>
      </c>
      <c r="D230" s="506"/>
      <c r="E230" s="506">
        <f>+'1.3.2 Coal1'!E35</f>
        <v>17.475200000000001</v>
      </c>
      <c r="F230" s="506">
        <f>+'1.3.2 Coal1'!F35</f>
        <v>7.5184000000000006</v>
      </c>
      <c r="G230" s="506">
        <f>+'1.3.2 Coal1'!G35</f>
        <v>18.897600000000001</v>
      </c>
      <c r="H230" s="506">
        <f>+'1.3.2 Coal1'!H35</f>
        <v>19.202399999999997</v>
      </c>
      <c r="I230" s="506">
        <f>+'1.3.2 Coal1'!I35</f>
        <v>14.731999999999999</v>
      </c>
      <c r="J230" s="940">
        <f>+'1.3.3 Coal2'!J30</f>
        <v>41.86936</v>
      </c>
      <c r="K230" s="940">
        <f>+'1.3.3 Coal2'!K30</f>
        <v>53.665120000000009</v>
      </c>
      <c r="L230" s="940">
        <f>+'1.3.3 Coal2'!L30</f>
        <v>6.1569599999999998</v>
      </c>
      <c r="M230" s="940">
        <f>+'1.3.3 Coal2'!M30</f>
        <v>5.5880000000000001</v>
      </c>
      <c r="N230" s="506">
        <f>+'1.3.2 Coal1'!N35</f>
        <v>1.7272000000000001</v>
      </c>
      <c r="O230" s="506"/>
      <c r="P230" s="506"/>
      <c r="Q230" s="603">
        <f t="shared" si="6"/>
        <v>123.73863999999999</v>
      </c>
      <c r="R230" s="506">
        <f t="shared" si="7"/>
        <v>186.83223999999998</v>
      </c>
      <c r="S230" s="506">
        <f>+'1.3.2 Coal1'!S35</f>
        <v>39.4208</v>
      </c>
      <c r="T230" s="506">
        <f>+'1.3.2 Coal1'!T35</f>
        <v>233.17199999999997</v>
      </c>
    </row>
    <row r="231" spans="1:20" x14ac:dyDescent="0.45">
      <c r="A231" s="14">
        <v>1921</v>
      </c>
      <c r="B231" s="506">
        <f>+'1.3.2 Coal1'!B36</f>
        <v>168.65600000000001</v>
      </c>
      <c r="C231" s="506">
        <f>+'1.3.2 Coal1'!C36</f>
        <v>4.0640000000000001</v>
      </c>
      <c r="D231" s="506"/>
      <c r="E231" s="506">
        <f>+'1.3.2 Coal1'!E36</f>
        <v>13.9192</v>
      </c>
      <c r="F231" s="506">
        <f>+'1.3.2 Coal1'!F36</f>
        <v>6.4008000000000003</v>
      </c>
      <c r="G231" s="506">
        <f>+'1.3.2 Coal1'!G36</f>
        <v>16.967199999999998</v>
      </c>
      <c r="H231" s="506">
        <f>+'1.3.2 Coal1'!H36</f>
        <v>7.0104000000000006</v>
      </c>
      <c r="I231" s="506">
        <f>+'1.3.2 Coal1'!I36</f>
        <v>11.684000000000001</v>
      </c>
      <c r="J231" s="940">
        <f>+'1.3.3 Coal2'!J31</f>
        <v>33.74136</v>
      </c>
      <c r="K231" s="940">
        <f>+'1.3.3 Coal2'!K31</f>
        <v>36.769039999999997</v>
      </c>
      <c r="L231" s="940">
        <f>+'1.3.3 Coal2'!L31</f>
        <v>4.9580799999999998</v>
      </c>
      <c r="M231" s="940">
        <f>+'1.3.3 Coal2'!M31</f>
        <v>4.0640000000000001</v>
      </c>
      <c r="N231" s="506">
        <f>+'1.3.2 Coal1'!N36</f>
        <v>1.2192000000000001</v>
      </c>
      <c r="O231" s="506"/>
      <c r="P231" s="506"/>
      <c r="Q231" s="603">
        <f t="shared" si="6"/>
        <v>92.435679999999991</v>
      </c>
      <c r="R231" s="506">
        <f t="shared" si="7"/>
        <v>136.73327999999998</v>
      </c>
      <c r="S231" s="506">
        <f>+'1.3.2 Coal1'!S36</f>
        <v>36.169600000000003</v>
      </c>
      <c r="T231" s="506">
        <f>+'1.3.2 Coal1'!T36</f>
        <v>168.65600000000001</v>
      </c>
    </row>
    <row r="232" spans="1:20" x14ac:dyDescent="0.45">
      <c r="A232" s="14">
        <v>1922</v>
      </c>
      <c r="B232" s="506">
        <f>+'1.3.2 Coal1'!B37</f>
        <v>253.6952</v>
      </c>
      <c r="C232" s="506">
        <f>+'1.3.2 Coal1'!C37</f>
        <v>4</v>
      </c>
      <c r="D232" s="506"/>
      <c r="E232" s="506">
        <f>+'1.3.2 Coal1'!E37</f>
        <v>16.5608</v>
      </c>
      <c r="F232" s="506">
        <f>+'1.3.2 Coal1'!F37</f>
        <v>6.9088000000000003</v>
      </c>
      <c r="G232" s="506">
        <f>+'1.3.2 Coal1'!G37</f>
        <v>16.865600000000001</v>
      </c>
      <c r="H232" s="506">
        <f>+'1.3.2 Coal1'!H37</f>
        <v>13.5128</v>
      </c>
      <c r="I232" s="506">
        <f>+'1.3.2 Coal1'!I37</f>
        <v>13.5128</v>
      </c>
      <c r="J232" s="940">
        <f>+'1.3.3 Coal2'!J32</f>
        <v>39.674799999999998</v>
      </c>
      <c r="K232" s="940">
        <f>+'1.3.3 Coal2'!K32</f>
        <v>46.278799999999997</v>
      </c>
      <c r="L232" s="940">
        <f>+'1.3.3 Coal2'!L32</f>
        <v>5.93344</v>
      </c>
      <c r="M232" s="940">
        <f>+'1.3.3 Coal2'!M32</f>
        <v>5.9232800000000001</v>
      </c>
      <c r="N232" s="506">
        <f>+'1.3.2 Coal1'!N37</f>
        <v>1.6256000000000002</v>
      </c>
      <c r="O232" s="506"/>
      <c r="P232" s="506"/>
      <c r="Q232" s="603">
        <f t="shared" si="6"/>
        <v>112.94872000000001</v>
      </c>
      <c r="R232" s="506">
        <f t="shared" si="7"/>
        <v>166.79671999999999</v>
      </c>
      <c r="S232" s="506">
        <f>+'1.3.2 Coal1'!S37</f>
        <v>83.820000000000007</v>
      </c>
      <c r="T232" s="506">
        <f>+'1.3.2 Coal1'!T37</f>
        <v>253.6952</v>
      </c>
    </row>
    <row r="233" spans="1:20" x14ac:dyDescent="0.45">
      <c r="A233" s="14">
        <v>1923</v>
      </c>
      <c r="B233" s="506">
        <f>+'1.3.2 Coal1'!B38</f>
        <v>281.53360000000004</v>
      </c>
      <c r="C233" s="506">
        <f>+'1.3.2 Coal1'!C38</f>
        <v>2.9464000000000001</v>
      </c>
      <c r="D233" s="506"/>
      <c r="E233" s="506">
        <f>+'1.3.2 Coal1'!E38</f>
        <v>17.170399999999997</v>
      </c>
      <c r="F233" s="506">
        <f>+'1.3.2 Coal1'!F38</f>
        <v>7.3151999999999999</v>
      </c>
      <c r="G233" s="506">
        <f>+'1.3.2 Coal1'!G38</f>
        <v>17.475200000000001</v>
      </c>
      <c r="H233" s="506">
        <f>+'1.3.2 Coal1'!H38</f>
        <v>20.116800000000001</v>
      </c>
      <c r="I233" s="506">
        <f>+'1.3.2 Coal1'!I38</f>
        <v>14.224</v>
      </c>
      <c r="J233" s="940">
        <f>+'1.3.3 Coal2'!J33</f>
        <v>40.020240000000001</v>
      </c>
      <c r="K233" s="940">
        <f>+'1.3.3 Coal2'!K33</f>
        <v>50.627279999999999</v>
      </c>
      <c r="L233" s="940">
        <f>+'1.3.3 Coal2'!L33</f>
        <v>6.0553600000000003</v>
      </c>
      <c r="M233" s="940">
        <f>+'1.3.3 Coal2'!M33</f>
        <v>6.5735200000000003</v>
      </c>
      <c r="N233" s="506">
        <f>+'1.3.2 Coal1'!N38</f>
        <v>0</v>
      </c>
      <c r="O233" s="506"/>
      <c r="P233" s="506"/>
      <c r="Q233" s="603">
        <f t="shared" si="6"/>
        <v>117.50040000000001</v>
      </c>
      <c r="R233" s="506">
        <f t="shared" si="7"/>
        <v>179.57800000000003</v>
      </c>
      <c r="S233" s="506">
        <f>+'1.3.2 Coal1'!S38</f>
        <v>98.958400000000012</v>
      </c>
      <c r="T233" s="506">
        <f>+'1.3.2 Coal1'!T38</f>
        <v>281.53359999999998</v>
      </c>
    </row>
    <row r="234" spans="1:20" x14ac:dyDescent="0.45">
      <c r="A234" s="14">
        <v>1924</v>
      </c>
      <c r="B234" s="506">
        <f>+'1.3.2 Coal1'!B39</f>
        <v>268.93520000000001</v>
      </c>
      <c r="C234" s="506">
        <f>+'1.3.2 Coal1'!C39</f>
        <v>5.3848000000000003</v>
      </c>
      <c r="D234" s="506"/>
      <c r="E234" s="506">
        <f>+'1.3.2 Coal1'!E39</f>
        <v>16.865600000000001</v>
      </c>
      <c r="F234" s="506">
        <f>+'1.3.2 Coal1'!F39</f>
        <v>7.8231999999999999</v>
      </c>
      <c r="G234" s="506">
        <f>+'1.3.2 Coal1'!G39</f>
        <v>18.389600000000002</v>
      </c>
      <c r="H234" s="506">
        <f>+'1.3.2 Coal1'!H39</f>
        <v>19.202399999999997</v>
      </c>
      <c r="I234" s="506">
        <f>+'1.3.2 Coal1'!I39</f>
        <v>14.427199999999999</v>
      </c>
      <c r="J234" s="940">
        <f>+'1.3.3 Coal2'!J34</f>
        <v>42.539919999999995</v>
      </c>
      <c r="K234" s="940">
        <f>+'1.3.3 Coal2'!K34</f>
        <v>51.135280000000002</v>
      </c>
      <c r="L234" s="940">
        <f>+'1.3.3 Coal2'!L34</f>
        <v>6.3601599999999996</v>
      </c>
      <c r="M234" s="940">
        <f>+'1.3.3 Coal2'!M34</f>
        <v>6.6751200000000006</v>
      </c>
      <c r="N234" s="506">
        <f>+'1.3.2 Coal1'!N39</f>
        <v>0</v>
      </c>
      <c r="O234" s="506"/>
      <c r="P234" s="506"/>
      <c r="Q234" s="603">
        <f t="shared" si="6"/>
        <v>121.13767999999999</v>
      </c>
      <c r="R234" s="506">
        <f t="shared" si="7"/>
        <v>183.41847999999999</v>
      </c>
      <c r="S234" s="506">
        <f>+'1.3.2 Coal1'!S39</f>
        <v>80.467200000000005</v>
      </c>
      <c r="T234" s="506">
        <f>+'1.3.2 Coal1'!T39</f>
        <v>268.93520000000001</v>
      </c>
    </row>
    <row r="235" spans="1:20" x14ac:dyDescent="0.45">
      <c r="A235" s="14">
        <v>1925</v>
      </c>
      <c r="B235" s="506">
        <f>+'1.3.2 Coal1'!B40</f>
        <v>247.39600000000002</v>
      </c>
      <c r="C235" s="506">
        <f>+'1.3.2 Coal1'!C40</f>
        <v>5.08</v>
      </c>
      <c r="D235" s="506"/>
      <c r="E235" s="506">
        <f>+'1.3.2 Coal1'!E40</f>
        <v>15.6464</v>
      </c>
      <c r="F235" s="506">
        <f>+'1.3.2 Coal1'!F40</f>
        <v>8.2295999999999996</v>
      </c>
      <c r="G235" s="506">
        <f>+'1.3.2 Coal1'!G40</f>
        <v>18.084800000000001</v>
      </c>
      <c r="H235" s="506">
        <f>+'1.3.2 Coal1'!H40</f>
        <v>16.662399999999998</v>
      </c>
      <c r="I235" s="506">
        <f>+'1.3.2 Coal1'!I40</f>
        <v>14.3256</v>
      </c>
      <c r="J235" s="940">
        <f>+'1.3.3 Coal2'!J35</f>
        <v>42.001440000000002</v>
      </c>
      <c r="K235" s="940">
        <f>+'1.3.3 Coal2'!K35</f>
        <v>48.341279999999998</v>
      </c>
      <c r="L235" s="940">
        <f>+'1.3.3 Coal2'!L35</f>
        <v>6.1671200000000006</v>
      </c>
      <c r="M235" s="940">
        <f>+'1.3.3 Coal2'!M35</f>
        <v>6.1467999999999998</v>
      </c>
      <c r="N235" s="506">
        <f>+'1.3.2 Coal1'!N40</f>
        <v>0</v>
      </c>
      <c r="O235" s="506"/>
      <c r="P235" s="506"/>
      <c r="Q235" s="603">
        <f t="shared" si="6"/>
        <v>116.98223999999999</v>
      </c>
      <c r="R235" s="506">
        <f t="shared" si="7"/>
        <v>175.60543999999999</v>
      </c>
      <c r="S235" s="506">
        <f>+'1.3.2 Coal1'!S40</f>
        <v>68.173599999999993</v>
      </c>
      <c r="T235" s="506">
        <f>+'1.3.2 Coal1'!T40</f>
        <v>247.39600000000002</v>
      </c>
    </row>
    <row r="236" spans="1:20" x14ac:dyDescent="0.45">
      <c r="A236" s="14">
        <v>1926</v>
      </c>
      <c r="B236" s="506">
        <f>+'1.3.2 Coal1'!B41</f>
        <v>151.79040000000001</v>
      </c>
      <c r="C236" s="506">
        <f>+'1.3.2 Coal1'!C41</f>
        <v>1.9303999999999999</v>
      </c>
      <c r="D236" s="506"/>
      <c r="E236" s="506">
        <f>+'1.3.2 Coal1'!E41</f>
        <v>7.7215999999999996</v>
      </c>
      <c r="F236" s="506">
        <f>+'1.3.2 Coal1'!F41</f>
        <v>8.4328000000000003</v>
      </c>
      <c r="G236" s="506">
        <f>+'1.3.2 Coal1'!G41</f>
        <v>17.576800000000002</v>
      </c>
      <c r="H236" s="506">
        <f>+'1.3.2 Coal1'!H41</f>
        <v>7.2135999999999996</v>
      </c>
      <c r="I236" s="506">
        <f>+'1.3.2 Coal1'!I41</f>
        <v>12.2936</v>
      </c>
      <c r="J236" s="940">
        <f>+'1.3.3 Coal2'!J36</f>
        <v>33.375599999999999</v>
      </c>
      <c r="K236" s="940">
        <f>+'1.3.3 Coal2'!K36</f>
        <v>32.451039999999999</v>
      </c>
      <c r="L236" s="940">
        <f>+'1.3.3 Coal2'!L36</f>
        <v>4.6634399999999996</v>
      </c>
      <c r="M236" s="940">
        <f>+'1.3.3 Coal2'!M36</f>
        <v>2.3063199999999999</v>
      </c>
      <c r="N236" s="506">
        <f>+'1.3.2 Coal1'!N41</f>
        <v>0</v>
      </c>
      <c r="O236" s="506"/>
      <c r="P236" s="506"/>
      <c r="Q236" s="603">
        <f t="shared" si="6"/>
        <v>85.089999999999989</v>
      </c>
      <c r="R236" s="506">
        <f t="shared" si="7"/>
        <v>126.03479999999999</v>
      </c>
      <c r="S236" s="506">
        <f>+'1.3.2 Coal1'!S41</f>
        <v>28.549600000000002</v>
      </c>
      <c r="T236" s="506">
        <f>+'1.3.2 Coal1'!T41</f>
        <v>151.79040000000001</v>
      </c>
    </row>
    <row r="237" spans="1:20" x14ac:dyDescent="0.45">
      <c r="A237" s="14">
        <v>1927</v>
      </c>
      <c r="B237" s="506">
        <f>+'1.3.2 Coal1'!B42</f>
        <v>255.11760000000001</v>
      </c>
      <c r="C237" s="506">
        <f>+'1.3.2 Coal1'!C42</f>
        <v>4.4704000000000006</v>
      </c>
      <c r="D237" s="506"/>
      <c r="E237" s="506">
        <f>+'1.3.2 Coal1'!E42</f>
        <v>14.833600000000001</v>
      </c>
      <c r="F237" s="506">
        <f>+'1.3.2 Coal1'!F42</f>
        <v>9.1440000000000001</v>
      </c>
      <c r="G237" s="506">
        <f>+'1.3.2 Coal1'!G42</f>
        <v>18.795999999999999</v>
      </c>
      <c r="H237" s="506">
        <f>+'1.3.2 Coal1'!H42</f>
        <v>17.6784</v>
      </c>
      <c r="I237" s="506">
        <f>+'1.3.2 Coal1'!I42</f>
        <v>14.5288</v>
      </c>
      <c r="J237" s="940">
        <f>+'1.3.3 Coal2'!J37</f>
        <v>45.374559999999995</v>
      </c>
      <c r="K237" s="940">
        <f>+'1.3.3 Coal2'!K37</f>
        <v>48.910240000000002</v>
      </c>
      <c r="L237" s="940">
        <f>+'1.3.3 Coal2'!L37</f>
        <v>6.35</v>
      </c>
      <c r="M237" s="940">
        <f>+'1.3.3 Coal2'!M37</f>
        <v>5.6794399999999996</v>
      </c>
      <c r="N237" s="506">
        <f>+'1.3.2 Coal1'!N42</f>
        <v>0</v>
      </c>
      <c r="O237" s="506"/>
      <c r="P237" s="506"/>
      <c r="Q237" s="603">
        <f t="shared" si="6"/>
        <v>120.84303999999999</v>
      </c>
      <c r="R237" s="506">
        <f t="shared" si="7"/>
        <v>181.29503999999997</v>
      </c>
      <c r="S237" s="506">
        <f>+'1.3.2 Coal1'!S42</f>
        <v>68.783200000000008</v>
      </c>
      <c r="T237" s="506">
        <f>+'1.3.2 Coal1'!T42</f>
        <v>255.11760000000004</v>
      </c>
    </row>
    <row r="238" spans="1:20" x14ac:dyDescent="0.45">
      <c r="A238" s="14">
        <v>1928</v>
      </c>
      <c r="B238" s="506">
        <f>+'1.3.2 Coal1'!B43</f>
        <v>241.7064</v>
      </c>
      <c r="C238" s="506">
        <f>+'1.3.2 Coal1'!C43</f>
        <v>4.0640000000000001</v>
      </c>
      <c r="D238" s="506"/>
      <c r="E238" s="506">
        <f>+'1.3.2 Coal1'!E43</f>
        <v>13.716000000000001</v>
      </c>
      <c r="F238" s="506">
        <f>+'1.3.2 Coal1'!F43</f>
        <v>9.4488000000000003</v>
      </c>
      <c r="G238" s="506">
        <f>+'1.3.2 Coal1'!G43</f>
        <v>18.5928</v>
      </c>
      <c r="H238" s="506">
        <f>+'1.3.2 Coal1'!H43</f>
        <v>17.6784</v>
      </c>
      <c r="I238" s="506">
        <f>+'1.3.2 Coal1'!I43</f>
        <v>14.020800000000001</v>
      </c>
      <c r="J238" s="940">
        <f>+'1.3.3 Coal2'!J38</f>
        <v>42.468799999999995</v>
      </c>
      <c r="K238" s="940">
        <f>+'1.3.3 Coal2'!K38</f>
        <v>44.277279999999998</v>
      </c>
      <c r="L238" s="940">
        <f>+'1.3.3 Coal2'!L38</f>
        <v>5.9131200000000002</v>
      </c>
      <c r="M238" s="940">
        <f>+'1.3.3 Coal2'!M38</f>
        <v>5.2425600000000001</v>
      </c>
      <c r="N238" s="506">
        <f>+'1.3.2 Coal1'!N43</f>
        <v>0</v>
      </c>
      <c r="O238" s="506"/>
      <c r="P238" s="506"/>
      <c r="Q238" s="603">
        <f t="shared" si="6"/>
        <v>111.92255999999999</v>
      </c>
      <c r="R238" s="506">
        <f t="shared" si="7"/>
        <v>171.35855999999998</v>
      </c>
      <c r="S238" s="506">
        <f>+'1.3.2 Coal1'!S43</f>
        <v>67.665599999999998</v>
      </c>
      <c r="T238" s="506">
        <f>+'1.3.2 Coal1'!T43</f>
        <v>241.70640000000003</v>
      </c>
    </row>
    <row r="239" spans="1:20" x14ac:dyDescent="0.45">
      <c r="A239" s="14">
        <v>1929</v>
      </c>
      <c r="B239" s="506">
        <f>+'1.3.2 Coal1'!B44</f>
        <v>262.12799999999999</v>
      </c>
      <c r="C239" s="506">
        <f>+'1.3.2 Coal1'!C44</f>
        <v>3.9624000000000001</v>
      </c>
      <c r="D239" s="506"/>
      <c r="E239" s="506">
        <f>+'1.3.2 Coal1'!E44</f>
        <v>13.9192</v>
      </c>
      <c r="F239" s="506">
        <f>+'1.3.2 Coal1'!F44</f>
        <v>9.9568000000000012</v>
      </c>
      <c r="G239" s="506">
        <f>+'1.3.2 Coal1'!G44</f>
        <v>18.897600000000001</v>
      </c>
      <c r="H239" s="506">
        <f>+'1.3.2 Coal1'!H44</f>
        <v>20.32</v>
      </c>
      <c r="I239" s="506">
        <f>+'1.3.2 Coal1'!I44</f>
        <v>14.3256</v>
      </c>
      <c r="J239" s="940">
        <f>+'1.3.3 Coal2'!J39</f>
        <v>44.541440000000001</v>
      </c>
      <c r="K239" s="940">
        <f>+'1.3.3 Coal2'!K39</f>
        <v>45.140880000000003</v>
      </c>
      <c r="L239" s="940">
        <f>+'1.3.3 Coal2'!L39</f>
        <v>6.0756800000000002</v>
      </c>
      <c r="M239" s="940">
        <f>+'1.3.3 Coal2'!M39</f>
        <v>5.3136800000000006</v>
      </c>
      <c r="N239" s="506">
        <f>+'1.3.2 Coal1'!N44</f>
        <v>0</v>
      </c>
      <c r="O239" s="506"/>
      <c r="P239" s="506"/>
      <c r="Q239" s="603">
        <f t="shared" si="6"/>
        <v>115.39728000000002</v>
      </c>
      <c r="R239" s="506">
        <f t="shared" si="7"/>
        <v>178.49088000000003</v>
      </c>
      <c r="S239" s="506">
        <f>+'1.3.2 Coal1'!S44</f>
        <v>77.724000000000004</v>
      </c>
      <c r="T239" s="506">
        <f>+'1.3.2 Coal1'!T44</f>
        <v>262.12799999999999</v>
      </c>
    </row>
    <row r="240" spans="1:20" x14ac:dyDescent="0.45">
      <c r="A240" s="14">
        <v>1930</v>
      </c>
      <c r="B240" s="506">
        <f>+'1.3.2 Coal1'!B45</f>
        <v>246.0752</v>
      </c>
      <c r="C240" s="506">
        <f>+'1.3.2 Coal1'!C45</f>
        <v>5.6895999999999995</v>
      </c>
      <c r="D240" s="506"/>
      <c r="E240" s="506">
        <f>+'1.3.2 Coal1'!E45</f>
        <v>13.716000000000001</v>
      </c>
      <c r="F240" s="506">
        <f>+'1.3.2 Coal1'!F45</f>
        <v>9.8552</v>
      </c>
      <c r="G240" s="506">
        <f>+'1.3.2 Coal1'!G45</f>
        <v>18.694399999999998</v>
      </c>
      <c r="H240" s="506">
        <f>+'1.3.2 Coal1'!H45</f>
        <v>17.475200000000001</v>
      </c>
      <c r="I240" s="506">
        <f>+'1.3.2 Coal1'!I45</f>
        <v>13.817600000000001</v>
      </c>
      <c r="J240" s="940">
        <f>+'1.3.3 Coal2'!J40</f>
        <v>43.738799999999998</v>
      </c>
      <c r="K240" s="940">
        <f>+'1.3.3 Coal2'!K40</f>
        <v>41.564560000000007</v>
      </c>
      <c r="L240" s="940">
        <f>+'1.3.3 Coal2'!L40</f>
        <v>5.9029599999999993</v>
      </c>
      <c r="M240" s="940">
        <f>+'1.3.3 Coal2'!M40</f>
        <v>5.1409599999999998</v>
      </c>
      <c r="N240" s="506">
        <f>+'1.3.2 Coal1'!N45</f>
        <v>0</v>
      </c>
      <c r="O240" s="506"/>
      <c r="P240" s="506"/>
      <c r="Q240" s="603">
        <f t="shared" si="6"/>
        <v>110.16487999999998</v>
      </c>
      <c r="R240" s="506">
        <f t="shared" si="7"/>
        <v>169.90567999999999</v>
      </c>
      <c r="S240" s="506">
        <f>+'1.3.2 Coal1'!S45</f>
        <v>71.424800000000005</v>
      </c>
      <c r="T240" s="506">
        <f>+'1.3.2 Coal1'!T45</f>
        <v>246.07520000000002</v>
      </c>
    </row>
    <row r="241" spans="1:20" x14ac:dyDescent="0.45">
      <c r="A241" s="14">
        <v>1931</v>
      </c>
      <c r="B241" s="506">
        <f>+'1.3.2 Coal1'!B46</f>
        <v>220.06559999999999</v>
      </c>
      <c r="C241" s="506">
        <f>+'1.3.2 Coal1'!C46</f>
        <v>8.6359999999999992</v>
      </c>
      <c r="D241" s="506"/>
      <c r="E241" s="506">
        <f>+'1.3.2 Coal1'!E46</f>
        <v>12.801600000000001</v>
      </c>
      <c r="F241" s="506">
        <f>+'1.3.2 Coal1'!F46</f>
        <v>9.7536000000000005</v>
      </c>
      <c r="G241" s="506">
        <f>+'1.3.2 Coal1'!G46</f>
        <v>18.389600000000002</v>
      </c>
      <c r="H241" s="506">
        <f>+'1.3.2 Coal1'!H46</f>
        <v>12.9032</v>
      </c>
      <c r="I241" s="506">
        <f>+'1.3.2 Coal1'!I46</f>
        <v>13.208</v>
      </c>
      <c r="J241" s="940">
        <f>+'1.3.3 Coal2'!J41</f>
        <v>42.71264</v>
      </c>
      <c r="K241" s="940">
        <f>+'1.3.3 Coal2'!K41</f>
        <v>39.542720000000003</v>
      </c>
      <c r="L241" s="940">
        <f>+'1.3.3 Coal2'!L41</f>
        <v>5.8115199999999998</v>
      </c>
      <c r="M241" s="940">
        <f>+'1.3.3 Coal2'!M41</f>
        <v>4.8564800000000004</v>
      </c>
      <c r="N241" s="506">
        <f>+'1.3.2 Coal1'!N46</f>
        <v>0</v>
      </c>
      <c r="O241" s="506"/>
      <c r="P241" s="506"/>
      <c r="Q241" s="603">
        <f t="shared" si="6"/>
        <v>106.13136</v>
      </c>
      <c r="R241" s="506">
        <f t="shared" si="7"/>
        <v>159.97935999999999</v>
      </c>
      <c r="S241" s="506">
        <f>+'1.3.2 Coal1'!S46</f>
        <v>58.013600000000004</v>
      </c>
      <c r="T241" s="506">
        <f>+'1.3.2 Coal1'!T46</f>
        <v>220.06559999999999</v>
      </c>
    </row>
    <row r="242" spans="1:20" x14ac:dyDescent="0.45">
      <c r="A242" s="14">
        <v>1932</v>
      </c>
      <c r="B242" s="506">
        <f>+'1.3.2 Coal1'!B47</f>
        <v>212.852</v>
      </c>
      <c r="C242" s="506">
        <f>+'1.3.2 Coal1'!C47</f>
        <v>7.8231999999999999</v>
      </c>
      <c r="D242" s="506"/>
      <c r="E242" s="506">
        <f>+'1.3.2 Coal1'!E47</f>
        <v>12.192</v>
      </c>
      <c r="F242" s="506">
        <f>+'1.3.2 Coal1'!F47</f>
        <v>9.9568000000000012</v>
      </c>
      <c r="G242" s="506">
        <f>+'1.3.2 Coal1'!G47</f>
        <v>17.9832</v>
      </c>
      <c r="H242" s="506">
        <f>+'1.3.2 Coal1'!H47</f>
        <v>12.9032</v>
      </c>
      <c r="I242" s="506">
        <f>+'1.3.2 Coal1'!I47</f>
        <v>12.5984</v>
      </c>
      <c r="J242" s="940">
        <f>+'1.3.3 Coal2'!J42</f>
        <v>40.49776</v>
      </c>
      <c r="K242" s="940">
        <f>+'1.3.3 Coal2'!K42</f>
        <v>38.049200000000006</v>
      </c>
      <c r="L242" s="940">
        <f>+'1.3.3 Coal2'!L42</f>
        <v>5.5778400000000001</v>
      </c>
      <c r="M242" s="940">
        <f>+'1.3.3 Coal2'!M42</f>
        <v>4.5618400000000001</v>
      </c>
      <c r="N242" s="506">
        <f>+'1.3.2 Coal1'!N47</f>
        <v>0</v>
      </c>
      <c r="O242" s="506"/>
      <c r="P242" s="506"/>
      <c r="Q242" s="603">
        <f t="shared" si="6"/>
        <v>101.28504000000001</v>
      </c>
      <c r="R242" s="506">
        <f t="shared" si="7"/>
        <v>154.32024000000001</v>
      </c>
      <c r="S242" s="506">
        <f>+'1.3.2 Coal1'!S47</f>
        <v>53.746400000000008</v>
      </c>
      <c r="T242" s="506">
        <f>+'1.3.2 Coal1'!T47</f>
        <v>212.85200000000003</v>
      </c>
    </row>
    <row r="243" spans="1:20" x14ac:dyDescent="0.45">
      <c r="A243" s="14">
        <v>1933</v>
      </c>
      <c r="B243" s="506">
        <f>+'1.3.2 Coal1'!B48</f>
        <v>212.03919999999999</v>
      </c>
      <c r="C243" s="506">
        <f>+'1.3.2 Coal1'!C48</f>
        <v>6.1975999999999996</v>
      </c>
      <c r="D243" s="506"/>
      <c r="E243" s="506">
        <f>+'1.3.2 Coal1'!E48</f>
        <v>11.785600000000001</v>
      </c>
      <c r="F243" s="506">
        <f>+'1.3.2 Coal1'!F48</f>
        <v>10.4648</v>
      </c>
      <c r="G243" s="506">
        <f>+'1.3.2 Coal1'!G48</f>
        <v>17.6784</v>
      </c>
      <c r="H243" s="506">
        <f>+'1.3.2 Coal1'!H48</f>
        <v>13.3096</v>
      </c>
      <c r="I243" s="506">
        <f>+'1.3.2 Coal1'!I48</f>
        <v>12.5984</v>
      </c>
      <c r="J243" s="940">
        <f>+'1.3.3 Coal2'!J43</f>
        <v>41.554400000000001</v>
      </c>
      <c r="K243" s="940">
        <f>+'1.3.3 Coal2'!K43</f>
        <v>40.010080000000002</v>
      </c>
      <c r="L243" s="940">
        <f>+'1.3.3 Coal2'!L43</f>
        <v>5.6997600000000004</v>
      </c>
      <c r="M243" s="940">
        <f>+'1.3.3 Coal2'!M43</f>
        <v>4.2671999999999999</v>
      </c>
      <c r="N243" s="506">
        <f>+'1.3.2 Coal1'!N48</f>
        <v>0</v>
      </c>
      <c r="O243" s="506"/>
      <c r="P243" s="506"/>
      <c r="Q243" s="603">
        <f t="shared" si="6"/>
        <v>104.12984</v>
      </c>
      <c r="R243" s="506">
        <f t="shared" si="7"/>
        <v>157.36824000000001</v>
      </c>
      <c r="S243" s="506">
        <f>+'1.3.2 Coal1'!S48</f>
        <v>53.035199999999996</v>
      </c>
      <c r="T243" s="506">
        <f>+'1.3.2 Coal1'!T48</f>
        <v>212.03919999999999</v>
      </c>
    </row>
    <row r="244" spans="1:20" x14ac:dyDescent="0.45">
      <c r="A244" s="14">
        <v>1934</v>
      </c>
      <c r="B244" s="506">
        <f>+'1.3.2 Coal1'!B49</f>
        <v>224.2312</v>
      </c>
      <c r="C244" s="506">
        <f>+'1.3.2 Coal1'!C49</f>
        <v>6.1975999999999996</v>
      </c>
      <c r="D244" s="506"/>
      <c r="E244" s="506">
        <f>+'1.3.2 Coal1'!E49</f>
        <v>11.8872</v>
      </c>
      <c r="F244" s="506">
        <f>+'1.3.2 Coal1'!F49</f>
        <v>11.379199999999999</v>
      </c>
      <c r="G244" s="506">
        <f>+'1.3.2 Coal1'!G49</f>
        <v>18.186399999999999</v>
      </c>
      <c r="H244" s="506">
        <f>+'1.3.2 Coal1'!H49</f>
        <v>17.170399999999997</v>
      </c>
      <c r="I244" s="506">
        <f>+'1.3.2 Coal1'!I49</f>
        <v>13.106400000000001</v>
      </c>
      <c r="J244" s="940">
        <f>+'1.3.3 Coal2'!J44</f>
        <v>42.753279999999997</v>
      </c>
      <c r="K244" s="940">
        <f>+'1.3.3 Coal2'!K44</f>
        <v>42.682159999999996</v>
      </c>
      <c r="L244" s="940">
        <f>+'1.3.3 Coal2'!L44</f>
        <v>5.8928000000000003</v>
      </c>
      <c r="M244" s="940">
        <f>+'1.3.3 Coal2'!M44</f>
        <v>4.3179999999999996</v>
      </c>
      <c r="N244" s="506">
        <f>+'1.3.2 Coal1'!N49</f>
        <v>0</v>
      </c>
      <c r="O244" s="506"/>
      <c r="P244" s="506"/>
      <c r="Q244" s="603">
        <f t="shared" si="6"/>
        <v>108.75263999999999</v>
      </c>
      <c r="R244" s="506">
        <f t="shared" si="7"/>
        <v>167.37583999999998</v>
      </c>
      <c r="S244" s="506">
        <f>+'1.3.2 Coal1'!S49</f>
        <v>53.746400000000001</v>
      </c>
      <c r="T244" s="506">
        <f>+'1.3.2 Coal1'!T49</f>
        <v>224.2312</v>
      </c>
    </row>
    <row r="245" spans="1:20" x14ac:dyDescent="0.45">
      <c r="A245" s="14">
        <v>1935</v>
      </c>
      <c r="B245" s="506">
        <f>+'1.3.2 Coal1'!B50</f>
        <v>227.38080000000002</v>
      </c>
      <c r="C245" s="506">
        <f>+'1.3.2 Coal1'!C50</f>
        <v>4.5720000000000001</v>
      </c>
      <c r="D245" s="506"/>
      <c r="E245" s="506">
        <f>+'1.3.2 Coal1'!E50</f>
        <v>11.785600000000001</v>
      </c>
      <c r="F245" s="506">
        <f>+'1.3.2 Coal1'!F50</f>
        <v>12.395199999999999</v>
      </c>
      <c r="G245" s="506">
        <f>+'1.3.2 Coal1'!G50</f>
        <v>18.288</v>
      </c>
      <c r="H245" s="506">
        <f>+'1.3.2 Coal1'!H50</f>
        <v>17.6784</v>
      </c>
      <c r="I245" s="506">
        <f>+'1.3.2 Coal1'!I50</f>
        <v>13.208</v>
      </c>
      <c r="J245" s="940">
        <f>+'1.3.3 Coal2'!J45</f>
        <v>44.104559999999999</v>
      </c>
      <c r="K245" s="940">
        <f>+'1.3.3 Coal2'!K45</f>
        <v>44.846240000000002</v>
      </c>
      <c r="L245" s="940">
        <f>+'1.3.3 Coal2'!L45</f>
        <v>6.0858400000000001</v>
      </c>
      <c r="M245" s="940">
        <f>+'1.3.3 Coal2'!M45</f>
        <v>4.2671999999999999</v>
      </c>
      <c r="N245" s="506">
        <f>+'1.3.2 Coal1'!N50</f>
        <v>0</v>
      </c>
      <c r="O245" s="506"/>
      <c r="P245" s="506"/>
      <c r="Q245" s="603">
        <f t="shared" si="6"/>
        <v>112.51184000000001</v>
      </c>
      <c r="R245" s="506">
        <f t="shared" si="7"/>
        <v>172.65904</v>
      </c>
      <c r="S245" s="506">
        <f>+'1.3.2 Coal1'!S50</f>
        <v>51.714399999999998</v>
      </c>
      <c r="T245" s="506">
        <f>+'1.3.2 Coal1'!T50</f>
        <v>227.38080000000002</v>
      </c>
    </row>
    <row r="246" spans="1:20" x14ac:dyDescent="0.45">
      <c r="A246" s="14">
        <v>1936</v>
      </c>
      <c r="B246" s="506">
        <f>+'1.3.2 Coal1'!B51</f>
        <v>232.15600000000001</v>
      </c>
      <c r="C246" s="506">
        <f>+'1.3.2 Coal1'!C51</f>
        <v>4.4704000000000006</v>
      </c>
      <c r="D246" s="506"/>
      <c r="E246" s="506">
        <f>+'1.3.2 Coal1'!E51</f>
        <v>11.988800000000001</v>
      </c>
      <c r="F246" s="506">
        <f>+'1.3.2 Coal1'!F51</f>
        <v>13.817600000000001</v>
      </c>
      <c r="G246" s="506">
        <f>+'1.3.2 Coal1'!G51</f>
        <v>19.405600000000003</v>
      </c>
      <c r="H246" s="506">
        <f>+'1.3.2 Coal1'!H51</f>
        <v>20.421600000000002</v>
      </c>
      <c r="I246" s="506">
        <f>+'1.3.2 Coal1'!I51</f>
        <v>13.716000000000001</v>
      </c>
      <c r="J246" s="940">
        <f>+'1.3.3 Coal2'!J46</f>
        <v>45.466000000000001</v>
      </c>
      <c r="K246" s="940">
        <f>+'1.3.3 Coal2'!K46</f>
        <v>46.644560000000006</v>
      </c>
      <c r="L246" s="940">
        <f>+'1.3.3 Coal2'!L46</f>
        <v>6.2484000000000002</v>
      </c>
      <c r="M246" s="940">
        <f>+'1.3.3 Coal2'!M46</f>
        <v>4.3992800000000001</v>
      </c>
      <c r="N246" s="506">
        <f>+'1.3.2 Coal1'!N51</f>
        <v>0</v>
      </c>
      <c r="O246" s="506"/>
      <c r="P246" s="506"/>
      <c r="Q246" s="603">
        <f t="shared" si="6"/>
        <v>116.47424000000001</v>
      </c>
      <c r="R246" s="506">
        <f t="shared" si="7"/>
        <v>182.10784000000001</v>
      </c>
      <c r="S246" s="506">
        <f>+'1.3.2 Coal1'!S51</f>
        <v>47.040799999999997</v>
      </c>
      <c r="T246" s="506">
        <f>+'1.3.2 Coal1'!T51</f>
        <v>232.15599999999998</v>
      </c>
    </row>
    <row r="247" spans="1:20" x14ac:dyDescent="0.45">
      <c r="A247" s="14">
        <v>1937</v>
      </c>
      <c r="B247" s="506">
        <f>+'1.3.2 Coal1'!B52</f>
        <v>244.7544</v>
      </c>
      <c r="C247" s="506">
        <f>+'1.3.2 Coal1'!C52</f>
        <v>3.9624000000000001</v>
      </c>
      <c r="D247" s="506"/>
      <c r="E247" s="506">
        <f>+'1.3.2 Coal1'!E52</f>
        <v>12.395199999999999</v>
      </c>
      <c r="F247" s="506">
        <f>+'1.3.2 Coal1'!F52</f>
        <v>15.036800000000001</v>
      </c>
      <c r="G247" s="506">
        <f>+'1.3.2 Coal1'!G52</f>
        <v>19.7104</v>
      </c>
      <c r="H247" s="506">
        <f>+'1.3.2 Coal1'!H52</f>
        <v>22.250399999999999</v>
      </c>
      <c r="I247" s="506">
        <f>+'1.3.2 Coal1'!I52</f>
        <v>14.020800000000001</v>
      </c>
      <c r="J247" s="940">
        <f>+'1.3.3 Coal2'!J47</f>
        <v>46.177200000000006</v>
      </c>
      <c r="K247" s="940">
        <f>+'1.3.3 Coal2'!K47</f>
        <v>47.93488</v>
      </c>
      <c r="L247" s="940">
        <f>+'1.3.3 Coal2'!L47</f>
        <v>6.35</v>
      </c>
      <c r="M247" s="940">
        <f>+'1.3.3 Coal2'!M47</f>
        <v>4.58216</v>
      </c>
      <c r="N247" s="506">
        <f>+'1.3.2 Coal1'!N52</f>
        <v>0</v>
      </c>
      <c r="O247" s="506"/>
      <c r="P247" s="506"/>
      <c r="Q247" s="603">
        <f t="shared" si="6"/>
        <v>119.06504</v>
      </c>
      <c r="R247" s="506">
        <f t="shared" si="7"/>
        <v>188.45783999999998</v>
      </c>
      <c r="S247" s="506">
        <f>+'1.3.2 Coal1'!S52</f>
        <v>52.628799999999998</v>
      </c>
      <c r="T247" s="506">
        <f>+'1.3.2 Coal1'!T52</f>
        <v>244.75439999999998</v>
      </c>
    </row>
    <row r="248" spans="1:20" x14ac:dyDescent="0.45">
      <c r="A248" s="14">
        <v>1938</v>
      </c>
      <c r="B248" s="506">
        <f>+'1.3.2 Coal1'!B53</f>
        <v>227.68559999999999</v>
      </c>
      <c r="C248" s="506">
        <f>+'1.3.2 Coal1'!C53</f>
        <v>6.9088000000000003</v>
      </c>
      <c r="D248" s="506"/>
      <c r="E248" s="506">
        <f>+'1.3.2 Coal1'!E53</f>
        <v>12.090400000000001</v>
      </c>
      <c r="F248" s="506">
        <f>+'1.3.2 Coal1'!F53</f>
        <v>15.138400000000001</v>
      </c>
      <c r="G248" s="506">
        <f>+'1.3.2 Coal1'!G53</f>
        <v>19.405600000000003</v>
      </c>
      <c r="H248" s="506">
        <f>+'1.3.2 Coal1'!H53</f>
        <v>19.405600000000003</v>
      </c>
      <c r="I248" s="506">
        <f>+'1.3.2 Coal1'!I53</f>
        <v>13.411199999999999</v>
      </c>
      <c r="J248" s="940">
        <f>+'1.3.3 Coal2'!J48</f>
        <v>45.526960000000003</v>
      </c>
      <c r="K248" s="940">
        <f>+'1.3.3 Coal2'!K48</f>
        <v>46.004480000000001</v>
      </c>
      <c r="L248" s="940">
        <f>+'1.3.3 Coal2'!L48</f>
        <v>6.2991999999999999</v>
      </c>
      <c r="M248" s="940">
        <f>+'1.3.3 Coal2'!M48</f>
        <v>4.6532800000000005</v>
      </c>
      <c r="N248" s="506">
        <f>+'1.3.2 Coal1'!N53</f>
        <v>0</v>
      </c>
      <c r="O248" s="506"/>
      <c r="P248" s="506"/>
      <c r="Q248" s="603">
        <f t="shared" si="6"/>
        <v>115.89512000000001</v>
      </c>
      <c r="R248" s="506">
        <f t="shared" si="7"/>
        <v>181.93512000000001</v>
      </c>
      <c r="S248" s="506">
        <f>+'1.3.2 Coal1'!S53</f>
        <v>46.837600000000002</v>
      </c>
      <c r="T248" s="506">
        <f>+'1.3.2 Coal1'!T53</f>
        <v>227.68560000000002</v>
      </c>
    </row>
    <row r="249" spans="1:20" x14ac:dyDescent="0.45">
      <c r="A249" s="14">
        <v>1939</v>
      </c>
      <c r="B249" s="506">
        <f>+'1.3.2 Coal1'!B54</f>
        <v>236.62640000000002</v>
      </c>
      <c r="C249" s="506">
        <f>+'1.3.2 Coal1'!C54</f>
        <v>5.2831999999999999</v>
      </c>
      <c r="D249" s="506"/>
      <c r="E249" s="506">
        <f>+'1.3.2 Coal1'!E54</f>
        <v>12.2936</v>
      </c>
      <c r="F249" s="506">
        <f>+'1.3.2 Coal1'!F54</f>
        <v>16.154399999999999</v>
      </c>
      <c r="G249" s="506">
        <f>+'1.3.2 Coal1'!G54</f>
        <v>19.202399999999997</v>
      </c>
      <c r="H249" s="506">
        <f>+'1.3.2 Coal1'!H54</f>
        <v>20.726399999999998</v>
      </c>
      <c r="I249" s="506">
        <f>+'1.3.2 Coal1'!I54</f>
        <v>13.106400000000001</v>
      </c>
      <c r="J249" s="970">
        <f>J248+(J253-J248)/5</f>
        <v>45.037248000000005</v>
      </c>
      <c r="K249" s="970">
        <f t="shared" ref="K249:M249" si="8">K248+(K253-K248)/5</f>
        <v>44.728383999999998</v>
      </c>
      <c r="L249" s="970">
        <f t="shared" si="8"/>
        <v>8.0920336000000042</v>
      </c>
      <c r="M249" s="970">
        <f t="shared" si="8"/>
        <v>3.7226240000000006</v>
      </c>
      <c r="N249" s="506">
        <f>+'1.3.2 Coal1'!N54</f>
        <v>0</v>
      </c>
      <c r="O249" s="506"/>
      <c r="P249" s="506"/>
      <c r="Q249" s="603">
        <f t="shared" si="6"/>
        <v>114.68668960000001</v>
      </c>
      <c r="R249" s="506">
        <f t="shared" si="7"/>
        <v>183.06348960000003</v>
      </c>
      <c r="S249" s="506">
        <f>+'1.3.2 Coal1'!S54</f>
        <v>47.040800000000004</v>
      </c>
      <c r="T249" s="506">
        <f>+'1.3.2 Coal1'!T54</f>
        <v>236.62639999999999</v>
      </c>
    </row>
    <row r="250" spans="1:20" x14ac:dyDescent="0.45">
      <c r="A250" s="14">
        <v>1940</v>
      </c>
      <c r="B250" s="506">
        <f>+'1.3.2 Coal1'!B55</f>
        <v>228.6</v>
      </c>
      <c r="C250" s="506">
        <f>+'1.3.2 Coal1'!C55</f>
        <v>4.5720000000000001</v>
      </c>
      <c r="D250" s="506"/>
      <c r="E250" s="506">
        <f>+'1.3.2 Coal1'!E55</f>
        <v>12.4968</v>
      </c>
      <c r="F250" s="506">
        <f>+'1.3.2 Coal1'!F55</f>
        <v>18.389600000000002</v>
      </c>
      <c r="G250" s="506">
        <f>+'1.3.2 Coal1'!G55</f>
        <v>18.084800000000001</v>
      </c>
      <c r="H250" s="506">
        <f>+'1.3.2 Coal1'!H55</f>
        <v>22.6568</v>
      </c>
      <c r="I250" s="506">
        <f>+'1.3.2 Coal1'!I55</f>
        <v>13.716000000000001</v>
      </c>
      <c r="J250" s="970">
        <f t="shared" ref="J250:J252" si="9">J249+(J254-J249)/5</f>
        <v>44.076518400000005</v>
      </c>
      <c r="K250" s="970">
        <f t="shared" ref="K250:K252" si="10">K249+(K254-K249)/5</f>
        <v>43.301107199999997</v>
      </c>
      <c r="L250" s="970">
        <f t="shared" ref="L250:L252" si="11">L249+(L254-L249)/5</f>
        <v>9.8042780800000067</v>
      </c>
      <c r="M250" s="970">
        <f t="shared" ref="M250:M252" si="12">M249+(M254-M249)/5</f>
        <v>2.9780992000000004</v>
      </c>
      <c r="N250" s="506">
        <f>+'1.3.2 Coal1'!N55</f>
        <v>0</v>
      </c>
      <c r="O250" s="506"/>
      <c r="P250" s="506"/>
      <c r="Q250" s="603">
        <f t="shared" si="6"/>
        <v>113.87600288</v>
      </c>
      <c r="R250" s="506">
        <f t="shared" si="7"/>
        <v>185.50400288</v>
      </c>
      <c r="S250" s="506">
        <f>+'1.3.2 Coal1'!S55</f>
        <v>26.923999999999999</v>
      </c>
      <c r="T250" s="506">
        <f>+'1.3.2 Coal1'!T55</f>
        <v>225.85680000000002</v>
      </c>
    </row>
    <row r="251" spans="1:20" x14ac:dyDescent="0.45">
      <c r="A251" s="14">
        <v>1941</v>
      </c>
      <c r="B251" s="506">
        <f>+'1.3.2 Coal1'!B56</f>
        <v>210.7184</v>
      </c>
      <c r="C251" s="506">
        <f>+'1.3.2 Coal1'!C56</f>
        <v>3.3527999999999998</v>
      </c>
      <c r="D251" s="506"/>
      <c r="E251" s="506">
        <f>+'1.3.2 Coal1'!E56</f>
        <v>12.2936</v>
      </c>
      <c r="F251" s="506">
        <f>+'1.3.2 Coal1'!F56</f>
        <v>20.726399999999998</v>
      </c>
      <c r="G251" s="506">
        <f>+'1.3.2 Coal1'!G56</f>
        <v>19.405600000000003</v>
      </c>
      <c r="H251" s="506">
        <f>+'1.3.2 Coal1'!H56</f>
        <v>21.437600000000003</v>
      </c>
      <c r="I251" s="506">
        <f>+'1.3.2 Coal1'!I56</f>
        <v>14.020800000000001</v>
      </c>
      <c r="J251" s="970">
        <f t="shared" si="9"/>
        <v>42.657694720000002</v>
      </c>
      <c r="K251" s="970">
        <f t="shared" si="10"/>
        <v>41.752885759999998</v>
      </c>
      <c r="L251" s="970">
        <f t="shared" si="11"/>
        <v>10.866632064000004</v>
      </c>
      <c r="M251" s="970">
        <f t="shared" si="12"/>
        <v>2.3824793600000005</v>
      </c>
      <c r="N251" s="506">
        <f>+'1.3.2 Coal1'!N56</f>
        <v>0</v>
      </c>
      <c r="O251" s="506"/>
      <c r="P251" s="506"/>
      <c r="Q251" s="603">
        <f t="shared" si="6"/>
        <v>111.68049190400001</v>
      </c>
      <c r="R251" s="506">
        <f t="shared" si="7"/>
        <v>185.54369190400001</v>
      </c>
      <c r="S251" s="506">
        <f>+'1.3.2 Coal1'!S56</f>
        <v>9.550399999999998</v>
      </c>
      <c r="T251" s="506">
        <f>+'1.3.2 Coal1'!T56</f>
        <v>209.29599999999999</v>
      </c>
    </row>
    <row r="252" spans="1:20" x14ac:dyDescent="0.45">
      <c r="A252" s="14">
        <v>1942</v>
      </c>
      <c r="B252" s="506">
        <f>+'1.3.2 Coal1'!B57</f>
        <v>208.38159999999999</v>
      </c>
      <c r="C252" s="506">
        <f>+'1.3.2 Coal1'!C57</f>
        <v>3.2512000000000003</v>
      </c>
      <c r="D252" s="506"/>
      <c r="E252" s="506">
        <f>+'1.3.2 Coal1'!E57</f>
        <v>12.192</v>
      </c>
      <c r="F252" s="506">
        <f>+'1.3.2 Coal1'!F57</f>
        <v>22.6568</v>
      </c>
      <c r="G252" s="506">
        <f>+'1.3.2 Coal1'!G57</f>
        <v>21.031199999999998</v>
      </c>
      <c r="H252" s="506">
        <f>+'1.3.2 Coal1'!H57</f>
        <v>21.945600000000002</v>
      </c>
      <c r="I252" s="506">
        <f>+'1.3.2 Coal1'!I57</f>
        <v>14.731999999999999</v>
      </c>
      <c r="J252" s="970">
        <f t="shared" si="9"/>
        <v>41.299115776000001</v>
      </c>
      <c r="K252" s="970">
        <f t="shared" si="10"/>
        <v>41.123908608000001</v>
      </c>
      <c r="L252" s="970">
        <f t="shared" si="11"/>
        <v>11.67384325120001</v>
      </c>
      <c r="M252" s="970">
        <f t="shared" si="12"/>
        <v>1.9059834880000004</v>
      </c>
      <c r="N252" s="506">
        <f>+'1.3.2 Coal1'!N57</f>
        <v>0</v>
      </c>
      <c r="O252" s="506"/>
      <c r="P252" s="506"/>
      <c r="Q252" s="603">
        <f t="shared" si="6"/>
        <v>110.73485112320002</v>
      </c>
      <c r="R252" s="506">
        <f t="shared" si="7"/>
        <v>188.56045112320001</v>
      </c>
      <c r="S252" s="506">
        <f>+'1.3.2 Coal1'!S57</f>
        <v>7.9248000000000003</v>
      </c>
      <c r="T252" s="506">
        <f>+'1.3.2 Coal1'!T57</f>
        <v>208.48320000000001</v>
      </c>
    </row>
    <row r="253" spans="1:20" x14ac:dyDescent="0.45">
      <c r="A253" s="14">
        <v>1943</v>
      </c>
      <c r="B253" s="506">
        <f>+'1.3.2 Coal1'!B58</f>
        <v>197.4</v>
      </c>
      <c r="C253" s="506">
        <f>+'1.3.2 Coal1'!C58</f>
        <v>4.7751999999999999</v>
      </c>
      <c r="D253" s="506">
        <f>+'1.3.2 Coal1'!D58</f>
        <v>17.856200000000001</v>
      </c>
      <c r="E253" s="506">
        <f>+'1.3.2 Coal1'!E58</f>
        <v>11.785600000000001</v>
      </c>
      <c r="F253" s="506">
        <f>+'1.3.2 Coal1'!F58</f>
        <v>22.961600000000001</v>
      </c>
      <c r="G253" s="506">
        <f>+'1.3.2 Coal1'!G58</f>
        <v>21.1328</v>
      </c>
      <c r="H253" s="506">
        <f>+'1.3.2 Coal1'!H58</f>
        <v>21.922231999999997</v>
      </c>
      <c r="I253" s="506">
        <f>+'1.3.2 Coal1'!I58</f>
        <v>15.036800000000001</v>
      </c>
      <c r="J253" s="506">
        <f>+'1.3.2 Coal1'!J58</f>
        <v>43.078400000000002</v>
      </c>
      <c r="K253" s="506">
        <f>+'1.3.2 Coal1'!K58</f>
        <v>39.624000000000002</v>
      </c>
      <c r="L253" s="506">
        <f>+'1.3.2 Coal1'!L58</f>
        <v>15.263368000000025</v>
      </c>
      <c r="M253" s="506">
        <f>+'1.3.2 Coal1'!M58</f>
        <v>0</v>
      </c>
      <c r="N253" s="506">
        <f>+'1.3.2 Coal1'!N58</f>
        <v>0</v>
      </c>
      <c r="O253" s="506"/>
      <c r="P253" s="506"/>
      <c r="Q253" s="603">
        <f t="shared" si="6"/>
        <v>113.00256800000004</v>
      </c>
      <c r="R253" s="506">
        <f t="shared" si="7"/>
        <v>190.80480000000003</v>
      </c>
      <c r="S253" s="506">
        <f>+'1.3.2 Coal1'!S58</f>
        <v>8.1280000000000001</v>
      </c>
      <c r="T253" s="506">
        <f>+'1.3.2 Coal1'!T58</f>
        <v>201.57440000000003</v>
      </c>
    </row>
    <row r="254" spans="1:20" x14ac:dyDescent="0.45">
      <c r="A254" s="14">
        <v>1944</v>
      </c>
      <c r="B254" s="506">
        <f>+'1.3.2 Coal1'!B59</f>
        <v>194.86880000000002</v>
      </c>
      <c r="C254" s="506">
        <f>+'1.3.2 Coal1'!C59</f>
        <v>5.08</v>
      </c>
      <c r="D254" s="506">
        <f>+'1.3.2 Coal1'!D59</f>
        <v>16.287496000000001</v>
      </c>
      <c r="E254" s="506">
        <f>+'1.3.2 Coal1'!E59</f>
        <v>11.2776</v>
      </c>
      <c r="F254" s="506">
        <f>+'1.3.2 Coal1'!F59</f>
        <v>24.485600000000002</v>
      </c>
      <c r="G254" s="506">
        <f>+'1.3.2 Coal1'!G59</f>
        <v>21.031199999999998</v>
      </c>
      <c r="H254" s="506">
        <f>+'1.3.2 Coal1'!H59</f>
        <v>21.243544000000004</v>
      </c>
      <c r="I254" s="506">
        <f>+'1.3.2 Coal1'!I59</f>
        <v>15.24</v>
      </c>
      <c r="J254" s="506">
        <f>+'1.3.2 Coal1'!J59</f>
        <v>40.233600000000003</v>
      </c>
      <c r="K254" s="506">
        <f>+'1.3.2 Coal1'!K59</f>
        <v>37.591999999999999</v>
      </c>
      <c r="L254" s="506">
        <f>+'1.3.2 Coal1'!L59</f>
        <v>16.65325600000002</v>
      </c>
      <c r="M254" s="506">
        <f>+'1.3.2 Coal1'!M59</f>
        <v>0</v>
      </c>
      <c r="N254" s="506">
        <f>+'1.3.2 Coal1'!N59</f>
        <v>0</v>
      </c>
      <c r="O254" s="506"/>
      <c r="P254" s="506"/>
      <c r="Q254" s="603">
        <f t="shared" si="6"/>
        <v>109.71885600000002</v>
      </c>
      <c r="R254" s="506">
        <f t="shared" si="7"/>
        <v>187.7568</v>
      </c>
      <c r="S254" s="506">
        <f>+'1.3.2 Coal1'!S59</f>
        <v>6.1975999999999996</v>
      </c>
      <c r="T254" s="506">
        <f>+'1.3.2 Coal1'!T59</f>
        <v>196.49440000000001</v>
      </c>
    </row>
    <row r="255" spans="1:20" x14ac:dyDescent="0.45">
      <c r="A255" s="14">
        <v>1945</v>
      </c>
      <c r="B255" s="506">
        <f>+'1.3.2 Coal1'!B60</f>
        <v>187.24880000000002</v>
      </c>
      <c r="C255" s="506">
        <f>+'1.3.2 Coal1'!C60</f>
        <v>2.9464000000000001</v>
      </c>
      <c r="D255" s="506">
        <f>+'1.3.2 Coal1'!D60</f>
        <v>12.643103999999999</v>
      </c>
      <c r="E255" s="506">
        <f>+'1.3.2 Coal1'!E60</f>
        <v>10.667999999999999</v>
      </c>
      <c r="F255" s="506">
        <f>+'1.3.2 Coal1'!F60</f>
        <v>23.876000000000001</v>
      </c>
      <c r="G255" s="506">
        <f>+'1.3.2 Coal1'!G60</f>
        <v>21.335999999999999</v>
      </c>
      <c r="H255" s="506">
        <f>+'1.3.2 Coal1'!H60</f>
        <v>21.358352000000004</v>
      </c>
      <c r="I255" s="506">
        <f>+'1.3.2 Coal1'!I60</f>
        <v>14.833600000000001</v>
      </c>
      <c r="J255" s="506">
        <f>+'1.3.2 Coal1'!J60</f>
        <v>36.982399999999998</v>
      </c>
      <c r="K255" s="506">
        <f>+'1.3.2 Coal1'!K60</f>
        <v>35.56</v>
      </c>
      <c r="L255" s="506">
        <f>+'1.3.2 Coal1'!L60</f>
        <v>15.116047999999999</v>
      </c>
      <c r="M255" s="506">
        <f>+'1.3.2 Coal1'!M60</f>
        <v>0</v>
      </c>
      <c r="N255" s="506">
        <f>+'1.3.2 Coal1'!N60</f>
        <v>0</v>
      </c>
      <c r="O255" s="506"/>
      <c r="P255" s="506"/>
      <c r="Q255" s="603">
        <f t="shared" si="6"/>
        <v>102.49204800000001</v>
      </c>
      <c r="R255" s="506">
        <f t="shared" si="7"/>
        <v>179.7304</v>
      </c>
      <c r="S255" s="506">
        <f>+'1.3.2 Coal1'!S60</f>
        <v>8.7376000000000005</v>
      </c>
      <c r="T255" s="506">
        <f>+'1.3.2 Coal1'!T60</f>
        <v>191.00799999999998</v>
      </c>
    </row>
    <row r="256" spans="1:20" x14ac:dyDescent="0.45">
      <c r="A256" s="14">
        <v>1946</v>
      </c>
      <c r="B256" s="506">
        <f>+'1.3.2 Coal1'!B61</f>
        <v>194.1576</v>
      </c>
      <c r="C256" s="506">
        <f>+'1.3.2 Coal1'!C61</f>
        <v>1.8288</v>
      </c>
      <c r="D256" s="506">
        <f>+'1.3.2 Coal1'!D61</f>
        <v>8.6014560000000007</v>
      </c>
      <c r="E256" s="506">
        <f>+'1.3.2 Coal1'!E61</f>
        <v>10.769600000000001</v>
      </c>
      <c r="F256" s="506">
        <f>+'1.3.2 Coal1'!F61</f>
        <v>26.619199999999999</v>
      </c>
      <c r="G256" s="506">
        <f>+'1.3.2 Coal1'!G61</f>
        <v>23.063199999999998</v>
      </c>
      <c r="H256" s="506">
        <f>+'1.3.2 Coal1'!H61</f>
        <v>21.876512000000002</v>
      </c>
      <c r="I256" s="506">
        <f>+'1.3.2 Coal1'!I61</f>
        <v>15.036800000000001</v>
      </c>
      <c r="J256" s="506">
        <f>+'1.3.2 Coal1'!J61</f>
        <v>35.864799999999995</v>
      </c>
      <c r="K256" s="506">
        <f>+'1.3.2 Coal1'!K61</f>
        <v>38.608000000000004</v>
      </c>
      <c r="L256" s="506">
        <f>+'1.3.2 Coal1'!L61</f>
        <v>14.902688000000033</v>
      </c>
      <c r="M256" s="506">
        <f>+'1.3.2 Coal1'!M61</f>
        <v>0</v>
      </c>
      <c r="N256" s="506">
        <f>+'1.3.2 Coal1'!N61</f>
        <v>0</v>
      </c>
      <c r="O256" s="506"/>
      <c r="P256" s="506"/>
      <c r="Q256" s="603">
        <f t="shared" si="6"/>
        <v>104.41228800000005</v>
      </c>
      <c r="R256" s="506">
        <f t="shared" si="7"/>
        <v>186.74080000000004</v>
      </c>
      <c r="S256" s="506">
        <f>+'1.3.2 Coal1'!S61</f>
        <v>8.9408000000000012</v>
      </c>
      <c r="T256" s="506">
        <f>+'1.3.2 Coal1'!T61</f>
        <v>198.22160000000002</v>
      </c>
    </row>
    <row r="257" spans="1:20" x14ac:dyDescent="0.45">
      <c r="A257" s="14">
        <v>1947</v>
      </c>
      <c r="B257" s="506">
        <f>+'1.3.2 Coal1'!B62</f>
        <v>201.47280000000001</v>
      </c>
      <c r="C257" s="506">
        <f>+'1.3.2 Coal1'!C62</f>
        <v>1.4223999999999999</v>
      </c>
      <c r="D257" s="506">
        <f>+'1.3.2 Coal1'!D62</f>
        <v>16.79956</v>
      </c>
      <c r="E257" s="506">
        <f>+'1.3.2 Coal1'!E62</f>
        <v>11.176</v>
      </c>
      <c r="F257" s="506">
        <f>+'1.3.2 Coal1'!F62</f>
        <v>27.533600000000003</v>
      </c>
      <c r="G257" s="506">
        <f>+'1.3.2 Coal1'!G62</f>
        <v>23.063199999999998</v>
      </c>
      <c r="H257" s="506">
        <f>+'1.3.2 Coal1'!H62</f>
        <v>21.849080000000004</v>
      </c>
      <c r="I257" s="506">
        <f>+'1.3.2 Coal1'!I62</f>
        <v>14.5288</v>
      </c>
      <c r="J257" s="506">
        <f>+'1.3.2 Coal1'!J62</f>
        <v>36.372799999999998</v>
      </c>
      <c r="K257" s="506">
        <f>+'1.3.2 Coal1'!K62</f>
        <v>36.576000000000001</v>
      </c>
      <c r="L257" s="506">
        <f>+'1.3.2 Coal1'!L62</f>
        <v>13.812519999999999</v>
      </c>
      <c r="M257" s="506">
        <f>+'1.3.2 Coal1'!M62</f>
        <v>0</v>
      </c>
      <c r="N257" s="506">
        <f>+'1.3.2 Coal1'!N62</f>
        <v>0</v>
      </c>
      <c r="O257" s="506"/>
      <c r="P257" s="506"/>
      <c r="Q257" s="603">
        <f t="shared" si="6"/>
        <v>101.29012</v>
      </c>
      <c r="R257" s="506">
        <f t="shared" si="7"/>
        <v>184.91200000000001</v>
      </c>
      <c r="S257" s="506">
        <f>+'1.3.2 Coal1'!S62</f>
        <v>5.3848000000000011</v>
      </c>
      <c r="T257" s="506">
        <f>+'1.3.2 Coal1'!T62</f>
        <v>192.83680000000001</v>
      </c>
    </row>
    <row r="258" spans="1:20" x14ac:dyDescent="0.45">
      <c r="A258" s="14">
        <v>1948</v>
      </c>
      <c r="B258" s="506">
        <f>+'1.3.2 Coal1'!B63</f>
        <v>211.22640000000001</v>
      </c>
      <c r="C258" s="506">
        <f>+'1.3.2 Coal1'!C63</f>
        <v>2.6415999999999999</v>
      </c>
      <c r="D258" s="506">
        <f>+'1.3.2 Coal1'!D63</f>
        <v>14.657832000000001</v>
      </c>
      <c r="E258" s="506">
        <f>+'1.3.2 Coal1'!E63</f>
        <v>11.379199999999999</v>
      </c>
      <c r="F258" s="506">
        <f>+'1.3.2 Coal1'!F63</f>
        <v>29.2608</v>
      </c>
      <c r="G258" s="506">
        <f>+'1.3.2 Coal1'!G63</f>
        <v>24.993600000000001</v>
      </c>
      <c r="H258" s="506">
        <f>+'1.3.2 Coal1'!H63</f>
        <v>24.061928000000002</v>
      </c>
      <c r="I258" s="506">
        <f>+'1.3.2 Coal1'!I63</f>
        <v>14.5288</v>
      </c>
      <c r="J258" s="506">
        <f>+'1.3.2 Coal1'!J63</f>
        <v>36.982399999999998</v>
      </c>
      <c r="K258" s="506">
        <f>+'1.3.2 Coal1'!K63</f>
        <v>38.608000000000004</v>
      </c>
      <c r="L258" s="506">
        <f>+'1.3.2 Coal1'!L63</f>
        <v>14.749271999999992</v>
      </c>
      <c r="M258" s="506">
        <f>+'1.3.2 Coal1'!M63</f>
        <v>0</v>
      </c>
      <c r="N258" s="506">
        <f>+'1.3.2 Coal1'!N63</f>
        <v>0</v>
      </c>
      <c r="O258" s="506"/>
      <c r="P258" s="506"/>
      <c r="Q258" s="603">
        <f t="shared" si="6"/>
        <v>104.868472</v>
      </c>
      <c r="R258" s="506">
        <f t="shared" si="7"/>
        <v>194.56399999999999</v>
      </c>
      <c r="S258" s="506">
        <f>+'1.3.2 Coal1'!S63</f>
        <v>16.357600000000001</v>
      </c>
      <c r="T258" s="506">
        <f>+'1.3.2 Coal1'!T63</f>
        <v>213.35999999999999</v>
      </c>
    </row>
    <row r="259" spans="1:20" x14ac:dyDescent="0.45">
      <c r="A259" s="14">
        <v>1949</v>
      </c>
      <c r="B259" s="506">
        <f>+'1.3.2 Coal1'!B64</f>
        <v>218.23680000000002</v>
      </c>
      <c r="C259" s="506">
        <f>+'1.3.2 Coal1'!C64</f>
        <v>2.6415999999999999</v>
      </c>
      <c r="D259" s="506">
        <f>+'1.3.2 Coal1'!D64</f>
        <v>14.943327999999999</v>
      </c>
      <c r="E259" s="506">
        <f>+'1.3.2 Coal1'!E64</f>
        <v>10.972800000000001</v>
      </c>
      <c r="F259" s="506">
        <f>+'1.3.2 Coal1'!F64</f>
        <v>30.48</v>
      </c>
      <c r="G259" s="506">
        <f>+'1.3.2 Coal1'!G64</f>
        <v>25.704800000000002</v>
      </c>
      <c r="H259" s="506">
        <f>+'1.3.2 Coal1'!H64</f>
        <v>24.418544000000004</v>
      </c>
      <c r="I259" s="506">
        <f>+'1.3.2 Coal1'!I64</f>
        <v>14.6304</v>
      </c>
      <c r="J259" s="506">
        <f>+'1.3.2 Coal1'!J64</f>
        <v>36.576000000000001</v>
      </c>
      <c r="K259" s="506">
        <f>+'1.3.2 Coal1'!K64</f>
        <v>38.912799999999997</v>
      </c>
      <c r="L259" s="506">
        <f>+'1.3.2 Coal1'!L64</f>
        <v>14.69745600000001</v>
      </c>
      <c r="M259" s="506">
        <f>+'1.3.2 Coal1'!M64</f>
        <v>0</v>
      </c>
      <c r="N259" s="506">
        <f>+'1.3.2 Coal1'!N64</f>
        <v>0</v>
      </c>
      <c r="O259" s="506"/>
      <c r="P259" s="506"/>
      <c r="Q259" s="603">
        <f t="shared" si="6"/>
        <v>104.81665600000002</v>
      </c>
      <c r="R259" s="506">
        <f t="shared" si="7"/>
        <v>196.39280000000002</v>
      </c>
      <c r="S259" s="506">
        <f>+'1.3.2 Coal1'!S64</f>
        <v>19.507200000000001</v>
      </c>
      <c r="T259" s="506">
        <f>+'1.3.2 Coal1'!T64</f>
        <v>218.44000000000003</v>
      </c>
    </row>
    <row r="260" spans="1:20" x14ac:dyDescent="0.45">
      <c r="A260" s="14">
        <v>1950</v>
      </c>
      <c r="B260" s="506">
        <f>+'1.3.2 Coal1'!B65</f>
        <v>220.37040000000002</v>
      </c>
      <c r="C260" s="506">
        <f>+'1.3.2 Coal1'!C65</f>
        <v>1.7078959999999999</v>
      </c>
      <c r="D260" s="506">
        <f>+'1.3.2 Coal1'!D65</f>
        <v>12.621767999999999</v>
      </c>
      <c r="E260" s="506">
        <f>+'1.3.2 Coal1'!E65</f>
        <v>10.8712</v>
      </c>
      <c r="F260" s="506">
        <f>+'1.3.2 Coal1'!F65</f>
        <v>33.426400000000001</v>
      </c>
      <c r="G260" s="506">
        <f>+'1.3.2 Coal1'!G65</f>
        <v>26.619199999999999</v>
      </c>
      <c r="H260" s="506">
        <f>+'1.3.2 Coal1'!H65</f>
        <v>24.317960000000003</v>
      </c>
      <c r="I260" s="506">
        <f>+'1.3.2 Coal1'!I65</f>
        <v>14.427199999999999</v>
      </c>
      <c r="J260" s="506">
        <f>+'1.3.2 Coal1'!J65</f>
        <v>37.896799999999999</v>
      </c>
      <c r="K260" s="506">
        <f>+'1.3.2 Coal1'!K65</f>
        <v>40.741600000000005</v>
      </c>
      <c r="L260" s="506">
        <f>+'1.3.2 Coal1'!L65</f>
        <v>14.899639999999987</v>
      </c>
      <c r="M260" s="506">
        <f>+'1.3.2 Coal1'!M65</f>
        <v>0</v>
      </c>
      <c r="N260" s="506">
        <f>+'1.3.2 Coal1'!N65</f>
        <v>0</v>
      </c>
      <c r="O260" s="506"/>
      <c r="P260" s="506"/>
      <c r="Q260" s="603">
        <f t="shared" si="6"/>
        <v>107.96523999999999</v>
      </c>
      <c r="R260" s="506">
        <f t="shared" si="7"/>
        <v>203.2</v>
      </c>
      <c r="S260" s="506">
        <f>+'1.3.2 Coal1'!S65</f>
        <v>17.170399999999997</v>
      </c>
      <c r="T260" s="506">
        <f>+'1.3.2 Coal1'!T65</f>
        <v>223.012</v>
      </c>
    </row>
    <row r="261" spans="1:20" x14ac:dyDescent="0.45">
      <c r="A261" s="14">
        <v>1951</v>
      </c>
      <c r="B261" s="506">
        <f>+'1.3.2 Coal1'!B66</f>
        <v>227.584</v>
      </c>
      <c r="C261" s="506">
        <f>+'1.3.2 Coal1'!C66</f>
        <v>1.4528800000000002</v>
      </c>
      <c r="D261" s="506">
        <f>+'1.3.2 Coal1'!D66</f>
        <v>16.493744</v>
      </c>
      <c r="E261" s="506">
        <f>+'1.3.2 Coal1'!E66</f>
        <v>10.769600000000001</v>
      </c>
      <c r="F261" s="506">
        <f>+'1.3.2 Coal1'!F66</f>
        <v>35.9664</v>
      </c>
      <c r="G261" s="506">
        <f>+'1.3.2 Coal1'!G66</f>
        <v>27.8384</v>
      </c>
      <c r="H261" s="506">
        <f>+'1.3.2 Coal1'!H66</f>
        <v>25.447751999999998</v>
      </c>
      <c r="I261" s="506">
        <f>+'1.3.2 Coal1'!I66</f>
        <v>14.3256</v>
      </c>
      <c r="J261" s="506">
        <f>+'1.3.2 Coal1'!J66</f>
        <v>37.693600000000004</v>
      </c>
      <c r="K261" s="506">
        <f>+'1.3.2 Coal1'!K66</f>
        <v>41.554400000000001</v>
      </c>
      <c r="L261" s="506">
        <f>+'1.3.2 Coal1'!L66</f>
        <v>14.684248000000018</v>
      </c>
      <c r="M261" s="506">
        <f>+'1.3.2 Coal1'!M66</f>
        <v>0</v>
      </c>
      <c r="N261" s="506">
        <f>+'1.3.2 Coal1'!N66</f>
        <v>0</v>
      </c>
      <c r="O261" s="506"/>
      <c r="P261" s="506"/>
      <c r="Q261" s="603">
        <f t="shared" si="6"/>
        <v>108.25784800000002</v>
      </c>
      <c r="R261" s="506">
        <f t="shared" si="7"/>
        <v>208.28000000000003</v>
      </c>
      <c r="S261" s="506">
        <f>+'1.3.2 Coal1'!S66</f>
        <v>11.5824</v>
      </c>
      <c r="T261" s="506">
        <f>+'1.3.2 Coal1'!T66</f>
        <v>222.70720000000003</v>
      </c>
    </row>
    <row r="262" spans="1:20" x14ac:dyDescent="0.45">
      <c r="A262" s="14">
        <v>1952</v>
      </c>
      <c r="B262" s="506">
        <f>+'1.3.2 Coal1'!B67</f>
        <v>225.55199999999999</v>
      </c>
      <c r="C262" s="506">
        <f>+'1.3.2 Coal1'!C67</f>
        <v>4.620768</v>
      </c>
      <c r="D262" s="506">
        <f>+'1.3.2 Coal1'!D67</f>
        <v>16.381983999999999</v>
      </c>
      <c r="E262" s="506">
        <f>+'1.3.2 Coal1'!E67</f>
        <v>10.4648</v>
      </c>
      <c r="F262" s="506">
        <f>+'1.3.2 Coal1'!F67</f>
        <v>36.067999999999998</v>
      </c>
      <c r="G262" s="506">
        <f>+'1.3.2 Coal1'!G67</f>
        <v>28.1432</v>
      </c>
      <c r="H262" s="506">
        <f>+'1.3.2 Coal1'!H67</f>
        <v>27.221688000000004</v>
      </c>
      <c r="I262" s="506">
        <f>+'1.3.2 Coal1'!I67</f>
        <v>14.122400000000001</v>
      </c>
      <c r="J262" s="506">
        <f>+'1.3.2 Coal1'!J67</f>
        <v>37.388799999999996</v>
      </c>
      <c r="K262" s="506">
        <f>+'1.3.2 Coal1'!K67</f>
        <v>39.522399999999998</v>
      </c>
      <c r="L262" s="506">
        <f>+'1.3.2 Coal1'!L67</f>
        <v>14.535912000000007</v>
      </c>
      <c r="M262" s="506">
        <f>+'1.3.2 Coal1'!M67</f>
        <v>0</v>
      </c>
      <c r="N262" s="506">
        <f>+'1.3.2 Coal1'!N67</f>
        <v>0</v>
      </c>
      <c r="O262" s="506"/>
      <c r="P262" s="506"/>
      <c r="Q262" s="603">
        <f t="shared" si="6"/>
        <v>105.569512</v>
      </c>
      <c r="R262" s="506">
        <f t="shared" si="7"/>
        <v>207.46719999999999</v>
      </c>
      <c r="S262" s="506">
        <f>+'1.3.2 Coal1'!S67</f>
        <v>15.138399999999999</v>
      </c>
      <c r="T262" s="506">
        <f>+'1.3.2 Coal1'!T67</f>
        <v>225.24719999999999</v>
      </c>
    </row>
    <row r="263" spans="1:20" x14ac:dyDescent="0.45">
      <c r="A263" s="14">
        <v>1953</v>
      </c>
      <c r="B263" s="506">
        <f>+'1.3.2 Coal1'!B68</f>
        <v>230.42880000000002</v>
      </c>
      <c r="C263" s="506">
        <f>+'1.3.2 Coal1'!C68</f>
        <v>1.9090640000000001</v>
      </c>
      <c r="D263" s="506">
        <f>+'1.3.2 Coal1'!D68</f>
        <v>17.712944</v>
      </c>
      <c r="E263" s="506">
        <f>+'1.3.2 Coal1'!E68</f>
        <v>10.058400000000001</v>
      </c>
      <c r="F263" s="506">
        <f>+'1.3.2 Coal1'!F68</f>
        <v>37.287200000000006</v>
      </c>
      <c r="G263" s="506">
        <f>+'1.3.2 Coal1'!G68</f>
        <v>27.533600000000003</v>
      </c>
      <c r="H263" s="506">
        <f>+'1.3.2 Coal1'!H68</f>
        <v>27.865832000000001</v>
      </c>
      <c r="I263" s="506">
        <f>+'1.3.2 Coal1'!I68</f>
        <v>13.6144</v>
      </c>
      <c r="J263" s="506">
        <f>+'1.3.2 Coal1'!J68</f>
        <v>37.693600000000004</v>
      </c>
      <c r="K263" s="506">
        <f>+'1.3.2 Coal1'!K68</f>
        <v>40.0304</v>
      </c>
      <c r="L263" s="506">
        <f>+'1.3.2 Coal1'!L68</f>
        <v>14.298168000000006</v>
      </c>
      <c r="M263" s="506">
        <f>+'1.3.2 Coal1'!M68</f>
        <v>0</v>
      </c>
      <c r="N263" s="506">
        <f>+'1.3.2 Coal1'!N68</f>
        <v>0</v>
      </c>
      <c r="O263" s="506"/>
      <c r="P263" s="506"/>
      <c r="Q263" s="603">
        <f t="shared" si="6"/>
        <v>105.63656800000001</v>
      </c>
      <c r="R263" s="506">
        <f t="shared" si="7"/>
        <v>208.38160000000002</v>
      </c>
      <c r="S263" s="506">
        <f>+'1.3.2 Coal1'!S68</f>
        <v>16.865599999999997</v>
      </c>
      <c r="T263" s="506">
        <f>+'1.3.2 Coal1'!T68</f>
        <v>227.99040000000002</v>
      </c>
    </row>
    <row r="264" spans="1:20" x14ac:dyDescent="0.45">
      <c r="A264" s="14">
        <v>1954</v>
      </c>
      <c r="B264" s="506">
        <f>+'1.3.2 Coal1'!B69</f>
        <v>231.24160000000001</v>
      </c>
      <c r="C264" s="506">
        <f>+'1.3.2 Coal1'!C69</f>
        <v>1.1297919999999999</v>
      </c>
      <c r="D264" s="506">
        <f>+'1.3.2 Coal1'!D69</f>
        <v>15.795752</v>
      </c>
      <c r="E264" s="506">
        <f>+'1.3.2 Coal1'!E69</f>
        <v>9.652000000000001</v>
      </c>
      <c r="F264" s="506">
        <f>+'1.3.2 Coal1'!F69</f>
        <v>40.233600000000003</v>
      </c>
      <c r="G264" s="506">
        <f>+'1.3.2 Coal1'!G69</f>
        <v>27.736800000000002</v>
      </c>
      <c r="H264" s="506">
        <f>+'1.3.2 Coal1'!H69</f>
        <v>28.685744000000003</v>
      </c>
      <c r="I264" s="506">
        <f>+'1.3.2 Coal1'!I69</f>
        <v>13.208</v>
      </c>
      <c r="J264" s="506">
        <f>+'1.3.2 Coal1'!J69</f>
        <v>38.811200000000007</v>
      </c>
      <c r="K264" s="506">
        <f>+'1.3.2 Coal1'!K69</f>
        <v>41.452799999999996</v>
      </c>
      <c r="L264" s="506">
        <f>+'1.3.2 Coal1'!L69</f>
        <v>14.697456000000019</v>
      </c>
      <c r="M264" s="506">
        <f>+'1.3.2 Coal1'!M69</f>
        <v>0</v>
      </c>
      <c r="N264" s="506">
        <f>+'1.3.2 Coal1'!N69</f>
        <v>0</v>
      </c>
      <c r="O264" s="506"/>
      <c r="P264" s="506"/>
      <c r="Q264" s="603">
        <f t="shared" si="6"/>
        <v>108.16945600000003</v>
      </c>
      <c r="R264" s="506">
        <f t="shared" si="7"/>
        <v>214.47760000000002</v>
      </c>
      <c r="S264" s="506">
        <f>+'1.3.2 Coal1'!S69</f>
        <v>16.256</v>
      </c>
      <c r="T264" s="506">
        <f>+'1.3.2 Coal1'!T69</f>
        <v>233.47680000000003</v>
      </c>
    </row>
    <row r="265" spans="1:20" x14ac:dyDescent="0.45">
      <c r="A265" s="14">
        <v>1955</v>
      </c>
      <c r="B265" s="506">
        <f>+'1.3.2 Coal1'!B70</f>
        <v>236.11840000000001</v>
      </c>
      <c r="C265" s="506">
        <f>+'1.3.2 Coal1'!C70</f>
        <v>2.2280880000000001</v>
      </c>
      <c r="D265" s="506">
        <f>+'1.3.2 Coal1'!D70</f>
        <v>18.639536</v>
      </c>
      <c r="E265" s="506">
        <f>+'1.3.2 Coal1'!E70</f>
        <v>8.8391999999999999</v>
      </c>
      <c r="F265" s="506">
        <f>+'1.3.2 Coal1'!F70</f>
        <v>43.586399999999998</v>
      </c>
      <c r="G265" s="506">
        <f>+'1.3.2 Coal1'!G70</f>
        <v>28.346399999999999</v>
      </c>
      <c r="H265" s="506">
        <f>+'1.3.2 Coal1'!H70</f>
        <v>29.109416</v>
      </c>
      <c r="I265" s="506">
        <f>+'1.3.2 Coal1'!I70</f>
        <v>12.395199999999999</v>
      </c>
      <c r="J265" s="506">
        <f>+'1.3.2 Coal1'!J70</f>
        <v>37.693600000000004</v>
      </c>
      <c r="K265" s="506">
        <f>+'1.3.2 Coal1'!K70</f>
        <v>41.351200000000006</v>
      </c>
      <c r="L265" s="506">
        <f>+'1.3.2 Coal1'!L70</f>
        <v>14.47698399999998</v>
      </c>
      <c r="M265" s="506">
        <f>+'1.3.2 Coal1'!M70</f>
        <v>0</v>
      </c>
      <c r="N265" s="506">
        <f>+'1.3.2 Coal1'!N70</f>
        <v>0</v>
      </c>
      <c r="O265" s="506"/>
      <c r="P265" s="506"/>
      <c r="Q265" s="603">
        <f t="shared" si="6"/>
        <v>105.91698399999999</v>
      </c>
      <c r="R265" s="506">
        <f t="shared" si="7"/>
        <v>215.79839999999996</v>
      </c>
      <c r="S265" s="506">
        <f>+'1.3.2 Coal1'!S70</f>
        <v>14.122399999999999</v>
      </c>
      <c r="T265" s="506">
        <f>+'1.3.2 Coal1'!T70</f>
        <v>232.76559999999998</v>
      </c>
    </row>
    <row r="266" spans="1:20" x14ac:dyDescent="0.45">
      <c r="A266" s="14">
        <v>1956</v>
      </c>
      <c r="B266" s="506">
        <f>+'1.3.2 Coal1'!B71</f>
        <v>230.63200000000001</v>
      </c>
      <c r="C266" s="506">
        <f>+'1.3.2 Coal1'!C71</f>
        <v>2.9961840000000004</v>
      </c>
      <c r="D266" s="506">
        <f>+'1.3.2 Coal1'!D71</f>
        <v>18.33372</v>
      </c>
      <c r="E266" s="506">
        <f>+'1.3.2 Coal1'!E71</f>
        <v>8.0264000000000006</v>
      </c>
      <c r="F266" s="506">
        <f>+'1.3.2 Coal1'!F71</f>
        <v>46.329599999999999</v>
      </c>
      <c r="G266" s="506">
        <f>+'1.3.2 Coal1'!G71</f>
        <v>28.244800000000001</v>
      </c>
      <c r="H266" s="506">
        <f>+'1.3.2 Coal1'!H71</f>
        <v>31.578296000000002</v>
      </c>
      <c r="I266" s="506">
        <f>+'1.3.2 Coal1'!I71</f>
        <v>12.2936</v>
      </c>
      <c r="J266" s="506">
        <f>+'1.3.2 Coal1'!J71</f>
        <v>38.1</v>
      </c>
      <c r="K266" s="506">
        <f>+'1.3.2 Coal1'!K71</f>
        <v>40.131999999999998</v>
      </c>
      <c r="L266" s="506">
        <f>+'1.3.2 Coal1'!L71</f>
        <v>13.532103999999977</v>
      </c>
      <c r="M266" s="506">
        <f>+'1.3.2 Coal1'!M71</f>
        <v>0</v>
      </c>
      <c r="N266" s="506">
        <f>+'1.3.2 Coal1'!N71</f>
        <v>0</v>
      </c>
      <c r="O266" s="506"/>
      <c r="P266" s="506"/>
      <c r="Q266" s="603">
        <f t="shared" ref="Q266:Q327" si="13">SUM(I266:O266)</f>
        <v>104.05770399999997</v>
      </c>
      <c r="R266" s="506">
        <f t="shared" si="7"/>
        <v>218.23679999999999</v>
      </c>
      <c r="S266" s="506">
        <f>+'1.3.2 Coal1'!S71</f>
        <v>9.8552</v>
      </c>
      <c r="T266" s="506">
        <f>+'1.3.2 Coal1'!T71</f>
        <v>230.83519999999999</v>
      </c>
    </row>
    <row r="267" spans="1:20" x14ac:dyDescent="0.45">
      <c r="A267" s="14">
        <v>1957</v>
      </c>
      <c r="B267" s="506">
        <f>+'1.3.2 Coal1'!B72</f>
        <v>224.94240000000002</v>
      </c>
      <c r="C267" s="506">
        <f>+'1.3.2 Coal1'!C72</f>
        <v>8.7071200000000015</v>
      </c>
      <c r="D267" s="506">
        <f>+'1.3.2 Coal1'!D72</f>
        <v>19.065240000000003</v>
      </c>
      <c r="E267" s="506">
        <f>+'1.3.2 Coal1'!E72</f>
        <v>7.3151999999999999</v>
      </c>
      <c r="F267" s="506">
        <f>+'1.3.2 Coal1'!F72</f>
        <v>47.142400000000002</v>
      </c>
      <c r="G267" s="506">
        <f>+'1.3.2 Coal1'!G72</f>
        <v>26.822399999999998</v>
      </c>
      <c r="H267" s="506">
        <f>+'1.3.2 Coal1'!H72</f>
        <v>33.43656</v>
      </c>
      <c r="I267" s="506">
        <f>+'1.3.2 Coal1'!I72</f>
        <v>11.5824</v>
      </c>
      <c r="J267" s="506">
        <f>+'1.3.2 Coal1'!J72</f>
        <v>36.169600000000003</v>
      </c>
      <c r="K267" s="506">
        <f>+'1.3.2 Coal1'!K72</f>
        <v>38.1</v>
      </c>
      <c r="L267" s="506">
        <f>+'1.3.2 Coal1'!L72</f>
        <v>12.893040000000006</v>
      </c>
      <c r="M267" s="506">
        <f>+'1.3.2 Coal1'!M72</f>
        <v>0</v>
      </c>
      <c r="N267" s="506">
        <f>+'1.3.2 Coal1'!N72</f>
        <v>0</v>
      </c>
      <c r="O267" s="506"/>
      <c r="P267" s="506"/>
      <c r="Q267" s="603">
        <f t="shared" si="13"/>
        <v>98.745040000000017</v>
      </c>
      <c r="R267" s="506">
        <f t="shared" si="7"/>
        <v>213.46160000000003</v>
      </c>
      <c r="S267" s="506">
        <f>+'1.3.2 Coal1'!S72</f>
        <v>8.0264000000000006</v>
      </c>
      <c r="T267" s="506">
        <f>+'1.3.2 Coal1'!T72</f>
        <v>224.33279999999999</v>
      </c>
    </row>
    <row r="268" spans="1:20" x14ac:dyDescent="0.45">
      <c r="A268" s="14">
        <v>1958</v>
      </c>
      <c r="B268" s="506">
        <f>+'1.3.2 Coal1'!B73</f>
        <v>209.39760000000001</v>
      </c>
      <c r="C268" s="506">
        <f>+'1.3.2 Coal1'!C73</f>
        <v>19.982688000000003</v>
      </c>
      <c r="D268" s="506">
        <f>+'1.3.2 Coal1'!D73</f>
        <v>17.822671999999997</v>
      </c>
      <c r="E268" s="506">
        <f>+'1.3.2 Coal1'!E73</f>
        <v>6.6040000000000001</v>
      </c>
      <c r="F268" s="506">
        <f>+'1.3.2 Coal1'!F73</f>
        <v>46.837600000000002</v>
      </c>
      <c r="G268" s="506">
        <f>+'1.3.2 Coal1'!G73</f>
        <v>25.1968</v>
      </c>
      <c r="H268" s="506">
        <f>+'1.3.2 Coal1'!H73</f>
        <v>30.483048</v>
      </c>
      <c r="I268" s="506">
        <f>+'1.3.2 Coal1'!I73</f>
        <v>10.4648</v>
      </c>
      <c r="J268" s="506">
        <f>+'1.3.2 Coal1'!J73</f>
        <v>36.779200000000003</v>
      </c>
      <c r="K268" s="506">
        <f>+'1.3.2 Coal1'!K73</f>
        <v>34.239200000000004</v>
      </c>
      <c r="L268" s="506">
        <f>+'1.3.2 Coal1'!L73</f>
        <v>12.290551999999993</v>
      </c>
      <c r="M268" s="506">
        <f>+'1.3.2 Coal1'!M73</f>
        <v>0</v>
      </c>
      <c r="N268" s="506">
        <f>+'1.3.2 Coal1'!N73</f>
        <v>0</v>
      </c>
      <c r="O268" s="506"/>
      <c r="P268" s="506"/>
      <c r="Q268" s="603">
        <f t="shared" si="13"/>
        <v>93.773752000000002</v>
      </c>
      <c r="R268" s="506">
        <f t="shared" si="7"/>
        <v>202.89519999999999</v>
      </c>
      <c r="S268" s="506">
        <f>+'1.3.2 Coal1'!S73</f>
        <v>4.9784000000000006</v>
      </c>
      <c r="T268" s="506">
        <f>+'1.3.2 Coal1'!T73</f>
        <v>210.61680000000001</v>
      </c>
    </row>
    <row r="269" spans="1:20" x14ac:dyDescent="0.45">
      <c r="A269" s="14">
        <v>1959</v>
      </c>
      <c r="B269" s="506">
        <f>+'1.3.2 Coal1'!B74</f>
        <v>193.8528</v>
      </c>
      <c r="C269" s="506">
        <f>+'1.3.2 Coal1'!C74</f>
        <v>36.243768000000003</v>
      </c>
      <c r="D269" s="506">
        <f>+'1.3.2 Coal1'!D74</f>
        <v>14.603984000000001</v>
      </c>
      <c r="E269" s="506">
        <f>+'1.3.2 Coal1'!E74</f>
        <v>5.6895999999999995</v>
      </c>
      <c r="F269" s="506">
        <f>+'1.3.2 Coal1'!F74</f>
        <v>46.736000000000004</v>
      </c>
      <c r="G269" s="506">
        <f>+'1.3.2 Coal1'!G74</f>
        <v>22.86</v>
      </c>
      <c r="H269" s="506">
        <f>+'1.3.2 Coal1'!H74</f>
        <v>27.849575999999999</v>
      </c>
      <c r="I269" s="506">
        <f>+'1.3.2 Coal1'!I74</f>
        <v>9.652000000000001</v>
      </c>
      <c r="J269" s="506">
        <f>+'1.3.2 Coal1'!J74</f>
        <v>33.934399999999997</v>
      </c>
      <c r="K269" s="506">
        <f>+'1.3.2 Coal1'!K74</f>
        <v>32.2072</v>
      </c>
      <c r="L269" s="506">
        <f>+'1.3.2 Coal1'!L74</f>
        <v>10.961624000000022</v>
      </c>
      <c r="M269" s="506">
        <f>+'1.3.2 Coal1'!M74</f>
        <v>0</v>
      </c>
      <c r="N269" s="506">
        <f>+'1.3.2 Coal1'!N74</f>
        <v>0</v>
      </c>
      <c r="O269" s="506"/>
      <c r="P269" s="506"/>
      <c r="Q269" s="603">
        <f t="shared" si="13"/>
        <v>86.755224000000027</v>
      </c>
      <c r="R269" s="506">
        <f t="shared" si="7"/>
        <v>189.89040000000003</v>
      </c>
      <c r="S269" s="506">
        <f>+'1.3.2 Coal1'!S74</f>
        <v>4.3688000000000002</v>
      </c>
      <c r="T269" s="506">
        <f>+'1.3.2 Coal1'!T74</f>
        <v>196.79920000000001</v>
      </c>
    </row>
    <row r="270" spans="1:20" x14ac:dyDescent="0.45">
      <c r="A270" s="14">
        <v>1960</v>
      </c>
      <c r="B270" s="506">
        <f>+'1.3.2 Coal1'!B75</f>
        <v>204.41919999999999</v>
      </c>
      <c r="C270" s="506">
        <f>+'1.3.2 Coal1'!C75</f>
        <v>29.657</v>
      </c>
      <c r="D270" s="506">
        <f>+'1.3.2 Coal1'!D75</f>
        <v>13.656000000000001</v>
      </c>
      <c r="E270" s="506">
        <f>+'1.3.2 Coal1'!E75</f>
        <v>5.08</v>
      </c>
      <c r="F270" s="506">
        <f>+'1.3.2 Coal1'!F75</f>
        <v>52.732999999999997</v>
      </c>
      <c r="G270" s="506">
        <f>+'1.3.2 Coal1'!G75</f>
        <v>22.962</v>
      </c>
      <c r="H270" s="506">
        <f>+'1.3.2 Coal1'!H75</f>
        <v>31.599</v>
      </c>
      <c r="I270" s="506">
        <f>+'1.3.2 Coal1'!I75</f>
        <v>9.0424000000000007</v>
      </c>
      <c r="J270" s="506">
        <f>+'1.3.2 Coal1'!J75</f>
        <v>36.067999999999998</v>
      </c>
      <c r="K270" s="506">
        <f>+'1.3.2 Coal1'!K75</f>
        <v>36.169600000000003</v>
      </c>
      <c r="L270" s="506">
        <f>+'1.3.2 Coal1'!L75</f>
        <v>6.2040000000000077</v>
      </c>
      <c r="M270" s="506">
        <f>+'1.3.2 Coal1'!M75</f>
        <v>0</v>
      </c>
      <c r="N270" s="506">
        <f>+'1.3.2 Coal1'!N75</f>
        <v>0</v>
      </c>
      <c r="O270" s="506"/>
      <c r="P270" s="506"/>
      <c r="Q270" s="603">
        <f t="shared" si="13"/>
        <v>87.484000000000009</v>
      </c>
      <c r="R270" s="506">
        <f t="shared" si="7"/>
        <v>199.858</v>
      </c>
      <c r="S270" s="506">
        <f>+'1.3.2 Coal1'!S75</f>
        <v>5.5880000000000001</v>
      </c>
      <c r="T270" s="506">
        <f>+'1.3.2 Coal1'!T75</f>
        <v>205.446</v>
      </c>
    </row>
    <row r="271" spans="1:20" x14ac:dyDescent="0.45">
      <c r="A271" s="14">
        <v>1961</v>
      </c>
      <c r="B271" s="506">
        <f>+'1.3.2 Coal1'!B76</f>
        <v>202.99680000000001</v>
      </c>
      <c r="C271" s="506">
        <f>+'1.3.2 Coal1'!C76</f>
        <v>21.760999999999999</v>
      </c>
      <c r="D271" s="506">
        <f>+'1.3.2 Coal1'!D76</f>
        <v>15.978999999999999</v>
      </c>
      <c r="E271" s="506">
        <f>+'1.3.2 Coal1'!E76</f>
        <v>4.5720000000000001</v>
      </c>
      <c r="F271" s="506">
        <f>+'1.3.2 Coal1'!F76</f>
        <v>56.289000000000001</v>
      </c>
      <c r="G271" s="506">
        <f>+'1.3.2 Coal1'!G76</f>
        <v>22.861000000000001</v>
      </c>
      <c r="H271" s="506">
        <f>+'1.3.2 Coal1'!H76</f>
        <v>29.872</v>
      </c>
      <c r="I271" s="506">
        <f>+'1.3.2 Coal1'!I76</f>
        <v>7.8231999999999999</v>
      </c>
      <c r="J271" s="506">
        <f>+'1.3.2 Coal1'!J76</f>
        <v>33.832999999999998</v>
      </c>
      <c r="K271" s="506">
        <f>+'1.3.2 Coal1'!K76</f>
        <v>33.832799999999999</v>
      </c>
      <c r="L271" s="506">
        <f>+'1.3.2 Coal1'!L76</f>
        <v>5.7959999999999923</v>
      </c>
      <c r="M271" s="506">
        <f>+'1.3.2 Coal1'!M76</f>
        <v>0</v>
      </c>
      <c r="N271" s="506">
        <f>+'1.3.2 Coal1'!N76</f>
        <v>0</v>
      </c>
      <c r="O271" s="506"/>
      <c r="P271" s="506"/>
      <c r="Q271" s="603">
        <f t="shared" si="13"/>
        <v>81.284999999999997</v>
      </c>
      <c r="R271" s="506">
        <f t="shared" si="7"/>
        <v>194.87900000000002</v>
      </c>
      <c r="S271" s="506">
        <f>+'1.3.2 Coal1'!S76</f>
        <v>5.791199999999999</v>
      </c>
      <c r="T271" s="506">
        <f>+'1.3.2 Coal1'!T76</f>
        <v>200.67019999999999</v>
      </c>
    </row>
    <row r="272" spans="1:20" x14ac:dyDescent="0.45">
      <c r="A272" s="14">
        <v>1962</v>
      </c>
      <c r="B272" s="506">
        <f>+'1.3.2 Coal1'!B77</f>
        <v>198.62800000000001</v>
      </c>
      <c r="C272" s="506">
        <f>+'1.3.2 Coal1'!C77</f>
        <v>25.765999999999998</v>
      </c>
      <c r="D272" s="506">
        <f>+'1.3.2 Coal1'!D77</f>
        <v>15.343999999999999</v>
      </c>
      <c r="E272" s="506">
        <f>+'1.3.2 Coal1'!E77</f>
        <v>4.2670000000000003</v>
      </c>
      <c r="F272" s="506">
        <f>+'1.3.2 Coal1'!F77</f>
        <v>62.081000000000003</v>
      </c>
      <c r="G272" s="506">
        <f>+'1.3.2 Coal1'!G77</f>
        <v>24.76</v>
      </c>
      <c r="H272" s="506">
        <f>+'1.3.2 Coal1'!H77</f>
        <v>26.721999999999998</v>
      </c>
      <c r="I272" s="506">
        <f>+'1.3.2 Coal1'!I77</f>
        <v>6.2991999999999999</v>
      </c>
      <c r="J272" s="506">
        <f>+'1.3.2 Coal1'!J77</f>
        <v>34.341000000000001</v>
      </c>
      <c r="K272" s="506">
        <f>+'1.3.2 Coal1'!K77</f>
        <v>30.007800000000003</v>
      </c>
      <c r="L272" s="506">
        <f>+'1.3.2 Coal1'!L77</f>
        <v>5.7909999999999968</v>
      </c>
      <c r="M272" s="506">
        <f>+'1.3.2 Coal1'!M77</f>
        <v>0</v>
      </c>
      <c r="N272" s="506">
        <f>+'1.3.2 Coal1'!N77</f>
        <v>0</v>
      </c>
      <c r="O272" s="506"/>
      <c r="P272" s="506"/>
      <c r="Q272" s="603">
        <f t="shared" si="13"/>
        <v>76.438999999999993</v>
      </c>
      <c r="R272" s="506">
        <f t="shared" si="7"/>
        <v>194.26900000000001</v>
      </c>
      <c r="S272" s="506">
        <f>+'1.3.2 Coal1'!S77</f>
        <v>4.8768000000000002</v>
      </c>
      <c r="T272" s="506">
        <f>+'1.3.2 Coal1'!T77</f>
        <v>199.14580000000001</v>
      </c>
    </row>
    <row r="273" spans="1:20" x14ac:dyDescent="0.45">
      <c r="A273" s="14">
        <v>1963</v>
      </c>
      <c r="B273" s="506">
        <f>+'1.3.2 Coal1'!B78</f>
        <v>206.24799999999999</v>
      </c>
      <c r="C273" s="506">
        <f>+'1.3.2 Coal1'!C78</f>
        <v>19.920000000000002</v>
      </c>
      <c r="D273" s="506">
        <f>+'1.3.2 Coal1'!D78</f>
        <v>16.739999999999998</v>
      </c>
      <c r="E273" s="506">
        <f>+'1.3.2 Coal1'!E78</f>
        <v>3.9630000000000001</v>
      </c>
      <c r="F273" s="506">
        <f>+'1.3.2 Coal1'!F78</f>
        <v>68.584000000000003</v>
      </c>
      <c r="G273" s="506">
        <f>+'1.3.2 Coal1'!G78</f>
        <v>22.76</v>
      </c>
      <c r="H273" s="506">
        <f>+'1.3.2 Coal1'!H78</f>
        <v>24.08</v>
      </c>
      <c r="I273" s="506">
        <f>+'1.3.2 Coal1'!I78</f>
        <v>5.08</v>
      </c>
      <c r="J273" s="506">
        <f>+'1.3.2 Coal1'!J78</f>
        <v>33.633000000000003</v>
      </c>
      <c r="K273" s="506">
        <f>+'1.3.2 Coal1'!K78</f>
        <v>30.074000000000005</v>
      </c>
      <c r="L273" s="506">
        <f>+'1.3.2 Coal1'!L78</f>
        <v>8.9399999999999977</v>
      </c>
      <c r="M273" s="506">
        <f>+'1.3.2 Coal1'!M78</f>
        <v>0</v>
      </c>
      <c r="N273" s="506">
        <f>+'1.3.2 Coal1'!N78</f>
        <v>0</v>
      </c>
      <c r="O273" s="506"/>
      <c r="P273" s="506"/>
      <c r="Q273" s="603">
        <f t="shared" si="13"/>
        <v>77.727000000000004</v>
      </c>
      <c r="R273" s="506">
        <f t="shared" si="7"/>
        <v>197.114</v>
      </c>
      <c r="S273" s="506">
        <f>+'1.3.2 Coal1'!S78</f>
        <v>7.62</v>
      </c>
      <c r="T273" s="506">
        <f>+'1.3.2 Coal1'!T78</f>
        <v>204.73400000000001</v>
      </c>
    </row>
    <row r="274" spans="1:20" x14ac:dyDescent="0.45">
      <c r="A274" s="14">
        <v>1964</v>
      </c>
      <c r="B274" s="506">
        <f>+'1.3.2 Coal1'!B79</f>
        <v>197.2056</v>
      </c>
      <c r="C274" s="506">
        <f>+'1.3.2 Coal1'!C79</f>
        <v>20.704000000000001</v>
      </c>
      <c r="D274" s="506">
        <f>+'1.3.2 Coal1'!D79</f>
        <v>17.547000000000001</v>
      </c>
      <c r="E274" s="506">
        <f>+'1.3.2 Coal1'!E79</f>
        <v>3.7589999999999999</v>
      </c>
      <c r="F274" s="506">
        <f>+'1.3.2 Coal1'!F79</f>
        <v>69.091999999999999</v>
      </c>
      <c r="G274" s="506">
        <f>+'1.3.2 Coal1'!G79</f>
        <v>20.829000000000001</v>
      </c>
      <c r="H274" s="506">
        <f>+'1.3.2 Coal1'!H79</f>
        <v>29.058999999999997</v>
      </c>
      <c r="I274" s="506">
        <f>+'1.3.2 Coal1'!I79</f>
        <v>3.8607999999999998</v>
      </c>
      <c r="J274" s="506">
        <f>+'1.3.2 Coal1'!J79</f>
        <v>29.361999999999998</v>
      </c>
      <c r="K274" s="506">
        <f>+'1.3.2 Coal1'!K79</f>
        <v>28.956199999999999</v>
      </c>
      <c r="L274" s="506">
        <f>+'1.3.2 Coal1'!L79</f>
        <v>5.2870000000000061</v>
      </c>
      <c r="M274" s="506">
        <f>+'1.3.2 Coal1'!M79</f>
        <v>0</v>
      </c>
      <c r="N274" s="506">
        <f>+'1.3.2 Coal1'!N79</f>
        <v>0</v>
      </c>
      <c r="O274" s="506"/>
      <c r="P274" s="506"/>
      <c r="Q274" s="603">
        <f t="shared" si="13"/>
        <v>67.466000000000008</v>
      </c>
      <c r="R274" s="506">
        <f t="shared" si="7"/>
        <v>190.20500000000001</v>
      </c>
      <c r="S274" s="506">
        <f>+'1.3.2 Coal1'!S79</f>
        <v>6.0960000000000001</v>
      </c>
      <c r="T274" s="506">
        <f>+'1.3.2 Coal1'!T79</f>
        <v>196.30100000000002</v>
      </c>
    </row>
    <row r="275" spans="1:20" x14ac:dyDescent="0.45">
      <c r="A275" s="14">
        <v>1965</v>
      </c>
      <c r="B275" s="506">
        <f>+'1.3.2 Coal1'!B80</f>
        <v>190.5</v>
      </c>
      <c r="C275" s="506">
        <f>+'1.3.2 Coal1'!C80</f>
        <v>21.86</v>
      </c>
      <c r="D275" s="506">
        <f>+'1.3.2 Coal1'!D80</f>
        <v>16.8</v>
      </c>
      <c r="E275" s="506">
        <f>+'1.3.2 Coal1'!E80</f>
        <v>3.4550000000000001</v>
      </c>
      <c r="F275" s="506">
        <f>+'1.3.2 Coal1'!F80</f>
        <v>71.123999999999995</v>
      </c>
      <c r="G275" s="506">
        <f>+'1.3.2 Coal1'!G80</f>
        <v>18.492000000000001</v>
      </c>
      <c r="H275" s="506">
        <f>+'1.3.2 Coal1'!H80</f>
        <v>29.262</v>
      </c>
      <c r="I275" s="506">
        <f>+'1.3.2 Coal1'!I80</f>
        <v>2.8447999999999998</v>
      </c>
      <c r="J275" s="506">
        <f>+'1.3.2 Coal1'!J80</f>
        <v>28.853999999999999</v>
      </c>
      <c r="K275" s="506">
        <f>+'1.3.2 Coal1'!K80</f>
        <v>28.1432</v>
      </c>
      <c r="L275" s="506">
        <f>+'1.3.2 Coal1'!L80</f>
        <v>5.3889999999999816</v>
      </c>
      <c r="M275" s="506">
        <f>+'1.3.2 Coal1'!M80</f>
        <v>0</v>
      </c>
      <c r="N275" s="506">
        <f>+'1.3.2 Coal1'!N80</f>
        <v>0</v>
      </c>
      <c r="O275" s="506"/>
      <c r="P275" s="506"/>
      <c r="Q275" s="603">
        <f t="shared" si="13"/>
        <v>65.23099999999998</v>
      </c>
      <c r="R275" s="506">
        <f t="shared" ref="R275:R328" si="14">SUM(E275:H275)+Q275</f>
        <v>187.56399999999996</v>
      </c>
      <c r="S275" s="506">
        <f>+'1.3.2 Coal1'!S80</f>
        <v>3.7592000000000003</v>
      </c>
      <c r="T275" s="506">
        <f>+'1.3.2 Coal1'!T80</f>
        <v>191.32319999999999</v>
      </c>
    </row>
    <row r="276" spans="1:20" x14ac:dyDescent="0.45">
      <c r="A276" s="14">
        <v>1966</v>
      </c>
      <c r="B276" s="506">
        <f>+'1.3.2 Coal1'!B81</f>
        <v>181.96559999999999</v>
      </c>
      <c r="C276" s="506">
        <f>+'1.3.2 Coal1'!C81</f>
        <v>18.847000000000001</v>
      </c>
      <c r="D276" s="506">
        <f>+'1.3.2 Coal1'!D81</f>
        <v>18.709</v>
      </c>
      <c r="E276" s="506">
        <f>+'1.3.2 Coal1'!E81</f>
        <v>3.15</v>
      </c>
      <c r="F276" s="506">
        <f>+'1.3.2 Coal1'!F81</f>
        <v>69.700999999999993</v>
      </c>
      <c r="G276" s="506">
        <f>+'1.3.2 Coal1'!G81</f>
        <v>17.170999999999999</v>
      </c>
      <c r="H276" s="506">
        <f>+'1.3.2 Coal1'!H81</f>
        <v>27.940999999999999</v>
      </c>
      <c r="I276" s="506">
        <f>+'1.3.2 Coal1'!I81</f>
        <v>1.7272000000000001</v>
      </c>
      <c r="J276" s="506">
        <f>+'1.3.2 Coal1'!J81</f>
        <v>26.927</v>
      </c>
      <c r="K276" s="506">
        <f>+'1.3.2 Coal1'!K81</f>
        <v>26.009799999999998</v>
      </c>
      <c r="L276" s="506">
        <f>+'1.3.2 Coal1'!L81</f>
        <v>4.8779999999999859</v>
      </c>
      <c r="M276" s="506">
        <f>+'1.3.2 Coal1'!M81</f>
        <v>0</v>
      </c>
      <c r="N276" s="506">
        <f>+'1.3.2 Coal1'!N81</f>
        <v>0</v>
      </c>
      <c r="O276" s="506"/>
      <c r="P276" s="506"/>
      <c r="Q276" s="603">
        <f t="shared" si="13"/>
        <v>59.541999999999987</v>
      </c>
      <c r="R276" s="506">
        <f t="shared" si="14"/>
        <v>177.505</v>
      </c>
      <c r="S276" s="506">
        <f>+'1.3.2 Coal1'!S81</f>
        <v>2.8447999999999998</v>
      </c>
      <c r="T276" s="506">
        <f>+'1.3.2 Coal1'!T81</f>
        <v>180.34979999999999</v>
      </c>
    </row>
    <row r="277" spans="1:20" x14ac:dyDescent="0.45">
      <c r="A277" s="14">
        <v>1967</v>
      </c>
      <c r="B277" s="506">
        <f>+'1.3.2 Coal1'!B82</f>
        <v>168.35119999999998</v>
      </c>
      <c r="C277" s="506">
        <f>+'1.3.2 Coal1'!C82</f>
        <v>28.138000000000002</v>
      </c>
      <c r="D277" s="506">
        <f>+'1.3.2 Coal1'!D82</f>
        <v>18.864999999999998</v>
      </c>
      <c r="E277" s="506">
        <f>+'1.3.2 Coal1'!E82</f>
        <v>2.9470000000000001</v>
      </c>
      <c r="F277" s="506">
        <f>+'1.3.2 Coal1'!F82</f>
        <v>68.278999999999996</v>
      </c>
      <c r="G277" s="506">
        <f>+'1.3.2 Coal1'!G82</f>
        <v>14.834</v>
      </c>
      <c r="H277" s="506">
        <f>+'1.3.2 Coal1'!H82</f>
        <v>27.238</v>
      </c>
      <c r="I277" s="506">
        <f>+'1.3.2 Coal1'!I82</f>
        <v>0.8</v>
      </c>
      <c r="J277" s="506">
        <f>+'1.3.2 Coal1'!J82</f>
        <v>24.484999999999999</v>
      </c>
      <c r="K277" s="506">
        <f>+'1.3.2 Coal1'!K82</f>
        <v>23.745000000000001</v>
      </c>
      <c r="L277" s="506">
        <f>+'1.3.2 Coal1'!L82</f>
        <v>4.1020000000000039</v>
      </c>
      <c r="M277" s="506">
        <f>+'1.3.2 Coal1'!M82</f>
        <v>0</v>
      </c>
      <c r="N277" s="506">
        <f>+'1.3.2 Coal1'!N82</f>
        <v>0</v>
      </c>
      <c r="O277" s="506"/>
      <c r="P277" s="506"/>
      <c r="Q277" s="603">
        <f t="shared" si="13"/>
        <v>53.132000000000005</v>
      </c>
      <c r="R277" s="506">
        <f t="shared" si="14"/>
        <v>166.43</v>
      </c>
      <c r="S277" s="506">
        <f>+'1.3.2 Coal1'!S82</f>
        <v>1.9</v>
      </c>
      <c r="T277" s="506">
        <f>+'1.3.2 Coal1'!T82</f>
        <v>168.33</v>
      </c>
    </row>
    <row r="278" spans="1:20" x14ac:dyDescent="0.45">
      <c r="A278" s="14">
        <v>1968</v>
      </c>
      <c r="B278" s="506">
        <f>+'1.3.2 Coal1'!B83</f>
        <v>169.16400000000002</v>
      </c>
      <c r="C278" s="506">
        <f>+'1.3.2 Coal1'!C83</f>
        <v>28.484999999999999</v>
      </c>
      <c r="D278" s="506">
        <f>+'1.3.2 Coal1'!D83</f>
        <v>15.941000000000001</v>
      </c>
      <c r="E278" s="506">
        <f>+'1.3.2 Coal1'!E83</f>
        <v>2.4590000000000001</v>
      </c>
      <c r="F278" s="506">
        <f>+'1.3.2 Coal1'!F83</f>
        <v>74.366</v>
      </c>
      <c r="G278" s="506">
        <f>+'1.3.2 Coal1'!G83</f>
        <v>10.817</v>
      </c>
      <c r="H278" s="506">
        <f>+'1.3.2 Coal1'!H83</f>
        <v>28.864000000000001</v>
      </c>
      <c r="I278" s="506">
        <f>+'1.3.2 Coal1'!I83</f>
        <v>0.2</v>
      </c>
      <c r="J278" s="506">
        <f>+'1.3.2 Coal1'!J83</f>
        <v>23.584</v>
      </c>
      <c r="K278" s="506">
        <f>+'1.3.2 Coal1'!K83</f>
        <v>22.746000000000002</v>
      </c>
      <c r="L278" s="506">
        <f>+'1.3.2 Coal1'!L83</f>
        <v>4.1119999999999948</v>
      </c>
      <c r="M278" s="506">
        <f>+'1.3.2 Coal1'!M83</f>
        <v>0</v>
      </c>
      <c r="N278" s="506">
        <f>+'1.3.2 Coal1'!N83</f>
        <v>0</v>
      </c>
      <c r="O278" s="506"/>
      <c r="P278" s="506"/>
      <c r="Q278" s="603">
        <f t="shared" si="13"/>
        <v>50.641999999999996</v>
      </c>
      <c r="R278" s="506">
        <f t="shared" si="14"/>
        <v>167.148</v>
      </c>
      <c r="S278" s="506">
        <f>+'1.3.2 Coal1'!S83</f>
        <v>2.7</v>
      </c>
      <c r="T278" s="506">
        <f>+'1.3.2 Coal1'!T83</f>
        <v>169.84799999999998</v>
      </c>
    </row>
    <row r="279" spans="1:20" x14ac:dyDescent="0.45">
      <c r="A279" s="14">
        <v>1969</v>
      </c>
      <c r="B279" s="506">
        <f>+'1.3.2 Coal1'!B84</f>
        <v>165.3032</v>
      </c>
      <c r="C279" s="506">
        <f>+'1.3.2 Coal1'!C84</f>
        <v>18.777999999999999</v>
      </c>
      <c r="D279" s="506">
        <f>+'1.3.2 Coal1'!D84</f>
        <v>14.289</v>
      </c>
      <c r="E279" s="506">
        <f>+'1.3.2 Coal1'!E84</f>
        <v>2.0649999999999999</v>
      </c>
      <c r="F279" s="506">
        <f>+'1.3.2 Coal1'!F84</f>
        <v>77.100999999999999</v>
      </c>
      <c r="G279" s="506">
        <f>+'1.3.2 Coal1'!G84</f>
        <v>6.9770000000000003</v>
      </c>
      <c r="H279" s="506">
        <f>+'1.3.2 Coal1'!H84</f>
        <v>29.688000000000002</v>
      </c>
      <c r="I279" s="506">
        <f>+'1.3.2 Coal1'!I84</f>
        <v>0.2</v>
      </c>
      <c r="J279" s="506">
        <f>+'1.3.2 Coal1'!J84</f>
        <v>21.974</v>
      </c>
      <c r="K279" s="506">
        <f>+'1.3.2 Coal1'!K84</f>
        <v>21.509</v>
      </c>
      <c r="L279" s="506">
        <f>+'1.3.2 Coal1'!L84</f>
        <v>4.2319999999999993</v>
      </c>
      <c r="M279" s="506">
        <f>+'1.3.2 Coal1'!M84</f>
        <v>0</v>
      </c>
      <c r="N279" s="506">
        <f>+'1.3.2 Coal1'!N84</f>
        <v>0</v>
      </c>
      <c r="O279" s="506"/>
      <c r="P279" s="506"/>
      <c r="Q279" s="603">
        <f t="shared" si="13"/>
        <v>47.914999999999999</v>
      </c>
      <c r="R279" s="506">
        <f t="shared" si="14"/>
        <v>163.74600000000001</v>
      </c>
      <c r="S279" s="506">
        <f>+'1.3.2 Coal1'!S84</f>
        <v>3.5</v>
      </c>
      <c r="T279" s="506">
        <f>+'1.3.2 Coal1'!T84</f>
        <v>167.24600000000001</v>
      </c>
    </row>
    <row r="280" spans="1:20" x14ac:dyDescent="0.45">
      <c r="A280" s="14">
        <v>1970</v>
      </c>
      <c r="B280" s="506">
        <f>+'1.3.2 Coal1'!B85</f>
        <v>158.80080000000001</v>
      </c>
      <c r="C280" s="506">
        <f>+'1.3.2 Coal1'!C85</f>
        <v>7.2160000000000002</v>
      </c>
      <c r="D280" s="506">
        <f>+'1.3.2 Coal1'!D85</f>
        <v>13.414</v>
      </c>
      <c r="E280" s="506">
        <f>+'1.3.2 Coal1'!E85</f>
        <v>1.9159999999999999</v>
      </c>
      <c r="F280" s="506">
        <f>+'1.3.2 Coal1'!F85</f>
        <v>77.236999999999995</v>
      </c>
      <c r="G280" s="506">
        <f>+'1.3.2 Coal1'!G85</f>
        <v>4.28</v>
      </c>
      <c r="H280" s="506">
        <f>+'1.3.2 Coal1'!H85</f>
        <v>29.49</v>
      </c>
      <c r="I280" s="506">
        <f>+'1.3.2 Coal1'!I85</f>
        <v>0.1</v>
      </c>
      <c r="J280" s="506">
        <f>+'1.3.2 Coal1'!J85</f>
        <v>20.190000000000001</v>
      </c>
      <c r="K280" s="506">
        <f>+'1.3.2 Coal1'!K85</f>
        <v>19.512999999999998</v>
      </c>
      <c r="L280" s="506">
        <f>+'1.3.2 Coal1'!L85</f>
        <v>4.1589999999999918</v>
      </c>
      <c r="M280" s="506">
        <f>+'1.3.2 Coal1'!M85</f>
        <v>0</v>
      </c>
      <c r="N280" s="506">
        <f>+'1.3.2 Coal1'!N85</f>
        <v>0</v>
      </c>
      <c r="O280" s="506"/>
      <c r="P280" s="506"/>
      <c r="Q280" s="603">
        <f t="shared" si="13"/>
        <v>43.961999999999989</v>
      </c>
      <c r="R280" s="506">
        <f t="shared" si="14"/>
        <v>156.88499999999999</v>
      </c>
      <c r="S280" s="506">
        <f>+'1.3.2 Coal1'!S85</f>
        <v>3.1909999999999998</v>
      </c>
      <c r="T280" s="506">
        <f>+'1.3.2 Coal1'!T85</f>
        <v>160.07599999999999</v>
      </c>
    </row>
    <row r="281" spans="1:20" x14ac:dyDescent="0.45">
      <c r="A281" s="14">
        <v>1971</v>
      </c>
      <c r="B281" s="506">
        <f>+'1.3.2 Coal1'!B86</f>
        <v>150.5712</v>
      </c>
      <c r="C281" s="506">
        <f>+'1.3.2 Coal1'!C86</f>
        <v>10.393000000000001</v>
      </c>
      <c r="D281" s="506">
        <f>+'1.3.2 Coal1'!D86</f>
        <v>18.271000000000001</v>
      </c>
      <c r="E281" s="506">
        <f>+'1.3.2 Coal1'!E86</f>
        <v>1.581</v>
      </c>
      <c r="F281" s="506">
        <f>+'1.3.2 Coal1'!F86</f>
        <v>72.846999999999994</v>
      </c>
      <c r="G281" s="506">
        <f>+'1.3.2 Coal1'!G86</f>
        <v>1.855</v>
      </c>
      <c r="H281" s="506">
        <f>+'1.3.2 Coal1'!H86</f>
        <v>28.030999999999999</v>
      </c>
      <c r="I281" s="506">
        <f>+'1.3.2 Coal1'!I86</f>
        <v>0.1</v>
      </c>
      <c r="J281" s="506">
        <f>+'1.3.2 Coal1'!J86</f>
        <v>17.184999999999999</v>
      </c>
      <c r="K281" s="506">
        <f>+'1.3.2 Coal1'!K86</f>
        <v>16.004999999999999</v>
      </c>
      <c r="L281" s="506">
        <f>+'1.3.2 Coal1'!L86</f>
        <v>3.3270000000000266</v>
      </c>
      <c r="M281" s="506">
        <f>+'1.3.2 Coal1'!M86</f>
        <v>0</v>
      </c>
      <c r="N281" s="506">
        <f>+'1.3.2 Coal1'!N86</f>
        <v>0</v>
      </c>
      <c r="O281" s="506"/>
      <c r="P281" s="506"/>
      <c r="Q281" s="603">
        <f t="shared" si="13"/>
        <v>36.617000000000026</v>
      </c>
      <c r="R281" s="506">
        <f t="shared" si="14"/>
        <v>140.93100000000001</v>
      </c>
      <c r="S281" s="506">
        <f>+'1.3.2 Coal1'!S86</f>
        <v>2.6669999999999998</v>
      </c>
      <c r="T281" s="506">
        <f>+'1.3.2 Coal1'!T86</f>
        <v>143.59800000000001</v>
      </c>
    </row>
    <row r="282" spans="1:20" x14ac:dyDescent="0.45">
      <c r="A282" s="14">
        <v>1972</v>
      </c>
      <c r="B282" s="506">
        <f>+'1.3.2 Coal1'!B87</f>
        <v>126.0856</v>
      </c>
      <c r="C282" s="506">
        <f>+'1.3.2 Coal1'!C87</f>
        <v>11.11</v>
      </c>
      <c r="D282" s="506">
        <f>+'1.3.2 Coal1'!D87</f>
        <v>19.350999999999999</v>
      </c>
      <c r="E282" s="506">
        <f>+'1.3.2 Coal1'!E87</f>
        <v>1.405</v>
      </c>
      <c r="F282" s="506">
        <f>+'1.3.2 Coal1'!F87</f>
        <v>66.664000000000001</v>
      </c>
      <c r="G282" s="506">
        <f>+'1.3.2 Coal1'!G87</f>
        <v>0.57499999999999996</v>
      </c>
      <c r="H282" s="506">
        <f>+'1.3.2 Coal1'!H87</f>
        <v>25.023</v>
      </c>
      <c r="I282" s="506">
        <f>+'1.3.2 Coal1'!I87</f>
        <v>0.1</v>
      </c>
      <c r="J282" s="506">
        <f>+'1.3.2 Coal1'!J87</f>
        <v>14.554</v>
      </c>
      <c r="K282" s="506">
        <f>+'1.3.2 Coal1'!K87</f>
        <v>11.563000000000001</v>
      </c>
      <c r="L282" s="506">
        <f>+'1.3.2 Coal1'!L87</f>
        <v>2.9989999999999952</v>
      </c>
      <c r="M282" s="506">
        <f>+'1.3.2 Coal1'!M87</f>
        <v>0</v>
      </c>
      <c r="N282" s="506">
        <f>+'1.3.2 Coal1'!N87</f>
        <v>0</v>
      </c>
      <c r="O282" s="506"/>
      <c r="P282" s="506"/>
      <c r="Q282" s="603">
        <f t="shared" si="13"/>
        <v>29.215999999999994</v>
      </c>
      <c r="R282" s="506">
        <f t="shared" si="14"/>
        <v>122.883</v>
      </c>
      <c r="S282" s="506">
        <f>+'1.3.2 Coal1'!S87</f>
        <v>1.796</v>
      </c>
      <c r="T282" s="506">
        <f>+'1.3.2 Coal1'!T87</f>
        <v>124.679</v>
      </c>
    </row>
    <row r="283" spans="1:20" x14ac:dyDescent="0.45">
      <c r="A283" s="14">
        <v>1973</v>
      </c>
      <c r="B283" s="506">
        <f>+'1.3.2 Coal1'!B88</f>
        <v>133.7056</v>
      </c>
      <c r="C283" s="506">
        <f>+'1.3.2 Coal1'!C88</f>
        <v>10.85</v>
      </c>
      <c r="D283" s="506">
        <f>+'1.3.2 Coal1'!D88</f>
        <v>17.035</v>
      </c>
      <c r="E283" s="506">
        <f>+'1.3.2 Coal1'!E88</f>
        <v>1.381</v>
      </c>
      <c r="F283" s="506">
        <f>+'1.3.2 Coal1'!F88</f>
        <v>76.837999999999994</v>
      </c>
      <c r="G283" s="506">
        <f>+'1.3.2 Coal1'!G88</f>
        <v>0.51200000000000001</v>
      </c>
      <c r="H283" s="506">
        <f>+'1.3.2 Coal1'!H88</f>
        <v>25.495000000000001</v>
      </c>
      <c r="I283" s="506">
        <f>+'1.3.2 Coal1'!I88</f>
        <v>0.1</v>
      </c>
      <c r="J283" s="506">
        <f>+'1.3.2 Coal1'!J88</f>
        <v>14.502000000000001</v>
      </c>
      <c r="K283" s="506">
        <f>+'1.3.2 Coal1'!K88</f>
        <v>11.962</v>
      </c>
      <c r="L283" s="506">
        <f>+'1.3.2 Coal1'!L88</f>
        <v>2.5810000000000173</v>
      </c>
      <c r="M283" s="506">
        <f>+'1.3.2 Coal1'!M88</f>
        <v>0</v>
      </c>
      <c r="N283" s="506">
        <f>+'1.3.2 Coal1'!N88</f>
        <v>0</v>
      </c>
      <c r="O283" s="506"/>
      <c r="P283" s="506"/>
      <c r="Q283" s="603">
        <f t="shared" si="13"/>
        <v>29.145000000000017</v>
      </c>
      <c r="R283" s="506">
        <f t="shared" si="14"/>
        <v>133.37100000000001</v>
      </c>
      <c r="S283" s="506">
        <f>+'1.3.2 Coal1'!S88</f>
        <v>2.6930000000000001</v>
      </c>
      <c r="T283" s="506">
        <f>+'1.3.2 Coal1'!T88</f>
        <v>136.06400000000002</v>
      </c>
    </row>
    <row r="284" spans="1:20" x14ac:dyDescent="0.45">
      <c r="A284" s="14">
        <v>1974</v>
      </c>
      <c r="B284" s="506">
        <f>+'1.3.2 Coal1'!B89</f>
        <v>118.6688</v>
      </c>
      <c r="C284" s="506">
        <f>+'1.3.2 Coal1'!C89</f>
        <v>5.9790000000000001</v>
      </c>
      <c r="D284" s="506">
        <f>+'1.3.2 Coal1'!D89</f>
        <v>15.827</v>
      </c>
      <c r="E284" s="506">
        <f>+'1.3.2 Coal1'!E89</f>
        <v>1.256</v>
      </c>
      <c r="F284" s="506">
        <f>+'1.3.2 Coal1'!F89</f>
        <v>67.025999999999996</v>
      </c>
      <c r="G284" s="506">
        <f>+'1.3.2 Coal1'!G89</f>
        <v>0.107</v>
      </c>
      <c r="H284" s="506">
        <f>+'1.3.2 Coal1'!H89</f>
        <v>22.248999999999999</v>
      </c>
      <c r="I284" s="506">
        <f>+'1.3.2 Coal1'!I89</f>
        <v>0.1</v>
      </c>
      <c r="J284" s="506">
        <f>+'1.3.2 Coal1'!J89</f>
        <v>13.667</v>
      </c>
      <c r="K284" s="506">
        <f>+'1.3.2 Coal1'!K89</f>
        <v>10.977</v>
      </c>
      <c r="L284" s="506">
        <f>+'1.3.2 Coal1'!L89</f>
        <v>2.5050000000000097</v>
      </c>
      <c r="M284" s="506">
        <f>+'1.3.2 Coal1'!M89</f>
        <v>0</v>
      </c>
      <c r="N284" s="506">
        <f>+'1.3.2 Coal1'!N89</f>
        <v>0</v>
      </c>
      <c r="O284" s="506"/>
      <c r="P284" s="506"/>
      <c r="Q284" s="603">
        <f t="shared" si="13"/>
        <v>27.249000000000009</v>
      </c>
      <c r="R284" s="506">
        <f t="shared" si="14"/>
        <v>117.887</v>
      </c>
      <c r="S284" s="506">
        <f>+'1.3.2 Coal1'!S89</f>
        <v>1.865</v>
      </c>
      <c r="T284" s="506">
        <f>+'1.3.2 Coal1'!T89</f>
        <v>119.752</v>
      </c>
    </row>
    <row r="285" spans="1:20" x14ac:dyDescent="0.45">
      <c r="A285" s="14">
        <v>1975</v>
      </c>
      <c r="B285" s="506">
        <f>+'1.3.2 Coal1'!B90</f>
        <v>141.1</v>
      </c>
      <c r="C285" s="506">
        <f>+'1.3.2 Coal1'!C90</f>
        <v>10.618</v>
      </c>
      <c r="D285" s="506">
        <f>+'1.3.2 Coal1'!D90</f>
        <v>20.541</v>
      </c>
      <c r="E285" s="506">
        <f>+'1.3.2 Coal1'!E90</f>
        <v>1.238</v>
      </c>
      <c r="F285" s="506">
        <f>+'1.3.2 Coal1'!F90</f>
        <v>74.569000000000003</v>
      </c>
      <c r="G285" s="506">
        <f>+'1.3.2 Coal1'!G90</f>
        <v>8.9999999999999993E-3</v>
      </c>
      <c r="H285" s="506">
        <f>+'1.3.2 Coal1'!H90</f>
        <v>23.148</v>
      </c>
      <c r="I285" s="506">
        <f>+'1.3.2 Coal1'!I90</f>
        <v>0.1</v>
      </c>
      <c r="J285" s="506">
        <f>+'1.3.2 Coal1'!J90</f>
        <v>11.616</v>
      </c>
      <c r="K285" s="506">
        <f>+'1.3.2 Coal1'!K90</f>
        <v>9.5850000000000009</v>
      </c>
      <c r="L285" s="506">
        <f>+'1.3.2 Coal1'!L90</f>
        <v>1.9480000000000075</v>
      </c>
      <c r="M285" s="506">
        <f>+'1.3.2 Coal1'!M90</f>
        <v>0</v>
      </c>
      <c r="N285" s="506">
        <f>+'1.3.2 Coal1'!N90</f>
        <v>0</v>
      </c>
      <c r="O285" s="506"/>
      <c r="P285" s="506"/>
      <c r="Q285" s="603">
        <f t="shared" si="13"/>
        <v>23.249000000000009</v>
      </c>
      <c r="R285" s="506">
        <f t="shared" si="14"/>
        <v>122.21300000000001</v>
      </c>
      <c r="S285" s="506">
        <f>+'1.3.2 Coal1'!S90</f>
        <v>2.1819999999999999</v>
      </c>
      <c r="T285" s="506">
        <f>+'1.3.2 Coal1'!T90</f>
        <v>124.395</v>
      </c>
    </row>
    <row r="286" spans="1:20" x14ac:dyDescent="0.45">
      <c r="A286" s="14">
        <v>1976</v>
      </c>
      <c r="B286" s="506">
        <f>+'1.3.2 Coal1'!B91</f>
        <v>127.39999999999999</v>
      </c>
      <c r="C286" s="506">
        <f>+'1.3.2 Coal1'!C91</f>
        <v>10.657999999999999</v>
      </c>
      <c r="D286" s="506">
        <f>+'1.3.2 Coal1'!D91</f>
        <v>22.457000000000001</v>
      </c>
      <c r="E286" s="506">
        <f>+'1.3.2 Coal1'!E91</f>
        <v>1.1319999999999999</v>
      </c>
      <c r="F286" s="506">
        <f>+'1.3.2 Coal1'!F91</f>
        <v>77.819000000000003</v>
      </c>
      <c r="G286" s="506">
        <f>+'1.3.2 Coal1'!G91</f>
        <v>8.0000000000000002E-3</v>
      </c>
      <c r="H286" s="506">
        <f>+'1.3.2 Coal1'!H91</f>
        <v>22.806999999999999</v>
      </c>
      <c r="I286" s="506">
        <f>+'1.3.2 Coal1'!I91</f>
        <v>0.1</v>
      </c>
      <c r="J286" s="506">
        <f>+'1.3.2 Coal1'!J91</f>
        <v>10.823</v>
      </c>
      <c r="K286" s="506">
        <f>+'1.3.2 Coal1'!K91</f>
        <v>8.870000000000001</v>
      </c>
      <c r="L286" s="506">
        <f>+'1.3.2 Coal1'!L91</f>
        <v>2.0450000000000017</v>
      </c>
      <c r="M286" s="506">
        <f>+'1.3.2 Coal1'!M91</f>
        <v>0</v>
      </c>
      <c r="N286" s="506">
        <f>+'1.3.2 Coal1'!N91</f>
        <v>0</v>
      </c>
      <c r="O286" s="506"/>
      <c r="P286" s="506"/>
      <c r="Q286" s="603">
        <f t="shared" si="13"/>
        <v>21.838000000000001</v>
      </c>
      <c r="R286" s="506">
        <f t="shared" si="14"/>
        <v>123.60400000000001</v>
      </c>
      <c r="S286" s="506">
        <f>+'1.3.2 Coal1'!S91</f>
        <v>1.4359999999999999</v>
      </c>
      <c r="T286" s="506">
        <f>+'1.3.2 Coal1'!T91</f>
        <v>125.03999999999999</v>
      </c>
    </row>
    <row r="287" spans="1:20" x14ac:dyDescent="0.45">
      <c r="A287" s="14">
        <v>1977</v>
      </c>
      <c r="B287" s="506">
        <f>+'1.3.2 Coal1'!B92</f>
        <v>124.4</v>
      </c>
      <c r="C287" s="506">
        <f>+'1.3.2 Coal1'!C92</f>
        <v>9.74</v>
      </c>
      <c r="D287" s="506">
        <f>+'1.3.2 Coal1'!D92</f>
        <v>21.704000000000001</v>
      </c>
      <c r="E287" s="506">
        <f>+'1.3.2 Coal1'!E92</f>
        <v>1.1240000000000001</v>
      </c>
      <c r="F287" s="506">
        <f>+'1.3.2 Coal1'!F92</f>
        <v>79.956000000000003</v>
      </c>
      <c r="G287" s="506" t="str">
        <f>+'1.3.2 Coal1'!G92</f>
        <v>-</v>
      </c>
      <c r="H287" s="506">
        <f>+'1.3.2 Coal1'!H92</f>
        <v>20.579000000000001</v>
      </c>
      <c r="I287" s="506">
        <f>+'1.3.2 Coal1'!I92</f>
        <v>0.1</v>
      </c>
      <c r="J287" s="506">
        <f>+'1.3.2 Coal1'!J92</f>
        <v>11.135999999999999</v>
      </c>
      <c r="K287" s="506">
        <f>+'1.3.2 Coal1'!K92</f>
        <v>8.9329999999999998</v>
      </c>
      <c r="L287" s="506">
        <f>+'1.3.2 Coal1'!L92</f>
        <v>2.1490000000000293</v>
      </c>
      <c r="M287" s="506">
        <f>+'1.3.2 Coal1'!M92</f>
        <v>0</v>
      </c>
      <c r="N287" s="506">
        <f>+'1.3.2 Coal1'!N92</f>
        <v>0</v>
      </c>
      <c r="O287" s="506"/>
      <c r="P287" s="506"/>
      <c r="Q287" s="603">
        <f t="shared" si="13"/>
        <v>22.318000000000026</v>
      </c>
      <c r="R287" s="506">
        <f t="shared" si="14"/>
        <v>123.97700000000002</v>
      </c>
      <c r="S287" s="506">
        <f>+'1.3.2 Coal1'!S92</f>
        <v>1.835</v>
      </c>
      <c r="T287" s="506">
        <f>+'1.3.2 Coal1'!T92</f>
        <v>125.812</v>
      </c>
    </row>
    <row r="288" spans="1:20" x14ac:dyDescent="0.45">
      <c r="A288" s="14">
        <v>1978</v>
      </c>
      <c r="B288" s="506">
        <f>+'1.3.2 Coal1'!B93</f>
        <v>126.70000000000002</v>
      </c>
      <c r="C288" s="506">
        <f>+'1.3.2 Coal1'!C93</f>
        <v>12.436999999999999</v>
      </c>
      <c r="D288" s="506">
        <f>+'1.3.2 Coal1'!D93</f>
        <v>22.038</v>
      </c>
      <c r="E288" s="506">
        <f>+'1.3.2 Coal1'!E93</f>
        <v>1.01</v>
      </c>
      <c r="F288" s="506">
        <f>+'1.3.2 Coal1'!F93</f>
        <v>80.643000000000001</v>
      </c>
      <c r="G288" s="506" t="str">
        <f>+'1.3.2 Coal1'!G93</f>
        <v>-</v>
      </c>
      <c r="H288" s="506">
        <f>+'1.3.2 Coal1'!H93</f>
        <v>18.015999999999998</v>
      </c>
      <c r="I288" s="506">
        <f>+'1.3.2 Coal1'!I93</f>
        <v>0.1</v>
      </c>
      <c r="J288" s="506">
        <f>+'1.3.2 Coal1'!J93</f>
        <v>10.217000000000001</v>
      </c>
      <c r="K288" s="506">
        <f>+'1.3.2 Coal1'!K93</f>
        <v>8.4500000000000011</v>
      </c>
      <c r="L288" s="506">
        <f>+'1.3.2 Coal1'!L93</f>
        <v>2.0409999999999968</v>
      </c>
      <c r="M288" s="506">
        <f>+'1.3.2 Coal1'!M93</f>
        <v>0</v>
      </c>
      <c r="N288" s="506">
        <f>+'1.3.2 Coal1'!N93</f>
        <v>0</v>
      </c>
      <c r="O288" s="506"/>
      <c r="P288" s="506"/>
      <c r="Q288" s="603">
        <f t="shared" si="13"/>
        <v>20.808</v>
      </c>
      <c r="R288" s="506">
        <f t="shared" si="14"/>
        <v>120.477</v>
      </c>
      <c r="S288" s="506">
        <f>+'1.3.2 Coal1'!S93</f>
        <v>2.2530000000000001</v>
      </c>
      <c r="T288" s="506">
        <f>+'1.3.2 Coal1'!T93</f>
        <v>122.73</v>
      </c>
    </row>
    <row r="289" spans="1:20" x14ac:dyDescent="0.45">
      <c r="A289" s="14">
        <v>1979</v>
      </c>
      <c r="B289" s="506">
        <f>+'1.3.2 Coal1'!B94</f>
        <v>129.70000000000002</v>
      </c>
      <c r="C289" s="506">
        <f>+'1.3.2 Coal1'!C94</f>
        <v>9.5690000000000008</v>
      </c>
      <c r="D289" s="506">
        <f>+'1.3.2 Coal1'!D94</f>
        <v>18.338999999999999</v>
      </c>
      <c r="E289" s="506">
        <f>+'1.3.2 Coal1'!E94</f>
        <v>0.83399999999999996</v>
      </c>
      <c r="F289" s="506">
        <f>+'1.3.2 Coal1'!F94</f>
        <v>88.79</v>
      </c>
      <c r="G289" s="506" t="str">
        <f>+'1.3.2 Coal1'!G94</f>
        <v>-</v>
      </c>
      <c r="H289" s="506">
        <f>+'1.3.2 Coal1'!H94</f>
        <v>17.963999999999999</v>
      </c>
      <c r="I289" s="506">
        <f>+'1.3.2 Coal1'!I94</f>
        <v>0</v>
      </c>
      <c r="J289" s="506">
        <f>+'1.3.2 Coal1'!J94</f>
        <v>10.507999999999999</v>
      </c>
      <c r="K289" s="506">
        <f>+'1.3.2 Coal1'!K94</f>
        <v>9.2319999999999993</v>
      </c>
      <c r="L289" s="506">
        <f>+'1.3.2 Coal1'!L94</f>
        <v>2.0509999999999877</v>
      </c>
      <c r="M289" s="506">
        <f>+'1.3.2 Coal1'!M94</f>
        <v>0</v>
      </c>
      <c r="N289" s="506">
        <f>+'1.3.2 Coal1'!N94</f>
        <v>0</v>
      </c>
      <c r="O289" s="506"/>
      <c r="P289" s="506"/>
      <c r="Q289" s="603">
        <f t="shared" si="13"/>
        <v>21.790999999999986</v>
      </c>
      <c r="R289" s="506">
        <f t="shared" si="14"/>
        <v>129.37899999999999</v>
      </c>
      <c r="S289" s="506">
        <f>+'1.3.2 Coal1'!S94</f>
        <v>2.1749999999999998</v>
      </c>
      <c r="T289" s="506">
        <f>+'1.3.2 Coal1'!T94</f>
        <v>131.554</v>
      </c>
    </row>
    <row r="290" spans="1:20" x14ac:dyDescent="0.45">
      <c r="A290" s="14">
        <v>1980</v>
      </c>
      <c r="B290" s="506">
        <f>+'1.3.2 Coal1'!B95</f>
        <v>123.84300000000002</v>
      </c>
      <c r="C290" s="506">
        <f>+'1.3.2 Coal1'!C95</f>
        <v>17.317</v>
      </c>
      <c r="D290" s="506">
        <f>+'1.3.2 Coal1'!D95</f>
        <v>20.37</v>
      </c>
      <c r="E290" s="506">
        <f>+'1.3.2 Coal1'!E95</f>
        <v>0.66300000000000003</v>
      </c>
      <c r="F290" s="506">
        <f>+'1.3.2 Coal1'!F95</f>
        <v>89.569000000000003</v>
      </c>
      <c r="G290" s="506" t="str">
        <f>+'1.3.2 Coal1'!G95</f>
        <v>-</v>
      </c>
      <c r="H290" s="506">
        <f>+'1.3.2 Coal1'!H95</f>
        <v>14.632</v>
      </c>
      <c r="I290" s="506">
        <f>+'1.3.2 Coal1'!I95</f>
        <v>0</v>
      </c>
      <c r="J290" s="506">
        <f>+'1.3.2 Coal1'!J95</f>
        <v>8.9459999999999997</v>
      </c>
      <c r="K290" s="506">
        <f>+'1.3.2 Coal1'!K95</f>
        <v>7.8979999999999997</v>
      </c>
      <c r="L290" s="506">
        <f>+'1.3.2 Coal1'!L95</f>
        <v>1.7519999999999953</v>
      </c>
      <c r="M290" s="506">
        <f>+'1.3.2 Coal1'!M95</f>
        <v>0</v>
      </c>
      <c r="N290" s="506">
        <f>+'1.3.2 Coal1'!N95</f>
        <v>0</v>
      </c>
      <c r="O290" s="506"/>
      <c r="P290" s="506"/>
      <c r="Q290" s="603">
        <f t="shared" si="13"/>
        <v>18.595999999999997</v>
      </c>
      <c r="R290" s="506">
        <f t="shared" si="14"/>
        <v>123.46000000000001</v>
      </c>
      <c r="S290" s="506">
        <f>+'1.3.2 Coal1'!S95</f>
        <v>3.8090000000000002</v>
      </c>
      <c r="T290" s="506">
        <f>+'1.3.2 Coal1'!T95</f>
        <v>127.26899999999999</v>
      </c>
    </row>
    <row r="291" spans="1:20" x14ac:dyDescent="0.45">
      <c r="A291" s="14">
        <v>1981</v>
      </c>
      <c r="B291" s="506">
        <f>+'1.3.2 Coal1'!B96</f>
        <v>118.08000000000001</v>
      </c>
      <c r="C291" s="506">
        <f>+'1.3.2 Coal1'!C96</f>
        <v>22.117000000000001</v>
      </c>
      <c r="D291" s="506">
        <f>+'1.3.2 Coal1'!D96</f>
        <v>20.135999999999999</v>
      </c>
      <c r="E291" s="506">
        <f>+'1.3.2 Coal1'!E96</f>
        <v>0.61599999999999999</v>
      </c>
      <c r="F291" s="506">
        <f>+'1.3.2 Coal1'!F96</f>
        <v>87.225999999999999</v>
      </c>
      <c r="G291" s="506" t="str">
        <f>+'1.3.2 Coal1'!G96</f>
        <v>-</v>
      </c>
      <c r="H291" s="506">
        <f>+'1.3.2 Coal1'!H96</f>
        <v>13.263</v>
      </c>
      <c r="I291" s="506">
        <f>+'1.3.2 Coal1'!I96</f>
        <v>0</v>
      </c>
      <c r="J291" s="506">
        <f>+'1.3.2 Coal1'!J96</f>
        <v>8.4540000000000006</v>
      </c>
      <c r="K291" s="506">
        <f>+'1.3.2 Coal1'!K96</f>
        <v>7.0460000000000003</v>
      </c>
      <c r="L291" s="506">
        <f>+'1.3.2 Coal1'!L96</f>
        <v>1.7809999999999917</v>
      </c>
      <c r="M291" s="506">
        <f>+'1.3.2 Coal1'!M96</f>
        <v>0</v>
      </c>
      <c r="N291" s="506">
        <f>+'1.3.2 Coal1'!N96</f>
        <v>0</v>
      </c>
      <c r="O291" s="506"/>
      <c r="P291" s="506"/>
      <c r="Q291" s="603">
        <f t="shared" si="13"/>
        <v>17.280999999999992</v>
      </c>
      <c r="R291" s="506">
        <f t="shared" si="14"/>
        <v>118.386</v>
      </c>
      <c r="S291" s="506">
        <f>+'1.3.2 Coal1'!S96</f>
        <v>9.1129999999999995</v>
      </c>
      <c r="T291" s="506">
        <f>+'1.3.2 Coal1'!T96</f>
        <v>127.499</v>
      </c>
    </row>
    <row r="292" spans="1:20" x14ac:dyDescent="0.45">
      <c r="A292" s="14">
        <v>1982</v>
      </c>
      <c r="B292" s="506">
        <f>+'1.3.2 Coal1'!B97</f>
        <v>111.203</v>
      </c>
      <c r="C292" s="506">
        <f>+'1.3.2 Coal1'!C97</f>
        <v>21.954999999999998</v>
      </c>
      <c r="D292" s="506">
        <f>+'1.3.2 Coal1'!D97</f>
        <v>30.422000000000001</v>
      </c>
      <c r="E292" s="506">
        <f>+'1.3.2 Coal1'!E97</f>
        <v>0.53400000000000003</v>
      </c>
      <c r="F292" s="506">
        <f>+'1.3.2 Coal1'!F97</f>
        <v>80.227999999999994</v>
      </c>
      <c r="G292" s="506" t="str">
        <f>+'1.3.2 Coal1'!G97</f>
        <v>-</v>
      </c>
      <c r="H292" s="506">
        <f>+'1.3.2 Coal1'!H97</f>
        <v>12.731999999999999</v>
      </c>
      <c r="I292" s="506">
        <f>+'1.3.2 Coal1'!I97</f>
        <v>0</v>
      </c>
      <c r="J292" s="506">
        <f>+'1.3.2 Coal1'!J97</f>
        <v>8.4740000000000002</v>
      </c>
      <c r="K292" s="506">
        <f>+'1.3.2 Coal1'!K97</f>
        <v>7.1749999999999998</v>
      </c>
      <c r="L292" s="506">
        <f>+'1.3.2 Coal1'!L97</f>
        <v>1.855000000000004</v>
      </c>
      <c r="M292" s="506">
        <f>+'1.3.2 Coal1'!M97</f>
        <v>0</v>
      </c>
      <c r="N292" s="506">
        <f>+'1.3.2 Coal1'!N97</f>
        <v>0</v>
      </c>
      <c r="O292" s="506"/>
      <c r="P292" s="506"/>
      <c r="Q292" s="603">
        <f t="shared" si="13"/>
        <v>17.504000000000005</v>
      </c>
      <c r="R292" s="506">
        <f t="shared" si="14"/>
        <v>110.998</v>
      </c>
      <c r="S292" s="506">
        <f>+'1.3.2 Coal1'!S97</f>
        <v>7.4470000000000001</v>
      </c>
      <c r="T292" s="506">
        <f>+'1.3.2 Coal1'!T97</f>
        <v>118.44500000000001</v>
      </c>
    </row>
    <row r="293" spans="1:20" x14ac:dyDescent="0.45">
      <c r="A293" s="14">
        <v>1983</v>
      </c>
      <c r="B293" s="506">
        <f>+'1.3.2 Coal1'!B98</f>
        <v>111.566</v>
      </c>
      <c r="C293" s="506">
        <f>+'1.3.2 Coal1'!C98</f>
        <v>23.995999999999999</v>
      </c>
      <c r="D293" s="506">
        <f>+'1.3.2 Coal1'!D98</f>
        <v>33.963999999999999</v>
      </c>
      <c r="E293" s="506">
        <f>+'1.3.2 Coal1'!E98</f>
        <v>0.48599999999999999</v>
      </c>
      <c r="F293" s="506">
        <f>+'1.3.2 Coal1'!F98</f>
        <v>81.564999999999998</v>
      </c>
      <c r="G293" s="506" t="str">
        <f>+'1.3.2 Coal1'!G98</f>
        <v>-</v>
      </c>
      <c r="H293" s="506">
        <f>+'1.3.2 Coal1'!H98</f>
        <v>12.561999999999999</v>
      </c>
      <c r="I293" s="506">
        <f>+'1.3.2 Coal1'!I98</f>
        <v>0</v>
      </c>
      <c r="J293" s="506">
        <f>+'1.3.2 Coal1'!J98</f>
        <v>7.8719999999999999</v>
      </c>
      <c r="K293" s="506">
        <f>+'1.3.2 Coal1'!K98</f>
        <v>7.218</v>
      </c>
      <c r="L293" s="506">
        <f>+'1.3.2 Coal1'!L98</f>
        <v>1.7719999999999914</v>
      </c>
      <c r="M293" s="506">
        <f>+'1.3.2 Coal1'!M98</f>
        <v>0</v>
      </c>
      <c r="N293" s="506">
        <f>+'1.3.2 Coal1'!N98</f>
        <v>0</v>
      </c>
      <c r="O293" s="506"/>
      <c r="P293" s="506"/>
      <c r="Q293" s="603">
        <f t="shared" si="13"/>
        <v>16.861999999999991</v>
      </c>
      <c r="R293" s="506">
        <f t="shared" si="14"/>
        <v>111.47499999999999</v>
      </c>
      <c r="S293" s="506">
        <f>+'1.3.2 Coal1'!S98</f>
        <v>6.5609999999999999</v>
      </c>
      <c r="T293" s="506">
        <f>+'1.3.2 Coal1'!T98</f>
        <v>118.036</v>
      </c>
    </row>
    <row r="294" spans="1:20" x14ac:dyDescent="0.45">
      <c r="A294" s="14">
        <v>1984</v>
      </c>
      <c r="B294" s="506">
        <f>+'1.3.2 Coal1'!B99</f>
        <v>79.194999999999993</v>
      </c>
      <c r="C294" s="506">
        <f>+'1.3.2 Coal1'!C99</f>
        <v>20.753</v>
      </c>
      <c r="D294" s="506">
        <f>+'1.3.2 Coal1'!D99</f>
        <v>15.794</v>
      </c>
      <c r="E294" s="506">
        <f>+'1.3.2 Coal1'!E99</f>
        <v>0.20899999999999999</v>
      </c>
      <c r="F294" s="506">
        <f>+'1.3.2 Coal1'!F99</f>
        <v>53.411000000000001</v>
      </c>
      <c r="G294" s="506" t="str">
        <f>+'1.3.2 Coal1'!G99</f>
        <v>-</v>
      </c>
      <c r="H294" s="506">
        <f>+'1.3.2 Coal1'!H99</f>
        <v>9.5459999999999994</v>
      </c>
      <c r="I294" s="506">
        <f>+'1.3.2 Coal1'!I99</f>
        <v>0</v>
      </c>
      <c r="J294" s="506">
        <f>+'1.3.2 Coal1'!J99</f>
        <v>5.4059999999999997</v>
      </c>
      <c r="K294" s="506">
        <f>+'1.3.2 Coal1'!K99</f>
        <v>7.0060000000000002</v>
      </c>
      <c r="L294" s="506">
        <f>+'1.3.2 Coal1'!L99</f>
        <v>1.7309999999999945</v>
      </c>
      <c r="M294" s="506">
        <f>+'1.3.2 Coal1'!M99</f>
        <v>0</v>
      </c>
      <c r="N294" s="506">
        <f>+'1.3.2 Coal1'!N99</f>
        <v>0</v>
      </c>
      <c r="O294" s="506"/>
      <c r="P294" s="506"/>
      <c r="Q294" s="603">
        <f t="shared" si="13"/>
        <v>14.142999999999994</v>
      </c>
      <c r="R294" s="506">
        <f t="shared" si="14"/>
        <v>77.308999999999997</v>
      </c>
      <c r="S294" s="506">
        <f>+'1.3.2 Coal1'!S99</f>
        <v>2.2930000000000001</v>
      </c>
      <c r="T294" s="506">
        <f>+'1.3.2 Coal1'!T99</f>
        <v>79.602000000000004</v>
      </c>
    </row>
    <row r="295" spans="1:20" x14ac:dyDescent="0.45">
      <c r="A295" s="14">
        <v>1985</v>
      </c>
      <c r="B295" s="506">
        <f>+'1.3.2 Coal1'!B100</f>
        <v>105.973</v>
      </c>
      <c r="C295" s="506">
        <f>+'1.3.2 Coal1'!C100</f>
        <v>9.2279999999999998</v>
      </c>
      <c r="D295" s="506">
        <f>+'1.3.2 Coal1'!D100</f>
        <v>25.751999999999999</v>
      </c>
      <c r="E295" s="506">
        <f>+'1.3.2 Coal1'!E100</f>
        <v>0.33200000000000002</v>
      </c>
      <c r="F295" s="506">
        <f>+'1.3.2 Coal1'!F100</f>
        <v>73.94</v>
      </c>
      <c r="G295" s="506" t="str">
        <f>+'1.3.2 Coal1'!G100</f>
        <v>-</v>
      </c>
      <c r="H295" s="506">
        <f>+'1.3.2 Coal1'!H100</f>
        <v>13.298</v>
      </c>
      <c r="I295" s="506">
        <f>+'1.3.2 Coal1'!I100</f>
        <v>0</v>
      </c>
      <c r="J295" s="506">
        <f>+'1.3.2 Coal1'!J100</f>
        <v>7.7990000000000004</v>
      </c>
      <c r="K295" s="506">
        <f>+'1.3.2 Coal1'!K100</f>
        <v>8.3130000000000006</v>
      </c>
      <c r="L295" s="506">
        <f>+'1.3.2 Coal1'!L100</f>
        <v>1.7039999999999935</v>
      </c>
      <c r="M295" s="506">
        <f>+'1.3.2 Coal1'!M100</f>
        <v>0</v>
      </c>
      <c r="N295" s="506">
        <f>+'1.3.2 Coal1'!N100</f>
        <v>0</v>
      </c>
      <c r="O295" s="506"/>
      <c r="P295" s="506"/>
      <c r="Q295" s="603">
        <f t="shared" si="13"/>
        <v>17.815999999999995</v>
      </c>
      <c r="R295" s="506">
        <f t="shared" si="14"/>
        <v>105.386</v>
      </c>
      <c r="S295" s="506">
        <f>+'1.3.2 Coal1'!S100</f>
        <v>2.4319999999999999</v>
      </c>
      <c r="T295" s="506">
        <f>+'1.3.2 Coal1'!T100</f>
        <v>107.818</v>
      </c>
    </row>
    <row r="296" spans="1:20" x14ac:dyDescent="0.45">
      <c r="A296" s="14">
        <v>1986</v>
      </c>
      <c r="B296" s="506">
        <f>+'1.3.2 Coal1'!B101</f>
        <v>119.47699999999999</v>
      </c>
      <c r="C296" s="506">
        <f>+'1.3.2 Coal1'!C101</f>
        <v>8.7040000000000006</v>
      </c>
      <c r="D296" s="506">
        <f>+'1.3.2 Coal1'!D101</f>
        <v>29.776</v>
      </c>
      <c r="E296" s="506">
        <f>+'1.3.2 Coal1'!E101</f>
        <v>0.30599999999999999</v>
      </c>
      <c r="F296" s="506">
        <f>+'1.3.2 Coal1'!F101</f>
        <v>82.652000000000001</v>
      </c>
      <c r="G296" s="506" t="str">
        <f>+'1.3.2 Coal1'!G101</f>
        <v>-</v>
      </c>
      <c r="H296" s="506">
        <f>+'1.3.2 Coal1'!H101</f>
        <v>13.081</v>
      </c>
      <c r="I296" s="506">
        <f>+'1.3.2 Coal1'!I101</f>
        <v>0</v>
      </c>
      <c r="J296" s="506">
        <f>+'1.3.2 Coal1'!J101</f>
        <v>7.4210000000000003</v>
      </c>
      <c r="K296" s="506">
        <f>+'1.3.2 Coal1'!K101</f>
        <v>9.2780000000000005</v>
      </c>
      <c r="L296" s="506">
        <f>+'1.3.2 Coal1'!L101</f>
        <v>1.4959999999999809</v>
      </c>
      <c r="M296" s="506">
        <f>+'1.3.2 Coal1'!M101</f>
        <v>0</v>
      </c>
      <c r="N296" s="506">
        <f>+'1.3.2 Coal1'!N101</f>
        <v>0</v>
      </c>
      <c r="O296" s="506"/>
      <c r="P296" s="506"/>
      <c r="Q296" s="603">
        <f t="shared" si="13"/>
        <v>18.194999999999983</v>
      </c>
      <c r="R296" s="506">
        <f t="shared" si="14"/>
        <v>114.23399999999998</v>
      </c>
      <c r="S296" s="506">
        <f>+'1.3.2 Coal1'!S101</f>
        <v>2.677</v>
      </c>
      <c r="T296" s="506">
        <f>+'1.3.2 Coal1'!T101</f>
        <v>116.911</v>
      </c>
    </row>
    <row r="297" spans="1:20" x14ac:dyDescent="0.45">
      <c r="A297" s="14">
        <v>1987</v>
      </c>
      <c r="B297" s="506">
        <f>+'1.3.2 Coal1'!B102</f>
        <v>117.28500000000001</v>
      </c>
      <c r="C297" s="506">
        <f>+'1.3.2 Coal1'!C102</f>
        <v>6.1420000000000003</v>
      </c>
      <c r="D297" s="506">
        <f>+'1.3.2 Coal1'!D102</f>
        <v>27.103999999999999</v>
      </c>
      <c r="E297" s="506">
        <f>+'1.3.2 Coal1'!E102</f>
        <v>0.23499999999999999</v>
      </c>
      <c r="F297" s="506">
        <f>+'1.3.2 Coal1'!F102</f>
        <v>87.96</v>
      </c>
      <c r="G297" s="506" t="str">
        <f>+'1.3.2 Coal1'!G102</f>
        <v>-</v>
      </c>
      <c r="H297" s="506">
        <f>+'1.3.2 Coal1'!H102</f>
        <v>12.911</v>
      </c>
      <c r="I297" s="506">
        <f>+'1.3.2 Coal1'!I102</f>
        <v>0</v>
      </c>
      <c r="J297" s="506">
        <f>+'1.3.2 Coal1'!J102</f>
        <v>6.5359999999999996</v>
      </c>
      <c r="K297" s="506">
        <f>+'1.3.2 Coal1'!K102</f>
        <v>6.827</v>
      </c>
      <c r="L297" s="506">
        <f>+'1.3.2 Coal1'!L102</f>
        <v>1.4250000000000114</v>
      </c>
      <c r="M297" s="506">
        <f>+'1.3.2 Coal1'!M102</f>
        <v>0</v>
      </c>
      <c r="N297" s="506">
        <f>+'1.3.2 Coal1'!N102</f>
        <v>0</v>
      </c>
      <c r="O297" s="506"/>
      <c r="P297" s="506"/>
      <c r="Q297" s="603">
        <f t="shared" si="13"/>
        <v>14.788000000000011</v>
      </c>
      <c r="R297" s="506">
        <f t="shared" si="14"/>
        <v>115.89400000000001</v>
      </c>
      <c r="S297" s="506">
        <f>+'1.3.2 Coal1'!S102</f>
        <v>2.3530000000000002</v>
      </c>
      <c r="T297" s="506">
        <f>+'1.3.2 Coal1'!T102</f>
        <v>118.247</v>
      </c>
    </row>
    <row r="298" spans="1:20" x14ac:dyDescent="0.45">
      <c r="A298" s="14">
        <v>1988</v>
      </c>
      <c r="B298" s="506">
        <f>+'1.3.2 Coal1'!B103</f>
        <v>116.771</v>
      </c>
      <c r="C298" s="506">
        <f>+'1.3.2 Coal1'!C103</f>
        <v>7.3319999999999999</v>
      </c>
      <c r="D298" s="506">
        <f>+'1.3.2 Coal1'!D103</f>
        <v>28.834</v>
      </c>
      <c r="E298" s="506">
        <f>+'1.3.2 Coal1'!E103</f>
        <v>0.19600000000000001</v>
      </c>
      <c r="F298" s="506">
        <f>+'1.3.2 Coal1'!F103</f>
        <v>84.257999999999996</v>
      </c>
      <c r="G298" s="506" t="str">
        <f>+'1.3.2 Coal1'!G103</f>
        <v>-</v>
      </c>
      <c r="H298" s="506">
        <f>+'1.3.2 Coal1'!H103</f>
        <v>12.907999999999999</v>
      </c>
      <c r="I298" s="506">
        <f>+'1.3.2 Coal1'!I103</f>
        <v>0</v>
      </c>
      <c r="J298" s="506">
        <f>+'1.3.2 Coal1'!J103</f>
        <v>5.7409999999999997</v>
      </c>
      <c r="K298" s="506">
        <f>+'1.3.2 Coal1'!K103</f>
        <v>7.1310000000000002</v>
      </c>
      <c r="L298" s="506">
        <f>+'1.3.2 Coal1'!L103</f>
        <v>1.2650000000000006</v>
      </c>
      <c r="M298" s="506">
        <f>+'1.3.2 Coal1'!M103</f>
        <v>0</v>
      </c>
      <c r="N298" s="506">
        <f>+'1.3.2 Coal1'!N103</f>
        <v>0</v>
      </c>
      <c r="O298" s="506"/>
      <c r="P298" s="506"/>
      <c r="Q298" s="603">
        <f t="shared" si="13"/>
        <v>14.137</v>
      </c>
      <c r="R298" s="506">
        <f t="shared" si="14"/>
        <v>111.499</v>
      </c>
      <c r="S298" s="506">
        <f>+'1.3.2 Coal1'!S103</f>
        <v>1.8220000000000001</v>
      </c>
      <c r="T298" s="506">
        <f>+'1.3.2 Coal1'!T103</f>
        <v>113.321</v>
      </c>
    </row>
    <row r="299" spans="1:20" x14ac:dyDescent="0.45">
      <c r="A299" s="14">
        <v>1989</v>
      </c>
      <c r="B299" s="506">
        <f>+'1.3.2 Coal1'!B104</f>
        <v>114.30699999999999</v>
      </c>
      <c r="C299" s="506">
        <f>+'1.3.2 Coal1'!C104</f>
        <v>10.053000000000001</v>
      </c>
      <c r="D299" s="506">
        <f>+'1.3.2 Coal1'!D104</f>
        <v>29.190999999999999</v>
      </c>
      <c r="E299" s="506">
        <f>+'1.3.2 Coal1'!E104</f>
        <v>0.14599999999999999</v>
      </c>
      <c r="F299" s="506">
        <f>+'1.3.2 Coal1'!F104</f>
        <v>82.052999999999997</v>
      </c>
      <c r="G299" s="506" t="str">
        <f>+'1.3.2 Coal1'!G104</f>
        <v>-</v>
      </c>
      <c r="H299" s="506">
        <f>+'1.3.2 Coal1'!H104</f>
        <v>12.509</v>
      </c>
      <c r="I299" s="506">
        <f>+'1.3.2 Coal1'!I104</f>
        <v>0</v>
      </c>
      <c r="J299" s="506">
        <f>+'1.3.2 Coal1'!J104</f>
        <v>5.048</v>
      </c>
      <c r="K299" s="506">
        <f>+'1.3.2 Coal1'!K104</f>
        <v>6.7629999999999999</v>
      </c>
      <c r="L299" s="506">
        <f>+'1.3.2 Coal1'!L104</f>
        <v>1.0619999999999976</v>
      </c>
      <c r="M299" s="506">
        <f>+'1.3.2 Coal1'!M104</f>
        <v>0</v>
      </c>
      <c r="N299" s="506">
        <f>+'1.3.2 Coal1'!N104</f>
        <v>0</v>
      </c>
      <c r="O299" s="506"/>
      <c r="P299" s="506"/>
      <c r="Q299" s="603">
        <f t="shared" si="13"/>
        <v>12.872999999999998</v>
      </c>
      <c r="R299" s="506">
        <f t="shared" si="14"/>
        <v>107.58099999999999</v>
      </c>
      <c r="S299" s="506">
        <f>+'1.3.2 Coal1'!S104</f>
        <v>2.0489999999999999</v>
      </c>
      <c r="T299" s="506">
        <f>+'1.3.2 Coal1'!T104</f>
        <v>109.63000000000001</v>
      </c>
    </row>
    <row r="300" spans="1:20" x14ac:dyDescent="0.45">
      <c r="A300" s="14">
        <v>1990</v>
      </c>
      <c r="B300" s="506">
        <f>+'1.3.2 Coal1'!B105</f>
        <v>108.17700000000001</v>
      </c>
      <c r="C300" s="506">
        <f>+'1.3.2 Coal1'!C105</f>
        <v>9.0129999999999999</v>
      </c>
      <c r="D300" s="506">
        <f>+'1.3.2 Coal1'!D105</f>
        <v>28.747</v>
      </c>
      <c r="E300" s="506">
        <f>+'1.3.2 Coal1'!E105</f>
        <v>0.11700000000000001</v>
      </c>
      <c r="F300" s="506">
        <f>+'1.3.2 Coal1'!F105</f>
        <v>84.013999999999996</v>
      </c>
      <c r="G300" s="506" t="str">
        <f>+'1.3.2 Coal1'!G105</f>
        <v>-</v>
      </c>
      <c r="H300" s="506">
        <f>+'1.3.2 Coal1'!H105</f>
        <v>12.396000000000001</v>
      </c>
      <c r="I300" s="506">
        <f>+'1.3.2 Coal1'!I105</f>
        <v>0</v>
      </c>
      <c r="J300" s="506">
        <f>+'1.3.2 Coal1'!J105</f>
        <v>4.2389999999999999</v>
      </c>
      <c r="K300" s="506">
        <f>+'1.3.2 Coal1'!K105</f>
        <v>6.28</v>
      </c>
      <c r="L300" s="506">
        <f>+'1.3.2 Coal1'!L105</f>
        <v>1.2109999999999985</v>
      </c>
      <c r="M300" s="506">
        <f>+'1.3.2 Coal1'!M105</f>
        <v>0</v>
      </c>
      <c r="N300" s="506">
        <f>+'1.3.2 Coal1'!N105</f>
        <v>0</v>
      </c>
      <c r="O300" s="506"/>
      <c r="P300" s="506"/>
      <c r="Q300" s="603">
        <f t="shared" si="13"/>
        <v>11.729999999999999</v>
      </c>
      <c r="R300" s="506">
        <f t="shared" si="14"/>
        <v>108.25700000000001</v>
      </c>
      <c r="S300" s="506">
        <f>+'1.3.2 Coal1'!S105</f>
        <v>2.3069999999999999</v>
      </c>
      <c r="T300" s="506">
        <f>+'1.3.2 Coal1'!T105</f>
        <v>110.56400000000001</v>
      </c>
    </row>
    <row r="301" spans="1:20" x14ac:dyDescent="0.45">
      <c r="A301" s="14">
        <v>1991</v>
      </c>
      <c r="B301" s="506">
        <f>+'1.3.2 Coal1'!B106</f>
        <v>117.55000000000001</v>
      </c>
      <c r="C301" s="506">
        <f>+'1.3.2 Coal1'!C106</f>
        <v>10.977</v>
      </c>
      <c r="D301" s="506">
        <f>+'1.3.2 Coal1'!D106</f>
        <v>32.343000000000004</v>
      </c>
      <c r="E301" s="506">
        <f>+'1.3.2 Coal1'!E106</f>
        <v>0.112</v>
      </c>
      <c r="F301" s="506">
        <f>+'1.3.2 Coal1'!F106</f>
        <v>83.542000000000002</v>
      </c>
      <c r="G301" s="506" t="str">
        <f>+'1.3.2 Coal1'!G106</f>
        <v>-</v>
      </c>
      <c r="H301" s="506">
        <f>+'1.3.2 Coal1'!H106</f>
        <v>11.512</v>
      </c>
      <c r="I301" s="506">
        <f>+'1.3.2 Coal1'!I106</f>
        <v>0</v>
      </c>
      <c r="J301" s="506">
        <f>+'1.3.2 Coal1'!J106</f>
        <v>4.7779999999999996</v>
      </c>
      <c r="K301" s="506">
        <f>+'1.3.2 Coal1'!K106</f>
        <v>6.4260000000000002</v>
      </c>
      <c r="L301" s="506">
        <f>+'1.3.2 Coal1'!L106</f>
        <v>1.1439999999999912</v>
      </c>
      <c r="M301" s="506">
        <f>+'1.3.2 Coal1'!M106</f>
        <v>0</v>
      </c>
      <c r="N301" s="506">
        <f>+'1.3.2 Coal1'!N106</f>
        <v>0</v>
      </c>
      <c r="O301" s="506"/>
      <c r="P301" s="506"/>
      <c r="Q301" s="603">
        <f t="shared" si="13"/>
        <v>12.347999999999992</v>
      </c>
      <c r="R301" s="506">
        <f t="shared" si="14"/>
        <v>107.51399999999998</v>
      </c>
      <c r="S301" s="506">
        <f>+'1.3.2 Coal1'!S106</f>
        <v>1.8240000000000001</v>
      </c>
      <c r="T301" s="506">
        <f>+'1.3.2 Coal1'!T106</f>
        <v>109.33799999999999</v>
      </c>
    </row>
    <row r="302" spans="1:20" x14ac:dyDescent="0.45">
      <c r="A302" s="14">
        <v>1992</v>
      </c>
      <c r="B302" s="506">
        <f>+'1.3.2 Coal1'!B107</f>
        <v>107.746</v>
      </c>
      <c r="C302" s="506">
        <f>+'1.3.2 Coal1'!C107</f>
        <v>13.714</v>
      </c>
      <c r="D302" s="506">
        <f>+'1.3.2 Coal1'!D107</f>
        <v>33.493000000000002</v>
      </c>
      <c r="E302" s="506">
        <f>+'1.3.2 Coal1'!E107</f>
        <v>7.9000000000000001E-2</v>
      </c>
      <c r="F302" s="506">
        <f>+'1.3.2 Coal1'!F107</f>
        <v>78.468999999999994</v>
      </c>
      <c r="G302" s="506" t="str">
        <f>+'1.3.2 Coal1'!G107</f>
        <v>-</v>
      </c>
      <c r="H302" s="506">
        <f>+'1.3.2 Coal1'!H107</f>
        <v>10.35</v>
      </c>
      <c r="I302" s="506">
        <f>+'1.3.2 Coal1'!I107</f>
        <v>0</v>
      </c>
      <c r="J302" s="506">
        <f>+'1.3.2 Coal1'!J107</f>
        <v>4.1559999999999997</v>
      </c>
      <c r="K302" s="506">
        <f>+'1.3.2 Coal1'!K107</f>
        <v>6.5810000000000004</v>
      </c>
      <c r="L302" s="506">
        <f>+'1.3.2 Coal1'!L107</f>
        <v>0.94500000000000739</v>
      </c>
      <c r="M302" s="506">
        <f>+'1.3.2 Coal1'!M107</f>
        <v>0</v>
      </c>
      <c r="N302" s="506">
        <f>+'1.3.2 Coal1'!N107</f>
        <v>0</v>
      </c>
      <c r="O302" s="506"/>
      <c r="P302" s="506"/>
      <c r="Q302" s="603">
        <f t="shared" si="13"/>
        <v>11.682000000000007</v>
      </c>
      <c r="R302" s="506">
        <f t="shared" si="14"/>
        <v>100.57999999999998</v>
      </c>
      <c r="S302" s="506">
        <f>+'1.3.2 Coal1'!S107</f>
        <v>0.97299999999999998</v>
      </c>
      <c r="T302" s="506">
        <f>+'1.3.2 Coal1'!T107</f>
        <v>101.553</v>
      </c>
    </row>
    <row r="303" spans="1:20" x14ac:dyDescent="0.45">
      <c r="A303" s="14">
        <v>1993</v>
      </c>
      <c r="B303" s="506">
        <f>+'1.3.2 Coal1'!B108</f>
        <v>86.920999999999992</v>
      </c>
      <c r="C303" s="506">
        <f>+'1.3.2 Coal1'!C108</f>
        <v>15.989000000000001</v>
      </c>
      <c r="D303" s="506">
        <f>+'1.3.2 Coal1'!D108</f>
        <v>29.872</v>
      </c>
      <c r="E303" s="506">
        <f>+'1.3.2 Coal1'!E108</f>
        <v>4.8000000000000001E-2</v>
      </c>
      <c r="F303" s="506">
        <f>+'1.3.2 Coal1'!F108</f>
        <v>66.135999999999996</v>
      </c>
      <c r="G303" s="506" t="str">
        <f>+'1.3.2 Coal1'!G108</f>
        <v>-</v>
      </c>
      <c r="H303" s="506">
        <f>+'1.3.2 Coal1'!H108</f>
        <v>9.8079999999999998</v>
      </c>
      <c r="I303" s="506">
        <f>+'1.3.2 Coal1'!I108</f>
        <v>0</v>
      </c>
      <c r="J303" s="506">
        <f>+'1.3.2 Coal1'!J108</f>
        <v>4.6379999999999999</v>
      </c>
      <c r="K303" s="506">
        <f>+'1.3.2 Coal1'!K108</f>
        <v>5.3</v>
      </c>
      <c r="L303" s="506">
        <f>+'1.3.2 Coal1'!L108</f>
        <v>0.82600000000000762</v>
      </c>
      <c r="M303" s="506">
        <f>+'1.3.2 Coal1'!M108</f>
        <v>0</v>
      </c>
      <c r="N303" s="506">
        <f>+'1.3.2 Coal1'!N108</f>
        <v>0</v>
      </c>
      <c r="O303" s="506"/>
      <c r="P303" s="506"/>
      <c r="Q303" s="603">
        <f t="shared" si="13"/>
        <v>10.764000000000006</v>
      </c>
      <c r="R303" s="506">
        <f t="shared" si="14"/>
        <v>86.756</v>
      </c>
      <c r="S303" s="506">
        <f>+'1.3.2 Coal1'!S108</f>
        <v>1.1140000000000001</v>
      </c>
      <c r="T303" s="506">
        <f>+'1.3.2 Coal1'!T108</f>
        <v>87.87</v>
      </c>
    </row>
    <row r="304" spans="1:20" x14ac:dyDescent="0.45">
      <c r="A304" s="14">
        <v>1994</v>
      </c>
      <c r="B304" s="506">
        <f>+'1.3.2 Coal1'!B109</f>
        <v>82.225999999999999</v>
      </c>
      <c r="C304" s="506">
        <f>+'1.3.2 Coal1'!C109</f>
        <v>11.271000000000001</v>
      </c>
      <c r="D304" s="506">
        <f>+'1.3.2 Coal1'!D109</f>
        <v>15.301147</v>
      </c>
      <c r="E304" s="506">
        <f>+'1.3.2 Coal1'!E109</f>
        <v>2.1999999999999999E-2</v>
      </c>
      <c r="F304" s="506">
        <f>+'1.3.2 Coal1'!F109</f>
        <v>62.405999999999999</v>
      </c>
      <c r="G304" s="506" t="str">
        <f>+'1.3.2 Coal1'!G109</f>
        <v>-</v>
      </c>
      <c r="H304" s="506">
        <f>+'1.3.2 Coal1'!H109</f>
        <v>9.7710000000000008</v>
      </c>
      <c r="I304" s="506">
        <f>+'1.3.2 Coal1'!I109</f>
        <v>0</v>
      </c>
      <c r="J304" s="506">
        <f>+'1.3.2 Coal1'!J109</f>
        <v>3.9009999999999998</v>
      </c>
      <c r="K304" s="506">
        <f>+'1.3.2 Coal1'!K109</f>
        <v>4.9459999999999997</v>
      </c>
      <c r="L304" s="506">
        <f>+'1.3.2 Coal1'!L109</f>
        <v>0.72100000000000364</v>
      </c>
      <c r="M304" s="506">
        <f>+'1.3.2 Coal1'!M109</f>
        <v>0</v>
      </c>
      <c r="N304" s="506">
        <f>+'1.3.2 Coal1'!N109</f>
        <v>0</v>
      </c>
      <c r="O304" s="506"/>
      <c r="P304" s="506"/>
      <c r="Q304" s="603">
        <f t="shared" si="13"/>
        <v>9.5680000000000032</v>
      </c>
      <c r="R304" s="506">
        <f t="shared" si="14"/>
        <v>81.766999999999996</v>
      </c>
      <c r="S304" s="506">
        <f>+'1.3.2 Coal1'!S109</f>
        <v>1.236</v>
      </c>
      <c r="T304" s="506">
        <f>+'1.3.2 Coal1'!T109</f>
        <v>83.003</v>
      </c>
    </row>
    <row r="305" spans="1:20" x14ac:dyDescent="0.45">
      <c r="A305" s="14">
        <v>1995</v>
      </c>
      <c r="B305" s="506">
        <f>+'1.3.2 Coal1'!B110</f>
        <v>76.616</v>
      </c>
      <c r="C305" s="506">
        <f>+'1.3.2 Coal1'!C110</f>
        <v>7.1040000000000001</v>
      </c>
      <c r="D305" s="506">
        <f>+'1.3.2 Coal1'!D110</f>
        <v>13.226201</v>
      </c>
      <c r="E305" s="506">
        <f>+'1.3.2 Coal1'!E110</f>
        <v>8.0000000000000002E-3</v>
      </c>
      <c r="F305" s="506">
        <f>+'1.3.2 Coal1'!F110</f>
        <v>59.588000000000001</v>
      </c>
      <c r="G305" s="506" t="str">
        <f>+'1.3.2 Coal1'!G110</f>
        <v>-</v>
      </c>
      <c r="H305" s="506">
        <f>+'1.3.2 Coal1'!H110</f>
        <v>9.6389999999999993</v>
      </c>
      <c r="I305" s="506">
        <f>+'1.3.2 Coal1'!I110</f>
        <v>0</v>
      </c>
      <c r="J305" s="506">
        <f>+'1.3.2 Coal1'!J110</f>
        <v>2.69</v>
      </c>
      <c r="K305" s="506">
        <f>+'1.3.2 Coal1'!K110</f>
        <v>4.4939999999999998</v>
      </c>
      <c r="L305" s="506">
        <f>+'1.3.2 Coal1'!L110</f>
        <v>0.52299999999999613</v>
      </c>
      <c r="M305" s="506">
        <f>+'1.3.2 Coal1'!M110</f>
        <v>0</v>
      </c>
      <c r="N305" s="506">
        <f>+'1.3.2 Coal1'!N110</f>
        <v>0</v>
      </c>
      <c r="O305" s="506"/>
      <c r="P305" s="506"/>
      <c r="Q305" s="603">
        <f t="shared" si="13"/>
        <v>7.7069999999999954</v>
      </c>
      <c r="R305" s="506">
        <f t="shared" si="14"/>
        <v>76.941999999999993</v>
      </c>
      <c r="S305" s="506">
        <f>+'1.3.2 Coal1'!S110</f>
        <v>0.85899999999999999</v>
      </c>
      <c r="T305" s="506">
        <f>+'1.3.2 Coal1'!T110</f>
        <v>77.800999999999988</v>
      </c>
    </row>
    <row r="306" spans="1:20" x14ac:dyDescent="0.45">
      <c r="A306" s="14">
        <v>1996</v>
      </c>
      <c r="B306" s="506">
        <f>+'1.3.2 Coal1'!B111</f>
        <v>70.832999999999998</v>
      </c>
      <c r="C306" s="506">
        <f>+'1.3.2 Coal1'!C111</f>
        <v>4.1529999999999996</v>
      </c>
      <c r="D306" s="506">
        <f>+'1.3.2 Coal1'!D111</f>
        <v>12.352330198983719</v>
      </c>
      <c r="E306" s="506">
        <f>+'1.3.2 Coal1'!E111</f>
        <v>8.0000000000000002E-3</v>
      </c>
      <c r="F306" s="506">
        <f>+'1.3.2 Coal1'!F111</f>
        <v>55.511000000000003</v>
      </c>
      <c r="G306" s="506" t="str">
        <f>+'1.3.2 Coal1'!G111</f>
        <v>-</v>
      </c>
      <c r="H306" s="506">
        <f>+'1.3.2 Coal1'!H111</f>
        <v>9.5775380000000006</v>
      </c>
      <c r="I306" s="506">
        <f>+'1.3.2 Coal1'!I111</f>
        <v>0</v>
      </c>
      <c r="J306" s="506">
        <f>+'1.3.2 Coal1'!J111</f>
        <v>2.7050000000000001</v>
      </c>
      <c r="K306" s="506">
        <f>+'1.3.2 Coal1'!K111</f>
        <v>3.074919627315607</v>
      </c>
      <c r="L306" s="506">
        <f>+'1.3.2 Coal1'!L111</f>
        <v>1.5118412489999997</v>
      </c>
      <c r="M306" s="506">
        <f>+'1.3.2 Coal1'!M111</f>
        <v>0</v>
      </c>
      <c r="N306" s="506">
        <f>+'1.3.2 Coal1'!N111</f>
        <v>0</v>
      </c>
      <c r="O306" s="506"/>
      <c r="P306" s="506"/>
      <c r="Q306" s="603">
        <f t="shared" si="13"/>
        <v>7.2917608763156068</v>
      </c>
      <c r="R306" s="506">
        <f t="shared" si="14"/>
        <v>72.388298876315616</v>
      </c>
      <c r="S306" s="506">
        <f>+'1.3.2 Coal1'!S111</f>
        <v>0.98834124899999998</v>
      </c>
      <c r="T306" s="506">
        <f>+'1.3.2 Coal1'!T111</f>
        <v>72.388298876315616</v>
      </c>
    </row>
    <row r="307" spans="1:20" x14ac:dyDescent="0.45">
      <c r="A307" s="14">
        <v>1997</v>
      </c>
      <c r="B307" s="506">
        <f>+'1.3.2 Coal1'!B112</f>
        <v>63.423000000000002</v>
      </c>
      <c r="C307" s="506">
        <f>+'1.3.2 Coal1'!C112</f>
        <v>4.8027830000000007</v>
      </c>
      <c r="D307" s="506">
        <f>+'1.3.2 Coal1'!D112</f>
        <v>15.385352000000001</v>
      </c>
      <c r="E307" s="506">
        <f>+'1.3.2 Coal1'!E112</f>
        <v>8.0000000000000002E-3</v>
      </c>
      <c r="F307" s="506">
        <f>+'1.3.2 Coal1'!F112</f>
        <v>47.332999999999998</v>
      </c>
      <c r="G307" s="506" t="str">
        <f>+'1.3.2 Coal1'!G112</f>
        <v>-</v>
      </c>
      <c r="H307" s="506">
        <f>+'1.3.2 Coal1'!H112</f>
        <v>9.6140000000000008</v>
      </c>
      <c r="I307" s="506">
        <f>+'1.3.2 Coal1'!I112</f>
        <v>0</v>
      </c>
      <c r="J307" s="506">
        <f>+'1.3.2 Coal1'!J112</f>
        <v>2.5870000000000002</v>
      </c>
      <c r="K307" s="506">
        <f>+'1.3.2 Coal1'!K112</f>
        <v>2.9929999999999999</v>
      </c>
      <c r="L307" s="506">
        <f>+'1.3.2 Coal1'!L112</f>
        <v>1.6909999999999954</v>
      </c>
      <c r="M307" s="506">
        <f>+'1.3.2 Coal1'!M112</f>
        <v>0</v>
      </c>
      <c r="N307" s="506">
        <f>+'1.3.2 Coal1'!N112</f>
        <v>0</v>
      </c>
      <c r="O307" s="506"/>
      <c r="P307" s="506"/>
      <c r="Q307" s="603">
        <f t="shared" si="13"/>
        <v>7.2709999999999955</v>
      </c>
      <c r="R307" s="506">
        <f t="shared" si="14"/>
        <v>64.225999999999999</v>
      </c>
      <c r="S307" s="506">
        <f>+'1.3.2 Coal1'!S112</f>
        <v>1.1459999999999999</v>
      </c>
      <c r="T307" s="506">
        <f>+'1.3.2 Coal1'!T112</f>
        <v>64.225999999999999</v>
      </c>
    </row>
    <row r="308" spans="1:20" x14ac:dyDescent="0.45">
      <c r="A308" s="14">
        <v>1998</v>
      </c>
      <c r="B308" s="506">
        <f>+'1.3.2 Coal1'!B113</f>
        <v>62.871000000000002</v>
      </c>
      <c r="C308" s="506">
        <f>+'1.3.2 Coal1'!C113</f>
        <v>4.5648749999999998</v>
      </c>
      <c r="D308" s="506">
        <f>+'1.3.2 Coal1'!D113</f>
        <v>14.201896000000001</v>
      </c>
      <c r="E308" s="506">
        <f>+'1.3.2 Coal1'!E113</f>
        <v>5.0000000000000001E-3</v>
      </c>
      <c r="F308" s="506">
        <f>+'1.3.2 Coal1'!F113</f>
        <v>48.588000000000001</v>
      </c>
      <c r="G308" s="506" t="str">
        <f>+'1.3.2 Coal1'!G113</f>
        <v>-</v>
      </c>
      <c r="H308" s="506">
        <f>+'1.3.2 Coal1'!H113</f>
        <v>9.3629999999999995</v>
      </c>
      <c r="I308" s="506">
        <f>+'1.3.2 Coal1'!I113</f>
        <v>0</v>
      </c>
      <c r="J308" s="506">
        <f>+'1.3.2 Coal1'!J113</f>
        <v>2.3660000000000001</v>
      </c>
      <c r="K308" s="506">
        <f>+'1.3.2 Coal1'!K113</f>
        <v>2.4140000000000001</v>
      </c>
      <c r="L308" s="506">
        <f>+'1.3.2 Coal1'!L113</f>
        <v>0.41600000000000048</v>
      </c>
      <c r="M308" s="506">
        <f>+'1.3.2 Coal1'!M113</f>
        <v>0</v>
      </c>
      <c r="N308" s="506">
        <f>+'1.3.2 Coal1'!N113</f>
        <v>0</v>
      </c>
      <c r="O308" s="506"/>
      <c r="P308" s="506"/>
      <c r="Q308" s="603">
        <f t="shared" si="13"/>
        <v>5.1960000000000006</v>
      </c>
      <c r="R308" s="506">
        <f t="shared" si="14"/>
        <v>63.152000000000001</v>
      </c>
      <c r="S308" s="506">
        <f>+'1.3.2 Coal1'!S113</f>
        <v>0.97099999999999997</v>
      </c>
      <c r="T308" s="506">
        <f>+'1.3.2 Coal1'!T113</f>
        <v>64.123000000000005</v>
      </c>
    </row>
    <row r="309" spans="1:20" x14ac:dyDescent="0.45">
      <c r="A309" s="14">
        <v>1999</v>
      </c>
      <c r="B309" s="506">
        <f>+'1.3.2 Coal1'!B114</f>
        <v>55.445</v>
      </c>
      <c r="C309" s="506">
        <f>+'1.3.2 Coal1'!C114</f>
        <v>5.1571279999999993</v>
      </c>
      <c r="D309" s="506">
        <f>+'1.3.2 Coal1'!D114</f>
        <v>14.774326473118277</v>
      </c>
      <c r="E309" s="506">
        <f>+'1.3.2 Coal1'!E114</f>
        <v>0.01</v>
      </c>
      <c r="F309" s="506">
        <f>+'1.3.2 Coal1'!F114</f>
        <v>41.177999999999997</v>
      </c>
      <c r="G309" s="506" t="str">
        <f>+'1.3.2 Coal1'!G114</f>
        <v>-</v>
      </c>
      <c r="H309" s="506">
        <f>+'1.3.2 Coal1'!H114</f>
        <v>9.0589999999999993</v>
      </c>
      <c r="I309" s="506">
        <f>+'1.3.2 Coal1'!I114</f>
        <v>0</v>
      </c>
      <c r="J309" s="506">
        <f>+'1.3.2 Coal1'!J114</f>
        <v>2.5169999999999999</v>
      </c>
      <c r="K309" s="506">
        <f>+'1.3.2 Coal1'!K114</f>
        <v>2.04</v>
      </c>
      <c r="L309" s="506">
        <f>+'1.3.2 Coal1'!L114</f>
        <v>0.92000000000000448</v>
      </c>
      <c r="M309" s="506">
        <f>+'1.3.2 Coal1'!M114</f>
        <v>0</v>
      </c>
      <c r="N309" s="506">
        <f>+'1.3.2 Coal1'!N114</f>
        <v>0</v>
      </c>
      <c r="O309" s="506"/>
      <c r="P309" s="506"/>
      <c r="Q309" s="603">
        <f t="shared" si="13"/>
        <v>5.4770000000000048</v>
      </c>
      <c r="R309" s="506">
        <f t="shared" si="14"/>
        <v>55.723999999999997</v>
      </c>
      <c r="S309" s="506">
        <f>+'1.3.2 Coal1'!S114</f>
        <v>0.76100000000000001</v>
      </c>
      <c r="T309" s="506">
        <f>+'1.3.2 Coal1'!T114</f>
        <v>56.484999999999999</v>
      </c>
    </row>
    <row r="310" spans="1:20" x14ac:dyDescent="0.45">
      <c r="A310" s="14">
        <v>2000</v>
      </c>
      <c r="B310" s="506">
        <f>+'1.3.2 Coal1'!B115</f>
        <v>59.837978845194094</v>
      </c>
      <c r="C310" s="506">
        <f>+'1.3.2 Coal1'!C115</f>
        <v>1.6459790000000001</v>
      </c>
      <c r="D310" s="506">
        <f>+'1.3.2 Coal1'!D115</f>
        <v>12.430643921827958</v>
      </c>
      <c r="E310" s="506">
        <f>+'1.3.2 Coal1'!E115</f>
        <v>1.2451058518177514E-2</v>
      </c>
      <c r="F310" s="506">
        <f>+'1.3.2 Coal1'!F115</f>
        <v>46.197493975852908</v>
      </c>
      <c r="G310" s="506" t="str">
        <f>+'1.3.2 Coal1'!G115</f>
        <v>-</v>
      </c>
      <c r="H310" s="506">
        <f>+'1.3.2 Coal1'!H115</f>
        <v>9.880335277454865</v>
      </c>
      <c r="I310" s="506">
        <f>+'1.3.2 Coal1'!I115</f>
        <v>0</v>
      </c>
      <c r="J310" s="506">
        <f>+'1.3.2 Coal1'!J115</f>
        <v>1.8826974567452781</v>
      </c>
      <c r="K310" s="506">
        <f>+'1.3.2 Coal1'!K115</f>
        <v>1.875996805472806</v>
      </c>
      <c r="L310" s="506">
        <f>+'1.3.2 Coal1'!L115</f>
        <v>8.2023855226083686E-2</v>
      </c>
      <c r="M310" s="506">
        <f>+'1.3.2 Coal1'!M115</f>
        <v>0</v>
      </c>
      <c r="N310" s="506">
        <f>+'1.3.2 Coal1'!N115</f>
        <v>0</v>
      </c>
      <c r="O310" s="506"/>
      <c r="P310" s="506"/>
      <c r="Q310" s="603">
        <f t="shared" si="13"/>
        <v>3.8407181174441676</v>
      </c>
      <c r="R310" s="506">
        <f t="shared" si="14"/>
        <v>59.930998429270119</v>
      </c>
      <c r="S310" s="506">
        <f>+'1.3.2 Coal1'!S115</f>
        <v>0.66033629500000002</v>
      </c>
      <c r="T310" s="506">
        <f>+'1.3.2 Coal1'!T115</f>
        <v>60.591334724270119</v>
      </c>
    </row>
    <row r="311" spans="1:20" x14ac:dyDescent="0.45">
      <c r="A311" s="14">
        <v>2001</v>
      </c>
      <c r="B311" s="506">
        <f>+'1.3.2 Coal1'!B116</f>
        <v>63.530396495149539</v>
      </c>
      <c r="C311" s="506">
        <f>+'1.3.2 Coal1'!C116</f>
        <v>1.582948</v>
      </c>
      <c r="D311" s="506">
        <f>+'1.3.2 Coal1'!D116</f>
        <v>15.885351408602153</v>
      </c>
      <c r="E311" s="506">
        <f>+'1.3.2 Coal1'!E116</f>
        <v>9.6470000000000011E-3</v>
      </c>
      <c r="F311" s="506">
        <f>+'1.3.2 Coal1'!F116</f>
        <v>50.93136963769058</v>
      </c>
      <c r="G311" s="506" t="str">
        <f>+'1.3.2 Coal1'!G116</f>
        <v>-</v>
      </c>
      <c r="H311" s="506">
        <f>+'1.3.2 Coal1'!H116</f>
        <v>9.1411242607504732</v>
      </c>
      <c r="I311" s="506">
        <f>+'1.3.2 Coal1'!I116</f>
        <v>0</v>
      </c>
      <c r="J311" s="506">
        <f>+'1.3.2 Coal1'!J116</f>
        <v>1.8737301659080574</v>
      </c>
      <c r="K311" s="506">
        <f>+'1.3.2 Coal1'!K116</f>
        <v>1.8263821134609537</v>
      </c>
      <c r="L311" s="506">
        <f>+'1.3.2 Coal1'!L116</f>
        <v>6.8155366624022773E-2</v>
      </c>
      <c r="M311" s="506">
        <f>+'1.3.2 Coal1'!M116</f>
        <v>0</v>
      </c>
      <c r="N311" s="506">
        <f>+'1.3.2 Coal1'!N116</f>
        <v>0</v>
      </c>
      <c r="O311" s="506"/>
      <c r="P311" s="506"/>
      <c r="Q311" s="603">
        <f t="shared" si="13"/>
        <v>3.768267645993034</v>
      </c>
      <c r="R311" s="506">
        <f t="shared" si="14"/>
        <v>63.850408544434089</v>
      </c>
      <c r="S311" s="506">
        <f>+'1.3.2 Coal1'!S116</f>
        <v>0.54996534300000011</v>
      </c>
      <c r="T311" s="506">
        <f>+'1.3.2 Coal1'!T116</f>
        <v>64.400373887434085</v>
      </c>
    </row>
    <row r="312" spans="1:20" x14ac:dyDescent="0.45">
      <c r="A312" s="14">
        <v>2002</v>
      </c>
      <c r="B312" s="506">
        <f>+'1.3.2 Coal1'!B117</f>
        <v>58.639070518223832</v>
      </c>
      <c r="C312" s="506">
        <f>+'1.3.2 Coal1'!C117</f>
        <v>2.481579</v>
      </c>
      <c r="D312" s="506">
        <f>+'1.3.2 Coal1'!D117</f>
        <v>14.486134083333333</v>
      </c>
      <c r="E312" s="506">
        <f>+'1.3.2 Coal1'!E117</f>
        <v>8.6140000000000001E-3</v>
      </c>
      <c r="F312" s="506">
        <f>+'1.3.2 Coal1'!F117</f>
        <v>47.741114649111069</v>
      </c>
      <c r="G312" s="506" t="str">
        <f>+'1.3.2 Coal1'!G117</f>
        <v>-</v>
      </c>
      <c r="H312" s="506">
        <f>+'1.3.2 Coal1'!H117</f>
        <v>7.6862211165452656</v>
      </c>
      <c r="I312" s="506">
        <f>+'1.3.2 Coal1'!I117</f>
        <v>0</v>
      </c>
      <c r="J312" s="506">
        <f>+'1.3.2 Coal1'!J117</f>
        <v>1.2859862110870708</v>
      </c>
      <c r="K312" s="506">
        <f>+'1.3.2 Coal1'!K117</f>
        <v>1.8095600840568753</v>
      </c>
      <c r="L312" s="506">
        <f>+'1.3.2 Coal1'!L117</f>
        <v>2.2366616172214582E-2</v>
      </c>
      <c r="M312" s="506">
        <f>+'1.3.2 Coal1'!M117</f>
        <v>0</v>
      </c>
      <c r="N312" s="506">
        <f>+'1.3.2 Coal1'!N117</f>
        <v>0</v>
      </c>
      <c r="O312" s="506"/>
      <c r="P312" s="506"/>
      <c r="Q312" s="603">
        <f t="shared" si="13"/>
        <v>3.1179129113161608</v>
      </c>
      <c r="R312" s="506">
        <f t="shared" si="14"/>
        <v>58.553862676972493</v>
      </c>
      <c r="S312" s="506">
        <f>+'1.3.2 Coal1'!S117</f>
        <v>0.53688572199999995</v>
      </c>
      <c r="T312" s="506">
        <f>+'1.3.2 Coal1'!T117</f>
        <v>59.090748398972494</v>
      </c>
    </row>
    <row r="313" spans="1:20" x14ac:dyDescent="0.45">
      <c r="A313" s="14">
        <v>2003</v>
      </c>
      <c r="B313" s="506">
        <f>+'1.3.2 Coal1'!B118</f>
        <v>62.865000000000002</v>
      </c>
      <c r="C313" s="506">
        <f>+'1.3.2 Coal1'!C118</f>
        <v>1.6236869999999999</v>
      </c>
      <c r="D313" s="506">
        <f>+'1.3.2 Coal1'!D118</f>
        <v>12.106995042258065</v>
      </c>
      <c r="E313" s="506">
        <f>+'1.3.2 Coal1'!E118</f>
        <v>5.653E-3</v>
      </c>
      <c r="F313" s="506">
        <f>+'1.3.2 Coal1'!F118</f>
        <v>52.46340542583814</v>
      </c>
      <c r="G313" s="506" t="str">
        <f>+'1.3.2 Coal1'!G118</f>
        <v>-</v>
      </c>
      <c r="H313" s="506">
        <f>+'1.3.2 Coal1'!H118</f>
        <v>7.6300087560393886</v>
      </c>
      <c r="I313" s="506">
        <f>+'1.3.2 Coal1'!I118</f>
        <v>0</v>
      </c>
      <c r="J313" s="506">
        <f>+'1.3.2 Coal1'!J118</f>
        <v>1.042559561902809</v>
      </c>
      <c r="K313" s="506">
        <f>+'1.3.2 Coal1'!K118</f>
        <v>1.8561076770157214</v>
      </c>
      <c r="L313" s="506">
        <f>+'1.3.2 Coal1'!L118</f>
        <v>2.4804307377795931E-2</v>
      </c>
      <c r="M313" s="506">
        <f>+'1.3.2 Coal1'!M118</f>
        <v>0</v>
      </c>
      <c r="N313" s="506">
        <f>+'1.3.2 Coal1'!N118</f>
        <v>0</v>
      </c>
      <c r="O313" s="506"/>
      <c r="P313" s="506"/>
      <c r="Q313" s="603">
        <f t="shared" si="13"/>
        <v>2.9234715462963266</v>
      </c>
      <c r="R313" s="506">
        <f t="shared" si="14"/>
        <v>63.022538728173856</v>
      </c>
      <c r="S313" s="506">
        <f>+'1.3.2 Coal1'!S118</f>
        <v>0.54255646099999999</v>
      </c>
      <c r="T313" s="506">
        <f>+'1.3.2 Coal1'!T118</f>
        <v>63.565095189173853</v>
      </c>
    </row>
    <row r="314" spans="1:20" x14ac:dyDescent="0.45">
      <c r="A314" s="14">
        <v>2004</v>
      </c>
      <c r="B314" s="506">
        <f>+'1.3.2 Coal1'!B119</f>
        <v>60.567206628078438</v>
      </c>
      <c r="C314" s="506">
        <f>+'1.3.2 Coal1'!C119</f>
        <v>1.192283</v>
      </c>
      <c r="D314" s="506">
        <f>+'1.3.2 Coal1'!D119</f>
        <v>12.598442003179633</v>
      </c>
      <c r="E314" s="506">
        <f>+'1.3.2 Coal1'!E119</f>
        <v>7.817000000000001E-3</v>
      </c>
      <c r="F314" s="506">
        <f>+'1.3.2 Coal1'!F119</f>
        <v>50.443589783968605</v>
      </c>
      <c r="G314" s="506" t="str">
        <f>+'1.3.2 Coal1'!G119</f>
        <v>-</v>
      </c>
      <c r="H314" s="506">
        <f>+'1.3.2 Coal1'!H119</f>
        <v>7.1823143004877439</v>
      </c>
      <c r="I314" s="506">
        <f>+'1.3.2 Coal1'!I119</f>
        <v>0</v>
      </c>
      <c r="J314" s="506">
        <f>+'1.3.2 Coal1'!J119</f>
        <v>0.94066469891470206</v>
      </c>
      <c r="K314" s="506">
        <f>+'1.3.2 Coal1'!K119</f>
        <v>1.8477608042490763</v>
      </c>
      <c r="L314" s="506">
        <f>+'1.3.2 Coal1'!L119</f>
        <v>2.7500000000006408E-2</v>
      </c>
      <c r="M314" s="506">
        <f>+'1.3.2 Coal1'!M119</f>
        <v>0</v>
      </c>
      <c r="N314" s="506">
        <f>+'1.3.2 Coal1'!N119</f>
        <v>0</v>
      </c>
      <c r="O314" s="506"/>
      <c r="P314" s="506"/>
      <c r="Q314" s="603">
        <f t="shared" si="13"/>
        <v>2.8159255031637849</v>
      </c>
      <c r="R314" s="506">
        <f t="shared" si="14"/>
        <v>60.449646587620137</v>
      </c>
      <c r="S314" s="506">
        <f>+'1.3.2 Coal1'!S119</f>
        <v>0.62161797600000013</v>
      </c>
      <c r="T314" s="506">
        <f>+'1.3.2 Coal1'!T119</f>
        <v>61.07126456362014</v>
      </c>
    </row>
    <row r="315" spans="1:20" x14ac:dyDescent="0.45">
      <c r="A315" s="14">
        <v>2005</v>
      </c>
      <c r="B315" s="506">
        <f>+'1.3.2 Coal1'!B120</f>
        <v>61.779938798909761</v>
      </c>
      <c r="C315" s="506">
        <f>+'1.3.2 Coal1'!C120</f>
        <v>1.1008309999999999</v>
      </c>
      <c r="D315" s="506">
        <f>+'1.3.2 Coal1'!D120</f>
        <v>14.527299090000001</v>
      </c>
      <c r="E315" s="506">
        <f>+'1.3.2 Coal1'!E120</f>
        <v>5.7460000000000002E-3</v>
      </c>
      <c r="F315" s="506">
        <f>+'1.3.2 Coal1'!F120</f>
        <v>52.058235584615389</v>
      </c>
      <c r="G315" s="506" t="str">
        <f>+'1.3.2 Coal1'!G120</f>
        <v>-</v>
      </c>
      <c r="H315" s="506">
        <f>+'1.3.2 Coal1'!H120</f>
        <v>7.3336730032719482</v>
      </c>
      <c r="I315" s="506">
        <f>+'1.3.2 Coal1'!I120</f>
        <v>4.0000000000000001E-3</v>
      </c>
      <c r="J315" s="506">
        <f>+'1.3.2 Coal1'!J120</f>
        <v>0.61409280736947536</v>
      </c>
      <c r="K315" s="506">
        <f>+'1.3.2 Coal1'!K120</f>
        <v>1.7814228156753567</v>
      </c>
      <c r="L315" s="506">
        <f>+'1.3.2 Coal1'!L120</f>
        <v>5.5209115125709918E-2</v>
      </c>
      <c r="M315" s="506">
        <f>+'1.3.2 Coal1'!M120</f>
        <v>0</v>
      </c>
      <c r="N315" s="506">
        <f>+'1.3.2 Coal1'!N120</f>
        <v>0</v>
      </c>
      <c r="O315" s="506"/>
      <c r="P315" s="506"/>
      <c r="Q315" s="603">
        <f t="shared" si="13"/>
        <v>2.4547247381705417</v>
      </c>
      <c r="R315" s="506">
        <f t="shared" si="14"/>
        <v>61.852379326057878</v>
      </c>
      <c r="S315" s="506">
        <f>+'1.3.2 Coal1'!S120</f>
        <v>0.53586297400000005</v>
      </c>
      <c r="T315" s="506">
        <f>+'1.3.2 Coal1'!T120</f>
        <v>62.388242300057875</v>
      </c>
    </row>
    <row r="316" spans="1:20" x14ac:dyDescent="0.45">
      <c r="A316" s="14">
        <v>2006</v>
      </c>
      <c r="B316" s="506">
        <f>+'1.3.2 Coal1'!B121</f>
        <v>67.339713460300004</v>
      </c>
      <c r="C316" s="506">
        <f>+'1.3.2 Coal1'!C121</f>
        <v>0.78333000000000008</v>
      </c>
      <c r="D316" s="506">
        <f>+'1.3.2 Coal1'!D121</f>
        <v>16.426925370000003</v>
      </c>
      <c r="E316" s="506">
        <f>+'1.3.2 Coal1'!E121</f>
        <v>3.7580000000000001E-3</v>
      </c>
      <c r="F316" s="506">
        <f>+'1.3.2 Coal1'!F121</f>
        <v>57.437778508976038</v>
      </c>
      <c r="G316" s="506" t="str">
        <f>+'1.3.2 Coal1'!G121</f>
        <v>-</v>
      </c>
      <c r="H316" s="506">
        <f>+'1.3.2 Coal1'!H121</f>
        <v>7.7823222096438638</v>
      </c>
      <c r="I316" s="506">
        <f>+'1.3.2 Coal1'!I121</f>
        <v>1.8800000000000001E-2</v>
      </c>
      <c r="J316" s="506">
        <f>+'1.3.2 Coal1'!J121</f>
        <v>0.56122071082474179</v>
      </c>
      <c r="K316" s="506">
        <f>+'1.3.2 Coal1'!K121</f>
        <v>1.7555353316911195</v>
      </c>
      <c r="L316" s="506">
        <f>+'1.3.2 Coal1'!L121</f>
        <v>3.4713192799348258E-2</v>
      </c>
      <c r="M316" s="506">
        <f>+'1.3.2 Coal1'!M121</f>
        <v>0</v>
      </c>
      <c r="N316" s="506">
        <f>+'1.3.2 Coal1'!N121</f>
        <v>0</v>
      </c>
      <c r="O316" s="506"/>
      <c r="P316" s="506"/>
      <c r="Q316" s="603">
        <f t="shared" si="13"/>
        <v>2.3702692353152095</v>
      </c>
      <c r="R316" s="506">
        <f t="shared" si="14"/>
        <v>67.5941279539351</v>
      </c>
      <c r="S316" s="506">
        <f>+'1.3.2 Coal1'!S121</f>
        <v>0.443152502</v>
      </c>
      <c r="T316" s="506">
        <f>+'1.3.2 Coal1'!T121</f>
        <v>68.037280455935104</v>
      </c>
    </row>
    <row r="317" spans="1:20" x14ac:dyDescent="0.45">
      <c r="A317" s="14">
        <v>2007</v>
      </c>
      <c r="B317" s="506">
        <f>+'1.3.2 Coal1'!B122</f>
        <v>62.903488745999987</v>
      </c>
      <c r="C317" s="506">
        <f>+'1.3.2 Coal1'!C122</f>
        <v>0.73444799999999999</v>
      </c>
      <c r="D317" s="506">
        <f>+'1.3.2 Coal1'!D122</f>
        <v>13.42027242</v>
      </c>
      <c r="E317" s="506">
        <f>+'1.3.2 Coal1'!E122</f>
        <v>4.6129999999999999E-3</v>
      </c>
      <c r="F317" s="506">
        <f>+'1.3.2 Coal1'!F122</f>
        <v>52.510676487400076</v>
      </c>
      <c r="G317" s="506" t="str">
        <f>+'1.3.2 Coal1'!G122</f>
        <v>-</v>
      </c>
      <c r="H317" s="506">
        <f>+'1.3.2 Coal1'!H122</f>
        <v>7.9238215363541746</v>
      </c>
      <c r="I317" s="506">
        <f>+'1.3.2 Coal1'!I122</f>
        <v>1.8800000000000001E-2</v>
      </c>
      <c r="J317" s="506">
        <f>+'1.3.2 Coal1'!J122</f>
        <v>0.6482356309812356</v>
      </c>
      <c r="K317" s="506">
        <f>+'1.3.2 Coal1'!K122</f>
        <v>1.8963647625862368</v>
      </c>
      <c r="L317" s="506">
        <f>+'1.3.2 Coal1'!L122</f>
        <v>2.6391790273588511E-2</v>
      </c>
      <c r="M317" s="506">
        <f>+'1.3.2 Coal1'!M122</f>
        <v>0</v>
      </c>
      <c r="N317" s="506">
        <f>+'1.3.2 Coal1'!N122</f>
        <v>0</v>
      </c>
      <c r="O317" s="506"/>
      <c r="P317" s="506"/>
      <c r="Q317" s="603">
        <f t="shared" si="13"/>
        <v>2.5897921838410611</v>
      </c>
      <c r="R317" s="506">
        <f t="shared" si="14"/>
        <v>63.028903207595313</v>
      </c>
      <c r="S317" s="506">
        <f>+'1.3.2 Coal1'!S122</f>
        <v>0.54358456099999997</v>
      </c>
      <c r="T317" s="506">
        <f>+'1.3.2 Coal1'!T122</f>
        <v>63.572487768595309</v>
      </c>
    </row>
    <row r="318" spans="1:20" x14ac:dyDescent="0.45">
      <c r="A318" s="14">
        <v>2008</v>
      </c>
      <c r="B318" s="506">
        <f>+'1.3.2 Coal1'!B123</f>
        <v>58.219467301517135</v>
      </c>
      <c r="C318" s="506">
        <f>+'1.3.2 Coal1'!C123</f>
        <v>0.8538345426975259</v>
      </c>
      <c r="D318" s="506">
        <f>+'1.3.2 Coal1'!D123</f>
        <v>16.39197471860497</v>
      </c>
      <c r="E318" s="506">
        <f>+'1.3.2 Coal1'!E123</f>
        <v>5.2859669164951667E-3</v>
      </c>
      <c r="F318" s="506">
        <f>+'1.3.2 Coal1'!F123</f>
        <v>47.807634913455857</v>
      </c>
      <c r="G318" s="506" t="str">
        <f>+'1.3.2 Coal1'!G123</f>
        <v>-</v>
      </c>
      <c r="H318" s="506">
        <f>+'1.3.2 Coal1'!H123</f>
        <v>7.8996793439729771</v>
      </c>
      <c r="I318" s="506">
        <f>+'1.3.2 Coal1'!I123</f>
        <v>1.8800000000000001E-2</v>
      </c>
      <c r="J318" s="506">
        <f>+'1.3.2 Coal1'!J123</f>
        <v>0.68348587961324958</v>
      </c>
      <c r="K318" s="506">
        <f>+'1.3.2 Coal1'!K123</f>
        <v>1.9404403113653297</v>
      </c>
      <c r="L318" s="506">
        <f>+'1.3.2 Coal1'!L123</f>
        <v>2.9718943992787406E-2</v>
      </c>
      <c r="M318" s="506">
        <f>+'1.3.2 Coal1'!M123</f>
        <v>0</v>
      </c>
      <c r="N318" s="506">
        <f>+'1.3.2 Coal1'!N123</f>
        <v>0</v>
      </c>
      <c r="O318" s="506"/>
      <c r="P318" s="506"/>
      <c r="Q318" s="603">
        <f t="shared" si="13"/>
        <v>2.6724451349713667</v>
      </c>
      <c r="R318" s="506">
        <f t="shared" si="14"/>
        <v>58.385045359316699</v>
      </c>
      <c r="S318" s="506">
        <f>+'1.3.2 Coal1'!S123</f>
        <v>0.599389108</v>
      </c>
      <c r="T318" s="506">
        <f>+'1.3.2 Coal1'!T123</f>
        <v>58.984434467316696</v>
      </c>
    </row>
    <row r="319" spans="1:20" x14ac:dyDescent="0.45">
      <c r="A319" s="14">
        <v>2009</v>
      </c>
      <c r="B319" s="506">
        <f>+'1.3.2 Coal1'!B124</f>
        <v>48.784909786620673</v>
      </c>
      <c r="C319" s="506">
        <f>+'1.3.2 Coal1'!C124</f>
        <v>1.449730769230769</v>
      </c>
      <c r="D319" s="506">
        <f>+'1.3.2 Coal1'!D124</f>
        <v>22.641320473285724</v>
      </c>
      <c r="E319" s="506">
        <f>+'1.3.2 Coal1'!E124</f>
        <v>4.8437315401485999E-3</v>
      </c>
      <c r="F319" s="506">
        <f>+'1.3.2 Coal1'!F124</f>
        <v>39.680806956526055</v>
      </c>
      <c r="G319" s="506" t="str">
        <f>+'1.3.2 Coal1'!G124</f>
        <v>-</v>
      </c>
      <c r="H319" s="506">
        <f>+'1.3.2 Coal1'!H124</f>
        <v>6.5070828262825993</v>
      </c>
      <c r="I319" s="506">
        <f>+'1.3.2 Coal1'!I124</f>
        <v>1.8800000000000001E-2</v>
      </c>
      <c r="J319" s="506">
        <f>+'1.3.2 Coal1'!J124</f>
        <v>0.68916941821665867</v>
      </c>
      <c r="K319" s="506">
        <f>+'1.3.2 Coal1'!K124</f>
        <v>1.742097242188352</v>
      </c>
      <c r="L319" s="506">
        <f>+'1.3.2 Coal1'!L124</f>
        <v>7.5392803072443559E-2</v>
      </c>
      <c r="M319" s="506">
        <f>+'1.3.2 Coal1'!M124</f>
        <v>0</v>
      </c>
      <c r="N319" s="506">
        <f>+'1.3.2 Coal1'!N124</f>
        <v>0</v>
      </c>
      <c r="O319" s="506"/>
      <c r="P319" s="506"/>
      <c r="Q319" s="603">
        <f t="shared" si="13"/>
        <v>2.5254594634774543</v>
      </c>
      <c r="R319" s="506">
        <f t="shared" si="14"/>
        <v>48.718192977826256</v>
      </c>
      <c r="S319" s="506">
        <f>+'1.3.2 Coal1'!S124</f>
        <v>0.64646930899999999</v>
      </c>
      <c r="T319" s="506">
        <f>+'1.3.2 Coal1'!T124</f>
        <v>49.364662286826253</v>
      </c>
    </row>
    <row r="320" spans="1:20" x14ac:dyDescent="0.45">
      <c r="A320" s="14">
        <v>2010</v>
      </c>
      <c r="B320" s="506">
        <f>+'1.3.2 Coal1'!B125</f>
        <v>51.378345276625005</v>
      </c>
      <c r="C320" s="506">
        <f>+'1.3.2 Coal1'!C125</f>
        <v>1.5167692307692306</v>
      </c>
      <c r="D320" s="506">
        <f>+'1.3.2 Coal1'!D125</f>
        <v>15.367722800336018</v>
      </c>
      <c r="E320" s="506">
        <f>+'1.3.2 Coal1'!E125</f>
        <v>4.9089125448431433E-3</v>
      </c>
      <c r="F320" s="506">
        <f>+'1.3.2 Coal1'!F125</f>
        <v>41.497513343818596</v>
      </c>
      <c r="G320" s="506" t="str">
        <f>+'1.3.2 Coal1'!G125</f>
        <v>-</v>
      </c>
      <c r="H320" s="506">
        <f>+'1.3.2 Coal1'!H125</f>
        <v>7.0861894276065414</v>
      </c>
      <c r="I320" s="506">
        <f>+'1.3.2 Coal1'!I125</f>
        <v>1.8800000339525655E-2</v>
      </c>
      <c r="J320" s="506">
        <f>+'1.3.2 Coal1'!J125</f>
        <v>0.71887254499470921</v>
      </c>
      <c r="K320" s="506">
        <f>+'1.3.2 Coal1'!K125</f>
        <v>1.9586163920435058</v>
      </c>
      <c r="L320" s="506">
        <f>+'1.3.2 Coal1'!L125</f>
        <v>3.9262112281893247E-2</v>
      </c>
      <c r="M320" s="506">
        <f>+'1.3.2 Coal1'!M125</f>
        <v>0</v>
      </c>
      <c r="N320" s="506">
        <f>+'1.3.2 Coal1'!N125</f>
        <v>0</v>
      </c>
      <c r="O320" s="506"/>
      <c r="P320" s="506"/>
      <c r="Q320" s="603">
        <f t="shared" si="13"/>
        <v>2.7355510496596338</v>
      </c>
      <c r="R320" s="506">
        <f t="shared" si="14"/>
        <v>51.324162733629613</v>
      </c>
      <c r="S320" s="506">
        <f>+'1.3.2 Coal1'!S125</f>
        <v>0.71532255600000005</v>
      </c>
      <c r="T320" s="506">
        <f>+'1.3.2 Coal1'!T125</f>
        <v>52.03948528962961</v>
      </c>
    </row>
    <row r="321" spans="1:20" x14ac:dyDescent="0.45">
      <c r="A321" s="14">
        <v>2011</v>
      </c>
      <c r="B321" s="506">
        <f>+'1.3.2 Coal1'!B126</f>
        <v>51.424183038357327</v>
      </c>
      <c r="C321" s="506">
        <f>+'1.3.2 Coal1'!C126</f>
        <v>0.92603038461538445</v>
      </c>
      <c r="D321" s="506">
        <f>+'1.3.2 Coal1'!D126</f>
        <v>15.115018490767682</v>
      </c>
      <c r="E321" s="506">
        <f>+'1.3.2 Coal1'!E126</f>
        <v>3.7824796222860279E-3</v>
      </c>
      <c r="F321" s="506">
        <f>+'1.3.2 Coal1'!F126</f>
        <v>41.849657596669772</v>
      </c>
      <c r="G321" s="506" t="str">
        <f>+'1.3.2 Coal1'!G126</f>
        <v>-</v>
      </c>
      <c r="H321" s="506">
        <f>+'1.3.2 Coal1'!H126</f>
        <v>7.0965686634769591</v>
      </c>
      <c r="I321" s="506">
        <f>+'1.3.2 Coal1'!I126</f>
        <v>1.5291462091118899E-2</v>
      </c>
      <c r="J321" s="506">
        <f>+'1.3.2 Coal1'!J126</f>
        <v>0.70453613006231408</v>
      </c>
      <c r="K321" s="506">
        <f>+'1.3.2 Coal1'!K126</f>
        <v>1.7975695012845534</v>
      </c>
      <c r="L321" s="506">
        <f>+'1.3.2 Coal1'!L126</f>
        <v>3.9862858761532116E-2</v>
      </c>
      <c r="M321" s="506">
        <f>+'1.3.2 Coal1'!M126</f>
        <v>0</v>
      </c>
      <c r="N321" s="506">
        <f>+'1.3.2 Coal1'!N126</f>
        <v>0</v>
      </c>
      <c r="O321" s="506"/>
      <c r="P321" s="506"/>
      <c r="Q321" s="603">
        <f t="shared" si="13"/>
        <v>2.5572599521995181</v>
      </c>
      <c r="R321" s="506">
        <f t="shared" si="14"/>
        <v>51.507268691968534</v>
      </c>
      <c r="S321" s="506">
        <f>+'1.3.2 Coal1'!S126</f>
        <v>0.491123641</v>
      </c>
      <c r="T321" s="506">
        <f>+'1.3.2 Coal1'!T126</f>
        <v>51.998392332968542</v>
      </c>
    </row>
    <row r="322" spans="1:20" x14ac:dyDescent="0.45">
      <c r="A322" s="14">
        <v>2012</v>
      </c>
      <c r="B322" s="506">
        <f>+'1.3.2 Coal1'!B127</f>
        <v>64.259008572138924</v>
      </c>
      <c r="C322" s="506">
        <f>+'1.3.2 Coal1'!C127</f>
        <v>1.1201260615384618</v>
      </c>
      <c r="D322" s="506">
        <f>+'1.3.2 Coal1'!D127</f>
        <v>11.883308600679964</v>
      </c>
      <c r="E322" s="506">
        <f>+'1.3.2 Coal1'!E127</f>
        <v>3.8257385657526231E-3</v>
      </c>
      <c r="F322" s="506">
        <f>+'1.3.2 Coal1'!F127</f>
        <v>54.901327531565869</v>
      </c>
      <c r="G322" s="506" t="str">
        <f>+'1.3.2 Coal1'!G127</f>
        <v>-</v>
      </c>
      <c r="H322" s="506">
        <f>+'1.3.2 Coal1'!H127</f>
        <v>6.5965792026968906</v>
      </c>
      <c r="I322" s="506">
        <f>+'1.3.2 Coal1'!I127</f>
        <v>1.6110150506896407E-2</v>
      </c>
      <c r="J322" s="506">
        <f>+'1.3.2 Coal1'!J127</f>
        <v>0.67392952333028955</v>
      </c>
      <c r="K322" s="506">
        <f>+'1.3.2 Coal1'!K127</f>
        <v>1.8264702246742335</v>
      </c>
      <c r="L322" s="506">
        <f>+'1.3.2 Coal1'!L127</f>
        <v>2.4088659365383569E-2</v>
      </c>
      <c r="M322" s="506">
        <f>+'1.3.2 Coal1'!M127</f>
        <v>0</v>
      </c>
      <c r="N322" s="506">
        <f>+'1.3.2 Coal1'!N127</f>
        <v>0</v>
      </c>
      <c r="O322" s="506"/>
      <c r="P322" s="506"/>
      <c r="Q322" s="603">
        <f t="shared" si="13"/>
        <v>2.5405985578768031</v>
      </c>
      <c r="R322" s="506">
        <f t="shared" si="14"/>
        <v>64.042331030705313</v>
      </c>
      <c r="S322" s="506">
        <f>+'1.3.2 Coal1'!S127</f>
        <v>0.48843772800000002</v>
      </c>
      <c r="T322" s="506">
        <f>+'1.3.2 Coal1'!T127</f>
        <v>64.530768758705307</v>
      </c>
    </row>
    <row r="323" spans="1:20" x14ac:dyDescent="0.45">
      <c r="A323" s="14">
        <v>2013</v>
      </c>
      <c r="B323" s="506">
        <f>+'1.3.2 Coal1'!B128</f>
        <v>60.143492650395345</v>
      </c>
      <c r="C323" s="506">
        <f>+'1.3.2 Coal1'!C128</f>
        <v>0.52958414367133422</v>
      </c>
      <c r="D323" s="506">
        <f>+'1.3.2 Coal1'!D128</f>
        <v>15.113993573863498</v>
      </c>
      <c r="E323" s="506">
        <f>+'1.3.2 Coal1'!E128</f>
        <v>2.6033023212793777E-3</v>
      </c>
      <c r="F323" s="506">
        <f>+'1.3.2 Coal1'!F128</f>
        <v>49.872851570012401</v>
      </c>
      <c r="G323" s="506" t="str">
        <f>+'1.3.2 Coal1'!G128</f>
        <v>-</v>
      </c>
      <c r="H323" s="506">
        <f>+'1.3.2 Coal1'!H128</f>
        <v>7.3191897985277583</v>
      </c>
      <c r="I323" s="506">
        <f>+'1.3.2 Coal1'!I128</f>
        <v>1.3711487145653041E-2</v>
      </c>
      <c r="J323" s="506">
        <f>+'1.3.2 Coal1'!J128</f>
        <v>0.63950132517182945</v>
      </c>
      <c r="K323" s="506">
        <f>+'1.3.2 Coal1'!K128</f>
        <v>2.3225116277768683</v>
      </c>
      <c r="L323" s="506">
        <f>+'1.3.2 Coal1'!L128</f>
        <v>3.561623187446461E-2</v>
      </c>
      <c r="M323" s="506">
        <f>+'1.3.2 Coal1'!M128</f>
        <v>0</v>
      </c>
      <c r="N323" s="506">
        <f>+'1.3.2 Coal1'!N128</f>
        <v>0</v>
      </c>
      <c r="O323" s="506"/>
      <c r="P323" s="506"/>
      <c r="Q323" s="603">
        <f t="shared" si="13"/>
        <v>3.0113406719688154</v>
      </c>
      <c r="R323" s="506">
        <f t="shared" si="14"/>
        <v>60.205985342830253</v>
      </c>
      <c r="S323" s="506">
        <f>+'1.3.2 Coal1'!S128</f>
        <v>0.59461362500000003</v>
      </c>
      <c r="T323" s="506">
        <f>+'1.3.2 Coal1'!T128</f>
        <v>60.800598967830254</v>
      </c>
    </row>
    <row r="324" spans="1:20" x14ac:dyDescent="0.45">
      <c r="A324" s="14">
        <v>2014</v>
      </c>
      <c r="B324" s="506">
        <f>+'1.3.2 Coal1'!B129</f>
        <v>48.316096234702492</v>
      </c>
      <c r="C324" s="506">
        <f>+'1.3.2 Coal1'!C129</f>
        <v>0.6325385831340935</v>
      </c>
      <c r="D324" s="506">
        <f>+'1.3.2 Coal1'!D129</f>
        <v>20.142473199355372</v>
      </c>
      <c r="E324" s="506">
        <f>+'1.3.2 Coal1'!E129</f>
        <v>0</v>
      </c>
      <c r="F324" s="506">
        <f>+'1.3.2 Coal1'!F129</f>
        <v>38.234020410884803</v>
      </c>
      <c r="G324" s="506" t="str">
        <f>+'1.3.2 Coal1'!G129</f>
        <v>-</v>
      </c>
      <c r="H324" s="506">
        <f>+'1.3.2 Coal1'!H129</f>
        <v>7.0207968615328902</v>
      </c>
      <c r="I324" s="506">
        <f>+'1.3.2 Coal1'!I129</f>
        <v>1.2999999999999999E-2</v>
      </c>
      <c r="J324" s="506">
        <f>+'1.3.2 Coal1'!J129</f>
        <v>0.54851496806014466</v>
      </c>
      <c r="K324" s="506">
        <f>+'1.3.2 Coal1'!K129</f>
        <v>2.4417966109270965</v>
      </c>
      <c r="L324" s="506">
        <f>+'1.3.2 Coal1'!L129</f>
        <v>0.24207538440554421</v>
      </c>
      <c r="M324" s="506">
        <f>+'1.3.2 Coal1'!M129</f>
        <v>0</v>
      </c>
      <c r="N324" s="506">
        <f>+'1.3.2 Coal1'!N129</f>
        <v>0</v>
      </c>
      <c r="O324" s="506"/>
      <c r="P324" s="506"/>
      <c r="Q324" s="603">
        <f t="shared" si="13"/>
        <v>3.2453869633927854</v>
      </c>
      <c r="R324" s="506">
        <f t="shared" si="14"/>
        <v>48.500204235810479</v>
      </c>
      <c r="S324" s="506">
        <f>+'1.3.2 Coal1'!S129</f>
        <v>0.42507623500000002</v>
      </c>
      <c r="T324" s="506">
        <f>+'1.3.2 Coal1'!T129</f>
        <v>48.925280470810485</v>
      </c>
    </row>
    <row r="325" spans="1:20" x14ac:dyDescent="0.45">
      <c r="A325" s="14">
        <v>2015</v>
      </c>
      <c r="B325" s="506">
        <f>+'1.3.2 Coal1'!B130</f>
        <v>37.59988580962726</v>
      </c>
      <c r="C325" s="506">
        <f>+'1.3.2 Coal1'!C130</f>
        <v>0.35974370542124789</v>
      </c>
      <c r="D325" s="506">
        <f>+'1.3.2 Coal1'!D130</f>
        <v>13.545916255809269</v>
      </c>
      <c r="E325" s="506">
        <f>+'1.3.2 Coal1'!E130</f>
        <v>0</v>
      </c>
      <c r="F325" s="506">
        <f>+'1.3.2 Coal1'!F130</f>
        <v>29.329694470999787</v>
      </c>
      <c r="G325" s="506" t="str">
        <f>+'1.3.2 Coal1'!G130</f>
        <v>-</v>
      </c>
      <c r="H325" s="506">
        <f>+'1.3.2 Coal1'!H130</f>
        <v>5.445106492328029</v>
      </c>
      <c r="I325" s="506">
        <f>+'1.3.2 Coal1'!I130</f>
        <v>1.3000000000000001E-2</v>
      </c>
      <c r="J325" s="506">
        <f>+'1.3.2 Coal1'!J130</f>
        <v>0.55205730057100189</v>
      </c>
      <c r="K325" s="506">
        <f>+'1.3.2 Coal1'!K130</f>
        <v>2.0734634617979277</v>
      </c>
      <c r="L325" s="506">
        <f>+'1.3.2 Coal1'!L130</f>
        <v>3.7591611791846946E-2</v>
      </c>
      <c r="M325" s="506">
        <f>+'1.3.2 Coal1'!M130</f>
        <v>0</v>
      </c>
      <c r="N325" s="506">
        <f>+'1.3.2 Coal1'!N130</f>
        <v>0</v>
      </c>
      <c r="O325" s="506"/>
      <c r="P325" s="506"/>
      <c r="Q325" s="603">
        <f t="shared" si="13"/>
        <v>2.6761123741607764</v>
      </c>
      <c r="R325" s="506">
        <f t="shared" si="14"/>
        <v>37.450913337488586</v>
      </c>
      <c r="S325" s="506">
        <f>+'1.3.2 Coal1'!S130</f>
        <v>0.38539394399999999</v>
      </c>
      <c r="T325" s="506">
        <f>+'1.3.2 Coal1'!T130</f>
        <v>37.836307281488587</v>
      </c>
    </row>
    <row r="326" spans="1:20" x14ac:dyDescent="0.45">
      <c r="A326" s="14">
        <v>2016</v>
      </c>
      <c r="B326" s="506">
        <f>+'1.3.2 Coal1'!B131</f>
        <v>17.995118698705074</v>
      </c>
      <c r="C326" s="506">
        <f>+'1.3.2 Coal1'!C131</f>
        <v>0.43771176819283802</v>
      </c>
      <c r="D326" s="506">
        <f>+'1.3.2 Coal1'!D131</f>
        <v>8.1207767984820549</v>
      </c>
      <c r="E326" s="506">
        <f>+'1.3.2 Coal1'!E131</f>
        <v>0</v>
      </c>
      <c r="F326" s="506">
        <f>+'1.3.2 Coal1'!F131</f>
        <v>12.055140591174688</v>
      </c>
      <c r="G326" s="506" t="str">
        <f>+'1.3.2 Coal1'!G131</f>
        <v>-</v>
      </c>
      <c r="H326" s="506">
        <f>+'1.3.2 Coal1'!H131</f>
        <v>3.4127547310924538</v>
      </c>
      <c r="I326" s="506">
        <f>+'1.3.2 Coal1'!I131</f>
        <v>1.4999999999999999E-2</v>
      </c>
      <c r="J326" s="506">
        <f>+'1.3.2 Coal1'!J131</f>
        <v>0.55093695749467053</v>
      </c>
      <c r="K326" s="506">
        <f>+'1.3.2 Coal1'!K131</f>
        <v>1.9628738772384127</v>
      </c>
      <c r="L326" s="506">
        <f>+'1.3.2 Coal1'!L131</f>
        <v>4.0090487347127945E-2</v>
      </c>
      <c r="M326" s="506">
        <f>+'1.3.2 Coal1'!M131</f>
        <v>0</v>
      </c>
      <c r="N326" s="506">
        <f>+'1.3.2 Coal1'!N131</f>
        <v>0</v>
      </c>
      <c r="O326" s="506"/>
      <c r="P326" s="506"/>
      <c r="Q326" s="603">
        <f t="shared" si="13"/>
        <v>2.5689013220802108</v>
      </c>
      <c r="R326" s="506">
        <f t="shared" si="14"/>
        <v>18.036796644347351</v>
      </c>
      <c r="S326" s="506">
        <f>+'1.3.2 Coal1'!S131</f>
        <v>0.44343038099999998</v>
      </c>
      <c r="T326" s="506">
        <f>+'1.3.2 Coal1'!T131</f>
        <v>18.480227025347354</v>
      </c>
    </row>
    <row r="327" spans="1:20" x14ac:dyDescent="0.45">
      <c r="A327" s="14">
        <v>2017</v>
      </c>
      <c r="B327" s="506">
        <f>+'1.3.2 Coal1'!B132</f>
        <v>14.421712535251743</v>
      </c>
      <c r="C327" s="506">
        <f>+'1.3.2 Coal1'!C132</f>
        <v>0.16647172423813802</v>
      </c>
      <c r="D327" s="506">
        <f>+'1.3.2 Coal1'!D132</f>
        <v>5.0143819211427179</v>
      </c>
      <c r="E327" s="506">
        <f>+'1.3.2 Coal1'!E132</f>
        <v>0</v>
      </c>
      <c r="F327" s="506">
        <f>+'1.3.2 Coal1'!F132</f>
        <v>8.7164745034132665</v>
      </c>
      <c r="G327" s="506" t="str">
        <f>+'1.3.2 Coal1'!G132</f>
        <v>-</v>
      </c>
      <c r="H327" s="506">
        <f>+'1.3.2 Coal1'!H132</f>
        <v>3.4018374681159509</v>
      </c>
      <c r="I327" s="506">
        <f>+'1.3.2 Coal1'!I132</f>
        <v>1.4999999999999999E-2</v>
      </c>
      <c r="J327" s="506">
        <f>+'1.3.2 Coal1'!J132</f>
        <v>0.53559861319929136</v>
      </c>
      <c r="K327" s="506">
        <f>+'1.3.2 Coal1'!K132</f>
        <v>1.7319240459072958</v>
      </c>
      <c r="L327" s="506">
        <f>+'1.3.2 Coal1'!L132</f>
        <v>3.824225839764428E-2</v>
      </c>
      <c r="M327" s="506">
        <f>+'1.3.2 Coal1'!M132</f>
        <v>0</v>
      </c>
      <c r="N327" s="506">
        <f>+'1.3.2 Coal1'!N132</f>
        <v>0</v>
      </c>
      <c r="O327" s="506"/>
      <c r="P327" s="506"/>
      <c r="Q327" s="603">
        <f t="shared" si="13"/>
        <v>2.3207649175042313</v>
      </c>
      <c r="R327" s="506">
        <f t="shared" si="14"/>
        <v>14.439076889033448</v>
      </c>
      <c r="S327" s="506">
        <f>+'1.3.2 Coal1'!S132</f>
        <v>0.49490515099999999</v>
      </c>
      <c r="T327" s="506">
        <f>+'1.3.2 Coal1'!T132</f>
        <v>14.933982040033447</v>
      </c>
    </row>
    <row r="328" spans="1:20" x14ac:dyDescent="0.45">
      <c r="A328" s="14">
        <v>2018</v>
      </c>
      <c r="B328" s="506">
        <f>+'1.3.2 Coal1'!B133</f>
        <v>11.933073811021782</v>
      </c>
      <c r="C328" s="506">
        <f>+'1.3.2 Coal1'!C133</f>
        <v>0.68362979862247675</v>
      </c>
      <c r="D328" s="506">
        <f>+'1.3.2 Coal1'!D133</f>
        <v>4.6555094931906646</v>
      </c>
      <c r="E328" s="506">
        <f>+'1.3.2 Coal1'!E133</f>
        <v>0</v>
      </c>
      <c r="F328" s="506">
        <f>+'1.3.2 Coal1'!F133</f>
        <v>6.655310464423148</v>
      </c>
      <c r="G328" s="506" t="str">
        <f>+'1.3.2 Coal1'!G133</f>
        <v>-</v>
      </c>
      <c r="H328" s="506">
        <f>+'1.3.2 Coal1'!H133</f>
        <v>3.1220983352852061</v>
      </c>
      <c r="I328" s="506">
        <f>+'1.3.2 Coal1'!I133</f>
        <v>1.4999999999999999E-2</v>
      </c>
      <c r="J328" s="506">
        <f>+'1.3.2 Coal1'!J133</f>
        <v>0.51774723779095111</v>
      </c>
      <c r="K328" s="506">
        <f>+'1.3.2 Coal1'!K133</f>
        <v>1.5811937378058183</v>
      </c>
      <c r="L328" s="506">
        <f>+'1.3.2 Coal1'!L133</f>
        <v>3.7501727268323015E-2</v>
      </c>
      <c r="M328" s="506">
        <f>+'1.3.2 Coal1'!M133</f>
        <v>0</v>
      </c>
      <c r="N328" s="506">
        <f>+'1.3.2 Coal1'!N133</f>
        <v>0</v>
      </c>
      <c r="O328" s="506"/>
      <c r="P328" s="506"/>
      <c r="Q328" s="603">
        <f>SUM(I328:O328)</f>
        <v>2.1514427028650926</v>
      </c>
      <c r="R328" s="506">
        <f t="shared" si="14"/>
        <v>11.928851502573448</v>
      </c>
      <c r="S328" s="506">
        <f>+'1.3.2 Coal1'!S133</f>
        <v>0.63374969566666695</v>
      </c>
      <c r="T328" s="506">
        <f>+'1.3.2 Coal1'!T133</f>
        <v>12.562601198240115</v>
      </c>
    </row>
    <row r="329" spans="1:20" x14ac:dyDescent="0.45">
      <c r="A329" s="14">
        <v>2019</v>
      </c>
      <c r="B329" s="506"/>
      <c r="C329" s="506"/>
      <c r="D329" s="506"/>
      <c r="E329" s="506"/>
      <c r="F329" s="506"/>
      <c r="G329" s="506"/>
      <c r="H329" s="506"/>
      <c r="I329" s="506"/>
      <c r="J329" s="506"/>
      <c r="K329" s="506"/>
      <c r="L329" s="506"/>
      <c r="M329" s="506"/>
      <c r="N329" s="506"/>
      <c r="O329" s="506"/>
      <c r="P329" s="506"/>
      <c r="Q329" s="506"/>
      <c r="R329" s="506"/>
      <c r="S329" s="506"/>
      <c r="T329" s="506"/>
    </row>
    <row r="330" spans="1:20" x14ac:dyDescent="0.45">
      <c r="A330" s="14">
        <v>2020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N249"/>
  <sheetViews>
    <sheetView zoomScaleNormal="100" workbookViewId="0">
      <pane xSplit="1" ySplit="10" topLeftCell="B47" activePane="bottomRight" state="frozen"/>
      <selection pane="topRight" activeCell="B1" sqref="B1"/>
      <selection pane="bottomLeft" activeCell="A11" sqref="A11"/>
      <selection pane="bottomRight" activeCell="A2" sqref="A2"/>
    </sheetView>
  </sheetViews>
  <sheetFormatPr defaultRowHeight="14.25" x14ac:dyDescent="0.45"/>
  <cols>
    <col min="1" max="2" width="12.46484375" customWidth="1"/>
    <col min="3" max="3" width="10.53125" style="1" customWidth="1"/>
    <col min="4" max="4" width="12" style="9" customWidth="1"/>
    <col min="5" max="5" width="10.73046875" style="9" customWidth="1"/>
    <col min="6" max="6" width="11.46484375" style="9" customWidth="1"/>
    <col min="7" max="7" width="9.53125" style="45" bestFit="1" customWidth="1"/>
    <col min="8" max="8" width="15.46484375" style="9" customWidth="1"/>
    <col min="9" max="9" width="10.73046875" style="9" customWidth="1"/>
    <col min="10" max="10" width="10.796875" style="9" customWidth="1"/>
    <col min="11" max="11" width="9" style="9" customWidth="1"/>
    <col min="12" max="12" width="15" style="9" customWidth="1"/>
    <col min="13" max="13" width="8.265625" style="9" bestFit="1" customWidth="1"/>
    <col min="14" max="14" width="11.53125" style="9" customWidth="1"/>
    <col min="15" max="15" width="7" style="9" bestFit="1" customWidth="1"/>
    <col min="16" max="16" width="10" style="9" bestFit="1" customWidth="1"/>
    <col min="17" max="17" width="17.53125" style="9" customWidth="1"/>
    <col min="18" max="18" width="16.796875" style="9" customWidth="1"/>
    <col min="19" max="19" width="19.53125" style="9" customWidth="1"/>
    <col min="20" max="20" width="18.46484375" style="9" customWidth="1"/>
    <col min="21" max="21" width="20" style="9" bestFit="1" customWidth="1"/>
    <col min="22" max="22" width="20" style="9" customWidth="1"/>
    <col min="24" max="24" width="7.73046875" style="1" customWidth="1"/>
    <col min="25" max="25" width="11" style="1" bestFit="1" customWidth="1"/>
    <col min="26" max="26" width="13.53125" style="1" bestFit="1" customWidth="1"/>
    <col min="27" max="27" width="9.73046875" style="1" customWidth="1"/>
    <col min="28" max="28" width="12" style="1" customWidth="1"/>
    <col min="29" max="33" width="9" style="1" customWidth="1"/>
    <col min="34" max="34" width="13.796875" style="1" bestFit="1" customWidth="1"/>
    <col min="35" max="35" width="15.796875" style="1" bestFit="1" customWidth="1"/>
    <col min="36" max="36" width="15.796875" style="1" customWidth="1"/>
    <col min="37" max="37" width="19.53125" style="1" bestFit="1" customWidth="1"/>
    <col min="38" max="38" width="19" style="1" bestFit="1" customWidth="1"/>
    <col min="39" max="39" width="12.53125" style="1" customWidth="1"/>
    <col min="258" max="259" width="12.46484375" customWidth="1"/>
    <col min="260" max="260" width="10.53125" customWidth="1"/>
    <col min="261" max="261" width="12" customWidth="1"/>
    <col min="262" max="262" width="10.73046875" customWidth="1"/>
    <col min="263" max="263" width="11.46484375" customWidth="1"/>
    <col min="264" max="264" width="9.53125" bestFit="1" customWidth="1"/>
    <col min="265" max="265" width="15.46484375" customWidth="1"/>
    <col min="266" max="266" width="10.73046875" customWidth="1"/>
    <col min="267" max="267" width="10.796875" customWidth="1"/>
    <col min="268" max="268" width="9" customWidth="1"/>
    <col min="269" max="269" width="15" customWidth="1"/>
    <col min="270" max="270" width="8.265625" bestFit="1" customWidth="1"/>
    <col min="271" max="271" width="11.53125" customWidth="1"/>
    <col min="272" max="272" width="7" bestFit="1" customWidth="1"/>
    <col min="273" max="273" width="10" bestFit="1" customWidth="1"/>
    <col min="274" max="274" width="16.796875" customWidth="1"/>
    <col min="275" max="275" width="19.53125" customWidth="1"/>
    <col min="276" max="276" width="18.46484375" customWidth="1"/>
    <col min="277" max="277" width="20" bestFit="1" customWidth="1"/>
    <col min="278" max="278" width="20" customWidth="1"/>
    <col min="280" max="280" width="7.73046875" customWidth="1"/>
    <col min="281" max="281" width="11" bestFit="1" customWidth="1"/>
    <col min="282" max="282" width="13.53125" bestFit="1" customWidth="1"/>
    <col min="283" max="283" width="9.73046875" customWidth="1"/>
    <col min="284" max="284" width="12" customWidth="1"/>
    <col min="285" max="289" width="9" customWidth="1"/>
    <col min="290" max="290" width="13.796875" bestFit="1" customWidth="1"/>
    <col min="291" max="291" width="15.796875" bestFit="1" customWidth="1"/>
    <col min="292" max="292" width="15.796875" customWidth="1"/>
    <col min="293" max="293" width="19.53125" bestFit="1" customWidth="1"/>
    <col min="294" max="294" width="19" bestFit="1" customWidth="1"/>
    <col min="295" max="295" width="12.53125" customWidth="1"/>
    <col min="514" max="515" width="12.46484375" customWidth="1"/>
    <col min="516" max="516" width="10.53125" customWidth="1"/>
    <col min="517" max="517" width="12" customWidth="1"/>
    <col min="518" max="518" width="10.73046875" customWidth="1"/>
    <col min="519" max="519" width="11.46484375" customWidth="1"/>
    <col min="520" max="520" width="9.53125" bestFit="1" customWidth="1"/>
    <col min="521" max="521" width="15.46484375" customWidth="1"/>
    <col min="522" max="522" width="10.73046875" customWidth="1"/>
    <col min="523" max="523" width="10.796875" customWidth="1"/>
    <col min="524" max="524" width="9" customWidth="1"/>
    <col min="525" max="525" width="15" customWidth="1"/>
    <col min="526" max="526" width="8.265625" bestFit="1" customWidth="1"/>
    <col min="527" max="527" width="11.53125" customWidth="1"/>
    <col min="528" max="528" width="7" bestFit="1" customWidth="1"/>
    <col min="529" max="529" width="10" bestFit="1" customWidth="1"/>
    <col min="530" max="530" width="16.796875" customWidth="1"/>
    <col min="531" max="531" width="19.53125" customWidth="1"/>
    <col min="532" max="532" width="18.46484375" customWidth="1"/>
    <col min="533" max="533" width="20" bestFit="1" customWidth="1"/>
    <col min="534" max="534" width="20" customWidth="1"/>
    <col min="536" max="536" width="7.73046875" customWidth="1"/>
    <col min="537" max="537" width="11" bestFit="1" customWidth="1"/>
    <col min="538" max="538" width="13.53125" bestFit="1" customWidth="1"/>
    <col min="539" max="539" width="9.73046875" customWidth="1"/>
    <col min="540" max="540" width="12" customWidth="1"/>
    <col min="541" max="545" width="9" customWidth="1"/>
    <col min="546" max="546" width="13.796875" bestFit="1" customWidth="1"/>
    <col min="547" max="547" width="15.796875" bestFit="1" customWidth="1"/>
    <col min="548" max="548" width="15.796875" customWidth="1"/>
    <col min="549" max="549" width="19.53125" bestFit="1" customWidth="1"/>
    <col min="550" max="550" width="19" bestFit="1" customWidth="1"/>
    <col min="551" max="551" width="12.53125" customWidth="1"/>
    <col min="770" max="771" width="12.46484375" customWidth="1"/>
    <col min="772" max="772" width="10.53125" customWidth="1"/>
    <col min="773" max="773" width="12" customWidth="1"/>
    <col min="774" max="774" width="10.73046875" customWidth="1"/>
    <col min="775" max="775" width="11.46484375" customWidth="1"/>
    <col min="776" max="776" width="9.53125" bestFit="1" customWidth="1"/>
    <col min="777" max="777" width="15.46484375" customWidth="1"/>
    <col min="778" max="778" width="10.73046875" customWidth="1"/>
    <col min="779" max="779" width="10.796875" customWidth="1"/>
    <col min="780" max="780" width="9" customWidth="1"/>
    <col min="781" max="781" width="15" customWidth="1"/>
    <col min="782" max="782" width="8.265625" bestFit="1" customWidth="1"/>
    <col min="783" max="783" width="11.53125" customWidth="1"/>
    <col min="784" max="784" width="7" bestFit="1" customWidth="1"/>
    <col min="785" max="785" width="10" bestFit="1" customWidth="1"/>
    <col min="786" max="786" width="16.796875" customWidth="1"/>
    <col min="787" max="787" width="19.53125" customWidth="1"/>
    <col min="788" max="788" width="18.46484375" customWidth="1"/>
    <col min="789" max="789" width="20" bestFit="1" customWidth="1"/>
    <col min="790" max="790" width="20" customWidth="1"/>
    <col min="792" max="792" width="7.73046875" customWidth="1"/>
    <col min="793" max="793" width="11" bestFit="1" customWidth="1"/>
    <col min="794" max="794" width="13.53125" bestFit="1" customWidth="1"/>
    <col min="795" max="795" width="9.73046875" customWidth="1"/>
    <col min="796" max="796" width="12" customWidth="1"/>
    <col min="797" max="801" width="9" customWidth="1"/>
    <col min="802" max="802" width="13.796875" bestFit="1" customWidth="1"/>
    <col min="803" max="803" width="15.796875" bestFit="1" customWidth="1"/>
    <col min="804" max="804" width="15.796875" customWidth="1"/>
    <col min="805" max="805" width="19.53125" bestFit="1" customWidth="1"/>
    <col min="806" max="806" width="19" bestFit="1" customWidth="1"/>
    <col min="807" max="807" width="12.53125" customWidth="1"/>
    <col min="1026" max="1027" width="12.46484375" customWidth="1"/>
    <col min="1028" max="1028" width="10.53125" customWidth="1"/>
    <col min="1029" max="1029" width="12" customWidth="1"/>
    <col min="1030" max="1030" width="10.73046875" customWidth="1"/>
    <col min="1031" max="1031" width="11.46484375" customWidth="1"/>
    <col min="1032" max="1032" width="9.53125" bestFit="1" customWidth="1"/>
    <col min="1033" max="1033" width="15.46484375" customWidth="1"/>
    <col min="1034" max="1034" width="10.73046875" customWidth="1"/>
    <col min="1035" max="1035" width="10.796875" customWidth="1"/>
    <col min="1036" max="1036" width="9" customWidth="1"/>
    <col min="1037" max="1037" width="15" customWidth="1"/>
    <col min="1038" max="1038" width="8.265625" bestFit="1" customWidth="1"/>
    <col min="1039" max="1039" width="11.53125" customWidth="1"/>
    <col min="1040" max="1040" width="7" bestFit="1" customWidth="1"/>
    <col min="1041" max="1041" width="10" bestFit="1" customWidth="1"/>
    <col min="1042" max="1042" width="16.796875" customWidth="1"/>
    <col min="1043" max="1043" width="19.53125" customWidth="1"/>
    <col min="1044" max="1044" width="18.46484375" customWidth="1"/>
    <col min="1045" max="1045" width="20" bestFit="1" customWidth="1"/>
    <col min="1046" max="1046" width="20" customWidth="1"/>
    <col min="1048" max="1048" width="7.73046875" customWidth="1"/>
    <col min="1049" max="1049" width="11" bestFit="1" customWidth="1"/>
    <col min="1050" max="1050" width="13.53125" bestFit="1" customWidth="1"/>
    <col min="1051" max="1051" width="9.73046875" customWidth="1"/>
    <col min="1052" max="1052" width="12" customWidth="1"/>
    <col min="1053" max="1057" width="9" customWidth="1"/>
    <col min="1058" max="1058" width="13.796875" bestFit="1" customWidth="1"/>
    <col min="1059" max="1059" width="15.796875" bestFit="1" customWidth="1"/>
    <col min="1060" max="1060" width="15.796875" customWidth="1"/>
    <col min="1061" max="1061" width="19.53125" bestFit="1" customWidth="1"/>
    <col min="1062" max="1062" width="19" bestFit="1" customWidth="1"/>
    <col min="1063" max="1063" width="12.53125" customWidth="1"/>
    <col min="1282" max="1283" width="12.46484375" customWidth="1"/>
    <col min="1284" max="1284" width="10.53125" customWidth="1"/>
    <col min="1285" max="1285" width="12" customWidth="1"/>
    <col min="1286" max="1286" width="10.73046875" customWidth="1"/>
    <col min="1287" max="1287" width="11.46484375" customWidth="1"/>
    <col min="1288" max="1288" width="9.53125" bestFit="1" customWidth="1"/>
    <col min="1289" max="1289" width="15.46484375" customWidth="1"/>
    <col min="1290" max="1290" width="10.73046875" customWidth="1"/>
    <col min="1291" max="1291" width="10.796875" customWidth="1"/>
    <col min="1292" max="1292" width="9" customWidth="1"/>
    <col min="1293" max="1293" width="15" customWidth="1"/>
    <col min="1294" max="1294" width="8.265625" bestFit="1" customWidth="1"/>
    <col min="1295" max="1295" width="11.53125" customWidth="1"/>
    <col min="1296" max="1296" width="7" bestFit="1" customWidth="1"/>
    <col min="1297" max="1297" width="10" bestFit="1" customWidth="1"/>
    <col min="1298" max="1298" width="16.796875" customWidth="1"/>
    <col min="1299" max="1299" width="19.53125" customWidth="1"/>
    <col min="1300" max="1300" width="18.46484375" customWidth="1"/>
    <col min="1301" max="1301" width="20" bestFit="1" customWidth="1"/>
    <col min="1302" max="1302" width="20" customWidth="1"/>
    <col min="1304" max="1304" width="7.73046875" customWidth="1"/>
    <col min="1305" max="1305" width="11" bestFit="1" customWidth="1"/>
    <col min="1306" max="1306" width="13.53125" bestFit="1" customWidth="1"/>
    <col min="1307" max="1307" width="9.73046875" customWidth="1"/>
    <col min="1308" max="1308" width="12" customWidth="1"/>
    <col min="1309" max="1313" width="9" customWidth="1"/>
    <col min="1314" max="1314" width="13.796875" bestFit="1" customWidth="1"/>
    <col min="1315" max="1315" width="15.796875" bestFit="1" customWidth="1"/>
    <col min="1316" max="1316" width="15.796875" customWidth="1"/>
    <col min="1317" max="1317" width="19.53125" bestFit="1" customWidth="1"/>
    <col min="1318" max="1318" width="19" bestFit="1" customWidth="1"/>
    <col min="1319" max="1319" width="12.53125" customWidth="1"/>
    <col min="1538" max="1539" width="12.46484375" customWidth="1"/>
    <col min="1540" max="1540" width="10.53125" customWidth="1"/>
    <col min="1541" max="1541" width="12" customWidth="1"/>
    <col min="1542" max="1542" width="10.73046875" customWidth="1"/>
    <col min="1543" max="1543" width="11.46484375" customWidth="1"/>
    <col min="1544" max="1544" width="9.53125" bestFit="1" customWidth="1"/>
    <col min="1545" max="1545" width="15.46484375" customWidth="1"/>
    <col min="1546" max="1546" width="10.73046875" customWidth="1"/>
    <col min="1547" max="1547" width="10.796875" customWidth="1"/>
    <col min="1548" max="1548" width="9" customWidth="1"/>
    <col min="1549" max="1549" width="15" customWidth="1"/>
    <col min="1550" max="1550" width="8.265625" bestFit="1" customWidth="1"/>
    <col min="1551" max="1551" width="11.53125" customWidth="1"/>
    <col min="1552" max="1552" width="7" bestFit="1" customWidth="1"/>
    <col min="1553" max="1553" width="10" bestFit="1" customWidth="1"/>
    <col min="1554" max="1554" width="16.796875" customWidth="1"/>
    <col min="1555" max="1555" width="19.53125" customWidth="1"/>
    <col min="1556" max="1556" width="18.46484375" customWidth="1"/>
    <col min="1557" max="1557" width="20" bestFit="1" customWidth="1"/>
    <col min="1558" max="1558" width="20" customWidth="1"/>
    <col min="1560" max="1560" width="7.73046875" customWidth="1"/>
    <col min="1561" max="1561" width="11" bestFit="1" customWidth="1"/>
    <col min="1562" max="1562" width="13.53125" bestFit="1" customWidth="1"/>
    <col min="1563" max="1563" width="9.73046875" customWidth="1"/>
    <col min="1564" max="1564" width="12" customWidth="1"/>
    <col min="1565" max="1569" width="9" customWidth="1"/>
    <col min="1570" max="1570" width="13.796875" bestFit="1" customWidth="1"/>
    <col min="1571" max="1571" width="15.796875" bestFit="1" customWidth="1"/>
    <col min="1572" max="1572" width="15.796875" customWidth="1"/>
    <col min="1573" max="1573" width="19.53125" bestFit="1" customWidth="1"/>
    <col min="1574" max="1574" width="19" bestFit="1" customWidth="1"/>
    <col min="1575" max="1575" width="12.53125" customWidth="1"/>
    <col min="1794" max="1795" width="12.46484375" customWidth="1"/>
    <col min="1796" max="1796" width="10.53125" customWidth="1"/>
    <col min="1797" max="1797" width="12" customWidth="1"/>
    <col min="1798" max="1798" width="10.73046875" customWidth="1"/>
    <col min="1799" max="1799" width="11.46484375" customWidth="1"/>
    <col min="1800" max="1800" width="9.53125" bestFit="1" customWidth="1"/>
    <col min="1801" max="1801" width="15.46484375" customWidth="1"/>
    <col min="1802" max="1802" width="10.73046875" customWidth="1"/>
    <col min="1803" max="1803" width="10.796875" customWidth="1"/>
    <col min="1804" max="1804" width="9" customWidth="1"/>
    <col min="1805" max="1805" width="15" customWidth="1"/>
    <col min="1806" max="1806" width="8.265625" bestFit="1" customWidth="1"/>
    <col min="1807" max="1807" width="11.53125" customWidth="1"/>
    <col min="1808" max="1808" width="7" bestFit="1" customWidth="1"/>
    <col min="1809" max="1809" width="10" bestFit="1" customWidth="1"/>
    <col min="1810" max="1810" width="16.796875" customWidth="1"/>
    <col min="1811" max="1811" width="19.53125" customWidth="1"/>
    <col min="1812" max="1812" width="18.46484375" customWidth="1"/>
    <col min="1813" max="1813" width="20" bestFit="1" customWidth="1"/>
    <col min="1814" max="1814" width="20" customWidth="1"/>
    <col min="1816" max="1816" width="7.73046875" customWidth="1"/>
    <col min="1817" max="1817" width="11" bestFit="1" customWidth="1"/>
    <col min="1818" max="1818" width="13.53125" bestFit="1" customWidth="1"/>
    <col min="1819" max="1819" width="9.73046875" customWidth="1"/>
    <col min="1820" max="1820" width="12" customWidth="1"/>
    <col min="1821" max="1825" width="9" customWidth="1"/>
    <col min="1826" max="1826" width="13.796875" bestFit="1" customWidth="1"/>
    <col min="1827" max="1827" width="15.796875" bestFit="1" customWidth="1"/>
    <col min="1828" max="1828" width="15.796875" customWidth="1"/>
    <col min="1829" max="1829" width="19.53125" bestFit="1" customWidth="1"/>
    <col min="1830" max="1830" width="19" bestFit="1" customWidth="1"/>
    <col min="1831" max="1831" width="12.53125" customWidth="1"/>
    <col min="2050" max="2051" width="12.46484375" customWidth="1"/>
    <col min="2052" max="2052" width="10.53125" customWidth="1"/>
    <col min="2053" max="2053" width="12" customWidth="1"/>
    <col min="2054" max="2054" width="10.73046875" customWidth="1"/>
    <col min="2055" max="2055" width="11.46484375" customWidth="1"/>
    <col min="2056" max="2056" width="9.53125" bestFit="1" customWidth="1"/>
    <col min="2057" max="2057" width="15.46484375" customWidth="1"/>
    <col min="2058" max="2058" width="10.73046875" customWidth="1"/>
    <col min="2059" max="2059" width="10.796875" customWidth="1"/>
    <col min="2060" max="2060" width="9" customWidth="1"/>
    <col min="2061" max="2061" width="15" customWidth="1"/>
    <col min="2062" max="2062" width="8.265625" bestFit="1" customWidth="1"/>
    <col min="2063" max="2063" width="11.53125" customWidth="1"/>
    <col min="2064" max="2064" width="7" bestFit="1" customWidth="1"/>
    <col min="2065" max="2065" width="10" bestFit="1" customWidth="1"/>
    <col min="2066" max="2066" width="16.796875" customWidth="1"/>
    <col min="2067" max="2067" width="19.53125" customWidth="1"/>
    <col min="2068" max="2068" width="18.46484375" customWidth="1"/>
    <col min="2069" max="2069" width="20" bestFit="1" customWidth="1"/>
    <col min="2070" max="2070" width="20" customWidth="1"/>
    <col min="2072" max="2072" width="7.73046875" customWidth="1"/>
    <col min="2073" max="2073" width="11" bestFit="1" customWidth="1"/>
    <col min="2074" max="2074" width="13.53125" bestFit="1" customWidth="1"/>
    <col min="2075" max="2075" width="9.73046875" customWidth="1"/>
    <col min="2076" max="2076" width="12" customWidth="1"/>
    <col min="2077" max="2081" width="9" customWidth="1"/>
    <col min="2082" max="2082" width="13.796875" bestFit="1" customWidth="1"/>
    <col min="2083" max="2083" width="15.796875" bestFit="1" customWidth="1"/>
    <col min="2084" max="2084" width="15.796875" customWidth="1"/>
    <col min="2085" max="2085" width="19.53125" bestFit="1" customWidth="1"/>
    <col min="2086" max="2086" width="19" bestFit="1" customWidth="1"/>
    <col min="2087" max="2087" width="12.53125" customWidth="1"/>
    <col min="2306" max="2307" width="12.46484375" customWidth="1"/>
    <col min="2308" max="2308" width="10.53125" customWidth="1"/>
    <col min="2309" max="2309" width="12" customWidth="1"/>
    <col min="2310" max="2310" width="10.73046875" customWidth="1"/>
    <col min="2311" max="2311" width="11.46484375" customWidth="1"/>
    <col min="2312" max="2312" width="9.53125" bestFit="1" customWidth="1"/>
    <col min="2313" max="2313" width="15.46484375" customWidth="1"/>
    <col min="2314" max="2314" width="10.73046875" customWidth="1"/>
    <col min="2315" max="2315" width="10.796875" customWidth="1"/>
    <col min="2316" max="2316" width="9" customWidth="1"/>
    <col min="2317" max="2317" width="15" customWidth="1"/>
    <col min="2318" max="2318" width="8.265625" bestFit="1" customWidth="1"/>
    <col min="2319" max="2319" width="11.53125" customWidth="1"/>
    <col min="2320" max="2320" width="7" bestFit="1" customWidth="1"/>
    <col min="2321" max="2321" width="10" bestFit="1" customWidth="1"/>
    <col min="2322" max="2322" width="16.796875" customWidth="1"/>
    <col min="2323" max="2323" width="19.53125" customWidth="1"/>
    <col min="2324" max="2324" width="18.46484375" customWidth="1"/>
    <col min="2325" max="2325" width="20" bestFit="1" customWidth="1"/>
    <col min="2326" max="2326" width="20" customWidth="1"/>
    <col min="2328" max="2328" width="7.73046875" customWidth="1"/>
    <col min="2329" max="2329" width="11" bestFit="1" customWidth="1"/>
    <col min="2330" max="2330" width="13.53125" bestFit="1" customWidth="1"/>
    <col min="2331" max="2331" width="9.73046875" customWidth="1"/>
    <col min="2332" max="2332" width="12" customWidth="1"/>
    <col min="2333" max="2337" width="9" customWidth="1"/>
    <col min="2338" max="2338" width="13.796875" bestFit="1" customWidth="1"/>
    <col min="2339" max="2339" width="15.796875" bestFit="1" customWidth="1"/>
    <col min="2340" max="2340" width="15.796875" customWidth="1"/>
    <col min="2341" max="2341" width="19.53125" bestFit="1" customWidth="1"/>
    <col min="2342" max="2342" width="19" bestFit="1" customWidth="1"/>
    <col min="2343" max="2343" width="12.53125" customWidth="1"/>
    <col min="2562" max="2563" width="12.46484375" customWidth="1"/>
    <col min="2564" max="2564" width="10.53125" customWidth="1"/>
    <col min="2565" max="2565" width="12" customWidth="1"/>
    <col min="2566" max="2566" width="10.73046875" customWidth="1"/>
    <col min="2567" max="2567" width="11.46484375" customWidth="1"/>
    <col min="2568" max="2568" width="9.53125" bestFit="1" customWidth="1"/>
    <col min="2569" max="2569" width="15.46484375" customWidth="1"/>
    <col min="2570" max="2570" width="10.73046875" customWidth="1"/>
    <col min="2571" max="2571" width="10.796875" customWidth="1"/>
    <col min="2572" max="2572" width="9" customWidth="1"/>
    <col min="2573" max="2573" width="15" customWidth="1"/>
    <col min="2574" max="2574" width="8.265625" bestFit="1" customWidth="1"/>
    <col min="2575" max="2575" width="11.53125" customWidth="1"/>
    <col min="2576" max="2576" width="7" bestFit="1" customWidth="1"/>
    <col min="2577" max="2577" width="10" bestFit="1" customWidth="1"/>
    <col min="2578" max="2578" width="16.796875" customWidth="1"/>
    <col min="2579" max="2579" width="19.53125" customWidth="1"/>
    <col min="2580" max="2580" width="18.46484375" customWidth="1"/>
    <col min="2581" max="2581" width="20" bestFit="1" customWidth="1"/>
    <col min="2582" max="2582" width="20" customWidth="1"/>
    <col min="2584" max="2584" width="7.73046875" customWidth="1"/>
    <col min="2585" max="2585" width="11" bestFit="1" customWidth="1"/>
    <col min="2586" max="2586" width="13.53125" bestFit="1" customWidth="1"/>
    <col min="2587" max="2587" width="9.73046875" customWidth="1"/>
    <col min="2588" max="2588" width="12" customWidth="1"/>
    <col min="2589" max="2593" width="9" customWidth="1"/>
    <col min="2594" max="2594" width="13.796875" bestFit="1" customWidth="1"/>
    <col min="2595" max="2595" width="15.796875" bestFit="1" customWidth="1"/>
    <col min="2596" max="2596" width="15.796875" customWidth="1"/>
    <col min="2597" max="2597" width="19.53125" bestFit="1" customWidth="1"/>
    <col min="2598" max="2598" width="19" bestFit="1" customWidth="1"/>
    <col min="2599" max="2599" width="12.53125" customWidth="1"/>
    <col min="2818" max="2819" width="12.46484375" customWidth="1"/>
    <col min="2820" max="2820" width="10.53125" customWidth="1"/>
    <col min="2821" max="2821" width="12" customWidth="1"/>
    <col min="2822" max="2822" width="10.73046875" customWidth="1"/>
    <col min="2823" max="2823" width="11.46484375" customWidth="1"/>
    <col min="2824" max="2824" width="9.53125" bestFit="1" customWidth="1"/>
    <col min="2825" max="2825" width="15.46484375" customWidth="1"/>
    <col min="2826" max="2826" width="10.73046875" customWidth="1"/>
    <col min="2827" max="2827" width="10.796875" customWidth="1"/>
    <col min="2828" max="2828" width="9" customWidth="1"/>
    <col min="2829" max="2829" width="15" customWidth="1"/>
    <col min="2830" max="2830" width="8.265625" bestFit="1" customWidth="1"/>
    <col min="2831" max="2831" width="11.53125" customWidth="1"/>
    <col min="2832" max="2832" width="7" bestFit="1" customWidth="1"/>
    <col min="2833" max="2833" width="10" bestFit="1" customWidth="1"/>
    <col min="2834" max="2834" width="16.796875" customWidth="1"/>
    <col min="2835" max="2835" width="19.53125" customWidth="1"/>
    <col min="2836" max="2836" width="18.46484375" customWidth="1"/>
    <col min="2837" max="2837" width="20" bestFit="1" customWidth="1"/>
    <col min="2838" max="2838" width="20" customWidth="1"/>
    <col min="2840" max="2840" width="7.73046875" customWidth="1"/>
    <col min="2841" max="2841" width="11" bestFit="1" customWidth="1"/>
    <col min="2842" max="2842" width="13.53125" bestFit="1" customWidth="1"/>
    <col min="2843" max="2843" width="9.73046875" customWidth="1"/>
    <col min="2844" max="2844" width="12" customWidth="1"/>
    <col min="2845" max="2849" width="9" customWidth="1"/>
    <col min="2850" max="2850" width="13.796875" bestFit="1" customWidth="1"/>
    <col min="2851" max="2851" width="15.796875" bestFit="1" customWidth="1"/>
    <col min="2852" max="2852" width="15.796875" customWidth="1"/>
    <col min="2853" max="2853" width="19.53125" bestFit="1" customWidth="1"/>
    <col min="2854" max="2854" width="19" bestFit="1" customWidth="1"/>
    <col min="2855" max="2855" width="12.53125" customWidth="1"/>
    <col min="3074" max="3075" width="12.46484375" customWidth="1"/>
    <col min="3076" max="3076" width="10.53125" customWidth="1"/>
    <col min="3077" max="3077" width="12" customWidth="1"/>
    <col min="3078" max="3078" width="10.73046875" customWidth="1"/>
    <col min="3079" max="3079" width="11.46484375" customWidth="1"/>
    <col min="3080" max="3080" width="9.53125" bestFit="1" customWidth="1"/>
    <col min="3081" max="3081" width="15.46484375" customWidth="1"/>
    <col min="3082" max="3082" width="10.73046875" customWidth="1"/>
    <col min="3083" max="3083" width="10.796875" customWidth="1"/>
    <col min="3084" max="3084" width="9" customWidth="1"/>
    <col min="3085" max="3085" width="15" customWidth="1"/>
    <col min="3086" max="3086" width="8.265625" bestFit="1" customWidth="1"/>
    <col min="3087" max="3087" width="11.53125" customWidth="1"/>
    <col min="3088" max="3088" width="7" bestFit="1" customWidth="1"/>
    <col min="3089" max="3089" width="10" bestFit="1" customWidth="1"/>
    <col min="3090" max="3090" width="16.796875" customWidth="1"/>
    <col min="3091" max="3091" width="19.53125" customWidth="1"/>
    <col min="3092" max="3092" width="18.46484375" customWidth="1"/>
    <col min="3093" max="3093" width="20" bestFit="1" customWidth="1"/>
    <col min="3094" max="3094" width="20" customWidth="1"/>
    <col min="3096" max="3096" width="7.73046875" customWidth="1"/>
    <col min="3097" max="3097" width="11" bestFit="1" customWidth="1"/>
    <col min="3098" max="3098" width="13.53125" bestFit="1" customWidth="1"/>
    <col min="3099" max="3099" width="9.73046875" customWidth="1"/>
    <col min="3100" max="3100" width="12" customWidth="1"/>
    <col min="3101" max="3105" width="9" customWidth="1"/>
    <col min="3106" max="3106" width="13.796875" bestFit="1" customWidth="1"/>
    <col min="3107" max="3107" width="15.796875" bestFit="1" customWidth="1"/>
    <col min="3108" max="3108" width="15.796875" customWidth="1"/>
    <col min="3109" max="3109" width="19.53125" bestFit="1" customWidth="1"/>
    <col min="3110" max="3110" width="19" bestFit="1" customWidth="1"/>
    <col min="3111" max="3111" width="12.53125" customWidth="1"/>
    <col min="3330" max="3331" width="12.46484375" customWidth="1"/>
    <col min="3332" max="3332" width="10.53125" customWidth="1"/>
    <col min="3333" max="3333" width="12" customWidth="1"/>
    <col min="3334" max="3334" width="10.73046875" customWidth="1"/>
    <col min="3335" max="3335" width="11.46484375" customWidth="1"/>
    <col min="3336" max="3336" width="9.53125" bestFit="1" customWidth="1"/>
    <col min="3337" max="3337" width="15.46484375" customWidth="1"/>
    <col min="3338" max="3338" width="10.73046875" customWidth="1"/>
    <col min="3339" max="3339" width="10.796875" customWidth="1"/>
    <col min="3340" max="3340" width="9" customWidth="1"/>
    <col min="3341" max="3341" width="15" customWidth="1"/>
    <col min="3342" max="3342" width="8.265625" bestFit="1" customWidth="1"/>
    <col min="3343" max="3343" width="11.53125" customWidth="1"/>
    <col min="3344" max="3344" width="7" bestFit="1" customWidth="1"/>
    <col min="3345" max="3345" width="10" bestFit="1" customWidth="1"/>
    <col min="3346" max="3346" width="16.796875" customWidth="1"/>
    <col min="3347" max="3347" width="19.53125" customWidth="1"/>
    <col min="3348" max="3348" width="18.46484375" customWidth="1"/>
    <col min="3349" max="3349" width="20" bestFit="1" customWidth="1"/>
    <col min="3350" max="3350" width="20" customWidth="1"/>
    <col min="3352" max="3352" width="7.73046875" customWidth="1"/>
    <col min="3353" max="3353" width="11" bestFit="1" customWidth="1"/>
    <col min="3354" max="3354" width="13.53125" bestFit="1" customWidth="1"/>
    <col min="3355" max="3355" width="9.73046875" customWidth="1"/>
    <col min="3356" max="3356" width="12" customWidth="1"/>
    <col min="3357" max="3361" width="9" customWidth="1"/>
    <col min="3362" max="3362" width="13.796875" bestFit="1" customWidth="1"/>
    <col min="3363" max="3363" width="15.796875" bestFit="1" customWidth="1"/>
    <col min="3364" max="3364" width="15.796875" customWidth="1"/>
    <col min="3365" max="3365" width="19.53125" bestFit="1" customWidth="1"/>
    <col min="3366" max="3366" width="19" bestFit="1" customWidth="1"/>
    <col min="3367" max="3367" width="12.53125" customWidth="1"/>
    <col min="3586" max="3587" width="12.46484375" customWidth="1"/>
    <col min="3588" max="3588" width="10.53125" customWidth="1"/>
    <col min="3589" max="3589" width="12" customWidth="1"/>
    <col min="3590" max="3590" width="10.73046875" customWidth="1"/>
    <col min="3591" max="3591" width="11.46484375" customWidth="1"/>
    <col min="3592" max="3592" width="9.53125" bestFit="1" customWidth="1"/>
    <col min="3593" max="3593" width="15.46484375" customWidth="1"/>
    <col min="3594" max="3594" width="10.73046875" customWidth="1"/>
    <col min="3595" max="3595" width="10.796875" customWidth="1"/>
    <col min="3596" max="3596" width="9" customWidth="1"/>
    <col min="3597" max="3597" width="15" customWidth="1"/>
    <col min="3598" max="3598" width="8.265625" bestFit="1" customWidth="1"/>
    <col min="3599" max="3599" width="11.53125" customWidth="1"/>
    <col min="3600" max="3600" width="7" bestFit="1" customWidth="1"/>
    <col min="3601" max="3601" width="10" bestFit="1" customWidth="1"/>
    <col min="3602" max="3602" width="16.796875" customWidth="1"/>
    <col min="3603" max="3603" width="19.53125" customWidth="1"/>
    <col min="3604" max="3604" width="18.46484375" customWidth="1"/>
    <col min="3605" max="3605" width="20" bestFit="1" customWidth="1"/>
    <col min="3606" max="3606" width="20" customWidth="1"/>
    <col min="3608" max="3608" width="7.73046875" customWidth="1"/>
    <col min="3609" max="3609" width="11" bestFit="1" customWidth="1"/>
    <col min="3610" max="3610" width="13.53125" bestFit="1" customWidth="1"/>
    <col min="3611" max="3611" width="9.73046875" customWidth="1"/>
    <col min="3612" max="3612" width="12" customWidth="1"/>
    <col min="3613" max="3617" width="9" customWidth="1"/>
    <col min="3618" max="3618" width="13.796875" bestFit="1" customWidth="1"/>
    <col min="3619" max="3619" width="15.796875" bestFit="1" customWidth="1"/>
    <col min="3620" max="3620" width="15.796875" customWidth="1"/>
    <col min="3621" max="3621" width="19.53125" bestFit="1" customWidth="1"/>
    <col min="3622" max="3622" width="19" bestFit="1" customWidth="1"/>
    <col min="3623" max="3623" width="12.53125" customWidth="1"/>
    <col min="3842" max="3843" width="12.46484375" customWidth="1"/>
    <col min="3844" max="3844" width="10.53125" customWidth="1"/>
    <col min="3845" max="3845" width="12" customWidth="1"/>
    <col min="3846" max="3846" width="10.73046875" customWidth="1"/>
    <col min="3847" max="3847" width="11.46484375" customWidth="1"/>
    <col min="3848" max="3848" width="9.53125" bestFit="1" customWidth="1"/>
    <col min="3849" max="3849" width="15.46484375" customWidth="1"/>
    <col min="3850" max="3850" width="10.73046875" customWidth="1"/>
    <col min="3851" max="3851" width="10.796875" customWidth="1"/>
    <col min="3852" max="3852" width="9" customWidth="1"/>
    <col min="3853" max="3853" width="15" customWidth="1"/>
    <col min="3854" max="3854" width="8.265625" bestFit="1" customWidth="1"/>
    <col min="3855" max="3855" width="11.53125" customWidth="1"/>
    <col min="3856" max="3856" width="7" bestFit="1" customWidth="1"/>
    <col min="3857" max="3857" width="10" bestFit="1" customWidth="1"/>
    <col min="3858" max="3858" width="16.796875" customWidth="1"/>
    <col min="3859" max="3859" width="19.53125" customWidth="1"/>
    <col min="3860" max="3860" width="18.46484375" customWidth="1"/>
    <col min="3861" max="3861" width="20" bestFit="1" customWidth="1"/>
    <col min="3862" max="3862" width="20" customWidth="1"/>
    <col min="3864" max="3864" width="7.73046875" customWidth="1"/>
    <col min="3865" max="3865" width="11" bestFit="1" customWidth="1"/>
    <col min="3866" max="3866" width="13.53125" bestFit="1" customWidth="1"/>
    <col min="3867" max="3867" width="9.73046875" customWidth="1"/>
    <col min="3868" max="3868" width="12" customWidth="1"/>
    <col min="3869" max="3873" width="9" customWidth="1"/>
    <col min="3874" max="3874" width="13.796875" bestFit="1" customWidth="1"/>
    <col min="3875" max="3875" width="15.796875" bestFit="1" customWidth="1"/>
    <col min="3876" max="3876" width="15.796875" customWidth="1"/>
    <col min="3877" max="3877" width="19.53125" bestFit="1" customWidth="1"/>
    <col min="3878" max="3878" width="19" bestFit="1" customWidth="1"/>
    <col min="3879" max="3879" width="12.53125" customWidth="1"/>
    <col min="4098" max="4099" width="12.46484375" customWidth="1"/>
    <col min="4100" max="4100" width="10.53125" customWidth="1"/>
    <col min="4101" max="4101" width="12" customWidth="1"/>
    <col min="4102" max="4102" width="10.73046875" customWidth="1"/>
    <col min="4103" max="4103" width="11.46484375" customWidth="1"/>
    <col min="4104" max="4104" width="9.53125" bestFit="1" customWidth="1"/>
    <col min="4105" max="4105" width="15.46484375" customWidth="1"/>
    <col min="4106" max="4106" width="10.73046875" customWidth="1"/>
    <col min="4107" max="4107" width="10.796875" customWidth="1"/>
    <col min="4108" max="4108" width="9" customWidth="1"/>
    <col min="4109" max="4109" width="15" customWidth="1"/>
    <col min="4110" max="4110" width="8.265625" bestFit="1" customWidth="1"/>
    <col min="4111" max="4111" width="11.53125" customWidth="1"/>
    <col min="4112" max="4112" width="7" bestFit="1" customWidth="1"/>
    <col min="4113" max="4113" width="10" bestFit="1" customWidth="1"/>
    <col min="4114" max="4114" width="16.796875" customWidth="1"/>
    <col min="4115" max="4115" width="19.53125" customWidth="1"/>
    <col min="4116" max="4116" width="18.46484375" customWidth="1"/>
    <col min="4117" max="4117" width="20" bestFit="1" customWidth="1"/>
    <col min="4118" max="4118" width="20" customWidth="1"/>
    <col min="4120" max="4120" width="7.73046875" customWidth="1"/>
    <col min="4121" max="4121" width="11" bestFit="1" customWidth="1"/>
    <col min="4122" max="4122" width="13.53125" bestFit="1" customWidth="1"/>
    <col min="4123" max="4123" width="9.73046875" customWidth="1"/>
    <col min="4124" max="4124" width="12" customWidth="1"/>
    <col min="4125" max="4129" width="9" customWidth="1"/>
    <col min="4130" max="4130" width="13.796875" bestFit="1" customWidth="1"/>
    <col min="4131" max="4131" width="15.796875" bestFit="1" customWidth="1"/>
    <col min="4132" max="4132" width="15.796875" customWidth="1"/>
    <col min="4133" max="4133" width="19.53125" bestFit="1" customWidth="1"/>
    <col min="4134" max="4134" width="19" bestFit="1" customWidth="1"/>
    <col min="4135" max="4135" width="12.53125" customWidth="1"/>
    <col min="4354" max="4355" width="12.46484375" customWidth="1"/>
    <col min="4356" max="4356" width="10.53125" customWidth="1"/>
    <col min="4357" max="4357" width="12" customWidth="1"/>
    <col min="4358" max="4358" width="10.73046875" customWidth="1"/>
    <col min="4359" max="4359" width="11.46484375" customWidth="1"/>
    <col min="4360" max="4360" width="9.53125" bestFit="1" customWidth="1"/>
    <col min="4361" max="4361" width="15.46484375" customWidth="1"/>
    <col min="4362" max="4362" width="10.73046875" customWidth="1"/>
    <col min="4363" max="4363" width="10.796875" customWidth="1"/>
    <col min="4364" max="4364" width="9" customWidth="1"/>
    <col min="4365" max="4365" width="15" customWidth="1"/>
    <col min="4366" max="4366" width="8.265625" bestFit="1" customWidth="1"/>
    <col min="4367" max="4367" width="11.53125" customWidth="1"/>
    <col min="4368" max="4368" width="7" bestFit="1" customWidth="1"/>
    <col min="4369" max="4369" width="10" bestFit="1" customWidth="1"/>
    <col min="4370" max="4370" width="16.796875" customWidth="1"/>
    <col min="4371" max="4371" width="19.53125" customWidth="1"/>
    <col min="4372" max="4372" width="18.46484375" customWidth="1"/>
    <col min="4373" max="4373" width="20" bestFit="1" customWidth="1"/>
    <col min="4374" max="4374" width="20" customWidth="1"/>
    <col min="4376" max="4376" width="7.73046875" customWidth="1"/>
    <col min="4377" max="4377" width="11" bestFit="1" customWidth="1"/>
    <col min="4378" max="4378" width="13.53125" bestFit="1" customWidth="1"/>
    <col min="4379" max="4379" width="9.73046875" customWidth="1"/>
    <col min="4380" max="4380" width="12" customWidth="1"/>
    <col min="4381" max="4385" width="9" customWidth="1"/>
    <col min="4386" max="4386" width="13.796875" bestFit="1" customWidth="1"/>
    <col min="4387" max="4387" width="15.796875" bestFit="1" customWidth="1"/>
    <col min="4388" max="4388" width="15.796875" customWidth="1"/>
    <col min="4389" max="4389" width="19.53125" bestFit="1" customWidth="1"/>
    <col min="4390" max="4390" width="19" bestFit="1" customWidth="1"/>
    <col min="4391" max="4391" width="12.53125" customWidth="1"/>
    <col min="4610" max="4611" width="12.46484375" customWidth="1"/>
    <col min="4612" max="4612" width="10.53125" customWidth="1"/>
    <col min="4613" max="4613" width="12" customWidth="1"/>
    <col min="4614" max="4614" width="10.73046875" customWidth="1"/>
    <col min="4615" max="4615" width="11.46484375" customWidth="1"/>
    <col min="4616" max="4616" width="9.53125" bestFit="1" customWidth="1"/>
    <col min="4617" max="4617" width="15.46484375" customWidth="1"/>
    <col min="4618" max="4618" width="10.73046875" customWidth="1"/>
    <col min="4619" max="4619" width="10.796875" customWidth="1"/>
    <col min="4620" max="4620" width="9" customWidth="1"/>
    <col min="4621" max="4621" width="15" customWidth="1"/>
    <col min="4622" max="4622" width="8.265625" bestFit="1" customWidth="1"/>
    <col min="4623" max="4623" width="11.53125" customWidth="1"/>
    <col min="4624" max="4624" width="7" bestFit="1" customWidth="1"/>
    <col min="4625" max="4625" width="10" bestFit="1" customWidth="1"/>
    <col min="4626" max="4626" width="16.796875" customWidth="1"/>
    <col min="4627" max="4627" width="19.53125" customWidth="1"/>
    <col min="4628" max="4628" width="18.46484375" customWidth="1"/>
    <col min="4629" max="4629" width="20" bestFit="1" customWidth="1"/>
    <col min="4630" max="4630" width="20" customWidth="1"/>
    <col min="4632" max="4632" width="7.73046875" customWidth="1"/>
    <col min="4633" max="4633" width="11" bestFit="1" customWidth="1"/>
    <col min="4634" max="4634" width="13.53125" bestFit="1" customWidth="1"/>
    <col min="4635" max="4635" width="9.73046875" customWidth="1"/>
    <col min="4636" max="4636" width="12" customWidth="1"/>
    <col min="4637" max="4641" width="9" customWidth="1"/>
    <col min="4642" max="4642" width="13.796875" bestFit="1" customWidth="1"/>
    <col min="4643" max="4643" width="15.796875" bestFit="1" customWidth="1"/>
    <col min="4644" max="4644" width="15.796875" customWidth="1"/>
    <col min="4645" max="4645" width="19.53125" bestFit="1" customWidth="1"/>
    <col min="4646" max="4646" width="19" bestFit="1" customWidth="1"/>
    <col min="4647" max="4647" width="12.53125" customWidth="1"/>
    <col min="4866" max="4867" width="12.46484375" customWidth="1"/>
    <col min="4868" max="4868" width="10.53125" customWidth="1"/>
    <col min="4869" max="4869" width="12" customWidth="1"/>
    <col min="4870" max="4870" width="10.73046875" customWidth="1"/>
    <col min="4871" max="4871" width="11.46484375" customWidth="1"/>
    <col min="4872" max="4872" width="9.53125" bestFit="1" customWidth="1"/>
    <col min="4873" max="4873" width="15.46484375" customWidth="1"/>
    <col min="4874" max="4874" width="10.73046875" customWidth="1"/>
    <col min="4875" max="4875" width="10.796875" customWidth="1"/>
    <col min="4876" max="4876" width="9" customWidth="1"/>
    <col min="4877" max="4877" width="15" customWidth="1"/>
    <col min="4878" max="4878" width="8.265625" bestFit="1" customWidth="1"/>
    <col min="4879" max="4879" width="11.53125" customWidth="1"/>
    <col min="4880" max="4880" width="7" bestFit="1" customWidth="1"/>
    <col min="4881" max="4881" width="10" bestFit="1" customWidth="1"/>
    <col min="4882" max="4882" width="16.796875" customWidth="1"/>
    <col min="4883" max="4883" width="19.53125" customWidth="1"/>
    <col min="4884" max="4884" width="18.46484375" customWidth="1"/>
    <col min="4885" max="4885" width="20" bestFit="1" customWidth="1"/>
    <col min="4886" max="4886" width="20" customWidth="1"/>
    <col min="4888" max="4888" width="7.73046875" customWidth="1"/>
    <col min="4889" max="4889" width="11" bestFit="1" customWidth="1"/>
    <col min="4890" max="4890" width="13.53125" bestFit="1" customWidth="1"/>
    <col min="4891" max="4891" width="9.73046875" customWidth="1"/>
    <col min="4892" max="4892" width="12" customWidth="1"/>
    <col min="4893" max="4897" width="9" customWidth="1"/>
    <col min="4898" max="4898" width="13.796875" bestFit="1" customWidth="1"/>
    <col min="4899" max="4899" width="15.796875" bestFit="1" customWidth="1"/>
    <col min="4900" max="4900" width="15.796875" customWidth="1"/>
    <col min="4901" max="4901" width="19.53125" bestFit="1" customWidth="1"/>
    <col min="4902" max="4902" width="19" bestFit="1" customWidth="1"/>
    <col min="4903" max="4903" width="12.53125" customWidth="1"/>
    <col min="5122" max="5123" width="12.46484375" customWidth="1"/>
    <col min="5124" max="5124" width="10.53125" customWidth="1"/>
    <col min="5125" max="5125" width="12" customWidth="1"/>
    <col min="5126" max="5126" width="10.73046875" customWidth="1"/>
    <col min="5127" max="5127" width="11.46484375" customWidth="1"/>
    <col min="5128" max="5128" width="9.53125" bestFit="1" customWidth="1"/>
    <col min="5129" max="5129" width="15.46484375" customWidth="1"/>
    <col min="5130" max="5130" width="10.73046875" customWidth="1"/>
    <col min="5131" max="5131" width="10.796875" customWidth="1"/>
    <col min="5132" max="5132" width="9" customWidth="1"/>
    <col min="5133" max="5133" width="15" customWidth="1"/>
    <col min="5134" max="5134" width="8.265625" bestFit="1" customWidth="1"/>
    <col min="5135" max="5135" width="11.53125" customWidth="1"/>
    <col min="5136" max="5136" width="7" bestFit="1" customWidth="1"/>
    <col min="5137" max="5137" width="10" bestFit="1" customWidth="1"/>
    <col min="5138" max="5138" width="16.796875" customWidth="1"/>
    <col min="5139" max="5139" width="19.53125" customWidth="1"/>
    <col min="5140" max="5140" width="18.46484375" customWidth="1"/>
    <col min="5141" max="5141" width="20" bestFit="1" customWidth="1"/>
    <col min="5142" max="5142" width="20" customWidth="1"/>
    <col min="5144" max="5144" width="7.73046875" customWidth="1"/>
    <col min="5145" max="5145" width="11" bestFit="1" customWidth="1"/>
    <col min="5146" max="5146" width="13.53125" bestFit="1" customWidth="1"/>
    <col min="5147" max="5147" width="9.73046875" customWidth="1"/>
    <col min="5148" max="5148" width="12" customWidth="1"/>
    <col min="5149" max="5153" width="9" customWidth="1"/>
    <col min="5154" max="5154" width="13.796875" bestFit="1" customWidth="1"/>
    <col min="5155" max="5155" width="15.796875" bestFit="1" customWidth="1"/>
    <col min="5156" max="5156" width="15.796875" customWidth="1"/>
    <col min="5157" max="5157" width="19.53125" bestFit="1" customWidth="1"/>
    <col min="5158" max="5158" width="19" bestFit="1" customWidth="1"/>
    <col min="5159" max="5159" width="12.53125" customWidth="1"/>
    <col min="5378" max="5379" width="12.46484375" customWidth="1"/>
    <col min="5380" max="5380" width="10.53125" customWidth="1"/>
    <col min="5381" max="5381" width="12" customWidth="1"/>
    <col min="5382" max="5382" width="10.73046875" customWidth="1"/>
    <col min="5383" max="5383" width="11.46484375" customWidth="1"/>
    <col min="5384" max="5384" width="9.53125" bestFit="1" customWidth="1"/>
    <col min="5385" max="5385" width="15.46484375" customWidth="1"/>
    <col min="5386" max="5386" width="10.73046875" customWidth="1"/>
    <col min="5387" max="5387" width="10.796875" customWidth="1"/>
    <col min="5388" max="5388" width="9" customWidth="1"/>
    <col min="5389" max="5389" width="15" customWidth="1"/>
    <col min="5390" max="5390" width="8.265625" bestFit="1" customWidth="1"/>
    <col min="5391" max="5391" width="11.53125" customWidth="1"/>
    <col min="5392" max="5392" width="7" bestFit="1" customWidth="1"/>
    <col min="5393" max="5393" width="10" bestFit="1" customWidth="1"/>
    <col min="5394" max="5394" width="16.796875" customWidth="1"/>
    <col min="5395" max="5395" width="19.53125" customWidth="1"/>
    <col min="5396" max="5396" width="18.46484375" customWidth="1"/>
    <col min="5397" max="5397" width="20" bestFit="1" customWidth="1"/>
    <col min="5398" max="5398" width="20" customWidth="1"/>
    <col min="5400" max="5400" width="7.73046875" customWidth="1"/>
    <col min="5401" max="5401" width="11" bestFit="1" customWidth="1"/>
    <col min="5402" max="5402" width="13.53125" bestFit="1" customWidth="1"/>
    <col min="5403" max="5403" width="9.73046875" customWidth="1"/>
    <col min="5404" max="5404" width="12" customWidth="1"/>
    <col min="5405" max="5409" width="9" customWidth="1"/>
    <col min="5410" max="5410" width="13.796875" bestFit="1" customWidth="1"/>
    <col min="5411" max="5411" width="15.796875" bestFit="1" customWidth="1"/>
    <col min="5412" max="5412" width="15.796875" customWidth="1"/>
    <col min="5413" max="5413" width="19.53125" bestFit="1" customWidth="1"/>
    <col min="5414" max="5414" width="19" bestFit="1" customWidth="1"/>
    <col min="5415" max="5415" width="12.53125" customWidth="1"/>
    <col min="5634" max="5635" width="12.46484375" customWidth="1"/>
    <col min="5636" max="5636" width="10.53125" customWidth="1"/>
    <col min="5637" max="5637" width="12" customWidth="1"/>
    <col min="5638" max="5638" width="10.73046875" customWidth="1"/>
    <col min="5639" max="5639" width="11.46484375" customWidth="1"/>
    <col min="5640" max="5640" width="9.53125" bestFit="1" customWidth="1"/>
    <col min="5641" max="5641" width="15.46484375" customWidth="1"/>
    <col min="5642" max="5642" width="10.73046875" customWidth="1"/>
    <col min="5643" max="5643" width="10.796875" customWidth="1"/>
    <col min="5644" max="5644" width="9" customWidth="1"/>
    <col min="5645" max="5645" width="15" customWidth="1"/>
    <col min="5646" max="5646" width="8.265625" bestFit="1" customWidth="1"/>
    <col min="5647" max="5647" width="11.53125" customWidth="1"/>
    <col min="5648" max="5648" width="7" bestFit="1" customWidth="1"/>
    <col min="5649" max="5649" width="10" bestFit="1" customWidth="1"/>
    <col min="5650" max="5650" width="16.796875" customWidth="1"/>
    <col min="5651" max="5651" width="19.53125" customWidth="1"/>
    <col min="5652" max="5652" width="18.46484375" customWidth="1"/>
    <col min="5653" max="5653" width="20" bestFit="1" customWidth="1"/>
    <col min="5654" max="5654" width="20" customWidth="1"/>
    <col min="5656" max="5656" width="7.73046875" customWidth="1"/>
    <col min="5657" max="5657" width="11" bestFit="1" customWidth="1"/>
    <col min="5658" max="5658" width="13.53125" bestFit="1" customWidth="1"/>
    <col min="5659" max="5659" width="9.73046875" customWidth="1"/>
    <col min="5660" max="5660" width="12" customWidth="1"/>
    <col min="5661" max="5665" width="9" customWidth="1"/>
    <col min="5666" max="5666" width="13.796875" bestFit="1" customWidth="1"/>
    <col min="5667" max="5667" width="15.796875" bestFit="1" customWidth="1"/>
    <col min="5668" max="5668" width="15.796875" customWidth="1"/>
    <col min="5669" max="5669" width="19.53125" bestFit="1" customWidth="1"/>
    <col min="5670" max="5670" width="19" bestFit="1" customWidth="1"/>
    <col min="5671" max="5671" width="12.53125" customWidth="1"/>
    <col min="5890" max="5891" width="12.46484375" customWidth="1"/>
    <col min="5892" max="5892" width="10.53125" customWidth="1"/>
    <col min="5893" max="5893" width="12" customWidth="1"/>
    <col min="5894" max="5894" width="10.73046875" customWidth="1"/>
    <col min="5895" max="5895" width="11.46484375" customWidth="1"/>
    <col min="5896" max="5896" width="9.53125" bestFit="1" customWidth="1"/>
    <col min="5897" max="5897" width="15.46484375" customWidth="1"/>
    <col min="5898" max="5898" width="10.73046875" customWidth="1"/>
    <col min="5899" max="5899" width="10.796875" customWidth="1"/>
    <col min="5900" max="5900" width="9" customWidth="1"/>
    <col min="5901" max="5901" width="15" customWidth="1"/>
    <col min="5902" max="5902" width="8.265625" bestFit="1" customWidth="1"/>
    <col min="5903" max="5903" width="11.53125" customWidth="1"/>
    <col min="5904" max="5904" width="7" bestFit="1" customWidth="1"/>
    <col min="5905" max="5905" width="10" bestFit="1" customWidth="1"/>
    <col min="5906" max="5906" width="16.796875" customWidth="1"/>
    <col min="5907" max="5907" width="19.53125" customWidth="1"/>
    <col min="5908" max="5908" width="18.46484375" customWidth="1"/>
    <col min="5909" max="5909" width="20" bestFit="1" customWidth="1"/>
    <col min="5910" max="5910" width="20" customWidth="1"/>
    <col min="5912" max="5912" width="7.73046875" customWidth="1"/>
    <col min="5913" max="5913" width="11" bestFit="1" customWidth="1"/>
    <col min="5914" max="5914" width="13.53125" bestFit="1" customWidth="1"/>
    <col min="5915" max="5915" width="9.73046875" customWidth="1"/>
    <col min="5916" max="5916" width="12" customWidth="1"/>
    <col min="5917" max="5921" width="9" customWidth="1"/>
    <col min="5922" max="5922" width="13.796875" bestFit="1" customWidth="1"/>
    <col min="5923" max="5923" width="15.796875" bestFit="1" customWidth="1"/>
    <col min="5924" max="5924" width="15.796875" customWidth="1"/>
    <col min="5925" max="5925" width="19.53125" bestFit="1" customWidth="1"/>
    <col min="5926" max="5926" width="19" bestFit="1" customWidth="1"/>
    <col min="5927" max="5927" width="12.53125" customWidth="1"/>
    <col min="6146" max="6147" width="12.46484375" customWidth="1"/>
    <col min="6148" max="6148" width="10.53125" customWidth="1"/>
    <col min="6149" max="6149" width="12" customWidth="1"/>
    <col min="6150" max="6150" width="10.73046875" customWidth="1"/>
    <col min="6151" max="6151" width="11.46484375" customWidth="1"/>
    <col min="6152" max="6152" width="9.53125" bestFit="1" customWidth="1"/>
    <col min="6153" max="6153" width="15.46484375" customWidth="1"/>
    <col min="6154" max="6154" width="10.73046875" customWidth="1"/>
    <col min="6155" max="6155" width="10.796875" customWidth="1"/>
    <col min="6156" max="6156" width="9" customWidth="1"/>
    <col min="6157" max="6157" width="15" customWidth="1"/>
    <col min="6158" max="6158" width="8.265625" bestFit="1" customWidth="1"/>
    <col min="6159" max="6159" width="11.53125" customWidth="1"/>
    <col min="6160" max="6160" width="7" bestFit="1" customWidth="1"/>
    <col min="6161" max="6161" width="10" bestFit="1" customWidth="1"/>
    <col min="6162" max="6162" width="16.796875" customWidth="1"/>
    <col min="6163" max="6163" width="19.53125" customWidth="1"/>
    <col min="6164" max="6164" width="18.46484375" customWidth="1"/>
    <col min="6165" max="6165" width="20" bestFit="1" customWidth="1"/>
    <col min="6166" max="6166" width="20" customWidth="1"/>
    <col min="6168" max="6168" width="7.73046875" customWidth="1"/>
    <col min="6169" max="6169" width="11" bestFit="1" customWidth="1"/>
    <col min="6170" max="6170" width="13.53125" bestFit="1" customWidth="1"/>
    <col min="6171" max="6171" width="9.73046875" customWidth="1"/>
    <col min="6172" max="6172" width="12" customWidth="1"/>
    <col min="6173" max="6177" width="9" customWidth="1"/>
    <col min="6178" max="6178" width="13.796875" bestFit="1" customWidth="1"/>
    <col min="6179" max="6179" width="15.796875" bestFit="1" customWidth="1"/>
    <col min="6180" max="6180" width="15.796875" customWidth="1"/>
    <col min="6181" max="6181" width="19.53125" bestFit="1" customWidth="1"/>
    <col min="6182" max="6182" width="19" bestFit="1" customWidth="1"/>
    <col min="6183" max="6183" width="12.53125" customWidth="1"/>
    <col min="6402" max="6403" width="12.46484375" customWidth="1"/>
    <col min="6404" max="6404" width="10.53125" customWidth="1"/>
    <col min="6405" max="6405" width="12" customWidth="1"/>
    <col min="6406" max="6406" width="10.73046875" customWidth="1"/>
    <col min="6407" max="6407" width="11.46484375" customWidth="1"/>
    <col min="6408" max="6408" width="9.53125" bestFit="1" customWidth="1"/>
    <col min="6409" max="6409" width="15.46484375" customWidth="1"/>
    <col min="6410" max="6410" width="10.73046875" customWidth="1"/>
    <col min="6411" max="6411" width="10.796875" customWidth="1"/>
    <col min="6412" max="6412" width="9" customWidth="1"/>
    <col min="6413" max="6413" width="15" customWidth="1"/>
    <col min="6414" max="6414" width="8.265625" bestFit="1" customWidth="1"/>
    <col min="6415" max="6415" width="11.53125" customWidth="1"/>
    <col min="6416" max="6416" width="7" bestFit="1" customWidth="1"/>
    <col min="6417" max="6417" width="10" bestFit="1" customWidth="1"/>
    <col min="6418" max="6418" width="16.796875" customWidth="1"/>
    <col min="6419" max="6419" width="19.53125" customWidth="1"/>
    <col min="6420" max="6420" width="18.46484375" customWidth="1"/>
    <col min="6421" max="6421" width="20" bestFit="1" customWidth="1"/>
    <col min="6422" max="6422" width="20" customWidth="1"/>
    <col min="6424" max="6424" width="7.73046875" customWidth="1"/>
    <col min="6425" max="6425" width="11" bestFit="1" customWidth="1"/>
    <col min="6426" max="6426" width="13.53125" bestFit="1" customWidth="1"/>
    <col min="6427" max="6427" width="9.73046875" customWidth="1"/>
    <col min="6428" max="6428" width="12" customWidth="1"/>
    <col min="6429" max="6433" width="9" customWidth="1"/>
    <col min="6434" max="6434" width="13.796875" bestFit="1" customWidth="1"/>
    <col min="6435" max="6435" width="15.796875" bestFit="1" customWidth="1"/>
    <col min="6436" max="6436" width="15.796875" customWidth="1"/>
    <col min="6437" max="6437" width="19.53125" bestFit="1" customWidth="1"/>
    <col min="6438" max="6438" width="19" bestFit="1" customWidth="1"/>
    <col min="6439" max="6439" width="12.53125" customWidth="1"/>
    <col min="6658" max="6659" width="12.46484375" customWidth="1"/>
    <col min="6660" max="6660" width="10.53125" customWidth="1"/>
    <col min="6661" max="6661" width="12" customWidth="1"/>
    <col min="6662" max="6662" width="10.73046875" customWidth="1"/>
    <col min="6663" max="6663" width="11.46484375" customWidth="1"/>
    <col min="6664" max="6664" width="9.53125" bestFit="1" customWidth="1"/>
    <col min="6665" max="6665" width="15.46484375" customWidth="1"/>
    <col min="6666" max="6666" width="10.73046875" customWidth="1"/>
    <col min="6667" max="6667" width="10.796875" customWidth="1"/>
    <col min="6668" max="6668" width="9" customWidth="1"/>
    <col min="6669" max="6669" width="15" customWidth="1"/>
    <col min="6670" max="6670" width="8.265625" bestFit="1" customWidth="1"/>
    <col min="6671" max="6671" width="11.53125" customWidth="1"/>
    <col min="6672" max="6672" width="7" bestFit="1" customWidth="1"/>
    <col min="6673" max="6673" width="10" bestFit="1" customWidth="1"/>
    <col min="6674" max="6674" width="16.796875" customWidth="1"/>
    <col min="6675" max="6675" width="19.53125" customWidth="1"/>
    <col min="6676" max="6676" width="18.46484375" customWidth="1"/>
    <col min="6677" max="6677" width="20" bestFit="1" customWidth="1"/>
    <col min="6678" max="6678" width="20" customWidth="1"/>
    <col min="6680" max="6680" width="7.73046875" customWidth="1"/>
    <col min="6681" max="6681" width="11" bestFit="1" customWidth="1"/>
    <col min="6682" max="6682" width="13.53125" bestFit="1" customWidth="1"/>
    <col min="6683" max="6683" width="9.73046875" customWidth="1"/>
    <col min="6684" max="6684" width="12" customWidth="1"/>
    <col min="6685" max="6689" width="9" customWidth="1"/>
    <col min="6690" max="6690" width="13.796875" bestFit="1" customWidth="1"/>
    <col min="6691" max="6691" width="15.796875" bestFit="1" customWidth="1"/>
    <col min="6692" max="6692" width="15.796875" customWidth="1"/>
    <col min="6693" max="6693" width="19.53125" bestFit="1" customWidth="1"/>
    <col min="6694" max="6694" width="19" bestFit="1" customWidth="1"/>
    <col min="6695" max="6695" width="12.53125" customWidth="1"/>
    <col min="6914" max="6915" width="12.46484375" customWidth="1"/>
    <col min="6916" max="6916" width="10.53125" customWidth="1"/>
    <col min="6917" max="6917" width="12" customWidth="1"/>
    <col min="6918" max="6918" width="10.73046875" customWidth="1"/>
    <col min="6919" max="6919" width="11.46484375" customWidth="1"/>
    <col min="6920" max="6920" width="9.53125" bestFit="1" customWidth="1"/>
    <col min="6921" max="6921" width="15.46484375" customWidth="1"/>
    <col min="6922" max="6922" width="10.73046875" customWidth="1"/>
    <col min="6923" max="6923" width="10.796875" customWidth="1"/>
    <col min="6924" max="6924" width="9" customWidth="1"/>
    <col min="6925" max="6925" width="15" customWidth="1"/>
    <col min="6926" max="6926" width="8.265625" bestFit="1" customWidth="1"/>
    <col min="6927" max="6927" width="11.53125" customWidth="1"/>
    <col min="6928" max="6928" width="7" bestFit="1" customWidth="1"/>
    <col min="6929" max="6929" width="10" bestFit="1" customWidth="1"/>
    <col min="6930" max="6930" width="16.796875" customWidth="1"/>
    <col min="6931" max="6931" width="19.53125" customWidth="1"/>
    <col min="6932" max="6932" width="18.46484375" customWidth="1"/>
    <col min="6933" max="6933" width="20" bestFit="1" customWidth="1"/>
    <col min="6934" max="6934" width="20" customWidth="1"/>
    <col min="6936" max="6936" width="7.73046875" customWidth="1"/>
    <col min="6937" max="6937" width="11" bestFit="1" customWidth="1"/>
    <col min="6938" max="6938" width="13.53125" bestFit="1" customWidth="1"/>
    <col min="6939" max="6939" width="9.73046875" customWidth="1"/>
    <col min="6940" max="6940" width="12" customWidth="1"/>
    <col min="6941" max="6945" width="9" customWidth="1"/>
    <col min="6946" max="6946" width="13.796875" bestFit="1" customWidth="1"/>
    <col min="6947" max="6947" width="15.796875" bestFit="1" customWidth="1"/>
    <col min="6948" max="6948" width="15.796875" customWidth="1"/>
    <col min="6949" max="6949" width="19.53125" bestFit="1" customWidth="1"/>
    <col min="6950" max="6950" width="19" bestFit="1" customWidth="1"/>
    <col min="6951" max="6951" width="12.53125" customWidth="1"/>
    <col min="7170" max="7171" width="12.46484375" customWidth="1"/>
    <col min="7172" max="7172" width="10.53125" customWidth="1"/>
    <col min="7173" max="7173" width="12" customWidth="1"/>
    <col min="7174" max="7174" width="10.73046875" customWidth="1"/>
    <col min="7175" max="7175" width="11.46484375" customWidth="1"/>
    <col min="7176" max="7176" width="9.53125" bestFit="1" customWidth="1"/>
    <col min="7177" max="7177" width="15.46484375" customWidth="1"/>
    <col min="7178" max="7178" width="10.73046875" customWidth="1"/>
    <col min="7179" max="7179" width="10.796875" customWidth="1"/>
    <col min="7180" max="7180" width="9" customWidth="1"/>
    <col min="7181" max="7181" width="15" customWidth="1"/>
    <col min="7182" max="7182" width="8.265625" bestFit="1" customWidth="1"/>
    <col min="7183" max="7183" width="11.53125" customWidth="1"/>
    <col min="7184" max="7184" width="7" bestFit="1" customWidth="1"/>
    <col min="7185" max="7185" width="10" bestFit="1" customWidth="1"/>
    <col min="7186" max="7186" width="16.796875" customWidth="1"/>
    <col min="7187" max="7187" width="19.53125" customWidth="1"/>
    <col min="7188" max="7188" width="18.46484375" customWidth="1"/>
    <col min="7189" max="7189" width="20" bestFit="1" customWidth="1"/>
    <col min="7190" max="7190" width="20" customWidth="1"/>
    <col min="7192" max="7192" width="7.73046875" customWidth="1"/>
    <col min="7193" max="7193" width="11" bestFit="1" customWidth="1"/>
    <col min="7194" max="7194" width="13.53125" bestFit="1" customWidth="1"/>
    <col min="7195" max="7195" width="9.73046875" customWidth="1"/>
    <col min="7196" max="7196" width="12" customWidth="1"/>
    <col min="7197" max="7201" width="9" customWidth="1"/>
    <col min="7202" max="7202" width="13.796875" bestFit="1" customWidth="1"/>
    <col min="7203" max="7203" width="15.796875" bestFit="1" customWidth="1"/>
    <col min="7204" max="7204" width="15.796875" customWidth="1"/>
    <col min="7205" max="7205" width="19.53125" bestFit="1" customWidth="1"/>
    <col min="7206" max="7206" width="19" bestFit="1" customWidth="1"/>
    <col min="7207" max="7207" width="12.53125" customWidth="1"/>
    <col min="7426" max="7427" width="12.46484375" customWidth="1"/>
    <col min="7428" max="7428" width="10.53125" customWidth="1"/>
    <col min="7429" max="7429" width="12" customWidth="1"/>
    <col min="7430" max="7430" width="10.73046875" customWidth="1"/>
    <col min="7431" max="7431" width="11.46484375" customWidth="1"/>
    <col min="7432" max="7432" width="9.53125" bestFit="1" customWidth="1"/>
    <col min="7433" max="7433" width="15.46484375" customWidth="1"/>
    <col min="7434" max="7434" width="10.73046875" customWidth="1"/>
    <col min="7435" max="7435" width="10.796875" customWidth="1"/>
    <col min="7436" max="7436" width="9" customWidth="1"/>
    <col min="7437" max="7437" width="15" customWidth="1"/>
    <col min="7438" max="7438" width="8.265625" bestFit="1" customWidth="1"/>
    <col min="7439" max="7439" width="11.53125" customWidth="1"/>
    <col min="7440" max="7440" width="7" bestFit="1" customWidth="1"/>
    <col min="7441" max="7441" width="10" bestFit="1" customWidth="1"/>
    <col min="7442" max="7442" width="16.796875" customWidth="1"/>
    <col min="7443" max="7443" width="19.53125" customWidth="1"/>
    <col min="7444" max="7444" width="18.46484375" customWidth="1"/>
    <col min="7445" max="7445" width="20" bestFit="1" customWidth="1"/>
    <col min="7446" max="7446" width="20" customWidth="1"/>
    <col min="7448" max="7448" width="7.73046875" customWidth="1"/>
    <col min="7449" max="7449" width="11" bestFit="1" customWidth="1"/>
    <col min="7450" max="7450" width="13.53125" bestFit="1" customWidth="1"/>
    <col min="7451" max="7451" width="9.73046875" customWidth="1"/>
    <col min="7452" max="7452" width="12" customWidth="1"/>
    <col min="7453" max="7457" width="9" customWidth="1"/>
    <col min="7458" max="7458" width="13.796875" bestFit="1" customWidth="1"/>
    <col min="7459" max="7459" width="15.796875" bestFit="1" customWidth="1"/>
    <col min="7460" max="7460" width="15.796875" customWidth="1"/>
    <col min="7461" max="7461" width="19.53125" bestFit="1" customWidth="1"/>
    <col min="7462" max="7462" width="19" bestFit="1" customWidth="1"/>
    <col min="7463" max="7463" width="12.53125" customWidth="1"/>
    <col min="7682" max="7683" width="12.46484375" customWidth="1"/>
    <col min="7684" max="7684" width="10.53125" customWidth="1"/>
    <col min="7685" max="7685" width="12" customWidth="1"/>
    <col min="7686" max="7686" width="10.73046875" customWidth="1"/>
    <col min="7687" max="7687" width="11.46484375" customWidth="1"/>
    <col min="7688" max="7688" width="9.53125" bestFit="1" customWidth="1"/>
    <col min="7689" max="7689" width="15.46484375" customWidth="1"/>
    <col min="7690" max="7690" width="10.73046875" customWidth="1"/>
    <col min="7691" max="7691" width="10.796875" customWidth="1"/>
    <col min="7692" max="7692" width="9" customWidth="1"/>
    <col min="7693" max="7693" width="15" customWidth="1"/>
    <col min="7694" max="7694" width="8.265625" bestFit="1" customWidth="1"/>
    <col min="7695" max="7695" width="11.53125" customWidth="1"/>
    <col min="7696" max="7696" width="7" bestFit="1" customWidth="1"/>
    <col min="7697" max="7697" width="10" bestFit="1" customWidth="1"/>
    <col min="7698" max="7698" width="16.796875" customWidth="1"/>
    <col min="7699" max="7699" width="19.53125" customWidth="1"/>
    <col min="7700" max="7700" width="18.46484375" customWidth="1"/>
    <col min="7701" max="7701" width="20" bestFit="1" customWidth="1"/>
    <col min="7702" max="7702" width="20" customWidth="1"/>
    <col min="7704" max="7704" width="7.73046875" customWidth="1"/>
    <col min="7705" max="7705" width="11" bestFit="1" customWidth="1"/>
    <col min="7706" max="7706" width="13.53125" bestFit="1" customWidth="1"/>
    <col min="7707" max="7707" width="9.73046875" customWidth="1"/>
    <col min="7708" max="7708" width="12" customWidth="1"/>
    <col min="7709" max="7713" width="9" customWidth="1"/>
    <col min="7714" max="7714" width="13.796875" bestFit="1" customWidth="1"/>
    <col min="7715" max="7715" width="15.796875" bestFit="1" customWidth="1"/>
    <col min="7716" max="7716" width="15.796875" customWidth="1"/>
    <col min="7717" max="7717" width="19.53125" bestFit="1" customWidth="1"/>
    <col min="7718" max="7718" width="19" bestFit="1" customWidth="1"/>
    <col min="7719" max="7719" width="12.53125" customWidth="1"/>
    <col min="7938" max="7939" width="12.46484375" customWidth="1"/>
    <col min="7940" max="7940" width="10.53125" customWidth="1"/>
    <col min="7941" max="7941" width="12" customWidth="1"/>
    <col min="7942" max="7942" width="10.73046875" customWidth="1"/>
    <col min="7943" max="7943" width="11.46484375" customWidth="1"/>
    <col min="7944" max="7944" width="9.53125" bestFit="1" customWidth="1"/>
    <col min="7945" max="7945" width="15.46484375" customWidth="1"/>
    <col min="7946" max="7946" width="10.73046875" customWidth="1"/>
    <col min="7947" max="7947" width="10.796875" customWidth="1"/>
    <col min="7948" max="7948" width="9" customWidth="1"/>
    <col min="7949" max="7949" width="15" customWidth="1"/>
    <col min="7950" max="7950" width="8.265625" bestFit="1" customWidth="1"/>
    <col min="7951" max="7951" width="11.53125" customWidth="1"/>
    <col min="7952" max="7952" width="7" bestFit="1" customWidth="1"/>
    <col min="7953" max="7953" width="10" bestFit="1" customWidth="1"/>
    <col min="7954" max="7954" width="16.796875" customWidth="1"/>
    <col min="7955" max="7955" width="19.53125" customWidth="1"/>
    <col min="7956" max="7956" width="18.46484375" customWidth="1"/>
    <col min="7957" max="7957" width="20" bestFit="1" customWidth="1"/>
    <col min="7958" max="7958" width="20" customWidth="1"/>
    <col min="7960" max="7960" width="7.73046875" customWidth="1"/>
    <col min="7961" max="7961" width="11" bestFit="1" customWidth="1"/>
    <col min="7962" max="7962" width="13.53125" bestFit="1" customWidth="1"/>
    <col min="7963" max="7963" width="9.73046875" customWidth="1"/>
    <col min="7964" max="7964" width="12" customWidth="1"/>
    <col min="7965" max="7969" width="9" customWidth="1"/>
    <col min="7970" max="7970" width="13.796875" bestFit="1" customWidth="1"/>
    <col min="7971" max="7971" width="15.796875" bestFit="1" customWidth="1"/>
    <col min="7972" max="7972" width="15.796875" customWidth="1"/>
    <col min="7973" max="7973" width="19.53125" bestFit="1" customWidth="1"/>
    <col min="7974" max="7974" width="19" bestFit="1" customWidth="1"/>
    <col min="7975" max="7975" width="12.53125" customWidth="1"/>
    <col min="8194" max="8195" width="12.46484375" customWidth="1"/>
    <col min="8196" max="8196" width="10.53125" customWidth="1"/>
    <col min="8197" max="8197" width="12" customWidth="1"/>
    <col min="8198" max="8198" width="10.73046875" customWidth="1"/>
    <col min="8199" max="8199" width="11.46484375" customWidth="1"/>
    <col min="8200" max="8200" width="9.53125" bestFit="1" customWidth="1"/>
    <col min="8201" max="8201" width="15.46484375" customWidth="1"/>
    <col min="8202" max="8202" width="10.73046875" customWidth="1"/>
    <col min="8203" max="8203" width="10.796875" customWidth="1"/>
    <col min="8204" max="8204" width="9" customWidth="1"/>
    <col min="8205" max="8205" width="15" customWidth="1"/>
    <col min="8206" max="8206" width="8.265625" bestFit="1" customWidth="1"/>
    <col min="8207" max="8207" width="11.53125" customWidth="1"/>
    <col min="8208" max="8208" width="7" bestFit="1" customWidth="1"/>
    <col min="8209" max="8209" width="10" bestFit="1" customWidth="1"/>
    <col min="8210" max="8210" width="16.796875" customWidth="1"/>
    <col min="8211" max="8211" width="19.53125" customWidth="1"/>
    <col min="8212" max="8212" width="18.46484375" customWidth="1"/>
    <col min="8213" max="8213" width="20" bestFit="1" customWidth="1"/>
    <col min="8214" max="8214" width="20" customWidth="1"/>
    <col min="8216" max="8216" width="7.73046875" customWidth="1"/>
    <col min="8217" max="8217" width="11" bestFit="1" customWidth="1"/>
    <col min="8218" max="8218" width="13.53125" bestFit="1" customWidth="1"/>
    <col min="8219" max="8219" width="9.73046875" customWidth="1"/>
    <col min="8220" max="8220" width="12" customWidth="1"/>
    <col min="8221" max="8225" width="9" customWidth="1"/>
    <col min="8226" max="8226" width="13.796875" bestFit="1" customWidth="1"/>
    <col min="8227" max="8227" width="15.796875" bestFit="1" customWidth="1"/>
    <col min="8228" max="8228" width="15.796875" customWidth="1"/>
    <col min="8229" max="8229" width="19.53125" bestFit="1" customWidth="1"/>
    <col min="8230" max="8230" width="19" bestFit="1" customWidth="1"/>
    <col min="8231" max="8231" width="12.53125" customWidth="1"/>
    <col min="8450" max="8451" width="12.46484375" customWidth="1"/>
    <col min="8452" max="8452" width="10.53125" customWidth="1"/>
    <col min="8453" max="8453" width="12" customWidth="1"/>
    <col min="8454" max="8454" width="10.73046875" customWidth="1"/>
    <col min="8455" max="8455" width="11.46484375" customWidth="1"/>
    <col min="8456" max="8456" width="9.53125" bestFit="1" customWidth="1"/>
    <col min="8457" max="8457" width="15.46484375" customWidth="1"/>
    <col min="8458" max="8458" width="10.73046875" customWidth="1"/>
    <col min="8459" max="8459" width="10.796875" customWidth="1"/>
    <col min="8460" max="8460" width="9" customWidth="1"/>
    <col min="8461" max="8461" width="15" customWidth="1"/>
    <col min="8462" max="8462" width="8.265625" bestFit="1" customWidth="1"/>
    <col min="8463" max="8463" width="11.53125" customWidth="1"/>
    <col min="8464" max="8464" width="7" bestFit="1" customWidth="1"/>
    <col min="8465" max="8465" width="10" bestFit="1" customWidth="1"/>
    <col min="8466" max="8466" width="16.796875" customWidth="1"/>
    <col min="8467" max="8467" width="19.53125" customWidth="1"/>
    <col min="8468" max="8468" width="18.46484375" customWidth="1"/>
    <col min="8469" max="8469" width="20" bestFit="1" customWidth="1"/>
    <col min="8470" max="8470" width="20" customWidth="1"/>
    <col min="8472" max="8472" width="7.73046875" customWidth="1"/>
    <col min="8473" max="8473" width="11" bestFit="1" customWidth="1"/>
    <col min="8474" max="8474" width="13.53125" bestFit="1" customWidth="1"/>
    <col min="8475" max="8475" width="9.73046875" customWidth="1"/>
    <col min="8476" max="8476" width="12" customWidth="1"/>
    <col min="8477" max="8481" width="9" customWidth="1"/>
    <col min="8482" max="8482" width="13.796875" bestFit="1" customWidth="1"/>
    <col min="8483" max="8483" width="15.796875" bestFit="1" customWidth="1"/>
    <col min="8484" max="8484" width="15.796875" customWidth="1"/>
    <col min="8485" max="8485" width="19.53125" bestFit="1" customWidth="1"/>
    <col min="8486" max="8486" width="19" bestFit="1" customWidth="1"/>
    <col min="8487" max="8487" width="12.53125" customWidth="1"/>
    <col min="8706" max="8707" width="12.46484375" customWidth="1"/>
    <col min="8708" max="8708" width="10.53125" customWidth="1"/>
    <col min="8709" max="8709" width="12" customWidth="1"/>
    <col min="8710" max="8710" width="10.73046875" customWidth="1"/>
    <col min="8711" max="8711" width="11.46484375" customWidth="1"/>
    <col min="8712" max="8712" width="9.53125" bestFit="1" customWidth="1"/>
    <col min="8713" max="8713" width="15.46484375" customWidth="1"/>
    <col min="8714" max="8714" width="10.73046875" customWidth="1"/>
    <col min="8715" max="8715" width="10.796875" customWidth="1"/>
    <col min="8716" max="8716" width="9" customWidth="1"/>
    <col min="8717" max="8717" width="15" customWidth="1"/>
    <col min="8718" max="8718" width="8.265625" bestFit="1" customWidth="1"/>
    <col min="8719" max="8719" width="11.53125" customWidth="1"/>
    <col min="8720" max="8720" width="7" bestFit="1" customWidth="1"/>
    <col min="8721" max="8721" width="10" bestFit="1" customWidth="1"/>
    <col min="8722" max="8722" width="16.796875" customWidth="1"/>
    <col min="8723" max="8723" width="19.53125" customWidth="1"/>
    <col min="8724" max="8724" width="18.46484375" customWidth="1"/>
    <col min="8725" max="8725" width="20" bestFit="1" customWidth="1"/>
    <col min="8726" max="8726" width="20" customWidth="1"/>
    <col min="8728" max="8728" width="7.73046875" customWidth="1"/>
    <col min="8729" max="8729" width="11" bestFit="1" customWidth="1"/>
    <col min="8730" max="8730" width="13.53125" bestFit="1" customWidth="1"/>
    <col min="8731" max="8731" width="9.73046875" customWidth="1"/>
    <col min="8732" max="8732" width="12" customWidth="1"/>
    <col min="8733" max="8737" width="9" customWidth="1"/>
    <col min="8738" max="8738" width="13.796875" bestFit="1" customWidth="1"/>
    <col min="8739" max="8739" width="15.796875" bestFit="1" customWidth="1"/>
    <col min="8740" max="8740" width="15.796875" customWidth="1"/>
    <col min="8741" max="8741" width="19.53125" bestFit="1" customWidth="1"/>
    <col min="8742" max="8742" width="19" bestFit="1" customWidth="1"/>
    <col min="8743" max="8743" width="12.53125" customWidth="1"/>
    <col min="8962" max="8963" width="12.46484375" customWidth="1"/>
    <col min="8964" max="8964" width="10.53125" customWidth="1"/>
    <col min="8965" max="8965" width="12" customWidth="1"/>
    <col min="8966" max="8966" width="10.73046875" customWidth="1"/>
    <col min="8967" max="8967" width="11.46484375" customWidth="1"/>
    <col min="8968" max="8968" width="9.53125" bestFit="1" customWidth="1"/>
    <col min="8969" max="8969" width="15.46484375" customWidth="1"/>
    <col min="8970" max="8970" width="10.73046875" customWidth="1"/>
    <col min="8971" max="8971" width="10.796875" customWidth="1"/>
    <col min="8972" max="8972" width="9" customWidth="1"/>
    <col min="8973" max="8973" width="15" customWidth="1"/>
    <col min="8974" max="8974" width="8.265625" bestFit="1" customWidth="1"/>
    <col min="8975" max="8975" width="11.53125" customWidth="1"/>
    <col min="8976" max="8976" width="7" bestFit="1" customWidth="1"/>
    <col min="8977" max="8977" width="10" bestFit="1" customWidth="1"/>
    <col min="8978" max="8978" width="16.796875" customWidth="1"/>
    <col min="8979" max="8979" width="19.53125" customWidth="1"/>
    <col min="8980" max="8980" width="18.46484375" customWidth="1"/>
    <col min="8981" max="8981" width="20" bestFit="1" customWidth="1"/>
    <col min="8982" max="8982" width="20" customWidth="1"/>
    <col min="8984" max="8984" width="7.73046875" customWidth="1"/>
    <col min="8985" max="8985" width="11" bestFit="1" customWidth="1"/>
    <col min="8986" max="8986" width="13.53125" bestFit="1" customWidth="1"/>
    <col min="8987" max="8987" width="9.73046875" customWidth="1"/>
    <col min="8988" max="8988" width="12" customWidth="1"/>
    <col min="8989" max="8993" width="9" customWidth="1"/>
    <col min="8994" max="8994" width="13.796875" bestFit="1" customWidth="1"/>
    <col min="8995" max="8995" width="15.796875" bestFit="1" customWidth="1"/>
    <col min="8996" max="8996" width="15.796875" customWidth="1"/>
    <col min="8997" max="8997" width="19.53125" bestFit="1" customWidth="1"/>
    <col min="8998" max="8998" width="19" bestFit="1" customWidth="1"/>
    <col min="8999" max="8999" width="12.53125" customWidth="1"/>
    <col min="9218" max="9219" width="12.46484375" customWidth="1"/>
    <col min="9220" max="9220" width="10.53125" customWidth="1"/>
    <col min="9221" max="9221" width="12" customWidth="1"/>
    <col min="9222" max="9222" width="10.73046875" customWidth="1"/>
    <col min="9223" max="9223" width="11.46484375" customWidth="1"/>
    <col min="9224" max="9224" width="9.53125" bestFit="1" customWidth="1"/>
    <col min="9225" max="9225" width="15.46484375" customWidth="1"/>
    <col min="9226" max="9226" width="10.73046875" customWidth="1"/>
    <col min="9227" max="9227" width="10.796875" customWidth="1"/>
    <col min="9228" max="9228" width="9" customWidth="1"/>
    <col min="9229" max="9229" width="15" customWidth="1"/>
    <col min="9230" max="9230" width="8.265625" bestFit="1" customWidth="1"/>
    <col min="9231" max="9231" width="11.53125" customWidth="1"/>
    <col min="9232" max="9232" width="7" bestFit="1" customWidth="1"/>
    <col min="9233" max="9233" width="10" bestFit="1" customWidth="1"/>
    <col min="9234" max="9234" width="16.796875" customWidth="1"/>
    <col min="9235" max="9235" width="19.53125" customWidth="1"/>
    <col min="9236" max="9236" width="18.46484375" customWidth="1"/>
    <col min="9237" max="9237" width="20" bestFit="1" customWidth="1"/>
    <col min="9238" max="9238" width="20" customWidth="1"/>
    <col min="9240" max="9240" width="7.73046875" customWidth="1"/>
    <col min="9241" max="9241" width="11" bestFit="1" customWidth="1"/>
    <col min="9242" max="9242" width="13.53125" bestFit="1" customWidth="1"/>
    <col min="9243" max="9243" width="9.73046875" customWidth="1"/>
    <col min="9244" max="9244" width="12" customWidth="1"/>
    <col min="9245" max="9249" width="9" customWidth="1"/>
    <col min="9250" max="9250" width="13.796875" bestFit="1" customWidth="1"/>
    <col min="9251" max="9251" width="15.796875" bestFit="1" customWidth="1"/>
    <col min="9252" max="9252" width="15.796875" customWidth="1"/>
    <col min="9253" max="9253" width="19.53125" bestFit="1" customWidth="1"/>
    <col min="9254" max="9254" width="19" bestFit="1" customWidth="1"/>
    <col min="9255" max="9255" width="12.53125" customWidth="1"/>
    <col min="9474" max="9475" width="12.46484375" customWidth="1"/>
    <col min="9476" max="9476" width="10.53125" customWidth="1"/>
    <col min="9477" max="9477" width="12" customWidth="1"/>
    <col min="9478" max="9478" width="10.73046875" customWidth="1"/>
    <col min="9479" max="9479" width="11.46484375" customWidth="1"/>
    <col min="9480" max="9480" width="9.53125" bestFit="1" customWidth="1"/>
    <col min="9481" max="9481" width="15.46484375" customWidth="1"/>
    <col min="9482" max="9482" width="10.73046875" customWidth="1"/>
    <col min="9483" max="9483" width="10.796875" customWidth="1"/>
    <col min="9484" max="9484" width="9" customWidth="1"/>
    <col min="9485" max="9485" width="15" customWidth="1"/>
    <col min="9486" max="9486" width="8.265625" bestFit="1" customWidth="1"/>
    <col min="9487" max="9487" width="11.53125" customWidth="1"/>
    <col min="9488" max="9488" width="7" bestFit="1" customWidth="1"/>
    <col min="9489" max="9489" width="10" bestFit="1" customWidth="1"/>
    <col min="9490" max="9490" width="16.796875" customWidth="1"/>
    <col min="9491" max="9491" width="19.53125" customWidth="1"/>
    <col min="9492" max="9492" width="18.46484375" customWidth="1"/>
    <col min="9493" max="9493" width="20" bestFit="1" customWidth="1"/>
    <col min="9494" max="9494" width="20" customWidth="1"/>
    <col min="9496" max="9496" width="7.73046875" customWidth="1"/>
    <col min="9497" max="9497" width="11" bestFit="1" customWidth="1"/>
    <col min="9498" max="9498" width="13.53125" bestFit="1" customWidth="1"/>
    <col min="9499" max="9499" width="9.73046875" customWidth="1"/>
    <col min="9500" max="9500" width="12" customWidth="1"/>
    <col min="9501" max="9505" width="9" customWidth="1"/>
    <col min="9506" max="9506" width="13.796875" bestFit="1" customWidth="1"/>
    <col min="9507" max="9507" width="15.796875" bestFit="1" customWidth="1"/>
    <col min="9508" max="9508" width="15.796875" customWidth="1"/>
    <col min="9509" max="9509" width="19.53125" bestFit="1" customWidth="1"/>
    <col min="9510" max="9510" width="19" bestFit="1" customWidth="1"/>
    <col min="9511" max="9511" width="12.53125" customWidth="1"/>
    <col min="9730" max="9731" width="12.46484375" customWidth="1"/>
    <col min="9732" max="9732" width="10.53125" customWidth="1"/>
    <col min="9733" max="9733" width="12" customWidth="1"/>
    <col min="9734" max="9734" width="10.73046875" customWidth="1"/>
    <col min="9735" max="9735" width="11.46484375" customWidth="1"/>
    <col min="9736" max="9736" width="9.53125" bestFit="1" customWidth="1"/>
    <col min="9737" max="9737" width="15.46484375" customWidth="1"/>
    <col min="9738" max="9738" width="10.73046875" customWidth="1"/>
    <col min="9739" max="9739" width="10.796875" customWidth="1"/>
    <col min="9740" max="9740" width="9" customWidth="1"/>
    <col min="9741" max="9741" width="15" customWidth="1"/>
    <col min="9742" max="9742" width="8.265625" bestFit="1" customWidth="1"/>
    <col min="9743" max="9743" width="11.53125" customWidth="1"/>
    <col min="9744" max="9744" width="7" bestFit="1" customWidth="1"/>
    <col min="9745" max="9745" width="10" bestFit="1" customWidth="1"/>
    <col min="9746" max="9746" width="16.796875" customWidth="1"/>
    <col min="9747" max="9747" width="19.53125" customWidth="1"/>
    <col min="9748" max="9748" width="18.46484375" customWidth="1"/>
    <col min="9749" max="9749" width="20" bestFit="1" customWidth="1"/>
    <col min="9750" max="9750" width="20" customWidth="1"/>
    <col min="9752" max="9752" width="7.73046875" customWidth="1"/>
    <col min="9753" max="9753" width="11" bestFit="1" customWidth="1"/>
    <col min="9754" max="9754" width="13.53125" bestFit="1" customWidth="1"/>
    <col min="9755" max="9755" width="9.73046875" customWidth="1"/>
    <col min="9756" max="9756" width="12" customWidth="1"/>
    <col min="9757" max="9761" width="9" customWidth="1"/>
    <col min="9762" max="9762" width="13.796875" bestFit="1" customWidth="1"/>
    <col min="9763" max="9763" width="15.796875" bestFit="1" customWidth="1"/>
    <col min="9764" max="9764" width="15.796875" customWidth="1"/>
    <col min="9765" max="9765" width="19.53125" bestFit="1" customWidth="1"/>
    <col min="9766" max="9766" width="19" bestFit="1" customWidth="1"/>
    <col min="9767" max="9767" width="12.53125" customWidth="1"/>
    <col min="9986" max="9987" width="12.46484375" customWidth="1"/>
    <col min="9988" max="9988" width="10.53125" customWidth="1"/>
    <col min="9989" max="9989" width="12" customWidth="1"/>
    <col min="9990" max="9990" width="10.73046875" customWidth="1"/>
    <col min="9991" max="9991" width="11.46484375" customWidth="1"/>
    <col min="9992" max="9992" width="9.53125" bestFit="1" customWidth="1"/>
    <col min="9993" max="9993" width="15.46484375" customWidth="1"/>
    <col min="9994" max="9994" width="10.73046875" customWidth="1"/>
    <col min="9995" max="9995" width="10.796875" customWidth="1"/>
    <col min="9996" max="9996" width="9" customWidth="1"/>
    <col min="9997" max="9997" width="15" customWidth="1"/>
    <col min="9998" max="9998" width="8.265625" bestFit="1" customWidth="1"/>
    <col min="9999" max="9999" width="11.53125" customWidth="1"/>
    <col min="10000" max="10000" width="7" bestFit="1" customWidth="1"/>
    <col min="10001" max="10001" width="10" bestFit="1" customWidth="1"/>
    <col min="10002" max="10002" width="16.796875" customWidth="1"/>
    <col min="10003" max="10003" width="19.53125" customWidth="1"/>
    <col min="10004" max="10004" width="18.46484375" customWidth="1"/>
    <col min="10005" max="10005" width="20" bestFit="1" customWidth="1"/>
    <col min="10006" max="10006" width="20" customWidth="1"/>
    <col min="10008" max="10008" width="7.73046875" customWidth="1"/>
    <col min="10009" max="10009" width="11" bestFit="1" customWidth="1"/>
    <col min="10010" max="10010" width="13.53125" bestFit="1" customWidth="1"/>
    <col min="10011" max="10011" width="9.73046875" customWidth="1"/>
    <col min="10012" max="10012" width="12" customWidth="1"/>
    <col min="10013" max="10017" width="9" customWidth="1"/>
    <col min="10018" max="10018" width="13.796875" bestFit="1" customWidth="1"/>
    <col min="10019" max="10019" width="15.796875" bestFit="1" customWidth="1"/>
    <col min="10020" max="10020" width="15.796875" customWidth="1"/>
    <col min="10021" max="10021" width="19.53125" bestFit="1" customWidth="1"/>
    <col min="10022" max="10022" width="19" bestFit="1" customWidth="1"/>
    <col min="10023" max="10023" width="12.53125" customWidth="1"/>
    <col min="10242" max="10243" width="12.46484375" customWidth="1"/>
    <col min="10244" max="10244" width="10.53125" customWidth="1"/>
    <col min="10245" max="10245" width="12" customWidth="1"/>
    <col min="10246" max="10246" width="10.73046875" customWidth="1"/>
    <col min="10247" max="10247" width="11.46484375" customWidth="1"/>
    <col min="10248" max="10248" width="9.53125" bestFit="1" customWidth="1"/>
    <col min="10249" max="10249" width="15.46484375" customWidth="1"/>
    <col min="10250" max="10250" width="10.73046875" customWidth="1"/>
    <col min="10251" max="10251" width="10.796875" customWidth="1"/>
    <col min="10252" max="10252" width="9" customWidth="1"/>
    <col min="10253" max="10253" width="15" customWidth="1"/>
    <col min="10254" max="10254" width="8.265625" bestFit="1" customWidth="1"/>
    <col min="10255" max="10255" width="11.53125" customWidth="1"/>
    <col min="10256" max="10256" width="7" bestFit="1" customWidth="1"/>
    <col min="10257" max="10257" width="10" bestFit="1" customWidth="1"/>
    <col min="10258" max="10258" width="16.796875" customWidth="1"/>
    <col min="10259" max="10259" width="19.53125" customWidth="1"/>
    <col min="10260" max="10260" width="18.46484375" customWidth="1"/>
    <col min="10261" max="10261" width="20" bestFit="1" customWidth="1"/>
    <col min="10262" max="10262" width="20" customWidth="1"/>
    <col min="10264" max="10264" width="7.73046875" customWidth="1"/>
    <col min="10265" max="10265" width="11" bestFit="1" customWidth="1"/>
    <col min="10266" max="10266" width="13.53125" bestFit="1" customWidth="1"/>
    <col min="10267" max="10267" width="9.73046875" customWidth="1"/>
    <col min="10268" max="10268" width="12" customWidth="1"/>
    <col min="10269" max="10273" width="9" customWidth="1"/>
    <col min="10274" max="10274" width="13.796875" bestFit="1" customWidth="1"/>
    <col min="10275" max="10275" width="15.796875" bestFit="1" customWidth="1"/>
    <col min="10276" max="10276" width="15.796875" customWidth="1"/>
    <col min="10277" max="10277" width="19.53125" bestFit="1" customWidth="1"/>
    <col min="10278" max="10278" width="19" bestFit="1" customWidth="1"/>
    <col min="10279" max="10279" width="12.53125" customWidth="1"/>
    <col min="10498" max="10499" width="12.46484375" customWidth="1"/>
    <col min="10500" max="10500" width="10.53125" customWidth="1"/>
    <col min="10501" max="10501" width="12" customWidth="1"/>
    <col min="10502" max="10502" width="10.73046875" customWidth="1"/>
    <col min="10503" max="10503" width="11.46484375" customWidth="1"/>
    <col min="10504" max="10504" width="9.53125" bestFit="1" customWidth="1"/>
    <col min="10505" max="10505" width="15.46484375" customWidth="1"/>
    <col min="10506" max="10506" width="10.73046875" customWidth="1"/>
    <col min="10507" max="10507" width="10.796875" customWidth="1"/>
    <col min="10508" max="10508" width="9" customWidth="1"/>
    <col min="10509" max="10509" width="15" customWidth="1"/>
    <col min="10510" max="10510" width="8.265625" bestFit="1" customWidth="1"/>
    <col min="10511" max="10511" width="11.53125" customWidth="1"/>
    <col min="10512" max="10512" width="7" bestFit="1" customWidth="1"/>
    <col min="10513" max="10513" width="10" bestFit="1" customWidth="1"/>
    <col min="10514" max="10514" width="16.796875" customWidth="1"/>
    <col min="10515" max="10515" width="19.53125" customWidth="1"/>
    <col min="10516" max="10516" width="18.46484375" customWidth="1"/>
    <col min="10517" max="10517" width="20" bestFit="1" customWidth="1"/>
    <col min="10518" max="10518" width="20" customWidth="1"/>
    <col min="10520" max="10520" width="7.73046875" customWidth="1"/>
    <col min="10521" max="10521" width="11" bestFit="1" customWidth="1"/>
    <col min="10522" max="10522" width="13.53125" bestFit="1" customWidth="1"/>
    <col min="10523" max="10523" width="9.73046875" customWidth="1"/>
    <col min="10524" max="10524" width="12" customWidth="1"/>
    <col min="10525" max="10529" width="9" customWidth="1"/>
    <col min="10530" max="10530" width="13.796875" bestFit="1" customWidth="1"/>
    <col min="10531" max="10531" width="15.796875" bestFit="1" customWidth="1"/>
    <col min="10532" max="10532" width="15.796875" customWidth="1"/>
    <col min="10533" max="10533" width="19.53125" bestFit="1" customWidth="1"/>
    <col min="10534" max="10534" width="19" bestFit="1" customWidth="1"/>
    <col min="10535" max="10535" width="12.53125" customWidth="1"/>
    <col min="10754" max="10755" width="12.46484375" customWidth="1"/>
    <col min="10756" max="10756" width="10.53125" customWidth="1"/>
    <col min="10757" max="10757" width="12" customWidth="1"/>
    <col min="10758" max="10758" width="10.73046875" customWidth="1"/>
    <col min="10759" max="10759" width="11.46484375" customWidth="1"/>
    <col min="10760" max="10760" width="9.53125" bestFit="1" customWidth="1"/>
    <col min="10761" max="10761" width="15.46484375" customWidth="1"/>
    <col min="10762" max="10762" width="10.73046875" customWidth="1"/>
    <col min="10763" max="10763" width="10.796875" customWidth="1"/>
    <col min="10764" max="10764" width="9" customWidth="1"/>
    <col min="10765" max="10765" width="15" customWidth="1"/>
    <col min="10766" max="10766" width="8.265625" bestFit="1" customWidth="1"/>
    <col min="10767" max="10767" width="11.53125" customWidth="1"/>
    <col min="10768" max="10768" width="7" bestFit="1" customWidth="1"/>
    <col min="10769" max="10769" width="10" bestFit="1" customWidth="1"/>
    <col min="10770" max="10770" width="16.796875" customWidth="1"/>
    <col min="10771" max="10771" width="19.53125" customWidth="1"/>
    <col min="10772" max="10772" width="18.46484375" customWidth="1"/>
    <col min="10773" max="10773" width="20" bestFit="1" customWidth="1"/>
    <col min="10774" max="10774" width="20" customWidth="1"/>
    <col min="10776" max="10776" width="7.73046875" customWidth="1"/>
    <col min="10777" max="10777" width="11" bestFit="1" customWidth="1"/>
    <col min="10778" max="10778" width="13.53125" bestFit="1" customWidth="1"/>
    <col min="10779" max="10779" width="9.73046875" customWidth="1"/>
    <col min="10780" max="10780" width="12" customWidth="1"/>
    <col min="10781" max="10785" width="9" customWidth="1"/>
    <col min="10786" max="10786" width="13.796875" bestFit="1" customWidth="1"/>
    <col min="10787" max="10787" width="15.796875" bestFit="1" customWidth="1"/>
    <col min="10788" max="10788" width="15.796875" customWidth="1"/>
    <col min="10789" max="10789" width="19.53125" bestFit="1" customWidth="1"/>
    <col min="10790" max="10790" width="19" bestFit="1" customWidth="1"/>
    <col min="10791" max="10791" width="12.53125" customWidth="1"/>
    <col min="11010" max="11011" width="12.46484375" customWidth="1"/>
    <col min="11012" max="11012" width="10.53125" customWidth="1"/>
    <col min="11013" max="11013" width="12" customWidth="1"/>
    <col min="11014" max="11014" width="10.73046875" customWidth="1"/>
    <col min="11015" max="11015" width="11.46484375" customWidth="1"/>
    <col min="11016" max="11016" width="9.53125" bestFit="1" customWidth="1"/>
    <col min="11017" max="11017" width="15.46484375" customWidth="1"/>
    <col min="11018" max="11018" width="10.73046875" customWidth="1"/>
    <col min="11019" max="11019" width="10.796875" customWidth="1"/>
    <col min="11020" max="11020" width="9" customWidth="1"/>
    <col min="11021" max="11021" width="15" customWidth="1"/>
    <col min="11022" max="11022" width="8.265625" bestFit="1" customWidth="1"/>
    <col min="11023" max="11023" width="11.53125" customWidth="1"/>
    <col min="11024" max="11024" width="7" bestFit="1" customWidth="1"/>
    <col min="11025" max="11025" width="10" bestFit="1" customWidth="1"/>
    <col min="11026" max="11026" width="16.796875" customWidth="1"/>
    <col min="11027" max="11027" width="19.53125" customWidth="1"/>
    <col min="11028" max="11028" width="18.46484375" customWidth="1"/>
    <col min="11029" max="11029" width="20" bestFit="1" customWidth="1"/>
    <col min="11030" max="11030" width="20" customWidth="1"/>
    <col min="11032" max="11032" width="7.73046875" customWidth="1"/>
    <col min="11033" max="11033" width="11" bestFit="1" customWidth="1"/>
    <col min="11034" max="11034" width="13.53125" bestFit="1" customWidth="1"/>
    <col min="11035" max="11035" width="9.73046875" customWidth="1"/>
    <col min="11036" max="11036" width="12" customWidth="1"/>
    <col min="11037" max="11041" width="9" customWidth="1"/>
    <col min="11042" max="11042" width="13.796875" bestFit="1" customWidth="1"/>
    <col min="11043" max="11043" width="15.796875" bestFit="1" customWidth="1"/>
    <col min="11044" max="11044" width="15.796875" customWidth="1"/>
    <col min="11045" max="11045" width="19.53125" bestFit="1" customWidth="1"/>
    <col min="11046" max="11046" width="19" bestFit="1" customWidth="1"/>
    <col min="11047" max="11047" width="12.53125" customWidth="1"/>
    <col min="11266" max="11267" width="12.46484375" customWidth="1"/>
    <col min="11268" max="11268" width="10.53125" customWidth="1"/>
    <col min="11269" max="11269" width="12" customWidth="1"/>
    <col min="11270" max="11270" width="10.73046875" customWidth="1"/>
    <col min="11271" max="11271" width="11.46484375" customWidth="1"/>
    <col min="11272" max="11272" width="9.53125" bestFit="1" customWidth="1"/>
    <col min="11273" max="11273" width="15.46484375" customWidth="1"/>
    <col min="11274" max="11274" width="10.73046875" customWidth="1"/>
    <col min="11275" max="11275" width="10.796875" customWidth="1"/>
    <col min="11276" max="11276" width="9" customWidth="1"/>
    <col min="11277" max="11277" width="15" customWidth="1"/>
    <col min="11278" max="11278" width="8.265625" bestFit="1" customWidth="1"/>
    <col min="11279" max="11279" width="11.53125" customWidth="1"/>
    <col min="11280" max="11280" width="7" bestFit="1" customWidth="1"/>
    <col min="11281" max="11281" width="10" bestFit="1" customWidth="1"/>
    <col min="11282" max="11282" width="16.796875" customWidth="1"/>
    <col min="11283" max="11283" width="19.53125" customWidth="1"/>
    <col min="11284" max="11284" width="18.46484375" customWidth="1"/>
    <col min="11285" max="11285" width="20" bestFit="1" customWidth="1"/>
    <col min="11286" max="11286" width="20" customWidth="1"/>
    <col min="11288" max="11288" width="7.73046875" customWidth="1"/>
    <col min="11289" max="11289" width="11" bestFit="1" customWidth="1"/>
    <col min="11290" max="11290" width="13.53125" bestFit="1" customWidth="1"/>
    <col min="11291" max="11291" width="9.73046875" customWidth="1"/>
    <col min="11292" max="11292" width="12" customWidth="1"/>
    <col min="11293" max="11297" width="9" customWidth="1"/>
    <col min="11298" max="11298" width="13.796875" bestFit="1" customWidth="1"/>
    <col min="11299" max="11299" width="15.796875" bestFit="1" customWidth="1"/>
    <col min="11300" max="11300" width="15.796875" customWidth="1"/>
    <col min="11301" max="11301" width="19.53125" bestFit="1" customWidth="1"/>
    <col min="11302" max="11302" width="19" bestFit="1" customWidth="1"/>
    <col min="11303" max="11303" width="12.53125" customWidth="1"/>
    <col min="11522" max="11523" width="12.46484375" customWidth="1"/>
    <col min="11524" max="11524" width="10.53125" customWidth="1"/>
    <col min="11525" max="11525" width="12" customWidth="1"/>
    <col min="11526" max="11526" width="10.73046875" customWidth="1"/>
    <col min="11527" max="11527" width="11.46484375" customWidth="1"/>
    <col min="11528" max="11528" width="9.53125" bestFit="1" customWidth="1"/>
    <col min="11529" max="11529" width="15.46484375" customWidth="1"/>
    <col min="11530" max="11530" width="10.73046875" customWidth="1"/>
    <col min="11531" max="11531" width="10.796875" customWidth="1"/>
    <col min="11532" max="11532" width="9" customWidth="1"/>
    <col min="11533" max="11533" width="15" customWidth="1"/>
    <col min="11534" max="11534" width="8.265625" bestFit="1" customWidth="1"/>
    <col min="11535" max="11535" width="11.53125" customWidth="1"/>
    <col min="11536" max="11536" width="7" bestFit="1" customWidth="1"/>
    <col min="11537" max="11537" width="10" bestFit="1" customWidth="1"/>
    <col min="11538" max="11538" width="16.796875" customWidth="1"/>
    <col min="11539" max="11539" width="19.53125" customWidth="1"/>
    <col min="11540" max="11540" width="18.46484375" customWidth="1"/>
    <col min="11541" max="11541" width="20" bestFit="1" customWidth="1"/>
    <col min="11542" max="11542" width="20" customWidth="1"/>
    <col min="11544" max="11544" width="7.73046875" customWidth="1"/>
    <col min="11545" max="11545" width="11" bestFit="1" customWidth="1"/>
    <col min="11546" max="11546" width="13.53125" bestFit="1" customWidth="1"/>
    <col min="11547" max="11547" width="9.73046875" customWidth="1"/>
    <col min="11548" max="11548" width="12" customWidth="1"/>
    <col min="11549" max="11553" width="9" customWidth="1"/>
    <col min="11554" max="11554" width="13.796875" bestFit="1" customWidth="1"/>
    <col min="11555" max="11555" width="15.796875" bestFit="1" customWidth="1"/>
    <col min="11556" max="11556" width="15.796875" customWidth="1"/>
    <col min="11557" max="11557" width="19.53125" bestFit="1" customWidth="1"/>
    <col min="11558" max="11558" width="19" bestFit="1" customWidth="1"/>
    <col min="11559" max="11559" width="12.53125" customWidth="1"/>
    <col min="11778" max="11779" width="12.46484375" customWidth="1"/>
    <col min="11780" max="11780" width="10.53125" customWidth="1"/>
    <col min="11781" max="11781" width="12" customWidth="1"/>
    <col min="11782" max="11782" width="10.73046875" customWidth="1"/>
    <col min="11783" max="11783" width="11.46484375" customWidth="1"/>
    <col min="11784" max="11784" width="9.53125" bestFit="1" customWidth="1"/>
    <col min="11785" max="11785" width="15.46484375" customWidth="1"/>
    <col min="11786" max="11786" width="10.73046875" customWidth="1"/>
    <col min="11787" max="11787" width="10.796875" customWidth="1"/>
    <col min="11788" max="11788" width="9" customWidth="1"/>
    <col min="11789" max="11789" width="15" customWidth="1"/>
    <col min="11790" max="11790" width="8.265625" bestFit="1" customWidth="1"/>
    <col min="11791" max="11791" width="11.53125" customWidth="1"/>
    <col min="11792" max="11792" width="7" bestFit="1" customWidth="1"/>
    <col min="11793" max="11793" width="10" bestFit="1" customWidth="1"/>
    <col min="11794" max="11794" width="16.796875" customWidth="1"/>
    <col min="11795" max="11795" width="19.53125" customWidth="1"/>
    <col min="11796" max="11796" width="18.46484375" customWidth="1"/>
    <col min="11797" max="11797" width="20" bestFit="1" customWidth="1"/>
    <col min="11798" max="11798" width="20" customWidth="1"/>
    <col min="11800" max="11800" width="7.73046875" customWidth="1"/>
    <col min="11801" max="11801" width="11" bestFit="1" customWidth="1"/>
    <col min="11802" max="11802" width="13.53125" bestFit="1" customWidth="1"/>
    <col min="11803" max="11803" width="9.73046875" customWidth="1"/>
    <col min="11804" max="11804" width="12" customWidth="1"/>
    <col min="11805" max="11809" width="9" customWidth="1"/>
    <col min="11810" max="11810" width="13.796875" bestFit="1" customWidth="1"/>
    <col min="11811" max="11811" width="15.796875" bestFit="1" customWidth="1"/>
    <col min="11812" max="11812" width="15.796875" customWidth="1"/>
    <col min="11813" max="11813" width="19.53125" bestFit="1" customWidth="1"/>
    <col min="11814" max="11814" width="19" bestFit="1" customWidth="1"/>
    <col min="11815" max="11815" width="12.53125" customWidth="1"/>
    <col min="12034" max="12035" width="12.46484375" customWidth="1"/>
    <col min="12036" max="12036" width="10.53125" customWidth="1"/>
    <col min="12037" max="12037" width="12" customWidth="1"/>
    <col min="12038" max="12038" width="10.73046875" customWidth="1"/>
    <col min="12039" max="12039" width="11.46484375" customWidth="1"/>
    <col min="12040" max="12040" width="9.53125" bestFit="1" customWidth="1"/>
    <col min="12041" max="12041" width="15.46484375" customWidth="1"/>
    <col min="12042" max="12042" width="10.73046875" customWidth="1"/>
    <col min="12043" max="12043" width="10.796875" customWidth="1"/>
    <col min="12044" max="12044" width="9" customWidth="1"/>
    <col min="12045" max="12045" width="15" customWidth="1"/>
    <col min="12046" max="12046" width="8.265625" bestFit="1" customWidth="1"/>
    <col min="12047" max="12047" width="11.53125" customWidth="1"/>
    <col min="12048" max="12048" width="7" bestFit="1" customWidth="1"/>
    <col min="12049" max="12049" width="10" bestFit="1" customWidth="1"/>
    <col min="12050" max="12050" width="16.796875" customWidth="1"/>
    <col min="12051" max="12051" width="19.53125" customWidth="1"/>
    <col min="12052" max="12052" width="18.46484375" customWidth="1"/>
    <col min="12053" max="12053" width="20" bestFit="1" customWidth="1"/>
    <col min="12054" max="12054" width="20" customWidth="1"/>
    <col min="12056" max="12056" width="7.73046875" customWidth="1"/>
    <col min="12057" max="12057" width="11" bestFit="1" customWidth="1"/>
    <col min="12058" max="12058" width="13.53125" bestFit="1" customWidth="1"/>
    <col min="12059" max="12059" width="9.73046875" customWidth="1"/>
    <col min="12060" max="12060" width="12" customWidth="1"/>
    <col min="12061" max="12065" width="9" customWidth="1"/>
    <col min="12066" max="12066" width="13.796875" bestFit="1" customWidth="1"/>
    <col min="12067" max="12067" width="15.796875" bestFit="1" customWidth="1"/>
    <col min="12068" max="12068" width="15.796875" customWidth="1"/>
    <col min="12069" max="12069" width="19.53125" bestFit="1" customWidth="1"/>
    <col min="12070" max="12070" width="19" bestFit="1" customWidth="1"/>
    <col min="12071" max="12071" width="12.53125" customWidth="1"/>
    <col min="12290" max="12291" width="12.46484375" customWidth="1"/>
    <col min="12292" max="12292" width="10.53125" customWidth="1"/>
    <col min="12293" max="12293" width="12" customWidth="1"/>
    <col min="12294" max="12294" width="10.73046875" customWidth="1"/>
    <col min="12295" max="12295" width="11.46484375" customWidth="1"/>
    <col min="12296" max="12296" width="9.53125" bestFit="1" customWidth="1"/>
    <col min="12297" max="12297" width="15.46484375" customWidth="1"/>
    <col min="12298" max="12298" width="10.73046875" customWidth="1"/>
    <col min="12299" max="12299" width="10.796875" customWidth="1"/>
    <col min="12300" max="12300" width="9" customWidth="1"/>
    <col min="12301" max="12301" width="15" customWidth="1"/>
    <col min="12302" max="12302" width="8.265625" bestFit="1" customWidth="1"/>
    <col min="12303" max="12303" width="11.53125" customWidth="1"/>
    <col min="12304" max="12304" width="7" bestFit="1" customWidth="1"/>
    <col min="12305" max="12305" width="10" bestFit="1" customWidth="1"/>
    <col min="12306" max="12306" width="16.796875" customWidth="1"/>
    <col min="12307" max="12307" width="19.53125" customWidth="1"/>
    <col min="12308" max="12308" width="18.46484375" customWidth="1"/>
    <col min="12309" max="12309" width="20" bestFit="1" customWidth="1"/>
    <col min="12310" max="12310" width="20" customWidth="1"/>
    <col min="12312" max="12312" width="7.73046875" customWidth="1"/>
    <col min="12313" max="12313" width="11" bestFit="1" customWidth="1"/>
    <col min="12314" max="12314" width="13.53125" bestFit="1" customWidth="1"/>
    <col min="12315" max="12315" width="9.73046875" customWidth="1"/>
    <col min="12316" max="12316" width="12" customWidth="1"/>
    <col min="12317" max="12321" width="9" customWidth="1"/>
    <col min="12322" max="12322" width="13.796875" bestFit="1" customWidth="1"/>
    <col min="12323" max="12323" width="15.796875" bestFit="1" customWidth="1"/>
    <col min="12324" max="12324" width="15.796875" customWidth="1"/>
    <col min="12325" max="12325" width="19.53125" bestFit="1" customWidth="1"/>
    <col min="12326" max="12326" width="19" bestFit="1" customWidth="1"/>
    <col min="12327" max="12327" width="12.53125" customWidth="1"/>
    <col min="12546" max="12547" width="12.46484375" customWidth="1"/>
    <col min="12548" max="12548" width="10.53125" customWidth="1"/>
    <col min="12549" max="12549" width="12" customWidth="1"/>
    <col min="12550" max="12550" width="10.73046875" customWidth="1"/>
    <col min="12551" max="12551" width="11.46484375" customWidth="1"/>
    <col min="12552" max="12552" width="9.53125" bestFit="1" customWidth="1"/>
    <col min="12553" max="12553" width="15.46484375" customWidth="1"/>
    <col min="12554" max="12554" width="10.73046875" customWidth="1"/>
    <col min="12555" max="12555" width="10.796875" customWidth="1"/>
    <col min="12556" max="12556" width="9" customWidth="1"/>
    <col min="12557" max="12557" width="15" customWidth="1"/>
    <col min="12558" max="12558" width="8.265625" bestFit="1" customWidth="1"/>
    <col min="12559" max="12559" width="11.53125" customWidth="1"/>
    <col min="12560" max="12560" width="7" bestFit="1" customWidth="1"/>
    <col min="12561" max="12561" width="10" bestFit="1" customWidth="1"/>
    <col min="12562" max="12562" width="16.796875" customWidth="1"/>
    <col min="12563" max="12563" width="19.53125" customWidth="1"/>
    <col min="12564" max="12564" width="18.46484375" customWidth="1"/>
    <col min="12565" max="12565" width="20" bestFit="1" customWidth="1"/>
    <col min="12566" max="12566" width="20" customWidth="1"/>
    <col min="12568" max="12568" width="7.73046875" customWidth="1"/>
    <col min="12569" max="12569" width="11" bestFit="1" customWidth="1"/>
    <col min="12570" max="12570" width="13.53125" bestFit="1" customWidth="1"/>
    <col min="12571" max="12571" width="9.73046875" customWidth="1"/>
    <col min="12572" max="12572" width="12" customWidth="1"/>
    <col min="12573" max="12577" width="9" customWidth="1"/>
    <col min="12578" max="12578" width="13.796875" bestFit="1" customWidth="1"/>
    <col min="12579" max="12579" width="15.796875" bestFit="1" customWidth="1"/>
    <col min="12580" max="12580" width="15.796875" customWidth="1"/>
    <col min="12581" max="12581" width="19.53125" bestFit="1" customWidth="1"/>
    <col min="12582" max="12582" width="19" bestFit="1" customWidth="1"/>
    <col min="12583" max="12583" width="12.53125" customWidth="1"/>
    <col min="12802" max="12803" width="12.46484375" customWidth="1"/>
    <col min="12804" max="12804" width="10.53125" customWidth="1"/>
    <col min="12805" max="12805" width="12" customWidth="1"/>
    <col min="12806" max="12806" width="10.73046875" customWidth="1"/>
    <col min="12807" max="12807" width="11.46484375" customWidth="1"/>
    <col min="12808" max="12808" width="9.53125" bestFit="1" customWidth="1"/>
    <col min="12809" max="12809" width="15.46484375" customWidth="1"/>
    <col min="12810" max="12810" width="10.73046875" customWidth="1"/>
    <col min="12811" max="12811" width="10.796875" customWidth="1"/>
    <col min="12812" max="12812" width="9" customWidth="1"/>
    <col min="12813" max="12813" width="15" customWidth="1"/>
    <col min="12814" max="12814" width="8.265625" bestFit="1" customWidth="1"/>
    <col min="12815" max="12815" width="11.53125" customWidth="1"/>
    <col min="12816" max="12816" width="7" bestFit="1" customWidth="1"/>
    <col min="12817" max="12817" width="10" bestFit="1" customWidth="1"/>
    <col min="12818" max="12818" width="16.796875" customWidth="1"/>
    <col min="12819" max="12819" width="19.53125" customWidth="1"/>
    <col min="12820" max="12820" width="18.46484375" customWidth="1"/>
    <col min="12821" max="12821" width="20" bestFit="1" customWidth="1"/>
    <col min="12822" max="12822" width="20" customWidth="1"/>
    <col min="12824" max="12824" width="7.73046875" customWidth="1"/>
    <col min="12825" max="12825" width="11" bestFit="1" customWidth="1"/>
    <col min="12826" max="12826" width="13.53125" bestFit="1" customWidth="1"/>
    <col min="12827" max="12827" width="9.73046875" customWidth="1"/>
    <col min="12828" max="12828" width="12" customWidth="1"/>
    <col min="12829" max="12833" width="9" customWidth="1"/>
    <col min="12834" max="12834" width="13.796875" bestFit="1" customWidth="1"/>
    <col min="12835" max="12835" width="15.796875" bestFit="1" customWidth="1"/>
    <col min="12836" max="12836" width="15.796875" customWidth="1"/>
    <col min="12837" max="12837" width="19.53125" bestFit="1" customWidth="1"/>
    <col min="12838" max="12838" width="19" bestFit="1" customWidth="1"/>
    <col min="12839" max="12839" width="12.53125" customWidth="1"/>
    <col min="13058" max="13059" width="12.46484375" customWidth="1"/>
    <col min="13060" max="13060" width="10.53125" customWidth="1"/>
    <col min="13061" max="13061" width="12" customWidth="1"/>
    <col min="13062" max="13062" width="10.73046875" customWidth="1"/>
    <col min="13063" max="13063" width="11.46484375" customWidth="1"/>
    <col min="13064" max="13064" width="9.53125" bestFit="1" customWidth="1"/>
    <col min="13065" max="13065" width="15.46484375" customWidth="1"/>
    <col min="13066" max="13066" width="10.73046875" customWidth="1"/>
    <col min="13067" max="13067" width="10.796875" customWidth="1"/>
    <col min="13068" max="13068" width="9" customWidth="1"/>
    <col min="13069" max="13069" width="15" customWidth="1"/>
    <col min="13070" max="13070" width="8.265625" bestFit="1" customWidth="1"/>
    <col min="13071" max="13071" width="11.53125" customWidth="1"/>
    <col min="13072" max="13072" width="7" bestFit="1" customWidth="1"/>
    <col min="13073" max="13073" width="10" bestFit="1" customWidth="1"/>
    <col min="13074" max="13074" width="16.796875" customWidth="1"/>
    <col min="13075" max="13075" width="19.53125" customWidth="1"/>
    <col min="13076" max="13076" width="18.46484375" customWidth="1"/>
    <col min="13077" max="13077" width="20" bestFit="1" customWidth="1"/>
    <col min="13078" max="13078" width="20" customWidth="1"/>
    <col min="13080" max="13080" width="7.73046875" customWidth="1"/>
    <col min="13081" max="13081" width="11" bestFit="1" customWidth="1"/>
    <col min="13082" max="13082" width="13.53125" bestFit="1" customWidth="1"/>
    <col min="13083" max="13083" width="9.73046875" customWidth="1"/>
    <col min="13084" max="13084" width="12" customWidth="1"/>
    <col min="13085" max="13089" width="9" customWidth="1"/>
    <col min="13090" max="13090" width="13.796875" bestFit="1" customWidth="1"/>
    <col min="13091" max="13091" width="15.796875" bestFit="1" customWidth="1"/>
    <col min="13092" max="13092" width="15.796875" customWidth="1"/>
    <col min="13093" max="13093" width="19.53125" bestFit="1" customWidth="1"/>
    <col min="13094" max="13094" width="19" bestFit="1" customWidth="1"/>
    <col min="13095" max="13095" width="12.53125" customWidth="1"/>
    <col min="13314" max="13315" width="12.46484375" customWidth="1"/>
    <col min="13316" max="13316" width="10.53125" customWidth="1"/>
    <col min="13317" max="13317" width="12" customWidth="1"/>
    <col min="13318" max="13318" width="10.73046875" customWidth="1"/>
    <col min="13319" max="13319" width="11.46484375" customWidth="1"/>
    <col min="13320" max="13320" width="9.53125" bestFit="1" customWidth="1"/>
    <col min="13321" max="13321" width="15.46484375" customWidth="1"/>
    <col min="13322" max="13322" width="10.73046875" customWidth="1"/>
    <col min="13323" max="13323" width="10.796875" customWidth="1"/>
    <col min="13324" max="13324" width="9" customWidth="1"/>
    <col min="13325" max="13325" width="15" customWidth="1"/>
    <col min="13326" max="13326" width="8.265625" bestFit="1" customWidth="1"/>
    <col min="13327" max="13327" width="11.53125" customWidth="1"/>
    <col min="13328" max="13328" width="7" bestFit="1" customWidth="1"/>
    <col min="13329" max="13329" width="10" bestFit="1" customWidth="1"/>
    <col min="13330" max="13330" width="16.796875" customWidth="1"/>
    <col min="13331" max="13331" width="19.53125" customWidth="1"/>
    <col min="13332" max="13332" width="18.46484375" customWidth="1"/>
    <col min="13333" max="13333" width="20" bestFit="1" customWidth="1"/>
    <col min="13334" max="13334" width="20" customWidth="1"/>
    <col min="13336" max="13336" width="7.73046875" customWidth="1"/>
    <col min="13337" max="13337" width="11" bestFit="1" customWidth="1"/>
    <col min="13338" max="13338" width="13.53125" bestFit="1" customWidth="1"/>
    <col min="13339" max="13339" width="9.73046875" customWidth="1"/>
    <col min="13340" max="13340" width="12" customWidth="1"/>
    <col min="13341" max="13345" width="9" customWidth="1"/>
    <col min="13346" max="13346" width="13.796875" bestFit="1" customWidth="1"/>
    <col min="13347" max="13347" width="15.796875" bestFit="1" customWidth="1"/>
    <col min="13348" max="13348" width="15.796875" customWidth="1"/>
    <col min="13349" max="13349" width="19.53125" bestFit="1" customWidth="1"/>
    <col min="13350" max="13350" width="19" bestFit="1" customWidth="1"/>
    <col min="13351" max="13351" width="12.53125" customWidth="1"/>
    <col min="13570" max="13571" width="12.46484375" customWidth="1"/>
    <col min="13572" max="13572" width="10.53125" customWidth="1"/>
    <col min="13573" max="13573" width="12" customWidth="1"/>
    <col min="13574" max="13574" width="10.73046875" customWidth="1"/>
    <col min="13575" max="13575" width="11.46484375" customWidth="1"/>
    <col min="13576" max="13576" width="9.53125" bestFit="1" customWidth="1"/>
    <col min="13577" max="13577" width="15.46484375" customWidth="1"/>
    <col min="13578" max="13578" width="10.73046875" customWidth="1"/>
    <col min="13579" max="13579" width="10.796875" customWidth="1"/>
    <col min="13580" max="13580" width="9" customWidth="1"/>
    <col min="13581" max="13581" width="15" customWidth="1"/>
    <col min="13582" max="13582" width="8.265625" bestFit="1" customWidth="1"/>
    <col min="13583" max="13583" width="11.53125" customWidth="1"/>
    <col min="13584" max="13584" width="7" bestFit="1" customWidth="1"/>
    <col min="13585" max="13585" width="10" bestFit="1" customWidth="1"/>
    <col min="13586" max="13586" width="16.796875" customWidth="1"/>
    <col min="13587" max="13587" width="19.53125" customWidth="1"/>
    <col min="13588" max="13588" width="18.46484375" customWidth="1"/>
    <col min="13589" max="13589" width="20" bestFit="1" customWidth="1"/>
    <col min="13590" max="13590" width="20" customWidth="1"/>
    <col min="13592" max="13592" width="7.73046875" customWidth="1"/>
    <col min="13593" max="13593" width="11" bestFit="1" customWidth="1"/>
    <col min="13594" max="13594" width="13.53125" bestFit="1" customWidth="1"/>
    <col min="13595" max="13595" width="9.73046875" customWidth="1"/>
    <col min="13596" max="13596" width="12" customWidth="1"/>
    <col min="13597" max="13601" width="9" customWidth="1"/>
    <col min="13602" max="13602" width="13.796875" bestFit="1" customWidth="1"/>
    <col min="13603" max="13603" width="15.796875" bestFit="1" customWidth="1"/>
    <col min="13604" max="13604" width="15.796875" customWidth="1"/>
    <col min="13605" max="13605" width="19.53125" bestFit="1" customWidth="1"/>
    <col min="13606" max="13606" width="19" bestFit="1" customWidth="1"/>
    <col min="13607" max="13607" width="12.53125" customWidth="1"/>
    <col min="13826" max="13827" width="12.46484375" customWidth="1"/>
    <col min="13828" max="13828" width="10.53125" customWidth="1"/>
    <col min="13829" max="13829" width="12" customWidth="1"/>
    <col min="13830" max="13830" width="10.73046875" customWidth="1"/>
    <col min="13831" max="13831" width="11.46484375" customWidth="1"/>
    <col min="13832" max="13832" width="9.53125" bestFit="1" customWidth="1"/>
    <col min="13833" max="13833" width="15.46484375" customWidth="1"/>
    <col min="13834" max="13834" width="10.73046875" customWidth="1"/>
    <col min="13835" max="13835" width="10.796875" customWidth="1"/>
    <col min="13836" max="13836" width="9" customWidth="1"/>
    <col min="13837" max="13837" width="15" customWidth="1"/>
    <col min="13838" max="13838" width="8.265625" bestFit="1" customWidth="1"/>
    <col min="13839" max="13839" width="11.53125" customWidth="1"/>
    <col min="13840" max="13840" width="7" bestFit="1" customWidth="1"/>
    <col min="13841" max="13841" width="10" bestFit="1" customWidth="1"/>
    <col min="13842" max="13842" width="16.796875" customWidth="1"/>
    <col min="13843" max="13843" width="19.53125" customWidth="1"/>
    <col min="13844" max="13844" width="18.46484375" customWidth="1"/>
    <col min="13845" max="13845" width="20" bestFit="1" customWidth="1"/>
    <col min="13846" max="13846" width="20" customWidth="1"/>
    <col min="13848" max="13848" width="7.73046875" customWidth="1"/>
    <col min="13849" max="13849" width="11" bestFit="1" customWidth="1"/>
    <col min="13850" max="13850" width="13.53125" bestFit="1" customWidth="1"/>
    <col min="13851" max="13851" width="9.73046875" customWidth="1"/>
    <col min="13852" max="13852" width="12" customWidth="1"/>
    <col min="13853" max="13857" width="9" customWidth="1"/>
    <col min="13858" max="13858" width="13.796875" bestFit="1" customWidth="1"/>
    <col min="13859" max="13859" width="15.796875" bestFit="1" customWidth="1"/>
    <col min="13860" max="13860" width="15.796875" customWidth="1"/>
    <col min="13861" max="13861" width="19.53125" bestFit="1" customWidth="1"/>
    <col min="13862" max="13862" width="19" bestFit="1" customWidth="1"/>
    <col min="13863" max="13863" width="12.53125" customWidth="1"/>
    <col min="14082" max="14083" width="12.46484375" customWidth="1"/>
    <col min="14084" max="14084" width="10.53125" customWidth="1"/>
    <col min="14085" max="14085" width="12" customWidth="1"/>
    <col min="14086" max="14086" width="10.73046875" customWidth="1"/>
    <col min="14087" max="14087" width="11.46484375" customWidth="1"/>
    <col min="14088" max="14088" width="9.53125" bestFit="1" customWidth="1"/>
    <col min="14089" max="14089" width="15.46484375" customWidth="1"/>
    <col min="14090" max="14090" width="10.73046875" customWidth="1"/>
    <col min="14091" max="14091" width="10.796875" customWidth="1"/>
    <col min="14092" max="14092" width="9" customWidth="1"/>
    <col min="14093" max="14093" width="15" customWidth="1"/>
    <col min="14094" max="14094" width="8.265625" bestFit="1" customWidth="1"/>
    <col min="14095" max="14095" width="11.53125" customWidth="1"/>
    <col min="14096" max="14096" width="7" bestFit="1" customWidth="1"/>
    <col min="14097" max="14097" width="10" bestFit="1" customWidth="1"/>
    <col min="14098" max="14098" width="16.796875" customWidth="1"/>
    <col min="14099" max="14099" width="19.53125" customWidth="1"/>
    <col min="14100" max="14100" width="18.46484375" customWidth="1"/>
    <col min="14101" max="14101" width="20" bestFit="1" customWidth="1"/>
    <col min="14102" max="14102" width="20" customWidth="1"/>
    <col min="14104" max="14104" width="7.73046875" customWidth="1"/>
    <col min="14105" max="14105" width="11" bestFit="1" customWidth="1"/>
    <col min="14106" max="14106" width="13.53125" bestFit="1" customWidth="1"/>
    <col min="14107" max="14107" width="9.73046875" customWidth="1"/>
    <col min="14108" max="14108" width="12" customWidth="1"/>
    <col min="14109" max="14113" width="9" customWidth="1"/>
    <col min="14114" max="14114" width="13.796875" bestFit="1" customWidth="1"/>
    <col min="14115" max="14115" width="15.796875" bestFit="1" customWidth="1"/>
    <col min="14116" max="14116" width="15.796875" customWidth="1"/>
    <col min="14117" max="14117" width="19.53125" bestFit="1" customWidth="1"/>
    <col min="14118" max="14118" width="19" bestFit="1" customWidth="1"/>
    <col min="14119" max="14119" width="12.53125" customWidth="1"/>
    <col min="14338" max="14339" width="12.46484375" customWidth="1"/>
    <col min="14340" max="14340" width="10.53125" customWidth="1"/>
    <col min="14341" max="14341" width="12" customWidth="1"/>
    <col min="14342" max="14342" width="10.73046875" customWidth="1"/>
    <col min="14343" max="14343" width="11.46484375" customWidth="1"/>
    <col min="14344" max="14344" width="9.53125" bestFit="1" customWidth="1"/>
    <col min="14345" max="14345" width="15.46484375" customWidth="1"/>
    <col min="14346" max="14346" width="10.73046875" customWidth="1"/>
    <col min="14347" max="14347" width="10.796875" customWidth="1"/>
    <col min="14348" max="14348" width="9" customWidth="1"/>
    <col min="14349" max="14349" width="15" customWidth="1"/>
    <col min="14350" max="14350" width="8.265625" bestFit="1" customWidth="1"/>
    <col min="14351" max="14351" width="11.53125" customWidth="1"/>
    <col min="14352" max="14352" width="7" bestFit="1" customWidth="1"/>
    <col min="14353" max="14353" width="10" bestFit="1" customWidth="1"/>
    <col min="14354" max="14354" width="16.796875" customWidth="1"/>
    <col min="14355" max="14355" width="19.53125" customWidth="1"/>
    <col min="14356" max="14356" width="18.46484375" customWidth="1"/>
    <col min="14357" max="14357" width="20" bestFit="1" customWidth="1"/>
    <col min="14358" max="14358" width="20" customWidth="1"/>
    <col min="14360" max="14360" width="7.73046875" customWidth="1"/>
    <col min="14361" max="14361" width="11" bestFit="1" customWidth="1"/>
    <col min="14362" max="14362" width="13.53125" bestFit="1" customWidth="1"/>
    <col min="14363" max="14363" width="9.73046875" customWidth="1"/>
    <col min="14364" max="14364" width="12" customWidth="1"/>
    <col min="14365" max="14369" width="9" customWidth="1"/>
    <col min="14370" max="14370" width="13.796875" bestFit="1" customWidth="1"/>
    <col min="14371" max="14371" width="15.796875" bestFit="1" customWidth="1"/>
    <col min="14372" max="14372" width="15.796875" customWidth="1"/>
    <col min="14373" max="14373" width="19.53125" bestFit="1" customWidth="1"/>
    <col min="14374" max="14374" width="19" bestFit="1" customWidth="1"/>
    <col min="14375" max="14375" width="12.53125" customWidth="1"/>
    <col min="14594" max="14595" width="12.46484375" customWidth="1"/>
    <col min="14596" max="14596" width="10.53125" customWidth="1"/>
    <col min="14597" max="14597" width="12" customWidth="1"/>
    <col min="14598" max="14598" width="10.73046875" customWidth="1"/>
    <col min="14599" max="14599" width="11.46484375" customWidth="1"/>
    <col min="14600" max="14600" width="9.53125" bestFit="1" customWidth="1"/>
    <col min="14601" max="14601" width="15.46484375" customWidth="1"/>
    <col min="14602" max="14602" width="10.73046875" customWidth="1"/>
    <col min="14603" max="14603" width="10.796875" customWidth="1"/>
    <col min="14604" max="14604" width="9" customWidth="1"/>
    <col min="14605" max="14605" width="15" customWidth="1"/>
    <col min="14606" max="14606" width="8.265625" bestFit="1" customWidth="1"/>
    <col min="14607" max="14607" width="11.53125" customWidth="1"/>
    <col min="14608" max="14608" width="7" bestFit="1" customWidth="1"/>
    <col min="14609" max="14609" width="10" bestFit="1" customWidth="1"/>
    <col min="14610" max="14610" width="16.796875" customWidth="1"/>
    <col min="14611" max="14611" width="19.53125" customWidth="1"/>
    <col min="14612" max="14612" width="18.46484375" customWidth="1"/>
    <col min="14613" max="14613" width="20" bestFit="1" customWidth="1"/>
    <col min="14614" max="14614" width="20" customWidth="1"/>
    <col min="14616" max="14616" width="7.73046875" customWidth="1"/>
    <col min="14617" max="14617" width="11" bestFit="1" customWidth="1"/>
    <col min="14618" max="14618" width="13.53125" bestFit="1" customWidth="1"/>
    <col min="14619" max="14619" width="9.73046875" customWidth="1"/>
    <col min="14620" max="14620" width="12" customWidth="1"/>
    <col min="14621" max="14625" width="9" customWidth="1"/>
    <col min="14626" max="14626" width="13.796875" bestFit="1" customWidth="1"/>
    <col min="14627" max="14627" width="15.796875" bestFit="1" customWidth="1"/>
    <col min="14628" max="14628" width="15.796875" customWidth="1"/>
    <col min="14629" max="14629" width="19.53125" bestFit="1" customWidth="1"/>
    <col min="14630" max="14630" width="19" bestFit="1" customWidth="1"/>
    <col min="14631" max="14631" width="12.53125" customWidth="1"/>
    <col min="14850" max="14851" width="12.46484375" customWidth="1"/>
    <col min="14852" max="14852" width="10.53125" customWidth="1"/>
    <col min="14853" max="14853" width="12" customWidth="1"/>
    <col min="14854" max="14854" width="10.73046875" customWidth="1"/>
    <col min="14855" max="14855" width="11.46484375" customWidth="1"/>
    <col min="14856" max="14856" width="9.53125" bestFit="1" customWidth="1"/>
    <col min="14857" max="14857" width="15.46484375" customWidth="1"/>
    <col min="14858" max="14858" width="10.73046875" customWidth="1"/>
    <col min="14859" max="14859" width="10.796875" customWidth="1"/>
    <col min="14860" max="14860" width="9" customWidth="1"/>
    <col min="14861" max="14861" width="15" customWidth="1"/>
    <col min="14862" max="14862" width="8.265625" bestFit="1" customWidth="1"/>
    <col min="14863" max="14863" width="11.53125" customWidth="1"/>
    <col min="14864" max="14864" width="7" bestFit="1" customWidth="1"/>
    <col min="14865" max="14865" width="10" bestFit="1" customWidth="1"/>
    <col min="14866" max="14866" width="16.796875" customWidth="1"/>
    <col min="14867" max="14867" width="19.53125" customWidth="1"/>
    <col min="14868" max="14868" width="18.46484375" customWidth="1"/>
    <col min="14869" max="14869" width="20" bestFit="1" customWidth="1"/>
    <col min="14870" max="14870" width="20" customWidth="1"/>
    <col min="14872" max="14872" width="7.73046875" customWidth="1"/>
    <col min="14873" max="14873" width="11" bestFit="1" customWidth="1"/>
    <col min="14874" max="14874" width="13.53125" bestFit="1" customWidth="1"/>
    <col min="14875" max="14875" width="9.73046875" customWidth="1"/>
    <col min="14876" max="14876" width="12" customWidth="1"/>
    <col min="14877" max="14881" width="9" customWidth="1"/>
    <col min="14882" max="14882" width="13.796875" bestFit="1" customWidth="1"/>
    <col min="14883" max="14883" width="15.796875" bestFit="1" customWidth="1"/>
    <col min="14884" max="14884" width="15.796875" customWidth="1"/>
    <col min="14885" max="14885" width="19.53125" bestFit="1" customWidth="1"/>
    <col min="14886" max="14886" width="19" bestFit="1" customWidth="1"/>
    <col min="14887" max="14887" width="12.53125" customWidth="1"/>
    <col min="15106" max="15107" width="12.46484375" customWidth="1"/>
    <col min="15108" max="15108" width="10.53125" customWidth="1"/>
    <col min="15109" max="15109" width="12" customWidth="1"/>
    <col min="15110" max="15110" width="10.73046875" customWidth="1"/>
    <col min="15111" max="15111" width="11.46484375" customWidth="1"/>
    <col min="15112" max="15112" width="9.53125" bestFit="1" customWidth="1"/>
    <col min="15113" max="15113" width="15.46484375" customWidth="1"/>
    <col min="15114" max="15114" width="10.73046875" customWidth="1"/>
    <col min="15115" max="15115" width="10.796875" customWidth="1"/>
    <col min="15116" max="15116" width="9" customWidth="1"/>
    <col min="15117" max="15117" width="15" customWidth="1"/>
    <col min="15118" max="15118" width="8.265625" bestFit="1" customWidth="1"/>
    <col min="15119" max="15119" width="11.53125" customWidth="1"/>
    <col min="15120" max="15120" width="7" bestFit="1" customWidth="1"/>
    <col min="15121" max="15121" width="10" bestFit="1" customWidth="1"/>
    <col min="15122" max="15122" width="16.796875" customWidth="1"/>
    <col min="15123" max="15123" width="19.53125" customWidth="1"/>
    <col min="15124" max="15124" width="18.46484375" customWidth="1"/>
    <col min="15125" max="15125" width="20" bestFit="1" customWidth="1"/>
    <col min="15126" max="15126" width="20" customWidth="1"/>
    <col min="15128" max="15128" width="7.73046875" customWidth="1"/>
    <col min="15129" max="15129" width="11" bestFit="1" customWidth="1"/>
    <col min="15130" max="15130" width="13.53125" bestFit="1" customWidth="1"/>
    <col min="15131" max="15131" width="9.73046875" customWidth="1"/>
    <col min="15132" max="15132" width="12" customWidth="1"/>
    <col min="15133" max="15137" width="9" customWidth="1"/>
    <col min="15138" max="15138" width="13.796875" bestFit="1" customWidth="1"/>
    <col min="15139" max="15139" width="15.796875" bestFit="1" customWidth="1"/>
    <col min="15140" max="15140" width="15.796875" customWidth="1"/>
    <col min="15141" max="15141" width="19.53125" bestFit="1" customWidth="1"/>
    <col min="15142" max="15142" width="19" bestFit="1" customWidth="1"/>
    <col min="15143" max="15143" width="12.53125" customWidth="1"/>
    <col min="15362" max="15363" width="12.46484375" customWidth="1"/>
    <col min="15364" max="15364" width="10.53125" customWidth="1"/>
    <col min="15365" max="15365" width="12" customWidth="1"/>
    <col min="15366" max="15366" width="10.73046875" customWidth="1"/>
    <col min="15367" max="15367" width="11.46484375" customWidth="1"/>
    <col min="15368" max="15368" width="9.53125" bestFit="1" customWidth="1"/>
    <col min="15369" max="15369" width="15.46484375" customWidth="1"/>
    <col min="15370" max="15370" width="10.73046875" customWidth="1"/>
    <col min="15371" max="15371" width="10.796875" customWidth="1"/>
    <col min="15372" max="15372" width="9" customWidth="1"/>
    <col min="15373" max="15373" width="15" customWidth="1"/>
    <col min="15374" max="15374" width="8.265625" bestFit="1" customWidth="1"/>
    <col min="15375" max="15375" width="11.53125" customWidth="1"/>
    <col min="15376" max="15376" width="7" bestFit="1" customWidth="1"/>
    <col min="15377" max="15377" width="10" bestFit="1" customWidth="1"/>
    <col min="15378" max="15378" width="16.796875" customWidth="1"/>
    <col min="15379" max="15379" width="19.53125" customWidth="1"/>
    <col min="15380" max="15380" width="18.46484375" customWidth="1"/>
    <col min="15381" max="15381" width="20" bestFit="1" customWidth="1"/>
    <col min="15382" max="15382" width="20" customWidth="1"/>
    <col min="15384" max="15384" width="7.73046875" customWidth="1"/>
    <col min="15385" max="15385" width="11" bestFit="1" customWidth="1"/>
    <col min="15386" max="15386" width="13.53125" bestFit="1" customWidth="1"/>
    <col min="15387" max="15387" width="9.73046875" customWidth="1"/>
    <col min="15388" max="15388" width="12" customWidth="1"/>
    <col min="15389" max="15393" width="9" customWidth="1"/>
    <col min="15394" max="15394" width="13.796875" bestFit="1" customWidth="1"/>
    <col min="15395" max="15395" width="15.796875" bestFit="1" customWidth="1"/>
    <col min="15396" max="15396" width="15.796875" customWidth="1"/>
    <col min="15397" max="15397" width="19.53125" bestFit="1" customWidth="1"/>
    <col min="15398" max="15398" width="19" bestFit="1" customWidth="1"/>
    <col min="15399" max="15399" width="12.53125" customWidth="1"/>
    <col min="15618" max="15619" width="12.46484375" customWidth="1"/>
    <col min="15620" max="15620" width="10.53125" customWidth="1"/>
    <col min="15621" max="15621" width="12" customWidth="1"/>
    <col min="15622" max="15622" width="10.73046875" customWidth="1"/>
    <col min="15623" max="15623" width="11.46484375" customWidth="1"/>
    <col min="15624" max="15624" width="9.53125" bestFit="1" customWidth="1"/>
    <col min="15625" max="15625" width="15.46484375" customWidth="1"/>
    <col min="15626" max="15626" width="10.73046875" customWidth="1"/>
    <col min="15627" max="15627" width="10.796875" customWidth="1"/>
    <col min="15628" max="15628" width="9" customWidth="1"/>
    <col min="15629" max="15629" width="15" customWidth="1"/>
    <col min="15630" max="15630" width="8.265625" bestFit="1" customWidth="1"/>
    <col min="15631" max="15631" width="11.53125" customWidth="1"/>
    <col min="15632" max="15632" width="7" bestFit="1" customWidth="1"/>
    <col min="15633" max="15633" width="10" bestFit="1" customWidth="1"/>
    <col min="15634" max="15634" width="16.796875" customWidth="1"/>
    <col min="15635" max="15635" width="19.53125" customWidth="1"/>
    <col min="15636" max="15636" width="18.46484375" customWidth="1"/>
    <col min="15637" max="15637" width="20" bestFit="1" customWidth="1"/>
    <col min="15638" max="15638" width="20" customWidth="1"/>
    <col min="15640" max="15640" width="7.73046875" customWidth="1"/>
    <col min="15641" max="15641" width="11" bestFit="1" customWidth="1"/>
    <col min="15642" max="15642" width="13.53125" bestFit="1" customWidth="1"/>
    <col min="15643" max="15643" width="9.73046875" customWidth="1"/>
    <col min="15644" max="15644" width="12" customWidth="1"/>
    <col min="15645" max="15649" width="9" customWidth="1"/>
    <col min="15650" max="15650" width="13.796875" bestFit="1" customWidth="1"/>
    <col min="15651" max="15651" width="15.796875" bestFit="1" customWidth="1"/>
    <col min="15652" max="15652" width="15.796875" customWidth="1"/>
    <col min="15653" max="15653" width="19.53125" bestFit="1" customWidth="1"/>
    <col min="15654" max="15654" width="19" bestFit="1" customWidth="1"/>
    <col min="15655" max="15655" width="12.53125" customWidth="1"/>
    <col min="15874" max="15875" width="12.46484375" customWidth="1"/>
    <col min="15876" max="15876" width="10.53125" customWidth="1"/>
    <col min="15877" max="15877" width="12" customWidth="1"/>
    <col min="15878" max="15878" width="10.73046875" customWidth="1"/>
    <col min="15879" max="15879" width="11.46484375" customWidth="1"/>
    <col min="15880" max="15880" width="9.53125" bestFit="1" customWidth="1"/>
    <col min="15881" max="15881" width="15.46484375" customWidth="1"/>
    <col min="15882" max="15882" width="10.73046875" customWidth="1"/>
    <col min="15883" max="15883" width="10.796875" customWidth="1"/>
    <col min="15884" max="15884" width="9" customWidth="1"/>
    <col min="15885" max="15885" width="15" customWidth="1"/>
    <col min="15886" max="15886" width="8.265625" bestFit="1" customWidth="1"/>
    <col min="15887" max="15887" width="11.53125" customWidth="1"/>
    <col min="15888" max="15888" width="7" bestFit="1" customWidth="1"/>
    <col min="15889" max="15889" width="10" bestFit="1" customWidth="1"/>
    <col min="15890" max="15890" width="16.796875" customWidth="1"/>
    <col min="15891" max="15891" width="19.53125" customWidth="1"/>
    <col min="15892" max="15892" width="18.46484375" customWidth="1"/>
    <col min="15893" max="15893" width="20" bestFit="1" customWidth="1"/>
    <col min="15894" max="15894" width="20" customWidth="1"/>
    <col min="15896" max="15896" width="7.73046875" customWidth="1"/>
    <col min="15897" max="15897" width="11" bestFit="1" customWidth="1"/>
    <col min="15898" max="15898" width="13.53125" bestFit="1" customWidth="1"/>
    <col min="15899" max="15899" width="9.73046875" customWidth="1"/>
    <col min="15900" max="15900" width="12" customWidth="1"/>
    <col min="15901" max="15905" width="9" customWidth="1"/>
    <col min="15906" max="15906" width="13.796875" bestFit="1" customWidth="1"/>
    <col min="15907" max="15907" width="15.796875" bestFit="1" customWidth="1"/>
    <col min="15908" max="15908" width="15.796875" customWidth="1"/>
    <col min="15909" max="15909" width="19.53125" bestFit="1" customWidth="1"/>
    <col min="15910" max="15910" width="19" bestFit="1" customWidth="1"/>
    <col min="15911" max="15911" width="12.53125" customWidth="1"/>
    <col min="16130" max="16131" width="12.46484375" customWidth="1"/>
    <col min="16132" max="16132" width="10.53125" customWidth="1"/>
    <col min="16133" max="16133" width="12" customWidth="1"/>
    <col min="16134" max="16134" width="10.73046875" customWidth="1"/>
    <col min="16135" max="16135" width="11.46484375" customWidth="1"/>
    <col min="16136" max="16136" width="9.53125" bestFit="1" customWidth="1"/>
    <col min="16137" max="16137" width="15.46484375" customWidth="1"/>
    <col min="16138" max="16138" width="10.73046875" customWidth="1"/>
    <col min="16139" max="16139" width="10.796875" customWidth="1"/>
    <col min="16140" max="16140" width="9" customWidth="1"/>
    <col min="16141" max="16141" width="15" customWidth="1"/>
    <col min="16142" max="16142" width="8.265625" bestFit="1" customWidth="1"/>
    <col min="16143" max="16143" width="11.53125" customWidth="1"/>
    <col min="16144" max="16144" width="7" bestFit="1" customWidth="1"/>
    <col min="16145" max="16145" width="10" bestFit="1" customWidth="1"/>
    <col min="16146" max="16146" width="16.796875" customWidth="1"/>
    <col min="16147" max="16147" width="19.53125" customWidth="1"/>
    <col min="16148" max="16148" width="18.46484375" customWidth="1"/>
    <col min="16149" max="16149" width="20" bestFit="1" customWidth="1"/>
    <col min="16150" max="16150" width="20" customWidth="1"/>
    <col min="16152" max="16152" width="7.73046875" customWidth="1"/>
    <col min="16153" max="16153" width="11" bestFit="1" customWidth="1"/>
    <col min="16154" max="16154" width="13.53125" bestFit="1" customWidth="1"/>
    <col min="16155" max="16155" width="9.73046875" customWidth="1"/>
    <col min="16156" max="16156" width="12" customWidth="1"/>
    <col min="16157" max="16161" width="9" customWidth="1"/>
    <col min="16162" max="16162" width="13.796875" bestFit="1" customWidth="1"/>
    <col min="16163" max="16163" width="15.796875" bestFit="1" customWidth="1"/>
    <col min="16164" max="16164" width="15.796875" customWidth="1"/>
    <col min="16165" max="16165" width="19.53125" bestFit="1" customWidth="1"/>
    <col min="16166" max="16166" width="19" bestFit="1" customWidth="1"/>
    <col min="16167" max="16167" width="12.53125" customWidth="1"/>
  </cols>
  <sheetData>
    <row r="1" spans="1:66" s="3" customFormat="1" ht="22.5" customHeight="1" x14ac:dyDescent="0.5">
      <c r="A1" s="1090" t="s">
        <v>2500</v>
      </c>
      <c r="B1" s="1"/>
      <c r="C1" s="1"/>
      <c r="D1" s="1"/>
      <c r="E1" s="2"/>
      <c r="F1"/>
      <c r="G1" s="2"/>
      <c r="H1" s="2"/>
      <c r="I1"/>
      <c r="J1"/>
    </row>
    <row r="2" spans="1:66" s="3" customFormat="1" ht="15" customHeight="1" x14ac:dyDescent="0.45">
      <c r="B2" s="1173"/>
      <c r="C2" s="1173"/>
      <c r="D2" s="1136"/>
      <c r="E2" s="1174"/>
      <c r="F2" s="1136"/>
      <c r="G2" s="1174"/>
      <c r="H2" s="1174"/>
      <c r="I2" s="1136"/>
      <c r="J2" s="1136"/>
      <c r="K2" s="1177"/>
    </row>
    <row r="3" spans="1:66" s="3" customFormat="1" ht="15.4" x14ac:dyDescent="0.45">
      <c r="A3" s="4"/>
      <c r="B3" s="1091" t="s">
        <v>992</v>
      </c>
      <c r="C3" s="1136" t="s">
        <v>2355</v>
      </c>
      <c r="D3" s="1162"/>
      <c r="E3" s="1175"/>
      <c r="F3" s="1175"/>
      <c r="G3" s="1175"/>
      <c r="H3" s="1174"/>
      <c r="I3" s="1177"/>
      <c r="J3" s="1136"/>
      <c r="K3" s="1177"/>
    </row>
    <row r="4" spans="1:66" ht="15.4" x14ac:dyDescent="0.45">
      <c r="B4" s="1136"/>
      <c r="C4" s="1178" t="s">
        <v>993</v>
      </c>
      <c r="D4" s="1176"/>
      <c r="E4" s="1176"/>
      <c r="F4" s="1176"/>
      <c r="G4" s="1179"/>
      <c r="H4" s="1176"/>
      <c r="I4" s="1176"/>
      <c r="J4" s="1176"/>
      <c r="K4" s="1176"/>
      <c r="L4" s="7"/>
      <c r="M4" s="7"/>
      <c r="N4" s="7"/>
      <c r="O4" s="7"/>
      <c r="P4" s="7"/>
      <c r="Q4" s="7"/>
      <c r="R4" s="7"/>
      <c r="S4" s="7"/>
      <c r="U4" s="7"/>
      <c r="Z4" s="10"/>
      <c r="AA4" s="10"/>
      <c r="AB4" s="10"/>
      <c r="AC4" s="10"/>
      <c r="AD4" s="10"/>
      <c r="AE4" s="10"/>
      <c r="AF4" s="10"/>
      <c r="AG4" s="10"/>
      <c r="AH4" s="10"/>
      <c r="AI4" s="10"/>
      <c r="AJ4" s="10"/>
      <c r="AK4" s="10"/>
      <c r="AL4" s="10"/>
      <c r="AM4" s="10"/>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row>
    <row r="5" spans="1:66" s="12" customFormat="1" ht="15.75" thickBot="1" x14ac:dyDescent="0.5">
      <c r="B5" s="1180"/>
      <c r="C5" s="1180"/>
      <c r="D5" s="1180"/>
      <c r="E5" s="1181"/>
      <c r="F5" s="1180"/>
      <c r="G5" s="1180"/>
      <c r="H5" s="16"/>
      <c r="I5" s="1180"/>
      <c r="J5" s="1180"/>
      <c r="K5" s="1180"/>
      <c r="R5" s="14"/>
      <c r="T5" s="15" t="s">
        <v>0</v>
      </c>
      <c r="AB5" s="16"/>
    </row>
    <row r="6" spans="1:66" s="14" customFormat="1" ht="15.75" thickTop="1" x14ac:dyDescent="0.45">
      <c r="A6" s="17"/>
      <c r="B6" s="17"/>
      <c r="C6" s="17" t="s">
        <v>1</v>
      </c>
      <c r="D6" s="18" t="s">
        <v>2</v>
      </c>
      <c r="E6" s="18"/>
      <c r="F6" s="17"/>
      <c r="G6" s="17"/>
      <c r="H6" s="17" t="s">
        <v>3</v>
      </c>
      <c r="I6" s="17"/>
      <c r="J6" s="17"/>
      <c r="K6" s="17"/>
      <c r="L6" s="17"/>
      <c r="M6" s="17"/>
      <c r="N6" s="17" t="s">
        <v>4</v>
      </c>
      <c r="O6" s="17"/>
      <c r="P6" s="17" t="s">
        <v>5</v>
      </c>
      <c r="Q6" s="17" t="s">
        <v>1031</v>
      </c>
      <c r="R6" s="17" t="s">
        <v>6</v>
      </c>
      <c r="S6" s="17" t="s">
        <v>7</v>
      </c>
      <c r="T6" s="17" t="s">
        <v>8</v>
      </c>
      <c r="U6" s="12"/>
    </row>
    <row r="7" spans="1:66" s="14" customFormat="1" ht="16.5" customHeight="1" x14ac:dyDescent="0.45">
      <c r="A7" s="14" t="s">
        <v>9</v>
      </c>
      <c r="B7" s="14" t="s">
        <v>10</v>
      </c>
      <c r="C7" s="14" t="s">
        <v>11</v>
      </c>
      <c r="D7" s="14" t="s">
        <v>11</v>
      </c>
      <c r="E7" s="19" t="s">
        <v>12</v>
      </c>
      <c r="F7" s="14" t="s">
        <v>13</v>
      </c>
      <c r="G7" s="14" t="s">
        <v>14</v>
      </c>
      <c r="H7" s="14" t="s">
        <v>15</v>
      </c>
      <c r="I7" s="14" t="s">
        <v>16</v>
      </c>
      <c r="J7" s="14" t="s">
        <v>17</v>
      </c>
      <c r="K7" s="14" t="s">
        <v>18</v>
      </c>
      <c r="L7" s="14" t="s">
        <v>19</v>
      </c>
      <c r="M7" s="14" t="s">
        <v>20</v>
      </c>
      <c r="N7" s="14" t="s">
        <v>21</v>
      </c>
      <c r="O7" s="14" t="s">
        <v>22</v>
      </c>
      <c r="P7" s="14" t="s">
        <v>23</v>
      </c>
      <c r="Q7" s="14" t="s">
        <v>24</v>
      </c>
      <c r="R7" s="14" t="s">
        <v>24</v>
      </c>
      <c r="S7" s="14" t="s">
        <v>25</v>
      </c>
      <c r="T7" s="14" t="s">
        <v>26</v>
      </c>
      <c r="U7" s="12"/>
    </row>
    <row r="8" spans="1:66" s="20" customFormat="1" ht="16.5" customHeight="1" x14ac:dyDescent="0.45">
      <c r="B8" s="21" t="s">
        <v>27</v>
      </c>
      <c r="C8" s="21" t="s">
        <v>28</v>
      </c>
      <c r="D8" s="21" t="s">
        <v>29</v>
      </c>
      <c r="E8" s="22" t="s">
        <v>30</v>
      </c>
      <c r="F8" s="21" t="s">
        <v>31</v>
      </c>
      <c r="G8" s="21" t="s">
        <v>32</v>
      </c>
      <c r="H8" s="21" t="s">
        <v>33</v>
      </c>
      <c r="I8" s="21" t="s">
        <v>34</v>
      </c>
      <c r="J8" s="21" t="s">
        <v>35</v>
      </c>
      <c r="K8" s="21" t="s">
        <v>36</v>
      </c>
      <c r="L8" s="21" t="s">
        <v>37</v>
      </c>
      <c r="M8" s="21" t="s">
        <v>38</v>
      </c>
      <c r="N8" s="21" t="s">
        <v>39</v>
      </c>
      <c r="O8" s="21" t="s">
        <v>40</v>
      </c>
      <c r="P8" s="21" t="s">
        <v>41</v>
      </c>
      <c r="Q8" s="21" t="s">
        <v>42</v>
      </c>
      <c r="R8" s="21" t="s">
        <v>43</v>
      </c>
      <c r="S8" s="21" t="s">
        <v>44</v>
      </c>
      <c r="T8" s="21" t="s">
        <v>1033</v>
      </c>
      <c r="U8" s="12"/>
    </row>
    <row r="9" spans="1:66" s="25" customFormat="1" ht="16.5" customHeight="1" x14ac:dyDescent="0.45">
      <c r="A9" s="23"/>
      <c r="B9" s="23"/>
      <c r="C9" s="23"/>
      <c r="D9" s="23"/>
      <c r="E9" s="24"/>
      <c r="F9" s="23"/>
      <c r="G9" s="23"/>
      <c r="H9" s="23"/>
      <c r="I9" s="23"/>
      <c r="J9" s="23"/>
      <c r="K9" s="23"/>
      <c r="L9" s="23"/>
      <c r="M9" s="23"/>
      <c r="N9" s="23"/>
      <c r="O9" s="23"/>
      <c r="P9" s="23"/>
      <c r="Q9" s="23" t="s">
        <v>1032</v>
      </c>
      <c r="R9" s="23" t="s">
        <v>45</v>
      </c>
      <c r="S9" s="23"/>
      <c r="T9" s="23" t="s">
        <v>46</v>
      </c>
      <c r="U9" s="12"/>
    </row>
    <row r="10" spans="1:66" s="25" customFormat="1" ht="5.25" customHeight="1" x14ac:dyDescent="0.45">
      <c r="E10" s="26"/>
      <c r="U10" s="12"/>
    </row>
    <row r="11" spans="1:66" s="12" customFormat="1" ht="15.4" x14ac:dyDescent="0.45">
      <c r="A11" s="14" t="s">
        <v>47</v>
      </c>
      <c r="B11" s="27">
        <f>1.016*70.4</f>
        <v>71.52640000000001</v>
      </c>
      <c r="C11" s="27"/>
      <c r="D11" s="27"/>
      <c r="E11" s="27"/>
      <c r="F11" s="27"/>
      <c r="G11" s="27"/>
      <c r="H11" s="27"/>
      <c r="I11" s="27"/>
      <c r="J11" s="27"/>
      <c r="K11" s="27"/>
      <c r="L11" s="27"/>
      <c r="M11" s="27"/>
      <c r="N11" s="27"/>
      <c r="O11" s="27"/>
      <c r="P11" s="27"/>
      <c r="Q11" s="511"/>
      <c r="R11" s="27">
        <f>1.016*64.3</f>
        <v>65.328800000000001</v>
      </c>
      <c r="S11" s="27">
        <f>1.016*6.1</f>
        <v>6.1975999999999996</v>
      </c>
      <c r="T11" s="27">
        <f>R11+S11</f>
        <v>71.526399999999995</v>
      </c>
      <c r="V11" s="28"/>
      <c r="W11" s="28"/>
    </row>
    <row r="12" spans="1:66" s="12" customFormat="1" ht="15.4" x14ac:dyDescent="0.45">
      <c r="A12" s="14" t="s">
        <v>48</v>
      </c>
      <c r="B12" s="27">
        <f>1.016*104.5</f>
        <v>106.172</v>
      </c>
      <c r="C12" s="27"/>
      <c r="D12" s="27"/>
      <c r="E12" s="27"/>
      <c r="F12" s="27"/>
      <c r="G12" s="27"/>
      <c r="H12" s="27"/>
      <c r="I12" s="27"/>
      <c r="J12" s="27"/>
      <c r="K12" s="27"/>
      <c r="L12" s="27"/>
      <c r="M12" s="27"/>
      <c r="N12" s="27"/>
      <c r="O12" s="27"/>
      <c r="P12" s="27"/>
      <c r="Q12" s="511"/>
      <c r="R12" s="27">
        <f>1.016*94.3</f>
        <v>95.808800000000005</v>
      </c>
      <c r="S12" s="27">
        <f>1.016*10.2</f>
        <v>10.363199999999999</v>
      </c>
      <c r="T12" s="27">
        <f t="shared" ref="T12:T20" si="0">R12+S12</f>
        <v>106.172</v>
      </c>
      <c r="V12" s="28"/>
      <c r="W12" s="28"/>
    </row>
    <row r="13" spans="1:66" s="12" customFormat="1" ht="15.4" x14ac:dyDescent="0.45">
      <c r="A13" s="14" t="s">
        <v>49</v>
      </c>
      <c r="B13" s="27">
        <f>1.016*138.1</f>
        <v>140.30959999999999</v>
      </c>
      <c r="C13" s="27"/>
      <c r="D13" s="27"/>
      <c r="E13" s="27"/>
      <c r="F13" s="27"/>
      <c r="G13" s="27"/>
      <c r="H13" s="27"/>
      <c r="I13" s="27"/>
      <c r="J13" s="27"/>
      <c r="K13" s="27"/>
      <c r="L13" s="27"/>
      <c r="M13" s="27"/>
      <c r="N13" s="27"/>
      <c r="O13" s="27"/>
      <c r="P13" s="27"/>
      <c r="Q13" s="511"/>
      <c r="R13" s="27">
        <f>1.016*118.3</f>
        <v>120.19280000000001</v>
      </c>
      <c r="S13" s="27">
        <f>1.016*(15.7+4.1)</f>
        <v>20.116799999999998</v>
      </c>
      <c r="T13" s="27">
        <f t="shared" si="0"/>
        <v>140.30959999999999</v>
      </c>
      <c r="V13" s="28"/>
      <c r="W13" s="28"/>
    </row>
    <row r="14" spans="1:66" s="12" customFormat="1" ht="15.4" x14ac:dyDescent="0.45">
      <c r="A14" s="14" t="s">
        <v>50</v>
      </c>
      <c r="B14" s="27">
        <f>1.016*169.9</f>
        <v>172.61840000000001</v>
      </c>
      <c r="C14" s="27"/>
      <c r="D14" s="27"/>
      <c r="E14" s="27"/>
      <c r="F14" s="27"/>
      <c r="G14" s="27"/>
      <c r="H14" s="27"/>
      <c r="I14" s="27"/>
      <c r="J14" s="27"/>
      <c r="K14" s="27"/>
      <c r="L14" s="27"/>
      <c r="M14" s="27"/>
      <c r="N14" s="27"/>
      <c r="O14" s="27"/>
      <c r="P14" s="27"/>
      <c r="Q14" s="511"/>
      <c r="R14" s="27">
        <f>1.016*137.3</f>
        <v>139.49680000000001</v>
      </c>
      <c r="S14" s="27">
        <f>1.016*(25.2+7.4)</f>
        <v>33.121600000000001</v>
      </c>
      <c r="T14" s="27">
        <f t="shared" si="0"/>
        <v>172.61840000000001</v>
      </c>
      <c r="V14" s="28"/>
      <c r="W14" s="28"/>
    </row>
    <row r="15" spans="1:66" s="12" customFormat="1" ht="15.4" x14ac:dyDescent="0.45">
      <c r="A15" s="14" t="s">
        <v>51</v>
      </c>
      <c r="B15" s="27">
        <f>1.016*203.3</f>
        <v>206.55280000000002</v>
      </c>
      <c r="C15" s="27"/>
      <c r="D15" s="27"/>
      <c r="E15" s="27"/>
      <c r="F15" s="27"/>
      <c r="G15" s="27"/>
      <c r="H15" s="27"/>
      <c r="I15" s="27"/>
      <c r="J15" s="27"/>
      <c r="K15" s="27"/>
      <c r="L15" s="27"/>
      <c r="M15" s="27"/>
      <c r="N15" s="27"/>
      <c r="O15" s="27"/>
      <c r="P15" s="27"/>
      <c r="Q15" s="511"/>
      <c r="R15" s="27">
        <f>1.016*155.7</f>
        <v>158.19119999999998</v>
      </c>
      <c r="S15" s="27">
        <f>1.016*(36.5+11.1)</f>
        <v>48.361600000000003</v>
      </c>
      <c r="T15" s="27">
        <f t="shared" si="0"/>
        <v>206.55279999999999</v>
      </c>
      <c r="V15" s="28"/>
      <c r="W15" s="28"/>
    </row>
    <row r="16" spans="1:66" s="12" customFormat="1" ht="15.4" x14ac:dyDescent="0.45">
      <c r="A16" s="14" t="s">
        <v>52</v>
      </c>
      <c r="B16" s="27">
        <f>1.016*254</f>
        <v>258.06400000000002</v>
      </c>
      <c r="C16" s="27"/>
      <c r="D16" s="27"/>
      <c r="E16" s="27"/>
      <c r="F16" s="27"/>
      <c r="G16" s="27"/>
      <c r="H16" s="27"/>
      <c r="I16" s="27"/>
      <c r="J16" s="27"/>
      <c r="K16" s="27"/>
      <c r="L16" s="27"/>
      <c r="M16" s="27"/>
      <c r="N16" s="27"/>
      <c r="O16" s="27"/>
      <c r="P16" s="27"/>
      <c r="Q16" s="511"/>
      <c r="R16" s="27">
        <f>1.016*178</f>
        <v>180.84800000000001</v>
      </c>
      <c r="S16" s="27">
        <f>1.016*(57.5+18.5)</f>
        <v>77.216000000000008</v>
      </c>
      <c r="T16" s="27">
        <f t="shared" si="0"/>
        <v>258.06400000000002</v>
      </c>
      <c r="V16" s="28"/>
      <c r="W16" s="28"/>
    </row>
    <row r="17" spans="1:24" s="12" customFormat="1" ht="15.4" x14ac:dyDescent="0.45">
      <c r="A17" s="14" t="s">
        <v>53</v>
      </c>
      <c r="B17" s="27">
        <f>1.016*241.3</f>
        <v>245.16080000000002</v>
      </c>
      <c r="C17" s="27">
        <f>AVERAGE(C35:C37)</f>
        <v>3.8056000000000001</v>
      </c>
      <c r="D17" s="27"/>
      <c r="E17" s="27">
        <f>1.016*17.1</f>
        <v>17.373600000000003</v>
      </c>
      <c r="F17" s="27">
        <f>1.016*6.4</f>
        <v>6.5024000000000006</v>
      </c>
      <c r="G17" s="27">
        <f>1.016*17.7</f>
        <v>17.9832</v>
      </c>
      <c r="H17" s="27">
        <f>1.016*17.2</f>
        <v>17.475200000000001</v>
      </c>
      <c r="I17" s="27">
        <f>1.016*13.6</f>
        <v>13.817600000000001</v>
      </c>
      <c r="J17" s="27"/>
      <c r="K17" s="27"/>
      <c r="L17" s="27"/>
      <c r="M17" s="27">
        <f>1.016*5.9</f>
        <v>5.9944000000000006</v>
      </c>
      <c r="N17" s="27">
        <f>1.016*1.7</f>
        <v>1.7272000000000001</v>
      </c>
      <c r="O17" s="27">
        <f>1.016*104.7</f>
        <v>106.37520000000001</v>
      </c>
      <c r="P17" s="27" t="s">
        <v>54</v>
      </c>
      <c r="Q17" s="511"/>
      <c r="R17" s="27">
        <f>1.016*184.3</f>
        <v>187.24880000000002</v>
      </c>
      <c r="S17" s="27">
        <f>1.016*(43+14)</f>
        <v>57.911999999999999</v>
      </c>
      <c r="T17" s="27">
        <f t="shared" si="0"/>
        <v>245.16080000000002</v>
      </c>
      <c r="V17" s="28"/>
      <c r="W17" s="28"/>
      <c r="X17" s="28"/>
    </row>
    <row r="18" spans="1:24" s="12" customFormat="1" ht="15.4" x14ac:dyDescent="0.45">
      <c r="A18" s="14" t="s">
        <v>55</v>
      </c>
      <c r="B18" s="27">
        <f>1.016*235</f>
        <v>238.76</v>
      </c>
      <c r="C18" s="27">
        <f>AVERAGE(C38:C47)</f>
        <v>4.9987200000000005</v>
      </c>
      <c r="D18" s="27"/>
      <c r="E18" s="27">
        <f>1.016*13.6</f>
        <v>13.817600000000001</v>
      </c>
      <c r="F18" s="27">
        <f>1.016*8.8</f>
        <v>8.9408000000000012</v>
      </c>
      <c r="G18" s="27">
        <f>1.016*18</f>
        <v>18.288</v>
      </c>
      <c r="H18" s="27">
        <f>1.016*16</f>
        <v>16.256</v>
      </c>
      <c r="I18" s="27">
        <f>1.016*13.5</f>
        <v>13.716000000000001</v>
      </c>
      <c r="J18" s="1374">
        <f>AVERAGE(J38:J47)</f>
        <v>98.206559999999996</v>
      </c>
      <c r="K18" s="1374"/>
      <c r="L18" s="1374"/>
      <c r="M18" s="27">
        <f>1.016*5.3</f>
        <v>5.3848000000000003</v>
      </c>
      <c r="N18" s="27">
        <f>1.016*1.4</f>
        <v>1.4223999999999999</v>
      </c>
      <c r="O18" s="27">
        <f>1.016*89.9</f>
        <v>91.338400000000007</v>
      </c>
      <c r="P18" s="27">
        <f>1.016*2</f>
        <v>2.032</v>
      </c>
      <c r="Q18" s="511"/>
      <c r="R18" s="27">
        <f>AVERAGE(R38:R47)</f>
        <v>171.40935999999999</v>
      </c>
      <c r="S18" s="27">
        <f>1.016*(51.1+15.4)</f>
        <v>67.564000000000007</v>
      </c>
      <c r="T18" s="27">
        <f t="shared" si="0"/>
        <v>238.97336000000001</v>
      </c>
      <c r="V18" s="28"/>
      <c r="W18" s="28"/>
    </row>
    <row r="19" spans="1:24" s="12" customFormat="1" ht="15.4" x14ac:dyDescent="0.45">
      <c r="A19" s="14" t="s">
        <v>56</v>
      </c>
      <c r="B19" s="27">
        <f>1.016*221.7</f>
        <v>225.24719999999999</v>
      </c>
      <c r="C19" s="27">
        <f>AVERAGE(C48:C57)</f>
        <v>4.8768000000000002</v>
      </c>
      <c r="D19" s="27"/>
      <c r="E19" s="27">
        <f>1.016*11.9</f>
        <v>12.090400000000001</v>
      </c>
      <c r="F19" s="27">
        <f>1.016*15.4</f>
        <v>15.6464</v>
      </c>
      <c r="G19" s="27">
        <f>1.016*18.8</f>
        <v>19.1008</v>
      </c>
      <c r="H19" s="27">
        <f>1.016*19.4</f>
        <v>19.7104</v>
      </c>
      <c r="I19" s="27">
        <f>1.016*13.4</f>
        <v>13.6144</v>
      </c>
      <c r="J19" s="1374">
        <f>AVERAGE(J48:J57)</f>
        <v>102.83951999999999</v>
      </c>
      <c r="K19" s="1374"/>
      <c r="L19" s="1374"/>
      <c r="M19" s="27">
        <f>1.016*4.5</f>
        <v>4.5720000000000001</v>
      </c>
      <c r="N19" s="27">
        <f>1.016*1.3</f>
        <v>1.3208</v>
      </c>
      <c r="O19" s="27">
        <f>1.016*95.5</f>
        <v>97.028000000000006</v>
      </c>
      <c r="P19" s="27">
        <f>1.016*2.3</f>
        <v>2.3367999999999998</v>
      </c>
      <c r="Q19" s="511"/>
      <c r="R19" s="27">
        <f>AVERAGE(R48:R57)</f>
        <v>185.20664000000002</v>
      </c>
      <c r="S19" s="27">
        <f>1.016*(29.4+9.8)</f>
        <v>39.827200000000005</v>
      </c>
      <c r="T19" s="27">
        <f t="shared" si="0"/>
        <v>225.03384000000003</v>
      </c>
      <c r="V19" s="28"/>
      <c r="W19" s="28"/>
    </row>
    <row r="20" spans="1:24" s="12" customFormat="1" ht="15.4" x14ac:dyDescent="0.45">
      <c r="A20" s="14" t="s">
        <v>57</v>
      </c>
      <c r="B20" s="27">
        <f>1.016*205</f>
        <v>208.28</v>
      </c>
      <c r="C20" s="27">
        <f>AVERAGE(C58:C67)</f>
        <v>2.9117544000000004</v>
      </c>
      <c r="D20" s="27">
        <f>AVERAGE(D58:D67)</f>
        <v>14.728647199999997</v>
      </c>
      <c r="E20" s="27">
        <f>1.016*10.9</f>
        <v>11.074400000000001</v>
      </c>
      <c r="F20" s="27">
        <f>1.016*28.6</f>
        <v>29.057600000000001</v>
      </c>
      <c r="G20" s="27">
        <f>1.016*23.9</f>
        <v>24.282399999999999</v>
      </c>
      <c r="H20" s="27">
        <f>AVERAGE(H58:H67)</f>
        <v>23.371759200000003</v>
      </c>
      <c r="I20" s="27">
        <f>1.016*14.7</f>
        <v>14.9352</v>
      </c>
      <c r="J20" s="27">
        <f>AVERAGE(J58:J67)</f>
        <v>37.906959999999998</v>
      </c>
      <c r="K20" s="27">
        <f>AVERAGE(K58:K67)</f>
        <v>38.72992</v>
      </c>
      <c r="L20" s="27">
        <f>AVERAGE(L58:L67)</f>
        <v>14.931440800000008</v>
      </c>
      <c r="M20" s="27">
        <f>1.016*4.9</f>
        <v>4.9784000000000006</v>
      </c>
      <c r="N20" s="27">
        <f>1.016*1</f>
        <v>1.016</v>
      </c>
      <c r="O20" s="27">
        <f>1.016*85.3</f>
        <v>86.6648</v>
      </c>
      <c r="P20" s="27">
        <f>1.016*2.6</f>
        <v>2.6415999999999999</v>
      </c>
      <c r="Q20" s="511"/>
      <c r="R20" s="27">
        <f>AVERAGE(R58:R67)</f>
        <v>196.57568000000001</v>
      </c>
      <c r="S20" s="27">
        <f>1.016*(7.7+3.9)</f>
        <v>11.785600000000001</v>
      </c>
      <c r="T20" s="27">
        <f t="shared" si="0"/>
        <v>208.36127999999999</v>
      </c>
      <c r="V20" s="28"/>
      <c r="W20" s="28"/>
    </row>
    <row r="21" spans="1:24" s="12" customFormat="1" ht="15.4" x14ac:dyDescent="0.45">
      <c r="A21" s="14" t="s">
        <v>58</v>
      </c>
      <c r="B21" s="27">
        <f t="shared" ref="B21:K21" si="1">AVERAGE(B68:B77)</f>
        <v>216.26576000000006</v>
      </c>
      <c r="C21" s="27">
        <f t="shared" si="1"/>
        <v>15.038070400000001</v>
      </c>
      <c r="D21" s="27">
        <f t="shared" si="1"/>
        <v>16.695284800000003</v>
      </c>
      <c r="E21" s="27">
        <f t="shared" si="1"/>
        <v>7.0103799999999996</v>
      </c>
      <c r="F21" s="27">
        <f t="shared" si="1"/>
        <v>47.925580000000004</v>
      </c>
      <c r="G21" s="27">
        <f t="shared" si="1"/>
        <v>25.732379999999996</v>
      </c>
      <c r="H21" s="27">
        <f t="shared" si="1"/>
        <v>29.720147200000003</v>
      </c>
      <c r="I21" s="27">
        <f t="shared" si="1"/>
        <v>10.63752</v>
      </c>
      <c r="J21" s="27">
        <f t="shared" si="1"/>
        <v>36.342359999999999</v>
      </c>
      <c r="K21" s="27">
        <f t="shared" si="1"/>
        <v>36.752300000000005</v>
      </c>
      <c r="L21" s="27">
        <f>(SUM(L68:L77)+SUM(P68:P77))/10</f>
        <v>13.014332800000002</v>
      </c>
      <c r="M21" s="27"/>
      <c r="N21" s="27"/>
      <c r="O21" s="27"/>
      <c r="P21" s="27"/>
      <c r="Q21" s="511"/>
      <c r="R21" s="27">
        <f>AVERAGE(R68:R77)</f>
        <v>207.13499999999999</v>
      </c>
      <c r="S21" s="27">
        <f>AVERAGE(S68:S77)</f>
        <v>9.0728799999999978</v>
      </c>
      <c r="T21" s="27">
        <f>AVERAGE(T68:T77)</f>
        <v>216.20787999999999</v>
      </c>
      <c r="V21" s="28"/>
      <c r="W21" s="28"/>
    </row>
    <row r="22" spans="1:24" s="12" customFormat="1" ht="15.4" x14ac:dyDescent="0.45">
      <c r="A22" s="14" t="s">
        <v>59</v>
      </c>
      <c r="B22" s="27">
        <f t="shared" ref="B22:L22" si="2">AVERAGE(B78:B87)</f>
        <v>171.41952000000001</v>
      </c>
      <c r="C22" s="27">
        <f t="shared" si="2"/>
        <v>18.545100000000001</v>
      </c>
      <c r="D22" s="27">
        <f t="shared" si="2"/>
        <v>16.992700000000003</v>
      </c>
      <c r="E22" s="27">
        <f t="shared" si="2"/>
        <v>2.6700000000000004</v>
      </c>
      <c r="F22" s="27">
        <f t="shared" si="2"/>
        <v>71.499499999999983</v>
      </c>
      <c r="G22" s="27">
        <f t="shared" si="2"/>
        <v>11.859000000000004</v>
      </c>
      <c r="H22" s="27">
        <f t="shared" si="2"/>
        <v>27.867600000000003</v>
      </c>
      <c r="I22" s="27">
        <f t="shared" si="2"/>
        <v>1.5012799999999997</v>
      </c>
      <c r="J22" s="27">
        <f t="shared" si="2"/>
        <v>24.074800000000003</v>
      </c>
      <c r="K22" s="27">
        <f t="shared" si="2"/>
        <v>22.826419999999999</v>
      </c>
      <c r="L22" s="27">
        <f t="shared" si="2"/>
        <v>4.7424999999999979</v>
      </c>
      <c r="M22" s="27"/>
      <c r="N22" s="27"/>
      <c r="O22" s="27"/>
      <c r="P22" s="27"/>
      <c r="Q22" s="511"/>
      <c r="R22" s="27">
        <f>AVERAGE(R78:R87)</f>
        <v>167.0411</v>
      </c>
      <c r="S22" s="27">
        <f>AVERAGE(S78:S87)</f>
        <v>3.6073999999999997</v>
      </c>
      <c r="T22" s="27">
        <f>AVERAGE(T78:T87)</f>
        <v>170.64850000000001</v>
      </c>
      <c r="V22" s="28"/>
      <c r="W22" s="28"/>
    </row>
    <row r="23" spans="1:24" s="12" customFormat="1" ht="15.4" x14ac:dyDescent="0.45">
      <c r="A23" s="14" t="s">
        <v>60</v>
      </c>
      <c r="B23" s="27">
        <f t="shared" ref="B23:L23" si="3">AVERAGE(B88:B97)</f>
        <v>125.48004</v>
      </c>
      <c r="C23" s="27">
        <f t="shared" si="3"/>
        <v>13.124000000000001</v>
      </c>
      <c r="D23" s="27">
        <f t="shared" si="3"/>
        <v>20.886900000000004</v>
      </c>
      <c r="E23" s="27">
        <f t="shared" si="3"/>
        <v>0.9788</v>
      </c>
      <c r="F23" s="27">
        <f t="shared" si="3"/>
        <v>80.26639999999999</v>
      </c>
      <c r="G23" s="27">
        <f t="shared" si="3"/>
        <v>0.159</v>
      </c>
      <c r="H23" s="27">
        <f t="shared" si="3"/>
        <v>19.0885</v>
      </c>
      <c r="I23" s="27">
        <f t="shared" si="3"/>
        <v>9.9999999999999992E-2</v>
      </c>
      <c r="J23" s="27">
        <f t="shared" si="3"/>
        <v>10.834300000000001</v>
      </c>
      <c r="K23" s="27">
        <f t="shared" si="3"/>
        <v>9.0128000000000021</v>
      </c>
      <c r="L23" s="27">
        <f t="shared" si="3"/>
        <v>2.0708000000000042</v>
      </c>
      <c r="M23" s="27"/>
      <c r="N23" s="27"/>
      <c r="O23" s="27"/>
      <c r="P23" s="27"/>
      <c r="Q23" s="511"/>
      <c r="R23" s="27">
        <f>AVERAGE(R88:R97)</f>
        <v>122.37520000000002</v>
      </c>
      <c r="S23" s="27">
        <f>AVERAGE(S88:S97)</f>
        <v>3.4807999999999999</v>
      </c>
      <c r="T23" s="27">
        <f>AVERAGE(T88:T97)</f>
        <v>125.85599999999999</v>
      </c>
      <c r="V23" s="28"/>
      <c r="W23" s="28"/>
    </row>
    <row r="24" spans="1:24" s="12" customFormat="1" ht="15.4" x14ac:dyDescent="0.45">
      <c r="A24" s="14" t="s">
        <v>61</v>
      </c>
      <c r="B24" s="27">
        <f>AVERAGE(B98:B107)</f>
        <v>109.8047</v>
      </c>
      <c r="C24" s="27">
        <f>AVERAGE(C98:C107)</f>
        <v>11.991199999999999</v>
      </c>
      <c r="D24" s="27">
        <f>AVERAGE(D98:D107)</f>
        <v>28.4998</v>
      </c>
      <c r="E24" s="27">
        <f>AVERAGE(E98:E107)</f>
        <v>0.22180000000000005</v>
      </c>
      <c r="F24" s="27">
        <f>AVERAGE(F98:F107)</f>
        <v>79.186400000000006</v>
      </c>
      <c r="G24" s="27" t="s">
        <v>54</v>
      </c>
      <c r="H24" s="27">
        <f>AVERAGE(H98:H107)</f>
        <v>12.107299999999999</v>
      </c>
      <c r="I24" s="27" t="s">
        <v>54</v>
      </c>
      <c r="J24" s="27">
        <f>AVERAGE(J98:J107)</f>
        <v>5.8995999999999995</v>
      </c>
      <c r="K24" s="27">
        <f>AVERAGE(K98:K107)</f>
        <v>7.1822999999999997</v>
      </c>
      <c r="L24" s="27">
        <f>AVERAGE(L98:L107)</f>
        <v>1.3754999999999966</v>
      </c>
      <c r="M24" s="27"/>
      <c r="N24" s="27"/>
      <c r="O24" s="27"/>
      <c r="P24" s="27"/>
      <c r="Q24" s="511"/>
      <c r="R24" s="27">
        <f>AVERAGE(R98:R107)</f>
        <v>105.97290000000001</v>
      </c>
      <c r="S24" s="27">
        <f>AVERAGE(S98:S107)</f>
        <v>2.5290999999999997</v>
      </c>
      <c r="T24" s="27">
        <f>AVERAGE(T98:T107)</f>
        <v>108.502</v>
      </c>
      <c r="V24" s="28"/>
      <c r="W24" s="28"/>
    </row>
    <row r="25" spans="1:24" s="12" customFormat="1" ht="15.4" x14ac:dyDescent="0.45">
      <c r="A25" s="14" t="s">
        <v>62</v>
      </c>
      <c r="B25" s="27">
        <f>AVERAGE(B108:B117)</f>
        <v>68.034244585856726</v>
      </c>
      <c r="C25" s="27">
        <f>AVERAGE(C108:C117)</f>
        <v>5.8752291999999997</v>
      </c>
      <c r="D25" s="27">
        <f>AVERAGE(D108:D117)</f>
        <v>15.791538208586545</v>
      </c>
      <c r="E25" s="27">
        <f>AVERAGE(E108:E117)</f>
        <v>1.3971205851817756E-2</v>
      </c>
      <c r="F25" s="27">
        <f>AVERAGE(F108:F117)</f>
        <v>52.560997826265449</v>
      </c>
      <c r="G25" s="27" t="s">
        <v>54</v>
      </c>
      <c r="H25" s="27">
        <f>AVERAGE(H108:H117)</f>
        <v>9.3539218654750602</v>
      </c>
      <c r="I25" s="27" t="s">
        <v>54</v>
      </c>
      <c r="J25" s="27">
        <f>AVERAGE(J108:J117)</f>
        <v>2.6446413833740405</v>
      </c>
      <c r="K25" s="27">
        <f>AVERAGE(K108:K117)</f>
        <v>3.0773858630306239</v>
      </c>
      <c r="L25" s="27">
        <f>AVERAGE(L108:L117)</f>
        <v>0.67813870870223281</v>
      </c>
      <c r="M25" s="27"/>
      <c r="N25" s="27"/>
      <c r="O25" s="27"/>
      <c r="P25" s="27"/>
      <c r="Q25" s="511"/>
      <c r="R25" s="27">
        <f>AVERAGE(R108:R117)</f>
        <v>68.11562272779922</v>
      </c>
      <c r="S25" s="27">
        <f>AVERAGE(S108:S117)</f>
        <v>0.88225286089999988</v>
      </c>
      <c r="T25" s="27">
        <f>AVERAGE(T108:T117)</f>
        <v>68.99787558869923</v>
      </c>
      <c r="V25" s="28"/>
      <c r="W25" s="28"/>
    </row>
    <row r="26" spans="1:24" s="12" customFormat="1" ht="12.75" customHeight="1" x14ac:dyDescent="0.45">
      <c r="A26" s="14" t="s">
        <v>63</v>
      </c>
      <c r="B26" s="27">
        <f>AVERAGE(B118:B127)</f>
        <v>58.952126160854718</v>
      </c>
      <c r="C26" s="27">
        <f>AVERAGE(C118:C127)</f>
        <v>1.1301069988851373</v>
      </c>
      <c r="D26" s="27">
        <f>AVERAGE(D118:D127)</f>
        <v>15.047927900911205</v>
      </c>
      <c r="E26" s="27">
        <f>AVERAGE(E118:E127)</f>
        <v>5.0233829189525563E-3</v>
      </c>
      <c r="F26" s="27">
        <f>AVERAGE(F118:F127)</f>
        <v>49.065062613283438</v>
      </c>
      <c r="G26" s="27" t="s">
        <v>54</v>
      </c>
      <c r="H26" s="27">
        <f>AVERAGE(H118:H127)</f>
        <v>7.3038239269833083</v>
      </c>
      <c r="I26" s="27" t="s">
        <v>54</v>
      </c>
      <c r="J26" s="27">
        <f>AVERAGE(J118:J127)</f>
        <v>0.72767669062101847</v>
      </c>
      <c r="K26" s="27">
        <f>AVERAGE(K118:K127)</f>
        <v>1.8402385062773483</v>
      </c>
      <c r="L26" s="27">
        <f>AVERAGE(L118:L127)</f>
        <v>3.769437830504889E-2</v>
      </c>
      <c r="M26" s="27"/>
      <c r="N26" s="27"/>
      <c r="O26" s="27"/>
      <c r="P26" s="27"/>
      <c r="Q26" s="511"/>
      <c r="R26" s="27">
        <f>AVERAGE(R118:R127)</f>
        <v>58.992459659682879</v>
      </c>
      <c r="S26" s="27">
        <f>AVERAGE(S118:S127)</f>
        <v>0.5627516816</v>
      </c>
      <c r="T26" s="27">
        <f>AVERAGE(T118:T127)</f>
        <v>59.555211341282885</v>
      </c>
      <c r="V26" s="28"/>
      <c r="W26" s="28"/>
    </row>
    <row r="27" spans="1:24" s="12" customFormat="1" x14ac:dyDescent="0.45">
      <c r="A27" s="14"/>
      <c r="B27" s="29"/>
      <c r="C27" s="29"/>
      <c r="D27" s="29"/>
      <c r="E27" s="29"/>
      <c r="F27" s="29"/>
      <c r="G27" s="29"/>
      <c r="H27" s="29"/>
      <c r="I27" s="29"/>
      <c r="J27" s="29"/>
      <c r="K27" s="29"/>
      <c r="L27" s="29"/>
      <c r="M27" s="29"/>
      <c r="N27" s="29"/>
      <c r="O27" s="29"/>
      <c r="P27" s="29"/>
      <c r="Q27" s="510"/>
      <c r="R27" s="29"/>
      <c r="S27" s="29"/>
      <c r="T27" s="29"/>
      <c r="V27" s="28"/>
      <c r="W27" s="28"/>
    </row>
    <row r="28" spans="1:24" s="12" customFormat="1" x14ac:dyDescent="0.45">
      <c r="A28" s="14">
        <v>1913</v>
      </c>
      <c r="B28" s="29">
        <f>1.016*287.4</f>
        <v>291.9984</v>
      </c>
      <c r="C28" s="29" t="s">
        <v>54</v>
      </c>
      <c r="D28" s="29" t="s">
        <v>54</v>
      </c>
      <c r="E28" s="29">
        <f>1.016*18</f>
        <v>18.288</v>
      </c>
      <c r="F28" s="29">
        <f>1.016*4.9</f>
        <v>4.9784000000000006</v>
      </c>
      <c r="G28" s="29">
        <f>1.016*17.8</f>
        <v>18.084800000000001</v>
      </c>
      <c r="H28" s="29">
        <f>1.016*19.7</f>
        <v>20.0152</v>
      </c>
      <c r="I28" s="29">
        <f>1.016*14.3</f>
        <v>14.5288</v>
      </c>
      <c r="J28" s="29"/>
      <c r="K28" s="29"/>
      <c r="L28" s="29"/>
      <c r="M28" s="29">
        <f>1.016*5.8</f>
        <v>5.8928000000000003</v>
      </c>
      <c r="N28" s="29">
        <f>1.016*2.4</f>
        <v>2.4384000000000001</v>
      </c>
      <c r="O28" s="29">
        <f>1.016*110.1</f>
        <v>111.8616</v>
      </c>
      <c r="P28" s="29"/>
      <c r="Q28" s="510"/>
      <c r="R28" s="29">
        <f>1.016*193</f>
        <v>196.08799999999999</v>
      </c>
      <c r="S28" s="29">
        <f>1.016*(73.4+21)</f>
        <v>95.91040000000001</v>
      </c>
      <c r="T28" s="27">
        <f>R28+S28</f>
        <v>291.9984</v>
      </c>
      <c r="U28" s="30"/>
      <c r="V28" s="28"/>
      <c r="W28" s="28"/>
    </row>
    <row r="29" spans="1:24" s="12" customFormat="1" x14ac:dyDescent="0.45">
      <c r="A29" s="14">
        <v>1914</v>
      </c>
      <c r="B29" s="29">
        <f>1.016*265.7</f>
        <v>269.95119999999997</v>
      </c>
      <c r="C29" s="29" t="s">
        <v>54</v>
      </c>
      <c r="D29" s="29" t="s">
        <v>54</v>
      </c>
      <c r="E29" s="29">
        <f>1.016*18</f>
        <v>18.288</v>
      </c>
      <c r="F29" s="29">
        <f>1.016*5.6</f>
        <v>5.6895999999999995</v>
      </c>
      <c r="G29" s="29">
        <f>1.016*17.5</f>
        <v>17.78</v>
      </c>
      <c r="H29" s="29">
        <f>1.016*17.1</f>
        <v>17.373600000000003</v>
      </c>
      <c r="I29" s="29">
        <f>1.016*13.9</f>
        <v>14.122400000000001</v>
      </c>
      <c r="J29" s="29"/>
      <c r="K29" s="29"/>
      <c r="L29" s="29"/>
      <c r="M29" s="29">
        <f>1.016*6</f>
        <v>6.0960000000000001</v>
      </c>
      <c r="N29" s="29">
        <f>1.016*2.4</f>
        <v>2.4384000000000001</v>
      </c>
      <c r="O29" s="29">
        <f>1.016*107.6</f>
        <v>109.32159999999999</v>
      </c>
      <c r="P29" s="29"/>
      <c r="Q29" s="510"/>
      <c r="R29" s="29">
        <f>1.016*188.1</f>
        <v>191.1096</v>
      </c>
      <c r="S29" s="29">
        <f>1.016*(59.1+18.5)</f>
        <v>78.8416</v>
      </c>
      <c r="T29" s="27">
        <f t="shared" ref="T29:T92" si="4">R29+S29</f>
        <v>269.95119999999997</v>
      </c>
      <c r="U29" s="30"/>
      <c r="V29" s="28"/>
      <c r="W29" s="28"/>
    </row>
    <row r="30" spans="1:24" s="12" customFormat="1" x14ac:dyDescent="0.45">
      <c r="A30" s="14">
        <v>1915</v>
      </c>
      <c r="B30" s="29">
        <f>1.016*253.2</f>
        <v>257.25119999999998</v>
      </c>
      <c r="C30" s="29" t="s">
        <v>54</v>
      </c>
      <c r="D30" s="29" t="s">
        <v>54</v>
      </c>
      <c r="E30" s="29">
        <f>1.016*18</f>
        <v>18.288</v>
      </c>
      <c r="F30" s="29">
        <f>1.016*5.5</f>
        <v>5.5880000000000001</v>
      </c>
      <c r="G30" s="29">
        <f>1.016*17.4</f>
        <v>17.6784</v>
      </c>
      <c r="H30" s="29">
        <f>1.016*18.2</f>
        <v>18.491199999999999</v>
      </c>
      <c r="I30" s="29">
        <f>1.016*14.2</f>
        <v>14.427199999999999</v>
      </c>
      <c r="J30" s="29"/>
      <c r="K30" s="29"/>
      <c r="L30" s="29"/>
      <c r="M30" s="29">
        <f>1.016*6</f>
        <v>6.0960000000000001</v>
      </c>
      <c r="N30" s="29">
        <f>1.016*2</f>
        <v>2.032</v>
      </c>
      <c r="O30" s="29">
        <f>1.016*114.7</f>
        <v>116.5352</v>
      </c>
      <c r="P30" s="29"/>
      <c r="Q30" s="510"/>
      <c r="R30" s="29">
        <f>1.016*196</f>
        <v>199.136</v>
      </c>
      <c r="S30" s="29">
        <f>1.016*(43.6+13.6)</f>
        <v>58.115200000000002</v>
      </c>
      <c r="T30" s="27">
        <f t="shared" si="4"/>
        <v>257.25119999999998</v>
      </c>
      <c r="U30" s="30"/>
      <c r="V30" s="28"/>
      <c r="W30" s="28"/>
    </row>
    <row r="31" spans="1:24" s="12" customFormat="1" x14ac:dyDescent="0.45">
      <c r="A31" s="14">
        <v>1916</v>
      </c>
      <c r="B31" s="29">
        <f>1.016*256.4</f>
        <v>260.50239999999997</v>
      </c>
      <c r="C31" s="29" t="s">
        <v>54</v>
      </c>
      <c r="D31" s="29" t="s">
        <v>54</v>
      </c>
      <c r="E31" s="29">
        <f>1.016*18</f>
        <v>18.288</v>
      </c>
      <c r="F31" s="29">
        <f>1.016*6</f>
        <v>6.0960000000000001</v>
      </c>
      <c r="G31" s="29">
        <f>1.016*17.4</f>
        <v>17.6784</v>
      </c>
      <c r="H31" s="29">
        <f>1.016*20.2</f>
        <v>20.523199999999999</v>
      </c>
      <c r="I31" s="29">
        <f>1.016*14.4</f>
        <v>14.6304</v>
      </c>
      <c r="J31" s="29"/>
      <c r="K31" s="29"/>
      <c r="L31" s="29"/>
      <c r="M31" s="29">
        <f>1.016*6</f>
        <v>6.0960000000000001</v>
      </c>
      <c r="N31" s="29">
        <f>1.016*1.7</f>
        <v>1.7272000000000001</v>
      </c>
      <c r="O31" s="29">
        <f>1.016*121.4</f>
        <v>123.34240000000001</v>
      </c>
      <c r="P31" s="29"/>
      <c r="Q31" s="510"/>
      <c r="R31" s="29">
        <f>1.016*205.1</f>
        <v>208.38159999999999</v>
      </c>
      <c r="S31" s="29">
        <f>1.016*(38.3+13)</f>
        <v>52.120799999999996</v>
      </c>
      <c r="T31" s="27">
        <f t="shared" si="4"/>
        <v>260.50239999999997</v>
      </c>
      <c r="U31" s="30"/>
      <c r="V31" s="28"/>
      <c r="W31" s="28"/>
    </row>
    <row r="32" spans="1:24" s="12" customFormat="1" x14ac:dyDescent="0.45">
      <c r="A32" s="14">
        <v>1917</v>
      </c>
      <c r="B32" s="29">
        <f>1.016*248.5</f>
        <v>252.476</v>
      </c>
      <c r="C32" s="29" t="s">
        <v>54</v>
      </c>
      <c r="D32" s="29" t="s">
        <v>54</v>
      </c>
      <c r="E32" s="29">
        <f>1.016*18</f>
        <v>18.288</v>
      </c>
      <c r="F32" s="29">
        <f>1.016*6.6</f>
        <v>6.7055999999999996</v>
      </c>
      <c r="G32" s="29">
        <f>1.016*18.8</f>
        <v>19.1008</v>
      </c>
      <c r="H32" s="29">
        <f>1.016*20.5</f>
        <v>20.827999999999999</v>
      </c>
      <c r="I32" s="29">
        <f>1.016*13.6</f>
        <v>13.817600000000001</v>
      </c>
      <c r="J32" s="29"/>
      <c r="K32" s="29"/>
      <c r="L32" s="29"/>
      <c r="M32" s="29">
        <f>1.016*6</f>
        <v>6.0960000000000001</v>
      </c>
      <c r="N32" s="29">
        <f>1.016*1.3</f>
        <v>1.3208</v>
      </c>
      <c r="O32" s="29">
        <f>1.016*118.5</f>
        <v>120.396</v>
      </c>
      <c r="P32" s="29"/>
      <c r="Q32" s="510"/>
      <c r="R32" s="29">
        <f>1.016*203.3</f>
        <v>206.55280000000002</v>
      </c>
      <c r="S32" s="29">
        <f>1.016*(35+10.2)</f>
        <v>45.923200000000001</v>
      </c>
      <c r="T32" s="27">
        <f t="shared" si="4"/>
        <v>252.47600000000003</v>
      </c>
      <c r="U32" s="30"/>
      <c r="V32" s="28"/>
      <c r="W32" s="28"/>
    </row>
    <row r="33" spans="1:23" s="12" customFormat="1" x14ac:dyDescent="0.45">
      <c r="A33" s="14">
        <v>1918</v>
      </c>
      <c r="B33" s="29">
        <f>1.016*227.7</f>
        <v>231.3432</v>
      </c>
      <c r="C33" s="29" t="s">
        <v>54</v>
      </c>
      <c r="D33" s="29" t="s">
        <v>54</v>
      </c>
      <c r="E33" s="29">
        <f>1.016*17</f>
        <v>17.271999999999998</v>
      </c>
      <c r="F33" s="29">
        <f>1.016*7.1</f>
        <v>7.2135999999999996</v>
      </c>
      <c r="G33" s="29">
        <f>1.016*18.5</f>
        <v>18.795999999999999</v>
      </c>
      <c r="H33" s="29">
        <f>1.016*19.7</f>
        <v>20.0152</v>
      </c>
      <c r="I33" s="29">
        <f>1.016*13.3</f>
        <v>13.5128</v>
      </c>
      <c r="J33" s="29"/>
      <c r="K33" s="29"/>
      <c r="L33" s="29"/>
      <c r="M33" s="29">
        <f>1.016*6</f>
        <v>6.0960000000000001</v>
      </c>
      <c r="N33" s="29">
        <f>1.016*1</f>
        <v>1.016</v>
      </c>
      <c r="O33" s="29">
        <f>1.016*104.6</f>
        <v>106.2736</v>
      </c>
      <c r="P33" s="29"/>
      <c r="Q33" s="510"/>
      <c r="R33" s="29">
        <f>1.016*187.2</f>
        <v>190.1952</v>
      </c>
      <c r="S33" s="29">
        <f>1.016*(31.7+8.8)</f>
        <v>41.148000000000003</v>
      </c>
      <c r="T33" s="27">
        <f t="shared" si="4"/>
        <v>231.3432</v>
      </c>
      <c r="U33" s="30"/>
      <c r="V33" s="28"/>
      <c r="W33" s="28"/>
    </row>
    <row r="34" spans="1:23" s="12" customFormat="1" x14ac:dyDescent="0.45">
      <c r="A34" s="14">
        <v>1919</v>
      </c>
      <c r="B34" s="29">
        <f>1.016*229.8</f>
        <v>233.47680000000003</v>
      </c>
      <c r="C34" s="29" t="s">
        <v>54</v>
      </c>
      <c r="D34" s="29" t="s">
        <v>54</v>
      </c>
      <c r="E34" s="29">
        <f>1.016*17</f>
        <v>17.271999999999998</v>
      </c>
      <c r="F34" s="29">
        <f>1.016*7.7</f>
        <v>7.8231999999999999</v>
      </c>
      <c r="G34" s="29">
        <f>1.016*17.7</f>
        <v>17.9832</v>
      </c>
      <c r="H34" s="29">
        <f>1.016*17.6</f>
        <v>17.881600000000002</v>
      </c>
      <c r="I34" s="29">
        <f>1.016*13.5</f>
        <v>13.716000000000001</v>
      </c>
      <c r="J34" s="29"/>
      <c r="K34" s="29"/>
      <c r="L34" s="29"/>
      <c r="M34" s="29">
        <f>1.016*6.3</f>
        <v>6.4008000000000003</v>
      </c>
      <c r="N34" s="29">
        <f>1.016*1.3</f>
        <v>1.3208</v>
      </c>
      <c r="O34" s="29">
        <f>1.016*101.4</f>
        <v>103.0224</v>
      </c>
      <c r="P34" s="29"/>
      <c r="Q34" s="510"/>
      <c r="R34" s="29">
        <f>1.016*182.5</f>
        <v>185.42000000000002</v>
      </c>
      <c r="S34" s="29">
        <f>1.016*(35.3+12)</f>
        <v>48.056799999999996</v>
      </c>
      <c r="T34" s="27">
        <f t="shared" si="4"/>
        <v>233.47680000000003</v>
      </c>
      <c r="U34" s="30"/>
      <c r="V34" s="28"/>
      <c r="W34" s="28"/>
    </row>
    <row r="35" spans="1:23" s="12" customFormat="1" x14ac:dyDescent="0.45">
      <c r="A35" s="14">
        <v>1920</v>
      </c>
      <c r="B35" s="29">
        <f>1.016*229.5</f>
        <v>233.172</v>
      </c>
      <c r="C35" s="29">
        <f>1.016*3.3</f>
        <v>3.3527999999999998</v>
      </c>
      <c r="D35" s="29" t="s">
        <v>54</v>
      </c>
      <c r="E35" s="29">
        <f>1.016*17.2</f>
        <v>17.475200000000001</v>
      </c>
      <c r="F35" s="29">
        <f>1.016*7.4</f>
        <v>7.5184000000000006</v>
      </c>
      <c r="G35" s="29">
        <f>1.016*18.6</f>
        <v>18.897600000000001</v>
      </c>
      <c r="H35" s="29">
        <f>1.016*18.9</f>
        <v>19.202399999999997</v>
      </c>
      <c r="I35" s="29">
        <f>1.016*14.5</f>
        <v>14.731999999999999</v>
      </c>
      <c r="J35" s="29"/>
      <c r="K35" s="29"/>
      <c r="L35" s="29"/>
      <c r="M35" s="29">
        <f>1.016*6.6</f>
        <v>6.7055999999999996</v>
      </c>
      <c r="N35" s="29">
        <f>1.016*1.7</f>
        <v>1.7272000000000001</v>
      </c>
      <c r="O35" s="29">
        <f>1.016*105.8</f>
        <v>107.4928</v>
      </c>
      <c r="P35" s="29"/>
      <c r="Q35" s="510"/>
      <c r="R35" s="29">
        <f>1.016*190.7</f>
        <v>193.75119999999998</v>
      </c>
      <c r="S35" s="29">
        <f>1.016*(24.9+13.9)</f>
        <v>39.4208</v>
      </c>
      <c r="T35" s="27">
        <f t="shared" si="4"/>
        <v>233.17199999999997</v>
      </c>
      <c r="U35" s="30"/>
      <c r="V35" s="28"/>
      <c r="W35" s="28"/>
    </row>
    <row r="36" spans="1:23" s="12" customFormat="1" x14ac:dyDescent="0.45">
      <c r="A36" s="14">
        <v>1921</v>
      </c>
      <c r="B36" s="29">
        <f>1.016*166</f>
        <v>168.65600000000001</v>
      </c>
      <c r="C36" s="29">
        <f>1.016*4</f>
        <v>4.0640000000000001</v>
      </c>
      <c r="D36" s="29" t="s">
        <v>54</v>
      </c>
      <c r="E36" s="29">
        <f>1.016*13.7</f>
        <v>13.9192</v>
      </c>
      <c r="F36" s="29">
        <f>1.016*6.3</f>
        <v>6.4008000000000003</v>
      </c>
      <c r="G36" s="29">
        <f>1.016*16.7</f>
        <v>16.967199999999998</v>
      </c>
      <c r="H36" s="29">
        <f>1.016*6.9</f>
        <v>7.0104000000000006</v>
      </c>
      <c r="I36" s="29">
        <f>1.016*11.5</f>
        <v>11.684000000000001</v>
      </c>
      <c r="J36" s="29"/>
      <c r="K36" s="29"/>
      <c r="L36" s="29"/>
      <c r="M36" s="29">
        <f>1.016*4.9</f>
        <v>4.9784000000000006</v>
      </c>
      <c r="N36" s="29">
        <f>1.016*1.2</f>
        <v>1.2192000000000001</v>
      </c>
      <c r="O36" s="29">
        <f>1.016*69.2</f>
        <v>70.307200000000009</v>
      </c>
      <c r="P36" s="29"/>
      <c r="Q36" s="510"/>
      <c r="R36" s="29">
        <f>1.016*130.4</f>
        <v>132.4864</v>
      </c>
      <c r="S36" s="29">
        <f>1.016*(24.7+10.9)</f>
        <v>36.169600000000003</v>
      </c>
      <c r="T36" s="27">
        <f t="shared" si="4"/>
        <v>168.65600000000001</v>
      </c>
      <c r="U36" s="30"/>
      <c r="V36" s="28"/>
      <c r="W36" s="28"/>
    </row>
    <row r="37" spans="1:23" s="12" customFormat="1" x14ac:dyDescent="0.45">
      <c r="A37" s="14">
        <v>1922</v>
      </c>
      <c r="B37" s="29">
        <f>1.016*249.7</f>
        <v>253.6952</v>
      </c>
      <c r="C37" s="29">
        <v>4</v>
      </c>
      <c r="D37" s="29" t="s">
        <v>54</v>
      </c>
      <c r="E37" s="29">
        <f>1.016*16.3</f>
        <v>16.5608</v>
      </c>
      <c r="F37" s="29">
        <f>1.016*6.8</f>
        <v>6.9088000000000003</v>
      </c>
      <c r="G37" s="29">
        <f>1.016*16.6</f>
        <v>16.865600000000001</v>
      </c>
      <c r="H37" s="29">
        <f>1.016*13.3</f>
        <v>13.5128</v>
      </c>
      <c r="I37" s="29">
        <f>1.016*13.3</f>
        <v>13.5128</v>
      </c>
      <c r="J37" s="29"/>
      <c r="K37" s="29"/>
      <c r="L37" s="29"/>
      <c r="M37" s="29">
        <f>1.016*5.8</f>
        <v>5.8928000000000003</v>
      </c>
      <c r="N37" s="29">
        <f>1.016*1.6</f>
        <v>1.6256000000000002</v>
      </c>
      <c r="O37" s="29">
        <f>1.016*93.5</f>
        <v>94.995999999999995</v>
      </c>
      <c r="P37" s="29"/>
      <c r="Q37" s="510"/>
      <c r="R37" s="29">
        <f>1.016*167.2</f>
        <v>169.87519999999998</v>
      </c>
      <c r="S37" s="29">
        <f>1.016*(64.2+18.3)</f>
        <v>83.820000000000007</v>
      </c>
      <c r="T37" s="27">
        <f t="shared" si="4"/>
        <v>253.6952</v>
      </c>
      <c r="U37" s="30"/>
      <c r="V37" s="28"/>
      <c r="W37" s="28"/>
    </row>
    <row r="38" spans="1:23" s="12" customFormat="1" x14ac:dyDescent="0.45">
      <c r="A38" s="14">
        <v>1923</v>
      </c>
      <c r="B38" s="29">
        <f>1.016*277.1</f>
        <v>281.53360000000004</v>
      </c>
      <c r="C38" s="29">
        <f>2.9*1.016</f>
        <v>2.9464000000000001</v>
      </c>
      <c r="D38" s="29" t="s">
        <v>54</v>
      </c>
      <c r="E38" s="29">
        <f>16.9*1.016</f>
        <v>17.170399999999997</v>
      </c>
      <c r="F38" s="29">
        <f>7.2*1.016</f>
        <v>7.3151999999999999</v>
      </c>
      <c r="G38" s="29">
        <f>17.2*1.016</f>
        <v>17.475200000000001</v>
      </c>
      <c r="H38" s="29">
        <f>19.8*1.016</f>
        <v>20.116800000000001</v>
      </c>
      <c r="I38" s="29">
        <f>14*1.016</f>
        <v>14.224</v>
      </c>
      <c r="J38" s="1373">
        <f>102*1.016</f>
        <v>103.63200000000001</v>
      </c>
      <c r="K38" s="1373"/>
      <c r="L38" s="1373"/>
      <c r="M38" s="29"/>
      <c r="N38" s="29"/>
      <c r="O38" s="29"/>
      <c r="P38" s="29">
        <f>1.016*2.6</f>
        <v>2.6415999999999999</v>
      </c>
      <c r="Q38" s="510"/>
      <c r="R38" s="29">
        <f>1.016*179.7</f>
        <v>182.5752</v>
      </c>
      <c r="S38" s="29">
        <f>1.016*(79.3+18.1)</f>
        <v>98.958400000000012</v>
      </c>
      <c r="T38" s="27">
        <f t="shared" si="4"/>
        <v>281.53359999999998</v>
      </c>
      <c r="U38" s="30"/>
      <c r="V38" s="28"/>
      <c r="W38" s="28"/>
    </row>
    <row r="39" spans="1:23" s="12" customFormat="1" x14ac:dyDescent="0.45">
      <c r="A39" s="14">
        <v>1924</v>
      </c>
      <c r="B39" s="29">
        <f>1.016*264.7</f>
        <v>268.93520000000001</v>
      </c>
      <c r="C39" s="29">
        <f>5.3*1.016</f>
        <v>5.3848000000000003</v>
      </c>
      <c r="D39" s="29" t="s">
        <v>54</v>
      </c>
      <c r="E39" s="29">
        <f>16.6*1.016</f>
        <v>16.865600000000001</v>
      </c>
      <c r="F39" s="29">
        <f>7.7*1.016</f>
        <v>7.8231999999999999</v>
      </c>
      <c r="G39" s="29">
        <f>1.016*18.1</f>
        <v>18.389600000000002</v>
      </c>
      <c r="H39" s="29">
        <f>18.9*1.016</f>
        <v>19.202399999999997</v>
      </c>
      <c r="I39" s="29">
        <f>14.2*1.016</f>
        <v>14.427199999999999</v>
      </c>
      <c r="J39" s="1373">
        <f>107.8*1.016</f>
        <v>109.5248</v>
      </c>
      <c r="K39" s="1373"/>
      <c r="L39" s="1373"/>
      <c r="M39" s="29"/>
      <c r="N39" s="29"/>
      <c r="O39" s="29"/>
      <c r="P39" s="29">
        <f>1.016*2.2</f>
        <v>2.2352000000000003</v>
      </c>
      <c r="Q39" s="510"/>
      <c r="R39" s="29">
        <f>1.016*185.5</f>
        <v>188.46799999999999</v>
      </c>
      <c r="S39" s="29">
        <f>1.016*(61.5+17.7)</f>
        <v>80.467200000000005</v>
      </c>
      <c r="T39" s="27">
        <f t="shared" si="4"/>
        <v>268.93520000000001</v>
      </c>
      <c r="U39" s="30"/>
      <c r="V39" s="28"/>
      <c r="W39" s="28"/>
    </row>
    <row r="40" spans="1:23" s="12" customFormat="1" x14ac:dyDescent="0.45">
      <c r="A40" s="14">
        <v>1925</v>
      </c>
      <c r="B40" s="29">
        <f>1.016*243.5</f>
        <v>247.39600000000002</v>
      </c>
      <c r="C40" s="29">
        <f>5*1.016</f>
        <v>5.08</v>
      </c>
      <c r="D40" s="29" t="s">
        <v>54</v>
      </c>
      <c r="E40" s="29">
        <f>15.4*1.016</f>
        <v>15.6464</v>
      </c>
      <c r="F40" s="29">
        <f>8.1*1.016</f>
        <v>8.2295999999999996</v>
      </c>
      <c r="G40" s="29">
        <f>1.016*17.8</f>
        <v>18.084800000000001</v>
      </c>
      <c r="H40" s="29">
        <f>16.4*1.016</f>
        <v>16.662399999999998</v>
      </c>
      <c r="I40" s="29">
        <f>14.1*1.016</f>
        <v>14.3256</v>
      </c>
      <c r="J40" s="1373">
        <f>102.6*1.016</f>
        <v>104.24159999999999</v>
      </c>
      <c r="K40" s="1373"/>
      <c r="L40" s="1373"/>
      <c r="M40" s="29"/>
      <c r="N40" s="29"/>
      <c r="O40" s="29"/>
      <c r="P40" s="29">
        <f>1.016*2</f>
        <v>2.032</v>
      </c>
      <c r="Q40" s="510"/>
      <c r="R40" s="29">
        <f>1.016*176.4</f>
        <v>179.22240000000002</v>
      </c>
      <c r="S40" s="29">
        <f>1.016*(50.6+16.5)</f>
        <v>68.173599999999993</v>
      </c>
      <c r="T40" s="27">
        <f t="shared" si="4"/>
        <v>247.39600000000002</v>
      </c>
      <c r="U40" s="30"/>
      <c r="V40" s="28"/>
      <c r="W40" s="28"/>
    </row>
    <row r="41" spans="1:23" s="12" customFormat="1" x14ac:dyDescent="0.45">
      <c r="A41" s="14">
        <v>1926</v>
      </c>
      <c r="B41" s="29">
        <f>1.016*149.4</f>
        <v>151.79040000000001</v>
      </c>
      <c r="C41" s="29">
        <f>1.9*1.016</f>
        <v>1.9303999999999999</v>
      </c>
      <c r="D41" s="29" t="s">
        <v>54</v>
      </c>
      <c r="E41" s="29">
        <f>7.6*1.016</f>
        <v>7.7215999999999996</v>
      </c>
      <c r="F41" s="29">
        <f>8.3*1.016</f>
        <v>8.4328000000000003</v>
      </c>
      <c r="G41" s="29">
        <f>1.016*17.3</f>
        <v>17.576800000000002</v>
      </c>
      <c r="H41" s="29">
        <f>7.1*1.016</f>
        <v>7.2135999999999996</v>
      </c>
      <c r="I41" s="29">
        <f>12.1*1.016</f>
        <v>12.2936</v>
      </c>
      <c r="J41" s="1373">
        <f>67.9*1.016</f>
        <v>68.986400000000003</v>
      </c>
      <c r="K41" s="1373"/>
      <c r="L41" s="1373"/>
      <c r="M41" s="29"/>
      <c r="N41" s="29"/>
      <c r="O41" s="29"/>
      <c r="P41" s="29">
        <f>1.016*1</f>
        <v>1.016</v>
      </c>
      <c r="Q41" s="510"/>
      <c r="R41" s="29">
        <f>1.016*121.3</f>
        <v>123.24079999999999</v>
      </c>
      <c r="S41" s="29">
        <f>1.016*(20.5+7.6)</f>
        <v>28.549600000000002</v>
      </c>
      <c r="T41" s="27">
        <f t="shared" si="4"/>
        <v>151.79040000000001</v>
      </c>
      <c r="U41" s="30"/>
      <c r="V41" s="28"/>
      <c r="W41" s="28"/>
    </row>
    <row r="42" spans="1:23" s="12" customFormat="1" x14ac:dyDescent="0.45">
      <c r="A42" s="14">
        <v>1927</v>
      </c>
      <c r="B42" s="29">
        <f>1.016*251.1</f>
        <v>255.11760000000001</v>
      </c>
      <c r="C42" s="29">
        <f>4.4*1.016</f>
        <v>4.4704000000000006</v>
      </c>
      <c r="D42" s="29" t="s">
        <v>54</v>
      </c>
      <c r="E42" s="29">
        <f>14.6*1.016</f>
        <v>14.833600000000001</v>
      </c>
      <c r="F42" s="29">
        <f>9*1.016</f>
        <v>9.1440000000000001</v>
      </c>
      <c r="G42" s="29">
        <f>1.016*18.5</f>
        <v>18.795999999999999</v>
      </c>
      <c r="H42" s="29">
        <f>17.4*1.016</f>
        <v>17.6784</v>
      </c>
      <c r="I42" s="29">
        <f>14.3*1.016</f>
        <v>14.5288</v>
      </c>
      <c r="J42" s="1373">
        <f>107.4*1.016</f>
        <v>109.11840000000001</v>
      </c>
      <c r="K42" s="1373"/>
      <c r="L42" s="1373"/>
      <c r="M42" s="29"/>
      <c r="N42" s="29"/>
      <c r="O42" s="29"/>
      <c r="P42" s="29">
        <f>1.016*2.2</f>
        <v>2.2352000000000003</v>
      </c>
      <c r="Q42" s="510"/>
      <c r="R42" s="29">
        <f>1.016*183.4</f>
        <v>186.33440000000002</v>
      </c>
      <c r="S42" s="29">
        <f>1.016*(50.9+16.8)</f>
        <v>68.783200000000008</v>
      </c>
      <c r="T42" s="27">
        <f t="shared" si="4"/>
        <v>255.11760000000004</v>
      </c>
      <c r="U42" s="30"/>
      <c r="V42" s="28"/>
      <c r="W42" s="28"/>
    </row>
    <row r="43" spans="1:23" s="12" customFormat="1" x14ac:dyDescent="0.45">
      <c r="A43" s="14">
        <v>1928</v>
      </c>
      <c r="B43" s="29">
        <f>1.016*237.9</f>
        <v>241.7064</v>
      </c>
      <c r="C43" s="29">
        <f>4*1.016</f>
        <v>4.0640000000000001</v>
      </c>
      <c r="D43" s="29" t="s">
        <v>54</v>
      </c>
      <c r="E43" s="29">
        <f>13.5*1.016</f>
        <v>13.716000000000001</v>
      </c>
      <c r="F43" s="29">
        <f>9.3*1.016</f>
        <v>9.4488000000000003</v>
      </c>
      <c r="G43" s="29">
        <f>18.3*1.016</f>
        <v>18.5928</v>
      </c>
      <c r="H43" s="29">
        <f>17.4*1.016</f>
        <v>17.6784</v>
      </c>
      <c r="I43" s="29">
        <f>13.8*1.016</f>
        <v>14.020800000000001</v>
      </c>
      <c r="J43" s="1373">
        <f>97*1.016</f>
        <v>98.552000000000007</v>
      </c>
      <c r="K43" s="1373"/>
      <c r="L43" s="1373"/>
      <c r="M43" s="29"/>
      <c r="N43" s="29"/>
      <c r="O43" s="29"/>
      <c r="P43" s="29">
        <f>1.016*2</f>
        <v>2.032</v>
      </c>
      <c r="Q43" s="510"/>
      <c r="R43" s="29">
        <f>1.016*171.3</f>
        <v>174.04080000000002</v>
      </c>
      <c r="S43" s="29">
        <f>1.016*(49.9+16.7)</f>
        <v>67.665599999999998</v>
      </c>
      <c r="T43" s="27">
        <f t="shared" si="4"/>
        <v>241.70640000000003</v>
      </c>
      <c r="U43" s="30"/>
      <c r="V43" s="28"/>
      <c r="W43" s="28"/>
    </row>
    <row r="44" spans="1:23" s="12" customFormat="1" x14ac:dyDescent="0.45">
      <c r="A44" s="14">
        <v>1929</v>
      </c>
      <c r="B44" s="29">
        <f>1.016*258</f>
        <v>262.12799999999999</v>
      </c>
      <c r="C44" s="29">
        <f>3.9*1.016</f>
        <v>3.9624000000000001</v>
      </c>
      <c r="D44" s="29" t="s">
        <v>54</v>
      </c>
      <c r="E44" s="29">
        <f>13.7*1.016</f>
        <v>13.9192</v>
      </c>
      <c r="F44" s="29">
        <f>9.8*1.016</f>
        <v>9.9568000000000012</v>
      </c>
      <c r="G44" s="29">
        <f>18.6*1.016</f>
        <v>18.897600000000001</v>
      </c>
      <c r="H44" s="29">
        <f>20*1.016</f>
        <v>20.32</v>
      </c>
      <c r="I44" s="29">
        <f>14.1*1.016</f>
        <v>14.3256</v>
      </c>
      <c r="J44" s="1373">
        <f>103.1*1.016</f>
        <v>104.7496</v>
      </c>
      <c r="K44" s="1373"/>
      <c r="L44" s="1373"/>
      <c r="M44" s="29"/>
      <c r="N44" s="29"/>
      <c r="O44" s="29"/>
      <c r="P44" s="29">
        <f>1.016*2.2</f>
        <v>2.2352000000000003</v>
      </c>
      <c r="Q44" s="510"/>
      <c r="R44" s="29">
        <f>1.016*181.5</f>
        <v>184.404</v>
      </c>
      <c r="S44" s="29">
        <f>1.016*(60.1+16.4)</f>
        <v>77.724000000000004</v>
      </c>
      <c r="T44" s="27">
        <f t="shared" si="4"/>
        <v>262.12799999999999</v>
      </c>
      <c r="U44" s="30"/>
      <c r="V44" s="28"/>
      <c r="W44" s="28"/>
    </row>
    <row r="45" spans="1:23" s="12" customFormat="1" x14ac:dyDescent="0.45">
      <c r="A45" s="14">
        <v>1930</v>
      </c>
      <c r="B45" s="29">
        <f>1.016*242.2</f>
        <v>246.0752</v>
      </c>
      <c r="C45" s="29">
        <f>5.6*1.016</f>
        <v>5.6895999999999995</v>
      </c>
      <c r="D45" s="29" t="s">
        <v>54</v>
      </c>
      <c r="E45" s="29">
        <f>13.5*1.016</f>
        <v>13.716000000000001</v>
      </c>
      <c r="F45" s="29">
        <f>9.7*1.016</f>
        <v>9.8552</v>
      </c>
      <c r="G45" s="29">
        <f>18.4*1.016</f>
        <v>18.694399999999998</v>
      </c>
      <c r="H45" s="29">
        <f>17.2*1.016</f>
        <v>17.475200000000001</v>
      </c>
      <c r="I45" s="29">
        <f>13.6*1.016</f>
        <v>13.817600000000001</v>
      </c>
      <c r="J45" s="1373">
        <f>97.4*1.016</f>
        <v>98.958400000000012</v>
      </c>
      <c r="K45" s="1373"/>
      <c r="L45" s="1373"/>
      <c r="M45" s="29"/>
      <c r="N45" s="29"/>
      <c r="O45" s="29"/>
      <c r="P45" s="29">
        <f>1.016*2.1</f>
        <v>2.1335999999999999</v>
      </c>
      <c r="Q45" s="510"/>
      <c r="R45" s="29">
        <f>1.016*171.9</f>
        <v>174.65040000000002</v>
      </c>
      <c r="S45" s="29">
        <f>1.016*(54.7+15.6)</f>
        <v>71.424800000000005</v>
      </c>
      <c r="T45" s="27">
        <f t="shared" si="4"/>
        <v>246.07520000000002</v>
      </c>
      <c r="U45" s="30"/>
      <c r="V45" s="28"/>
      <c r="W45" s="28"/>
    </row>
    <row r="46" spans="1:23" s="12" customFormat="1" x14ac:dyDescent="0.45">
      <c r="A46" s="14">
        <v>1931</v>
      </c>
      <c r="B46" s="29">
        <f>1.016*216.6</f>
        <v>220.06559999999999</v>
      </c>
      <c r="C46" s="29">
        <f>8.5*1.016</f>
        <v>8.6359999999999992</v>
      </c>
      <c r="D46" s="29" t="s">
        <v>54</v>
      </c>
      <c r="E46" s="29">
        <f>12.6*1.016</f>
        <v>12.801600000000001</v>
      </c>
      <c r="F46" s="29">
        <f>9.6*1.016</f>
        <v>9.7536000000000005</v>
      </c>
      <c r="G46" s="29">
        <f>18.1*1.016</f>
        <v>18.389600000000002</v>
      </c>
      <c r="H46" s="29">
        <f>12.7*1.016</f>
        <v>12.9032</v>
      </c>
      <c r="I46" s="29">
        <f>13*1.016</f>
        <v>13.208</v>
      </c>
      <c r="J46" s="1373">
        <f>91.4*1.016</f>
        <v>92.862400000000008</v>
      </c>
      <c r="K46" s="1373"/>
      <c r="L46" s="1373"/>
      <c r="M46" s="29"/>
      <c r="N46" s="29"/>
      <c r="O46" s="29"/>
      <c r="P46" s="29">
        <f>1.016*2.1</f>
        <v>2.1335999999999999</v>
      </c>
      <c r="Q46" s="510"/>
      <c r="R46" s="29">
        <f>1.016*159.5</f>
        <v>162.05199999999999</v>
      </c>
      <c r="S46" s="29">
        <f>1.016*(42.5+14.6)</f>
        <v>58.013600000000004</v>
      </c>
      <c r="T46" s="27">
        <f t="shared" si="4"/>
        <v>220.06559999999999</v>
      </c>
      <c r="U46" s="30"/>
      <c r="V46" s="28"/>
      <c r="W46" s="28"/>
    </row>
    <row r="47" spans="1:23" s="12" customFormat="1" x14ac:dyDescent="0.45">
      <c r="A47" s="14">
        <v>1932</v>
      </c>
      <c r="B47" s="29">
        <f>1.016*209.5</f>
        <v>212.852</v>
      </c>
      <c r="C47" s="29">
        <f>7.7*1.016</f>
        <v>7.8231999999999999</v>
      </c>
      <c r="D47" s="29" t="s">
        <v>54</v>
      </c>
      <c r="E47" s="29">
        <f>12*1.016</f>
        <v>12.192</v>
      </c>
      <c r="F47" s="29">
        <f>9.8*1.016</f>
        <v>9.9568000000000012</v>
      </c>
      <c r="G47" s="29">
        <f>17.7*1.016</f>
        <v>17.9832</v>
      </c>
      <c r="H47" s="29">
        <f>12.7*1.016</f>
        <v>12.9032</v>
      </c>
      <c r="I47" s="29">
        <f>12.4*1.016</f>
        <v>12.5984</v>
      </c>
      <c r="J47" s="1373">
        <f>90*1.016</f>
        <v>91.44</v>
      </c>
      <c r="K47" s="1373"/>
      <c r="L47" s="1373"/>
      <c r="M47" s="29"/>
      <c r="N47" s="29"/>
      <c r="O47" s="29"/>
      <c r="P47" s="29">
        <f>1.016*2</f>
        <v>2.032</v>
      </c>
      <c r="Q47" s="510"/>
      <c r="R47" s="29">
        <f>1.016*156.6</f>
        <v>159.10560000000001</v>
      </c>
      <c r="S47" s="29">
        <f>1.016*(38.7+14.2)</f>
        <v>53.746400000000008</v>
      </c>
      <c r="T47" s="27">
        <f t="shared" si="4"/>
        <v>212.85200000000003</v>
      </c>
      <c r="U47" s="30"/>
      <c r="V47" s="28"/>
      <c r="W47" s="28"/>
    </row>
    <row r="48" spans="1:23" s="12" customFormat="1" x14ac:dyDescent="0.45">
      <c r="A48" s="14">
        <v>1933</v>
      </c>
      <c r="B48" s="29">
        <f>1.016*208.7</f>
        <v>212.03919999999999</v>
      </c>
      <c r="C48" s="29">
        <f>6.1*1.016</f>
        <v>6.1975999999999996</v>
      </c>
      <c r="D48" s="29" t="s">
        <v>54</v>
      </c>
      <c r="E48" s="29">
        <f>11.6*1.016</f>
        <v>11.785600000000001</v>
      </c>
      <c r="F48" s="29">
        <f>10.3*1.016</f>
        <v>10.4648</v>
      </c>
      <c r="G48" s="29">
        <f>17.4*1.016</f>
        <v>17.6784</v>
      </c>
      <c r="H48" s="29">
        <f>13.1*1.016</f>
        <v>13.3096</v>
      </c>
      <c r="I48" s="29">
        <f>12.4*1.016</f>
        <v>12.5984</v>
      </c>
      <c r="J48" s="1373">
        <f>89.7*1.016</f>
        <v>91.135199999999998</v>
      </c>
      <c r="K48" s="1373"/>
      <c r="L48" s="1373"/>
      <c r="M48" s="29"/>
      <c r="N48" s="29"/>
      <c r="O48" s="29"/>
      <c r="P48" s="29">
        <f>1.016*2</f>
        <v>2.032</v>
      </c>
      <c r="Q48" s="510"/>
      <c r="R48" s="29">
        <f>1.016*156.5</f>
        <v>159.00399999999999</v>
      </c>
      <c r="S48" s="29">
        <f>1.016*(38.8+13.4)</f>
        <v>53.035199999999996</v>
      </c>
      <c r="T48" s="27">
        <f t="shared" si="4"/>
        <v>212.03919999999999</v>
      </c>
      <c r="U48" s="30"/>
      <c r="V48" s="28"/>
      <c r="W48" s="28"/>
    </row>
    <row r="49" spans="1:23" s="12" customFormat="1" x14ac:dyDescent="0.45">
      <c r="A49" s="14">
        <v>1934</v>
      </c>
      <c r="B49" s="29">
        <f>1.016*220.7</f>
        <v>224.2312</v>
      </c>
      <c r="C49" s="29">
        <f>6.1*1.016</f>
        <v>6.1975999999999996</v>
      </c>
      <c r="D49" s="29" t="s">
        <v>54</v>
      </c>
      <c r="E49" s="29">
        <f>11.7*1.016</f>
        <v>11.8872</v>
      </c>
      <c r="F49" s="29">
        <f>11.2*1.016</f>
        <v>11.379199999999999</v>
      </c>
      <c r="G49" s="29">
        <f>17.9*1.016</f>
        <v>18.186399999999999</v>
      </c>
      <c r="H49" s="29">
        <f>16.9*1.016</f>
        <v>17.170399999999997</v>
      </c>
      <c r="I49" s="29">
        <f>12.9*1.016</f>
        <v>13.106400000000001</v>
      </c>
      <c r="J49" s="1373">
        <f>95.1*1.016</f>
        <v>96.621600000000001</v>
      </c>
      <c r="K49" s="1373"/>
      <c r="L49" s="1373"/>
      <c r="M49" s="29"/>
      <c r="N49" s="29"/>
      <c r="O49" s="29"/>
      <c r="P49" s="29">
        <f>1.016*2.1</f>
        <v>2.1335999999999999</v>
      </c>
      <c r="Q49" s="510"/>
      <c r="R49" s="29">
        <f>1.016*167.8</f>
        <v>170.48480000000001</v>
      </c>
      <c r="S49" s="29">
        <f>1.016*(39.4+13.5)</f>
        <v>53.746400000000001</v>
      </c>
      <c r="T49" s="27">
        <f t="shared" si="4"/>
        <v>224.2312</v>
      </c>
      <c r="U49" s="30"/>
      <c r="V49" s="28"/>
      <c r="W49" s="28"/>
    </row>
    <row r="50" spans="1:23" s="12" customFormat="1" x14ac:dyDescent="0.45">
      <c r="A50" s="14">
        <v>1935</v>
      </c>
      <c r="B50" s="29">
        <f>1.016*223.8</f>
        <v>227.38080000000002</v>
      </c>
      <c r="C50" s="29">
        <f>1.016*4.5</f>
        <v>4.5720000000000001</v>
      </c>
      <c r="D50" s="29" t="s">
        <v>54</v>
      </c>
      <c r="E50" s="29">
        <f>11.6*1.016</f>
        <v>11.785600000000001</v>
      </c>
      <c r="F50" s="29">
        <f>12.2*1.016</f>
        <v>12.395199999999999</v>
      </c>
      <c r="G50" s="29">
        <f>18*1.016</f>
        <v>18.288</v>
      </c>
      <c r="H50" s="29">
        <f>17.4*1.016</f>
        <v>17.6784</v>
      </c>
      <c r="I50" s="29">
        <f>13*1.016</f>
        <v>13.208</v>
      </c>
      <c r="J50" s="1373">
        <f>98.5*1.016</f>
        <v>100.07600000000001</v>
      </c>
      <c r="K50" s="1373"/>
      <c r="L50" s="1373"/>
      <c r="M50" s="29"/>
      <c r="N50" s="29"/>
      <c r="O50" s="29"/>
      <c r="P50" s="29">
        <f>1.016*2.2</f>
        <v>2.2352000000000003</v>
      </c>
      <c r="Q50" s="510"/>
      <c r="R50" s="29">
        <f>1.016*172.9</f>
        <v>175.66640000000001</v>
      </c>
      <c r="S50" s="29">
        <f>1.016*(38.4+12.5)</f>
        <v>51.714399999999998</v>
      </c>
      <c r="T50" s="27">
        <f t="shared" si="4"/>
        <v>227.38080000000002</v>
      </c>
      <c r="U50" s="30"/>
      <c r="V50" s="28"/>
      <c r="W50" s="28"/>
    </row>
    <row r="51" spans="1:23" s="12" customFormat="1" x14ac:dyDescent="0.45">
      <c r="A51" s="14">
        <v>1936</v>
      </c>
      <c r="B51" s="29">
        <f>1.016*228.5</f>
        <v>232.15600000000001</v>
      </c>
      <c r="C51" s="29">
        <f>1.016*4.4</f>
        <v>4.4704000000000006</v>
      </c>
      <c r="D51" s="29" t="s">
        <v>54</v>
      </c>
      <c r="E51" s="29">
        <f>11.8*1.016</f>
        <v>11.988800000000001</v>
      </c>
      <c r="F51" s="29">
        <f>13.6*1.016</f>
        <v>13.817600000000001</v>
      </c>
      <c r="G51" s="29">
        <f>19.1*1.016</f>
        <v>19.405600000000003</v>
      </c>
      <c r="H51" s="29">
        <f>20.1*1.016</f>
        <v>20.421600000000002</v>
      </c>
      <c r="I51" s="29">
        <f>13.5*1.016</f>
        <v>13.716000000000001</v>
      </c>
      <c r="J51" s="1373">
        <f>101.8*1.016</f>
        <v>103.4288</v>
      </c>
      <c r="K51" s="1373"/>
      <c r="L51" s="1373"/>
      <c r="M51" s="29"/>
      <c r="N51" s="29"/>
      <c r="O51" s="29"/>
      <c r="P51" s="29">
        <f>1.016*2.3</f>
        <v>2.3367999999999998</v>
      </c>
      <c r="Q51" s="510"/>
      <c r="R51" s="29">
        <f>1.016*182.2</f>
        <v>185.11519999999999</v>
      </c>
      <c r="S51" s="29">
        <f>1.016*(34.3+12)</f>
        <v>47.040799999999997</v>
      </c>
      <c r="T51" s="27">
        <f t="shared" si="4"/>
        <v>232.15599999999998</v>
      </c>
      <c r="U51" s="30"/>
      <c r="V51" s="28"/>
      <c r="W51" s="28"/>
    </row>
    <row r="52" spans="1:23" s="12" customFormat="1" x14ac:dyDescent="0.45">
      <c r="A52" s="14">
        <v>1937</v>
      </c>
      <c r="B52" s="29">
        <f>1.016*240.9</f>
        <v>244.7544</v>
      </c>
      <c r="C52" s="29">
        <f>1.016*3.9</f>
        <v>3.9624000000000001</v>
      </c>
      <c r="D52" s="29" t="s">
        <v>54</v>
      </c>
      <c r="E52" s="29">
        <f>12.2*1.016</f>
        <v>12.395199999999999</v>
      </c>
      <c r="F52" s="29">
        <f>14.8*1.016</f>
        <v>15.036800000000001</v>
      </c>
      <c r="G52" s="29">
        <f>19.4*1.016</f>
        <v>19.7104</v>
      </c>
      <c r="H52" s="29">
        <f>21.9*1.016</f>
        <v>22.250399999999999</v>
      </c>
      <c r="I52" s="29">
        <f>13.8*1.016</f>
        <v>14.020800000000001</v>
      </c>
      <c r="J52" s="1373">
        <f>104.7*1.016</f>
        <v>106.37520000000001</v>
      </c>
      <c r="K52" s="1373"/>
      <c r="L52" s="1373"/>
      <c r="M52" s="29"/>
      <c r="N52" s="29"/>
      <c r="O52" s="29"/>
      <c r="P52" s="29">
        <f>1.016*2.3</f>
        <v>2.3367999999999998</v>
      </c>
      <c r="Q52" s="510"/>
      <c r="R52" s="29">
        <f>1.016*189.1</f>
        <v>192.12559999999999</v>
      </c>
      <c r="S52" s="29">
        <f>1.016*(40.1+11.7)</f>
        <v>52.628799999999998</v>
      </c>
      <c r="T52" s="27">
        <f t="shared" si="4"/>
        <v>244.75439999999998</v>
      </c>
      <c r="U52" s="30"/>
      <c r="V52" s="28"/>
      <c r="W52" s="28"/>
    </row>
    <row r="53" spans="1:23" s="12" customFormat="1" x14ac:dyDescent="0.45">
      <c r="A53" s="14">
        <v>1938</v>
      </c>
      <c r="B53" s="29">
        <f>1.016*224.1</f>
        <v>227.68559999999999</v>
      </c>
      <c r="C53" s="29">
        <f>1.016*6.8</f>
        <v>6.9088000000000003</v>
      </c>
      <c r="D53" s="29" t="s">
        <v>54</v>
      </c>
      <c r="E53" s="29">
        <f>11.9*1.016</f>
        <v>12.090400000000001</v>
      </c>
      <c r="F53" s="29">
        <f>14.9*1.016</f>
        <v>15.138400000000001</v>
      </c>
      <c r="G53" s="29">
        <f>19.1*1.016</f>
        <v>19.405600000000003</v>
      </c>
      <c r="H53" s="29">
        <f>19.1*1.016</f>
        <v>19.405600000000003</v>
      </c>
      <c r="I53" s="29">
        <f>13.2*1.016</f>
        <v>13.411199999999999</v>
      </c>
      <c r="J53" s="1373">
        <f>97.6*1.016</f>
        <v>99.161599999999993</v>
      </c>
      <c r="K53" s="1373"/>
      <c r="L53" s="1373"/>
      <c r="M53" s="29"/>
      <c r="N53" s="29"/>
      <c r="O53" s="29"/>
      <c r="P53" s="29">
        <f>1.016*2.2</f>
        <v>2.2352000000000003</v>
      </c>
      <c r="Q53" s="510"/>
      <c r="R53" s="29">
        <f>1.016*178</f>
        <v>180.84800000000001</v>
      </c>
      <c r="S53" s="29">
        <f>1.016*(35.6+10.5)</f>
        <v>46.837600000000002</v>
      </c>
      <c r="T53" s="27">
        <f t="shared" si="4"/>
        <v>227.68560000000002</v>
      </c>
      <c r="U53" s="30"/>
      <c r="V53" s="28"/>
      <c r="W53" s="28"/>
    </row>
    <row r="54" spans="1:23" s="12" customFormat="1" x14ac:dyDescent="0.45">
      <c r="A54" s="14">
        <v>1939</v>
      </c>
      <c r="B54" s="29">
        <f>1.016*232.9</f>
        <v>236.62640000000002</v>
      </c>
      <c r="C54" s="29">
        <f>1.016*5.2</f>
        <v>5.2831999999999999</v>
      </c>
      <c r="D54" s="29" t="s">
        <v>54</v>
      </c>
      <c r="E54" s="29">
        <f>12.1*1.016</f>
        <v>12.2936</v>
      </c>
      <c r="F54" s="29">
        <f>15.9*1.016</f>
        <v>16.154399999999999</v>
      </c>
      <c r="G54" s="29">
        <f>18.9*1.016</f>
        <v>19.202399999999997</v>
      </c>
      <c r="H54" s="29">
        <f>20.4*1.016</f>
        <v>20.726399999999998</v>
      </c>
      <c r="I54" s="29">
        <f>12.9*1.016</f>
        <v>13.106400000000001</v>
      </c>
      <c r="J54" s="1373">
        <f>104*1.016</f>
        <v>105.664</v>
      </c>
      <c r="K54" s="1373"/>
      <c r="L54" s="1373"/>
      <c r="M54" s="29"/>
      <c r="N54" s="29"/>
      <c r="O54" s="29"/>
      <c r="P54" s="29">
        <f>1.016*2.4</f>
        <v>2.4384000000000001</v>
      </c>
      <c r="Q54" s="510"/>
      <c r="R54" s="29">
        <f>1.016*186.6</f>
        <v>189.5856</v>
      </c>
      <c r="S54" s="29">
        <f>1.016*(36.7+9.6)</f>
        <v>47.040800000000004</v>
      </c>
      <c r="T54" s="27">
        <f t="shared" si="4"/>
        <v>236.62639999999999</v>
      </c>
      <c r="U54" s="30"/>
      <c r="V54" s="28"/>
      <c r="W54" s="28"/>
    </row>
    <row r="55" spans="1:23" s="12" customFormat="1" x14ac:dyDescent="0.45">
      <c r="A55" s="14">
        <v>1940</v>
      </c>
      <c r="B55" s="29">
        <f>1.016*225</f>
        <v>228.6</v>
      </c>
      <c r="C55" s="29">
        <f>1.016*4.5</f>
        <v>4.5720000000000001</v>
      </c>
      <c r="D55" s="29" t="s">
        <v>54</v>
      </c>
      <c r="E55" s="29">
        <f>12.3*1.016</f>
        <v>12.4968</v>
      </c>
      <c r="F55" s="29">
        <f>18.1*1.016</f>
        <v>18.389600000000002</v>
      </c>
      <c r="G55" s="29">
        <f>17.8*1.016</f>
        <v>18.084800000000001</v>
      </c>
      <c r="H55" s="29">
        <f>22.3*1.016</f>
        <v>22.6568</v>
      </c>
      <c r="I55" s="29">
        <f>13.5*1.016</f>
        <v>13.716000000000001</v>
      </c>
      <c r="J55" s="1373">
        <f>109.3*1.016</f>
        <v>111.0488</v>
      </c>
      <c r="K55" s="1373"/>
      <c r="L55" s="1373"/>
      <c r="M55" s="29"/>
      <c r="N55" s="29"/>
      <c r="O55" s="29"/>
      <c r="P55" s="29">
        <f>1.016*2.5</f>
        <v>2.54</v>
      </c>
      <c r="Q55" s="510"/>
      <c r="R55" s="29">
        <f>1.016*195.8</f>
        <v>198.93280000000001</v>
      </c>
      <c r="S55" s="29">
        <f>1.016*(19.5+7)</f>
        <v>26.923999999999999</v>
      </c>
      <c r="T55" s="27">
        <f t="shared" si="4"/>
        <v>225.85680000000002</v>
      </c>
      <c r="U55" s="30"/>
      <c r="V55" s="28"/>
      <c r="W55" s="28"/>
    </row>
    <row r="56" spans="1:23" s="12" customFormat="1" x14ac:dyDescent="0.45">
      <c r="A56" s="14">
        <v>1941</v>
      </c>
      <c r="B56" s="29">
        <f>1.016*207.4</f>
        <v>210.7184</v>
      </c>
      <c r="C56" s="29">
        <f>1.016*3.3</f>
        <v>3.3527999999999998</v>
      </c>
      <c r="D56" s="29" t="s">
        <v>54</v>
      </c>
      <c r="E56" s="29">
        <f>12.1*1.016</f>
        <v>12.2936</v>
      </c>
      <c r="F56" s="29">
        <f>20.4*1.016</f>
        <v>20.726399999999998</v>
      </c>
      <c r="G56" s="29">
        <f>19.1*1.016</f>
        <v>19.405600000000003</v>
      </c>
      <c r="H56" s="29">
        <f>21.1*1.016</f>
        <v>21.437600000000003</v>
      </c>
      <c r="I56" s="29">
        <f>13.8*1.016</f>
        <v>14.020800000000001</v>
      </c>
      <c r="J56" s="1373">
        <f>107.6*1.016</f>
        <v>109.32159999999999</v>
      </c>
      <c r="K56" s="1373"/>
      <c r="L56" s="1373"/>
      <c r="M56" s="29"/>
      <c r="N56" s="29"/>
      <c r="O56" s="29"/>
      <c r="P56" s="29">
        <f>1.016*2.5</f>
        <v>2.54</v>
      </c>
      <c r="Q56" s="510"/>
      <c r="R56" s="29">
        <f>1.016*196.6</f>
        <v>199.7456</v>
      </c>
      <c r="S56" s="29">
        <f>1.016*(5.1+4.3)</f>
        <v>9.550399999999998</v>
      </c>
      <c r="T56" s="27">
        <f t="shared" si="4"/>
        <v>209.29599999999999</v>
      </c>
      <c r="U56" s="30"/>
      <c r="V56" s="28"/>
      <c r="W56" s="28"/>
    </row>
    <row r="57" spans="1:23" s="12" customFormat="1" x14ac:dyDescent="0.45">
      <c r="A57" s="31" t="s">
        <v>64</v>
      </c>
      <c r="B57" s="29">
        <f>1.016*205.1</f>
        <v>208.38159999999999</v>
      </c>
      <c r="C57" s="29">
        <f>1.016*3.2</f>
        <v>3.2512000000000003</v>
      </c>
      <c r="D57" s="29" t="s">
        <v>54</v>
      </c>
      <c r="E57" s="29">
        <f>12*1.016</f>
        <v>12.192</v>
      </c>
      <c r="F57" s="29">
        <f>22.3*1.016</f>
        <v>22.6568</v>
      </c>
      <c r="G57" s="29">
        <f>20.7*1.016</f>
        <v>21.031199999999998</v>
      </c>
      <c r="H57" s="29">
        <f>21.6*1.016</f>
        <v>21.945600000000002</v>
      </c>
      <c r="I57" s="29">
        <f>14.5*1.016</f>
        <v>14.731999999999999</v>
      </c>
      <c r="J57" s="1373">
        <f>103.9*1.016</f>
        <v>105.56240000000001</v>
      </c>
      <c r="K57" s="1373"/>
      <c r="L57" s="1373"/>
      <c r="M57" s="29"/>
      <c r="N57" s="29"/>
      <c r="O57" s="29"/>
      <c r="P57" s="29">
        <f>1.016*2.4</f>
        <v>2.4384000000000001</v>
      </c>
      <c r="Q57" s="510"/>
      <c r="R57" s="29">
        <f>1.016*197.4</f>
        <v>200.55840000000001</v>
      </c>
      <c r="S57" s="29">
        <f>1.016*(4.3+3.5)</f>
        <v>7.9248000000000003</v>
      </c>
      <c r="T57" s="27">
        <f t="shared" si="4"/>
        <v>208.48320000000001</v>
      </c>
      <c r="U57" s="30"/>
      <c r="V57" s="28"/>
      <c r="W57" s="28"/>
    </row>
    <row r="58" spans="1:23" s="12" customFormat="1" x14ac:dyDescent="0.45">
      <c r="A58" s="31" t="s">
        <v>65</v>
      </c>
      <c r="B58" s="29">
        <v>197.4</v>
      </c>
      <c r="C58" s="29">
        <f>1.016*4.7</f>
        <v>4.7751999999999999</v>
      </c>
      <c r="D58" s="29">
        <f>(17575*1.016)/1000</f>
        <v>17.856200000000001</v>
      </c>
      <c r="E58" s="29">
        <f>11.6*1.016</f>
        <v>11.785600000000001</v>
      </c>
      <c r="F58" s="29">
        <f>22.6*1.016</f>
        <v>22.961600000000001</v>
      </c>
      <c r="G58" s="29">
        <f>20.8*1.016</f>
        <v>21.1328</v>
      </c>
      <c r="H58" s="29">
        <f>(20.9+0.677)*1.016</f>
        <v>21.922231999999997</v>
      </c>
      <c r="I58" s="29">
        <f>14.8*1.016</f>
        <v>15.036800000000001</v>
      </c>
      <c r="J58" s="29">
        <f>1.016*42.4</f>
        <v>43.078400000000002</v>
      </c>
      <c r="K58" s="29">
        <f>1.016*39</f>
        <v>39.624000000000002</v>
      </c>
      <c r="L58" s="27">
        <f>R58-SUM(E58:K58)-P58</f>
        <v>15.263368000000025</v>
      </c>
      <c r="M58" s="29"/>
      <c r="N58" s="29"/>
      <c r="O58" s="29"/>
      <c r="P58" s="29">
        <f>1.016*2.6</f>
        <v>2.6415999999999999</v>
      </c>
      <c r="Q58" s="510"/>
      <c r="R58" s="29">
        <f>1.016*190.4</f>
        <v>193.44640000000001</v>
      </c>
      <c r="S58" s="29">
        <f>1.016*(4.8+3.2)</f>
        <v>8.1280000000000001</v>
      </c>
      <c r="T58" s="27">
        <f t="shared" si="4"/>
        <v>201.57440000000003</v>
      </c>
      <c r="U58" s="30"/>
      <c r="V58" s="28"/>
      <c r="W58" s="28"/>
    </row>
    <row r="59" spans="1:23" s="12" customFormat="1" x14ac:dyDescent="0.45">
      <c r="A59" s="31" t="s">
        <v>66</v>
      </c>
      <c r="B59" s="29">
        <f>1.016*191.8</f>
        <v>194.86880000000002</v>
      </c>
      <c r="C59" s="29">
        <f>1.016*5</f>
        <v>5.08</v>
      </c>
      <c r="D59" s="29">
        <f>(16031*1.016)/1000</f>
        <v>16.287496000000001</v>
      </c>
      <c r="E59" s="29">
        <f>11.1*1.016</f>
        <v>11.2776</v>
      </c>
      <c r="F59" s="29">
        <f>24.1*1.016</f>
        <v>24.485600000000002</v>
      </c>
      <c r="G59" s="29">
        <f>20.7*1.016</f>
        <v>21.031199999999998</v>
      </c>
      <c r="H59" s="29">
        <f>(20.1+0.809)*1.016</f>
        <v>21.243544000000004</v>
      </c>
      <c r="I59" s="29">
        <f>15*1.016</f>
        <v>15.24</v>
      </c>
      <c r="J59" s="29">
        <f>1.016*39.6</f>
        <v>40.233600000000003</v>
      </c>
      <c r="K59" s="29">
        <f>1.016*37</f>
        <v>37.591999999999999</v>
      </c>
      <c r="L59" s="27">
        <f t="shared" ref="L59:L74" si="5">R59-SUM(E59:K59)-P59</f>
        <v>16.65325600000002</v>
      </c>
      <c r="M59" s="29"/>
      <c r="N59" s="29"/>
      <c r="O59" s="29"/>
      <c r="P59" s="29">
        <f>1.016*2.5</f>
        <v>2.54</v>
      </c>
      <c r="Q59" s="510"/>
      <c r="R59" s="29">
        <f>1.016*187.3</f>
        <v>190.29680000000002</v>
      </c>
      <c r="S59" s="29">
        <f>1.016*(3.7+2.4)</f>
        <v>6.1975999999999996</v>
      </c>
      <c r="T59" s="27">
        <f t="shared" si="4"/>
        <v>196.49440000000001</v>
      </c>
      <c r="U59" s="30"/>
      <c r="V59" s="28"/>
      <c r="W59" s="28"/>
    </row>
    <row r="60" spans="1:23" s="12" customFormat="1" x14ac:dyDescent="0.45">
      <c r="A60" s="31" t="s">
        <v>67</v>
      </c>
      <c r="B60" s="29">
        <f>1.016*184.3</f>
        <v>187.24880000000002</v>
      </c>
      <c r="C60" s="29">
        <f>1.016*2.9</f>
        <v>2.9464000000000001</v>
      </c>
      <c r="D60" s="29">
        <f>(12444*1.016)/1000</f>
        <v>12.643103999999999</v>
      </c>
      <c r="E60" s="29">
        <f>10.5*1.016</f>
        <v>10.667999999999999</v>
      </c>
      <c r="F60" s="29">
        <f>23.5*1.016</f>
        <v>23.876000000000001</v>
      </c>
      <c r="G60" s="29">
        <f>21*1.016</f>
        <v>21.335999999999999</v>
      </c>
      <c r="H60" s="29">
        <f>(20.1+0.922)*1.016</f>
        <v>21.358352000000004</v>
      </c>
      <c r="I60" s="29">
        <f>14.6*1.016</f>
        <v>14.833600000000001</v>
      </c>
      <c r="J60" s="29">
        <f>1.016*36.4</f>
        <v>36.982399999999998</v>
      </c>
      <c r="K60" s="29">
        <f>1.016*35</f>
        <v>35.56</v>
      </c>
      <c r="L60" s="27">
        <f t="shared" si="5"/>
        <v>15.116047999999999</v>
      </c>
      <c r="M60" s="29"/>
      <c r="N60" s="29"/>
      <c r="O60" s="29"/>
      <c r="P60" s="29">
        <f>1.016*2.5</f>
        <v>2.54</v>
      </c>
      <c r="Q60" s="510"/>
      <c r="R60" s="29">
        <f>1.016*179.4</f>
        <v>182.2704</v>
      </c>
      <c r="S60" s="29">
        <f>1.016*(5.5+3.1)</f>
        <v>8.7376000000000005</v>
      </c>
      <c r="T60" s="27">
        <f t="shared" si="4"/>
        <v>191.00799999999998</v>
      </c>
      <c r="U60" s="30"/>
      <c r="V60" s="28"/>
      <c r="W60" s="28"/>
    </row>
    <row r="61" spans="1:23" s="12" customFormat="1" x14ac:dyDescent="0.45">
      <c r="A61" s="31" t="s">
        <v>68</v>
      </c>
      <c r="B61" s="29">
        <f>1.016*191.1</f>
        <v>194.1576</v>
      </c>
      <c r="C61" s="29">
        <f>1.016*1.8</f>
        <v>1.8288</v>
      </c>
      <c r="D61" s="29">
        <f>(8466*1.016)/1000</f>
        <v>8.6014560000000007</v>
      </c>
      <c r="E61" s="29">
        <f>10.6*1.016</f>
        <v>10.769600000000001</v>
      </c>
      <c r="F61" s="29">
        <f>26.2*1.016</f>
        <v>26.619199999999999</v>
      </c>
      <c r="G61" s="29">
        <f>22.7*1.016</f>
        <v>23.063199999999998</v>
      </c>
      <c r="H61" s="29">
        <f>(20.1+1.432)*1.016</f>
        <v>21.876512000000002</v>
      </c>
      <c r="I61" s="29">
        <f>14.8*1.016</f>
        <v>15.036800000000001</v>
      </c>
      <c r="J61" s="29">
        <f>1.016*35.3</f>
        <v>35.864799999999995</v>
      </c>
      <c r="K61" s="29">
        <f>1.016*38</f>
        <v>38.608000000000004</v>
      </c>
      <c r="L61" s="27">
        <f t="shared" si="5"/>
        <v>14.902688000000033</v>
      </c>
      <c r="M61" s="29"/>
      <c r="N61" s="29"/>
      <c r="O61" s="29"/>
      <c r="P61" s="29">
        <f>1.016*2.5</f>
        <v>2.54</v>
      </c>
      <c r="Q61" s="510"/>
      <c r="R61" s="29">
        <f>1.016*186.3</f>
        <v>189.28080000000003</v>
      </c>
      <c r="S61" s="29">
        <f>1.016*(4.1+4.7)</f>
        <v>8.9408000000000012</v>
      </c>
      <c r="T61" s="27">
        <f t="shared" si="4"/>
        <v>198.22160000000002</v>
      </c>
      <c r="U61" s="30"/>
      <c r="V61" s="28"/>
      <c r="W61" s="28"/>
    </row>
    <row r="62" spans="1:23" s="12" customFormat="1" x14ac:dyDescent="0.45">
      <c r="A62" s="31" t="s">
        <v>69</v>
      </c>
      <c r="B62" s="29">
        <f>1.016*198.3</f>
        <v>201.47280000000001</v>
      </c>
      <c r="C62" s="29">
        <f>1.016*1.4</f>
        <v>1.4223999999999999</v>
      </c>
      <c r="D62" s="29">
        <f>(16535*1.016)/1000</f>
        <v>16.79956</v>
      </c>
      <c r="E62" s="29">
        <f>11*1.016</f>
        <v>11.176</v>
      </c>
      <c r="F62" s="29">
        <f>27.1*1.016</f>
        <v>27.533600000000003</v>
      </c>
      <c r="G62" s="29">
        <f>22.7*1.016</f>
        <v>23.063199999999998</v>
      </c>
      <c r="H62" s="29">
        <f>(19.8+1.705)*1.016</f>
        <v>21.849080000000004</v>
      </c>
      <c r="I62" s="29">
        <f>14.3*1.016</f>
        <v>14.5288</v>
      </c>
      <c r="J62" s="29">
        <f>1.016*35.8</f>
        <v>36.372799999999998</v>
      </c>
      <c r="K62" s="29">
        <f>1.016*36</f>
        <v>36.576000000000001</v>
      </c>
      <c r="L62" s="27">
        <f t="shared" si="5"/>
        <v>13.812519999999999</v>
      </c>
      <c r="M62" s="29"/>
      <c r="N62" s="29"/>
      <c r="O62" s="29"/>
      <c r="P62" s="29">
        <f>1.016*2.5</f>
        <v>2.54</v>
      </c>
      <c r="Q62" s="510"/>
      <c r="R62" s="29">
        <f>1.016*184.5</f>
        <v>187.452</v>
      </c>
      <c r="S62" s="29">
        <f>1.016*(0.9+4.4)</f>
        <v>5.3848000000000011</v>
      </c>
      <c r="T62" s="27">
        <f t="shared" si="4"/>
        <v>192.83680000000001</v>
      </c>
      <c r="U62" s="30"/>
      <c r="V62" s="28"/>
      <c r="W62" s="28"/>
    </row>
    <row r="63" spans="1:23" s="12" customFormat="1" x14ac:dyDescent="0.45">
      <c r="A63" s="31" t="s">
        <v>70</v>
      </c>
      <c r="B63" s="29">
        <f>1.016*207.9</f>
        <v>211.22640000000001</v>
      </c>
      <c r="C63" s="29">
        <f>1.016*2.6</f>
        <v>2.6415999999999999</v>
      </c>
      <c r="D63" s="29">
        <f>(14427*1.016)/1000</f>
        <v>14.657832000000001</v>
      </c>
      <c r="E63" s="29">
        <f>11.2*1.016</f>
        <v>11.379199999999999</v>
      </c>
      <c r="F63" s="29">
        <f>28.8*1.016</f>
        <v>29.2608</v>
      </c>
      <c r="G63" s="29">
        <f>24.6*1.016</f>
        <v>24.993600000000001</v>
      </c>
      <c r="H63" s="29">
        <f>(22.3+1.383)*1.016</f>
        <v>24.061928000000002</v>
      </c>
      <c r="I63" s="29">
        <f>14.3*1.016</f>
        <v>14.5288</v>
      </c>
      <c r="J63" s="29">
        <f>1.016*36.4</f>
        <v>36.982399999999998</v>
      </c>
      <c r="K63" s="29">
        <f>1.016*38</f>
        <v>38.608000000000004</v>
      </c>
      <c r="L63" s="27">
        <f t="shared" si="5"/>
        <v>14.749271999999992</v>
      </c>
      <c r="M63" s="29"/>
      <c r="N63" s="29"/>
      <c r="O63" s="29"/>
      <c r="P63" s="29">
        <f>1.016*2.4</f>
        <v>2.4384000000000001</v>
      </c>
      <c r="Q63" s="510"/>
      <c r="R63" s="29">
        <f>1.016*193.9</f>
        <v>197.00239999999999</v>
      </c>
      <c r="S63" s="29">
        <f>1.016*(10.7+5.4)</f>
        <v>16.357600000000001</v>
      </c>
      <c r="T63" s="27">
        <f t="shared" si="4"/>
        <v>213.35999999999999</v>
      </c>
      <c r="U63" s="30"/>
      <c r="V63" s="28"/>
      <c r="W63" s="28"/>
    </row>
    <row r="64" spans="1:23" s="12" customFormat="1" x14ac:dyDescent="0.45">
      <c r="A64" s="31" t="s">
        <v>71</v>
      </c>
      <c r="B64" s="29">
        <f>1.016*214.8</f>
        <v>218.23680000000002</v>
      </c>
      <c r="C64" s="29">
        <f>1.016*2.6</f>
        <v>2.6415999999999999</v>
      </c>
      <c r="D64" s="29">
        <f>(14708*1.016)/1000</f>
        <v>14.943327999999999</v>
      </c>
      <c r="E64" s="29">
        <f>10.8*1.016</f>
        <v>10.972800000000001</v>
      </c>
      <c r="F64" s="29">
        <f>30*1.016</f>
        <v>30.48</v>
      </c>
      <c r="G64" s="29">
        <f>25.3*1.016</f>
        <v>25.704800000000002</v>
      </c>
      <c r="H64" s="29">
        <f>(22.6+1.434)*1.016</f>
        <v>24.418544000000004</v>
      </c>
      <c r="I64" s="29">
        <f>14.4*1.016</f>
        <v>14.6304</v>
      </c>
      <c r="J64" s="29">
        <f>1.016*36</f>
        <v>36.576000000000001</v>
      </c>
      <c r="K64" s="29">
        <f>1.016*38.3</f>
        <v>38.912799999999997</v>
      </c>
      <c r="L64" s="27">
        <f t="shared" si="5"/>
        <v>14.69745600000001</v>
      </c>
      <c r="M64" s="29"/>
      <c r="N64" s="29"/>
      <c r="O64" s="29"/>
      <c r="P64" s="29">
        <f>1.016*2.5</f>
        <v>2.54</v>
      </c>
      <c r="Q64" s="510"/>
      <c r="R64" s="29">
        <f>1.016*195.8</f>
        <v>198.93280000000001</v>
      </c>
      <c r="S64" s="29">
        <f>1.016*(14.1+5.1)</f>
        <v>19.507200000000001</v>
      </c>
      <c r="T64" s="27">
        <f t="shared" si="4"/>
        <v>218.44000000000003</v>
      </c>
      <c r="U64" s="30"/>
      <c r="V64" s="28"/>
      <c r="W64" s="28"/>
    </row>
    <row r="65" spans="1:23" s="12" customFormat="1" x14ac:dyDescent="0.45">
      <c r="A65" s="31" t="s">
        <v>72</v>
      </c>
      <c r="B65" s="29">
        <f>1.016*216.9</f>
        <v>220.37040000000002</v>
      </c>
      <c r="C65" s="29">
        <f>((373+1308)*1.016)/1000</f>
        <v>1.7078959999999999</v>
      </c>
      <c r="D65" s="29">
        <f>(12423*1.016)/1000</f>
        <v>12.621767999999999</v>
      </c>
      <c r="E65" s="29">
        <f>10.7*1.016</f>
        <v>10.8712</v>
      </c>
      <c r="F65" s="29">
        <f>32.9*1.016</f>
        <v>33.426400000000001</v>
      </c>
      <c r="G65" s="29">
        <f>26.2*1.016</f>
        <v>26.619199999999999</v>
      </c>
      <c r="H65" s="29">
        <f>(22.6+1.335)*1.016</f>
        <v>24.317960000000003</v>
      </c>
      <c r="I65" s="29">
        <f>14.2*1.016</f>
        <v>14.427199999999999</v>
      </c>
      <c r="J65" s="29">
        <f>1.016*37.3</f>
        <v>37.896799999999999</v>
      </c>
      <c r="K65" s="29">
        <f>1.016*40.1</f>
        <v>40.741600000000005</v>
      </c>
      <c r="L65" s="27">
        <f t="shared" si="5"/>
        <v>14.899639999999987</v>
      </c>
      <c r="M65" s="29"/>
      <c r="N65" s="29"/>
      <c r="O65" s="29"/>
      <c r="P65" s="29">
        <f>1.016*2.6</f>
        <v>2.6415999999999999</v>
      </c>
      <c r="Q65" s="510"/>
      <c r="R65" s="29">
        <f>1.016*202.6</f>
        <v>205.8416</v>
      </c>
      <c r="S65" s="29">
        <f>1.016*(12.9+4)</f>
        <v>17.170399999999997</v>
      </c>
      <c r="T65" s="27">
        <f t="shared" si="4"/>
        <v>223.012</v>
      </c>
      <c r="U65" s="30"/>
      <c r="V65" s="28"/>
      <c r="W65" s="28"/>
    </row>
    <row r="66" spans="1:23" s="12" customFormat="1" x14ac:dyDescent="0.45">
      <c r="A66" s="31" t="s">
        <v>73</v>
      </c>
      <c r="B66" s="29">
        <f>1.016*224</f>
        <v>227.584</v>
      </c>
      <c r="C66" s="29">
        <f>((352+1078)*1.016)/1000</f>
        <v>1.4528800000000002</v>
      </c>
      <c r="D66" s="29">
        <f>(16234*1.016)/1000</f>
        <v>16.493744</v>
      </c>
      <c r="E66" s="29">
        <f>10.6*1.016</f>
        <v>10.769600000000001</v>
      </c>
      <c r="F66" s="29">
        <f>35.4*1.016</f>
        <v>35.9664</v>
      </c>
      <c r="G66" s="29">
        <f>27.4*1.016</f>
        <v>27.8384</v>
      </c>
      <c r="H66" s="29">
        <f>(23.4+1.647)*1.016</f>
        <v>25.447751999999998</v>
      </c>
      <c r="I66" s="29">
        <f>14.1*1.016</f>
        <v>14.3256</v>
      </c>
      <c r="J66" s="29">
        <f>1.016*37.1</f>
        <v>37.693600000000004</v>
      </c>
      <c r="K66" s="29">
        <f>1.016*40.9</f>
        <v>41.554400000000001</v>
      </c>
      <c r="L66" s="27">
        <f t="shared" si="5"/>
        <v>14.684248000000018</v>
      </c>
      <c r="M66" s="29"/>
      <c r="N66" s="29"/>
      <c r="O66" s="29"/>
      <c r="P66" s="29">
        <f>1.016*2.8</f>
        <v>2.8447999999999998</v>
      </c>
      <c r="Q66" s="510"/>
      <c r="R66" s="29">
        <f>1.016*207.8</f>
        <v>211.12480000000002</v>
      </c>
      <c r="S66" s="29">
        <f>1.016*(7.7+3.7)</f>
        <v>11.5824</v>
      </c>
      <c r="T66" s="27">
        <f t="shared" si="4"/>
        <v>222.70720000000003</v>
      </c>
      <c r="U66" s="30"/>
      <c r="V66" s="28"/>
      <c r="W66" s="28"/>
    </row>
    <row r="67" spans="1:23" s="12" customFormat="1" x14ac:dyDescent="0.45">
      <c r="A67" s="31" t="s">
        <v>74</v>
      </c>
      <c r="B67" s="29">
        <f>1.016*222</f>
        <v>225.55199999999999</v>
      </c>
      <c r="C67" s="29">
        <f>((3071+1477)*1.016)/1000</f>
        <v>4.620768</v>
      </c>
      <c r="D67" s="29">
        <f>(16124*1.016)/1000</f>
        <v>16.381983999999999</v>
      </c>
      <c r="E67" s="29">
        <f>10.3*1.016</f>
        <v>10.4648</v>
      </c>
      <c r="F67" s="29">
        <f>35.5*1.016</f>
        <v>36.067999999999998</v>
      </c>
      <c r="G67" s="29">
        <f>27.7*1.016</f>
        <v>28.1432</v>
      </c>
      <c r="H67" s="29">
        <f>(25.1+1.693)*1.016</f>
        <v>27.221688000000004</v>
      </c>
      <c r="I67" s="29">
        <f>13.9*1.016</f>
        <v>14.122400000000001</v>
      </c>
      <c r="J67" s="29">
        <f>1.016*36.8</f>
        <v>37.388799999999996</v>
      </c>
      <c r="K67" s="29">
        <f>1.016*38.9</f>
        <v>39.522399999999998</v>
      </c>
      <c r="L67" s="27">
        <f t="shared" si="5"/>
        <v>14.535912000000007</v>
      </c>
      <c r="M67" s="29"/>
      <c r="N67" s="29"/>
      <c r="O67" s="29"/>
      <c r="P67" s="29">
        <f>1.016*2.6</f>
        <v>2.6415999999999999</v>
      </c>
      <c r="Q67" s="510"/>
      <c r="R67" s="29">
        <f>1.016*206.8</f>
        <v>210.1088</v>
      </c>
      <c r="S67" s="29">
        <f>1.016*(11.6+3.3)</f>
        <v>15.138399999999999</v>
      </c>
      <c r="T67" s="27">
        <f t="shared" si="4"/>
        <v>225.24719999999999</v>
      </c>
      <c r="U67" s="30"/>
      <c r="V67" s="28"/>
      <c r="W67" s="28"/>
    </row>
    <row r="68" spans="1:23" s="12" customFormat="1" x14ac:dyDescent="0.45">
      <c r="A68" s="31" t="s">
        <v>75</v>
      </c>
      <c r="B68" s="29">
        <f>1.016*226.8</f>
        <v>230.42880000000002</v>
      </c>
      <c r="C68" s="29">
        <f>((911+968)*1.016)/1000</f>
        <v>1.9090640000000001</v>
      </c>
      <c r="D68" s="29">
        <f>(17434*1.016)/1000</f>
        <v>17.712944</v>
      </c>
      <c r="E68" s="29">
        <f>9.9*1.016</f>
        <v>10.058400000000001</v>
      </c>
      <c r="F68" s="29">
        <f>36.7*1.016</f>
        <v>37.287200000000006</v>
      </c>
      <c r="G68" s="29">
        <f>27.1*1.016</f>
        <v>27.533600000000003</v>
      </c>
      <c r="H68" s="29">
        <f>(25.9+1.527)*1.016</f>
        <v>27.865832000000001</v>
      </c>
      <c r="I68" s="29">
        <f>13.4*1.016</f>
        <v>13.6144</v>
      </c>
      <c r="J68" s="29">
        <f>1.016*37.1</f>
        <v>37.693600000000004</v>
      </c>
      <c r="K68" s="29">
        <f>1.016*39.4</f>
        <v>40.0304</v>
      </c>
      <c r="L68" s="27">
        <f t="shared" si="5"/>
        <v>14.298168000000006</v>
      </c>
      <c r="M68" s="29"/>
      <c r="N68" s="29"/>
      <c r="O68" s="29"/>
      <c r="P68" s="29">
        <f>1.016*2.7</f>
        <v>2.7432000000000003</v>
      </c>
      <c r="Q68" s="510"/>
      <c r="R68" s="29">
        <f>1.016*207.8</f>
        <v>211.12480000000002</v>
      </c>
      <c r="S68" s="29">
        <f>1.016*(13.7+2.9)</f>
        <v>16.865599999999997</v>
      </c>
      <c r="T68" s="27">
        <f t="shared" si="4"/>
        <v>227.99040000000002</v>
      </c>
      <c r="U68" s="30"/>
      <c r="V68" s="28"/>
      <c r="W68" s="28"/>
    </row>
    <row r="69" spans="1:23" s="12" customFormat="1" x14ac:dyDescent="0.45">
      <c r="A69" s="31" t="s">
        <v>76</v>
      </c>
      <c r="B69" s="29">
        <f>1.016*227.6</f>
        <v>231.24160000000001</v>
      </c>
      <c r="C69" s="29">
        <f>((205+907)*1.016)/1000</f>
        <v>1.1297919999999999</v>
      </c>
      <c r="D69" s="29">
        <f>(15547*1.016)/1000</f>
        <v>15.795752</v>
      </c>
      <c r="E69" s="29">
        <f>9.5*1.016</f>
        <v>9.652000000000001</v>
      </c>
      <c r="F69" s="29">
        <f>39.6*1.016</f>
        <v>40.233600000000003</v>
      </c>
      <c r="G69" s="29">
        <f>27.3*1.016</f>
        <v>27.736800000000002</v>
      </c>
      <c r="H69" s="29">
        <f>(26.6+1.634)*1.016</f>
        <v>28.685744000000003</v>
      </c>
      <c r="I69" s="29">
        <f>13*1.016</f>
        <v>13.208</v>
      </c>
      <c r="J69" s="29">
        <f>1.016*38.2</f>
        <v>38.811200000000007</v>
      </c>
      <c r="K69" s="29">
        <f>1.016*40.8</f>
        <v>41.452799999999996</v>
      </c>
      <c r="L69" s="27">
        <f t="shared" si="5"/>
        <v>14.697456000000019</v>
      </c>
      <c r="M69" s="29"/>
      <c r="N69" s="29"/>
      <c r="O69" s="29"/>
      <c r="P69" s="29">
        <f>1.016*2.7</f>
        <v>2.7432000000000003</v>
      </c>
      <c r="Q69" s="510"/>
      <c r="R69" s="29">
        <f>1.016*213.8</f>
        <v>217.22080000000003</v>
      </c>
      <c r="S69" s="29">
        <f>1.016*(13.5+2.5)</f>
        <v>16.256</v>
      </c>
      <c r="T69" s="27">
        <f t="shared" si="4"/>
        <v>233.47680000000003</v>
      </c>
      <c r="U69" s="30"/>
      <c r="V69" s="28"/>
      <c r="W69" s="28"/>
    </row>
    <row r="70" spans="1:23" s="12" customFormat="1" x14ac:dyDescent="0.45">
      <c r="A70" s="31" t="s">
        <v>77</v>
      </c>
      <c r="B70" s="29">
        <f>1.016*232.4</f>
        <v>236.11840000000001</v>
      </c>
      <c r="C70" s="29">
        <f>((685+1508)*1.016)/1000</f>
        <v>2.2280880000000001</v>
      </c>
      <c r="D70" s="29">
        <f>(18346*1.016)/1000</f>
        <v>18.639536</v>
      </c>
      <c r="E70" s="29">
        <f>8.7*1.016</f>
        <v>8.8391999999999999</v>
      </c>
      <c r="F70" s="29">
        <f>42.9*1.016</f>
        <v>43.586399999999998</v>
      </c>
      <c r="G70" s="29">
        <f>27.9*1.016</f>
        <v>28.346399999999999</v>
      </c>
      <c r="H70" s="29">
        <f>(27+1.651)*1.016</f>
        <v>29.109416</v>
      </c>
      <c r="I70" s="29">
        <f>12.2*1.016</f>
        <v>12.395199999999999</v>
      </c>
      <c r="J70" s="29">
        <f>1.016*37.1</f>
        <v>37.693600000000004</v>
      </c>
      <c r="K70" s="29">
        <f>1.016*40.7</f>
        <v>41.351200000000006</v>
      </c>
      <c r="L70" s="27">
        <f t="shared" si="5"/>
        <v>14.47698399999998</v>
      </c>
      <c r="M70" s="29"/>
      <c r="N70" s="29"/>
      <c r="O70" s="29"/>
      <c r="P70" s="29">
        <f>1.016*2.8</f>
        <v>2.8447999999999998</v>
      </c>
      <c r="Q70" s="510"/>
      <c r="R70" s="29">
        <f>1.016*215.2</f>
        <v>218.64319999999998</v>
      </c>
      <c r="S70" s="29">
        <f>1.016*(11.7+2.2)</f>
        <v>14.122399999999999</v>
      </c>
      <c r="T70" s="27">
        <f t="shared" si="4"/>
        <v>232.76559999999998</v>
      </c>
      <c r="U70" s="30"/>
      <c r="V70" s="28"/>
      <c r="W70" s="28"/>
    </row>
    <row r="71" spans="1:23" s="12" customFormat="1" x14ac:dyDescent="0.45">
      <c r="A71" s="31" t="s">
        <v>78</v>
      </c>
      <c r="B71" s="29">
        <f>1.016*227</f>
        <v>230.63200000000001</v>
      </c>
      <c r="C71" s="29">
        <f>((1173+1776)*1.016)/1000</f>
        <v>2.9961840000000004</v>
      </c>
      <c r="D71" s="29">
        <f>(18045*1.016)/1000</f>
        <v>18.33372</v>
      </c>
      <c r="E71" s="29">
        <f>7.9*1.016</f>
        <v>8.0264000000000006</v>
      </c>
      <c r="F71" s="29">
        <f>45.6*1.016</f>
        <v>46.329599999999999</v>
      </c>
      <c r="G71" s="29">
        <f>27.8*1.016</f>
        <v>28.244800000000001</v>
      </c>
      <c r="H71" s="29">
        <f>(29.3+1.781)*1.016</f>
        <v>31.578296000000002</v>
      </c>
      <c r="I71" s="29">
        <f>12.1*1.016</f>
        <v>12.2936</v>
      </c>
      <c r="J71" s="29">
        <f>1.016*37.5</f>
        <v>38.1</v>
      </c>
      <c r="K71" s="29">
        <f>1.016*39.5</f>
        <v>40.131999999999998</v>
      </c>
      <c r="L71" s="27">
        <f t="shared" si="5"/>
        <v>13.532103999999977</v>
      </c>
      <c r="M71" s="29"/>
      <c r="N71" s="29"/>
      <c r="O71" s="29"/>
      <c r="P71" s="29">
        <f>1.016*2.7</f>
        <v>2.7432000000000003</v>
      </c>
      <c r="Q71" s="510"/>
      <c r="R71" s="29">
        <f>1.016*217.5</f>
        <v>220.98</v>
      </c>
      <c r="S71" s="29">
        <f>1.016*(8.1+1.6)</f>
        <v>9.8552</v>
      </c>
      <c r="T71" s="27">
        <f t="shared" si="4"/>
        <v>230.83519999999999</v>
      </c>
      <c r="U71" s="30"/>
      <c r="V71" s="28"/>
      <c r="W71" s="28"/>
    </row>
    <row r="72" spans="1:23" s="12" customFormat="1" x14ac:dyDescent="0.45">
      <c r="A72" s="31" t="s">
        <v>79</v>
      </c>
      <c r="B72" s="29">
        <f>1.016*221.4</f>
        <v>224.94240000000002</v>
      </c>
      <c r="C72" s="29">
        <f>((3873+4697)*1.016)/1000</f>
        <v>8.7071200000000015</v>
      </c>
      <c r="D72" s="29">
        <f>(18765*1.016)/1000</f>
        <v>19.065240000000003</v>
      </c>
      <c r="E72" s="29">
        <f>7.2*1.016</f>
        <v>7.3151999999999999</v>
      </c>
      <c r="F72" s="29">
        <f>46.4*1.016</f>
        <v>47.142400000000002</v>
      </c>
      <c r="G72" s="29">
        <f>26.4*1.016</f>
        <v>26.822399999999998</v>
      </c>
      <c r="H72" s="29">
        <f>(30.7+2.21)*1.016</f>
        <v>33.43656</v>
      </c>
      <c r="I72" s="29">
        <f>11.4*1.016</f>
        <v>11.5824</v>
      </c>
      <c r="J72" s="29">
        <f>1.016*35.6</f>
        <v>36.169600000000003</v>
      </c>
      <c r="K72" s="29">
        <f>1.016*37.5</f>
        <v>38.1</v>
      </c>
      <c r="L72" s="27">
        <f t="shared" si="5"/>
        <v>12.893040000000006</v>
      </c>
      <c r="M72" s="29"/>
      <c r="N72" s="29"/>
      <c r="O72" s="29"/>
      <c r="P72" s="29">
        <f>1.016*2.8</f>
        <v>2.8447999999999998</v>
      </c>
      <c r="Q72" s="510"/>
      <c r="R72" s="29">
        <f>1.016*212.9</f>
        <v>216.3064</v>
      </c>
      <c r="S72" s="29">
        <f>1.016*(6.7+1.2)</f>
        <v>8.0264000000000006</v>
      </c>
      <c r="T72" s="27">
        <f t="shared" si="4"/>
        <v>224.33279999999999</v>
      </c>
      <c r="U72" s="30"/>
      <c r="V72" s="28"/>
      <c r="W72" s="28"/>
    </row>
    <row r="73" spans="1:23" s="12" customFormat="1" x14ac:dyDescent="0.45">
      <c r="A73" s="31" t="s">
        <v>80</v>
      </c>
      <c r="B73" s="29">
        <f>1.016*206.1</f>
        <v>209.39760000000001</v>
      </c>
      <c r="C73" s="29">
        <f>((5946+13722)*1.016)/1000</f>
        <v>19.982688000000003</v>
      </c>
      <c r="D73" s="29">
        <f>(17542*1.016)/1000</f>
        <v>17.822671999999997</v>
      </c>
      <c r="E73" s="29">
        <f>6.5*1.016</f>
        <v>6.6040000000000001</v>
      </c>
      <c r="F73" s="29">
        <f>46.1*1.016</f>
        <v>46.837600000000002</v>
      </c>
      <c r="G73" s="29">
        <f>24.8*1.016</f>
        <v>25.1968</v>
      </c>
      <c r="H73" s="29">
        <f>(27.8+2.203)*1.016</f>
        <v>30.483048</v>
      </c>
      <c r="I73" s="29">
        <f>10.3*1.016</f>
        <v>10.4648</v>
      </c>
      <c r="J73" s="29">
        <f>1.016*36.2</f>
        <v>36.779200000000003</v>
      </c>
      <c r="K73" s="29">
        <f>1.016*33.7</f>
        <v>34.239200000000004</v>
      </c>
      <c r="L73" s="27">
        <f t="shared" si="5"/>
        <v>12.290551999999993</v>
      </c>
      <c r="M73" s="29"/>
      <c r="N73" s="29"/>
      <c r="O73" s="29"/>
      <c r="P73" s="29">
        <f>1.016*2.7</f>
        <v>2.7432000000000003</v>
      </c>
      <c r="Q73" s="510"/>
      <c r="R73" s="29">
        <f>1.016*202.4</f>
        <v>205.63840000000002</v>
      </c>
      <c r="S73" s="29">
        <f>1.016*(4+0.9)</f>
        <v>4.9784000000000006</v>
      </c>
      <c r="T73" s="27">
        <f t="shared" si="4"/>
        <v>210.61680000000001</v>
      </c>
      <c r="U73" s="30"/>
      <c r="V73" s="28"/>
      <c r="W73" s="28"/>
    </row>
    <row r="74" spans="1:23" s="12" customFormat="1" x14ac:dyDescent="0.45">
      <c r="A74" s="31" t="s">
        <v>81</v>
      </c>
      <c r="B74" s="29">
        <f>1.016*190.8</f>
        <v>193.8528</v>
      </c>
      <c r="C74" s="29">
        <f>((6884+28789)*1.016)/1000</f>
        <v>36.243768000000003</v>
      </c>
      <c r="D74" s="29">
        <f>(14374*1.016)/1000</f>
        <v>14.603984000000001</v>
      </c>
      <c r="E74" s="29">
        <f>5.6*1.016</f>
        <v>5.6895999999999995</v>
      </c>
      <c r="F74" s="29">
        <f>46*1.016</f>
        <v>46.736000000000004</v>
      </c>
      <c r="G74" s="29">
        <f>22.5*1.016</f>
        <v>22.86</v>
      </c>
      <c r="H74" s="29">
        <f>(25.7+1.711)*1.016</f>
        <v>27.849575999999999</v>
      </c>
      <c r="I74" s="29">
        <f>9.5*1.016</f>
        <v>9.652000000000001</v>
      </c>
      <c r="J74" s="29">
        <f>1.016*33.4</f>
        <v>33.934399999999997</v>
      </c>
      <c r="K74" s="29">
        <f>1.016*31.7</f>
        <v>32.2072</v>
      </c>
      <c r="L74" s="27">
        <f t="shared" si="5"/>
        <v>10.961624000000022</v>
      </c>
      <c r="M74" s="29"/>
      <c r="N74" s="29"/>
      <c r="O74" s="29"/>
      <c r="P74" s="29">
        <f>1.016*2.5</f>
        <v>2.54</v>
      </c>
      <c r="Q74" s="510"/>
      <c r="R74" s="29">
        <f>1.016*189.4</f>
        <v>192.43040000000002</v>
      </c>
      <c r="S74" s="29">
        <f>1.016*(3.6+0.7)</f>
        <v>4.3688000000000002</v>
      </c>
      <c r="T74" s="27">
        <f t="shared" si="4"/>
        <v>196.79920000000001</v>
      </c>
      <c r="U74" s="30"/>
      <c r="V74" s="28"/>
      <c r="W74" s="28"/>
    </row>
    <row r="75" spans="1:23" s="12" customFormat="1" x14ac:dyDescent="0.45">
      <c r="A75" s="31" t="s">
        <v>82</v>
      </c>
      <c r="B75" s="29">
        <f>1.016*201.2</f>
        <v>204.41919999999999</v>
      </c>
      <c r="C75" s="29">
        <f>29657/1000</f>
        <v>29.657</v>
      </c>
      <c r="D75" s="29">
        <f>13656/1000</f>
        <v>13.656000000000001</v>
      </c>
      <c r="E75" s="29">
        <v>5.08</v>
      </c>
      <c r="F75" s="29">
        <v>52.732999999999997</v>
      </c>
      <c r="G75" s="29">
        <v>22.962</v>
      </c>
      <c r="H75" s="29">
        <f>29.262+2.337</f>
        <v>31.599</v>
      </c>
      <c r="I75" s="29">
        <f>1.016*8.9</f>
        <v>9.0424000000000007</v>
      </c>
      <c r="J75" s="29">
        <v>36.067999999999998</v>
      </c>
      <c r="K75" s="29">
        <f>45.212-I75</f>
        <v>36.169600000000003</v>
      </c>
      <c r="L75" s="27">
        <f t="shared" ref="L75:L80" si="6">R75-SUM(E75:K75)</f>
        <v>6.2040000000000077</v>
      </c>
      <c r="M75" s="29"/>
      <c r="N75" s="29"/>
      <c r="O75" s="29"/>
      <c r="P75" s="29"/>
      <c r="Q75" s="510"/>
      <c r="R75" s="29">
        <v>199.858</v>
      </c>
      <c r="S75" s="29">
        <f>1.016*(5.2+0.3)</f>
        <v>5.5880000000000001</v>
      </c>
      <c r="T75" s="27">
        <f t="shared" si="4"/>
        <v>205.446</v>
      </c>
      <c r="U75" s="30"/>
      <c r="V75" s="28"/>
      <c r="W75" s="28"/>
    </row>
    <row r="76" spans="1:23" s="12" customFormat="1" x14ac:dyDescent="0.45">
      <c r="A76" s="31" t="s">
        <v>83</v>
      </c>
      <c r="B76" s="29">
        <f>1.016*199.8</f>
        <v>202.99680000000001</v>
      </c>
      <c r="C76" s="29">
        <f>21761/1000</f>
        <v>21.760999999999999</v>
      </c>
      <c r="D76" s="29">
        <v>15.978999999999999</v>
      </c>
      <c r="E76" s="29">
        <v>4.5720000000000001</v>
      </c>
      <c r="F76" s="29">
        <v>56.289000000000001</v>
      </c>
      <c r="G76" s="29">
        <v>22.861000000000001</v>
      </c>
      <c r="H76" s="29">
        <f>27.433+2.439</f>
        <v>29.872</v>
      </c>
      <c r="I76" s="29">
        <f>7.7*1.016</f>
        <v>7.8231999999999999</v>
      </c>
      <c r="J76" s="29">
        <v>33.832999999999998</v>
      </c>
      <c r="K76" s="29">
        <f>41.656-I76</f>
        <v>33.832799999999999</v>
      </c>
      <c r="L76" s="27">
        <f t="shared" si="6"/>
        <v>5.7959999999999923</v>
      </c>
      <c r="M76" s="29"/>
      <c r="N76" s="29"/>
      <c r="O76" s="29"/>
      <c r="P76" s="29"/>
      <c r="Q76" s="510"/>
      <c r="R76" s="29">
        <v>194.87899999999999</v>
      </c>
      <c r="S76" s="29">
        <f>1.016*(5.6+0.1)</f>
        <v>5.791199999999999</v>
      </c>
      <c r="T76" s="27">
        <f t="shared" si="4"/>
        <v>200.67019999999999</v>
      </c>
      <c r="U76" s="30"/>
      <c r="V76" s="28"/>
      <c r="W76" s="28"/>
    </row>
    <row r="77" spans="1:23" s="12" customFormat="1" x14ac:dyDescent="0.45">
      <c r="A77" s="31" t="s">
        <v>84</v>
      </c>
      <c r="B77" s="29">
        <f>1.016*195.5</f>
        <v>198.62800000000001</v>
      </c>
      <c r="C77" s="29">
        <f>25766/1000</f>
        <v>25.765999999999998</v>
      </c>
      <c r="D77" s="29">
        <v>15.343999999999999</v>
      </c>
      <c r="E77" s="29">
        <v>4.2670000000000003</v>
      </c>
      <c r="F77" s="29">
        <v>62.081000000000003</v>
      </c>
      <c r="G77" s="29">
        <v>24.76</v>
      </c>
      <c r="H77" s="29">
        <f>24.08+2.642</f>
        <v>26.721999999999998</v>
      </c>
      <c r="I77" s="29">
        <f>1.016*6.2</f>
        <v>6.2991999999999999</v>
      </c>
      <c r="J77" s="29">
        <v>34.341000000000001</v>
      </c>
      <c r="K77" s="29">
        <f>36.307-I77</f>
        <v>30.007800000000003</v>
      </c>
      <c r="L77" s="27">
        <f t="shared" si="6"/>
        <v>5.7909999999999968</v>
      </c>
      <c r="M77" s="29"/>
      <c r="N77" s="29"/>
      <c r="O77" s="29"/>
      <c r="P77" s="29"/>
      <c r="Q77" s="510"/>
      <c r="R77" s="29">
        <v>194.26900000000001</v>
      </c>
      <c r="S77" s="29">
        <f>1.016*(4.7+0.1)</f>
        <v>4.8768000000000002</v>
      </c>
      <c r="T77" s="27">
        <f t="shared" si="4"/>
        <v>199.14580000000001</v>
      </c>
      <c r="U77" s="30"/>
      <c r="V77" s="28"/>
      <c r="W77" s="28"/>
    </row>
    <row r="78" spans="1:23" s="12" customFormat="1" x14ac:dyDescent="0.45">
      <c r="A78" s="31" t="s">
        <v>85</v>
      </c>
      <c r="B78" s="29">
        <f>203*1.016</f>
        <v>206.24799999999999</v>
      </c>
      <c r="C78" s="29">
        <f>19920/1000</f>
        <v>19.920000000000002</v>
      </c>
      <c r="D78" s="29">
        <v>16.739999999999998</v>
      </c>
      <c r="E78" s="29">
        <v>3.9630000000000001</v>
      </c>
      <c r="F78" s="29">
        <v>68.584000000000003</v>
      </c>
      <c r="G78" s="29">
        <v>22.76</v>
      </c>
      <c r="H78" s="29">
        <v>24.08</v>
      </c>
      <c r="I78" s="29">
        <f>1.016*5</f>
        <v>5.08</v>
      </c>
      <c r="J78" s="29">
        <v>33.633000000000003</v>
      </c>
      <c r="K78" s="29">
        <f>35.154-I78</f>
        <v>30.074000000000005</v>
      </c>
      <c r="L78" s="27">
        <f t="shared" si="6"/>
        <v>8.9399999999999977</v>
      </c>
      <c r="M78" s="29"/>
      <c r="N78" s="29"/>
      <c r="O78" s="29"/>
      <c r="P78" s="29"/>
      <c r="Q78" s="510"/>
      <c r="R78" s="29">
        <v>197.114</v>
      </c>
      <c r="S78" s="29">
        <f>7.5*1.016</f>
        <v>7.62</v>
      </c>
      <c r="T78" s="27">
        <f t="shared" si="4"/>
        <v>204.73400000000001</v>
      </c>
      <c r="U78" s="30"/>
      <c r="V78" s="28"/>
      <c r="W78" s="28"/>
    </row>
    <row r="79" spans="1:23" s="12" customFormat="1" x14ac:dyDescent="0.45">
      <c r="A79" s="31" t="s">
        <v>86</v>
      </c>
      <c r="B79" s="29">
        <f>194.1*1.016</f>
        <v>197.2056</v>
      </c>
      <c r="C79" s="29">
        <f>20704/1000</f>
        <v>20.704000000000001</v>
      </c>
      <c r="D79" s="29">
        <f>17547/1000</f>
        <v>17.547000000000001</v>
      </c>
      <c r="E79" s="29">
        <v>3.7589999999999999</v>
      </c>
      <c r="F79" s="29">
        <v>69.091999999999999</v>
      </c>
      <c r="G79" s="29">
        <v>20.829000000000001</v>
      </c>
      <c r="H79" s="29">
        <f>26.316+2.743</f>
        <v>29.058999999999997</v>
      </c>
      <c r="I79" s="29">
        <f>1.016*3.8</f>
        <v>3.8607999999999998</v>
      </c>
      <c r="J79" s="29">
        <v>29.361999999999998</v>
      </c>
      <c r="K79" s="29">
        <f>32.817-I79</f>
        <v>28.956199999999999</v>
      </c>
      <c r="L79" s="27">
        <f t="shared" si="6"/>
        <v>5.2870000000000061</v>
      </c>
      <c r="M79" s="29"/>
      <c r="N79" s="29"/>
      <c r="O79" s="29"/>
      <c r="P79" s="29"/>
      <c r="Q79" s="510"/>
      <c r="R79" s="29">
        <v>190.20500000000001</v>
      </c>
      <c r="S79" s="29">
        <f>6*1.016</f>
        <v>6.0960000000000001</v>
      </c>
      <c r="T79" s="27">
        <f t="shared" si="4"/>
        <v>196.30100000000002</v>
      </c>
      <c r="U79" s="30"/>
      <c r="V79" s="28"/>
      <c r="W79" s="28"/>
    </row>
    <row r="80" spans="1:23" s="12" customFormat="1" x14ac:dyDescent="0.45">
      <c r="A80" s="31" t="s">
        <v>87</v>
      </c>
      <c r="B80" s="29">
        <f>187.5*1.016</f>
        <v>190.5</v>
      </c>
      <c r="C80" s="29">
        <f>21860/1000</f>
        <v>21.86</v>
      </c>
      <c r="D80" s="29">
        <f>16800/1000</f>
        <v>16.8</v>
      </c>
      <c r="E80" s="29">
        <v>3.4550000000000001</v>
      </c>
      <c r="F80" s="29">
        <v>71.123999999999995</v>
      </c>
      <c r="G80" s="29">
        <v>18.492000000000001</v>
      </c>
      <c r="H80" s="29">
        <f>26.722+2.54</f>
        <v>29.262</v>
      </c>
      <c r="I80" s="29">
        <f>1.016*2.8</f>
        <v>2.8447999999999998</v>
      </c>
      <c r="J80" s="29">
        <v>28.853999999999999</v>
      </c>
      <c r="K80" s="29">
        <f>30.988-I80</f>
        <v>28.1432</v>
      </c>
      <c r="L80" s="27">
        <f t="shared" si="6"/>
        <v>5.3889999999999816</v>
      </c>
      <c r="M80" s="29"/>
      <c r="N80" s="29"/>
      <c r="O80" s="29"/>
      <c r="P80" s="29"/>
      <c r="Q80" s="510"/>
      <c r="R80" s="29">
        <v>187.56399999999999</v>
      </c>
      <c r="S80" s="29">
        <f>3.7*1.016</f>
        <v>3.7592000000000003</v>
      </c>
      <c r="T80" s="27">
        <f t="shared" si="4"/>
        <v>191.32319999999999</v>
      </c>
      <c r="U80" s="30"/>
      <c r="V80" s="28"/>
      <c r="W80" s="28"/>
    </row>
    <row r="81" spans="1:23" s="12" customFormat="1" x14ac:dyDescent="0.45">
      <c r="A81" s="31" t="s">
        <v>88</v>
      </c>
      <c r="B81" s="29">
        <f>179.1*1.016</f>
        <v>181.96559999999999</v>
      </c>
      <c r="C81" s="29">
        <f>18847/1000</f>
        <v>18.847000000000001</v>
      </c>
      <c r="D81" s="29">
        <f>18709/1000</f>
        <v>18.709</v>
      </c>
      <c r="E81" s="29">
        <v>3.15</v>
      </c>
      <c r="F81" s="29">
        <v>69.700999999999993</v>
      </c>
      <c r="G81" s="29">
        <v>17.170999999999999</v>
      </c>
      <c r="H81" s="29">
        <f>25.198+2.743</f>
        <v>27.940999999999999</v>
      </c>
      <c r="I81" s="29">
        <f>1.016*1.7</f>
        <v>1.7272000000000001</v>
      </c>
      <c r="J81" s="29">
        <v>26.927</v>
      </c>
      <c r="K81" s="29">
        <f>27.737-I81</f>
        <v>26.009799999999998</v>
      </c>
      <c r="L81" s="27">
        <f>R81-SUM(E81:K81)</f>
        <v>4.8779999999999859</v>
      </c>
      <c r="M81" s="29"/>
      <c r="N81" s="29"/>
      <c r="O81" s="29"/>
      <c r="P81" s="29"/>
      <c r="Q81" s="510"/>
      <c r="R81" s="29">
        <v>177.505</v>
      </c>
      <c r="S81" s="29">
        <f>2.8*1.016</f>
        <v>2.8447999999999998</v>
      </c>
      <c r="T81" s="27">
        <f t="shared" si="4"/>
        <v>180.34979999999999</v>
      </c>
      <c r="U81" s="30"/>
      <c r="V81" s="28"/>
      <c r="W81" s="28"/>
    </row>
    <row r="82" spans="1:23" s="12" customFormat="1" x14ac:dyDescent="0.45">
      <c r="A82" s="31" t="s">
        <v>89</v>
      </c>
      <c r="B82" s="29">
        <f>165.7*1.016</f>
        <v>168.35119999999998</v>
      </c>
      <c r="C82" s="29">
        <f>28138/1000</f>
        <v>28.138000000000002</v>
      </c>
      <c r="D82" s="29">
        <f>18865/1000</f>
        <v>18.864999999999998</v>
      </c>
      <c r="E82" s="29">
        <v>2.9470000000000001</v>
      </c>
      <c r="F82" s="29">
        <v>68.278999999999996</v>
      </c>
      <c r="G82" s="29">
        <v>14.834</v>
      </c>
      <c r="H82" s="29">
        <f>23.979+3.259</f>
        <v>27.238</v>
      </c>
      <c r="I82" s="29">
        <v>0.8</v>
      </c>
      <c r="J82" s="29">
        <v>24.484999999999999</v>
      </c>
      <c r="K82" s="29">
        <f>24.545-I82</f>
        <v>23.745000000000001</v>
      </c>
      <c r="L82" s="27">
        <f t="shared" ref="L82:L110" si="7">R82-SUM(E82:K82)</f>
        <v>4.1020000000000039</v>
      </c>
      <c r="M82" s="29"/>
      <c r="N82" s="29"/>
      <c r="O82" s="29"/>
      <c r="P82" s="29"/>
      <c r="Q82" s="510"/>
      <c r="R82" s="29">
        <v>166.43</v>
      </c>
      <c r="S82" s="29">
        <v>1.9</v>
      </c>
      <c r="T82" s="27">
        <f t="shared" si="4"/>
        <v>168.33</v>
      </c>
      <c r="U82" s="30"/>
    </row>
    <row r="83" spans="1:23" s="12" customFormat="1" x14ac:dyDescent="0.45">
      <c r="A83" s="31" t="s">
        <v>90</v>
      </c>
      <c r="B83" s="29">
        <f>166.5*1.016</f>
        <v>169.16400000000002</v>
      </c>
      <c r="C83" s="29">
        <f>28485/1000</f>
        <v>28.484999999999999</v>
      </c>
      <c r="D83" s="29">
        <f>15941/1000</f>
        <v>15.941000000000001</v>
      </c>
      <c r="E83" s="29">
        <v>2.4590000000000001</v>
      </c>
      <c r="F83" s="29">
        <v>74.366</v>
      </c>
      <c r="G83" s="29">
        <v>10.817</v>
      </c>
      <c r="H83" s="29">
        <f>25.334+3.53</f>
        <v>28.864000000000001</v>
      </c>
      <c r="I83" s="29">
        <v>0.2</v>
      </c>
      <c r="J83" s="29">
        <v>23.584</v>
      </c>
      <c r="K83" s="29">
        <f>22.946-I83</f>
        <v>22.746000000000002</v>
      </c>
      <c r="L83" s="27">
        <f t="shared" si="7"/>
        <v>4.1119999999999948</v>
      </c>
      <c r="M83" s="29"/>
      <c r="N83" s="29"/>
      <c r="O83" s="29"/>
      <c r="P83" s="29"/>
      <c r="Q83" s="510"/>
      <c r="R83" s="29">
        <v>167.148</v>
      </c>
      <c r="S83" s="29">
        <v>2.7</v>
      </c>
      <c r="T83" s="27">
        <f t="shared" si="4"/>
        <v>169.84799999999998</v>
      </c>
      <c r="U83" s="30"/>
    </row>
    <row r="84" spans="1:23" s="12" customFormat="1" x14ac:dyDescent="0.45">
      <c r="A84" s="31" t="s">
        <v>91</v>
      </c>
      <c r="B84" s="29">
        <f>162.7*1.016</f>
        <v>165.3032</v>
      </c>
      <c r="C84" s="29">
        <f>18778/1000</f>
        <v>18.777999999999999</v>
      </c>
      <c r="D84" s="29">
        <f>14289/1000</f>
        <v>14.289</v>
      </c>
      <c r="E84" s="29">
        <v>2.0649999999999999</v>
      </c>
      <c r="F84" s="29">
        <v>77.100999999999999</v>
      </c>
      <c r="G84" s="29">
        <v>6.9770000000000003</v>
      </c>
      <c r="H84" s="29">
        <f>25.78+3.908</f>
        <v>29.688000000000002</v>
      </c>
      <c r="I84" s="29">
        <v>0.2</v>
      </c>
      <c r="J84" s="29">
        <v>21.974</v>
      </c>
      <c r="K84" s="29">
        <f>21.709-I84</f>
        <v>21.509</v>
      </c>
      <c r="L84" s="27">
        <f t="shared" si="7"/>
        <v>4.2319999999999993</v>
      </c>
      <c r="M84" s="29"/>
      <c r="N84" s="29"/>
      <c r="O84" s="29"/>
      <c r="P84" s="29"/>
      <c r="Q84" s="510"/>
      <c r="R84" s="29">
        <v>163.74600000000001</v>
      </c>
      <c r="S84" s="29">
        <v>3.5</v>
      </c>
      <c r="T84" s="27">
        <f t="shared" si="4"/>
        <v>167.24600000000001</v>
      </c>
      <c r="U84" s="30"/>
    </row>
    <row r="85" spans="1:23" s="12" customFormat="1" x14ac:dyDescent="0.45">
      <c r="A85" s="31" t="s">
        <v>92</v>
      </c>
      <c r="B85" s="29">
        <v>158.80080000000001</v>
      </c>
      <c r="C85" s="29">
        <v>7.2160000000000002</v>
      </c>
      <c r="D85" s="29">
        <v>13.414</v>
      </c>
      <c r="E85" s="29">
        <v>1.9159999999999999</v>
      </c>
      <c r="F85" s="29">
        <v>77.236999999999995</v>
      </c>
      <c r="G85" s="29">
        <v>4.28</v>
      </c>
      <c r="H85" s="29">
        <v>29.49</v>
      </c>
      <c r="I85" s="29">
        <v>0.1</v>
      </c>
      <c r="J85" s="29">
        <v>20.190000000000001</v>
      </c>
      <c r="K85" s="29">
        <v>19.512999999999998</v>
      </c>
      <c r="L85" s="27">
        <f t="shared" si="7"/>
        <v>4.1589999999999918</v>
      </c>
      <c r="M85" s="29"/>
      <c r="N85" s="29"/>
      <c r="O85" s="29"/>
      <c r="P85" s="29"/>
      <c r="Q85" s="510"/>
      <c r="R85" s="29">
        <v>156.88499999999999</v>
      </c>
      <c r="S85" s="29">
        <v>3.1909999999999998</v>
      </c>
      <c r="T85" s="27">
        <f t="shared" si="4"/>
        <v>160.07599999999999</v>
      </c>
      <c r="U85" s="32"/>
    </row>
    <row r="86" spans="1:23" s="12" customFormat="1" x14ac:dyDescent="0.45">
      <c r="A86" s="31" t="s">
        <v>93</v>
      </c>
      <c r="B86" s="29">
        <v>150.5712</v>
      </c>
      <c r="C86" s="29">
        <v>10.393000000000001</v>
      </c>
      <c r="D86" s="29">
        <v>18.271000000000001</v>
      </c>
      <c r="E86" s="29">
        <v>1.581</v>
      </c>
      <c r="F86" s="29">
        <v>72.846999999999994</v>
      </c>
      <c r="G86" s="29">
        <v>1.855</v>
      </c>
      <c r="H86" s="29">
        <v>28.030999999999999</v>
      </c>
      <c r="I86" s="29">
        <v>0.1</v>
      </c>
      <c r="J86" s="29">
        <v>17.184999999999999</v>
      </c>
      <c r="K86" s="29">
        <v>16.004999999999999</v>
      </c>
      <c r="L86" s="27">
        <f t="shared" si="7"/>
        <v>3.3270000000000266</v>
      </c>
      <c r="M86" s="29"/>
      <c r="N86" s="29"/>
      <c r="O86" s="29"/>
      <c r="P86" s="29"/>
      <c r="Q86" s="510"/>
      <c r="R86" s="29">
        <v>140.93100000000001</v>
      </c>
      <c r="S86" s="29">
        <v>2.6669999999999998</v>
      </c>
      <c r="T86" s="27">
        <f t="shared" si="4"/>
        <v>143.59800000000001</v>
      </c>
      <c r="U86" s="30"/>
    </row>
    <row r="87" spans="1:23" s="12" customFormat="1" x14ac:dyDescent="0.45">
      <c r="A87" s="31" t="s">
        <v>94</v>
      </c>
      <c r="B87" s="29">
        <v>126.0856</v>
      </c>
      <c r="C87" s="29">
        <v>11.11</v>
      </c>
      <c r="D87" s="29">
        <v>19.350999999999999</v>
      </c>
      <c r="E87" s="29">
        <v>1.405</v>
      </c>
      <c r="F87" s="29">
        <v>66.664000000000001</v>
      </c>
      <c r="G87" s="29">
        <v>0.57499999999999996</v>
      </c>
      <c r="H87" s="29">
        <v>25.023</v>
      </c>
      <c r="I87" s="29">
        <v>0.1</v>
      </c>
      <c r="J87" s="29">
        <v>14.554</v>
      </c>
      <c r="K87" s="29">
        <v>11.563000000000001</v>
      </c>
      <c r="L87" s="27">
        <f t="shared" si="7"/>
        <v>2.9989999999999952</v>
      </c>
      <c r="M87" s="29"/>
      <c r="N87" s="29"/>
      <c r="O87" s="29"/>
      <c r="P87" s="29"/>
      <c r="Q87" s="510"/>
      <c r="R87" s="29">
        <v>122.883</v>
      </c>
      <c r="S87" s="29">
        <v>1.796</v>
      </c>
      <c r="T87" s="27">
        <f t="shared" si="4"/>
        <v>124.679</v>
      </c>
      <c r="U87" s="30"/>
    </row>
    <row r="88" spans="1:23" s="12" customFormat="1" x14ac:dyDescent="0.45">
      <c r="A88" s="31" t="s">
        <v>95</v>
      </c>
      <c r="B88" s="29">
        <v>133.7056</v>
      </c>
      <c r="C88" s="29">
        <v>10.85</v>
      </c>
      <c r="D88" s="29">
        <v>17.035</v>
      </c>
      <c r="E88" s="29">
        <v>1.381</v>
      </c>
      <c r="F88" s="29">
        <v>76.837999999999994</v>
      </c>
      <c r="G88" s="29">
        <v>0.51200000000000001</v>
      </c>
      <c r="H88" s="29">
        <v>25.495000000000001</v>
      </c>
      <c r="I88" s="29">
        <v>0.1</v>
      </c>
      <c r="J88" s="29">
        <v>14.502000000000001</v>
      </c>
      <c r="K88" s="29">
        <v>11.962</v>
      </c>
      <c r="L88" s="27">
        <f t="shared" si="7"/>
        <v>2.5810000000000173</v>
      </c>
      <c r="M88" s="29"/>
      <c r="N88" s="29"/>
      <c r="O88" s="29"/>
      <c r="P88" s="29"/>
      <c r="Q88" s="510"/>
      <c r="R88" s="29">
        <v>133.37100000000001</v>
      </c>
      <c r="S88" s="29">
        <v>2.6930000000000001</v>
      </c>
      <c r="T88" s="27">
        <f t="shared" si="4"/>
        <v>136.06400000000002</v>
      </c>
      <c r="U88" s="30"/>
    </row>
    <row r="89" spans="1:23" s="12" customFormat="1" x14ac:dyDescent="0.45">
      <c r="A89" s="31" t="s">
        <v>96</v>
      </c>
      <c r="B89" s="29">
        <v>118.6688</v>
      </c>
      <c r="C89" s="29">
        <v>5.9790000000000001</v>
      </c>
      <c r="D89" s="29">
        <v>15.827</v>
      </c>
      <c r="E89" s="29">
        <v>1.256</v>
      </c>
      <c r="F89" s="29">
        <v>67.025999999999996</v>
      </c>
      <c r="G89" s="29">
        <v>0.107</v>
      </c>
      <c r="H89" s="29">
        <v>22.248999999999999</v>
      </c>
      <c r="I89" s="29">
        <v>0.1</v>
      </c>
      <c r="J89" s="29">
        <v>13.667</v>
      </c>
      <c r="K89" s="29">
        <v>10.977</v>
      </c>
      <c r="L89" s="27">
        <f t="shared" si="7"/>
        <v>2.5050000000000097</v>
      </c>
      <c r="M89" s="29"/>
      <c r="N89" s="29"/>
      <c r="O89" s="29"/>
      <c r="P89" s="29"/>
      <c r="Q89" s="510"/>
      <c r="R89" s="29">
        <v>117.887</v>
      </c>
      <c r="S89" s="29">
        <v>1.865</v>
      </c>
      <c r="T89" s="27">
        <f t="shared" si="4"/>
        <v>119.752</v>
      </c>
      <c r="U89" s="30"/>
    </row>
    <row r="90" spans="1:23" s="12" customFormat="1" ht="15.4" x14ac:dyDescent="0.45">
      <c r="A90" s="31" t="s">
        <v>97</v>
      </c>
      <c r="B90" s="29">
        <v>141.1</v>
      </c>
      <c r="C90" s="29">
        <v>10.618</v>
      </c>
      <c r="D90" s="29">
        <v>20.541</v>
      </c>
      <c r="E90" s="29">
        <v>1.238</v>
      </c>
      <c r="F90" s="29">
        <v>74.569000000000003</v>
      </c>
      <c r="G90" s="29">
        <v>8.9999999999999993E-3</v>
      </c>
      <c r="H90" s="29">
        <v>23.148</v>
      </c>
      <c r="I90" s="29">
        <v>0.1</v>
      </c>
      <c r="J90" s="29">
        <v>11.616</v>
      </c>
      <c r="K90" s="29">
        <v>9.5850000000000009</v>
      </c>
      <c r="L90" s="27">
        <f t="shared" si="7"/>
        <v>1.9480000000000075</v>
      </c>
      <c r="M90" s="29"/>
      <c r="N90" s="29"/>
      <c r="O90" s="29"/>
      <c r="P90" s="29"/>
      <c r="Q90" s="510"/>
      <c r="R90" s="29">
        <v>122.21299999999999</v>
      </c>
      <c r="S90" s="29">
        <v>2.1819999999999999</v>
      </c>
      <c r="T90" s="27">
        <f t="shared" si="4"/>
        <v>124.395</v>
      </c>
      <c r="U90" s="30"/>
    </row>
    <row r="91" spans="1:23" s="12" customFormat="1" x14ac:dyDescent="0.45">
      <c r="A91" s="31" t="s">
        <v>98</v>
      </c>
      <c r="B91" s="29">
        <v>127.39999999999999</v>
      </c>
      <c r="C91" s="29">
        <v>10.657999999999999</v>
      </c>
      <c r="D91" s="29">
        <v>22.457000000000001</v>
      </c>
      <c r="E91" s="29">
        <v>1.1319999999999999</v>
      </c>
      <c r="F91" s="29">
        <v>77.819000000000003</v>
      </c>
      <c r="G91" s="29">
        <v>8.0000000000000002E-3</v>
      </c>
      <c r="H91" s="29">
        <v>22.806999999999999</v>
      </c>
      <c r="I91" s="29">
        <v>0.1</v>
      </c>
      <c r="J91" s="29">
        <v>10.823</v>
      </c>
      <c r="K91" s="29">
        <v>8.870000000000001</v>
      </c>
      <c r="L91" s="27">
        <f t="shared" si="7"/>
        <v>2.0450000000000017</v>
      </c>
      <c r="M91" s="29"/>
      <c r="N91" s="29"/>
      <c r="O91" s="29"/>
      <c r="P91" s="29"/>
      <c r="Q91" s="510"/>
      <c r="R91" s="29">
        <v>123.604</v>
      </c>
      <c r="S91" s="29">
        <v>1.4359999999999999</v>
      </c>
      <c r="T91" s="27">
        <f t="shared" si="4"/>
        <v>125.03999999999999</v>
      </c>
      <c r="U91" s="30"/>
    </row>
    <row r="92" spans="1:23" s="12" customFormat="1" ht="15.4" x14ac:dyDescent="0.45">
      <c r="A92" s="31" t="s">
        <v>99</v>
      </c>
      <c r="B92" s="29">
        <v>124.4</v>
      </c>
      <c r="C92" s="29">
        <v>9.74</v>
      </c>
      <c r="D92" s="29">
        <v>21.704000000000001</v>
      </c>
      <c r="E92" s="29">
        <v>1.1240000000000001</v>
      </c>
      <c r="F92" s="29">
        <v>79.956000000000003</v>
      </c>
      <c r="G92" s="29" t="s">
        <v>100</v>
      </c>
      <c r="H92" s="29">
        <v>20.579000000000001</v>
      </c>
      <c r="I92" s="29">
        <v>0.1</v>
      </c>
      <c r="J92" s="29">
        <v>11.135999999999999</v>
      </c>
      <c r="K92" s="29">
        <v>8.9329999999999998</v>
      </c>
      <c r="L92" s="27">
        <f t="shared" si="7"/>
        <v>2.1490000000000293</v>
      </c>
      <c r="M92" s="29"/>
      <c r="N92" s="29"/>
      <c r="O92" s="29"/>
      <c r="P92" s="29"/>
      <c r="Q92" s="510"/>
      <c r="R92" s="29">
        <v>123.977</v>
      </c>
      <c r="S92" s="29">
        <v>1.835</v>
      </c>
      <c r="T92" s="27">
        <f t="shared" si="4"/>
        <v>125.812</v>
      </c>
      <c r="U92" s="30"/>
    </row>
    <row r="93" spans="1:23" s="12" customFormat="1" x14ac:dyDescent="0.45">
      <c r="A93" s="31" t="s">
        <v>101</v>
      </c>
      <c r="B93" s="29">
        <v>126.70000000000002</v>
      </c>
      <c r="C93" s="29">
        <v>12.436999999999999</v>
      </c>
      <c r="D93" s="29">
        <v>22.038</v>
      </c>
      <c r="E93" s="29">
        <v>1.01</v>
      </c>
      <c r="F93" s="29">
        <v>80.643000000000001</v>
      </c>
      <c r="G93" s="29" t="s">
        <v>100</v>
      </c>
      <c r="H93" s="29">
        <v>18.015999999999998</v>
      </c>
      <c r="I93" s="29">
        <v>0.1</v>
      </c>
      <c r="J93" s="29">
        <v>10.217000000000001</v>
      </c>
      <c r="K93" s="29">
        <v>8.4500000000000011</v>
      </c>
      <c r="L93" s="27">
        <f t="shared" si="7"/>
        <v>2.0409999999999968</v>
      </c>
      <c r="M93" s="29"/>
      <c r="N93" s="29"/>
      <c r="O93" s="29"/>
      <c r="P93" s="29"/>
      <c r="Q93" s="510"/>
      <c r="R93" s="29">
        <v>120.477</v>
      </c>
      <c r="S93" s="29">
        <v>2.2530000000000001</v>
      </c>
      <c r="T93" s="27">
        <f t="shared" ref="T93:T110" si="8">R93+S93</f>
        <v>122.73</v>
      </c>
      <c r="U93" s="30"/>
    </row>
    <row r="94" spans="1:23" s="12" customFormat="1" x14ac:dyDescent="0.45">
      <c r="A94" s="31" t="s">
        <v>102</v>
      </c>
      <c r="B94" s="29">
        <v>129.70000000000002</v>
      </c>
      <c r="C94" s="29">
        <v>9.5690000000000008</v>
      </c>
      <c r="D94" s="29">
        <v>18.338999999999999</v>
      </c>
      <c r="E94" s="29">
        <v>0.83399999999999996</v>
      </c>
      <c r="F94" s="29">
        <v>88.79</v>
      </c>
      <c r="G94" s="29" t="s">
        <v>100</v>
      </c>
      <c r="H94" s="29">
        <v>17.963999999999999</v>
      </c>
      <c r="I94" s="29"/>
      <c r="J94" s="29">
        <v>10.507999999999999</v>
      </c>
      <c r="K94" s="29">
        <v>9.2319999999999993</v>
      </c>
      <c r="L94" s="27">
        <f t="shared" si="7"/>
        <v>2.0509999999999877</v>
      </c>
      <c r="M94" s="29"/>
      <c r="N94" s="29"/>
      <c r="O94" s="29"/>
      <c r="P94" s="29"/>
      <c r="Q94" s="510"/>
      <c r="R94" s="29">
        <v>129.37899999999999</v>
      </c>
      <c r="S94" s="29">
        <v>2.1749999999999998</v>
      </c>
      <c r="T94" s="27">
        <f t="shared" si="8"/>
        <v>131.554</v>
      </c>
      <c r="U94" s="30"/>
    </row>
    <row r="95" spans="1:23" s="12" customFormat="1" x14ac:dyDescent="0.45">
      <c r="A95" s="31" t="s">
        <v>103</v>
      </c>
      <c r="B95" s="29">
        <v>123.84300000000002</v>
      </c>
      <c r="C95" s="29">
        <v>17.317</v>
      </c>
      <c r="D95" s="29">
        <v>20.37</v>
      </c>
      <c r="E95" s="29">
        <v>0.66300000000000003</v>
      </c>
      <c r="F95" s="29">
        <v>89.569000000000003</v>
      </c>
      <c r="G95" s="29" t="s">
        <v>100</v>
      </c>
      <c r="H95" s="29">
        <v>14.632</v>
      </c>
      <c r="I95" s="29"/>
      <c r="J95" s="29">
        <v>8.9459999999999997</v>
      </c>
      <c r="K95" s="29">
        <v>7.8979999999999997</v>
      </c>
      <c r="L95" s="27">
        <f t="shared" si="7"/>
        <v>1.7519999999999953</v>
      </c>
      <c r="M95" s="29"/>
      <c r="N95" s="29"/>
      <c r="O95" s="29"/>
      <c r="P95" s="29"/>
      <c r="Q95" s="510"/>
      <c r="R95" s="29">
        <v>123.46</v>
      </c>
      <c r="S95" s="29">
        <v>3.8090000000000002</v>
      </c>
      <c r="T95" s="27">
        <f t="shared" si="8"/>
        <v>127.26899999999999</v>
      </c>
      <c r="U95" s="30"/>
    </row>
    <row r="96" spans="1:23" s="12" customFormat="1" x14ac:dyDescent="0.45">
      <c r="A96" s="31" t="s">
        <v>104</v>
      </c>
      <c r="B96" s="29">
        <v>118.08000000000001</v>
      </c>
      <c r="C96" s="29">
        <v>22.117000000000001</v>
      </c>
      <c r="D96" s="29">
        <v>20.135999999999999</v>
      </c>
      <c r="E96" s="29">
        <v>0.61599999999999999</v>
      </c>
      <c r="F96" s="29">
        <v>87.225999999999999</v>
      </c>
      <c r="G96" s="29" t="s">
        <v>100</v>
      </c>
      <c r="H96" s="29">
        <v>13.263</v>
      </c>
      <c r="I96" s="29"/>
      <c r="J96" s="29">
        <v>8.4540000000000006</v>
      </c>
      <c r="K96" s="29">
        <v>7.0460000000000003</v>
      </c>
      <c r="L96" s="27">
        <f t="shared" si="7"/>
        <v>1.7809999999999917</v>
      </c>
      <c r="M96" s="29"/>
      <c r="N96" s="29"/>
      <c r="O96" s="29"/>
      <c r="P96" s="29"/>
      <c r="Q96" s="510"/>
      <c r="R96" s="29">
        <v>118.386</v>
      </c>
      <c r="S96" s="29">
        <v>9.1129999999999995</v>
      </c>
      <c r="T96" s="27">
        <f t="shared" si="8"/>
        <v>127.499</v>
      </c>
      <c r="U96" s="30"/>
    </row>
    <row r="97" spans="1:21" s="12" customFormat="1" x14ac:dyDescent="0.45">
      <c r="A97" s="31" t="s">
        <v>105</v>
      </c>
      <c r="B97" s="29">
        <v>111.203</v>
      </c>
      <c r="C97" s="29">
        <v>21.954999999999998</v>
      </c>
      <c r="D97" s="29">
        <v>30.422000000000001</v>
      </c>
      <c r="E97" s="29">
        <v>0.53400000000000003</v>
      </c>
      <c r="F97" s="29">
        <v>80.227999999999994</v>
      </c>
      <c r="G97" s="29" t="s">
        <v>100</v>
      </c>
      <c r="H97" s="29">
        <v>12.731999999999999</v>
      </c>
      <c r="I97" s="29"/>
      <c r="J97" s="29">
        <v>8.4740000000000002</v>
      </c>
      <c r="K97" s="29">
        <v>7.1749999999999998</v>
      </c>
      <c r="L97" s="27">
        <f t="shared" si="7"/>
        <v>1.855000000000004</v>
      </c>
      <c r="M97" s="29"/>
      <c r="N97" s="29"/>
      <c r="O97" s="29"/>
      <c r="P97" s="29"/>
      <c r="Q97" s="510"/>
      <c r="R97" s="29">
        <v>110.998</v>
      </c>
      <c r="S97" s="29">
        <v>7.4470000000000001</v>
      </c>
      <c r="T97" s="27">
        <f t="shared" si="8"/>
        <v>118.44500000000001</v>
      </c>
      <c r="U97" s="30"/>
    </row>
    <row r="98" spans="1:21" s="12" customFormat="1" x14ac:dyDescent="0.45">
      <c r="A98" s="31" t="s">
        <v>106</v>
      </c>
      <c r="B98" s="29">
        <v>111.566</v>
      </c>
      <c r="C98" s="29">
        <v>23.995999999999999</v>
      </c>
      <c r="D98" s="29">
        <v>33.963999999999999</v>
      </c>
      <c r="E98" s="29">
        <v>0.48599999999999999</v>
      </c>
      <c r="F98" s="29">
        <v>81.564999999999998</v>
      </c>
      <c r="G98" s="29" t="s">
        <v>100</v>
      </c>
      <c r="H98" s="29">
        <v>12.561999999999999</v>
      </c>
      <c r="I98" s="29"/>
      <c r="J98" s="29">
        <v>7.8719999999999999</v>
      </c>
      <c r="K98" s="29">
        <v>7.218</v>
      </c>
      <c r="L98" s="27">
        <f t="shared" si="7"/>
        <v>1.7719999999999914</v>
      </c>
      <c r="M98" s="29"/>
      <c r="N98" s="29"/>
      <c r="O98" s="29"/>
      <c r="P98" s="29"/>
      <c r="Q98" s="510"/>
      <c r="R98" s="29">
        <v>111.47499999999999</v>
      </c>
      <c r="S98" s="29">
        <v>6.5609999999999999</v>
      </c>
      <c r="T98" s="27">
        <f t="shared" si="8"/>
        <v>118.036</v>
      </c>
      <c r="U98" s="30"/>
    </row>
    <row r="99" spans="1:21" s="12" customFormat="1" x14ac:dyDescent="0.45">
      <c r="A99" s="31" t="s">
        <v>107</v>
      </c>
      <c r="B99" s="29">
        <v>79.194999999999993</v>
      </c>
      <c r="C99" s="29">
        <v>20.753</v>
      </c>
      <c r="D99" s="29">
        <v>15.794</v>
      </c>
      <c r="E99" s="29">
        <v>0.20899999999999999</v>
      </c>
      <c r="F99" s="29">
        <v>53.411000000000001</v>
      </c>
      <c r="G99" s="29" t="s">
        <v>100</v>
      </c>
      <c r="H99" s="29">
        <v>9.5459999999999994</v>
      </c>
      <c r="I99" s="29"/>
      <c r="J99" s="29">
        <v>5.4059999999999997</v>
      </c>
      <c r="K99" s="29">
        <v>7.0060000000000002</v>
      </c>
      <c r="L99" s="27">
        <f t="shared" si="7"/>
        <v>1.7309999999999945</v>
      </c>
      <c r="M99" s="29"/>
      <c r="N99" s="29"/>
      <c r="O99" s="29"/>
      <c r="P99" s="29"/>
      <c r="Q99" s="510"/>
      <c r="R99" s="29">
        <v>77.308999999999997</v>
      </c>
      <c r="S99" s="29">
        <v>2.2930000000000001</v>
      </c>
      <c r="T99" s="27">
        <f t="shared" si="8"/>
        <v>79.602000000000004</v>
      </c>
      <c r="U99" s="30"/>
    </row>
    <row r="100" spans="1:21" s="12" customFormat="1" x14ac:dyDescent="0.45">
      <c r="A100" s="31" t="s">
        <v>108</v>
      </c>
      <c r="B100" s="29">
        <v>105.973</v>
      </c>
      <c r="C100" s="29">
        <v>9.2279999999999998</v>
      </c>
      <c r="D100" s="29">
        <v>25.751999999999999</v>
      </c>
      <c r="E100" s="29">
        <v>0.33200000000000002</v>
      </c>
      <c r="F100" s="29">
        <v>73.94</v>
      </c>
      <c r="G100" s="29" t="s">
        <v>100</v>
      </c>
      <c r="H100" s="29">
        <v>13.298</v>
      </c>
      <c r="I100" s="29"/>
      <c r="J100" s="29">
        <v>7.7990000000000004</v>
      </c>
      <c r="K100" s="29">
        <v>8.3130000000000006</v>
      </c>
      <c r="L100" s="27">
        <f t="shared" si="7"/>
        <v>1.7039999999999935</v>
      </c>
      <c r="M100" s="29"/>
      <c r="N100" s="29"/>
      <c r="O100" s="29"/>
      <c r="P100" s="29"/>
      <c r="Q100" s="510"/>
      <c r="R100" s="29">
        <v>105.386</v>
      </c>
      <c r="S100" s="29">
        <v>2.4319999999999999</v>
      </c>
      <c r="T100" s="27">
        <f t="shared" si="8"/>
        <v>107.818</v>
      </c>
      <c r="U100" s="30"/>
    </row>
    <row r="101" spans="1:21" s="12" customFormat="1" x14ac:dyDescent="0.45">
      <c r="A101" s="31" t="s">
        <v>109</v>
      </c>
      <c r="B101" s="29">
        <v>119.47699999999999</v>
      </c>
      <c r="C101" s="29">
        <v>8.7040000000000006</v>
      </c>
      <c r="D101" s="29">
        <v>29.776</v>
      </c>
      <c r="E101" s="29">
        <v>0.30599999999999999</v>
      </c>
      <c r="F101" s="29">
        <v>82.652000000000001</v>
      </c>
      <c r="G101" s="29" t="s">
        <v>100</v>
      </c>
      <c r="H101" s="29">
        <v>13.081</v>
      </c>
      <c r="I101" s="29"/>
      <c r="J101" s="29">
        <v>7.4210000000000003</v>
      </c>
      <c r="K101" s="29">
        <v>9.2780000000000005</v>
      </c>
      <c r="L101" s="27">
        <f t="shared" si="7"/>
        <v>1.4959999999999809</v>
      </c>
      <c r="M101" s="29"/>
      <c r="N101" s="29"/>
      <c r="O101" s="29"/>
      <c r="P101" s="29"/>
      <c r="Q101" s="510"/>
      <c r="R101" s="29">
        <v>114.23399999999999</v>
      </c>
      <c r="S101" s="29">
        <v>2.677</v>
      </c>
      <c r="T101" s="27">
        <f t="shared" si="8"/>
        <v>116.911</v>
      </c>
      <c r="U101" s="30"/>
    </row>
    <row r="102" spans="1:21" s="12" customFormat="1" x14ac:dyDescent="0.45">
      <c r="A102" s="31" t="s">
        <v>110</v>
      </c>
      <c r="B102" s="29">
        <v>117.28500000000001</v>
      </c>
      <c r="C102" s="29">
        <v>6.1420000000000003</v>
      </c>
      <c r="D102" s="29">
        <v>27.103999999999999</v>
      </c>
      <c r="E102" s="29">
        <v>0.23499999999999999</v>
      </c>
      <c r="F102" s="29">
        <v>87.96</v>
      </c>
      <c r="G102" s="29" t="s">
        <v>100</v>
      </c>
      <c r="H102" s="29">
        <v>12.911</v>
      </c>
      <c r="I102" s="29"/>
      <c r="J102" s="29">
        <v>6.5359999999999996</v>
      </c>
      <c r="K102" s="29">
        <v>6.827</v>
      </c>
      <c r="L102" s="27">
        <f t="shared" si="7"/>
        <v>1.4250000000000114</v>
      </c>
      <c r="M102" s="29"/>
      <c r="N102" s="29"/>
      <c r="O102" s="29"/>
      <c r="P102" s="29"/>
      <c r="Q102" s="510"/>
      <c r="R102" s="29">
        <v>115.89400000000001</v>
      </c>
      <c r="S102" s="29">
        <v>2.3530000000000002</v>
      </c>
      <c r="T102" s="27">
        <f t="shared" si="8"/>
        <v>118.247</v>
      </c>
      <c r="U102" s="30"/>
    </row>
    <row r="103" spans="1:21" s="12" customFormat="1" x14ac:dyDescent="0.45">
      <c r="A103" s="31" t="s">
        <v>111</v>
      </c>
      <c r="B103" s="29">
        <v>116.771</v>
      </c>
      <c r="C103" s="29">
        <v>7.3319999999999999</v>
      </c>
      <c r="D103" s="29">
        <v>28.834</v>
      </c>
      <c r="E103" s="29">
        <v>0.19600000000000001</v>
      </c>
      <c r="F103" s="29">
        <v>84.257999999999996</v>
      </c>
      <c r="G103" s="29" t="s">
        <v>100</v>
      </c>
      <c r="H103" s="29">
        <v>12.907999999999999</v>
      </c>
      <c r="I103" s="29"/>
      <c r="J103" s="29">
        <v>5.7409999999999997</v>
      </c>
      <c r="K103" s="29">
        <v>7.1310000000000002</v>
      </c>
      <c r="L103" s="27">
        <f t="shared" si="7"/>
        <v>1.2650000000000006</v>
      </c>
      <c r="M103" s="29"/>
      <c r="N103" s="29"/>
      <c r="O103" s="29"/>
      <c r="P103" s="29"/>
      <c r="Q103" s="510"/>
      <c r="R103" s="29">
        <v>111.499</v>
      </c>
      <c r="S103" s="29">
        <v>1.8220000000000001</v>
      </c>
      <c r="T103" s="27">
        <f t="shared" si="8"/>
        <v>113.321</v>
      </c>
      <c r="U103" s="30"/>
    </row>
    <row r="104" spans="1:21" s="12" customFormat="1" x14ac:dyDescent="0.45">
      <c r="A104" s="31" t="s">
        <v>112</v>
      </c>
      <c r="B104" s="29">
        <v>114.30699999999999</v>
      </c>
      <c r="C104" s="29">
        <v>10.053000000000001</v>
      </c>
      <c r="D104" s="29">
        <v>29.190999999999999</v>
      </c>
      <c r="E104" s="29">
        <v>0.14599999999999999</v>
      </c>
      <c r="F104" s="29">
        <v>82.052999999999997</v>
      </c>
      <c r="G104" s="29" t="s">
        <v>100</v>
      </c>
      <c r="H104" s="29">
        <v>12.509</v>
      </c>
      <c r="I104" s="29"/>
      <c r="J104" s="29">
        <v>5.048</v>
      </c>
      <c r="K104" s="29">
        <v>6.7629999999999999</v>
      </c>
      <c r="L104" s="27">
        <f t="shared" si="7"/>
        <v>1.0619999999999976</v>
      </c>
      <c r="M104" s="29"/>
      <c r="N104" s="29"/>
      <c r="O104" s="29"/>
      <c r="P104" s="29"/>
      <c r="Q104" s="510"/>
      <c r="R104" s="29">
        <v>107.581</v>
      </c>
      <c r="S104" s="29">
        <v>2.0489999999999999</v>
      </c>
      <c r="T104" s="27">
        <f t="shared" si="8"/>
        <v>109.63000000000001</v>
      </c>
      <c r="U104" s="30"/>
    </row>
    <row r="105" spans="1:21" s="12" customFormat="1" x14ac:dyDescent="0.45">
      <c r="A105" s="31" t="s">
        <v>113</v>
      </c>
      <c r="B105" s="29">
        <v>108.17700000000001</v>
      </c>
      <c r="C105" s="29">
        <v>9.0129999999999999</v>
      </c>
      <c r="D105" s="29">
        <v>28.747</v>
      </c>
      <c r="E105" s="29">
        <v>0.11700000000000001</v>
      </c>
      <c r="F105" s="29">
        <v>84.013999999999996</v>
      </c>
      <c r="G105" s="29" t="s">
        <v>100</v>
      </c>
      <c r="H105" s="29">
        <v>12.396000000000001</v>
      </c>
      <c r="I105" s="29"/>
      <c r="J105" s="29">
        <v>4.2389999999999999</v>
      </c>
      <c r="K105" s="29">
        <v>6.28</v>
      </c>
      <c r="L105" s="27">
        <f t="shared" si="7"/>
        <v>1.2109999999999985</v>
      </c>
      <c r="M105" s="29"/>
      <c r="N105" s="29"/>
      <c r="O105" s="29"/>
      <c r="P105" s="29"/>
      <c r="Q105" s="510"/>
      <c r="R105" s="29">
        <v>108.25700000000001</v>
      </c>
      <c r="S105" s="29">
        <v>2.3069999999999999</v>
      </c>
      <c r="T105" s="27">
        <f t="shared" si="8"/>
        <v>110.56400000000001</v>
      </c>
      <c r="U105" s="30"/>
    </row>
    <row r="106" spans="1:21" s="12" customFormat="1" x14ac:dyDescent="0.45">
      <c r="A106" s="31" t="s">
        <v>114</v>
      </c>
      <c r="B106" s="29">
        <v>117.55000000000001</v>
      </c>
      <c r="C106" s="29">
        <v>10.977</v>
      </c>
      <c r="D106" s="29">
        <v>32.343000000000004</v>
      </c>
      <c r="E106" s="29">
        <v>0.112</v>
      </c>
      <c r="F106" s="29">
        <v>83.542000000000002</v>
      </c>
      <c r="G106" s="29" t="s">
        <v>100</v>
      </c>
      <c r="H106" s="29">
        <v>11.512</v>
      </c>
      <c r="I106" s="29"/>
      <c r="J106" s="29">
        <v>4.7779999999999996</v>
      </c>
      <c r="K106" s="29">
        <v>6.4260000000000002</v>
      </c>
      <c r="L106" s="27">
        <f t="shared" si="7"/>
        <v>1.1439999999999912</v>
      </c>
      <c r="M106" s="29"/>
      <c r="N106" s="29"/>
      <c r="O106" s="29"/>
      <c r="P106" s="29"/>
      <c r="Q106" s="510"/>
      <c r="R106" s="29">
        <v>107.514</v>
      </c>
      <c r="S106" s="29">
        <v>1.8240000000000001</v>
      </c>
      <c r="T106" s="27">
        <f t="shared" si="8"/>
        <v>109.33799999999999</v>
      </c>
      <c r="U106" s="30"/>
    </row>
    <row r="107" spans="1:21" s="12" customFormat="1" ht="15.4" x14ac:dyDescent="0.45">
      <c r="A107" s="31" t="s">
        <v>115</v>
      </c>
      <c r="B107" s="29">
        <v>107.746</v>
      </c>
      <c r="C107" s="29">
        <v>13.714</v>
      </c>
      <c r="D107" s="29">
        <v>33.493000000000002</v>
      </c>
      <c r="E107" s="29">
        <v>7.9000000000000001E-2</v>
      </c>
      <c r="F107" s="29">
        <v>78.468999999999994</v>
      </c>
      <c r="G107" s="29" t="s">
        <v>100</v>
      </c>
      <c r="H107" s="29">
        <v>10.35</v>
      </c>
      <c r="I107" s="29"/>
      <c r="J107" s="29">
        <v>4.1559999999999997</v>
      </c>
      <c r="K107" s="29">
        <v>6.5810000000000004</v>
      </c>
      <c r="L107" s="27">
        <f t="shared" si="7"/>
        <v>0.94500000000000739</v>
      </c>
      <c r="M107" s="29"/>
      <c r="N107" s="29"/>
      <c r="O107" s="29"/>
      <c r="P107" s="29"/>
      <c r="Q107" s="510"/>
      <c r="R107" s="29">
        <v>100.58</v>
      </c>
      <c r="S107" s="29">
        <v>0.97299999999999998</v>
      </c>
      <c r="T107" s="27">
        <f t="shared" si="8"/>
        <v>101.553</v>
      </c>
      <c r="U107" s="30"/>
    </row>
    <row r="108" spans="1:21" s="12" customFormat="1" x14ac:dyDescent="0.45">
      <c r="A108" s="31" t="s">
        <v>116</v>
      </c>
      <c r="B108" s="29">
        <v>86.920999999999992</v>
      </c>
      <c r="C108" s="29">
        <v>15.989000000000001</v>
      </c>
      <c r="D108" s="29">
        <v>29.872</v>
      </c>
      <c r="E108" s="29">
        <v>4.8000000000000001E-2</v>
      </c>
      <c r="F108" s="29">
        <v>66.135999999999996</v>
      </c>
      <c r="G108" s="29" t="s">
        <v>100</v>
      </c>
      <c r="H108" s="29">
        <v>9.8079999999999998</v>
      </c>
      <c r="I108" s="29"/>
      <c r="J108" s="29">
        <v>4.6379999999999999</v>
      </c>
      <c r="K108" s="29">
        <v>5.3</v>
      </c>
      <c r="L108" s="27">
        <f t="shared" si="7"/>
        <v>0.82600000000000762</v>
      </c>
      <c r="M108" s="29"/>
      <c r="N108" s="29"/>
      <c r="O108" s="29"/>
      <c r="P108" s="29"/>
      <c r="Q108" s="510"/>
      <c r="R108" s="29">
        <v>86.756</v>
      </c>
      <c r="S108" s="29">
        <v>1.1140000000000001</v>
      </c>
      <c r="T108" s="27">
        <f t="shared" si="8"/>
        <v>87.87</v>
      </c>
      <c r="U108" s="30"/>
    </row>
    <row r="109" spans="1:21" s="12" customFormat="1" x14ac:dyDescent="0.45">
      <c r="A109" s="31" t="s">
        <v>117</v>
      </c>
      <c r="B109" s="29">
        <v>82.225999999999999</v>
      </c>
      <c r="C109" s="29">
        <v>11.271000000000001</v>
      </c>
      <c r="D109" s="29">
        <v>15.301147</v>
      </c>
      <c r="E109" s="29">
        <v>2.1999999999999999E-2</v>
      </c>
      <c r="F109" s="29">
        <v>62.405999999999999</v>
      </c>
      <c r="G109" s="29" t="s">
        <v>100</v>
      </c>
      <c r="H109" s="29">
        <v>9.7710000000000008</v>
      </c>
      <c r="I109" s="29"/>
      <c r="J109" s="29">
        <v>3.9009999999999998</v>
      </c>
      <c r="K109" s="29">
        <v>4.9459999999999997</v>
      </c>
      <c r="L109" s="27">
        <f t="shared" si="7"/>
        <v>0.72100000000000364</v>
      </c>
      <c r="M109" s="29"/>
      <c r="N109" s="29"/>
      <c r="O109" s="29"/>
      <c r="P109" s="29"/>
      <c r="Q109" s="510"/>
      <c r="R109" s="29">
        <v>81.766999999999996</v>
      </c>
      <c r="S109" s="29">
        <v>1.236</v>
      </c>
      <c r="T109" s="27">
        <f t="shared" si="8"/>
        <v>83.003</v>
      </c>
      <c r="U109" s="30"/>
    </row>
    <row r="110" spans="1:21" s="12" customFormat="1" x14ac:dyDescent="0.45">
      <c r="A110" s="31" t="s">
        <v>118</v>
      </c>
      <c r="B110" s="29">
        <v>76.616</v>
      </c>
      <c r="C110" s="29">
        <v>7.1040000000000001</v>
      </c>
      <c r="D110" s="29">
        <v>13.226201</v>
      </c>
      <c r="E110" s="29">
        <v>8.0000000000000002E-3</v>
      </c>
      <c r="F110" s="29">
        <v>59.588000000000001</v>
      </c>
      <c r="G110" s="29" t="s">
        <v>100</v>
      </c>
      <c r="H110" s="29">
        <v>9.6389999999999993</v>
      </c>
      <c r="I110" s="29"/>
      <c r="J110" s="29">
        <v>2.69</v>
      </c>
      <c r="K110" s="29">
        <v>4.4939999999999998</v>
      </c>
      <c r="L110" s="27">
        <f t="shared" si="7"/>
        <v>0.52299999999999613</v>
      </c>
      <c r="M110" s="29"/>
      <c r="N110" s="29"/>
      <c r="O110" s="29"/>
      <c r="P110" s="29"/>
      <c r="Q110" s="510"/>
      <c r="R110" s="29">
        <v>76.941999999999993</v>
      </c>
      <c r="S110" s="29">
        <v>0.85899999999999999</v>
      </c>
      <c r="T110" s="27">
        <f t="shared" si="8"/>
        <v>77.800999999999988</v>
      </c>
      <c r="U110" s="30"/>
    </row>
    <row r="111" spans="1:21" s="12" customFormat="1" x14ac:dyDescent="0.45">
      <c r="A111" s="31" t="s">
        <v>119</v>
      </c>
      <c r="B111" s="29">
        <v>70.832999999999998</v>
      </c>
      <c r="C111" s="29">
        <v>4.1529999999999996</v>
      </c>
      <c r="D111" s="29">
        <v>12.352330198983719</v>
      </c>
      <c r="E111" s="29">
        <v>8.0000000000000002E-3</v>
      </c>
      <c r="F111" s="29">
        <v>55.511000000000003</v>
      </c>
      <c r="G111" s="29" t="s">
        <v>100</v>
      </c>
      <c r="H111" s="29">
        <v>9.5775380000000006</v>
      </c>
      <c r="I111" s="29"/>
      <c r="J111" s="29">
        <v>2.7050000000000001</v>
      </c>
      <c r="K111" s="29">
        <v>3.074919627315607</v>
      </c>
      <c r="L111" s="27">
        <f>T111-SUM(E111:K111)</f>
        <v>1.5118412489999997</v>
      </c>
      <c r="M111" s="29"/>
      <c r="N111" s="29"/>
      <c r="O111" s="29"/>
      <c r="P111" s="29"/>
      <c r="Q111" s="510"/>
      <c r="R111" s="29">
        <v>71.399957627315615</v>
      </c>
      <c r="S111" s="29">
        <v>0.98834124899999998</v>
      </c>
      <c r="T111" s="27">
        <f>R111+S111</f>
        <v>72.388298876315616</v>
      </c>
      <c r="U111" s="29"/>
    </row>
    <row r="112" spans="1:21" s="12" customFormat="1" x14ac:dyDescent="0.45">
      <c r="A112" s="31" t="s">
        <v>120</v>
      </c>
      <c r="B112" s="29">
        <v>63.423000000000002</v>
      </c>
      <c r="C112" s="29">
        <v>4.8027830000000007</v>
      </c>
      <c r="D112" s="29">
        <v>15.385352000000001</v>
      </c>
      <c r="E112" s="29">
        <v>8.0000000000000002E-3</v>
      </c>
      <c r="F112" s="29">
        <v>47.332999999999998</v>
      </c>
      <c r="G112" s="29" t="s">
        <v>100</v>
      </c>
      <c r="H112" s="29">
        <v>9.6140000000000008</v>
      </c>
      <c r="I112" s="29"/>
      <c r="J112" s="29">
        <v>2.5870000000000002</v>
      </c>
      <c r="K112" s="29">
        <v>2.9929999999999999</v>
      </c>
      <c r="L112" s="27">
        <f>T112-SUM(E112:K112)</f>
        <v>1.6909999999999954</v>
      </c>
      <c r="M112" s="29"/>
      <c r="N112" s="29"/>
      <c r="O112" s="29"/>
      <c r="P112" s="29"/>
      <c r="Q112" s="510"/>
      <c r="R112" s="29">
        <v>63.08</v>
      </c>
      <c r="S112" s="29">
        <v>1.1459999999999999</v>
      </c>
      <c r="T112" s="27">
        <f t="shared" ref="T112:T130" si="9">R112+S112</f>
        <v>64.225999999999999</v>
      </c>
      <c r="U112" s="29"/>
    </row>
    <row r="113" spans="1:22" s="12" customFormat="1" x14ac:dyDescent="0.45">
      <c r="A113" s="31" t="s">
        <v>121</v>
      </c>
      <c r="B113" s="29">
        <v>62.871000000000002</v>
      </c>
      <c r="C113" s="29">
        <v>4.5648749999999998</v>
      </c>
      <c r="D113" s="29">
        <v>14.201896000000001</v>
      </c>
      <c r="E113" s="29">
        <v>5.0000000000000001E-3</v>
      </c>
      <c r="F113" s="29">
        <v>48.588000000000001</v>
      </c>
      <c r="G113" s="29" t="s">
        <v>100</v>
      </c>
      <c r="H113" s="29">
        <v>9.3629999999999995</v>
      </c>
      <c r="I113" s="29"/>
      <c r="J113" s="29">
        <v>2.3660000000000001</v>
      </c>
      <c r="K113" s="29">
        <v>2.4140000000000001</v>
      </c>
      <c r="L113" s="27">
        <f t="shared" ref="L113:L134" si="10">T113-SUM(E113:K113)-S113</f>
        <v>0.41600000000000048</v>
      </c>
      <c r="M113" s="29"/>
      <c r="N113" s="29"/>
      <c r="O113" s="29"/>
      <c r="P113" s="29"/>
      <c r="Q113" s="510"/>
      <c r="R113" s="29">
        <v>63.152000000000001</v>
      </c>
      <c r="S113" s="29">
        <v>0.97099999999999997</v>
      </c>
      <c r="T113" s="27">
        <f t="shared" si="9"/>
        <v>64.123000000000005</v>
      </c>
      <c r="U113" s="29"/>
    </row>
    <row r="114" spans="1:22" s="12" customFormat="1" x14ac:dyDescent="0.45">
      <c r="A114" s="31" t="s">
        <v>122</v>
      </c>
      <c r="B114" s="29">
        <v>55.445</v>
      </c>
      <c r="C114" s="29">
        <v>5.1571279999999993</v>
      </c>
      <c r="D114" s="29">
        <v>14.774326473118277</v>
      </c>
      <c r="E114" s="29">
        <v>0.01</v>
      </c>
      <c r="F114" s="29">
        <v>41.177999999999997</v>
      </c>
      <c r="G114" s="29" t="s">
        <v>100</v>
      </c>
      <c r="H114" s="29">
        <v>9.0589999999999993</v>
      </c>
      <c r="I114" s="29"/>
      <c r="J114" s="29">
        <v>2.5169999999999999</v>
      </c>
      <c r="K114" s="29">
        <v>2.04</v>
      </c>
      <c r="L114" s="27">
        <f t="shared" si="10"/>
        <v>0.92000000000000448</v>
      </c>
      <c r="M114" s="29"/>
      <c r="N114" s="29"/>
      <c r="O114" s="29"/>
      <c r="P114" s="29"/>
      <c r="Q114" s="510"/>
      <c r="R114" s="29">
        <v>55.723999999999997</v>
      </c>
      <c r="S114" s="29">
        <v>0.76100000000000001</v>
      </c>
      <c r="T114" s="27">
        <f t="shared" si="9"/>
        <v>56.484999999999999</v>
      </c>
      <c r="U114" s="29"/>
    </row>
    <row r="115" spans="1:22" s="12" customFormat="1" x14ac:dyDescent="0.45">
      <c r="A115" s="31" t="s">
        <v>123</v>
      </c>
      <c r="B115" s="29">
        <v>59.837978845194094</v>
      </c>
      <c r="C115" s="29">
        <v>1.6459790000000001</v>
      </c>
      <c r="D115" s="29">
        <v>12.430643921827958</v>
      </c>
      <c r="E115" s="29">
        <v>1.2451058518177514E-2</v>
      </c>
      <c r="F115" s="29">
        <v>46.197493975852908</v>
      </c>
      <c r="G115" s="29" t="s">
        <v>100</v>
      </c>
      <c r="H115" s="29">
        <v>9.880335277454865</v>
      </c>
      <c r="I115" s="29"/>
      <c r="J115" s="29">
        <v>1.8826974567452781</v>
      </c>
      <c r="K115" s="29">
        <v>1.875996805472806</v>
      </c>
      <c r="L115" s="27">
        <f t="shared" si="10"/>
        <v>8.2023855226083686E-2</v>
      </c>
      <c r="M115" s="29"/>
      <c r="N115" s="29"/>
      <c r="O115" s="29"/>
      <c r="P115" s="29"/>
      <c r="Q115" s="510"/>
      <c r="R115" s="29">
        <v>59.930998429270119</v>
      </c>
      <c r="S115" s="29">
        <v>0.66033629500000002</v>
      </c>
      <c r="T115" s="27">
        <f t="shared" si="9"/>
        <v>60.591334724270119</v>
      </c>
      <c r="U115" s="29"/>
    </row>
    <row r="116" spans="1:22" s="12" customFormat="1" x14ac:dyDescent="0.45">
      <c r="A116" s="31" t="s">
        <v>124</v>
      </c>
      <c r="B116" s="29">
        <v>63.530396495149539</v>
      </c>
      <c r="C116" s="29">
        <v>1.582948</v>
      </c>
      <c r="D116" s="29">
        <v>15.885351408602153</v>
      </c>
      <c r="E116" s="29">
        <v>9.6470000000000011E-3</v>
      </c>
      <c r="F116" s="29">
        <v>50.93136963769058</v>
      </c>
      <c r="G116" s="29" t="s">
        <v>100</v>
      </c>
      <c r="H116" s="29">
        <v>9.1411242607504732</v>
      </c>
      <c r="I116" s="29"/>
      <c r="J116" s="29">
        <v>1.8737301659080574</v>
      </c>
      <c r="K116" s="29">
        <v>1.8263821134609537</v>
      </c>
      <c r="L116" s="27">
        <f t="shared" si="10"/>
        <v>6.8155366624022773E-2</v>
      </c>
      <c r="M116" s="29"/>
      <c r="N116" s="29"/>
      <c r="O116" s="29"/>
      <c r="P116" s="29"/>
      <c r="Q116" s="510"/>
      <c r="R116" s="29">
        <v>63.850408544434089</v>
      </c>
      <c r="S116" s="29">
        <v>0.54996534300000011</v>
      </c>
      <c r="T116" s="27">
        <f t="shared" si="9"/>
        <v>64.400373887434085</v>
      </c>
      <c r="U116" s="29"/>
    </row>
    <row r="117" spans="1:22" s="12" customFormat="1" x14ac:dyDescent="0.45">
      <c r="A117" s="31" t="s">
        <v>125</v>
      </c>
      <c r="B117" s="29">
        <v>58.639070518223832</v>
      </c>
      <c r="C117" s="29">
        <v>2.481579</v>
      </c>
      <c r="D117" s="29">
        <v>14.486134083333333</v>
      </c>
      <c r="E117" s="29">
        <v>8.6140000000000001E-3</v>
      </c>
      <c r="F117" s="29">
        <v>47.741114649111069</v>
      </c>
      <c r="G117" s="29" t="s">
        <v>100</v>
      </c>
      <c r="H117" s="29">
        <v>7.6862211165452656</v>
      </c>
      <c r="I117" s="29"/>
      <c r="J117" s="29">
        <v>1.2859862110870708</v>
      </c>
      <c r="K117" s="29">
        <v>1.8095600840568753</v>
      </c>
      <c r="L117" s="27">
        <f t="shared" si="10"/>
        <v>2.2366616172214582E-2</v>
      </c>
      <c r="M117" s="29"/>
      <c r="N117" s="29"/>
      <c r="O117" s="29"/>
      <c r="P117" s="29"/>
      <c r="Q117" s="510"/>
      <c r="R117" s="29">
        <v>58.553862676972493</v>
      </c>
      <c r="S117" s="29">
        <v>0.53688572199999995</v>
      </c>
      <c r="T117" s="27">
        <f t="shared" si="9"/>
        <v>59.090748398972494</v>
      </c>
      <c r="U117" s="29"/>
    </row>
    <row r="118" spans="1:22" s="12" customFormat="1" x14ac:dyDescent="0.45">
      <c r="A118" s="31" t="s">
        <v>126</v>
      </c>
      <c r="B118" s="29">
        <v>62.865000000000002</v>
      </c>
      <c r="C118" s="29">
        <v>1.6236869999999999</v>
      </c>
      <c r="D118" s="29">
        <v>12.106995042258065</v>
      </c>
      <c r="E118" s="29">
        <v>5.653E-3</v>
      </c>
      <c r="F118" s="29">
        <v>52.46340542583814</v>
      </c>
      <c r="G118" s="29" t="s">
        <v>100</v>
      </c>
      <c r="H118" s="29">
        <v>7.6300087560393886</v>
      </c>
      <c r="I118" s="29"/>
      <c r="J118" s="29">
        <v>1.042559561902809</v>
      </c>
      <c r="K118" s="29">
        <v>1.8561076770157214</v>
      </c>
      <c r="L118" s="27">
        <f t="shared" si="10"/>
        <v>2.4804307377795931E-2</v>
      </c>
      <c r="M118" s="29"/>
      <c r="N118" s="29"/>
      <c r="O118" s="29"/>
      <c r="P118" s="29"/>
      <c r="Q118" s="510"/>
      <c r="R118" s="29">
        <v>63.022538728173856</v>
      </c>
      <c r="S118" s="29">
        <v>0.54255646099999999</v>
      </c>
      <c r="T118" s="27">
        <f t="shared" si="9"/>
        <v>63.565095189173853</v>
      </c>
      <c r="U118" s="29"/>
    </row>
    <row r="119" spans="1:22" s="12" customFormat="1" x14ac:dyDescent="0.45">
      <c r="A119" s="31" t="s">
        <v>127</v>
      </c>
      <c r="B119" s="29">
        <v>60.567206628078438</v>
      </c>
      <c r="C119" s="29">
        <v>1.192283</v>
      </c>
      <c r="D119" s="29">
        <v>12.598442003179633</v>
      </c>
      <c r="E119" s="29">
        <v>7.817000000000001E-3</v>
      </c>
      <c r="F119" s="29">
        <v>50.443589783968605</v>
      </c>
      <c r="G119" s="29" t="s">
        <v>100</v>
      </c>
      <c r="H119" s="29">
        <v>7.1823143004877439</v>
      </c>
      <c r="I119" s="29"/>
      <c r="J119" s="29">
        <v>0.94066469891470206</v>
      </c>
      <c r="K119" s="29">
        <v>1.8477608042490763</v>
      </c>
      <c r="L119" s="27">
        <f t="shared" si="10"/>
        <v>2.7500000000006408E-2</v>
      </c>
      <c r="M119" s="29"/>
      <c r="N119" s="29"/>
      <c r="O119" s="29"/>
      <c r="P119" s="29"/>
      <c r="Q119" s="510"/>
      <c r="R119" s="29">
        <v>60.449646587620137</v>
      </c>
      <c r="S119" s="29">
        <v>0.62161797600000013</v>
      </c>
      <c r="T119" s="27">
        <f t="shared" si="9"/>
        <v>61.07126456362014</v>
      </c>
      <c r="U119" s="29"/>
    </row>
    <row r="120" spans="1:22" s="12" customFormat="1" x14ac:dyDescent="0.45">
      <c r="A120" s="31" t="s">
        <v>128</v>
      </c>
      <c r="B120" s="29">
        <v>61.779938798909761</v>
      </c>
      <c r="C120" s="29">
        <v>1.1008309999999999</v>
      </c>
      <c r="D120" s="29">
        <v>14.527299090000001</v>
      </c>
      <c r="E120" s="29">
        <v>5.7460000000000002E-3</v>
      </c>
      <c r="F120" s="29">
        <v>52.058235584615389</v>
      </c>
      <c r="G120" s="29" t="s">
        <v>100</v>
      </c>
      <c r="H120" s="29">
        <v>7.3336730032719482</v>
      </c>
      <c r="I120" s="29">
        <v>4.0000000000000001E-3</v>
      </c>
      <c r="J120" s="29">
        <v>0.61409280736947536</v>
      </c>
      <c r="K120" s="29">
        <v>1.7814228156753567</v>
      </c>
      <c r="L120" s="27">
        <f t="shared" si="10"/>
        <v>5.5209115125709918E-2</v>
      </c>
      <c r="M120" s="29"/>
      <c r="N120" s="29"/>
      <c r="O120" s="29"/>
      <c r="P120" s="33"/>
      <c r="Q120" s="33"/>
      <c r="R120" s="29">
        <v>61.852379326057878</v>
      </c>
      <c r="S120" s="29">
        <v>0.53586297400000005</v>
      </c>
      <c r="T120" s="27">
        <f t="shared" si="9"/>
        <v>62.388242300057875</v>
      </c>
      <c r="U120" s="29"/>
    </row>
    <row r="121" spans="1:22" s="12" customFormat="1" x14ac:dyDescent="0.45">
      <c r="A121" s="31" t="s">
        <v>129</v>
      </c>
      <c r="B121" s="29">
        <v>67.339713460300004</v>
      </c>
      <c r="C121" s="29">
        <v>0.78333000000000008</v>
      </c>
      <c r="D121" s="29">
        <v>16.426925370000003</v>
      </c>
      <c r="E121" s="29">
        <v>3.7580000000000001E-3</v>
      </c>
      <c r="F121" s="29">
        <v>57.437778508976038</v>
      </c>
      <c r="G121" s="29" t="s">
        <v>100</v>
      </c>
      <c r="H121" s="29">
        <v>7.7823222096438638</v>
      </c>
      <c r="I121" s="29">
        <v>1.8800000000000001E-2</v>
      </c>
      <c r="J121" s="29">
        <v>0.56122071082474179</v>
      </c>
      <c r="K121" s="29">
        <v>1.7555353316911195</v>
      </c>
      <c r="L121" s="27">
        <f t="shared" si="10"/>
        <v>3.4713192799348258E-2</v>
      </c>
      <c r="M121" s="29"/>
      <c r="N121" s="29"/>
      <c r="O121" s="29"/>
      <c r="P121" s="33"/>
      <c r="Q121" s="33"/>
      <c r="R121" s="29">
        <v>67.5941279539351</v>
      </c>
      <c r="S121" s="29">
        <v>0.443152502</v>
      </c>
      <c r="T121" s="27">
        <f t="shared" si="9"/>
        <v>68.037280455935104</v>
      </c>
      <c r="U121" s="29"/>
    </row>
    <row r="122" spans="1:22" s="12" customFormat="1" x14ac:dyDescent="0.45">
      <c r="A122" s="31" t="s">
        <v>130</v>
      </c>
      <c r="B122" s="29">
        <v>62.903488745999987</v>
      </c>
      <c r="C122" s="29">
        <v>0.73444799999999999</v>
      </c>
      <c r="D122" s="29">
        <v>13.42027242</v>
      </c>
      <c r="E122" s="29">
        <v>4.6129999999999999E-3</v>
      </c>
      <c r="F122" s="29">
        <v>52.510676487400076</v>
      </c>
      <c r="G122" s="29" t="s">
        <v>100</v>
      </c>
      <c r="H122" s="29">
        <v>7.9238215363541746</v>
      </c>
      <c r="I122" s="29">
        <v>1.8800000000000001E-2</v>
      </c>
      <c r="J122" s="29">
        <v>0.6482356309812356</v>
      </c>
      <c r="K122" s="29">
        <v>1.8963647625862368</v>
      </c>
      <c r="L122" s="27">
        <f t="shared" si="10"/>
        <v>2.6391790273588511E-2</v>
      </c>
      <c r="M122" s="29"/>
      <c r="N122" s="29"/>
      <c r="O122" s="29"/>
      <c r="P122" s="33"/>
      <c r="Q122" s="33"/>
      <c r="R122" s="29">
        <v>63.028903207595306</v>
      </c>
      <c r="S122" s="29">
        <v>0.54358456099999997</v>
      </c>
      <c r="T122" s="27">
        <f t="shared" si="9"/>
        <v>63.572487768595309</v>
      </c>
      <c r="U122" s="29"/>
    </row>
    <row r="123" spans="1:22" s="12" customFormat="1" x14ac:dyDescent="0.45">
      <c r="A123" s="31" t="s">
        <v>131</v>
      </c>
      <c r="B123" s="29">
        <v>58.219467301517135</v>
      </c>
      <c r="C123" s="29">
        <v>0.8538345426975259</v>
      </c>
      <c r="D123" s="29">
        <v>16.39197471860497</v>
      </c>
      <c r="E123" s="29">
        <v>5.2859669164951667E-3</v>
      </c>
      <c r="F123" s="29">
        <v>47.807634913455857</v>
      </c>
      <c r="G123" s="29" t="s">
        <v>100</v>
      </c>
      <c r="H123" s="29">
        <v>7.8996793439729771</v>
      </c>
      <c r="I123" s="29">
        <v>1.8800000000000001E-2</v>
      </c>
      <c r="J123" s="29">
        <v>0.68348587961324958</v>
      </c>
      <c r="K123" s="29">
        <v>1.9404403113653297</v>
      </c>
      <c r="L123" s="27">
        <f t="shared" si="10"/>
        <v>2.9718943992787406E-2</v>
      </c>
      <c r="M123" s="29"/>
      <c r="N123" s="29"/>
      <c r="O123" s="29"/>
      <c r="P123" s="34"/>
      <c r="Q123" s="34"/>
      <c r="R123" s="27">
        <v>58.385045359316699</v>
      </c>
      <c r="S123" s="27">
        <v>0.599389108</v>
      </c>
      <c r="T123" s="27">
        <f t="shared" si="9"/>
        <v>58.984434467316696</v>
      </c>
      <c r="U123" s="29"/>
    </row>
    <row r="124" spans="1:22" s="12" customFormat="1" x14ac:dyDescent="0.45">
      <c r="A124" s="31" t="s">
        <v>132</v>
      </c>
      <c r="B124" s="29">
        <v>48.784909786620673</v>
      </c>
      <c r="C124" s="29">
        <v>1.449730769230769</v>
      </c>
      <c r="D124" s="29">
        <v>22.641320473285724</v>
      </c>
      <c r="E124" s="29">
        <v>4.8437315401485999E-3</v>
      </c>
      <c r="F124" s="29">
        <v>39.680806956526055</v>
      </c>
      <c r="G124" s="29" t="s">
        <v>100</v>
      </c>
      <c r="H124" s="29">
        <v>6.5070828262825993</v>
      </c>
      <c r="I124" s="29">
        <v>1.8800000000000001E-2</v>
      </c>
      <c r="J124" s="29">
        <v>0.68916941821665867</v>
      </c>
      <c r="K124" s="29">
        <v>1.742097242188352</v>
      </c>
      <c r="L124" s="27">
        <f t="shared" si="10"/>
        <v>7.5392803072443559E-2</v>
      </c>
      <c r="M124" s="29"/>
      <c r="N124" s="29"/>
      <c r="O124" s="29"/>
      <c r="P124" s="34"/>
      <c r="Q124" s="34"/>
      <c r="R124" s="27">
        <v>48.718192977826256</v>
      </c>
      <c r="S124" s="27">
        <v>0.64646930899999999</v>
      </c>
      <c r="T124" s="27">
        <f t="shared" si="9"/>
        <v>49.364662286826253</v>
      </c>
      <c r="U124" s="29"/>
      <c r="V124" s="29"/>
    </row>
    <row r="125" spans="1:22" s="12" customFormat="1" x14ac:dyDescent="0.45">
      <c r="A125" s="31" t="s">
        <v>133</v>
      </c>
      <c r="B125" s="29">
        <v>51.378345276625005</v>
      </c>
      <c r="C125" s="29">
        <v>1.5167692307692306</v>
      </c>
      <c r="D125" s="29">
        <v>15.367722800336018</v>
      </c>
      <c r="E125" s="29">
        <v>4.9089125448431433E-3</v>
      </c>
      <c r="F125" s="29">
        <v>41.497513343818596</v>
      </c>
      <c r="G125" s="29" t="s">
        <v>100</v>
      </c>
      <c r="H125" s="29">
        <v>7.0861894276065414</v>
      </c>
      <c r="I125" s="29">
        <v>1.8800000339525655E-2</v>
      </c>
      <c r="J125" s="29">
        <v>0.71887254499470921</v>
      </c>
      <c r="K125" s="29">
        <v>1.9586163920435058</v>
      </c>
      <c r="L125" s="27">
        <f t="shared" si="10"/>
        <v>3.9262112281893247E-2</v>
      </c>
      <c r="M125" s="29"/>
      <c r="N125" s="29"/>
      <c r="O125" s="29"/>
      <c r="P125" s="34"/>
      <c r="Q125" s="34"/>
      <c r="R125" s="27">
        <v>51.324162733629613</v>
      </c>
      <c r="S125" s="27">
        <v>0.71532255600000005</v>
      </c>
      <c r="T125" s="27">
        <f t="shared" si="9"/>
        <v>52.03948528962961</v>
      </c>
      <c r="U125" s="29"/>
      <c r="V125" s="29"/>
    </row>
    <row r="126" spans="1:22" s="12" customFormat="1" x14ac:dyDescent="0.45">
      <c r="A126" s="31" t="s">
        <v>134</v>
      </c>
      <c r="B126" s="29">
        <v>51.424183038357327</v>
      </c>
      <c r="C126" s="29">
        <v>0.92603038461538445</v>
      </c>
      <c r="D126" s="29">
        <v>15.115018490767682</v>
      </c>
      <c r="E126" s="29">
        <v>3.7824796222860279E-3</v>
      </c>
      <c r="F126" s="29">
        <v>41.849657596669772</v>
      </c>
      <c r="G126" s="29" t="s">
        <v>100</v>
      </c>
      <c r="H126" s="29">
        <v>7.0965686634769591</v>
      </c>
      <c r="I126" s="29">
        <v>1.5291462091118899E-2</v>
      </c>
      <c r="J126" s="29">
        <v>0.70453613006231408</v>
      </c>
      <c r="K126" s="29">
        <v>1.7975695012845534</v>
      </c>
      <c r="L126" s="27">
        <f t="shared" si="10"/>
        <v>3.9862858761532116E-2</v>
      </c>
      <c r="M126" s="29"/>
      <c r="N126" s="29"/>
      <c r="O126" s="29"/>
      <c r="P126" s="34"/>
      <c r="Q126" s="34"/>
      <c r="R126" s="27">
        <v>51.507268691968541</v>
      </c>
      <c r="S126" s="27">
        <v>0.491123641</v>
      </c>
      <c r="T126" s="27">
        <f t="shared" si="9"/>
        <v>51.998392332968542</v>
      </c>
      <c r="U126" s="29"/>
      <c r="V126" s="29"/>
    </row>
    <row r="127" spans="1:22" s="12" customFormat="1" x14ac:dyDescent="0.45">
      <c r="A127" s="31" t="s">
        <v>135</v>
      </c>
      <c r="B127" s="29">
        <v>64.259008572138924</v>
      </c>
      <c r="C127" s="29">
        <v>1.1201260615384618</v>
      </c>
      <c r="D127" s="29">
        <v>11.883308600679964</v>
      </c>
      <c r="E127" s="29">
        <v>3.8257385657526231E-3</v>
      </c>
      <c r="F127" s="29">
        <v>54.901327531565869</v>
      </c>
      <c r="G127" s="29" t="s">
        <v>100</v>
      </c>
      <c r="H127" s="29">
        <v>6.5965792026968906</v>
      </c>
      <c r="I127" s="29">
        <v>1.6110150506896407E-2</v>
      </c>
      <c r="J127" s="29">
        <v>0.67392952333028955</v>
      </c>
      <c r="K127" s="29">
        <v>1.8264702246742335</v>
      </c>
      <c r="L127" s="27">
        <f t="shared" si="10"/>
        <v>2.4088659365383569E-2</v>
      </c>
      <c r="M127" s="29"/>
      <c r="N127" s="29"/>
      <c r="O127" s="29"/>
      <c r="P127" s="34"/>
      <c r="Q127" s="34"/>
      <c r="R127" s="27">
        <v>64.042331030705313</v>
      </c>
      <c r="S127" s="27">
        <v>0.48843772800000002</v>
      </c>
      <c r="T127" s="27">
        <f t="shared" si="9"/>
        <v>64.530768758705307</v>
      </c>
      <c r="U127" s="29"/>
      <c r="V127" s="29"/>
    </row>
    <row r="128" spans="1:22" s="12" customFormat="1" x14ac:dyDescent="0.45">
      <c r="A128" s="31" t="s">
        <v>136</v>
      </c>
      <c r="B128" s="27">
        <v>60.143492650395345</v>
      </c>
      <c r="C128" s="27">
        <v>0.52958414367133422</v>
      </c>
      <c r="D128" s="27">
        <v>15.113993573863498</v>
      </c>
      <c r="E128" s="27">
        <v>2.6033023212793777E-3</v>
      </c>
      <c r="F128" s="27">
        <v>49.872851570012401</v>
      </c>
      <c r="G128" s="27" t="s">
        <v>100</v>
      </c>
      <c r="H128" s="27">
        <v>7.3191897985277583</v>
      </c>
      <c r="I128" s="27">
        <v>1.3711487145653041E-2</v>
      </c>
      <c r="J128" s="27">
        <v>0.63950132517182945</v>
      </c>
      <c r="K128" s="27">
        <v>2.3225116277768683</v>
      </c>
      <c r="L128" s="27">
        <f t="shared" si="10"/>
        <v>3.561623187446461E-2</v>
      </c>
      <c r="M128" s="35"/>
      <c r="N128" s="35"/>
      <c r="O128" s="35"/>
      <c r="P128" s="36"/>
      <c r="Q128" s="36"/>
      <c r="R128" s="27">
        <v>60.205985342830253</v>
      </c>
      <c r="S128" s="27">
        <v>0.59461362500000003</v>
      </c>
      <c r="T128" s="27">
        <f t="shared" si="9"/>
        <v>60.800598967830254</v>
      </c>
      <c r="U128" s="29"/>
      <c r="V128" s="29"/>
    </row>
    <row r="129" spans="1:39" s="12" customFormat="1" x14ac:dyDescent="0.45">
      <c r="A129" s="31" t="s">
        <v>137</v>
      </c>
      <c r="B129" s="27">
        <v>48.316096234702492</v>
      </c>
      <c r="C129" s="27">
        <v>0.6325385831340935</v>
      </c>
      <c r="D129" s="27">
        <v>20.142473199355372</v>
      </c>
      <c r="E129" s="27">
        <v>0</v>
      </c>
      <c r="F129" s="27">
        <v>38.234020410884803</v>
      </c>
      <c r="G129" s="27" t="s">
        <v>100</v>
      </c>
      <c r="H129" s="27">
        <v>7.0207968615328902</v>
      </c>
      <c r="I129" s="27">
        <v>1.2999999999999999E-2</v>
      </c>
      <c r="J129" s="27">
        <v>0.54851496806014466</v>
      </c>
      <c r="K129" s="27">
        <v>2.4417966109270965</v>
      </c>
      <c r="L129" s="27">
        <f t="shared" si="10"/>
        <v>0.24207538440554421</v>
      </c>
      <c r="M129" s="35"/>
      <c r="N129" s="35"/>
      <c r="O129" s="35"/>
      <c r="P129" s="36"/>
      <c r="Q129" s="36"/>
      <c r="R129" s="27">
        <v>48.294768397059727</v>
      </c>
      <c r="S129" s="27">
        <v>0.42507623500000002</v>
      </c>
      <c r="T129" s="27">
        <v>48.925280470810485</v>
      </c>
      <c r="U129" s="29"/>
      <c r="V129" s="29"/>
    </row>
    <row r="130" spans="1:39" s="12" customFormat="1" x14ac:dyDescent="0.45">
      <c r="A130" s="31" t="s">
        <v>138</v>
      </c>
      <c r="B130" s="27">
        <v>37.59988580962726</v>
      </c>
      <c r="C130" s="27">
        <v>0.35974370542124789</v>
      </c>
      <c r="D130" s="27">
        <v>13.545916255809269</v>
      </c>
      <c r="E130" s="27">
        <v>0</v>
      </c>
      <c r="F130" s="27">
        <v>29.329694470999787</v>
      </c>
      <c r="G130" s="27" t="s">
        <v>100</v>
      </c>
      <c r="H130" s="27">
        <v>5.445106492328029</v>
      </c>
      <c r="I130" s="27">
        <v>1.3000000000000001E-2</v>
      </c>
      <c r="J130" s="27">
        <v>0.55205730057100189</v>
      </c>
      <c r="K130" s="27">
        <v>2.0734634617979277</v>
      </c>
      <c r="L130" s="27">
        <f t="shared" si="10"/>
        <v>3.7591611791846946E-2</v>
      </c>
      <c r="M130" s="35"/>
      <c r="N130" s="35"/>
      <c r="O130" s="35"/>
      <c r="P130" s="36"/>
      <c r="Q130" s="36"/>
      <c r="R130" s="27">
        <v>37.450913337488586</v>
      </c>
      <c r="S130" s="27">
        <v>0.38539394399999999</v>
      </c>
      <c r="T130" s="27">
        <f t="shared" si="9"/>
        <v>37.836307281488587</v>
      </c>
      <c r="U130" s="29"/>
      <c r="V130" s="29"/>
    </row>
    <row r="131" spans="1:39" s="12" customFormat="1" x14ac:dyDescent="0.45">
      <c r="A131" s="31" t="s">
        <v>139</v>
      </c>
      <c r="B131" s="27">
        <v>17.995118698705074</v>
      </c>
      <c r="C131" s="27">
        <v>0.43771176819283802</v>
      </c>
      <c r="D131" s="27">
        <v>8.1207767984820549</v>
      </c>
      <c r="E131" s="27">
        <v>0</v>
      </c>
      <c r="F131" s="27">
        <v>12.055140591174688</v>
      </c>
      <c r="G131" s="27" t="s">
        <v>100</v>
      </c>
      <c r="H131" s="27">
        <v>3.4127547310924538</v>
      </c>
      <c r="I131" s="27">
        <v>1.4999999999999999E-2</v>
      </c>
      <c r="J131" s="27">
        <v>0.55093695749467053</v>
      </c>
      <c r="K131" s="27">
        <v>1.9628738772384127</v>
      </c>
      <c r="L131" s="27">
        <f t="shared" si="10"/>
        <v>4.0090487347127945E-2</v>
      </c>
      <c r="M131" s="35"/>
      <c r="N131" s="35"/>
      <c r="O131" s="35"/>
      <c r="P131" s="36"/>
      <c r="Q131" s="36"/>
      <c r="R131" s="27">
        <v>18.036796644347355</v>
      </c>
      <c r="S131" s="27">
        <v>0.44343038099999998</v>
      </c>
      <c r="T131" s="27">
        <f>R131+S131</f>
        <v>18.480227025347354</v>
      </c>
      <c r="U131" s="29"/>
      <c r="V131" s="29"/>
    </row>
    <row r="132" spans="1:39" s="12" customFormat="1" x14ac:dyDescent="0.45">
      <c r="A132" s="31" t="s">
        <v>140</v>
      </c>
      <c r="B132" s="27">
        <v>14.421712535251743</v>
      </c>
      <c r="C132" s="27">
        <v>0.16647172423813802</v>
      </c>
      <c r="D132" s="27">
        <v>5.0143819211427179</v>
      </c>
      <c r="E132" s="27">
        <v>0</v>
      </c>
      <c r="F132" s="27">
        <v>8.7164745034132665</v>
      </c>
      <c r="G132" s="27" t="s">
        <v>100</v>
      </c>
      <c r="H132" s="27">
        <v>3.4018374681159509</v>
      </c>
      <c r="I132" s="27">
        <v>1.4999999999999999E-2</v>
      </c>
      <c r="J132" s="27">
        <v>0.53559861319929136</v>
      </c>
      <c r="K132" s="27">
        <v>1.7319240459072958</v>
      </c>
      <c r="L132" s="27">
        <f t="shared" si="10"/>
        <v>3.824225839764428E-2</v>
      </c>
      <c r="M132" s="35"/>
      <c r="N132" s="35"/>
      <c r="O132" s="35"/>
      <c r="P132" s="36"/>
      <c r="Q132" s="36"/>
      <c r="R132" s="27">
        <v>14.439076889033448</v>
      </c>
      <c r="S132" s="27">
        <v>0.49490515099999999</v>
      </c>
      <c r="T132" s="27">
        <f>R132+S132</f>
        <v>14.933982040033447</v>
      </c>
      <c r="U132" s="29"/>
      <c r="V132" s="29"/>
    </row>
    <row r="133" spans="1:39" s="12" customFormat="1" x14ac:dyDescent="0.45">
      <c r="A133" s="31" t="s">
        <v>141</v>
      </c>
      <c r="B133" s="27">
        <v>11.933073811021782</v>
      </c>
      <c r="C133" s="27">
        <v>0.68362979862247675</v>
      </c>
      <c r="D133" s="27">
        <v>4.6555094931906646</v>
      </c>
      <c r="E133" s="27">
        <v>0</v>
      </c>
      <c r="F133" s="27">
        <v>6.655310464423148</v>
      </c>
      <c r="G133" s="27" t="s">
        <v>100</v>
      </c>
      <c r="H133" s="27">
        <v>3.1220983352852061</v>
      </c>
      <c r="I133" s="27">
        <v>1.4999999999999999E-2</v>
      </c>
      <c r="J133" s="27">
        <v>0.51774723779095111</v>
      </c>
      <c r="K133" s="27">
        <v>1.5811937378058183</v>
      </c>
      <c r="L133" s="27">
        <f t="shared" si="10"/>
        <v>3.7501727268323015E-2</v>
      </c>
      <c r="M133" s="35"/>
      <c r="N133" s="35"/>
      <c r="O133" s="35"/>
      <c r="P133" s="36"/>
      <c r="Q133" s="36"/>
      <c r="R133" s="27">
        <v>11.928851502573448</v>
      </c>
      <c r="S133" s="27">
        <v>0.63374969566666695</v>
      </c>
      <c r="T133" s="27">
        <f>R133+S133</f>
        <v>12.562601198240115</v>
      </c>
      <c r="U133" s="29"/>
      <c r="V133" s="29"/>
    </row>
    <row r="134" spans="1:39" hidden="1" x14ac:dyDescent="0.45">
      <c r="B134" s="37" t="s">
        <v>142</v>
      </c>
      <c r="C134" s="37">
        <v>2.4</v>
      </c>
      <c r="D134" s="38" t="s">
        <v>143</v>
      </c>
      <c r="E134" s="38" t="s">
        <v>144</v>
      </c>
      <c r="F134" s="38" t="s">
        <v>144</v>
      </c>
      <c r="G134" s="38" t="s">
        <v>144</v>
      </c>
      <c r="H134" s="38" t="s">
        <v>144</v>
      </c>
      <c r="I134" s="37">
        <v>2.4</v>
      </c>
      <c r="J134" s="38" t="s">
        <v>144</v>
      </c>
      <c r="K134" s="38" t="s">
        <v>144</v>
      </c>
      <c r="L134" s="27" t="e">
        <f t="shared" si="10"/>
        <v>#VALUE!</v>
      </c>
      <c r="N134" s="29"/>
      <c r="O134" s="29"/>
      <c r="R134" s="38" t="s">
        <v>144</v>
      </c>
      <c r="S134" s="37">
        <v>2.4</v>
      </c>
      <c r="T134" s="39" t="s">
        <v>145</v>
      </c>
    </row>
    <row r="135" spans="1:39" s="11" customFormat="1" x14ac:dyDescent="0.45">
      <c r="B135" s="40"/>
      <c r="C135" s="40"/>
      <c r="D135" s="41"/>
      <c r="E135" s="41"/>
      <c r="F135" s="41"/>
      <c r="G135" s="41"/>
      <c r="H135" s="41"/>
      <c r="I135" s="41"/>
      <c r="J135" s="41"/>
      <c r="K135" s="41"/>
      <c r="L135" s="42"/>
      <c r="M135" s="43"/>
      <c r="N135" s="29"/>
      <c r="O135" s="29"/>
      <c r="P135" s="43"/>
      <c r="Q135" s="43"/>
      <c r="R135" s="41"/>
      <c r="S135" s="40"/>
      <c r="T135" s="42"/>
      <c r="U135" s="43"/>
      <c r="V135" s="43"/>
      <c r="X135" s="10"/>
      <c r="Y135" s="10"/>
      <c r="Z135" s="10"/>
      <c r="AA135" s="10"/>
      <c r="AB135" s="10"/>
      <c r="AC135" s="10"/>
      <c r="AD135" s="10"/>
      <c r="AE135" s="10"/>
      <c r="AF135" s="10"/>
      <c r="AG135" s="10"/>
      <c r="AH135" s="10"/>
      <c r="AI135" s="10"/>
      <c r="AJ135" s="10"/>
      <c r="AK135" s="10"/>
      <c r="AL135" s="10"/>
      <c r="AM135" s="10"/>
    </row>
    <row r="136" spans="1:39" ht="15.4" x14ac:dyDescent="0.45">
      <c r="A136" s="44" t="s">
        <v>146</v>
      </c>
      <c r="I136" s="41"/>
      <c r="J136" s="41"/>
      <c r="K136" s="46"/>
      <c r="L136" s="46"/>
      <c r="S136" s="40"/>
      <c r="T136" s="47"/>
      <c r="U136" s="48"/>
    </row>
    <row r="137" spans="1:39" s="55" customFormat="1" ht="15.4" x14ac:dyDescent="0.45">
      <c r="A137" s="49" t="s">
        <v>147</v>
      </c>
      <c r="B137" s="50"/>
      <c r="C137" s="51"/>
      <c r="D137" s="52"/>
      <c r="E137" s="52"/>
      <c r="F137" s="52"/>
      <c r="G137" s="53"/>
      <c r="H137" s="52"/>
      <c r="I137" s="41"/>
      <c r="J137" s="41"/>
      <c r="K137" s="46"/>
      <c r="L137" s="46"/>
      <c r="M137" s="52"/>
      <c r="N137" s="52"/>
      <c r="O137" s="52"/>
      <c r="P137" s="54"/>
      <c r="Q137" s="54"/>
      <c r="R137" s="9"/>
      <c r="S137" s="40"/>
      <c r="T137" s="35"/>
      <c r="U137" s="54"/>
      <c r="V137" s="54"/>
      <c r="X137" s="56"/>
      <c r="Y137" s="56"/>
      <c r="Z137" s="56"/>
      <c r="AA137" s="56"/>
      <c r="AB137" s="56"/>
      <c r="AC137" s="56"/>
      <c r="AD137" s="56"/>
      <c r="AE137" s="56"/>
      <c r="AF137" s="56"/>
      <c r="AG137" s="56"/>
      <c r="AH137" s="56"/>
      <c r="AI137" s="56"/>
      <c r="AJ137" s="56"/>
      <c r="AK137" s="56"/>
      <c r="AL137" s="56"/>
      <c r="AM137" s="56"/>
    </row>
    <row r="138" spans="1:39" s="55" customFormat="1" ht="15" x14ac:dyDescent="0.45">
      <c r="A138" s="57" t="s">
        <v>148</v>
      </c>
      <c r="B138" s="50"/>
      <c r="C138" s="51"/>
      <c r="D138" s="52"/>
      <c r="E138" s="52"/>
      <c r="F138" s="52"/>
      <c r="G138" s="53"/>
      <c r="H138" s="52"/>
      <c r="I138" s="41"/>
      <c r="J138" s="41"/>
      <c r="K138" s="46"/>
      <c r="L138" s="46"/>
      <c r="M138" s="54"/>
      <c r="N138" s="54"/>
      <c r="O138" s="54"/>
      <c r="P138" s="54"/>
      <c r="Q138" s="54"/>
      <c r="R138" s="9"/>
      <c r="S138" s="40"/>
      <c r="T138" s="35"/>
      <c r="U138" s="54"/>
      <c r="V138" s="54"/>
      <c r="X138" s="56"/>
      <c r="Y138" s="56"/>
      <c r="Z138" s="56"/>
      <c r="AA138" s="56"/>
      <c r="AB138" s="56"/>
      <c r="AC138" s="56"/>
      <c r="AD138" s="56"/>
      <c r="AE138" s="56"/>
      <c r="AF138" s="56"/>
      <c r="AG138" s="56"/>
      <c r="AH138" s="56"/>
      <c r="AI138" s="56"/>
      <c r="AJ138" s="56"/>
      <c r="AK138" s="56"/>
      <c r="AL138" s="56"/>
      <c r="AM138" s="56"/>
    </row>
    <row r="139" spans="1:39" s="55" customFormat="1" ht="15" x14ac:dyDescent="0.45">
      <c r="A139" s="57" t="s">
        <v>149</v>
      </c>
      <c r="B139" s="50"/>
      <c r="C139" s="51"/>
      <c r="D139" s="52"/>
      <c r="E139" s="52"/>
      <c r="F139" s="52"/>
      <c r="G139" s="53"/>
      <c r="H139" s="52"/>
      <c r="I139" s="58"/>
      <c r="J139" s="41"/>
      <c r="K139" s="46"/>
      <c r="L139" s="46"/>
      <c r="M139" s="54"/>
      <c r="N139" s="54"/>
      <c r="O139" s="54"/>
      <c r="P139" s="54"/>
      <c r="Q139" s="54"/>
      <c r="R139" s="9"/>
      <c r="S139" s="40"/>
      <c r="T139" s="35"/>
      <c r="U139" s="54"/>
      <c r="V139" s="54"/>
      <c r="X139" s="56"/>
      <c r="Y139" s="56"/>
      <c r="Z139" s="56"/>
      <c r="AA139" s="56"/>
      <c r="AB139" s="56"/>
      <c r="AC139" s="56"/>
      <c r="AD139" s="56"/>
      <c r="AE139" s="56"/>
      <c r="AF139" s="56"/>
      <c r="AG139" s="56"/>
      <c r="AH139" s="56"/>
      <c r="AI139" s="56"/>
      <c r="AJ139" s="56"/>
      <c r="AK139" s="56"/>
      <c r="AL139" s="56"/>
      <c r="AM139" s="56"/>
    </row>
    <row r="140" spans="1:39" s="55" customFormat="1" ht="15.4" x14ac:dyDescent="0.45">
      <c r="A140" s="59" t="s">
        <v>150</v>
      </c>
      <c r="B140" s="50"/>
      <c r="C140" s="51"/>
      <c r="D140" s="52"/>
      <c r="E140" s="52"/>
      <c r="F140" s="52"/>
      <c r="G140" s="53"/>
      <c r="H140" s="52"/>
      <c r="I140" s="58"/>
      <c r="J140" s="41"/>
      <c r="K140" s="46"/>
      <c r="L140" s="60"/>
      <c r="M140" s="54"/>
      <c r="N140" s="54"/>
      <c r="O140" s="54"/>
      <c r="P140" s="54"/>
      <c r="Q140" s="54"/>
      <c r="R140" s="54"/>
      <c r="S140" s="40"/>
      <c r="T140" s="35"/>
      <c r="U140" s="54"/>
      <c r="V140" s="54"/>
      <c r="X140" s="56"/>
      <c r="Y140" s="56"/>
      <c r="Z140" s="56"/>
      <c r="AA140" s="56"/>
      <c r="AB140" s="56"/>
      <c r="AC140" s="56"/>
      <c r="AD140" s="56"/>
      <c r="AE140" s="56"/>
      <c r="AF140" s="56"/>
      <c r="AG140" s="56"/>
      <c r="AH140" s="56"/>
      <c r="AI140" s="56"/>
      <c r="AJ140" s="56"/>
      <c r="AK140" s="56"/>
      <c r="AL140" s="56"/>
      <c r="AM140" s="56"/>
    </row>
    <row r="141" spans="1:39" s="55" customFormat="1" ht="15" x14ac:dyDescent="0.4">
      <c r="A141" s="59" t="s">
        <v>151</v>
      </c>
      <c r="B141" s="50"/>
      <c r="C141" s="51"/>
      <c r="D141" s="52"/>
      <c r="E141" s="52"/>
      <c r="F141" s="52"/>
      <c r="G141" s="53"/>
      <c r="H141" s="52"/>
      <c r="I141" s="61"/>
      <c r="J141" s="61"/>
      <c r="K141" s="61"/>
      <c r="L141" s="60"/>
      <c r="M141" s="54"/>
      <c r="N141" s="54"/>
      <c r="O141" s="54"/>
      <c r="P141" s="54"/>
      <c r="Q141" s="54"/>
      <c r="R141" s="54"/>
      <c r="S141" s="40"/>
      <c r="T141" s="35"/>
      <c r="U141" s="54"/>
      <c r="V141" s="54"/>
      <c r="X141" s="56"/>
      <c r="Y141" s="56"/>
      <c r="Z141" s="56"/>
      <c r="AA141" s="56"/>
      <c r="AB141" s="56"/>
      <c r="AC141" s="56"/>
      <c r="AD141" s="56"/>
      <c r="AE141" s="56"/>
      <c r="AF141" s="56"/>
      <c r="AG141" s="56"/>
      <c r="AH141" s="56"/>
      <c r="AI141" s="56"/>
      <c r="AJ141" s="56"/>
      <c r="AK141" s="56"/>
      <c r="AL141" s="56"/>
      <c r="AM141" s="56"/>
    </row>
    <row r="142" spans="1:39" s="55" customFormat="1" x14ac:dyDescent="0.35">
      <c r="A142" s="62" t="s">
        <v>152</v>
      </c>
      <c r="B142" s="50"/>
      <c r="C142" s="51"/>
      <c r="D142" s="52"/>
      <c r="E142" s="52"/>
      <c r="F142" s="52"/>
      <c r="G142" s="53"/>
      <c r="H142" s="52"/>
      <c r="I142" s="61"/>
      <c r="J142" s="61"/>
      <c r="K142" s="61"/>
      <c r="L142" s="60"/>
      <c r="M142" s="54"/>
      <c r="N142" s="54"/>
      <c r="O142" s="54"/>
      <c r="P142" s="54"/>
      <c r="Q142" s="54"/>
      <c r="R142" s="54"/>
      <c r="S142" s="54"/>
      <c r="T142" s="54"/>
      <c r="U142" s="54"/>
      <c r="V142" s="54"/>
      <c r="X142" s="56"/>
      <c r="Y142" s="56"/>
      <c r="Z142" s="56"/>
      <c r="AA142" s="56"/>
      <c r="AB142" s="56"/>
      <c r="AC142" s="56"/>
      <c r="AD142" s="56"/>
      <c r="AE142" s="56"/>
      <c r="AF142" s="56"/>
      <c r="AG142" s="56"/>
      <c r="AH142" s="56"/>
      <c r="AI142" s="56"/>
      <c r="AJ142" s="56"/>
      <c r="AK142" s="56"/>
      <c r="AL142" s="56"/>
      <c r="AM142" s="56"/>
    </row>
    <row r="143" spans="1:39" s="55" customFormat="1" ht="15" x14ac:dyDescent="0.4">
      <c r="A143" s="59" t="s">
        <v>153</v>
      </c>
      <c r="B143" s="50"/>
      <c r="C143" s="51"/>
      <c r="D143" s="52"/>
      <c r="E143" s="52"/>
      <c r="F143" s="52"/>
      <c r="G143" s="53"/>
      <c r="H143" s="52"/>
      <c r="I143" s="61"/>
      <c r="J143" s="61"/>
      <c r="K143" s="61"/>
      <c r="L143" s="60"/>
      <c r="M143" s="54"/>
      <c r="N143" s="54"/>
      <c r="O143" s="54"/>
      <c r="P143" s="54"/>
      <c r="Q143" s="54"/>
      <c r="R143" s="54"/>
      <c r="S143" s="54"/>
      <c r="T143" s="54"/>
      <c r="U143" s="54"/>
      <c r="V143" s="54"/>
      <c r="X143" s="56"/>
      <c r="Y143" s="56"/>
      <c r="Z143" s="56"/>
      <c r="AA143" s="56"/>
      <c r="AB143" s="56"/>
      <c r="AC143" s="56"/>
      <c r="AD143" s="56"/>
      <c r="AE143" s="56"/>
      <c r="AF143" s="56"/>
      <c r="AG143" s="56"/>
      <c r="AH143" s="56"/>
      <c r="AI143" s="56"/>
      <c r="AJ143" s="56"/>
      <c r="AK143" s="56"/>
      <c r="AL143" s="56"/>
      <c r="AM143" s="56"/>
    </row>
    <row r="144" spans="1:39" s="66" customFormat="1" ht="15" x14ac:dyDescent="0.4">
      <c r="A144" s="63" t="s">
        <v>154</v>
      </c>
      <c r="B144" s="51"/>
      <c r="C144" s="64"/>
      <c r="D144" s="64"/>
      <c r="E144" s="64"/>
      <c r="F144" s="65"/>
      <c r="G144" s="53"/>
      <c r="H144" s="65"/>
      <c r="I144" s="61"/>
      <c r="J144" s="61"/>
      <c r="K144" s="61"/>
    </row>
    <row r="145" spans="1:39" s="66" customFormat="1" x14ac:dyDescent="0.35">
      <c r="A145" s="67" t="s">
        <v>155</v>
      </c>
      <c r="B145" s="51"/>
      <c r="C145" s="64"/>
      <c r="D145" s="64"/>
      <c r="E145" s="64"/>
      <c r="F145" s="65"/>
      <c r="G145" s="65"/>
      <c r="H145" s="65"/>
      <c r="I145" s="65"/>
      <c r="J145" s="35"/>
      <c r="K145" s="68"/>
    </row>
    <row r="146" spans="1:39" s="55" customFormat="1" x14ac:dyDescent="0.35">
      <c r="A146" s="69" t="s">
        <v>156</v>
      </c>
      <c r="B146" s="50"/>
      <c r="C146" s="51"/>
      <c r="D146" s="52"/>
      <c r="E146" s="52"/>
      <c r="F146" s="52"/>
      <c r="G146" s="53"/>
      <c r="H146" s="52"/>
      <c r="I146" s="52"/>
      <c r="J146" s="35"/>
      <c r="K146" s="70"/>
      <c r="L146" s="71"/>
      <c r="M146" s="54"/>
      <c r="N146" s="54"/>
      <c r="O146" s="54"/>
      <c r="P146" s="54"/>
      <c r="Q146" s="54"/>
      <c r="R146" s="54"/>
      <c r="S146" s="54"/>
      <c r="T146" s="54"/>
      <c r="U146" s="54"/>
      <c r="V146" s="54"/>
      <c r="X146" s="56"/>
      <c r="Y146" s="56"/>
      <c r="Z146" s="56"/>
      <c r="AA146" s="56"/>
      <c r="AB146" s="56"/>
      <c r="AC146" s="56"/>
      <c r="AD146" s="56"/>
      <c r="AE146" s="56"/>
      <c r="AF146" s="56"/>
      <c r="AG146" s="56"/>
      <c r="AH146" s="56"/>
      <c r="AI146" s="56"/>
      <c r="AJ146" s="56"/>
      <c r="AK146" s="56"/>
      <c r="AL146" s="56"/>
      <c r="AM146" s="56"/>
    </row>
    <row r="147" spans="1:39" s="50" customFormat="1" x14ac:dyDescent="0.35">
      <c r="A147" s="62" t="s">
        <v>157</v>
      </c>
      <c r="C147" s="51"/>
      <c r="D147" s="52"/>
      <c r="E147" s="52"/>
      <c r="F147" s="52"/>
      <c r="G147" s="53"/>
      <c r="H147" s="52"/>
      <c r="I147" s="52"/>
      <c r="J147" s="35"/>
      <c r="K147" s="70"/>
      <c r="L147" s="70"/>
      <c r="M147" s="52"/>
      <c r="N147" s="52"/>
      <c r="O147" s="52"/>
      <c r="P147" s="52"/>
      <c r="Q147" s="52"/>
      <c r="R147" s="52"/>
      <c r="S147" s="52"/>
      <c r="T147" s="52"/>
      <c r="U147" s="52"/>
      <c r="V147" s="52"/>
      <c r="X147" s="51"/>
      <c r="Y147" s="51"/>
      <c r="Z147" s="51"/>
      <c r="AA147" s="51"/>
      <c r="AB147" s="51"/>
      <c r="AC147" s="51"/>
      <c r="AD147" s="51"/>
      <c r="AE147" s="51"/>
      <c r="AF147" s="51"/>
      <c r="AG147" s="51"/>
      <c r="AH147" s="51"/>
      <c r="AI147" s="51"/>
      <c r="AJ147" s="51"/>
      <c r="AK147" s="51"/>
      <c r="AL147" s="51"/>
      <c r="AM147" s="51"/>
    </row>
    <row r="148" spans="1:39" s="50" customFormat="1" x14ac:dyDescent="0.35">
      <c r="A148" s="62" t="s">
        <v>158</v>
      </c>
      <c r="C148" s="51"/>
      <c r="D148" s="52"/>
      <c r="E148" s="52"/>
      <c r="F148" s="52"/>
      <c r="G148" s="53"/>
      <c r="H148" s="52"/>
      <c r="I148" s="52"/>
      <c r="J148" s="35"/>
      <c r="K148" s="70"/>
      <c r="L148" s="70"/>
      <c r="M148" s="52"/>
      <c r="N148" s="52"/>
      <c r="O148" s="52"/>
      <c r="P148" s="52"/>
      <c r="Q148" s="52"/>
      <c r="R148" s="52"/>
      <c r="S148" s="52"/>
      <c r="T148" s="52"/>
      <c r="U148" s="52"/>
      <c r="V148" s="52"/>
      <c r="X148" s="51"/>
      <c r="Y148" s="51"/>
      <c r="Z148" s="51"/>
      <c r="AA148" s="51"/>
      <c r="AB148" s="51"/>
      <c r="AC148" s="51"/>
      <c r="AD148" s="51"/>
      <c r="AE148" s="51"/>
      <c r="AF148" s="51"/>
      <c r="AG148" s="51"/>
      <c r="AH148" s="51"/>
      <c r="AI148" s="51"/>
      <c r="AJ148" s="51"/>
      <c r="AK148" s="51"/>
      <c r="AL148" s="51"/>
      <c r="AM148" s="51"/>
    </row>
    <row r="149" spans="1:39" s="50" customFormat="1" x14ac:dyDescent="0.35">
      <c r="A149" s="62" t="s">
        <v>159</v>
      </c>
      <c r="C149" s="51"/>
      <c r="D149" s="52"/>
      <c r="E149" s="52"/>
      <c r="F149" s="52"/>
      <c r="G149" s="53"/>
      <c r="H149" s="52"/>
      <c r="I149" s="52"/>
      <c r="J149" s="35"/>
      <c r="K149" s="70"/>
      <c r="L149" s="70"/>
      <c r="M149" s="52"/>
      <c r="N149" s="52"/>
      <c r="O149" s="52"/>
      <c r="P149" s="52"/>
      <c r="Q149" s="52"/>
      <c r="R149" s="52"/>
      <c r="S149" s="52"/>
      <c r="T149" s="52"/>
      <c r="U149" s="52"/>
      <c r="V149" s="52"/>
      <c r="X149" s="51"/>
      <c r="Y149" s="51"/>
      <c r="Z149" s="51"/>
      <c r="AA149" s="51"/>
      <c r="AB149" s="51"/>
      <c r="AC149" s="51"/>
      <c r="AD149" s="51"/>
      <c r="AE149" s="51"/>
      <c r="AF149" s="51"/>
      <c r="AG149" s="51"/>
      <c r="AH149" s="51"/>
      <c r="AI149" s="51"/>
      <c r="AJ149" s="51"/>
      <c r="AK149" s="51"/>
      <c r="AL149" s="51"/>
      <c r="AM149" s="51"/>
    </row>
    <row r="150" spans="1:39" s="50" customFormat="1" ht="12.75" x14ac:dyDescent="0.35">
      <c r="C150" s="72"/>
      <c r="D150" s="73"/>
      <c r="E150" s="52"/>
      <c r="F150" s="52"/>
      <c r="G150" s="53"/>
      <c r="H150" s="52"/>
      <c r="I150" s="74"/>
      <c r="J150" s="35"/>
      <c r="K150" s="70"/>
      <c r="L150" s="70"/>
      <c r="M150" s="52"/>
      <c r="N150" s="52"/>
      <c r="O150" s="52"/>
      <c r="P150" s="52"/>
      <c r="Q150" s="52"/>
      <c r="R150" s="52"/>
      <c r="S150" s="52"/>
      <c r="T150" s="52"/>
      <c r="U150" s="52"/>
      <c r="V150" s="52"/>
      <c r="X150" s="51"/>
      <c r="Y150" s="51"/>
      <c r="Z150" s="51"/>
      <c r="AA150" s="51"/>
      <c r="AB150" s="51"/>
      <c r="AC150" s="51"/>
      <c r="AD150" s="51"/>
      <c r="AE150" s="51"/>
      <c r="AF150" s="51"/>
      <c r="AG150" s="51"/>
      <c r="AH150" s="51"/>
      <c r="AI150" s="51"/>
      <c r="AJ150" s="51"/>
      <c r="AK150" s="51"/>
      <c r="AL150" s="51"/>
      <c r="AM150" s="51"/>
    </row>
    <row r="151" spans="1:39" s="75" customFormat="1" ht="12.75" x14ac:dyDescent="0.35">
      <c r="C151" s="72"/>
      <c r="D151" s="73"/>
      <c r="E151" s="76"/>
      <c r="F151" s="76"/>
      <c r="G151" s="73"/>
      <c r="H151" s="76"/>
      <c r="I151" s="74"/>
      <c r="J151" s="35"/>
      <c r="K151" s="70"/>
      <c r="L151" s="70"/>
      <c r="M151" s="76"/>
      <c r="N151" s="76"/>
      <c r="O151" s="76"/>
      <c r="P151" s="76"/>
      <c r="Q151" s="76"/>
      <c r="R151" s="76"/>
      <c r="S151" s="77"/>
      <c r="T151" s="76"/>
      <c r="U151" s="76"/>
      <c r="V151" s="76"/>
      <c r="X151" s="78"/>
      <c r="Y151" s="78"/>
      <c r="Z151" s="78"/>
      <c r="AA151" s="78"/>
      <c r="AB151" s="78"/>
      <c r="AC151" s="78"/>
      <c r="AD151" s="78"/>
      <c r="AE151" s="78"/>
      <c r="AF151" s="78"/>
      <c r="AG151" s="78"/>
      <c r="AH151" s="78"/>
      <c r="AI151" s="78"/>
      <c r="AJ151" s="78"/>
      <c r="AK151" s="78"/>
      <c r="AL151" s="78"/>
      <c r="AM151" s="78"/>
    </row>
    <row r="152" spans="1:39" s="75" customFormat="1" ht="12.75" x14ac:dyDescent="0.35">
      <c r="C152" s="72"/>
      <c r="D152" s="73"/>
      <c r="E152" s="76"/>
      <c r="F152" s="76"/>
      <c r="G152" s="73"/>
      <c r="H152" s="76"/>
      <c r="I152" s="74"/>
      <c r="J152" s="35"/>
      <c r="K152" s="70"/>
      <c r="L152" s="70"/>
      <c r="M152" s="76"/>
      <c r="N152" s="76"/>
      <c r="O152" s="76"/>
      <c r="P152" s="76"/>
      <c r="Q152" s="76"/>
      <c r="R152" s="76"/>
      <c r="S152" s="79"/>
      <c r="T152" s="76"/>
      <c r="U152" s="76"/>
      <c r="V152" s="76"/>
      <c r="X152" s="78"/>
      <c r="Y152" s="78"/>
      <c r="Z152" s="78"/>
      <c r="AA152" s="78"/>
      <c r="AB152" s="78"/>
      <c r="AC152" s="78"/>
      <c r="AD152" s="78"/>
      <c r="AE152" s="78"/>
      <c r="AF152" s="78"/>
      <c r="AG152" s="78"/>
      <c r="AH152" s="78"/>
      <c r="AI152" s="78"/>
      <c r="AJ152" s="78"/>
      <c r="AK152" s="78"/>
      <c r="AL152" s="78"/>
      <c r="AM152" s="78"/>
    </row>
    <row r="153" spans="1:39" s="75" customFormat="1" ht="12.75" x14ac:dyDescent="0.35">
      <c r="C153" s="72"/>
      <c r="D153" s="73"/>
      <c r="E153" s="76"/>
      <c r="F153" s="76"/>
      <c r="G153" s="73"/>
      <c r="H153" s="76"/>
      <c r="I153" s="74"/>
      <c r="J153" s="35"/>
      <c r="K153" s="70"/>
      <c r="L153" s="70"/>
      <c r="M153" s="76"/>
      <c r="N153" s="76"/>
      <c r="O153" s="76"/>
      <c r="P153" s="76"/>
      <c r="Q153" s="76"/>
      <c r="R153" s="76"/>
      <c r="S153" s="79"/>
      <c r="T153" s="76"/>
      <c r="U153" s="76"/>
      <c r="V153" s="76"/>
      <c r="X153" s="78"/>
      <c r="Y153" s="78"/>
      <c r="Z153" s="78"/>
      <c r="AA153" s="78"/>
      <c r="AB153" s="78"/>
      <c r="AC153" s="78"/>
      <c r="AD153" s="78"/>
      <c r="AE153" s="78"/>
      <c r="AF153" s="78"/>
      <c r="AG153" s="78"/>
      <c r="AH153" s="78"/>
      <c r="AI153" s="78"/>
      <c r="AJ153" s="78"/>
      <c r="AK153" s="78"/>
      <c r="AL153" s="78"/>
      <c r="AM153" s="78"/>
    </row>
    <row r="154" spans="1:39" s="75" customFormat="1" ht="12.75" x14ac:dyDescent="0.35">
      <c r="C154" s="72"/>
      <c r="D154" s="73"/>
      <c r="E154" s="76"/>
      <c r="F154" s="76"/>
      <c r="G154" s="73"/>
      <c r="H154" s="76"/>
      <c r="I154" s="74"/>
      <c r="J154" s="35"/>
      <c r="K154" s="70"/>
      <c r="L154" s="70"/>
      <c r="M154" s="76"/>
      <c r="N154" s="76"/>
      <c r="O154" s="76"/>
      <c r="P154" s="76"/>
      <c r="Q154" s="76"/>
      <c r="R154" s="76"/>
      <c r="S154" s="79"/>
      <c r="T154" s="76"/>
      <c r="U154" s="76"/>
      <c r="V154" s="76"/>
      <c r="X154" s="78"/>
      <c r="Y154" s="78"/>
      <c r="Z154" s="78"/>
      <c r="AA154" s="78"/>
      <c r="AB154" s="78"/>
      <c r="AC154" s="78"/>
      <c r="AD154" s="78"/>
      <c r="AE154" s="78"/>
      <c r="AF154" s="78"/>
      <c r="AG154" s="78"/>
      <c r="AH154" s="78"/>
      <c r="AI154" s="78"/>
      <c r="AJ154" s="78"/>
      <c r="AK154" s="78"/>
      <c r="AL154" s="78"/>
      <c r="AM154" s="78"/>
    </row>
    <row r="155" spans="1:39" s="75" customFormat="1" ht="12.75" x14ac:dyDescent="0.35">
      <c r="C155" s="72"/>
      <c r="D155" s="76"/>
      <c r="E155" s="76"/>
      <c r="F155" s="76"/>
      <c r="G155" s="73"/>
      <c r="H155" s="76"/>
      <c r="I155" s="76"/>
      <c r="J155" s="35"/>
      <c r="K155" s="76"/>
      <c r="L155" s="76"/>
      <c r="M155" s="76"/>
      <c r="N155" s="76"/>
      <c r="O155" s="76"/>
      <c r="P155" s="76"/>
      <c r="Q155" s="76"/>
      <c r="R155" s="76"/>
      <c r="S155" s="79"/>
      <c r="T155" s="76"/>
      <c r="U155" s="76"/>
      <c r="V155" s="76"/>
      <c r="X155" s="78"/>
      <c r="Y155" s="78"/>
      <c r="Z155" s="78"/>
      <c r="AA155" s="78"/>
      <c r="AB155" s="78"/>
      <c r="AC155" s="78"/>
      <c r="AD155" s="78"/>
      <c r="AE155" s="78"/>
      <c r="AF155" s="78"/>
      <c r="AG155" s="78"/>
      <c r="AH155" s="78"/>
      <c r="AI155" s="78"/>
      <c r="AJ155" s="78"/>
      <c r="AK155" s="78"/>
      <c r="AL155" s="78"/>
      <c r="AM155" s="78"/>
    </row>
    <row r="156" spans="1:39" s="75" customFormat="1" ht="12.75" x14ac:dyDescent="0.35">
      <c r="C156" s="78"/>
      <c r="D156" s="76"/>
      <c r="E156" s="76"/>
      <c r="F156" s="76"/>
      <c r="G156" s="80"/>
      <c r="H156" s="76"/>
      <c r="I156" s="76"/>
      <c r="J156" s="35"/>
      <c r="K156" s="76"/>
      <c r="L156" s="76"/>
      <c r="M156" s="76"/>
      <c r="N156" s="76"/>
      <c r="O156" s="76"/>
      <c r="P156" s="76"/>
      <c r="Q156" s="76"/>
      <c r="R156" s="76"/>
      <c r="S156" s="76"/>
      <c r="T156" s="76"/>
      <c r="U156" s="76"/>
      <c r="V156" s="76"/>
      <c r="X156" s="78"/>
      <c r="Y156" s="78"/>
      <c r="Z156" s="78"/>
      <c r="AA156" s="78"/>
      <c r="AB156" s="78"/>
      <c r="AC156" s="78"/>
      <c r="AD156" s="78"/>
      <c r="AE156" s="78"/>
      <c r="AF156" s="78"/>
      <c r="AG156" s="78"/>
      <c r="AH156" s="78"/>
      <c r="AI156" s="78"/>
      <c r="AJ156" s="78"/>
      <c r="AK156" s="78"/>
      <c r="AL156" s="78"/>
      <c r="AM156" s="78"/>
    </row>
    <row r="157" spans="1:39" s="75" customFormat="1" ht="12.75" x14ac:dyDescent="0.35">
      <c r="C157" s="78"/>
      <c r="D157" s="76"/>
      <c r="E157" s="76"/>
      <c r="F157" s="76"/>
      <c r="G157" s="80"/>
      <c r="H157" s="76"/>
      <c r="I157" s="76"/>
      <c r="J157" s="35"/>
      <c r="K157" s="76"/>
      <c r="L157" s="76"/>
      <c r="M157" s="76"/>
      <c r="N157" s="76"/>
      <c r="O157" s="76"/>
      <c r="P157" s="76"/>
      <c r="Q157" s="76"/>
      <c r="R157" s="76"/>
      <c r="S157" s="76"/>
      <c r="T157" s="76"/>
      <c r="U157" s="76"/>
      <c r="V157" s="76"/>
      <c r="X157" s="78"/>
      <c r="Y157" s="78"/>
      <c r="Z157" s="78"/>
      <c r="AA157" s="78"/>
      <c r="AB157" s="78"/>
      <c r="AC157" s="78"/>
      <c r="AD157" s="78"/>
      <c r="AE157" s="78"/>
      <c r="AF157" s="78"/>
      <c r="AG157" s="78"/>
      <c r="AH157" s="78"/>
      <c r="AI157" s="78"/>
      <c r="AJ157" s="78"/>
      <c r="AK157" s="78"/>
      <c r="AL157" s="78"/>
      <c r="AM157" s="78"/>
    </row>
    <row r="158" spans="1:39" s="75" customFormat="1" ht="12.75" x14ac:dyDescent="0.35">
      <c r="C158" s="78"/>
      <c r="D158" s="76"/>
      <c r="E158" s="76"/>
      <c r="F158" s="76"/>
      <c r="G158" s="80"/>
      <c r="H158" s="76"/>
      <c r="I158" s="76"/>
      <c r="J158" s="35"/>
      <c r="K158" s="76"/>
      <c r="L158" s="76"/>
      <c r="M158" s="76"/>
      <c r="N158" s="76"/>
      <c r="O158" s="76"/>
      <c r="P158" s="76"/>
      <c r="Q158" s="76"/>
      <c r="R158" s="76"/>
      <c r="S158" s="76"/>
      <c r="T158" s="76"/>
      <c r="U158" s="76"/>
      <c r="V158" s="76"/>
      <c r="X158" s="78"/>
      <c r="Y158" s="78"/>
      <c r="Z158" s="78"/>
      <c r="AA158" s="78"/>
      <c r="AB158" s="78"/>
      <c r="AC158" s="78"/>
      <c r="AD158" s="78"/>
      <c r="AE158" s="78"/>
      <c r="AF158" s="78"/>
      <c r="AG158" s="78"/>
      <c r="AH158" s="78"/>
      <c r="AI158" s="78"/>
      <c r="AJ158" s="78"/>
      <c r="AK158" s="78"/>
      <c r="AL158" s="78"/>
      <c r="AM158" s="78"/>
    </row>
    <row r="159" spans="1:39" s="75" customFormat="1" ht="12.75" x14ac:dyDescent="0.35">
      <c r="C159" s="78"/>
      <c r="D159" s="76"/>
      <c r="E159" s="76"/>
      <c r="F159" s="76"/>
      <c r="G159" s="80"/>
      <c r="H159" s="76"/>
      <c r="I159" s="76"/>
      <c r="J159" s="76"/>
      <c r="K159" s="76"/>
      <c r="L159" s="76"/>
      <c r="M159" s="76"/>
      <c r="N159" s="76"/>
      <c r="O159" s="76"/>
      <c r="P159" s="76"/>
      <c r="Q159" s="76"/>
      <c r="R159" s="76"/>
      <c r="S159" s="76"/>
      <c r="T159" s="76"/>
      <c r="U159" s="76"/>
      <c r="V159" s="76"/>
      <c r="X159" s="78"/>
      <c r="Y159" s="78"/>
      <c r="Z159" s="78"/>
      <c r="AA159" s="78"/>
      <c r="AB159" s="78"/>
      <c r="AC159" s="78"/>
      <c r="AD159" s="78"/>
      <c r="AE159" s="78"/>
      <c r="AF159" s="78"/>
      <c r="AG159" s="78"/>
      <c r="AH159" s="78"/>
      <c r="AI159" s="78"/>
      <c r="AJ159" s="78"/>
      <c r="AK159" s="78"/>
      <c r="AL159" s="78"/>
      <c r="AM159" s="78"/>
    </row>
    <row r="160" spans="1:39" s="75" customFormat="1" ht="12.75" x14ac:dyDescent="0.35">
      <c r="C160" s="78"/>
      <c r="D160" s="76"/>
      <c r="E160" s="76"/>
      <c r="F160" s="76"/>
      <c r="G160" s="80"/>
      <c r="H160" s="76"/>
      <c r="I160" s="76"/>
      <c r="J160" s="76"/>
      <c r="K160" s="76"/>
      <c r="L160" s="76"/>
      <c r="M160" s="76"/>
      <c r="N160" s="76"/>
      <c r="O160" s="76"/>
      <c r="P160" s="76"/>
      <c r="Q160" s="76"/>
      <c r="R160" s="76"/>
      <c r="S160" s="76"/>
      <c r="T160" s="76"/>
      <c r="U160" s="76"/>
      <c r="V160" s="76"/>
      <c r="X160" s="78"/>
      <c r="Y160" s="78"/>
      <c r="Z160" s="78"/>
      <c r="AA160" s="78"/>
      <c r="AB160" s="78"/>
      <c r="AC160" s="78"/>
      <c r="AD160" s="78"/>
      <c r="AE160" s="78"/>
      <c r="AF160" s="78"/>
      <c r="AG160" s="78"/>
      <c r="AH160" s="78"/>
      <c r="AI160" s="78"/>
      <c r="AJ160" s="78"/>
      <c r="AK160" s="78"/>
      <c r="AL160" s="78"/>
      <c r="AM160" s="78"/>
    </row>
    <row r="161" spans="3:39" s="75" customFormat="1" ht="12.75" x14ac:dyDescent="0.35">
      <c r="C161" s="78"/>
      <c r="D161" s="76"/>
      <c r="E161" s="76"/>
      <c r="F161" s="76"/>
      <c r="G161" s="80"/>
      <c r="H161" s="76"/>
      <c r="I161" s="76"/>
      <c r="J161" s="76"/>
      <c r="K161" s="76"/>
      <c r="L161" s="76"/>
      <c r="M161" s="76"/>
      <c r="N161" s="76"/>
      <c r="O161" s="76"/>
      <c r="P161" s="76"/>
      <c r="Q161" s="76"/>
      <c r="R161" s="76"/>
      <c r="S161" s="76"/>
      <c r="T161" s="76"/>
      <c r="U161" s="76"/>
      <c r="V161" s="76"/>
      <c r="X161" s="78"/>
      <c r="Y161" s="78"/>
      <c r="Z161" s="78"/>
      <c r="AA161" s="78"/>
      <c r="AB161" s="78"/>
      <c r="AC161" s="78"/>
      <c r="AD161" s="78"/>
      <c r="AE161" s="78"/>
      <c r="AF161" s="78"/>
      <c r="AG161" s="78"/>
      <c r="AH161" s="78"/>
      <c r="AI161" s="78"/>
      <c r="AJ161" s="78"/>
      <c r="AK161" s="78"/>
      <c r="AL161" s="78"/>
      <c r="AM161" s="78"/>
    </row>
    <row r="162" spans="3:39" s="75" customFormat="1" ht="12.75" x14ac:dyDescent="0.35">
      <c r="C162" s="78"/>
      <c r="D162" s="76"/>
      <c r="E162" s="76"/>
      <c r="F162" s="76"/>
      <c r="G162" s="80"/>
      <c r="H162" s="76"/>
      <c r="I162" s="76"/>
      <c r="J162" s="76"/>
      <c r="K162" s="76"/>
      <c r="L162" s="76"/>
      <c r="M162" s="76"/>
      <c r="N162" s="76"/>
      <c r="O162" s="76"/>
      <c r="P162" s="76"/>
      <c r="Q162" s="76"/>
      <c r="R162" s="76"/>
      <c r="S162" s="76"/>
      <c r="T162" s="76"/>
      <c r="U162" s="76"/>
      <c r="V162" s="76"/>
      <c r="X162" s="78"/>
      <c r="Y162" s="78"/>
      <c r="Z162" s="78"/>
      <c r="AA162" s="78"/>
      <c r="AB162" s="78"/>
      <c r="AC162" s="78"/>
      <c r="AD162" s="78"/>
      <c r="AE162" s="78"/>
      <c r="AF162" s="78"/>
      <c r="AG162" s="78"/>
      <c r="AH162" s="78"/>
      <c r="AI162" s="78"/>
      <c r="AJ162" s="78"/>
      <c r="AK162" s="78"/>
      <c r="AL162" s="78"/>
      <c r="AM162" s="78"/>
    </row>
    <row r="163" spans="3:39" s="75" customFormat="1" ht="12.75" x14ac:dyDescent="0.35">
      <c r="C163" s="78"/>
      <c r="D163" s="76"/>
      <c r="E163" s="76"/>
      <c r="F163" s="76"/>
      <c r="G163" s="80"/>
      <c r="H163" s="76"/>
      <c r="I163" s="76"/>
      <c r="J163" s="76"/>
      <c r="K163" s="76"/>
      <c r="L163" s="76"/>
      <c r="M163" s="76"/>
      <c r="N163" s="76"/>
      <c r="O163" s="76"/>
      <c r="P163" s="76"/>
      <c r="Q163" s="76"/>
      <c r="R163" s="76"/>
      <c r="S163" s="76"/>
      <c r="T163" s="76"/>
      <c r="U163" s="76"/>
      <c r="V163" s="76"/>
      <c r="X163" s="78"/>
      <c r="Y163" s="78"/>
      <c r="Z163" s="78"/>
      <c r="AA163" s="78"/>
      <c r="AB163" s="78"/>
      <c r="AC163" s="78"/>
      <c r="AD163" s="78"/>
      <c r="AE163" s="78"/>
      <c r="AF163" s="78"/>
      <c r="AG163" s="78"/>
      <c r="AH163" s="78"/>
      <c r="AI163" s="78"/>
      <c r="AJ163" s="78"/>
      <c r="AK163" s="78"/>
      <c r="AL163" s="78"/>
      <c r="AM163" s="78"/>
    </row>
    <row r="164" spans="3:39" s="75" customFormat="1" ht="12.75" x14ac:dyDescent="0.35">
      <c r="C164" s="78"/>
      <c r="D164" s="76"/>
      <c r="E164" s="76"/>
      <c r="F164" s="76"/>
      <c r="G164" s="80"/>
      <c r="H164" s="76"/>
      <c r="I164" s="76"/>
      <c r="J164" s="76"/>
      <c r="K164" s="76"/>
      <c r="L164" s="76"/>
      <c r="M164" s="76"/>
      <c r="N164" s="76"/>
      <c r="O164" s="76"/>
      <c r="P164" s="76"/>
      <c r="Q164" s="76"/>
      <c r="R164" s="76"/>
      <c r="S164" s="76"/>
      <c r="T164" s="76"/>
      <c r="U164" s="76"/>
      <c r="V164" s="76"/>
      <c r="X164" s="78"/>
      <c r="Y164" s="78"/>
      <c r="Z164" s="78"/>
      <c r="AA164" s="78"/>
      <c r="AB164" s="78"/>
      <c r="AC164" s="78"/>
      <c r="AD164" s="78"/>
      <c r="AE164" s="78"/>
      <c r="AF164" s="78"/>
      <c r="AG164" s="78"/>
      <c r="AH164" s="78"/>
      <c r="AI164" s="78"/>
      <c r="AJ164" s="78"/>
      <c r="AK164" s="78"/>
      <c r="AL164" s="78"/>
      <c r="AM164" s="78"/>
    </row>
    <row r="165" spans="3:39" s="75" customFormat="1" ht="12.75" x14ac:dyDescent="0.35">
      <c r="C165" s="78"/>
      <c r="D165" s="76"/>
      <c r="E165" s="76"/>
      <c r="F165" s="76"/>
      <c r="G165" s="80"/>
      <c r="H165" s="76"/>
      <c r="I165" s="76"/>
      <c r="J165" s="76"/>
      <c r="K165" s="76"/>
      <c r="L165" s="76"/>
      <c r="M165" s="76"/>
      <c r="N165" s="76"/>
      <c r="O165" s="76"/>
      <c r="P165" s="76"/>
      <c r="Q165" s="76"/>
      <c r="R165" s="76"/>
      <c r="S165" s="76"/>
      <c r="T165" s="76"/>
      <c r="U165" s="76"/>
      <c r="V165" s="76"/>
      <c r="X165" s="78"/>
      <c r="Y165" s="78"/>
      <c r="Z165" s="78"/>
      <c r="AA165" s="78"/>
      <c r="AB165" s="78"/>
      <c r="AC165" s="78"/>
      <c r="AD165" s="78"/>
      <c r="AE165" s="78"/>
      <c r="AF165" s="78"/>
      <c r="AG165" s="78"/>
      <c r="AH165" s="78"/>
      <c r="AI165" s="78"/>
      <c r="AJ165" s="78"/>
      <c r="AK165" s="78"/>
      <c r="AL165" s="78"/>
      <c r="AM165" s="78"/>
    </row>
    <row r="166" spans="3:39" s="75" customFormat="1" ht="12.75" x14ac:dyDescent="0.35">
      <c r="C166" s="78"/>
      <c r="D166" s="76"/>
      <c r="E166" s="76"/>
      <c r="F166" s="76"/>
      <c r="G166" s="80"/>
      <c r="H166" s="76"/>
      <c r="I166" s="76"/>
      <c r="J166" s="76"/>
      <c r="K166" s="76"/>
      <c r="L166" s="76"/>
      <c r="M166" s="76"/>
      <c r="N166" s="76"/>
      <c r="O166" s="76"/>
      <c r="P166" s="76"/>
      <c r="Q166" s="76"/>
      <c r="R166" s="76"/>
      <c r="S166" s="76"/>
      <c r="T166" s="76"/>
      <c r="U166" s="76"/>
      <c r="V166" s="76"/>
      <c r="X166" s="78"/>
      <c r="Y166" s="78"/>
      <c r="Z166" s="78"/>
      <c r="AA166" s="78"/>
      <c r="AB166" s="78"/>
      <c r="AC166" s="78"/>
      <c r="AD166" s="78"/>
      <c r="AE166" s="78"/>
      <c r="AF166" s="78"/>
      <c r="AG166" s="78"/>
      <c r="AH166" s="78"/>
      <c r="AI166" s="78"/>
      <c r="AJ166" s="78"/>
      <c r="AK166" s="78"/>
      <c r="AL166" s="78"/>
      <c r="AM166" s="78"/>
    </row>
    <row r="167" spans="3:39" s="75" customFormat="1" ht="12.75" x14ac:dyDescent="0.35">
      <c r="C167" s="78"/>
      <c r="D167" s="76"/>
      <c r="E167" s="76"/>
      <c r="F167" s="76"/>
      <c r="G167" s="80"/>
      <c r="H167" s="76"/>
      <c r="I167" s="76"/>
      <c r="J167" s="76"/>
      <c r="K167" s="76"/>
      <c r="L167" s="76"/>
      <c r="M167" s="76"/>
      <c r="N167" s="76"/>
      <c r="O167" s="76"/>
      <c r="P167" s="76"/>
      <c r="Q167" s="76"/>
      <c r="R167" s="76"/>
      <c r="S167" s="76"/>
      <c r="T167" s="76"/>
      <c r="U167" s="76"/>
      <c r="V167" s="76"/>
      <c r="X167" s="78"/>
      <c r="Y167" s="78"/>
      <c r="Z167" s="78"/>
      <c r="AA167" s="78"/>
      <c r="AB167" s="78"/>
      <c r="AC167" s="78"/>
      <c r="AD167" s="78"/>
      <c r="AE167" s="78"/>
      <c r="AF167" s="78"/>
      <c r="AG167" s="78"/>
      <c r="AH167" s="78"/>
      <c r="AI167" s="78"/>
      <c r="AJ167" s="78"/>
      <c r="AK167" s="78"/>
      <c r="AL167" s="78"/>
      <c r="AM167" s="78"/>
    </row>
    <row r="168" spans="3:39" s="75" customFormat="1" ht="12.75" x14ac:dyDescent="0.35">
      <c r="C168" s="78"/>
      <c r="D168" s="76"/>
      <c r="E168" s="76"/>
      <c r="F168" s="76"/>
      <c r="G168" s="80"/>
      <c r="H168" s="76"/>
      <c r="I168" s="76"/>
      <c r="J168" s="76"/>
      <c r="K168" s="76"/>
      <c r="L168" s="76"/>
      <c r="M168" s="76"/>
      <c r="N168" s="76"/>
      <c r="O168" s="76"/>
      <c r="P168" s="76"/>
      <c r="Q168" s="76"/>
      <c r="R168" s="76"/>
      <c r="S168" s="76"/>
      <c r="T168" s="76"/>
      <c r="U168" s="76"/>
      <c r="V168" s="76"/>
      <c r="X168" s="78"/>
      <c r="Y168" s="78"/>
      <c r="Z168" s="78"/>
      <c r="AA168" s="78"/>
      <c r="AB168" s="78"/>
      <c r="AC168" s="78"/>
      <c r="AD168" s="78"/>
      <c r="AE168" s="78"/>
      <c r="AF168" s="78"/>
      <c r="AG168" s="78"/>
      <c r="AH168" s="78"/>
      <c r="AI168" s="78"/>
      <c r="AJ168" s="78"/>
      <c r="AK168" s="78"/>
      <c r="AL168" s="78"/>
      <c r="AM168" s="78"/>
    </row>
    <row r="169" spans="3:39" s="75" customFormat="1" ht="12.75" x14ac:dyDescent="0.35">
      <c r="C169" s="78"/>
      <c r="D169" s="76"/>
      <c r="E169" s="76"/>
      <c r="F169" s="76"/>
      <c r="G169" s="80"/>
      <c r="H169" s="76"/>
      <c r="I169" s="76"/>
      <c r="J169" s="76"/>
      <c r="K169" s="76"/>
      <c r="L169" s="76"/>
      <c r="M169" s="76"/>
      <c r="N169" s="76"/>
      <c r="O169" s="76"/>
      <c r="P169" s="76"/>
      <c r="Q169" s="76"/>
      <c r="R169" s="76"/>
      <c r="S169" s="76"/>
      <c r="T169" s="76"/>
      <c r="U169" s="76"/>
      <c r="V169" s="76"/>
      <c r="X169" s="78"/>
      <c r="Y169" s="78"/>
      <c r="Z169" s="78"/>
      <c r="AA169" s="78"/>
      <c r="AB169" s="78"/>
      <c r="AC169" s="78"/>
      <c r="AD169" s="78"/>
      <c r="AE169" s="78"/>
      <c r="AF169" s="78"/>
      <c r="AG169" s="78"/>
      <c r="AH169" s="78"/>
      <c r="AI169" s="78"/>
      <c r="AJ169" s="78"/>
      <c r="AK169" s="78"/>
      <c r="AL169" s="78"/>
      <c r="AM169" s="78"/>
    </row>
    <row r="170" spans="3:39" s="75" customFormat="1" ht="12.75" x14ac:dyDescent="0.35">
      <c r="C170" s="78"/>
      <c r="D170" s="76"/>
      <c r="E170" s="76"/>
      <c r="F170" s="76"/>
      <c r="G170" s="80"/>
      <c r="H170" s="76"/>
      <c r="I170" s="76"/>
      <c r="J170" s="76"/>
      <c r="K170" s="76"/>
      <c r="L170" s="76"/>
      <c r="M170" s="76"/>
      <c r="N170" s="76"/>
      <c r="O170" s="76"/>
      <c r="P170" s="76"/>
      <c r="Q170" s="76"/>
      <c r="R170" s="79"/>
      <c r="S170" s="76"/>
      <c r="T170" s="76"/>
      <c r="U170" s="76"/>
      <c r="V170" s="76"/>
      <c r="X170" s="78"/>
      <c r="Y170" s="78"/>
      <c r="Z170" s="78"/>
      <c r="AA170" s="78"/>
      <c r="AB170" s="78"/>
      <c r="AC170" s="78"/>
      <c r="AD170" s="78"/>
      <c r="AE170" s="78"/>
      <c r="AF170" s="78"/>
      <c r="AG170" s="78"/>
      <c r="AH170" s="78"/>
      <c r="AI170" s="78"/>
      <c r="AJ170" s="78"/>
      <c r="AK170" s="78"/>
      <c r="AL170" s="78"/>
      <c r="AM170" s="78"/>
    </row>
    <row r="171" spans="3:39" s="75" customFormat="1" ht="12.75" x14ac:dyDescent="0.35">
      <c r="C171" s="78"/>
      <c r="D171" s="76"/>
      <c r="E171" s="76"/>
      <c r="F171" s="76"/>
      <c r="G171" s="80"/>
      <c r="H171" s="76"/>
      <c r="I171" s="76"/>
      <c r="J171" s="76"/>
      <c r="K171" s="76"/>
      <c r="L171" s="76"/>
      <c r="M171" s="76"/>
      <c r="N171" s="76"/>
      <c r="O171" s="76"/>
      <c r="P171" s="76"/>
      <c r="Q171" s="76"/>
      <c r="R171" s="79"/>
      <c r="S171" s="76"/>
      <c r="T171" s="76"/>
      <c r="U171" s="76"/>
      <c r="V171" s="76"/>
      <c r="X171" s="78"/>
      <c r="Y171" s="78"/>
      <c r="Z171" s="78"/>
      <c r="AA171" s="78"/>
      <c r="AB171" s="78"/>
      <c r="AC171" s="78"/>
      <c r="AD171" s="78"/>
      <c r="AE171" s="78"/>
      <c r="AF171" s="78"/>
      <c r="AG171" s="78"/>
      <c r="AH171" s="78"/>
      <c r="AI171" s="78"/>
      <c r="AJ171" s="78"/>
      <c r="AK171" s="78"/>
      <c r="AL171" s="78"/>
      <c r="AM171" s="78"/>
    </row>
    <row r="172" spans="3:39" s="75" customFormat="1" ht="12.75" x14ac:dyDescent="0.35">
      <c r="C172" s="78"/>
      <c r="D172" s="76"/>
      <c r="E172" s="76"/>
      <c r="F172" s="76"/>
      <c r="G172" s="80"/>
      <c r="H172" s="76"/>
      <c r="I172" s="76"/>
      <c r="J172" s="76"/>
      <c r="K172" s="76"/>
      <c r="L172" s="76"/>
      <c r="M172" s="76"/>
      <c r="N172" s="76"/>
      <c r="O172" s="76"/>
      <c r="P172" s="76"/>
      <c r="Q172" s="76"/>
      <c r="R172" s="79"/>
      <c r="S172" s="76"/>
      <c r="T172" s="76"/>
      <c r="U172" s="76"/>
      <c r="V172" s="76"/>
      <c r="X172" s="78"/>
      <c r="Y172" s="78"/>
      <c r="Z172" s="78"/>
      <c r="AA172" s="78"/>
      <c r="AB172" s="78"/>
      <c r="AC172" s="78"/>
      <c r="AD172" s="78"/>
      <c r="AE172" s="78"/>
      <c r="AF172" s="78"/>
      <c r="AG172" s="78"/>
      <c r="AH172" s="78"/>
      <c r="AI172" s="78"/>
      <c r="AJ172" s="78"/>
      <c r="AK172" s="78"/>
      <c r="AL172" s="78"/>
      <c r="AM172" s="78"/>
    </row>
    <row r="173" spans="3:39" s="75" customFormat="1" ht="12.75" x14ac:dyDescent="0.35">
      <c r="C173" s="78"/>
      <c r="D173" s="76"/>
      <c r="E173" s="76"/>
      <c r="F173" s="76"/>
      <c r="G173" s="80"/>
      <c r="H173" s="76"/>
      <c r="I173" s="76"/>
      <c r="J173" s="76"/>
      <c r="K173" s="76"/>
      <c r="L173" s="76"/>
      <c r="M173" s="76"/>
      <c r="N173" s="76"/>
      <c r="O173" s="76"/>
      <c r="P173" s="76"/>
      <c r="Q173" s="76"/>
      <c r="R173" s="79"/>
      <c r="S173" s="76"/>
      <c r="T173" s="76"/>
      <c r="U173" s="76"/>
      <c r="V173" s="76"/>
      <c r="X173" s="78"/>
      <c r="Y173" s="78"/>
      <c r="Z173" s="78"/>
      <c r="AA173" s="78"/>
      <c r="AB173" s="78"/>
      <c r="AC173" s="78"/>
      <c r="AD173" s="78"/>
      <c r="AE173" s="78"/>
      <c r="AF173" s="78"/>
      <c r="AG173" s="78"/>
      <c r="AH173" s="78"/>
      <c r="AI173" s="78"/>
      <c r="AJ173" s="78"/>
      <c r="AK173" s="78"/>
      <c r="AL173" s="78"/>
      <c r="AM173" s="78"/>
    </row>
    <row r="174" spans="3:39" s="75" customFormat="1" ht="12.75" x14ac:dyDescent="0.35">
      <c r="C174" s="78"/>
      <c r="D174" s="76"/>
      <c r="E174" s="76"/>
      <c r="F174" s="76"/>
      <c r="G174" s="80"/>
      <c r="H174" s="76"/>
      <c r="I174" s="76"/>
      <c r="J174" s="76"/>
      <c r="K174" s="76"/>
      <c r="L174" s="76"/>
      <c r="M174" s="76"/>
      <c r="N174" s="76"/>
      <c r="O174" s="76"/>
      <c r="P174" s="76"/>
      <c r="Q174" s="76"/>
      <c r="R174" s="79"/>
      <c r="S174" s="76"/>
      <c r="T174" s="76"/>
      <c r="U174" s="76"/>
      <c r="V174" s="76"/>
      <c r="X174" s="78"/>
      <c r="Y174" s="78"/>
      <c r="Z174" s="78"/>
      <c r="AA174" s="78"/>
      <c r="AB174" s="78"/>
      <c r="AC174" s="78"/>
      <c r="AD174" s="78"/>
      <c r="AE174" s="78"/>
      <c r="AF174" s="78"/>
      <c r="AG174" s="78"/>
      <c r="AH174" s="78"/>
      <c r="AI174" s="78"/>
      <c r="AJ174" s="78"/>
      <c r="AK174" s="78"/>
      <c r="AL174" s="78"/>
      <c r="AM174" s="78"/>
    </row>
    <row r="175" spans="3:39" s="75" customFormat="1" ht="12.75" x14ac:dyDescent="0.35">
      <c r="C175" s="78"/>
      <c r="D175" s="76"/>
      <c r="E175" s="76"/>
      <c r="F175" s="76"/>
      <c r="G175" s="80"/>
      <c r="H175" s="76"/>
      <c r="I175" s="76"/>
      <c r="J175" s="76"/>
      <c r="K175" s="76"/>
      <c r="L175" s="76"/>
      <c r="M175" s="76"/>
      <c r="N175" s="76"/>
      <c r="O175" s="76"/>
      <c r="P175" s="76"/>
      <c r="Q175" s="76"/>
      <c r="R175" s="79"/>
      <c r="S175" s="76"/>
      <c r="T175" s="76"/>
      <c r="U175" s="76"/>
      <c r="V175" s="76"/>
      <c r="X175" s="78"/>
      <c r="Y175" s="78"/>
      <c r="Z175" s="78"/>
      <c r="AA175" s="78"/>
      <c r="AB175" s="78"/>
      <c r="AC175" s="78"/>
      <c r="AD175" s="78"/>
      <c r="AE175" s="78"/>
      <c r="AF175" s="78"/>
      <c r="AG175" s="78"/>
      <c r="AH175" s="78"/>
      <c r="AI175" s="78"/>
      <c r="AJ175" s="78"/>
      <c r="AK175" s="78"/>
      <c r="AL175" s="78"/>
      <c r="AM175" s="78"/>
    </row>
    <row r="176" spans="3:39" s="75" customFormat="1" ht="12.75" x14ac:dyDescent="0.35">
      <c r="C176" s="78"/>
      <c r="D176" s="76"/>
      <c r="E176" s="76"/>
      <c r="F176" s="76"/>
      <c r="G176" s="80"/>
      <c r="H176" s="76"/>
      <c r="I176" s="76"/>
      <c r="J176" s="76"/>
      <c r="K176" s="76"/>
      <c r="L176" s="76"/>
      <c r="M176" s="76"/>
      <c r="N176" s="76"/>
      <c r="O176" s="76"/>
      <c r="P176" s="76"/>
      <c r="Q176" s="76"/>
      <c r="R176" s="79"/>
      <c r="S176" s="76"/>
      <c r="T176" s="76"/>
      <c r="U176" s="76"/>
      <c r="V176" s="76"/>
      <c r="X176" s="78"/>
      <c r="Y176" s="78"/>
      <c r="Z176" s="78"/>
      <c r="AA176" s="78"/>
      <c r="AB176" s="78"/>
      <c r="AC176" s="78"/>
      <c r="AD176" s="78"/>
      <c r="AE176" s="78"/>
      <c r="AF176" s="78"/>
      <c r="AG176" s="78"/>
      <c r="AH176" s="78"/>
      <c r="AI176" s="78"/>
      <c r="AJ176" s="78"/>
      <c r="AK176" s="78"/>
      <c r="AL176" s="78"/>
      <c r="AM176" s="78"/>
    </row>
    <row r="177" spans="3:39" s="75" customFormat="1" ht="12.75" x14ac:dyDescent="0.35">
      <c r="C177" s="78"/>
      <c r="D177" s="76"/>
      <c r="E177" s="76"/>
      <c r="F177" s="76"/>
      <c r="G177" s="80"/>
      <c r="H177" s="76"/>
      <c r="I177" s="76"/>
      <c r="J177" s="76"/>
      <c r="K177" s="76"/>
      <c r="L177" s="76"/>
      <c r="M177" s="76"/>
      <c r="N177" s="76"/>
      <c r="O177" s="76"/>
      <c r="P177" s="76"/>
      <c r="Q177" s="76"/>
      <c r="R177" s="79"/>
      <c r="S177" s="76"/>
      <c r="T177" s="76"/>
      <c r="U177" s="76"/>
      <c r="V177" s="76"/>
      <c r="X177" s="78"/>
      <c r="Y177" s="78"/>
      <c r="Z177" s="78"/>
      <c r="AA177" s="78"/>
      <c r="AB177" s="78"/>
      <c r="AC177" s="78"/>
      <c r="AD177" s="78"/>
      <c r="AE177" s="78"/>
      <c r="AF177" s="78"/>
      <c r="AG177" s="78"/>
      <c r="AH177" s="78"/>
      <c r="AI177" s="78"/>
      <c r="AJ177" s="78"/>
      <c r="AK177" s="78"/>
      <c r="AL177" s="78"/>
      <c r="AM177" s="78"/>
    </row>
    <row r="178" spans="3:39" s="75" customFormat="1" ht="12.75" x14ac:dyDescent="0.35">
      <c r="C178" s="78"/>
      <c r="D178" s="76"/>
      <c r="E178" s="76"/>
      <c r="F178" s="76"/>
      <c r="G178" s="80"/>
      <c r="H178" s="76"/>
      <c r="I178" s="76"/>
      <c r="J178" s="76"/>
      <c r="K178" s="76"/>
      <c r="L178" s="76"/>
      <c r="M178" s="76"/>
      <c r="N178" s="76"/>
      <c r="O178" s="76"/>
      <c r="P178" s="76"/>
      <c r="Q178" s="76"/>
      <c r="R178" s="79"/>
      <c r="S178" s="76"/>
      <c r="T178" s="76"/>
      <c r="U178" s="76"/>
      <c r="V178" s="76"/>
      <c r="X178" s="78"/>
      <c r="Y178" s="78"/>
      <c r="Z178" s="78"/>
      <c r="AA178" s="78"/>
      <c r="AB178" s="78"/>
      <c r="AC178" s="78"/>
      <c r="AD178" s="78"/>
      <c r="AE178" s="78"/>
      <c r="AF178" s="78"/>
      <c r="AG178" s="78"/>
      <c r="AH178" s="78"/>
      <c r="AI178" s="78"/>
      <c r="AJ178" s="78"/>
      <c r="AK178" s="78"/>
      <c r="AL178" s="78"/>
      <c r="AM178" s="78"/>
    </row>
    <row r="179" spans="3:39" s="75" customFormat="1" ht="12.75" x14ac:dyDescent="0.35">
      <c r="C179" s="78"/>
      <c r="D179" s="76"/>
      <c r="E179" s="76"/>
      <c r="F179" s="76"/>
      <c r="G179" s="80"/>
      <c r="H179" s="76"/>
      <c r="I179" s="76"/>
      <c r="J179" s="76"/>
      <c r="K179" s="76"/>
      <c r="L179" s="76"/>
      <c r="M179" s="76"/>
      <c r="N179" s="76"/>
      <c r="O179" s="76"/>
      <c r="P179" s="76"/>
      <c r="Q179" s="76"/>
      <c r="R179" s="79"/>
      <c r="S179" s="76"/>
      <c r="T179" s="76"/>
      <c r="U179" s="76"/>
      <c r="V179" s="76"/>
      <c r="X179" s="78"/>
      <c r="Y179" s="78"/>
      <c r="Z179" s="78"/>
      <c r="AA179" s="78"/>
      <c r="AB179" s="78"/>
      <c r="AC179" s="78"/>
      <c r="AD179" s="78"/>
      <c r="AE179" s="78"/>
      <c r="AF179" s="78"/>
      <c r="AG179" s="78"/>
      <c r="AH179" s="78"/>
      <c r="AI179" s="78"/>
      <c r="AJ179" s="78"/>
      <c r="AK179" s="78"/>
      <c r="AL179" s="78"/>
      <c r="AM179" s="78"/>
    </row>
    <row r="180" spans="3:39" s="75" customFormat="1" ht="12.75" x14ac:dyDescent="0.35">
      <c r="C180" s="78"/>
      <c r="D180" s="76"/>
      <c r="E180" s="76"/>
      <c r="F180" s="76"/>
      <c r="G180" s="80"/>
      <c r="H180" s="76"/>
      <c r="I180" s="76"/>
      <c r="J180" s="76"/>
      <c r="K180" s="76"/>
      <c r="L180" s="76"/>
      <c r="M180" s="76"/>
      <c r="N180" s="76"/>
      <c r="O180" s="76"/>
      <c r="P180" s="76"/>
      <c r="Q180" s="76"/>
      <c r="R180" s="79"/>
      <c r="S180" s="76"/>
      <c r="T180" s="76"/>
      <c r="U180" s="76"/>
      <c r="V180" s="76"/>
      <c r="X180" s="78"/>
      <c r="Y180" s="78"/>
      <c r="Z180" s="78"/>
      <c r="AA180" s="78"/>
      <c r="AB180" s="78"/>
      <c r="AC180" s="78"/>
      <c r="AD180" s="78"/>
      <c r="AE180" s="78"/>
      <c r="AF180" s="78"/>
      <c r="AG180" s="78"/>
      <c r="AH180" s="78"/>
      <c r="AI180" s="78"/>
      <c r="AJ180" s="78"/>
      <c r="AK180" s="78"/>
      <c r="AL180" s="78"/>
      <c r="AM180" s="78"/>
    </row>
    <row r="181" spans="3:39" s="75" customFormat="1" ht="12.75" x14ac:dyDescent="0.35">
      <c r="C181" s="78"/>
      <c r="D181" s="76"/>
      <c r="E181" s="76"/>
      <c r="F181" s="76"/>
      <c r="G181" s="80"/>
      <c r="H181" s="76"/>
      <c r="I181" s="76"/>
      <c r="J181" s="76"/>
      <c r="K181" s="76"/>
      <c r="L181" s="76"/>
      <c r="M181" s="76"/>
      <c r="N181" s="76"/>
      <c r="O181" s="76"/>
      <c r="P181" s="76"/>
      <c r="Q181" s="76"/>
      <c r="R181" s="79"/>
      <c r="S181" s="76"/>
      <c r="T181" s="76"/>
      <c r="U181" s="76"/>
      <c r="V181" s="76"/>
      <c r="X181" s="78"/>
      <c r="Y181" s="78"/>
      <c r="Z181" s="78"/>
      <c r="AA181" s="78"/>
      <c r="AB181" s="78"/>
      <c r="AC181" s="78"/>
      <c r="AD181" s="78"/>
      <c r="AE181" s="78"/>
      <c r="AF181" s="78"/>
      <c r="AG181" s="78"/>
      <c r="AH181" s="78"/>
      <c r="AI181" s="78"/>
      <c r="AJ181" s="78"/>
      <c r="AK181" s="78"/>
      <c r="AL181" s="78"/>
      <c r="AM181" s="78"/>
    </row>
    <row r="182" spans="3:39" s="75" customFormat="1" ht="12.75" x14ac:dyDescent="0.35">
      <c r="C182" s="78"/>
      <c r="D182" s="76"/>
      <c r="E182" s="76"/>
      <c r="F182" s="76"/>
      <c r="G182" s="80"/>
      <c r="H182" s="76"/>
      <c r="I182" s="76"/>
      <c r="J182" s="76"/>
      <c r="K182" s="76"/>
      <c r="L182" s="76"/>
      <c r="M182" s="76"/>
      <c r="N182" s="76"/>
      <c r="O182" s="76"/>
      <c r="P182" s="76"/>
      <c r="Q182" s="76"/>
      <c r="R182" s="76"/>
      <c r="S182" s="76"/>
      <c r="T182" s="76"/>
      <c r="U182" s="76"/>
      <c r="V182" s="76"/>
      <c r="X182" s="78"/>
      <c r="Y182" s="78"/>
      <c r="Z182" s="78"/>
      <c r="AA182" s="78"/>
      <c r="AB182" s="78"/>
      <c r="AC182" s="78"/>
      <c r="AD182" s="78"/>
      <c r="AE182" s="78"/>
      <c r="AF182" s="78"/>
      <c r="AG182" s="78"/>
      <c r="AH182" s="78"/>
      <c r="AI182" s="78"/>
      <c r="AJ182" s="78"/>
      <c r="AK182" s="78"/>
      <c r="AL182" s="78"/>
      <c r="AM182" s="78"/>
    </row>
    <row r="183" spans="3:39" s="75" customFormat="1" ht="12.75" x14ac:dyDescent="0.35">
      <c r="C183" s="78"/>
      <c r="D183" s="76"/>
      <c r="E183" s="76"/>
      <c r="F183" s="76"/>
      <c r="G183" s="80"/>
      <c r="H183" s="76"/>
      <c r="I183" s="76"/>
      <c r="J183" s="76"/>
      <c r="K183" s="76"/>
      <c r="L183" s="76"/>
      <c r="M183" s="76"/>
      <c r="N183" s="76"/>
      <c r="O183" s="76"/>
      <c r="P183" s="76"/>
      <c r="Q183" s="76"/>
      <c r="R183" s="76"/>
      <c r="S183" s="76"/>
      <c r="T183" s="76"/>
      <c r="U183" s="76"/>
      <c r="V183" s="76"/>
      <c r="X183" s="78"/>
      <c r="Y183" s="78"/>
      <c r="Z183" s="78"/>
      <c r="AA183" s="78"/>
      <c r="AB183" s="78"/>
      <c r="AC183" s="78"/>
      <c r="AD183" s="78"/>
      <c r="AE183" s="78"/>
      <c r="AF183" s="78"/>
      <c r="AG183" s="78"/>
      <c r="AH183" s="78"/>
      <c r="AI183" s="78"/>
      <c r="AJ183" s="78"/>
      <c r="AK183" s="78"/>
      <c r="AL183" s="78"/>
      <c r="AM183" s="78"/>
    </row>
    <row r="184" spans="3:39" s="75" customFormat="1" ht="12.75" x14ac:dyDescent="0.35">
      <c r="C184" s="78"/>
      <c r="D184" s="76"/>
      <c r="E184" s="76"/>
      <c r="F184" s="76"/>
      <c r="G184" s="80"/>
      <c r="H184" s="76"/>
      <c r="I184" s="76"/>
      <c r="J184" s="76"/>
      <c r="K184" s="76"/>
      <c r="L184" s="76"/>
      <c r="M184" s="76"/>
      <c r="N184" s="76"/>
      <c r="O184" s="76"/>
      <c r="P184" s="76"/>
      <c r="Q184" s="76"/>
      <c r="R184" s="76"/>
      <c r="S184" s="76"/>
      <c r="T184" s="76"/>
      <c r="U184" s="76"/>
      <c r="V184" s="76"/>
      <c r="X184" s="78"/>
      <c r="Y184" s="78"/>
      <c r="Z184" s="78"/>
      <c r="AA184" s="78"/>
      <c r="AB184" s="78"/>
      <c r="AC184" s="78"/>
      <c r="AD184" s="78"/>
      <c r="AE184" s="78"/>
      <c r="AF184" s="78"/>
      <c r="AG184" s="78"/>
      <c r="AH184" s="78"/>
      <c r="AI184" s="78"/>
      <c r="AJ184" s="78"/>
      <c r="AK184" s="78"/>
      <c r="AL184" s="78"/>
      <c r="AM184" s="78"/>
    </row>
    <row r="185" spans="3:39" s="75" customFormat="1" ht="12.75" x14ac:dyDescent="0.35">
      <c r="C185" s="78"/>
      <c r="D185" s="76"/>
      <c r="E185" s="76"/>
      <c r="F185" s="76"/>
      <c r="G185" s="80"/>
      <c r="H185" s="76"/>
      <c r="I185" s="76"/>
      <c r="J185" s="76"/>
      <c r="K185" s="76"/>
      <c r="L185" s="76"/>
      <c r="M185" s="76"/>
      <c r="N185" s="76"/>
      <c r="O185" s="76"/>
      <c r="P185" s="76"/>
      <c r="Q185" s="76"/>
      <c r="R185" s="76"/>
      <c r="S185" s="76"/>
      <c r="T185" s="76"/>
      <c r="U185" s="76"/>
      <c r="V185" s="76"/>
      <c r="X185" s="78"/>
      <c r="Y185" s="78"/>
      <c r="Z185" s="78"/>
      <c r="AA185" s="78"/>
      <c r="AB185" s="78"/>
      <c r="AC185" s="78"/>
      <c r="AD185" s="78"/>
      <c r="AE185" s="78"/>
      <c r="AF185" s="78"/>
      <c r="AG185" s="78"/>
      <c r="AH185" s="78"/>
      <c r="AI185" s="78"/>
      <c r="AJ185" s="78"/>
      <c r="AK185" s="78"/>
      <c r="AL185" s="78"/>
      <c r="AM185" s="78"/>
    </row>
    <row r="186" spans="3:39" s="75" customFormat="1" ht="12.75" x14ac:dyDescent="0.35">
      <c r="C186" s="78"/>
      <c r="D186" s="76"/>
      <c r="E186" s="76"/>
      <c r="F186" s="76"/>
      <c r="G186" s="80"/>
      <c r="H186" s="76"/>
      <c r="I186" s="76"/>
      <c r="J186" s="76"/>
      <c r="K186" s="76"/>
      <c r="L186" s="76"/>
      <c r="M186" s="76"/>
      <c r="N186" s="76"/>
      <c r="O186" s="76"/>
      <c r="P186" s="76"/>
      <c r="Q186" s="76"/>
      <c r="R186" s="76"/>
      <c r="S186" s="76"/>
      <c r="T186" s="76"/>
      <c r="U186" s="76"/>
      <c r="V186" s="76"/>
      <c r="X186" s="78"/>
      <c r="Y186" s="78"/>
      <c r="Z186" s="78"/>
      <c r="AA186" s="78"/>
      <c r="AB186" s="78"/>
      <c r="AC186" s="78"/>
      <c r="AD186" s="78"/>
      <c r="AE186" s="78"/>
      <c r="AF186" s="78"/>
      <c r="AG186" s="78"/>
      <c r="AH186" s="78"/>
      <c r="AI186" s="78"/>
      <c r="AJ186" s="78"/>
      <c r="AK186" s="78"/>
      <c r="AL186" s="78"/>
      <c r="AM186" s="78"/>
    </row>
    <row r="187" spans="3:39" s="75" customFormat="1" ht="12.75" x14ac:dyDescent="0.35">
      <c r="C187" s="78"/>
      <c r="D187" s="76"/>
      <c r="E187" s="76"/>
      <c r="F187" s="76"/>
      <c r="G187" s="80"/>
      <c r="H187" s="76"/>
      <c r="I187" s="76"/>
      <c r="J187" s="76"/>
      <c r="K187" s="76"/>
      <c r="L187" s="76"/>
      <c r="M187" s="76"/>
      <c r="N187" s="76"/>
      <c r="O187" s="76"/>
      <c r="P187" s="76"/>
      <c r="Q187" s="76"/>
      <c r="R187" s="76"/>
      <c r="S187" s="76"/>
      <c r="T187" s="76"/>
      <c r="U187" s="76"/>
      <c r="V187" s="76"/>
      <c r="X187" s="78"/>
      <c r="Y187" s="78"/>
      <c r="Z187" s="78"/>
      <c r="AA187" s="78"/>
      <c r="AB187" s="78"/>
      <c r="AC187" s="78"/>
      <c r="AD187" s="78"/>
      <c r="AE187" s="78"/>
      <c r="AF187" s="78"/>
      <c r="AG187" s="78"/>
      <c r="AH187" s="78"/>
      <c r="AI187" s="78"/>
      <c r="AJ187" s="78"/>
      <c r="AK187" s="78"/>
      <c r="AL187" s="78"/>
      <c r="AM187" s="78"/>
    </row>
    <row r="188" spans="3:39" s="75" customFormat="1" ht="12.75" x14ac:dyDescent="0.35">
      <c r="C188" s="78"/>
      <c r="D188" s="76"/>
      <c r="E188" s="76"/>
      <c r="F188" s="76"/>
      <c r="G188" s="80"/>
      <c r="H188" s="76"/>
      <c r="I188" s="76"/>
      <c r="J188" s="76"/>
      <c r="K188" s="76"/>
      <c r="L188" s="76"/>
      <c r="M188" s="76"/>
      <c r="N188" s="76"/>
      <c r="O188" s="76"/>
      <c r="P188" s="76"/>
      <c r="Q188" s="76"/>
      <c r="R188" s="76"/>
      <c r="S188" s="76"/>
      <c r="T188" s="76"/>
      <c r="U188" s="76"/>
      <c r="V188" s="76"/>
      <c r="X188" s="78"/>
      <c r="Y188" s="78"/>
      <c r="Z188" s="78"/>
      <c r="AA188" s="78"/>
      <c r="AB188" s="78"/>
      <c r="AC188" s="78"/>
      <c r="AD188" s="78"/>
      <c r="AE188" s="78"/>
      <c r="AF188" s="78"/>
      <c r="AG188" s="78"/>
      <c r="AH188" s="78"/>
      <c r="AI188" s="78"/>
      <c r="AJ188" s="78"/>
      <c r="AK188" s="78"/>
      <c r="AL188" s="78"/>
      <c r="AM188" s="78"/>
    </row>
    <row r="189" spans="3:39" s="75" customFormat="1" ht="12.75" x14ac:dyDescent="0.35">
      <c r="C189" s="78"/>
      <c r="D189" s="76"/>
      <c r="E189" s="76"/>
      <c r="F189" s="76"/>
      <c r="G189" s="80"/>
      <c r="H189" s="76"/>
      <c r="I189" s="76"/>
      <c r="J189" s="76"/>
      <c r="K189" s="76"/>
      <c r="L189" s="76"/>
      <c r="M189" s="76"/>
      <c r="N189" s="76"/>
      <c r="O189" s="76"/>
      <c r="P189" s="76"/>
      <c r="Q189" s="76"/>
      <c r="R189" s="76"/>
      <c r="S189" s="76"/>
      <c r="T189" s="76"/>
      <c r="U189" s="76"/>
      <c r="V189" s="76"/>
      <c r="X189" s="78"/>
      <c r="Y189" s="78"/>
      <c r="Z189" s="78"/>
      <c r="AA189" s="78"/>
      <c r="AB189" s="78"/>
      <c r="AC189" s="78"/>
      <c r="AD189" s="78"/>
      <c r="AE189" s="78"/>
      <c r="AF189" s="78"/>
      <c r="AG189" s="78"/>
      <c r="AH189" s="78"/>
      <c r="AI189" s="78"/>
      <c r="AJ189" s="78"/>
      <c r="AK189" s="78"/>
      <c r="AL189" s="78"/>
      <c r="AM189" s="78"/>
    </row>
    <row r="190" spans="3:39" s="75" customFormat="1" ht="12.75" x14ac:dyDescent="0.35">
      <c r="C190" s="78"/>
      <c r="D190" s="76"/>
      <c r="E190" s="76"/>
      <c r="F190" s="76"/>
      <c r="G190" s="80"/>
      <c r="H190" s="76"/>
      <c r="I190" s="76"/>
      <c r="J190" s="76"/>
      <c r="K190" s="76"/>
      <c r="L190" s="76"/>
      <c r="M190" s="76"/>
      <c r="N190" s="76"/>
      <c r="O190" s="76"/>
      <c r="P190" s="76"/>
      <c r="Q190" s="76"/>
      <c r="R190" s="76"/>
      <c r="S190" s="76"/>
      <c r="T190" s="76"/>
      <c r="U190" s="76"/>
      <c r="V190" s="76"/>
      <c r="X190" s="78"/>
      <c r="Y190" s="78"/>
      <c r="Z190" s="78"/>
      <c r="AA190" s="78"/>
      <c r="AB190" s="78"/>
      <c r="AC190" s="78"/>
      <c r="AD190" s="78"/>
      <c r="AE190" s="78"/>
      <c r="AF190" s="78"/>
      <c r="AG190" s="78"/>
      <c r="AH190" s="78"/>
      <c r="AI190" s="78"/>
      <c r="AJ190" s="78"/>
      <c r="AK190" s="78"/>
      <c r="AL190" s="78"/>
      <c r="AM190" s="78"/>
    </row>
    <row r="191" spans="3:39" s="75" customFormat="1" ht="12.75" x14ac:dyDescent="0.35">
      <c r="C191" s="78"/>
      <c r="D191" s="76"/>
      <c r="E191" s="76"/>
      <c r="F191" s="76"/>
      <c r="G191" s="80"/>
      <c r="H191" s="76"/>
      <c r="I191" s="76"/>
      <c r="J191" s="76"/>
      <c r="K191" s="76"/>
      <c r="L191" s="76"/>
      <c r="M191" s="76"/>
      <c r="N191" s="76"/>
      <c r="O191" s="76"/>
      <c r="P191" s="76"/>
      <c r="Q191" s="76"/>
      <c r="R191" s="76"/>
      <c r="S191" s="76"/>
      <c r="T191" s="76"/>
      <c r="U191" s="76"/>
      <c r="V191" s="76"/>
      <c r="X191" s="78"/>
      <c r="Y191" s="78"/>
      <c r="Z191" s="78"/>
      <c r="AA191" s="78"/>
      <c r="AB191" s="78"/>
      <c r="AC191" s="78"/>
      <c r="AD191" s="78"/>
      <c r="AE191" s="78"/>
      <c r="AF191" s="78"/>
      <c r="AG191" s="78"/>
      <c r="AH191" s="78"/>
      <c r="AI191" s="78"/>
      <c r="AJ191" s="78"/>
      <c r="AK191" s="78"/>
      <c r="AL191" s="78"/>
      <c r="AM191" s="78"/>
    </row>
    <row r="192" spans="3:39" s="75" customFormat="1" ht="12.75" x14ac:dyDescent="0.35">
      <c r="C192" s="78"/>
      <c r="D192" s="76"/>
      <c r="E192" s="76"/>
      <c r="F192" s="76"/>
      <c r="G192" s="80"/>
      <c r="H192" s="76"/>
      <c r="I192" s="76"/>
      <c r="J192" s="76"/>
      <c r="K192" s="76"/>
      <c r="L192" s="76"/>
      <c r="M192" s="76"/>
      <c r="N192" s="76"/>
      <c r="O192" s="76"/>
      <c r="P192" s="76"/>
      <c r="Q192" s="76"/>
      <c r="R192" s="76"/>
      <c r="S192" s="76"/>
      <c r="T192" s="76"/>
      <c r="U192" s="76"/>
      <c r="V192" s="76"/>
      <c r="X192" s="78"/>
      <c r="Y192" s="78"/>
      <c r="Z192" s="78"/>
      <c r="AA192" s="78"/>
      <c r="AB192" s="78"/>
      <c r="AC192" s="78"/>
      <c r="AD192" s="78"/>
      <c r="AE192" s="78"/>
      <c r="AF192" s="78"/>
      <c r="AG192" s="78"/>
      <c r="AH192" s="78"/>
      <c r="AI192" s="78"/>
      <c r="AJ192" s="78"/>
      <c r="AK192" s="78"/>
      <c r="AL192" s="78"/>
      <c r="AM192" s="78"/>
    </row>
    <row r="193" spans="3:39" s="75" customFormat="1" ht="12.75" x14ac:dyDescent="0.35">
      <c r="C193" s="78"/>
      <c r="D193" s="76"/>
      <c r="E193" s="76"/>
      <c r="F193" s="76"/>
      <c r="G193" s="80"/>
      <c r="H193" s="76"/>
      <c r="I193" s="76"/>
      <c r="J193" s="76"/>
      <c r="K193" s="76"/>
      <c r="L193" s="76"/>
      <c r="M193" s="76"/>
      <c r="N193" s="76"/>
      <c r="O193" s="76"/>
      <c r="P193" s="76"/>
      <c r="Q193" s="76"/>
      <c r="R193" s="76"/>
      <c r="S193" s="76"/>
      <c r="T193" s="76"/>
      <c r="U193" s="76"/>
      <c r="V193" s="76"/>
      <c r="X193" s="78"/>
      <c r="Y193" s="78"/>
      <c r="Z193" s="78"/>
      <c r="AA193" s="78"/>
      <c r="AB193" s="78"/>
      <c r="AC193" s="78"/>
      <c r="AD193" s="78"/>
      <c r="AE193" s="78"/>
      <c r="AF193" s="78"/>
      <c r="AG193" s="78"/>
      <c r="AH193" s="78"/>
      <c r="AI193" s="78"/>
      <c r="AJ193" s="78"/>
      <c r="AK193" s="78"/>
      <c r="AL193" s="78"/>
      <c r="AM193" s="78"/>
    </row>
    <row r="194" spans="3:39" s="75" customFormat="1" ht="12.75" x14ac:dyDescent="0.35">
      <c r="C194" s="78"/>
      <c r="D194" s="76"/>
      <c r="E194" s="76"/>
      <c r="F194" s="76"/>
      <c r="G194" s="80"/>
      <c r="H194" s="76"/>
      <c r="I194" s="76"/>
      <c r="J194" s="76"/>
      <c r="K194" s="76"/>
      <c r="L194" s="76"/>
      <c r="M194" s="76"/>
      <c r="N194" s="76"/>
      <c r="O194" s="76"/>
      <c r="P194" s="76"/>
      <c r="Q194" s="76"/>
      <c r="R194" s="76"/>
      <c r="S194" s="76"/>
      <c r="T194" s="76"/>
      <c r="U194" s="76"/>
      <c r="V194" s="76"/>
      <c r="X194" s="78"/>
      <c r="Y194" s="78"/>
      <c r="Z194" s="78"/>
      <c r="AA194" s="78"/>
      <c r="AB194" s="78"/>
      <c r="AC194" s="78"/>
      <c r="AD194" s="78"/>
      <c r="AE194" s="78"/>
      <c r="AF194" s="78"/>
      <c r="AG194" s="78"/>
      <c r="AH194" s="78"/>
      <c r="AI194" s="78"/>
      <c r="AJ194" s="78"/>
      <c r="AK194" s="78"/>
      <c r="AL194" s="78"/>
      <c r="AM194" s="78"/>
    </row>
    <row r="195" spans="3:39" s="75" customFormat="1" ht="12.75" x14ac:dyDescent="0.35">
      <c r="C195" s="78"/>
      <c r="D195" s="76"/>
      <c r="E195" s="76"/>
      <c r="F195" s="76"/>
      <c r="G195" s="80"/>
      <c r="H195" s="76"/>
      <c r="I195" s="76"/>
      <c r="J195" s="76"/>
      <c r="K195" s="76"/>
      <c r="L195" s="76"/>
      <c r="M195" s="76"/>
      <c r="N195" s="76"/>
      <c r="O195" s="76"/>
      <c r="P195" s="76"/>
      <c r="Q195" s="76"/>
      <c r="R195" s="76"/>
      <c r="S195" s="76"/>
      <c r="T195" s="76"/>
      <c r="U195" s="76"/>
      <c r="V195" s="76"/>
      <c r="X195" s="78"/>
      <c r="Y195" s="78"/>
      <c r="Z195" s="78"/>
      <c r="AA195" s="78"/>
      <c r="AB195" s="78"/>
      <c r="AC195" s="78"/>
      <c r="AD195" s="78"/>
      <c r="AE195" s="78"/>
      <c r="AF195" s="78"/>
      <c r="AG195" s="78"/>
      <c r="AH195" s="78"/>
      <c r="AI195" s="78"/>
      <c r="AJ195" s="78"/>
      <c r="AK195" s="78"/>
      <c r="AL195" s="78"/>
      <c r="AM195" s="78"/>
    </row>
    <row r="196" spans="3:39" s="75" customFormat="1" ht="12.75" x14ac:dyDescent="0.35">
      <c r="C196" s="78"/>
      <c r="D196" s="76"/>
      <c r="E196" s="76"/>
      <c r="F196" s="76"/>
      <c r="G196" s="80"/>
      <c r="H196" s="76"/>
      <c r="I196" s="76"/>
      <c r="J196" s="76"/>
      <c r="K196" s="76"/>
      <c r="L196" s="76"/>
      <c r="M196" s="76"/>
      <c r="N196" s="76"/>
      <c r="O196" s="76"/>
      <c r="P196" s="76"/>
      <c r="Q196" s="76"/>
      <c r="R196" s="76"/>
      <c r="S196" s="76"/>
      <c r="T196" s="76"/>
      <c r="U196" s="76"/>
      <c r="V196" s="76"/>
      <c r="X196" s="78"/>
      <c r="Y196" s="78"/>
      <c r="Z196" s="78"/>
      <c r="AA196" s="78"/>
      <c r="AB196" s="78"/>
      <c r="AC196" s="78"/>
      <c r="AD196" s="78"/>
      <c r="AE196" s="78"/>
      <c r="AF196" s="78"/>
      <c r="AG196" s="78"/>
      <c r="AH196" s="78"/>
      <c r="AI196" s="78"/>
      <c r="AJ196" s="78"/>
      <c r="AK196" s="78"/>
      <c r="AL196" s="78"/>
      <c r="AM196" s="78"/>
    </row>
    <row r="197" spans="3:39" s="75" customFormat="1" ht="12.75" x14ac:dyDescent="0.35">
      <c r="C197" s="78"/>
      <c r="D197" s="76"/>
      <c r="E197" s="76"/>
      <c r="F197" s="76"/>
      <c r="G197" s="80"/>
      <c r="H197" s="76"/>
      <c r="I197" s="76"/>
      <c r="J197" s="76"/>
      <c r="K197" s="76"/>
      <c r="L197" s="76"/>
      <c r="M197" s="76"/>
      <c r="N197" s="76"/>
      <c r="O197" s="76"/>
      <c r="P197" s="76"/>
      <c r="Q197" s="76"/>
      <c r="R197" s="76"/>
      <c r="S197" s="76"/>
      <c r="T197" s="76"/>
      <c r="U197" s="76"/>
      <c r="V197" s="76"/>
      <c r="X197" s="78"/>
      <c r="Y197" s="78"/>
      <c r="Z197" s="78"/>
      <c r="AA197" s="78"/>
      <c r="AB197" s="78"/>
      <c r="AC197" s="78"/>
      <c r="AD197" s="78"/>
      <c r="AE197" s="78"/>
      <c r="AF197" s="78"/>
      <c r="AG197" s="78"/>
      <c r="AH197" s="78"/>
      <c r="AI197" s="78"/>
      <c r="AJ197" s="78"/>
      <c r="AK197" s="78"/>
      <c r="AL197" s="78"/>
      <c r="AM197" s="78"/>
    </row>
    <row r="198" spans="3:39" s="75" customFormat="1" ht="12.75" x14ac:dyDescent="0.35">
      <c r="C198" s="78"/>
      <c r="D198" s="76"/>
      <c r="E198" s="76"/>
      <c r="F198" s="76"/>
      <c r="G198" s="80"/>
      <c r="H198" s="76"/>
      <c r="I198" s="76"/>
      <c r="J198" s="76"/>
      <c r="K198" s="76"/>
      <c r="L198" s="76"/>
      <c r="M198" s="76"/>
      <c r="N198" s="76"/>
      <c r="O198" s="76"/>
      <c r="P198" s="76"/>
      <c r="Q198" s="76"/>
      <c r="R198" s="76"/>
      <c r="S198" s="76"/>
      <c r="T198" s="76"/>
      <c r="U198" s="76"/>
      <c r="V198" s="76"/>
      <c r="X198" s="78"/>
      <c r="Y198" s="78"/>
      <c r="Z198" s="78"/>
      <c r="AA198" s="78"/>
      <c r="AB198" s="78"/>
      <c r="AC198" s="78"/>
      <c r="AD198" s="78"/>
      <c r="AE198" s="78"/>
      <c r="AF198" s="78"/>
      <c r="AG198" s="78"/>
      <c r="AH198" s="78"/>
      <c r="AI198" s="78"/>
      <c r="AJ198" s="78"/>
      <c r="AK198" s="78"/>
      <c r="AL198" s="78"/>
      <c r="AM198" s="78"/>
    </row>
    <row r="199" spans="3:39" s="75" customFormat="1" ht="12.75" x14ac:dyDescent="0.35">
      <c r="C199" s="78"/>
      <c r="D199" s="76"/>
      <c r="E199" s="76"/>
      <c r="F199" s="76"/>
      <c r="G199" s="80"/>
      <c r="H199" s="76"/>
      <c r="I199" s="76"/>
      <c r="J199" s="76"/>
      <c r="K199" s="76"/>
      <c r="L199" s="76"/>
      <c r="M199" s="76"/>
      <c r="N199" s="76"/>
      <c r="O199" s="76"/>
      <c r="P199" s="76"/>
      <c r="Q199" s="76"/>
      <c r="R199" s="76"/>
      <c r="S199" s="76"/>
      <c r="T199" s="76"/>
      <c r="U199" s="76"/>
      <c r="V199" s="76"/>
      <c r="X199" s="78"/>
      <c r="Y199" s="78"/>
      <c r="Z199" s="78"/>
      <c r="AA199" s="78"/>
      <c r="AB199" s="78"/>
      <c r="AC199" s="78"/>
      <c r="AD199" s="78"/>
      <c r="AE199" s="78"/>
      <c r="AF199" s="78"/>
      <c r="AG199" s="78"/>
      <c r="AH199" s="78"/>
      <c r="AI199" s="78"/>
      <c r="AJ199" s="78"/>
      <c r="AK199" s="78"/>
      <c r="AL199" s="78"/>
      <c r="AM199" s="78"/>
    </row>
    <row r="200" spans="3:39" s="75" customFormat="1" ht="12.75" x14ac:dyDescent="0.35">
      <c r="C200" s="78"/>
      <c r="D200" s="76"/>
      <c r="E200" s="76"/>
      <c r="F200" s="76"/>
      <c r="G200" s="80"/>
      <c r="H200" s="76"/>
      <c r="I200" s="76"/>
      <c r="J200" s="76"/>
      <c r="K200" s="76"/>
      <c r="L200" s="76"/>
      <c r="M200" s="76"/>
      <c r="N200" s="76"/>
      <c r="O200" s="76"/>
      <c r="P200" s="76"/>
      <c r="Q200" s="76"/>
      <c r="R200" s="76"/>
      <c r="S200" s="76"/>
      <c r="T200" s="76"/>
      <c r="U200" s="76"/>
      <c r="V200" s="76"/>
      <c r="X200" s="78"/>
      <c r="Y200" s="78"/>
      <c r="Z200" s="78"/>
      <c r="AA200" s="78"/>
      <c r="AB200" s="78"/>
      <c r="AC200" s="78"/>
      <c r="AD200" s="78"/>
      <c r="AE200" s="78"/>
      <c r="AF200" s="78"/>
      <c r="AG200" s="78"/>
      <c r="AH200" s="78"/>
      <c r="AI200" s="78"/>
      <c r="AJ200" s="78"/>
      <c r="AK200" s="78"/>
      <c r="AL200" s="78"/>
      <c r="AM200" s="78"/>
    </row>
    <row r="201" spans="3:39" s="75" customFormat="1" ht="12.75" x14ac:dyDescent="0.35">
      <c r="C201" s="78"/>
      <c r="D201" s="76"/>
      <c r="E201" s="76"/>
      <c r="F201" s="76"/>
      <c r="G201" s="80"/>
      <c r="H201" s="76"/>
      <c r="I201" s="76"/>
      <c r="J201" s="76"/>
      <c r="K201" s="76"/>
      <c r="L201" s="76"/>
      <c r="M201" s="76"/>
      <c r="N201" s="76"/>
      <c r="O201" s="76"/>
      <c r="P201" s="76"/>
      <c r="Q201" s="76"/>
      <c r="R201" s="76"/>
      <c r="S201" s="76"/>
      <c r="T201" s="76"/>
      <c r="U201" s="76"/>
      <c r="V201" s="76"/>
      <c r="X201" s="78"/>
      <c r="Y201" s="78"/>
      <c r="Z201" s="78"/>
      <c r="AA201" s="78"/>
      <c r="AB201" s="78"/>
      <c r="AC201" s="78"/>
      <c r="AD201" s="78"/>
      <c r="AE201" s="78"/>
      <c r="AF201" s="78"/>
      <c r="AG201" s="78"/>
      <c r="AH201" s="78"/>
      <c r="AI201" s="78"/>
      <c r="AJ201" s="78"/>
      <c r="AK201" s="78"/>
      <c r="AL201" s="78"/>
      <c r="AM201" s="78"/>
    </row>
    <row r="202" spans="3:39" s="75" customFormat="1" ht="12.75" x14ac:dyDescent="0.35">
      <c r="C202" s="78"/>
      <c r="D202" s="76"/>
      <c r="E202" s="76"/>
      <c r="F202" s="76"/>
      <c r="G202" s="80"/>
      <c r="H202" s="76"/>
      <c r="I202" s="76"/>
      <c r="J202" s="76"/>
      <c r="K202" s="76"/>
      <c r="L202" s="76"/>
      <c r="M202" s="76"/>
      <c r="N202" s="76"/>
      <c r="O202" s="76"/>
      <c r="P202" s="76"/>
      <c r="Q202" s="76"/>
      <c r="R202" s="76"/>
      <c r="S202" s="76"/>
      <c r="T202" s="76"/>
      <c r="U202" s="76"/>
      <c r="V202" s="76"/>
      <c r="X202" s="78"/>
      <c r="Y202" s="78"/>
      <c r="Z202" s="78"/>
      <c r="AA202" s="78"/>
      <c r="AB202" s="78"/>
      <c r="AC202" s="78"/>
      <c r="AD202" s="78"/>
      <c r="AE202" s="78"/>
      <c r="AF202" s="78"/>
      <c r="AG202" s="78"/>
      <c r="AH202" s="78"/>
      <c r="AI202" s="78"/>
      <c r="AJ202" s="78"/>
      <c r="AK202" s="78"/>
      <c r="AL202" s="78"/>
      <c r="AM202" s="78"/>
    </row>
    <row r="203" spans="3:39" s="75" customFormat="1" ht="12.75" x14ac:dyDescent="0.35">
      <c r="C203" s="78"/>
      <c r="D203" s="76"/>
      <c r="E203" s="76"/>
      <c r="F203" s="76"/>
      <c r="G203" s="80"/>
      <c r="H203" s="76"/>
      <c r="I203" s="76"/>
      <c r="J203" s="76"/>
      <c r="K203" s="76"/>
      <c r="L203" s="76"/>
      <c r="M203" s="76"/>
      <c r="N203" s="76"/>
      <c r="O203" s="76"/>
      <c r="P203" s="76"/>
      <c r="Q203" s="76"/>
      <c r="R203" s="76"/>
      <c r="S203" s="76"/>
      <c r="T203" s="76"/>
      <c r="U203" s="76"/>
      <c r="V203" s="76"/>
      <c r="X203" s="78"/>
      <c r="Y203" s="78"/>
      <c r="Z203" s="78"/>
      <c r="AA203" s="78"/>
      <c r="AB203" s="78"/>
      <c r="AC203" s="78"/>
      <c r="AD203" s="78"/>
      <c r="AE203" s="78"/>
      <c r="AF203" s="78"/>
      <c r="AG203" s="78"/>
      <c r="AH203" s="78"/>
      <c r="AI203" s="78"/>
      <c r="AJ203" s="78"/>
      <c r="AK203" s="78"/>
      <c r="AL203" s="78"/>
      <c r="AM203" s="78"/>
    </row>
    <row r="204" spans="3:39" s="75" customFormat="1" ht="12.75" x14ac:dyDescent="0.35">
      <c r="C204" s="78"/>
      <c r="D204" s="76"/>
      <c r="E204" s="76"/>
      <c r="F204" s="76"/>
      <c r="G204" s="80"/>
      <c r="H204" s="76"/>
      <c r="I204" s="76"/>
      <c r="J204" s="76"/>
      <c r="K204" s="76"/>
      <c r="L204" s="76"/>
      <c r="M204" s="76"/>
      <c r="N204" s="76"/>
      <c r="O204" s="76"/>
      <c r="P204" s="76"/>
      <c r="Q204" s="76"/>
      <c r="R204" s="76"/>
      <c r="S204" s="76"/>
      <c r="T204" s="76"/>
      <c r="U204" s="76"/>
      <c r="V204" s="76"/>
      <c r="X204" s="78"/>
      <c r="Y204" s="78"/>
      <c r="Z204" s="78"/>
      <c r="AA204" s="78"/>
      <c r="AB204" s="78"/>
      <c r="AC204" s="78"/>
      <c r="AD204" s="78"/>
      <c r="AE204" s="78"/>
      <c r="AF204" s="78"/>
      <c r="AG204" s="78"/>
      <c r="AH204" s="78"/>
      <c r="AI204" s="78"/>
      <c r="AJ204" s="78"/>
      <c r="AK204" s="78"/>
      <c r="AL204" s="78"/>
      <c r="AM204" s="78"/>
    </row>
    <row r="205" spans="3:39" s="75" customFormat="1" ht="12.75" x14ac:dyDescent="0.35">
      <c r="C205" s="78"/>
      <c r="D205" s="76"/>
      <c r="E205" s="76"/>
      <c r="F205" s="76"/>
      <c r="G205" s="80"/>
      <c r="H205" s="76"/>
      <c r="I205" s="76"/>
      <c r="J205" s="76"/>
      <c r="K205" s="76"/>
      <c r="L205" s="76"/>
      <c r="M205" s="76"/>
      <c r="N205" s="76"/>
      <c r="O205" s="76"/>
      <c r="P205" s="76"/>
      <c r="Q205" s="76"/>
      <c r="R205" s="76"/>
      <c r="S205" s="76"/>
      <c r="T205" s="76"/>
      <c r="U205" s="76"/>
      <c r="V205" s="76"/>
      <c r="X205" s="78"/>
      <c r="Y205" s="78"/>
      <c r="Z205" s="78"/>
      <c r="AA205" s="78"/>
      <c r="AB205" s="78"/>
      <c r="AC205" s="78"/>
      <c r="AD205" s="78"/>
      <c r="AE205" s="78"/>
      <c r="AF205" s="78"/>
      <c r="AG205" s="78"/>
      <c r="AH205" s="78"/>
      <c r="AI205" s="78"/>
      <c r="AJ205" s="78"/>
      <c r="AK205" s="78"/>
      <c r="AL205" s="78"/>
      <c r="AM205" s="78"/>
    </row>
    <row r="206" spans="3:39" s="75" customFormat="1" ht="12.75" x14ac:dyDescent="0.35">
      <c r="C206" s="78"/>
      <c r="D206" s="76"/>
      <c r="E206" s="76"/>
      <c r="F206" s="76"/>
      <c r="G206" s="80"/>
      <c r="H206" s="76"/>
      <c r="I206" s="76"/>
      <c r="J206" s="76"/>
      <c r="K206" s="76"/>
      <c r="L206" s="76"/>
      <c r="M206" s="76"/>
      <c r="N206" s="76"/>
      <c r="O206" s="76"/>
      <c r="P206" s="76"/>
      <c r="Q206" s="76"/>
      <c r="R206" s="76"/>
      <c r="S206" s="76"/>
      <c r="T206" s="76"/>
      <c r="U206" s="76"/>
      <c r="V206" s="76"/>
      <c r="X206" s="78"/>
      <c r="Y206" s="78"/>
      <c r="Z206" s="78"/>
      <c r="AA206" s="78"/>
      <c r="AB206" s="78"/>
      <c r="AC206" s="78"/>
      <c r="AD206" s="78"/>
      <c r="AE206" s="78"/>
      <c r="AF206" s="78"/>
      <c r="AG206" s="78"/>
      <c r="AH206" s="78"/>
      <c r="AI206" s="78"/>
      <c r="AJ206" s="78"/>
      <c r="AK206" s="78"/>
      <c r="AL206" s="78"/>
      <c r="AM206" s="78"/>
    </row>
    <row r="207" spans="3:39" s="75" customFormat="1" ht="12.75" x14ac:dyDescent="0.35">
      <c r="C207" s="78"/>
      <c r="D207" s="76"/>
      <c r="E207" s="76"/>
      <c r="F207" s="76"/>
      <c r="G207" s="80"/>
      <c r="H207" s="76"/>
      <c r="I207" s="76"/>
      <c r="J207" s="76"/>
      <c r="K207" s="76"/>
      <c r="L207" s="76"/>
      <c r="M207" s="76"/>
      <c r="N207" s="76"/>
      <c r="O207" s="76"/>
      <c r="P207" s="76"/>
      <c r="Q207" s="76"/>
      <c r="R207" s="76"/>
      <c r="S207" s="76"/>
      <c r="T207" s="76"/>
      <c r="U207" s="76"/>
      <c r="V207" s="76"/>
      <c r="X207" s="78"/>
      <c r="Y207" s="78"/>
      <c r="Z207" s="78"/>
      <c r="AA207" s="78"/>
      <c r="AB207" s="78"/>
      <c r="AC207" s="78"/>
      <c r="AD207" s="78"/>
      <c r="AE207" s="78"/>
      <c r="AF207" s="78"/>
      <c r="AG207" s="78"/>
      <c r="AH207" s="78"/>
      <c r="AI207" s="78"/>
      <c r="AJ207" s="78"/>
      <c r="AK207" s="78"/>
      <c r="AL207" s="78"/>
      <c r="AM207" s="78"/>
    </row>
    <row r="208" spans="3:39" s="75" customFormat="1" ht="12.75" x14ac:dyDescent="0.35">
      <c r="C208" s="78"/>
      <c r="D208" s="76"/>
      <c r="E208" s="76"/>
      <c r="F208" s="76"/>
      <c r="G208" s="80"/>
      <c r="H208" s="76"/>
      <c r="I208" s="76"/>
      <c r="J208" s="76"/>
      <c r="K208" s="76"/>
      <c r="L208" s="76"/>
      <c r="M208" s="76"/>
      <c r="N208" s="76"/>
      <c r="O208" s="76"/>
      <c r="P208" s="76"/>
      <c r="Q208" s="76"/>
      <c r="R208" s="76"/>
      <c r="S208" s="76"/>
      <c r="T208" s="76"/>
      <c r="U208" s="76"/>
      <c r="V208" s="76"/>
      <c r="X208" s="78"/>
      <c r="Y208" s="78"/>
      <c r="Z208" s="78"/>
      <c r="AA208" s="78"/>
      <c r="AB208" s="78"/>
      <c r="AC208" s="78"/>
      <c r="AD208" s="78"/>
      <c r="AE208" s="78"/>
      <c r="AF208" s="78"/>
      <c r="AG208" s="78"/>
      <c r="AH208" s="78"/>
      <c r="AI208" s="78"/>
      <c r="AJ208" s="78"/>
      <c r="AK208" s="78"/>
      <c r="AL208" s="78"/>
      <c r="AM208" s="78"/>
    </row>
    <row r="209" spans="3:39" s="75" customFormat="1" ht="12.75" x14ac:dyDescent="0.35">
      <c r="C209" s="78"/>
      <c r="D209" s="76"/>
      <c r="E209" s="76"/>
      <c r="F209" s="76"/>
      <c r="G209" s="80"/>
      <c r="H209" s="76"/>
      <c r="I209" s="76"/>
      <c r="J209" s="76"/>
      <c r="K209" s="76"/>
      <c r="L209" s="76"/>
      <c r="M209" s="76"/>
      <c r="N209" s="76"/>
      <c r="O209" s="76"/>
      <c r="P209" s="76"/>
      <c r="Q209" s="76"/>
      <c r="R209" s="76"/>
      <c r="S209" s="76"/>
      <c r="T209" s="76"/>
      <c r="U209" s="76"/>
      <c r="V209" s="76"/>
      <c r="X209" s="78"/>
      <c r="Y209" s="78"/>
      <c r="Z209" s="78"/>
      <c r="AA209" s="78"/>
      <c r="AB209" s="78"/>
      <c r="AC209" s="78"/>
      <c r="AD209" s="78"/>
      <c r="AE209" s="78"/>
      <c r="AF209" s="78"/>
      <c r="AG209" s="78"/>
      <c r="AH209" s="78"/>
      <c r="AI209" s="78"/>
      <c r="AJ209" s="78"/>
      <c r="AK209" s="78"/>
      <c r="AL209" s="78"/>
      <c r="AM209" s="78"/>
    </row>
    <row r="210" spans="3:39" s="75" customFormat="1" ht="12.75" x14ac:dyDescent="0.35">
      <c r="C210" s="78"/>
      <c r="D210" s="76"/>
      <c r="E210" s="76"/>
      <c r="F210" s="76"/>
      <c r="G210" s="80"/>
      <c r="H210" s="76"/>
      <c r="I210" s="76"/>
      <c r="J210" s="76"/>
      <c r="K210" s="76"/>
      <c r="L210" s="76"/>
      <c r="M210" s="76"/>
      <c r="N210" s="76"/>
      <c r="O210" s="76"/>
      <c r="P210" s="76"/>
      <c r="Q210" s="76"/>
      <c r="R210" s="76"/>
      <c r="S210" s="76"/>
      <c r="T210" s="76"/>
      <c r="U210" s="76"/>
      <c r="V210" s="76"/>
      <c r="X210" s="78"/>
      <c r="Y210" s="78"/>
      <c r="Z210" s="78"/>
      <c r="AA210" s="78"/>
      <c r="AB210" s="78"/>
      <c r="AC210" s="78"/>
      <c r="AD210" s="78"/>
      <c r="AE210" s="78"/>
      <c r="AF210" s="78"/>
      <c r="AG210" s="78"/>
      <c r="AH210" s="78"/>
      <c r="AI210" s="78"/>
      <c r="AJ210" s="78"/>
      <c r="AK210" s="78"/>
      <c r="AL210" s="78"/>
      <c r="AM210" s="78"/>
    </row>
    <row r="211" spans="3:39" s="75" customFormat="1" ht="12.75" x14ac:dyDescent="0.35">
      <c r="C211" s="78"/>
      <c r="D211" s="76"/>
      <c r="E211" s="76"/>
      <c r="F211" s="76"/>
      <c r="G211" s="80"/>
      <c r="H211" s="76"/>
      <c r="I211" s="76"/>
      <c r="J211" s="76"/>
      <c r="K211" s="76"/>
      <c r="L211" s="76"/>
      <c r="M211" s="76"/>
      <c r="N211" s="76"/>
      <c r="O211" s="76"/>
      <c r="P211" s="76"/>
      <c r="Q211" s="76"/>
      <c r="R211" s="76"/>
      <c r="S211" s="76"/>
      <c r="T211" s="76"/>
      <c r="U211" s="76"/>
      <c r="V211" s="76"/>
      <c r="X211" s="78"/>
      <c r="Y211" s="78"/>
      <c r="Z211" s="78"/>
      <c r="AA211" s="78"/>
      <c r="AB211" s="78"/>
      <c r="AC211" s="78"/>
      <c r="AD211" s="78"/>
      <c r="AE211" s="78"/>
      <c r="AF211" s="78"/>
      <c r="AG211" s="78"/>
      <c r="AH211" s="78"/>
      <c r="AI211" s="78"/>
      <c r="AJ211" s="78"/>
      <c r="AK211" s="78"/>
      <c r="AL211" s="78"/>
      <c r="AM211" s="78"/>
    </row>
    <row r="212" spans="3:39" s="75" customFormat="1" ht="12.75" x14ac:dyDescent="0.35">
      <c r="C212" s="78"/>
      <c r="D212" s="76"/>
      <c r="E212" s="76"/>
      <c r="F212" s="76"/>
      <c r="G212" s="80"/>
      <c r="H212" s="76"/>
      <c r="I212" s="76"/>
      <c r="J212" s="76"/>
      <c r="K212" s="76"/>
      <c r="L212" s="76"/>
      <c r="M212" s="76"/>
      <c r="N212" s="76"/>
      <c r="O212" s="76"/>
      <c r="P212" s="76"/>
      <c r="Q212" s="76"/>
      <c r="R212" s="76"/>
      <c r="S212" s="76"/>
      <c r="T212" s="76"/>
      <c r="U212" s="76"/>
      <c r="V212" s="76"/>
      <c r="X212" s="78"/>
      <c r="Y212" s="78"/>
      <c r="Z212" s="78"/>
      <c r="AA212" s="78"/>
      <c r="AB212" s="78"/>
      <c r="AC212" s="78"/>
      <c r="AD212" s="78"/>
      <c r="AE212" s="78"/>
      <c r="AF212" s="78"/>
      <c r="AG212" s="78"/>
      <c r="AH212" s="78"/>
      <c r="AI212" s="78"/>
      <c r="AJ212" s="78"/>
      <c r="AK212" s="78"/>
      <c r="AL212" s="78"/>
      <c r="AM212" s="78"/>
    </row>
    <row r="213" spans="3:39" s="75" customFormat="1" ht="12.75" x14ac:dyDescent="0.35">
      <c r="C213" s="78"/>
      <c r="D213" s="76"/>
      <c r="E213" s="76"/>
      <c r="F213" s="76"/>
      <c r="G213" s="80"/>
      <c r="H213" s="76"/>
      <c r="I213" s="76"/>
      <c r="J213" s="76"/>
      <c r="K213" s="76"/>
      <c r="L213" s="76"/>
      <c r="M213" s="76"/>
      <c r="N213" s="76"/>
      <c r="O213" s="76"/>
      <c r="P213" s="76"/>
      <c r="Q213" s="76"/>
      <c r="R213" s="76"/>
      <c r="S213" s="76"/>
      <c r="T213" s="76"/>
      <c r="U213" s="76"/>
      <c r="V213" s="76"/>
      <c r="X213" s="78"/>
      <c r="Y213" s="78"/>
      <c r="Z213" s="78"/>
      <c r="AA213" s="78"/>
      <c r="AB213" s="78"/>
      <c r="AC213" s="78"/>
      <c r="AD213" s="78"/>
      <c r="AE213" s="78"/>
      <c r="AF213" s="78"/>
      <c r="AG213" s="78"/>
      <c r="AH213" s="78"/>
      <c r="AI213" s="78"/>
      <c r="AJ213" s="78"/>
      <c r="AK213" s="78"/>
      <c r="AL213" s="78"/>
      <c r="AM213" s="78"/>
    </row>
    <row r="214" spans="3:39" s="75" customFormat="1" ht="12.75" x14ac:dyDescent="0.35">
      <c r="C214" s="78"/>
      <c r="D214" s="76"/>
      <c r="E214" s="76"/>
      <c r="F214" s="76"/>
      <c r="G214" s="80"/>
      <c r="H214" s="76"/>
      <c r="I214" s="76"/>
      <c r="J214" s="76"/>
      <c r="K214" s="76"/>
      <c r="L214" s="76"/>
      <c r="M214" s="76"/>
      <c r="N214" s="76"/>
      <c r="O214" s="76"/>
      <c r="P214" s="76"/>
      <c r="Q214" s="76"/>
      <c r="R214" s="76"/>
      <c r="S214" s="76"/>
      <c r="T214" s="76"/>
      <c r="U214" s="76"/>
      <c r="V214" s="76"/>
      <c r="X214" s="78"/>
      <c r="Y214" s="78"/>
      <c r="Z214" s="78"/>
      <c r="AA214" s="78"/>
      <c r="AB214" s="78"/>
      <c r="AC214" s="78"/>
      <c r="AD214" s="78"/>
      <c r="AE214" s="78"/>
      <c r="AF214" s="78"/>
      <c r="AG214" s="78"/>
      <c r="AH214" s="78"/>
      <c r="AI214" s="78"/>
      <c r="AJ214" s="78"/>
      <c r="AK214" s="78"/>
      <c r="AL214" s="78"/>
      <c r="AM214" s="78"/>
    </row>
    <row r="215" spans="3:39" s="75" customFormat="1" ht="12.75" x14ac:dyDescent="0.35">
      <c r="C215" s="78"/>
      <c r="D215" s="76"/>
      <c r="E215" s="76"/>
      <c r="F215" s="76"/>
      <c r="G215" s="80"/>
      <c r="H215" s="76"/>
      <c r="I215" s="76"/>
      <c r="J215" s="76"/>
      <c r="K215" s="76"/>
      <c r="L215" s="76"/>
      <c r="M215" s="76"/>
      <c r="N215" s="76"/>
      <c r="O215" s="76"/>
      <c r="P215" s="76"/>
      <c r="Q215" s="76"/>
      <c r="R215" s="76"/>
      <c r="S215" s="76"/>
      <c r="T215" s="76"/>
      <c r="U215" s="76"/>
      <c r="V215" s="76"/>
      <c r="X215" s="78"/>
      <c r="Y215" s="78"/>
      <c r="Z215" s="78"/>
      <c r="AA215" s="78"/>
      <c r="AB215" s="78"/>
      <c r="AC215" s="78"/>
      <c r="AD215" s="78"/>
      <c r="AE215" s="78"/>
      <c r="AF215" s="78"/>
      <c r="AG215" s="78"/>
      <c r="AH215" s="78"/>
      <c r="AI215" s="78"/>
      <c r="AJ215" s="78"/>
      <c r="AK215" s="78"/>
      <c r="AL215" s="78"/>
      <c r="AM215" s="78"/>
    </row>
    <row r="216" spans="3:39" s="75" customFormat="1" ht="12.75" x14ac:dyDescent="0.35">
      <c r="C216" s="78"/>
      <c r="D216" s="76"/>
      <c r="E216" s="76"/>
      <c r="F216" s="76"/>
      <c r="G216" s="80"/>
      <c r="H216" s="76"/>
      <c r="I216" s="76"/>
      <c r="J216" s="76"/>
      <c r="K216" s="76"/>
      <c r="L216" s="76"/>
      <c r="M216" s="76"/>
      <c r="N216" s="76"/>
      <c r="O216" s="76"/>
      <c r="P216" s="76"/>
      <c r="Q216" s="76"/>
      <c r="R216" s="76"/>
      <c r="S216" s="76"/>
      <c r="T216" s="76"/>
      <c r="U216" s="76"/>
      <c r="V216" s="76"/>
      <c r="X216" s="78"/>
      <c r="Y216" s="78"/>
      <c r="Z216" s="78"/>
      <c r="AA216" s="78"/>
      <c r="AB216" s="78"/>
      <c r="AC216" s="78"/>
      <c r="AD216" s="78"/>
      <c r="AE216" s="78"/>
      <c r="AF216" s="78"/>
      <c r="AG216" s="78"/>
      <c r="AH216" s="78"/>
      <c r="AI216" s="78"/>
      <c r="AJ216" s="78"/>
      <c r="AK216" s="78"/>
      <c r="AL216" s="78"/>
      <c r="AM216" s="78"/>
    </row>
    <row r="217" spans="3:39" s="75" customFormat="1" ht="12.75" x14ac:dyDescent="0.35">
      <c r="C217" s="78"/>
      <c r="D217" s="76"/>
      <c r="E217" s="76"/>
      <c r="F217" s="76"/>
      <c r="G217" s="80"/>
      <c r="H217" s="76"/>
      <c r="I217" s="76"/>
      <c r="J217" s="76"/>
      <c r="K217" s="76"/>
      <c r="L217" s="76"/>
      <c r="M217" s="76"/>
      <c r="N217" s="76"/>
      <c r="O217" s="76"/>
      <c r="P217" s="76"/>
      <c r="Q217" s="76"/>
      <c r="R217" s="76"/>
      <c r="S217" s="76"/>
      <c r="T217" s="76"/>
      <c r="U217" s="76"/>
      <c r="V217" s="76"/>
      <c r="X217" s="78"/>
      <c r="Y217" s="78"/>
      <c r="Z217" s="78"/>
      <c r="AA217" s="78"/>
      <c r="AB217" s="78"/>
      <c r="AC217" s="78"/>
      <c r="AD217" s="78"/>
      <c r="AE217" s="78"/>
      <c r="AF217" s="78"/>
      <c r="AG217" s="78"/>
      <c r="AH217" s="78"/>
      <c r="AI217" s="78"/>
      <c r="AJ217" s="78"/>
      <c r="AK217" s="78"/>
      <c r="AL217" s="78"/>
      <c r="AM217" s="78"/>
    </row>
    <row r="218" spans="3:39" s="75" customFormat="1" ht="12.75" x14ac:dyDescent="0.35">
      <c r="C218" s="78"/>
      <c r="D218" s="76"/>
      <c r="E218" s="76"/>
      <c r="F218" s="76"/>
      <c r="G218" s="80"/>
      <c r="H218" s="76"/>
      <c r="I218" s="76"/>
      <c r="J218" s="76"/>
      <c r="K218" s="76"/>
      <c r="L218" s="76"/>
      <c r="M218" s="76"/>
      <c r="N218" s="76"/>
      <c r="O218" s="76"/>
      <c r="P218" s="76"/>
      <c r="Q218" s="76"/>
      <c r="R218" s="76"/>
      <c r="S218" s="76"/>
      <c r="T218" s="76"/>
      <c r="U218" s="76"/>
      <c r="V218" s="76"/>
      <c r="X218" s="78"/>
      <c r="Y218" s="78"/>
      <c r="Z218" s="78"/>
      <c r="AA218" s="78"/>
      <c r="AB218" s="78"/>
      <c r="AC218" s="78"/>
      <c r="AD218" s="78"/>
      <c r="AE218" s="78"/>
      <c r="AF218" s="78"/>
      <c r="AG218" s="78"/>
      <c r="AH218" s="78"/>
      <c r="AI218" s="78"/>
      <c r="AJ218" s="78"/>
      <c r="AK218" s="78"/>
      <c r="AL218" s="78"/>
      <c r="AM218" s="78"/>
    </row>
    <row r="219" spans="3:39" s="75" customFormat="1" ht="12.75" x14ac:dyDescent="0.35">
      <c r="C219" s="78"/>
      <c r="D219" s="76"/>
      <c r="E219" s="76"/>
      <c r="F219" s="76"/>
      <c r="G219" s="80"/>
      <c r="H219" s="76"/>
      <c r="I219" s="76"/>
      <c r="J219" s="76"/>
      <c r="K219" s="76"/>
      <c r="L219" s="76"/>
      <c r="M219" s="76"/>
      <c r="N219" s="76"/>
      <c r="O219" s="76"/>
      <c r="P219" s="76"/>
      <c r="Q219" s="76"/>
      <c r="R219" s="76"/>
      <c r="S219" s="76"/>
      <c r="T219" s="76"/>
      <c r="U219" s="76"/>
      <c r="V219" s="76"/>
      <c r="X219" s="78"/>
      <c r="Y219" s="78"/>
      <c r="Z219" s="78"/>
      <c r="AA219" s="78"/>
      <c r="AB219" s="78"/>
      <c r="AC219" s="78"/>
      <c r="AD219" s="78"/>
      <c r="AE219" s="78"/>
      <c r="AF219" s="78"/>
      <c r="AG219" s="78"/>
      <c r="AH219" s="78"/>
      <c r="AI219" s="78"/>
      <c r="AJ219" s="78"/>
      <c r="AK219" s="78"/>
      <c r="AL219" s="78"/>
      <c r="AM219" s="78"/>
    </row>
    <row r="220" spans="3:39" s="75" customFormat="1" ht="12.75" x14ac:dyDescent="0.35">
      <c r="C220" s="78"/>
      <c r="D220" s="76"/>
      <c r="E220" s="76"/>
      <c r="F220" s="76"/>
      <c r="G220" s="80"/>
      <c r="H220" s="76"/>
      <c r="I220" s="76"/>
      <c r="J220" s="76"/>
      <c r="K220" s="76"/>
      <c r="L220" s="76"/>
      <c r="M220" s="76"/>
      <c r="N220" s="76"/>
      <c r="O220" s="76"/>
      <c r="P220" s="76"/>
      <c r="Q220" s="76"/>
      <c r="R220" s="76"/>
      <c r="S220" s="76"/>
      <c r="T220" s="76"/>
      <c r="U220" s="76"/>
      <c r="V220" s="76"/>
      <c r="X220" s="78"/>
      <c r="Y220" s="78"/>
      <c r="Z220" s="78"/>
      <c r="AA220" s="78"/>
      <c r="AB220" s="78"/>
      <c r="AC220" s="78"/>
      <c r="AD220" s="78"/>
      <c r="AE220" s="78"/>
      <c r="AF220" s="78"/>
      <c r="AG220" s="78"/>
      <c r="AH220" s="78"/>
      <c r="AI220" s="78"/>
      <c r="AJ220" s="78"/>
      <c r="AK220" s="78"/>
      <c r="AL220" s="78"/>
      <c r="AM220" s="78"/>
    </row>
    <row r="221" spans="3:39" s="75" customFormat="1" ht="12.75" x14ac:dyDescent="0.35">
      <c r="C221" s="78"/>
      <c r="D221" s="76"/>
      <c r="E221" s="76"/>
      <c r="F221" s="76"/>
      <c r="G221" s="80"/>
      <c r="H221" s="76"/>
      <c r="I221" s="76"/>
      <c r="J221" s="76"/>
      <c r="K221" s="76"/>
      <c r="L221" s="76"/>
      <c r="M221" s="76"/>
      <c r="N221" s="76"/>
      <c r="O221" s="76"/>
      <c r="P221" s="76"/>
      <c r="Q221" s="76"/>
      <c r="R221" s="76"/>
      <c r="S221" s="76"/>
      <c r="T221" s="76"/>
      <c r="U221" s="76"/>
      <c r="V221" s="76"/>
      <c r="X221" s="78"/>
      <c r="Y221" s="78"/>
      <c r="Z221" s="78"/>
      <c r="AA221" s="78"/>
      <c r="AB221" s="78"/>
      <c r="AC221" s="78"/>
      <c r="AD221" s="78"/>
      <c r="AE221" s="78"/>
      <c r="AF221" s="78"/>
      <c r="AG221" s="78"/>
      <c r="AH221" s="78"/>
      <c r="AI221" s="78"/>
      <c r="AJ221" s="78"/>
      <c r="AK221" s="78"/>
      <c r="AL221" s="78"/>
      <c r="AM221" s="78"/>
    </row>
    <row r="222" spans="3:39" s="75" customFormat="1" ht="12.75" x14ac:dyDescent="0.35">
      <c r="C222" s="78"/>
      <c r="D222" s="76"/>
      <c r="E222" s="76"/>
      <c r="F222" s="76"/>
      <c r="G222" s="80"/>
      <c r="H222" s="76"/>
      <c r="I222" s="76"/>
      <c r="J222" s="76"/>
      <c r="K222" s="76"/>
      <c r="L222" s="76"/>
      <c r="M222" s="76"/>
      <c r="N222" s="76"/>
      <c r="O222" s="76"/>
      <c r="P222" s="76"/>
      <c r="Q222" s="76"/>
      <c r="R222" s="76"/>
      <c r="S222" s="76"/>
      <c r="T222" s="76"/>
      <c r="U222" s="76"/>
      <c r="V222" s="76"/>
      <c r="X222" s="78"/>
      <c r="Y222" s="78"/>
      <c r="Z222" s="78"/>
      <c r="AA222" s="78"/>
      <c r="AB222" s="78"/>
      <c r="AC222" s="78"/>
      <c r="AD222" s="78"/>
      <c r="AE222" s="78"/>
      <c r="AF222" s="78"/>
      <c r="AG222" s="78"/>
      <c r="AH222" s="78"/>
      <c r="AI222" s="78"/>
      <c r="AJ222" s="78"/>
      <c r="AK222" s="78"/>
      <c r="AL222" s="78"/>
      <c r="AM222" s="78"/>
    </row>
    <row r="223" spans="3:39" s="75" customFormat="1" ht="12.75" x14ac:dyDescent="0.35">
      <c r="C223" s="78"/>
      <c r="D223" s="76"/>
      <c r="E223" s="76"/>
      <c r="F223" s="76"/>
      <c r="G223" s="80"/>
      <c r="H223" s="76"/>
      <c r="I223" s="76"/>
      <c r="J223" s="76"/>
      <c r="K223" s="76"/>
      <c r="L223" s="76"/>
      <c r="M223" s="76"/>
      <c r="N223" s="76"/>
      <c r="O223" s="76"/>
      <c r="P223" s="76"/>
      <c r="Q223" s="76"/>
      <c r="R223" s="76"/>
      <c r="S223" s="76"/>
      <c r="T223" s="76"/>
      <c r="U223" s="76"/>
      <c r="V223" s="76"/>
      <c r="X223" s="78"/>
      <c r="Y223" s="78"/>
      <c r="Z223" s="78"/>
      <c r="AA223" s="78"/>
      <c r="AB223" s="78"/>
      <c r="AC223" s="78"/>
      <c r="AD223" s="78"/>
      <c r="AE223" s="78"/>
      <c r="AF223" s="78"/>
      <c r="AG223" s="78"/>
      <c r="AH223" s="78"/>
      <c r="AI223" s="78"/>
      <c r="AJ223" s="78"/>
      <c r="AK223" s="78"/>
      <c r="AL223" s="78"/>
      <c r="AM223" s="78"/>
    </row>
    <row r="224" spans="3:39" s="75" customFormat="1" ht="12.75" x14ac:dyDescent="0.35">
      <c r="C224" s="78"/>
      <c r="D224" s="76"/>
      <c r="E224" s="76"/>
      <c r="F224" s="76"/>
      <c r="G224" s="80"/>
      <c r="H224" s="76"/>
      <c r="I224" s="76"/>
      <c r="J224" s="76"/>
      <c r="K224" s="76"/>
      <c r="L224" s="76"/>
      <c r="M224" s="76"/>
      <c r="N224" s="76"/>
      <c r="O224" s="76"/>
      <c r="P224" s="76"/>
      <c r="Q224" s="76"/>
      <c r="R224" s="76"/>
      <c r="S224" s="76"/>
      <c r="T224" s="76"/>
      <c r="U224" s="76"/>
      <c r="V224" s="76"/>
      <c r="X224" s="78"/>
      <c r="Y224" s="78"/>
      <c r="Z224" s="78"/>
      <c r="AA224" s="78"/>
      <c r="AB224" s="78"/>
      <c r="AC224" s="78"/>
      <c r="AD224" s="78"/>
      <c r="AE224" s="78"/>
      <c r="AF224" s="78"/>
      <c r="AG224" s="78"/>
      <c r="AH224" s="78"/>
      <c r="AI224" s="78"/>
      <c r="AJ224" s="78"/>
      <c r="AK224" s="78"/>
      <c r="AL224" s="78"/>
      <c r="AM224" s="78"/>
    </row>
    <row r="225" spans="3:39" s="75" customFormat="1" ht="12.75" x14ac:dyDescent="0.35">
      <c r="C225" s="78"/>
      <c r="D225" s="76"/>
      <c r="E225" s="76"/>
      <c r="F225" s="76"/>
      <c r="G225" s="80"/>
      <c r="H225" s="76"/>
      <c r="I225" s="76"/>
      <c r="J225" s="76"/>
      <c r="K225" s="76"/>
      <c r="L225" s="76"/>
      <c r="M225" s="76"/>
      <c r="N225" s="76"/>
      <c r="O225" s="76"/>
      <c r="P225" s="76"/>
      <c r="Q225" s="76"/>
      <c r="R225" s="76"/>
      <c r="S225" s="76"/>
      <c r="T225" s="76"/>
      <c r="U225" s="76"/>
      <c r="V225" s="76"/>
      <c r="X225" s="78"/>
      <c r="Y225" s="78"/>
      <c r="Z225" s="78"/>
      <c r="AA225" s="78"/>
      <c r="AB225" s="78"/>
      <c r="AC225" s="78"/>
      <c r="AD225" s="78"/>
      <c r="AE225" s="78"/>
      <c r="AF225" s="78"/>
      <c r="AG225" s="78"/>
      <c r="AH225" s="78"/>
      <c r="AI225" s="78"/>
      <c r="AJ225" s="78"/>
      <c r="AK225" s="78"/>
      <c r="AL225" s="78"/>
      <c r="AM225" s="78"/>
    </row>
    <row r="226" spans="3:39" s="75" customFormat="1" ht="12.75" x14ac:dyDescent="0.35">
      <c r="C226" s="78"/>
      <c r="D226" s="76"/>
      <c r="E226" s="76"/>
      <c r="F226" s="76"/>
      <c r="G226" s="80"/>
      <c r="H226" s="76"/>
      <c r="I226" s="76"/>
      <c r="J226" s="76"/>
      <c r="K226" s="76"/>
      <c r="L226" s="76"/>
      <c r="M226" s="76"/>
      <c r="N226" s="76"/>
      <c r="O226" s="76"/>
      <c r="P226" s="76"/>
      <c r="Q226" s="76"/>
      <c r="R226" s="76"/>
      <c r="S226" s="76"/>
      <c r="T226" s="76"/>
      <c r="U226" s="76"/>
      <c r="V226" s="76"/>
      <c r="X226" s="78"/>
      <c r="Y226" s="78"/>
      <c r="Z226" s="78"/>
      <c r="AA226" s="78"/>
      <c r="AB226" s="78"/>
      <c r="AC226" s="78"/>
      <c r="AD226" s="78"/>
      <c r="AE226" s="78"/>
      <c r="AF226" s="78"/>
      <c r="AG226" s="78"/>
      <c r="AH226" s="78"/>
      <c r="AI226" s="78"/>
      <c r="AJ226" s="78"/>
      <c r="AK226" s="78"/>
      <c r="AL226" s="78"/>
      <c r="AM226" s="78"/>
    </row>
    <row r="227" spans="3:39" s="75" customFormat="1" ht="12.75" x14ac:dyDescent="0.35">
      <c r="C227" s="78"/>
      <c r="D227" s="76"/>
      <c r="E227" s="76"/>
      <c r="F227" s="76"/>
      <c r="G227" s="80"/>
      <c r="H227" s="76"/>
      <c r="I227" s="76"/>
      <c r="J227" s="76"/>
      <c r="K227" s="76"/>
      <c r="L227" s="76"/>
      <c r="M227" s="76"/>
      <c r="N227" s="76"/>
      <c r="O227" s="76"/>
      <c r="P227" s="76"/>
      <c r="Q227" s="76"/>
      <c r="R227" s="76"/>
      <c r="S227" s="76"/>
      <c r="T227" s="76"/>
      <c r="U227" s="76"/>
      <c r="V227" s="76"/>
      <c r="X227" s="78"/>
      <c r="Y227" s="78"/>
      <c r="Z227" s="78"/>
      <c r="AA227" s="78"/>
      <c r="AB227" s="78"/>
      <c r="AC227" s="78"/>
      <c r="AD227" s="78"/>
      <c r="AE227" s="78"/>
      <c r="AF227" s="78"/>
      <c r="AG227" s="78"/>
      <c r="AH227" s="78"/>
      <c r="AI227" s="78"/>
      <c r="AJ227" s="78"/>
      <c r="AK227" s="78"/>
      <c r="AL227" s="78"/>
      <c r="AM227" s="78"/>
    </row>
    <row r="228" spans="3:39" s="75" customFormat="1" ht="12.75" x14ac:dyDescent="0.35">
      <c r="C228" s="78"/>
      <c r="D228" s="76"/>
      <c r="E228" s="76"/>
      <c r="F228" s="76"/>
      <c r="G228" s="80"/>
      <c r="H228" s="76"/>
      <c r="I228" s="76"/>
      <c r="J228" s="76"/>
      <c r="K228" s="76"/>
      <c r="L228" s="76"/>
      <c r="M228" s="76"/>
      <c r="N228" s="76"/>
      <c r="O228" s="76"/>
      <c r="P228" s="76"/>
      <c r="Q228" s="76"/>
      <c r="R228" s="76"/>
      <c r="S228" s="76"/>
      <c r="T228" s="76"/>
      <c r="U228" s="76"/>
      <c r="V228" s="76"/>
      <c r="X228" s="78"/>
      <c r="Y228" s="78"/>
      <c r="Z228" s="78"/>
      <c r="AA228" s="78"/>
      <c r="AB228" s="78"/>
      <c r="AC228" s="78"/>
      <c r="AD228" s="78"/>
      <c r="AE228" s="78"/>
      <c r="AF228" s="78"/>
      <c r="AG228" s="78"/>
      <c r="AH228" s="78"/>
      <c r="AI228" s="78"/>
      <c r="AJ228" s="78"/>
      <c r="AK228" s="78"/>
      <c r="AL228" s="78"/>
      <c r="AM228" s="78"/>
    </row>
    <row r="229" spans="3:39" s="75" customFormat="1" ht="12.75" x14ac:dyDescent="0.35">
      <c r="C229" s="78"/>
      <c r="D229" s="76"/>
      <c r="E229" s="76"/>
      <c r="F229" s="76"/>
      <c r="G229" s="80"/>
      <c r="H229" s="76"/>
      <c r="I229" s="76"/>
      <c r="J229" s="76"/>
      <c r="K229" s="76"/>
      <c r="L229" s="76"/>
      <c r="M229" s="76"/>
      <c r="N229" s="76"/>
      <c r="O229" s="76"/>
      <c r="P229" s="76"/>
      <c r="Q229" s="76"/>
      <c r="R229" s="76"/>
      <c r="S229" s="76"/>
      <c r="T229" s="76"/>
      <c r="U229" s="76"/>
      <c r="V229" s="76"/>
      <c r="X229" s="78"/>
      <c r="Y229" s="78"/>
      <c r="Z229" s="78"/>
      <c r="AA229" s="78"/>
      <c r="AB229" s="78"/>
      <c r="AC229" s="78"/>
      <c r="AD229" s="78"/>
      <c r="AE229" s="78"/>
      <c r="AF229" s="78"/>
      <c r="AG229" s="78"/>
      <c r="AH229" s="78"/>
      <c r="AI229" s="78"/>
      <c r="AJ229" s="78"/>
      <c r="AK229" s="78"/>
      <c r="AL229" s="78"/>
      <c r="AM229" s="78"/>
    </row>
    <row r="230" spans="3:39" s="75" customFormat="1" ht="12.75" x14ac:dyDescent="0.35">
      <c r="C230" s="78"/>
      <c r="D230" s="76"/>
      <c r="E230" s="76"/>
      <c r="F230" s="76"/>
      <c r="G230" s="80"/>
      <c r="H230" s="76"/>
      <c r="I230" s="76"/>
      <c r="J230" s="76"/>
      <c r="K230" s="76"/>
      <c r="L230" s="76"/>
      <c r="M230" s="76"/>
      <c r="N230" s="76"/>
      <c r="O230" s="76"/>
      <c r="P230" s="76"/>
      <c r="Q230" s="76"/>
      <c r="R230" s="76"/>
      <c r="S230" s="76"/>
      <c r="T230" s="76"/>
      <c r="U230" s="76"/>
      <c r="V230" s="76"/>
      <c r="X230" s="78"/>
      <c r="Y230" s="78"/>
      <c r="Z230" s="78"/>
      <c r="AA230" s="78"/>
      <c r="AB230" s="78"/>
      <c r="AC230" s="78"/>
      <c r="AD230" s="78"/>
      <c r="AE230" s="78"/>
      <c r="AF230" s="78"/>
      <c r="AG230" s="78"/>
      <c r="AH230" s="78"/>
      <c r="AI230" s="78"/>
      <c r="AJ230" s="78"/>
      <c r="AK230" s="78"/>
      <c r="AL230" s="78"/>
      <c r="AM230" s="78"/>
    </row>
    <row r="231" spans="3:39" s="75" customFormat="1" ht="12.75" x14ac:dyDescent="0.35">
      <c r="C231" s="78"/>
      <c r="D231" s="76"/>
      <c r="E231" s="76"/>
      <c r="F231" s="76"/>
      <c r="G231" s="80"/>
      <c r="H231" s="76"/>
      <c r="I231" s="76"/>
      <c r="J231" s="76"/>
      <c r="K231" s="76"/>
      <c r="L231" s="76"/>
      <c r="M231" s="76"/>
      <c r="N231" s="76"/>
      <c r="O231" s="76"/>
      <c r="P231" s="76"/>
      <c r="Q231" s="76"/>
      <c r="R231" s="76"/>
      <c r="S231" s="76"/>
      <c r="T231" s="76"/>
      <c r="U231" s="76"/>
      <c r="V231" s="76"/>
      <c r="X231" s="78"/>
      <c r="Y231" s="78"/>
      <c r="Z231" s="78"/>
      <c r="AA231" s="78"/>
      <c r="AB231" s="78"/>
      <c r="AC231" s="78"/>
      <c r="AD231" s="78"/>
      <c r="AE231" s="78"/>
      <c r="AF231" s="78"/>
      <c r="AG231" s="78"/>
      <c r="AH231" s="78"/>
      <c r="AI231" s="78"/>
      <c r="AJ231" s="78"/>
      <c r="AK231" s="78"/>
      <c r="AL231" s="78"/>
      <c r="AM231" s="78"/>
    </row>
    <row r="232" spans="3:39" s="75" customFormat="1" ht="12.75" x14ac:dyDescent="0.35">
      <c r="C232" s="78"/>
      <c r="D232" s="76"/>
      <c r="E232" s="76"/>
      <c r="F232" s="76"/>
      <c r="G232" s="80"/>
      <c r="H232" s="76"/>
      <c r="I232" s="76"/>
      <c r="J232" s="76"/>
      <c r="K232" s="76"/>
      <c r="L232" s="76"/>
      <c r="M232" s="76"/>
      <c r="N232" s="76"/>
      <c r="O232" s="76"/>
      <c r="P232" s="76"/>
      <c r="Q232" s="76"/>
      <c r="R232" s="76"/>
      <c r="S232" s="76"/>
      <c r="T232" s="76"/>
      <c r="U232" s="76"/>
      <c r="V232" s="76"/>
      <c r="X232" s="78"/>
      <c r="Y232" s="78"/>
      <c r="Z232" s="78"/>
      <c r="AA232" s="78"/>
      <c r="AB232" s="78"/>
      <c r="AC232" s="78"/>
      <c r="AD232" s="78"/>
      <c r="AE232" s="78"/>
      <c r="AF232" s="78"/>
      <c r="AG232" s="78"/>
      <c r="AH232" s="78"/>
      <c r="AI232" s="78"/>
      <c r="AJ232" s="78"/>
      <c r="AK232" s="78"/>
      <c r="AL232" s="78"/>
      <c r="AM232" s="78"/>
    </row>
    <row r="233" spans="3:39" s="75" customFormat="1" ht="12.75" x14ac:dyDescent="0.35">
      <c r="C233" s="78"/>
      <c r="D233" s="76"/>
      <c r="E233" s="76"/>
      <c r="F233" s="76"/>
      <c r="G233" s="80"/>
      <c r="H233" s="76"/>
      <c r="I233" s="76"/>
      <c r="J233" s="76"/>
      <c r="K233" s="76"/>
      <c r="L233" s="76"/>
      <c r="M233" s="76"/>
      <c r="N233" s="76"/>
      <c r="O233" s="76"/>
      <c r="P233" s="76"/>
      <c r="Q233" s="76"/>
      <c r="R233" s="76"/>
      <c r="S233" s="76"/>
      <c r="T233" s="76"/>
      <c r="U233" s="76"/>
      <c r="V233" s="76"/>
      <c r="X233" s="78"/>
      <c r="Y233" s="78"/>
      <c r="Z233" s="78"/>
      <c r="AA233" s="78"/>
      <c r="AB233" s="78"/>
      <c r="AC233" s="78"/>
      <c r="AD233" s="78"/>
      <c r="AE233" s="78"/>
      <c r="AF233" s="78"/>
      <c r="AG233" s="78"/>
      <c r="AH233" s="78"/>
      <c r="AI233" s="78"/>
      <c r="AJ233" s="78"/>
      <c r="AK233" s="78"/>
      <c r="AL233" s="78"/>
      <c r="AM233" s="78"/>
    </row>
    <row r="234" spans="3:39" s="75" customFormat="1" ht="12.75" x14ac:dyDescent="0.35">
      <c r="C234" s="78"/>
      <c r="D234" s="76"/>
      <c r="E234" s="76"/>
      <c r="F234" s="76"/>
      <c r="G234" s="80"/>
      <c r="H234" s="76"/>
      <c r="I234" s="76"/>
      <c r="J234" s="76"/>
      <c r="K234" s="76"/>
      <c r="L234" s="76"/>
      <c r="M234" s="76"/>
      <c r="N234" s="76"/>
      <c r="O234" s="76"/>
      <c r="P234" s="76"/>
      <c r="Q234" s="76"/>
      <c r="R234" s="76"/>
      <c r="S234" s="76"/>
      <c r="T234" s="76"/>
      <c r="U234" s="76"/>
      <c r="V234" s="76"/>
      <c r="X234" s="78"/>
      <c r="Y234" s="78"/>
      <c r="Z234" s="78"/>
      <c r="AA234" s="78"/>
      <c r="AB234" s="78"/>
      <c r="AC234" s="78"/>
      <c r="AD234" s="78"/>
      <c r="AE234" s="78"/>
      <c r="AF234" s="78"/>
      <c r="AG234" s="78"/>
      <c r="AH234" s="78"/>
      <c r="AI234" s="78"/>
      <c r="AJ234" s="78"/>
      <c r="AK234" s="78"/>
      <c r="AL234" s="78"/>
      <c r="AM234" s="78"/>
    </row>
    <row r="235" spans="3:39" s="75" customFormat="1" ht="12.75" x14ac:dyDescent="0.35">
      <c r="C235" s="78"/>
      <c r="D235" s="76"/>
      <c r="E235" s="76"/>
      <c r="F235" s="76"/>
      <c r="G235" s="80"/>
      <c r="H235" s="76"/>
      <c r="I235" s="76"/>
      <c r="J235" s="76"/>
      <c r="K235" s="76"/>
      <c r="L235" s="76"/>
      <c r="M235" s="76"/>
      <c r="N235" s="76"/>
      <c r="O235" s="76"/>
      <c r="P235" s="76"/>
      <c r="Q235" s="76"/>
      <c r="R235" s="76"/>
      <c r="S235" s="76"/>
      <c r="T235" s="76"/>
      <c r="U235" s="76"/>
      <c r="V235" s="76"/>
      <c r="X235" s="78"/>
      <c r="Y235" s="78"/>
      <c r="Z235" s="78"/>
      <c r="AA235" s="78"/>
      <c r="AB235" s="78"/>
      <c r="AC235" s="78"/>
      <c r="AD235" s="78"/>
      <c r="AE235" s="78"/>
      <c r="AF235" s="78"/>
      <c r="AG235" s="78"/>
      <c r="AH235" s="78"/>
      <c r="AI235" s="78"/>
      <c r="AJ235" s="78"/>
      <c r="AK235" s="78"/>
      <c r="AL235" s="78"/>
      <c r="AM235" s="78"/>
    </row>
    <row r="236" spans="3:39" s="75" customFormat="1" ht="12.75" x14ac:dyDescent="0.35">
      <c r="C236" s="78"/>
      <c r="D236" s="76"/>
      <c r="E236" s="76"/>
      <c r="F236" s="76"/>
      <c r="G236" s="80"/>
      <c r="H236" s="76"/>
      <c r="I236" s="76"/>
      <c r="J236" s="76"/>
      <c r="K236" s="76"/>
      <c r="L236" s="76"/>
      <c r="M236" s="76"/>
      <c r="N236" s="76"/>
      <c r="O236" s="76"/>
      <c r="P236" s="76"/>
      <c r="Q236" s="76"/>
      <c r="R236" s="76"/>
      <c r="S236" s="76"/>
      <c r="T236" s="76"/>
      <c r="U236" s="76"/>
      <c r="V236" s="76"/>
      <c r="X236" s="78"/>
      <c r="Y236" s="78"/>
      <c r="Z236" s="78"/>
      <c r="AA236" s="78"/>
      <c r="AB236" s="78"/>
      <c r="AC236" s="78"/>
      <c r="AD236" s="78"/>
      <c r="AE236" s="78"/>
      <c r="AF236" s="78"/>
      <c r="AG236" s="78"/>
      <c r="AH236" s="78"/>
      <c r="AI236" s="78"/>
      <c r="AJ236" s="78"/>
      <c r="AK236" s="78"/>
      <c r="AL236" s="78"/>
      <c r="AM236" s="78"/>
    </row>
    <row r="237" spans="3:39" s="75" customFormat="1" ht="12.75" x14ac:dyDescent="0.35">
      <c r="C237" s="78"/>
      <c r="D237" s="76"/>
      <c r="E237" s="76"/>
      <c r="F237" s="76"/>
      <c r="G237" s="80"/>
      <c r="H237" s="76"/>
      <c r="I237" s="76"/>
      <c r="J237" s="76"/>
      <c r="K237" s="76"/>
      <c r="L237" s="76"/>
      <c r="M237" s="76"/>
      <c r="N237" s="76"/>
      <c r="O237" s="76"/>
      <c r="P237" s="76"/>
      <c r="Q237" s="76"/>
      <c r="R237" s="76"/>
      <c r="S237" s="76"/>
      <c r="T237" s="76"/>
      <c r="U237" s="76"/>
      <c r="V237" s="76"/>
      <c r="X237" s="78"/>
      <c r="Y237" s="78"/>
      <c r="Z237" s="78"/>
      <c r="AA237" s="78"/>
      <c r="AB237" s="78"/>
      <c r="AC237" s="78"/>
      <c r="AD237" s="78"/>
      <c r="AE237" s="78"/>
      <c r="AF237" s="78"/>
      <c r="AG237" s="78"/>
      <c r="AH237" s="78"/>
      <c r="AI237" s="78"/>
      <c r="AJ237" s="78"/>
      <c r="AK237" s="78"/>
      <c r="AL237" s="78"/>
      <c r="AM237" s="78"/>
    </row>
    <row r="238" spans="3:39" s="75" customFormat="1" ht="12.75" x14ac:dyDescent="0.35">
      <c r="C238" s="78"/>
      <c r="D238" s="76"/>
      <c r="E238" s="76"/>
      <c r="F238" s="76"/>
      <c r="G238" s="80"/>
      <c r="H238" s="76"/>
      <c r="I238" s="76"/>
      <c r="J238" s="76"/>
      <c r="K238" s="76"/>
      <c r="L238" s="76"/>
      <c r="M238" s="76"/>
      <c r="N238" s="76"/>
      <c r="O238" s="76"/>
      <c r="P238" s="76"/>
      <c r="Q238" s="76"/>
      <c r="R238" s="76"/>
      <c r="S238" s="76"/>
      <c r="T238" s="76"/>
      <c r="U238" s="76"/>
      <c r="V238" s="76"/>
      <c r="X238" s="78"/>
      <c r="Y238" s="78"/>
      <c r="Z238" s="78"/>
      <c r="AA238" s="78"/>
      <c r="AB238" s="78"/>
      <c r="AC238" s="78"/>
      <c r="AD238" s="78"/>
      <c r="AE238" s="78"/>
      <c r="AF238" s="78"/>
      <c r="AG238" s="78"/>
      <c r="AH238" s="78"/>
      <c r="AI238" s="78"/>
      <c r="AJ238" s="78"/>
      <c r="AK238" s="78"/>
      <c r="AL238" s="78"/>
      <c r="AM238" s="78"/>
    </row>
    <row r="239" spans="3:39" s="75" customFormat="1" ht="12.75" x14ac:dyDescent="0.35">
      <c r="C239" s="78"/>
      <c r="D239" s="76"/>
      <c r="E239" s="76"/>
      <c r="F239" s="76"/>
      <c r="G239" s="80"/>
      <c r="H239" s="76"/>
      <c r="I239" s="76"/>
      <c r="J239" s="76"/>
      <c r="K239" s="76"/>
      <c r="L239" s="76"/>
      <c r="M239" s="76"/>
      <c r="N239" s="76"/>
      <c r="O239" s="76"/>
      <c r="P239" s="76"/>
      <c r="Q239" s="76"/>
      <c r="R239" s="76"/>
      <c r="S239" s="76"/>
      <c r="T239" s="76"/>
      <c r="U239" s="76"/>
      <c r="V239" s="76"/>
      <c r="X239" s="78"/>
      <c r="Y239" s="78"/>
      <c r="Z239" s="78"/>
      <c r="AA239" s="78"/>
      <c r="AB239" s="78"/>
      <c r="AC239" s="78"/>
      <c r="AD239" s="78"/>
      <c r="AE239" s="78"/>
      <c r="AF239" s="78"/>
      <c r="AG239" s="78"/>
      <c r="AH239" s="78"/>
      <c r="AI239" s="78"/>
      <c r="AJ239" s="78"/>
      <c r="AK239" s="78"/>
      <c r="AL239" s="78"/>
      <c r="AM239" s="78"/>
    </row>
    <row r="240" spans="3:39" s="75" customFormat="1" ht="12.75" x14ac:dyDescent="0.35">
      <c r="C240" s="78"/>
      <c r="D240" s="76"/>
      <c r="E240" s="76"/>
      <c r="F240" s="76"/>
      <c r="G240" s="80"/>
      <c r="H240" s="76"/>
      <c r="I240" s="76"/>
      <c r="J240" s="76"/>
      <c r="K240" s="76"/>
      <c r="L240" s="76"/>
      <c r="M240" s="76"/>
      <c r="N240" s="76"/>
      <c r="O240" s="76"/>
      <c r="P240" s="76"/>
      <c r="Q240" s="76"/>
      <c r="R240" s="76"/>
      <c r="S240" s="76"/>
      <c r="T240" s="76"/>
      <c r="U240" s="76"/>
      <c r="V240" s="76"/>
      <c r="X240" s="78"/>
      <c r="Y240" s="78"/>
      <c r="Z240" s="78"/>
      <c r="AA240" s="78"/>
      <c r="AB240" s="78"/>
      <c r="AC240" s="78"/>
      <c r="AD240" s="78"/>
      <c r="AE240" s="78"/>
      <c r="AF240" s="78"/>
      <c r="AG240" s="78"/>
      <c r="AH240" s="78"/>
      <c r="AI240" s="78"/>
      <c r="AJ240" s="78"/>
      <c r="AK240" s="78"/>
      <c r="AL240" s="78"/>
      <c r="AM240" s="78"/>
    </row>
    <row r="241" spans="2:39" s="75" customFormat="1" ht="12.75" x14ac:dyDescent="0.35">
      <c r="C241" s="78"/>
      <c r="D241" s="76"/>
      <c r="E241" s="76"/>
      <c r="F241" s="76"/>
      <c r="G241" s="80"/>
      <c r="H241" s="76"/>
      <c r="I241" s="76"/>
      <c r="J241" s="76"/>
      <c r="K241" s="76"/>
      <c r="L241" s="76"/>
      <c r="M241" s="76"/>
      <c r="N241" s="76"/>
      <c r="O241" s="76"/>
      <c r="P241" s="76"/>
      <c r="Q241" s="76"/>
      <c r="R241" s="76"/>
      <c r="S241" s="76"/>
      <c r="T241" s="76"/>
      <c r="U241" s="76"/>
      <c r="V241" s="76"/>
      <c r="X241" s="78"/>
      <c r="Y241" s="78"/>
      <c r="Z241" s="78"/>
      <c r="AA241" s="78"/>
      <c r="AB241" s="78"/>
      <c r="AC241" s="78"/>
      <c r="AD241" s="78"/>
      <c r="AE241" s="78"/>
      <c r="AF241" s="78"/>
      <c r="AG241" s="78"/>
      <c r="AH241" s="78"/>
      <c r="AI241" s="78"/>
      <c r="AJ241" s="78"/>
      <c r="AK241" s="78"/>
      <c r="AL241" s="78"/>
      <c r="AM241" s="78"/>
    </row>
    <row r="242" spans="2:39" s="75" customFormat="1" ht="12.75" x14ac:dyDescent="0.35">
      <c r="C242" s="78"/>
      <c r="D242" s="76"/>
      <c r="E242" s="76"/>
      <c r="F242" s="76"/>
      <c r="G242" s="80"/>
      <c r="H242" s="76"/>
      <c r="I242" s="76"/>
      <c r="J242" s="76"/>
      <c r="K242" s="76"/>
      <c r="L242" s="76"/>
      <c r="M242" s="76"/>
      <c r="N242" s="76"/>
      <c r="O242" s="76"/>
      <c r="P242" s="76"/>
      <c r="Q242" s="76"/>
      <c r="R242" s="76"/>
      <c r="S242" s="76"/>
      <c r="T242" s="76"/>
      <c r="U242" s="76"/>
      <c r="V242" s="76"/>
      <c r="X242" s="78"/>
      <c r="Y242" s="78"/>
      <c r="Z242" s="78"/>
      <c r="AA242" s="78"/>
      <c r="AB242" s="78"/>
      <c r="AC242" s="78"/>
      <c r="AD242" s="78"/>
      <c r="AE242" s="78"/>
      <c r="AF242" s="78"/>
      <c r="AG242" s="78"/>
      <c r="AH242" s="78"/>
      <c r="AI242" s="78"/>
      <c r="AJ242" s="78"/>
      <c r="AK242" s="78"/>
      <c r="AL242" s="78"/>
      <c r="AM242" s="78"/>
    </row>
    <row r="243" spans="2:39" s="75" customFormat="1" ht="12.75" x14ac:dyDescent="0.35">
      <c r="C243" s="78"/>
      <c r="D243" s="76"/>
      <c r="E243" s="76"/>
      <c r="F243" s="76"/>
      <c r="G243" s="80"/>
      <c r="H243" s="76"/>
      <c r="I243" s="76"/>
      <c r="J243" s="76"/>
      <c r="K243" s="76"/>
      <c r="L243" s="76"/>
      <c r="M243" s="76"/>
      <c r="N243" s="76"/>
      <c r="O243" s="76"/>
      <c r="P243" s="76"/>
      <c r="Q243" s="76"/>
      <c r="R243" s="76"/>
      <c r="S243" s="76"/>
      <c r="T243" s="76"/>
      <c r="U243" s="76"/>
      <c r="V243" s="76"/>
      <c r="X243" s="78"/>
      <c r="Y243" s="78"/>
      <c r="Z243" s="78"/>
      <c r="AA243" s="78"/>
      <c r="AB243" s="78"/>
      <c r="AC243" s="78"/>
      <c r="AD243" s="78"/>
      <c r="AE243" s="78"/>
      <c r="AF243" s="78"/>
      <c r="AG243" s="78"/>
      <c r="AH243" s="78"/>
      <c r="AI243" s="78"/>
      <c r="AJ243" s="78"/>
      <c r="AK243" s="78"/>
      <c r="AL243" s="78"/>
      <c r="AM243" s="78"/>
    </row>
    <row r="244" spans="2:39" s="75" customFormat="1" ht="12.75" x14ac:dyDescent="0.35">
      <c r="C244" s="78"/>
      <c r="D244" s="76"/>
      <c r="E244" s="76"/>
      <c r="F244" s="76"/>
      <c r="G244" s="80"/>
      <c r="H244" s="76"/>
      <c r="I244" s="76"/>
      <c r="J244" s="76"/>
      <c r="K244" s="76"/>
      <c r="L244" s="76"/>
      <c r="M244" s="76"/>
      <c r="N244" s="76"/>
      <c r="O244" s="76"/>
      <c r="P244" s="76"/>
      <c r="Q244" s="76"/>
      <c r="R244" s="76"/>
      <c r="S244" s="76"/>
      <c r="T244" s="76"/>
      <c r="U244" s="76"/>
      <c r="V244" s="76"/>
      <c r="X244" s="78"/>
      <c r="Y244" s="78"/>
      <c r="Z244" s="78"/>
      <c r="AA244" s="78"/>
      <c r="AB244" s="78"/>
      <c r="AC244" s="78"/>
      <c r="AD244" s="78"/>
      <c r="AE244" s="78"/>
      <c r="AF244" s="78"/>
      <c r="AG244" s="78"/>
      <c r="AH244" s="78"/>
      <c r="AI244" s="78"/>
      <c r="AJ244" s="78"/>
      <c r="AK244" s="78"/>
      <c r="AL244" s="78"/>
      <c r="AM244" s="78"/>
    </row>
    <row r="245" spans="2:39" s="81" customFormat="1" ht="12.75" x14ac:dyDescent="0.35">
      <c r="B245" s="78"/>
      <c r="C245" s="41"/>
      <c r="D245" s="41"/>
      <c r="E245" s="82"/>
      <c r="F245" s="82"/>
      <c r="G245" s="82"/>
      <c r="H245" s="82"/>
      <c r="I245" s="75"/>
      <c r="J245" s="75"/>
    </row>
    <row r="246" spans="2:39" s="81" customFormat="1" ht="12.75" x14ac:dyDescent="0.35">
      <c r="B246" s="78"/>
      <c r="C246" s="41"/>
      <c r="D246" s="41"/>
      <c r="E246" s="82"/>
      <c r="F246" s="82"/>
      <c r="G246" s="82"/>
      <c r="H246" s="82"/>
      <c r="I246" s="75"/>
      <c r="J246" s="75"/>
    </row>
    <row r="247" spans="2:39" s="75" customFormat="1" ht="12.75" x14ac:dyDescent="0.35">
      <c r="C247" s="78"/>
      <c r="D247" s="76"/>
      <c r="E247" s="76"/>
      <c r="F247" s="76"/>
      <c r="G247" s="80"/>
      <c r="H247" s="76"/>
      <c r="I247" s="76"/>
      <c r="J247" s="76"/>
      <c r="K247" s="76"/>
      <c r="L247" s="76"/>
      <c r="M247" s="76"/>
      <c r="N247" s="76"/>
      <c r="O247" s="76"/>
      <c r="P247" s="76"/>
      <c r="Q247" s="76"/>
      <c r="R247" s="76"/>
      <c r="S247" s="76"/>
      <c r="T247" s="76"/>
      <c r="U247" s="76"/>
      <c r="V247" s="76"/>
      <c r="X247" s="78"/>
      <c r="Y247" s="78"/>
      <c r="Z247" s="78"/>
      <c r="AA247" s="78"/>
      <c r="AB247" s="78"/>
      <c r="AC247" s="78"/>
      <c r="AD247" s="78"/>
      <c r="AE247" s="78"/>
      <c r="AF247" s="78"/>
      <c r="AG247" s="78"/>
      <c r="AH247" s="78"/>
      <c r="AI247" s="78"/>
      <c r="AJ247" s="78"/>
      <c r="AK247" s="78"/>
      <c r="AL247" s="78"/>
      <c r="AM247" s="78"/>
    </row>
    <row r="248" spans="2:39" s="75" customFormat="1" ht="12.75" x14ac:dyDescent="0.35">
      <c r="C248" s="78"/>
      <c r="D248" s="76"/>
      <c r="E248" s="76"/>
      <c r="F248" s="76"/>
      <c r="G248" s="80"/>
      <c r="H248" s="76"/>
      <c r="I248" s="76"/>
      <c r="J248" s="76"/>
      <c r="K248" s="76"/>
      <c r="L248" s="76"/>
      <c r="M248" s="76"/>
      <c r="N248" s="76"/>
      <c r="O248" s="76"/>
      <c r="P248" s="76"/>
      <c r="Q248" s="76"/>
      <c r="R248" s="76"/>
      <c r="S248" s="76"/>
      <c r="T248" s="76"/>
      <c r="U248" s="76"/>
      <c r="V248" s="76"/>
      <c r="X248" s="78"/>
      <c r="Y248" s="78"/>
      <c r="Z248" s="78"/>
      <c r="AA248" s="78"/>
      <c r="AB248" s="78"/>
      <c r="AC248" s="78"/>
      <c r="AD248" s="78"/>
      <c r="AE248" s="78"/>
      <c r="AF248" s="78"/>
      <c r="AG248" s="78"/>
      <c r="AH248" s="78"/>
      <c r="AI248" s="78"/>
      <c r="AJ248" s="78"/>
      <c r="AK248" s="78"/>
      <c r="AL248" s="78"/>
      <c r="AM248" s="78"/>
    </row>
    <row r="249" spans="2:39" s="75" customFormat="1" ht="12.75" x14ac:dyDescent="0.35">
      <c r="C249" s="78"/>
      <c r="D249" s="76"/>
      <c r="E249" s="76"/>
      <c r="F249" s="76"/>
      <c r="G249" s="80"/>
      <c r="H249" s="76"/>
      <c r="I249" s="76"/>
      <c r="J249" s="76"/>
      <c r="K249" s="76"/>
      <c r="L249" s="76"/>
      <c r="M249" s="76"/>
      <c r="N249" s="76"/>
      <c r="O249" s="76"/>
      <c r="P249" s="76"/>
      <c r="Q249" s="76"/>
      <c r="R249" s="76"/>
      <c r="S249" s="76"/>
      <c r="T249" s="76"/>
      <c r="U249" s="76"/>
      <c r="V249" s="76"/>
      <c r="X249" s="78"/>
      <c r="Y249" s="78"/>
      <c r="Z249" s="78"/>
      <c r="AA249" s="78"/>
      <c r="AB249" s="78"/>
      <c r="AC249" s="78"/>
      <c r="AD249" s="78"/>
      <c r="AE249" s="78"/>
      <c r="AF249" s="78"/>
      <c r="AG249" s="78"/>
      <c r="AH249" s="78"/>
      <c r="AI249" s="78"/>
      <c r="AJ249" s="78"/>
      <c r="AK249" s="78"/>
      <c r="AL249" s="78"/>
      <c r="AM249" s="78"/>
    </row>
  </sheetData>
  <mergeCells count="22">
    <mergeCell ref="J54:L54"/>
    <mergeCell ref="J55:L55"/>
    <mergeCell ref="J56:L56"/>
    <mergeCell ref="J57:L57"/>
    <mergeCell ref="J48:L48"/>
    <mergeCell ref="J49:L49"/>
    <mergeCell ref="J50:L50"/>
    <mergeCell ref="J51:L51"/>
    <mergeCell ref="J52:L52"/>
    <mergeCell ref="J53:L53"/>
    <mergeCell ref="J47:L47"/>
    <mergeCell ref="J18:L18"/>
    <mergeCell ref="J19:L19"/>
    <mergeCell ref="J38:L38"/>
    <mergeCell ref="J39:L39"/>
    <mergeCell ref="J40:L40"/>
    <mergeCell ref="J41:L41"/>
    <mergeCell ref="J42:L42"/>
    <mergeCell ref="J43:L43"/>
    <mergeCell ref="J44:L44"/>
    <mergeCell ref="J45:L45"/>
    <mergeCell ref="J46:L46"/>
  </mergeCells>
  <hyperlinks>
    <hyperlink ref="C4" r:id="rId1"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130"/>
  <sheetViews>
    <sheetView zoomScaleNormal="100" workbookViewId="0">
      <pane xSplit="1" ySplit="9" topLeftCell="B10" activePane="bottomRight" state="frozen"/>
      <selection pane="topRight" activeCell="B1" sqref="B1"/>
      <selection pane="bottomLeft" activeCell="A10" sqref="A10"/>
      <selection pane="bottomRight" activeCell="M22" sqref="M22"/>
    </sheetView>
  </sheetViews>
  <sheetFormatPr defaultRowHeight="14.25" x14ac:dyDescent="0.45"/>
  <cols>
    <col min="16" max="16" width="12" customWidth="1"/>
    <col min="17" max="17" width="19" customWidth="1"/>
    <col min="18" max="18" width="17" customWidth="1"/>
    <col min="19" max="19" width="22.73046875" customWidth="1"/>
    <col min="20" max="20" width="20.796875" customWidth="1"/>
  </cols>
  <sheetData>
    <row r="1" spans="1:22" ht="17.649999999999999" x14ac:dyDescent="0.5">
      <c r="A1" s="1090" t="s">
        <v>2501</v>
      </c>
      <c r="B1" s="1"/>
      <c r="C1" s="1"/>
      <c r="D1" s="1"/>
      <c r="E1" s="2"/>
      <c r="G1" s="2"/>
      <c r="H1" s="2"/>
      <c r="K1" s="3"/>
      <c r="L1" s="3"/>
      <c r="M1" s="3"/>
      <c r="N1" s="3"/>
      <c r="O1" s="3"/>
      <c r="P1" s="3"/>
      <c r="Q1" s="3"/>
      <c r="R1" s="3"/>
      <c r="S1" s="3"/>
      <c r="T1" s="3"/>
    </row>
    <row r="2" spans="1:22" x14ac:dyDescent="0.45">
      <c r="B2" s="1"/>
      <c r="C2" s="1"/>
      <c r="E2" s="2"/>
      <c r="G2" s="2"/>
      <c r="H2" s="2"/>
      <c r="K2" s="3"/>
      <c r="L2" s="3"/>
      <c r="M2" s="3"/>
      <c r="N2" s="3"/>
      <c r="O2" s="3"/>
      <c r="P2" s="3"/>
      <c r="Q2" s="3"/>
      <c r="R2" s="3"/>
      <c r="S2" s="3"/>
      <c r="T2" s="3"/>
    </row>
    <row r="3" spans="1:22" ht="15.4" x14ac:dyDescent="0.45">
      <c r="A3" s="4"/>
      <c r="B3" s="1091" t="s">
        <v>992</v>
      </c>
      <c r="C3" s="1136" t="s">
        <v>1191</v>
      </c>
      <c r="D3" s="5"/>
      <c r="E3" s="6"/>
      <c r="F3" s="6"/>
      <c r="G3" s="6"/>
      <c r="H3" s="2"/>
      <c r="I3" s="3"/>
      <c r="K3" s="3"/>
      <c r="L3" s="3"/>
      <c r="M3" s="3"/>
      <c r="N3" s="3"/>
      <c r="O3" s="3"/>
      <c r="P3" s="3"/>
      <c r="Q3" s="3"/>
      <c r="R3" s="3"/>
      <c r="S3" s="3"/>
      <c r="T3" s="3"/>
    </row>
    <row r="4" spans="1:22" x14ac:dyDescent="0.45">
      <c r="D4" s="7"/>
      <c r="E4" s="7"/>
      <c r="F4" s="7"/>
      <c r="G4" s="8"/>
      <c r="H4" s="7"/>
      <c r="I4" s="7"/>
      <c r="J4" s="7"/>
      <c r="K4" s="7"/>
      <c r="L4" s="7"/>
      <c r="M4" s="7"/>
      <c r="N4" s="7"/>
      <c r="O4" s="7"/>
      <c r="P4" s="7"/>
      <c r="Q4" s="7"/>
      <c r="R4" s="7"/>
      <c r="S4" s="7"/>
      <c r="T4" s="9"/>
    </row>
    <row r="5" spans="1:22" ht="14.65" thickBot="1" x14ac:dyDescent="0.5">
      <c r="A5" s="12"/>
      <c r="B5" s="12"/>
      <c r="C5" s="12"/>
      <c r="D5" s="12"/>
      <c r="E5" s="13"/>
      <c r="F5" s="12"/>
      <c r="G5" s="12"/>
      <c r="H5" s="14"/>
      <c r="I5" s="12"/>
      <c r="J5" s="12"/>
      <c r="K5" s="12"/>
      <c r="L5" s="12"/>
      <c r="M5" s="12"/>
      <c r="N5" s="12"/>
      <c r="O5" s="12"/>
      <c r="P5" s="12"/>
      <c r="Q5" s="12"/>
      <c r="R5" s="14"/>
      <c r="S5" s="12"/>
      <c r="T5" s="15" t="s">
        <v>0</v>
      </c>
    </row>
    <row r="6" spans="1:22" ht="15.75" thickTop="1" x14ac:dyDescent="0.45">
      <c r="A6" s="17"/>
      <c r="B6" s="17"/>
      <c r="C6" s="17" t="s">
        <v>1</v>
      </c>
      <c r="D6" s="18" t="s">
        <v>2</v>
      </c>
      <c r="E6" s="18"/>
      <c r="F6" s="17"/>
      <c r="G6" s="17"/>
      <c r="H6" s="17" t="s">
        <v>3</v>
      </c>
      <c r="I6" s="17"/>
      <c r="J6" s="17"/>
      <c r="K6" s="17"/>
      <c r="L6" s="17"/>
      <c r="M6" s="17"/>
      <c r="N6" s="17" t="s">
        <v>4</v>
      </c>
      <c r="O6" s="17"/>
      <c r="P6" s="17" t="s">
        <v>5</v>
      </c>
      <c r="Q6" s="17" t="s">
        <v>1031</v>
      </c>
      <c r="R6" s="17" t="s">
        <v>6</v>
      </c>
      <c r="S6" s="17" t="s">
        <v>7</v>
      </c>
      <c r="T6" s="17" t="s">
        <v>8</v>
      </c>
    </row>
    <row r="7" spans="1:22" ht="15.4" x14ac:dyDescent="0.45">
      <c r="A7" s="14" t="s">
        <v>9</v>
      </c>
      <c r="B7" s="14" t="s">
        <v>10</v>
      </c>
      <c r="C7" s="14" t="s">
        <v>11</v>
      </c>
      <c r="D7" s="14" t="s">
        <v>11</v>
      </c>
      <c r="E7" s="19" t="s">
        <v>12</v>
      </c>
      <c r="F7" s="14" t="s">
        <v>13</v>
      </c>
      <c r="G7" s="14" t="s">
        <v>14</v>
      </c>
      <c r="H7" s="14" t="s">
        <v>15</v>
      </c>
      <c r="I7" s="14" t="s">
        <v>16</v>
      </c>
      <c r="J7" s="14" t="s">
        <v>17</v>
      </c>
      <c r="K7" s="14" t="s">
        <v>18</v>
      </c>
      <c r="L7" s="14" t="s">
        <v>19</v>
      </c>
      <c r="M7" s="14" t="s">
        <v>20</v>
      </c>
      <c r="N7" s="14" t="s">
        <v>21</v>
      </c>
      <c r="O7" s="14" t="s">
        <v>22</v>
      </c>
      <c r="P7" s="14" t="s">
        <v>23</v>
      </c>
      <c r="Q7" s="14" t="s">
        <v>24</v>
      </c>
      <c r="R7" s="14" t="s">
        <v>24</v>
      </c>
      <c r="S7" s="14" t="s">
        <v>25</v>
      </c>
      <c r="T7" s="14" t="s">
        <v>26</v>
      </c>
    </row>
    <row r="8" spans="1:22" x14ac:dyDescent="0.45">
      <c r="A8" s="20"/>
      <c r="B8" s="21" t="s">
        <v>27</v>
      </c>
      <c r="C8" s="21" t="s">
        <v>28</v>
      </c>
      <c r="D8" s="21" t="s">
        <v>29</v>
      </c>
      <c r="E8" s="22" t="s">
        <v>30</v>
      </c>
      <c r="F8" s="21" t="s">
        <v>31</v>
      </c>
      <c r="G8" s="21" t="s">
        <v>32</v>
      </c>
      <c r="H8" s="21" t="s">
        <v>33</v>
      </c>
      <c r="I8" s="21" t="s">
        <v>34</v>
      </c>
      <c r="J8" s="21" t="s">
        <v>35</v>
      </c>
      <c r="K8" s="21" t="s">
        <v>36</v>
      </c>
      <c r="L8" s="21" t="s">
        <v>37</v>
      </c>
      <c r="M8" s="21" t="s">
        <v>38</v>
      </c>
      <c r="N8" s="21" t="s">
        <v>39</v>
      </c>
      <c r="O8" s="21" t="s">
        <v>40</v>
      </c>
      <c r="P8" s="21" t="s">
        <v>41</v>
      </c>
      <c r="Q8" s="21" t="s">
        <v>42</v>
      </c>
      <c r="R8" s="21" t="s">
        <v>43</v>
      </c>
      <c r="S8" s="21" t="s">
        <v>44</v>
      </c>
      <c r="T8" s="21" t="s">
        <v>1033</v>
      </c>
    </row>
    <row r="9" spans="1:22" x14ac:dyDescent="0.45">
      <c r="A9" s="23"/>
      <c r="B9" s="23"/>
      <c r="C9" s="23"/>
      <c r="D9" s="23"/>
      <c r="E9" s="24"/>
      <c r="F9" s="23"/>
      <c r="G9" s="23"/>
      <c r="H9" s="23"/>
      <c r="I9" s="23"/>
      <c r="J9" s="23"/>
      <c r="K9" s="23"/>
      <c r="L9" s="23"/>
      <c r="M9" s="23"/>
      <c r="N9" s="23"/>
      <c r="O9" s="23"/>
      <c r="P9" s="23"/>
      <c r="Q9" s="23" t="s">
        <v>1032</v>
      </c>
      <c r="R9" s="23" t="s">
        <v>45</v>
      </c>
      <c r="S9" s="23"/>
      <c r="T9" s="23" t="s">
        <v>46</v>
      </c>
    </row>
    <row r="10" spans="1:22" x14ac:dyDescent="0.45">
      <c r="A10" s="14">
        <v>1900</v>
      </c>
      <c r="B10" s="506">
        <f>+'1.3.4 Coal3'!B210</f>
        <v>228.8032</v>
      </c>
      <c r="C10" s="506"/>
      <c r="D10" s="506"/>
      <c r="E10" s="506">
        <v>21.295360000000002</v>
      </c>
      <c r="F10" s="506">
        <v>0.94488000000000005</v>
      </c>
      <c r="G10" s="506">
        <v>15.483840000000001</v>
      </c>
      <c r="H10" s="506">
        <v>16.957039999999999</v>
      </c>
      <c r="I10" s="506">
        <v>11.379199999999999</v>
      </c>
      <c r="J10" s="506">
        <v>43.281600000000005</v>
      </c>
      <c r="K10" s="506">
        <v>50.088799999999999</v>
      </c>
      <c r="L10" s="506">
        <v>4.8768000000000002</v>
      </c>
      <c r="M10" s="506">
        <v>1.64592</v>
      </c>
      <c r="N10" s="506">
        <v>2.032</v>
      </c>
      <c r="O10" s="506"/>
      <c r="P10" s="506"/>
      <c r="Q10" s="603">
        <f t="shared" ref="Q10:Q48" si="0">SUM(I10:O10)</f>
        <v>113.30432</v>
      </c>
      <c r="R10" s="506">
        <f>+'1.3.4 Coal3'!R210</f>
        <v>153.03294</v>
      </c>
      <c r="S10" s="506">
        <f>+'1.3.4 Coal3'!S210</f>
        <v>75.770260000000007</v>
      </c>
      <c r="T10" s="506">
        <f>+'1.3.4 Coal3'!T210</f>
        <v>228.8032</v>
      </c>
    </row>
    <row r="11" spans="1:22" x14ac:dyDescent="0.45">
      <c r="A11" s="14">
        <v>1901</v>
      </c>
      <c r="B11" s="506">
        <f>+'1.3.4 Coal3'!B211</f>
        <v>222.50399999999999</v>
      </c>
      <c r="C11" s="506"/>
      <c r="D11" s="506"/>
      <c r="E11" s="506">
        <v>20.827999999999999</v>
      </c>
      <c r="F11" s="506">
        <v>1.3208</v>
      </c>
      <c r="G11" s="506">
        <v>15.676880000000001</v>
      </c>
      <c r="H11" s="506">
        <v>14.97584</v>
      </c>
      <c r="I11" s="506">
        <v>11.19632</v>
      </c>
      <c r="J11" s="506">
        <v>42.926000000000002</v>
      </c>
      <c r="K11" s="506">
        <v>48.148240000000001</v>
      </c>
      <c r="L11" s="506">
        <v>5.7810400000000008</v>
      </c>
      <c r="M11" s="506">
        <v>1.8999200000000001</v>
      </c>
      <c r="N11" s="506">
        <v>2.032</v>
      </c>
      <c r="O11" s="506"/>
      <c r="P11" s="506"/>
      <c r="Q11" s="603">
        <f t="shared" si="0"/>
        <v>111.98352</v>
      </c>
      <c r="R11" s="506">
        <f>+'1.3.4 Coal3'!R211</f>
        <v>42.795739999999995</v>
      </c>
      <c r="S11" s="506">
        <f>+'1.3.4 Coal3'!S211</f>
        <v>179.70826</v>
      </c>
      <c r="T11" s="506">
        <f>+'1.3.4 Coal3'!T211</f>
        <v>222.50399999999999</v>
      </c>
    </row>
    <row r="12" spans="1:22" x14ac:dyDescent="0.45">
      <c r="A12" s="14">
        <v>1902</v>
      </c>
      <c r="B12" s="506">
        <f>+'1.3.4 Coal3'!B212</f>
        <v>230.7336</v>
      </c>
      <c r="C12" s="506"/>
      <c r="D12" s="506"/>
      <c r="E12" s="506">
        <v>20.838160000000002</v>
      </c>
      <c r="F12" s="506">
        <v>1.69672</v>
      </c>
      <c r="G12" s="506">
        <v>15.60576</v>
      </c>
      <c r="H12" s="506">
        <v>16.398240000000001</v>
      </c>
      <c r="I12" s="506">
        <v>11.52144</v>
      </c>
      <c r="J12" s="506">
        <v>44.592240000000004</v>
      </c>
      <c r="K12" s="506">
        <v>49.550319999999999</v>
      </c>
      <c r="L12" s="506">
        <v>5.1003200000000009</v>
      </c>
      <c r="M12" s="506">
        <v>2.0929600000000002</v>
      </c>
      <c r="N12" s="506">
        <v>2.0523199999999999</v>
      </c>
      <c r="O12" s="506"/>
      <c r="P12" s="506"/>
      <c r="Q12" s="603">
        <f t="shared" si="0"/>
        <v>114.9096</v>
      </c>
      <c r="R12" s="506">
        <f>+'1.3.4 Coal3'!R212</f>
        <v>45.124989999999997</v>
      </c>
      <c r="S12" s="506">
        <f>+'1.3.4 Coal3'!S212</f>
        <v>185.60861</v>
      </c>
      <c r="T12" s="506">
        <f>+'1.3.4 Coal3'!T212</f>
        <v>230.7336</v>
      </c>
    </row>
    <row r="13" spans="1:22" x14ac:dyDescent="0.45">
      <c r="A13" s="14">
        <v>1903</v>
      </c>
      <c r="B13" s="506">
        <f>+'1.3.4 Coal3'!B213</f>
        <v>233.98480000000001</v>
      </c>
      <c r="C13" s="506"/>
      <c r="D13" s="506"/>
      <c r="E13" s="506">
        <v>20.675600000000003</v>
      </c>
      <c r="F13" s="506">
        <v>2.0624799999999999</v>
      </c>
      <c r="G13" s="506">
        <v>15.636240000000001</v>
      </c>
      <c r="H13" s="506">
        <v>17.2212</v>
      </c>
      <c r="I13" s="506">
        <v>11.5824</v>
      </c>
      <c r="J13" s="506">
        <v>43.515279999999997</v>
      </c>
      <c r="K13" s="506">
        <v>49.042319999999997</v>
      </c>
      <c r="L13" s="506">
        <v>5.1307999999999998</v>
      </c>
      <c r="M13" s="506">
        <v>2.2758400000000001</v>
      </c>
      <c r="N13" s="506">
        <v>2.1031199999999997</v>
      </c>
      <c r="O13" s="506"/>
      <c r="P13" s="506"/>
      <c r="Q13" s="603">
        <f t="shared" si="0"/>
        <v>113.64975999999999</v>
      </c>
      <c r="R13" s="506">
        <f>+'1.3.4 Coal3'!R213</f>
        <v>46.854799999999997</v>
      </c>
      <c r="S13" s="506">
        <f>+'1.3.4 Coal3'!S213</f>
        <v>187.13</v>
      </c>
      <c r="T13" s="506">
        <f>+'1.3.4 Coal3'!T213</f>
        <v>233.98480000000001</v>
      </c>
      <c r="U13" s="506"/>
      <c r="V13" s="506"/>
    </row>
    <row r="14" spans="1:22" x14ac:dyDescent="0.45">
      <c r="A14" s="14">
        <v>1904</v>
      </c>
      <c r="B14" s="506">
        <f>+'1.3.4 Coal3'!B214</f>
        <v>239.78616</v>
      </c>
      <c r="C14" s="506"/>
      <c r="D14" s="506"/>
      <c r="E14" s="506">
        <v>20.482559999999999</v>
      </c>
      <c r="F14" s="506">
        <v>2.4384000000000001</v>
      </c>
      <c r="G14" s="506">
        <v>15.697199999999999</v>
      </c>
      <c r="H14" s="506">
        <v>16.967200000000002</v>
      </c>
      <c r="I14" s="506">
        <v>11.633199999999999</v>
      </c>
      <c r="J14" s="506">
        <v>43.820080000000004</v>
      </c>
      <c r="K14" s="506">
        <v>48.717200000000005</v>
      </c>
      <c r="L14" s="506">
        <v>5.4051200000000001</v>
      </c>
      <c r="M14" s="506">
        <v>2.3875999999999999</v>
      </c>
      <c r="N14" s="506">
        <v>2.1031199999999997</v>
      </c>
      <c r="O14" s="506"/>
      <c r="P14" s="506"/>
      <c r="Q14" s="603">
        <f t="shared" si="0"/>
        <v>114.06632000000002</v>
      </c>
      <c r="R14" s="506">
        <f>+'1.3.4 Coal3'!R214</f>
        <v>61.778120000000001</v>
      </c>
      <c r="S14" s="506">
        <f>+'1.3.4 Coal3'!S214</f>
        <v>178.00803999999999</v>
      </c>
      <c r="T14" s="506">
        <f>+'1.3.4 Coal3'!T214</f>
        <v>239.78616</v>
      </c>
      <c r="U14" s="507"/>
      <c r="V14" s="507"/>
    </row>
    <row r="15" spans="1:22" x14ac:dyDescent="0.45">
      <c r="A15" s="14">
        <v>1905</v>
      </c>
      <c r="B15" s="506">
        <f>+'1.3.4 Coal3'!B215</f>
        <v>245.58751999999998</v>
      </c>
      <c r="C15" s="506"/>
      <c r="D15" s="506"/>
      <c r="E15" s="506">
        <v>20.340319999999998</v>
      </c>
      <c r="F15" s="506">
        <v>2.8143199999999999</v>
      </c>
      <c r="G15" s="506">
        <v>15.77848</v>
      </c>
      <c r="H15" s="506">
        <v>18.775680000000001</v>
      </c>
      <c r="I15" s="506">
        <v>11.77544</v>
      </c>
      <c r="J15" s="506">
        <v>40.477440000000001</v>
      </c>
      <c r="K15" s="506">
        <v>51.602640000000001</v>
      </c>
      <c r="L15" s="506">
        <v>5.6489599999999998</v>
      </c>
      <c r="M15" s="506">
        <v>2.5298400000000001</v>
      </c>
      <c r="N15" s="506">
        <v>2.2148800000000004</v>
      </c>
      <c r="O15" s="506"/>
      <c r="P15" s="506"/>
      <c r="Q15" s="603">
        <f t="shared" si="0"/>
        <v>114.2492</v>
      </c>
      <c r="R15" s="506">
        <f>+'1.3.4 Coal3'!R215</f>
        <v>76.701440000000005</v>
      </c>
      <c r="S15" s="506">
        <f>+'1.3.4 Coal3'!S215</f>
        <v>168.88607999999999</v>
      </c>
      <c r="T15" s="506">
        <f>+'1.3.4 Coal3'!T215</f>
        <v>245.58751999999998</v>
      </c>
      <c r="U15" s="507"/>
      <c r="V15" s="507"/>
    </row>
    <row r="16" spans="1:22" x14ac:dyDescent="0.45">
      <c r="A16" s="14">
        <v>1906</v>
      </c>
      <c r="B16" s="506">
        <f>+'1.3.4 Coal3'!B216</f>
        <v>251.38887999999997</v>
      </c>
      <c r="C16" s="506"/>
      <c r="D16" s="506"/>
      <c r="E16" s="506">
        <v>20.584160000000001</v>
      </c>
      <c r="F16" s="506">
        <v>3.1902400000000002</v>
      </c>
      <c r="G16" s="506">
        <v>16.093440000000001</v>
      </c>
      <c r="H16" s="506">
        <v>20.909279999999999</v>
      </c>
      <c r="I16" s="506">
        <v>12.283440000000001</v>
      </c>
      <c r="J16" s="506">
        <v>39.776400000000002</v>
      </c>
      <c r="K16" s="506">
        <v>53.980079999999994</v>
      </c>
      <c r="L16" s="506">
        <v>5.8318400000000006</v>
      </c>
      <c r="M16" s="506">
        <v>2.7533599999999998</v>
      </c>
      <c r="N16" s="506">
        <v>2.2758400000000001</v>
      </c>
      <c r="O16" s="506"/>
      <c r="P16" s="506"/>
      <c r="Q16" s="603">
        <f t="shared" si="0"/>
        <v>116.90096</v>
      </c>
      <c r="R16" s="506">
        <f>+'1.3.4 Coal3'!R216</f>
        <v>91.624760000000009</v>
      </c>
      <c r="S16" s="506">
        <f>+'1.3.4 Coal3'!S216</f>
        <v>159.76411999999999</v>
      </c>
      <c r="T16" s="506">
        <f>+'1.3.4 Coal3'!T216</f>
        <v>251.38887999999997</v>
      </c>
      <c r="U16" s="507"/>
      <c r="V16" s="507"/>
    </row>
    <row r="17" spans="1:22" x14ac:dyDescent="0.45">
      <c r="A17" s="14">
        <v>1907</v>
      </c>
      <c r="B17" s="506">
        <f>+'1.3.4 Coal3'!B217</f>
        <v>257.19023999999996</v>
      </c>
      <c r="C17" s="506"/>
      <c r="D17" s="506"/>
      <c r="E17" s="506">
        <v>20.878800000000002</v>
      </c>
      <c r="F17" s="506">
        <v>3.556</v>
      </c>
      <c r="G17" s="506">
        <v>16.60144</v>
      </c>
      <c r="H17" s="506">
        <v>22.331679999999999</v>
      </c>
      <c r="I17" s="506">
        <v>13.126720000000001</v>
      </c>
      <c r="J17" s="506">
        <v>43.647359999999999</v>
      </c>
      <c r="K17" s="506">
        <v>55.138320000000007</v>
      </c>
      <c r="L17" s="506">
        <v>5.8724799999999995</v>
      </c>
      <c r="M17" s="506">
        <v>3.2105600000000001</v>
      </c>
      <c r="N17" s="506">
        <v>2.1844000000000001</v>
      </c>
      <c r="O17" s="506"/>
      <c r="P17" s="506"/>
      <c r="Q17" s="603">
        <f t="shared" si="0"/>
        <v>123.17984</v>
      </c>
      <c r="R17" s="506">
        <f>+'1.3.4 Coal3'!R217</f>
        <v>106.54808000000001</v>
      </c>
      <c r="S17" s="506">
        <f>+'1.3.4 Coal3'!S217</f>
        <v>150.64215999999999</v>
      </c>
      <c r="T17" s="506">
        <f>+'1.3.4 Coal3'!T217</f>
        <v>257.19023999999996</v>
      </c>
      <c r="U17" s="507"/>
      <c r="V17" s="507"/>
    </row>
    <row r="18" spans="1:22" x14ac:dyDescent="0.45">
      <c r="A18" s="14">
        <v>1908</v>
      </c>
      <c r="B18" s="506">
        <f>+'1.3.4 Coal3'!B218</f>
        <v>262.99159999999995</v>
      </c>
      <c r="C18" s="506"/>
      <c r="D18" s="506"/>
      <c r="E18" s="506">
        <v>20.411439999999999</v>
      </c>
      <c r="F18" s="506">
        <v>3.8303199999999999</v>
      </c>
      <c r="G18" s="506">
        <v>16.591279999999998</v>
      </c>
      <c r="H18" s="506">
        <v>21.650960000000001</v>
      </c>
      <c r="I18" s="506">
        <v>12.68984</v>
      </c>
      <c r="J18" s="506">
        <v>41.960799999999999</v>
      </c>
      <c r="K18" s="506">
        <v>51.501039999999996</v>
      </c>
      <c r="L18" s="506">
        <v>5.8623200000000004</v>
      </c>
      <c r="M18" s="506">
        <v>3.6067999999999998</v>
      </c>
      <c r="N18" s="506">
        <v>2.2453599999999998</v>
      </c>
      <c r="O18" s="506"/>
      <c r="P18" s="506"/>
      <c r="Q18" s="603">
        <f t="shared" si="0"/>
        <v>117.86616000000001</v>
      </c>
      <c r="R18" s="506">
        <f>+'1.3.4 Coal3'!R218</f>
        <v>121.47140000000002</v>
      </c>
      <c r="S18" s="506">
        <f>+'1.3.4 Coal3'!S218</f>
        <v>141.52019999999999</v>
      </c>
      <c r="T18" s="506">
        <f>+'1.3.4 Coal3'!T218</f>
        <v>262.99159999999995</v>
      </c>
      <c r="U18" s="507"/>
      <c r="V18" s="507"/>
    </row>
    <row r="19" spans="1:22" x14ac:dyDescent="0.45">
      <c r="A19" s="14">
        <v>1909</v>
      </c>
      <c r="B19" s="506">
        <f>+'1.3.4 Coal3'!B219</f>
        <v>268.79295999999994</v>
      </c>
      <c r="C19" s="506"/>
      <c r="D19" s="506"/>
      <c r="E19" s="506">
        <v>20.218399999999999</v>
      </c>
      <c r="F19" s="506">
        <v>4.1046399999999998</v>
      </c>
      <c r="G19" s="506">
        <v>16.33728</v>
      </c>
      <c r="H19" s="506">
        <v>21.031199999999998</v>
      </c>
      <c r="I19" s="506">
        <v>12.46632</v>
      </c>
      <c r="J19" s="506">
        <v>41.79824</v>
      </c>
      <c r="K19" s="506">
        <v>53.583839999999995</v>
      </c>
      <c r="L19" s="506">
        <v>6.10616</v>
      </c>
      <c r="M19" s="506">
        <v>3.8506400000000003</v>
      </c>
      <c r="N19" s="506">
        <v>2.3469600000000002</v>
      </c>
      <c r="O19" s="506"/>
      <c r="P19" s="506"/>
      <c r="Q19" s="603">
        <f t="shared" si="0"/>
        <v>120.15215999999999</v>
      </c>
      <c r="R19" s="506">
        <f>+'1.3.4 Coal3'!R219</f>
        <v>136.39472000000001</v>
      </c>
      <c r="S19" s="506">
        <f>+'1.3.4 Coal3'!S219</f>
        <v>132.39823999999999</v>
      </c>
      <c r="T19" s="506">
        <f>+'1.3.4 Coal3'!T219</f>
        <v>268.79295999999994</v>
      </c>
      <c r="U19" s="507"/>
      <c r="V19" s="507"/>
    </row>
    <row r="20" spans="1:22" x14ac:dyDescent="0.45">
      <c r="A20" s="14">
        <v>1910</v>
      </c>
      <c r="B20" s="506">
        <f>+'1.3.4 Coal3'!B220</f>
        <v>274.59431999999993</v>
      </c>
      <c r="C20" s="506"/>
      <c r="D20" s="506"/>
      <c r="E20" s="506">
        <v>19.97456</v>
      </c>
      <c r="F20" s="506">
        <v>4.3789599999999993</v>
      </c>
      <c r="G20" s="506">
        <v>16.398240000000001</v>
      </c>
      <c r="H20" s="506">
        <v>21.427440000000001</v>
      </c>
      <c r="I20" s="506">
        <v>12.66952</v>
      </c>
      <c r="J20" s="506">
        <v>42.753279999999997</v>
      </c>
      <c r="K20" s="506">
        <v>53.350159999999995</v>
      </c>
      <c r="L20" s="506">
        <v>6.1366399999999999</v>
      </c>
      <c r="M20" s="506">
        <v>4.1554399999999996</v>
      </c>
      <c r="N20" s="506">
        <v>2.4790399999999999</v>
      </c>
      <c r="O20" s="506"/>
      <c r="P20" s="506"/>
      <c r="Q20" s="603">
        <f t="shared" si="0"/>
        <v>121.54407999999998</v>
      </c>
      <c r="R20" s="506">
        <f>+'1.3.4 Coal3'!R220</f>
        <v>151.31804</v>
      </c>
      <c r="S20" s="506">
        <f>+'1.3.4 Coal3'!S220</f>
        <v>123.27627999999999</v>
      </c>
      <c r="T20" s="506">
        <f>+'1.3.4 Coal3'!T220</f>
        <v>274.59431999999993</v>
      </c>
      <c r="U20" s="507"/>
      <c r="V20" s="507"/>
    </row>
    <row r="21" spans="1:22" x14ac:dyDescent="0.45">
      <c r="A21" s="14">
        <v>1911</v>
      </c>
      <c r="B21" s="506">
        <f>+'1.3.4 Coal3'!B221</f>
        <v>280.39567999999991</v>
      </c>
      <c r="C21" s="506"/>
      <c r="D21" s="506"/>
      <c r="E21" s="506">
        <v>19.964399999999998</v>
      </c>
      <c r="F21" s="506">
        <v>4.6431200000000006</v>
      </c>
      <c r="G21" s="506">
        <v>16.631920000000001</v>
      </c>
      <c r="H21" s="506">
        <v>20.797519999999999</v>
      </c>
      <c r="I21" s="506">
        <v>13.025120000000001</v>
      </c>
      <c r="J21" s="506">
        <v>44.145200000000003</v>
      </c>
      <c r="K21" s="506">
        <v>56.591200000000001</v>
      </c>
      <c r="L21" s="506">
        <v>6.4008000000000003</v>
      </c>
      <c r="M21" s="506">
        <v>4.3484800000000003</v>
      </c>
      <c r="N21" s="506">
        <v>2.4688800000000004</v>
      </c>
      <c r="O21" s="506"/>
      <c r="P21" s="506"/>
      <c r="Q21" s="603">
        <f t="shared" si="0"/>
        <v>126.97968</v>
      </c>
      <c r="R21" s="506">
        <f>+'1.3.4 Coal3'!R221</f>
        <v>166.24135999999999</v>
      </c>
      <c r="S21" s="506">
        <f>+'1.3.4 Coal3'!S221</f>
        <v>114.15431999999998</v>
      </c>
      <c r="T21" s="506">
        <f>+'1.3.4 Coal3'!T221</f>
        <v>280.39567999999991</v>
      </c>
      <c r="U21" s="507"/>
      <c r="V21" s="507"/>
    </row>
    <row r="22" spans="1:22" x14ac:dyDescent="0.45">
      <c r="A22" s="14">
        <v>1912</v>
      </c>
      <c r="B22" s="506">
        <f>+'1.3.4 Coal3'!B222</f>
        <v>286.1970399999999</v>
      </c>
      <c r="C22" s="506"/>
      <c r="D22" s="506"/>
      <c r="E22" s="506">
        <v>19.314160000000001</v>
      </c>
      <c r="F22" s="506">
        <v>4.91744</v>
      </c>
      <c r="G22" s="506">
        <v>16.977360000000001</v>
      </c>
      <c r="H22" s="506">
        <v>19.588480000000001</v>
      </c>
      <c r="I22" s="506">
        <v>12.84224</v>
      </c>
      <c r="J22" s="506">
        <v>37.795200000000001</v>
      </c>
      <c r="K22" s="506">
        <v>58.653680000000001</v>
      </c>
      <c r="L22" s="506">
        <v>6.62432</v>
      </c>
      <c r="M22" s="506">
        <v>4.58216</v>
      </c>
      <c r="N22" s="506">
        <v>2.286</v>
      </c>
      <c r="O22" s="506"/>
      <c r="P22" s="506"/>
      <c r="Q22" s="603">
        <f t="shared" si="0"/>
        <v>122.78360000000001</v>
      </c>
      <c r="R22" s="506">
        <f>+'1.3.4 Coal3'!R222</f>
        <v>181.16467999999998</v>
      </c>
      <c r="S22" s="506">
        <f>+'1.3.4 Coal3'!S222</f>
        <v>105.03235999999998</v>
      </c>
      <c r="T22" s="506">
        <f>+'1.3.4 Coal3'!T222</f>
        <v>286.1970399999999</v>
      </c>
      <c r="U22" s="507"/>
      <c r="V22" s="507"/>
    </row>
    <row r="23" spans="1:22" x14ac:dyDescent="0.45">
      <c r="A23" s="14">
        <v>1913</v>
      </c>
      <c r="B23" s="506">
        <f>+'1.3.2 Coal1'!B28</f>
        <v>291.9984</v>
      </c>
      <c r="C23" s="506"/>
      <c r="D23" s="506"/>
      <c r="E23" s="506">
        <v>19.954240000000002</v>
      </c>
      <c r="F23" s="506">
        <v>5.26288</v>
      </c>
      <c r="G23" s="506">
        <v>17.891760000000001</v>
      </c>
      <c r="H23" s="506">
        <v>22.951440000000002</v>
      </c>
      <c r="I23" s="506">
        <v>13.797280000000001</v>
      </c>
      <c r="J23" s="506">
        <v>42.143679999999996</v>
      </c>
      <c r="K23" s="506">
        <v>59.872880000000002</v>
      </c>
      <c r="L23" s="506">
        <v>6.8681599999999996</v>
      </c>
      <c r="M23" s="506">
        <v>4.9072800000000001</v>
      </c>
      <c r="N23" s="506">
        <v>2.4384000000000001</v>
      </c>
      <c r="O23" s="506"/>
      <c r="P23" s="506"/>
      <c r="Q23" s="603">
        <f t="shared" si="0"/>
        <v>130.02768</v>
      </c>
      <c r="R23" s="506">
        <f>+'1.3.2 Coal1'!R28</f>
        <v>196.08799999999999</v>
      </c>
      <c r="S23" s="506">
        <f>+'1.3.2 Coal1'!S28</f>
        <v>95.91040000000001</v>
      </c>
      <c r="T23" s="506">
        <f>+'1.3.2 Coal1'!T28</f>
        <v>291.9984</v>
      </c>
      <c r="U23" s="506"/>
      <c r="V23" s="506"/>
    </row>
    <row r="24" spans="1:22" x14ac:dyDescent="0.45">
      <c r="A24" s="14">
        <v>1914</v>
      </c>
      <c r="B24" s="506">
        <f>+'1.3.2 Coal1'!B29</f>
        <v>269.95119999999997</v>
      </c>
      <c r="C24" s="506"/>
      <c r="D24" s="506"/>
      <c r="E24" s="506">
        <v>18.958560000000002</v>
      </c>
      <c r="F24" s="506">
        <v>5.5676800000000002</v>
      </c>
      <c r="G24" s="506">
        <v>17.231360000000002</v>
      </c>
      <c r="H24" s="506">
        <v>20.32</v>
      </c>
      <c r="I24" s="506">
        <v>13.817600000000001</v>
      </c>
      <c r="J24" s="506">
        <v>40.751759999999997</v>
      </c>
      <c r="K24" s="506">
        <v>59.182000000000002</v>
      </c>
      <c r="L24" s="506">
        <v>8.0264000000000006</v>
      </c>
      <c r="M24" s="506">
        <v>4.8869599999999993</v>
      </c>
      <c r="N24" s="506">
        <v>2.4282400000000002</v>
      </c>
      <c r="O24" s="506"/>
      <c r="P24" s="506"/>
      <c r="Q24" s="603">
        <f t="shared" si="0"/>
        <v>129.09296000000001</v>
      </c>
      <c r="R24" s="506">
        <f>+'1.3.2 Coal1'!R29</f>
        <v>191.1096</v>
      </c>
      <c r="S24" s="506">
        <f>+'1.3.2 Coal1'!S29</f>
        <v>78.8416</v>
      </c>
      <c r="T24" s="506">
        <f>+'1.3.2 Coal1'!T29</f>
        <v>269.95119999999997</v>
      </c>
    </row>
    <row r="25" spans="1:22" x14ac:dyDescent="0.45">
      <c r="A25" s="14">
        <v>1915</v>
      </c>
      <c r="B25" s="506">
        <f>+'1.3.2 Coal1'!B30</f>
        <v>257.25119999999998</v>
      </c>
      <c r="C25" s="506"/>
      <c r="D25" s="506"/>
      <c r="E25" s="506">
        <v>18.237199999999998</v>
      </c>
      <c r="F25" s="506">
        <v>6.0248799999999996</v>
      </c>
      <c r="G25" s="506">
        <v>16.90624</v>
      </c>
      <c r="H25" s="506">
        <v>21.600160000000002</v>
      </c>
      <c r="I25" s="506">
        <v>14.224</v>
      </c>
      <c r="J25" s="506">
        <v>44.612559999999995</v>
      </c>
      <c r="K25" s="506">
        <v>56.194960000000002</v>
      </c>
      <c r="L25" s="506">
        <v>11.379199999999999</v>
      </c>
      <c r="M25" s="506">
        <v>3.9217599999999999</v>
      </c>
      <c r="N25" s="506">
        <v>2.0523199999999999</v>
      </c>
      <c r="O25" s="506"/>
      <c r="P25" s="506"/>
      <c r="Q25" s="603">
        <f t="shared" si="0"/>
        <v>132.38480000000001</v>
      </c>
      <c r="R25" s="506">
        <f>+'1.3.2 Coal1'!R30</f>
        <v>199.136</v>
      </c>
      <c r="S25" s="506">
        <f>+'1.3.2 Coal1'!S30</f>
        <v>58.115200000000002</v>
      </c>
      <c r="T25" s="506">
        <f>+'1.3.2 Coal1'!T30</f>
        <v>257.25119999999998</v>
      </c>
    </row>
    <row r="26" spans="1:22" x14ac:dyDescent="0.45">
      <c r="A26" s="14">
        <v>1916</v>
      </c>
      <c r="B26" s="506">
        <f>+'1.3.2 Coal1'!B31</f>
        <v>260.50239999999997</v>
      </c>
      <c r="C26" s="506"/>
      <c r="D26" s="506"/>
      <c r="E26" s="506">
        <v>18.115279999999998</v>
      </c>
      <c r="F26" s="506">
        <v>6.7360800000000003</v>
      </c>
      <c r="G26" s="506">
        <v>17.708880000000001</v>
      </c>
      <c r="H26" s="506">
        <v>22.920960000000001</v>
      </c>
      <c r="I26" s="506">
        <v>14.224</v>
      </c>
      <c r="J26" s="506">
        <v>44.2468</v>
      </c>
      <c r="K26" s="506">
        <v>59.131200000000007</v>
      </c>
      <c r="L26" s="506">
        <v>15.036800000000001</v>
      </c>
      <c r="M26" s="506">
        <v>4.2976800000000006</v>
      </c>
      <c r="N26" s="506">
        <v>1.78816</v>
      </c>
      <c r="O26" s="506"/>
      <c r="P26" s="506"/>
      <c r="Q26" s="603">
        <f t="shared" si="0"/>
        <v>138.72464000000002</v>
      </c>
      <c r="R26" s="506">
        <f>+'1.3.2 Coal1'!R31</f>
        <v>208.38159999999999</v>
      </c>
      <c r="S26" s="506">
        <f>+'1.3.2 Coal1'!S31</f>
        <v>52.120799999999996</v>
      </c>
      <c r="T26" s="506">
        <f>+'1.3.2 Coal1'!T31</f>
        <v>260.50239999999997</v>
      </c>
    </row>
    <row r="27" spans="1:22" x14ac:dyDescent="0.45">
      <c r="A27" s="14">
        <v>1917</v>
      </c>
      <c r="B27" s="506">
        <f>+'1.3.2 Coal1'!B32</f>
        <v>252.476</v>
      </c>
      <c r="C27" s="506"/>
      <c r="D27" s="506"/>
      <c r="E27" s="506">
        <v>17.586959999999998</v>
      </c>
      <c r="F27" s="506">
        <v>7.4472800000000001</v>
      </c>
      <c r="G27" s="506">
        <v>19.385279999999998</v>
      </c>
      <c r="H27" s="506">
        <v>22.890480000000004</v>
      </c>
      <c r="I27" s="506">
        <v>14.224</v>
      </c>
      <c r="J27" s="506">
        <v>41.930320000000002</v>
      </c>
      <c r="K27" s="506">
        <v>61.42736</v>
      </c>
      <c r="L27" s="506">
        <v>15.748000000000001</v>
      </c>
      <c r="M27" s="506">
        <v>4.5110400000000004</v>
      </c>
      <c r="N27" s="506">
        <v>1.31064</v>
      </c>
      <c r="O27" s="506"/>
      <c r="P27" s="506"/>
      <c r="Q27" s="603">
        <f t="shared" si="0"/>
        <v>139.15136000000001</v>
      </c>
      <c r="R27" s="506">
        <f>+'1.3.2 Coal1'!R32</f>
        <v>206.55280000000002</v>
      </c>
      <c r="S27" s="506">
        <f>+'1.3.2 Coal1'!S32</f>
        <v>45.923200000000001</v>
      </c>
      <c r="T27" s="506">
        <f>+'1.3.2 Coal1'!T32</f>
        <v>252.47600000000003</v>
      </c>
    </row>
    <row r="28" spans="1:22" x14ac:dyDescent="0.45">
      <c r="A28" s="14">
        <v>1918</v>
      </c>
      <c r="B28" s="506">
        <f>+'1.3.2 Coal1'!B33</f>
        <v>231.3432</v>
      </c>
      <c r="C28" s="506"/>
      <c r="D28" s="506"/>
      <c r="E28" s="506">
        <v>16.621759999999998</v>
      </c>
      <c r="F28" s="506">
        <v>7.13232</v>
      </c>
      <c r="G28" s="506">
        <v>17.79016</v>
      </c>
      <c r="H28" s="506">
        <v>22.341840000000001</v>
      </c>
      <c r="I28" s="506">
        <v>13.411199999999999</v>
      </c>
      <c r="J28" s="506">
        <v>35.234879999999997</v>
      </c>
      <c r="K28" s="506">
        <v>60.004960000000004</v>
      </c>
      <c r="L28" s="506">
        <v>15.951200000000002</v>
      </c>
      <c r="M28" s="506">
        <v>4.5110400000000004</v>
      </c>
      <c r="N28" s="506">
        <v>1.0464800000000001</v>
      </c>
      <c r="O28" s="506"/>
      <c r="P28" s="506"/>
      <c r="Q28" s="603">
        <f t="shared" si="0"/>
        <v>130.15976000000001</v>
      </c>
      <c r="R28" s="506">
        <f>+'1.3.2 Coal1'!R33</f>
        <v>190.1952</v>
      </c>
      <c r="S28" s="506">
        <f>+'1.3.2 Coal1'!S33</f>
        <v>41.148000000000003</v>
      </c>
      <c r="T28" s="506">
        <f>+'1.3.2 Coal1'!T33</f>
        <v>231.3432</v>
      </c>
    </row>
    <row r="29" spans="1:22" x14ac:dyDescent="0.45">
      <c r="A29" s="14">
        <v>1919</v>
      </c>
      <c r="B29" s="506">
        <f>+'1.3.2 Coal1'!B34</f>
        <v>233.47680000000003</v>
      </c>
      <c r="C29" s="506"/>
      <c r="D29" s="506"/>
      <c r="E29" s="506">
        <v>16.418559999999999</v>
      </c>
      <c r="F29" s="506">
        <v>7.2135999999999996</v>
      </c>
      <c r="G29" s="506">
        <v>17.851120000000002</v>
      </c>
      <c r="H29" s="506">
        <v>20.370799999999999</v>
      </c>
      <c r="I29" s="506">
        <v>13.411199999999999</v>
      </c>
      <c r="J29" s="506">
        <v>37.58184</v>
      </c>
      <c r="K29" s="506">
        <v>55.392319999999998</v>
      </c>
      <c r="L29" s="506">
        <v>10.16</v>
      </c>
      <c r="M29" s="506">
        <v>5.77088</v>
      </c>
      <c r="N29" s="506">
        <v>1.31064</v>
      </c>
      <c r="O29" s="506"/>
      <c r="P29" s="506"/>
      <c r="Q29" s="603">
        <f t="shared" si="0"/>
        <v>123.62688</v>
      </c>
      <c r="R29" s="506">
        <f>+'1.3.2 Coal1'!R34</f>
        <v>185.42000000000002</v>
      </c>
      <c r="S29" s="506">
        <f>+'1.3.2 Coal1'!S34</f>
        <v>48.056799999999996</v>
      </c>
      <c r="T29" s="506">
        <f>+'1.3.2 Coal1'!T34</f>
        <v>233.47680000000003</v>
      </c>
    </row>
    <row r="30" spans="1:22" x14ac:dyDescent="0.45">
      <c r="A30" s="14">
        <v>1920</v>
      </c>
      <c r="B30" s="506">
        <f>+'1.3.2 Coal1'!B35</f>
        <v>233.172</v>
      </c>
      <c r="C30" s="506"/>
      <c r="D30" s="506"/>
      <c r="E30" s="506">
        <v>17.754803200000001</v>
      </c>
      <c r="F30" s="506">
        <v>7.6386944000000003</v>
      </c>
      <c r="G30" s="506">
        <v>19.199961600000002</v>
      </c>
      <c r="H30" s="506">
        <v>19.509638399999996</v>
      </c>
      <c r="I30" s="506">
        <v>14.967711999999999</v>
      </c>
      <c r="J30" s="506">
        <v>41.86936</v>
      </c>
      <c r="K30" s="506">
        <v>53.665120000000009</v>
      </c>
      <c r="L30" s="506">
        <v>6.1569599999999998</v>
      </c>
      <c r="M30" s="506">
        <v>5.5880000000000001</v>
      </c>
      <c r="N30" s="506">
        <v>1.4528799999999999</v>
      </c>
      <c r="O30" s="506"/>
      <c r="P30" s="506"/>
      <c r="Q30" s="603">
        <f t="shared" si="0"/>
        <v>123.70003199999999</v>
      </c>
      <c r="R30" s="506">
        <f>+'1.3.2 Coal1'!R35</f>
        <v>193.75119999999998</v>
      </c>
      <c r="S30" s="506">
        <f>+'1.3.2 Coal1'!S35</f>
        <v>39.4208</v>
      </c>
      <c r="T30" s="506">
        <f>+'1.3.2 Coal1'!T35</f>
        <v>233.17199999999997</v>
      </c>
    </row>
    <row r="31" spans="1:22" x14ac:dyDescent="0.45">
      <c r="A31" s="14">
        <v>1921</v>
      </c>
      <c r="B31" s="506">
        <f>+'1.3.2 Coal1'!B36</f>
        <v>168.65600000000001</v>
      </c>
      <c r="C31" s="506"/>
      <c r="D31" s="506"/>
      <c r="E31" s="506">
        <v>14.1419072</v>
      </c>
      <c r="F31" s="506">
        <v>6.5032128</v>
      </c>
      <c r="G31" s="506">
        <v>17.238675199999999</v>
      </c>
      <c r="H31" s="506">
        <v>7.1225664000000011</v>
      </c>
      <c r="I31" s="506">
        <v>11.870944000000001</v>
      </c>
      <c r="J31" s="506">
        <v>33.74136</v>
      </c>
      <c r="K31" s="506">
        <v>36.769039999999997</v>
      </c>
      <c r="L31" s="506">
        <v>4.9580799999999998</v>
      </c>
      <c r="M31" s="506">
        <v>4.0640000000000001</v>
      </c>
      <c r="N31" s="506">
        <v>1.05664</v>
      </c>
      <c r="O31" s="506"/>
      <c r="P31" s="506"/>
      <c r="Q31" s="603">
        <f t="shared" si="0"/>
        <v>92.460064000000003</v>
      </c>
      <c r="R31" s="506">
        <f>+'1.3.2 Coal1'!R36</f>
        <v>132.4864</v>
      </c>
      <c r="S31" s="506">
        <f>+'1.3.2 Coal1'!S36</f>
        <v>36.169600000000003</v>
      </c>
      <c r="T31" s="506">
        <f>+'1.3.2 Coal1'!T36</f>
        <v>168.65600000000001</v>
      </c>
    </row>
    <row r="32" spans="1:22" x14ac:dyDescent="0.45">
      <c r="A32" s="14">
        <v>1922</v>
      </c>
      <c r="B32" s="506">
        <f>+'1.3.2 Coal1'!B37</f>
        <v>253.6952</v>
      </c>
      <c r="C32" s="506"/>
      <c r="D32" s="506"/>
      <c r="E32" s="506">
        <v>16.825772799999999</v>
      </c>
      <c r="F32" s="506">
        <v>7.0193408000000002</v>
      </c>
      <c r="G32" s="506">
        <v>17.135449600000001</v>
      </c>
      <c r="H32" s="506">
        <v>13.7290048</v>
      </c>
      <c r="I32" s="506">
        <v>13.7290048</v>
      </c>
      <c r="J32" s="506">
        <v>39.674799999999998</v>
      </c>
      <c r="K32" s="506">
        <v>46.278799999999997</v>
      </c>
      <c r="L32" s="506">
        <v>5.93344</v>
      </c>
      <c r="M32" s="506">
        <v>5.9232800000000001</v>
      </c>
      <c r="N32" s="506">
        <v>1.39192</v>
      </c>
      <c r="O32" s="506"/>
      <c r="P32" s="506"/>
      <c r="Q32" s="603">
        <f t="shared" si="0"/>
        <v>112.9312448</v>
      </c>
      <c r="R32" s="506">
        <f>+'1.3.2 Coal1'!R37</f>
        <v>169.87519999999998</v>
      </c>
      <c r="S32" s="506">
        <f>+'1.3.2 Coal1'!S37</f>
        <v>83.820000000000007</v>
      </c>
      <c r="T32" s="506">
        <f>+'1.3.2 Coal1'!T37</f>
        <v>253.6952</v>
      </c>
    </row>
    <row r="33" spans="1:20" x14ac:dyDescent="0.45">
      <c r="A33" s="14">
        <v>1923</v>
      </c>
      <c r="B33" s="506">
        <f>+'1.3.2 Coal1'!B38</f>
        <v>281.53360000000004</v>
      </c>
      <c r="C33" s="506"/>
      <c r="D33" s="506"/>
      <c r="E33" s="506">
        <v>17.445126399999996</v>
      </c>
      <c r="F33" s="506">
        <v>7.4322432000000003</v>
      </c>
      <c r="G33" s="506">
        <v>17.754803200000001</v>
      </c>
      <c r="H33" s="506">
        <v>20.438668800000002</v>
      </c>
      <c r="I33" s="506">
        <v>14.451584</v>
      </c>
      <c r="J33" s="506">
        <v>40.020240000000001</v>
      </c>
      <c r="K33" s="506">
        <v>50.627279999999999</v>
      </c>
      <c r="L33" s="506">
        <v>6.0553600000000003</v>
      </c>
      <c r="M33" s="506">
        <v>6.5735200000000003</v>
      </c>
      <c r="N33" s="506">
        <v>1.3716000000000002</v>
      </c>
      <c r="O33" s="506"/>
      <c r="P33" s="506"/>
      <c r="Q33" s="603">
        <f t="shared" si="0"/>
        <v>119.09958399999999</v>
      </c>
      <c r="R33" s="506">
        <f>+'1.3.2 Coal1'!R38</f>
        <v>182.5752</v>
      </c>
      <c r="S33" s="506">
        <f>+'1.3.2 Coal1'!S38</f>
        <v>98.958400000000012</v>
      </c>
      <c r="T33" s="506">
        <f>+'1.3.2 Coal1'!T38</f>
        <v>281.53359999999998</v>
      </c>
    </row>
    <row r="34" spans="1:20" x14ac:dyDescent="0.45">
      <c r="A34" s="14">
        <v>1924</v>
      </c>
      <c r="B34" s="506">
        <f>+'1.3.2 Coal1'!B39</f>
        <v>268.93520000000001</v>
      </c>
      <c r="C34" s="506"/>
      <c r="D34" s="506"/>
      <c r="E34" s="506">
        <v>17.135449600000001</v>
      </c>
      <c r="F34" s="506">
        <v>7.9483712000000004</v>
      </c>
      <c r="G34" s="506">
        <v>18.683833600000003</v>
      </c>
      <c r="H34" s="506">
        <v>19.509638399999996</v>
      </c>
      <c r="I34" s="506">
        <v>14.658035199999999</v>
      </c>
      <c r="J34" s="506">
        <v>42.539919999999995</v>
      </c>
      <c r="K34" s="506">
        <v>51.135280000000002</v>
      </c>
      <c r="L34" s="506">
        <v>6.3601599999999996</v>
      </c>
      <c r="M34" s="506">
        <v>6.6751200000000006</v>
      </c>
      <c r="N34" s="506">
        <v>1.5036799999999999</v>
      </c>
      <c r="O34" s="506"/>
      <c r="P34" s="506"/>
      <c r="Q34" s="603">
        <f t="shared" si="0"/>
        <v>122.87219519999999</v>
      </c>
      <c r="R34" s="506">
        <f>+'1.3.2 Coal1'!R39</f>
        <v>188.46799999999999</v>
      </c>
      <c r="S34" s="506">
        <f>+'1.3.2 Coal1'!S39</f>
        <v>80.467200000000005</v>
      </c>
      <c r="T34" s="506">
        <f>+'1.3.2 Coal1'!T39</f>
        <v>268.93520000000001</v>
      </c>
    </row>
    <row r="35" spans="1:20" x14ac:dyDescent="0.45">
      <c r="A35" s="14">
        <v>1925</v>
      </c>
      <c r="B35" s="506">
        <f>+'1.3.2 Coal1'!B40</f>
        <v>247.39600000000002</v>
      </c>
      <c r="C35" s="506"/>
      <c r="D35" s="506"/>
      <c r="E35" s="506">
        <v>15.896742400000001</v>
      </c>
      <c r="F35" s="506">
        <v>8.3612736000000005</v>
      </c>
      <c r="G35" s="506">
        <v>18.374156800000002</v>
      </c>
      <c r="H35" s="506">
        <v>16.928998399999998</v>
      </c>
      <c r="I35" s="506">
        <v>14.5548096</v>
      </c>
      <c r="J35" s="506">
        <v>42.001440000000002</v>
      </c>
      <c r="K35" s="506">
        <v>48.341279999999998</v>
      </c>
      <c r="L35" s="506">
        <v>6.1671200000000006</v>
      </c>
      <c r="M35" s="506">
        <v>6.1467999999999998</v>
      </c>
      <c r="N35" s="506">
        <v>1.3716000000000002</v>
      </c>
      <c r="O35" s="506"/>
      <c r="P35" s="506"/>
      <c r="Q35" s="603">
        <f t="shared" si="0"/>
        <v>118.5830496</v>
      </c>
      <c r="R35" s="506">
        <f>+'1.3.2 Coal1'!R40</f>
        <v>179.22240000000002</v>
      </c>
      <c r="S35" s="506">
        <f>+'1.3.2 Coal1'!S40</f>
        <v>68.173599999999993</v>
      </c>
      <c r="T35" s="506">
        <f>+'1.3.2 Coal1'!T40</f>
        <v>247.39600000000002</v>
      </c>
    </row>
    <row r="36" spans="1:20" x14ac:dyDescent="0.45">
      <c r="A36" s="14">
        <v>1926</v>
      </c>
      <c r="B36" s="506">
        <f>+'1.3.2 Coal1'!B41</f>
        <v>151.79040000000001</v>
      </c>
      <c r="C36" s="506"/>
      <c r="D36" s="506"/>
      <c r="E36" s="506">
        <v>7.8451455999999995</v>
      </c>
      <c r="F36" s="506">
        <v>8.5677248000000006</v>
      </c>
      <c r="G36" s="506">
        <v>17.858028800000003</v>
      </c>
      <c r="H36" s="506">
        <v>7.3290175999999994</v>
      </c>
      <c r="I36" s="506">
        <v>12.4902976</v>
      </c>
      <c r="J36" s="506">
        <v>33.375599999999999</v>
      </c>
      <c r="K36" s="506">
        <v>32.451039999999999</v>
      </c>
      <c r="L36" s="506">
        <v>4.6634399999999996</v>
      </c>
      <c r="M36" s="506">
        <v>2.3063199999999999</v>
      </c>
      <c r="N36" s="506">
        <v>0.87375999999999998</v>
      </c>
      <c r="O36" s="506"/>
      <c r="P36" s="506"/>
      <c r="Q36" s="603">
        <f t="shared" si="0"/>
        <v>86.160457599999987</v>
      </c>
      <c r="R36" s="506">
        <f>+'1.3.2 Coal1'!R41</f>
        <v>123.24079999999999</v>
      </c>
      <c r="S36" s="506">
        <f>+'1.3.2 Coal1'!S41</f>
        <v>28.549600000000002</v>
      </c>
      <c r="T36" s="506">
        <f>+'1.3.2 Coal1'!T41</f>
        <v>151.79040000000001</v>
      </c>
    </row>
    <row r="37" spans="1:20" x14ac:dyDescent="0.45">
      <c r="A37" s="14">
        <v>1927</v>
      </c>
      <c r="B37" s="506">
        <f>+'1.3.2 Coal1'!B42</f>
        <v>255.11760000000001</v>
      </c>
      <c r="C37" s="506"/>
      <c r="D37" s="506"/>
      <c r="E37" s="506">
        <v>15.070937600000001</v>
      </c>
      <c r="F37" s="506">
        <v>9.2903040000000008</v>
      </c>
      <c r="G37" s="506">
        <v>19.096736</v>
      </c>
      <c r="H37" s="506">
        <v>17.961254400000001</v>
      </c>
      <c r="I37" s="506">
        <v>14.761260800000001</v>
      </c>
      <c r="J37" s="506">
        <v>45.374559999999995</v>
      </c>
      <c r="K37" s="506">
        <v>48.910240000000002</v>
      </c>
      <c r="L37" s="506">
        <v>6.35</v>
      </c>
      <c r="M37" s="506">
        <v>5.6794399999999996</v>
      </c>
      <c r="N37" s="506">
        <v>1.39192</v>
      </c>
      <c r="O37" s="506"/>
      <c r="P37" s="506"/>
      <c r="Q37" s="603">
        <f t="shared" si="0"/>
        <v>122.46742079999999</v>
      </c>
      <c r="R37" s="506">
        <f>+'1.3.2 Coal1'!R42</f>
        <v>186.33440000000002</v>
      </c>
      <c r="S37" s="506">
        <f>+'1.3.2 Coal1'!S42</f>
        <v>68.783200000000008</v>
      </c>
      <c r="T37" s="506">
        <f>+'1.3.2 Coal1'!T42</f>
        <v>255.11760000000004</v>
      </c>
    </row>
    <row r="38" spans="1:20" x14ac:dyDescent="0.45">
      <c r="A38" s="14">
        <v>1928</v>
      </c>
      <c r="B38" s="506">
        <f>+'1.3.2 Coal1'!B43</f>
        <v>241.7064</v>
      </c>
      <c r="C38" s="506"/>
      <c r="D38" s="506"/>
      <c r="E38" s="506">
        <v>13.935456000000002</v>
      </c>
      <c r="F38" s="506">
        <v>9.5999808000000009</v>
      </c>
      <c r="G38" s="506">
        <v>18.8902848</v>
      </c>
      <c r="H38" s="506">
        <v>17.961254400000001</v>
      </c>
      <c r="I38" s="506">
        <v>14.245132800000002</v>
      </c>
      <c r="J38" s="506">
        <v>42.468799999999995</v>
      </c>
      <c r="K38" s="506">
        <v>44.277279999999998</v>
      </c>
      <c r="L38" s="506">
        <v>5.9131200000000002</v>
      </c>
      <c r="M38" s="506">
        <v>5.2425600000000001</v>
      </c>
      <c r="N38" s="506">
        <v>1.4223999999999999</v>
      </c>
      <c r="O38" s="506"/>
      <c r="P38" s="506"/>
      <c r="Q38" s="603">
        <f t="shared" si="0"/>
        <v>113.5692928</v>
      </c>
      <c r="R38" s="506">
        <f>+'1.3.2 Coal1'!R43</f>
        <v>174.04080000000002</v>
      </c>
      <c r="S38" s="506">
        <f>+'1.3.2 Coal1'!S43</f>
        <v>67.665599999999998</v>
      </c>
      <c r="T38" s="506">
        <f>+'1.3.2 Coal1'!T43</f>
        <v>241.70640000000003</v>
      </c>
    </row>
    <row r="39" spans="1:20" x14ac:dyDescent="0.45">
      <c r="A39" s="14">
        <v>1929</v>
      </c>
      <c r="B39" s="506">
        <f>+'1.3.2 Coal1'!B44</f>
        <v>262.12799999999999</v>
      </c>
      <c r="C39" s="506"/>
      <c r="D39" s="506"/>
      <c r="E39" s="506">
        <v>14.1419072</v>
      </c>
      <c r="F39" s="506">
        <v>10.116108800000001</v>
      </c>
      <c r="G39" s="506">
        <v>19.199961600000002</v>
      </c>
      <c r="H39" s="506">
        <v>20.645120000000002</v>
      </c>
      <c r="I39" s="506">
        <v>14.5548096</v>
      </c>
      <c r="J39" s="506">
        <v>44.541440000000001</v>
      </c>
      <c r="K39" s="506">
        <v>45.140880000000003</v>
      </c>
      <c r="L39" s="506">
        <v>6.0756800000000002</v>
      </c>
      <c r="M39" s="506">
        <v>5.3136800000000006</v>
      </c>
      <c r="N39" s="506">
        <v>1.5748</v>
      </c>
      <c r="O39" s="506"/>
      <c r="P39" s="506"/>
      <c r="Q39" s="603">
        <f t="shared" si="0"/>
        <v>117.20128960000001</v>
      </c>
      <c r="R39" s="506">
        <f>+'1.3.2 Coal1'!R44</f>
        <v>184.404</v>
      </c>
      <c r="S39" s="506">
        <f>+'1.3.2 Coal1'!S44</f>
        <v>77.724000000000004</v>
      </c>
      <c r="T39" s="506">
        <f>+'1.3.2 Coal1'!T44</f>
        <v>262.12799999999999</v>
      </c>
    </row>
    <row r="40" spans="1:20" x14ac:dyDescent="0.45">
      <c r="A40" s="14">
        <v>1930</v>
      </c>
      <c r="B40" s="506">
        <f>+'1.3.2 Coal1'!B45</f>
        <v>246.0752</v>
      </c>
      <c r="C40" s="506"/>
      <c r="D40" s="506"/>
      <c r="E40" s="506">
        <v>13.935456000000002</v>
      </c>
      <c r="F40" s="506">
        <v>10.012883200000001</v>
      </c>
      <c r="G40" s="506">
        <v>18.993510399999998</v>
      </c>
      <c r="H40" s="506">
        <v>17.754803200000001</v>
      </c>
      <c r="I40" s="506">
        <v>14.0386816</v>
      </c>
      <c r="J40" s="506">
        <v>43.738799999999998</v>
      </c>
      <c r="K40" s="506">
        <v>41.564560000000007</v>
      </c>
      <c r="L40" s="506">
        <v>5.9029599999999993</v>
      </c>
      <c r="M40" s="506">
        <v>5.1409599999999998</v>
      </c>
      <c r="N40" s="506">
        <v>1.4732000000000001</v>
      </c>
      <c r="O40" s="506"/>
      <c r="P40" s="506"/>
      <c r="Q40" s="603">
        <f t="shared" si="0"/>
        <v>111.85916160000001</v>
      </c>
      <c r="R40" s="506">
        <f>+'1.3.2 Coal1'!R45</f>
        <v>174.65040000000002</v>
      </c>
      <c r="S40" s="506">
        <f>+'1.3.2 Coal1'!S45</f>
        <v>71.424800000000005</v>
      </c>
      <c r="T40" s="506">
        <f>+'1.3.2 Coal1'!T45</f>
        <v>246.07520000000002</v>
      </c>
    </row>
    <row r="41" spans="1:20" x14ac:dyDescent="0.45">
      <c r="A41" s="14">
        <v>1931</v>
      </c>
      <c r="B41" s="506">
        <f>+'1.3.2 Coal1'!B46</f>
        <v>220.06559999999999</v>
      </c>
      <c r="C41" s="506"/>
      <c r="D41" s="506"/>
      <c r="E41" s="506">
        <v>13.0064256</v>
      </c>
      <c r="F41" s="506">
        <v>9.909657600000001</v>
      </c>
      <c r="G41" s="506">
        <v>18.683833600000003</v>
      </c>
      <c r="H41" s="506">
        <v>13.1096512</v>
      </c>
      <c r="I41" s="506">
        <v>13.419328</v>
      </c>
      <c r="J41" s="506">
        <v>42.71264</v>
      </c>
      <c r="K41" s="506">
        <v>39.542720000000003</v>
      </c>
      <c r="L41" s="506">
        <v>5.8115199999999998</v>
      </c>
      <c r="M41" s="506">
        <v>4.8564800000000004</v>
      </c>
      <c r="N41" s="506">
        <v>1.3614400000000002</v>
      </c>
      <c r="O41" s="506"/>
      <c r="P41" s="506"/>
      <c r="Q41" s="603">
        <f t="shared" si="0"/>
        <v>107.70412800000001</v>
      </c>
      <c r="R41" s="506">
        <f>+'1.3.2 Coal1'!R46</f>
        <v>162.05199999999999</v>
      </c>
      <c r="S41" s="506">
        <f>+'1.3.2 Coal1'!S46</f>
        <v>58.013600000000004</v>
      </c>
      <c r="T41" s="506">
        <f>+'1.3.2 Coal1'!T46</f>
        <v>220.06559999999999</v>
      </c>
    </row>
    <row r="42" spans="1:20" x14ac:dyDescent="0.45">
      <c r="A42" s="14">
        <v>1932</v>
      </c>
      <c r="B42" s="506">
        <f>+'1.3.2 Coal1'!B47</f>
        <v>212.852</v>
      </c>
      <c r="C42" s="506"/>
      <c r="D42" s="506"/>
      <c r="E42" s="506">
        <v>12.387072</v>
      </c>
      <c r="F42" s="506">
        <v>10.116108800000001</v>
      </c>
      <c r="G42" s="506">
        <v>18.2709312</v>
      </c>
      <c r="H42" s="506">
        <v>13.1096512</v>
      </c>
      <c r="I42" s="506">
        <v>12.7999744</v>
      </c>
      <c r="J42" s="506">
        <v>40.49776</v>
      </c>
      <c r="K42" s="506">
        <v>38.049200000000006</v>
      </c>
      <c r="L42" s="506">
        <v>5.5778400000000001</v>
      </c>
      <c r="M42" s="506">
        <v>4.5618400000000001</v>
      </c>
      <c r="N42" s="506">
        <v>1.3614400000000002</v>
      </c>
      <c r="O42" s="506"/>
      <c r="P42" s="506"/>
      <c r="Q42" s="603">
        <f t="shared" si="0"/>
        <v>102.84805440000001</v>
      </c>
      <c r="R42" s="506">
        <f>+'1.3.2 Coal1'!R47</f>
        <v>159.10560000000001</v>
      </c>
      <c r="S42" s="506">
        <f>+'1.3.2 Coal1'!S47</f>
        <v>53.746400000000008</v>
      </c>
      <c r="T42" s="506">
        <f>+'1.3.2 Coal1'!T47</f>
        <v>212.85200000000003</v>
      </c>
    </row>
    <row r="43" spans="1:20" x14ac:dyDescent="0.45">
      <c r="A43" s="14">
        <v>1933</v>
      </c>
      <c r="B43" s="506">
        <f>+'1.3.2 Coal1'!B48</f>
        <v>212.03919999999999</v>
      </c>
      <c r="C43" s="506"/>
      <c r="D43" s="506"/>
      <c r="E43" s="506">
        <v>11.974169600000002</v>
      </c>
      <c r="F43" s="506">
        <v>10.632236800000001</v>
      </c>
      <c r="G43" s="506">
        <v>17.961254400000001</v>
      </c>
      <c r="H43" s="506">
        <v>13.5225536</v>
      </c>
      <c r="I43" s="506">
        <v>12.7999744</v>
      </c>
      <c r="J43" s="506">
        <v>41.554400000000001</v>
      </c>
      <c r="K43" s="506">
        <v>40.010080000000002</v>
      </c>
      <c r="L43" s="506">
        <v>5.6997600000000004</v>
      </c>
      <c r="M43" s="506">
        <v>4.2671999999999999</v>
      </c>
      <c r="N43" s="506">
        <v>1.3716000000000002</v>
      </c>
      <c r="O43" s="506"/>
      <c r="P43" s="506"/>
      <c r="Q43" s="603">
        <f t="shared" si="0"/>
        <v>105.7030144</v>
      </c>
      <c r="R43" s="506">
        <f>+'1.3.2 Coal1'!R48</f>
        <v>159.00399999999999</v>
      </c>
      <c r="S43" s="506">
        <f>+'1.3.2 Coal1'!S48</f>
        <v>53.035199999999996</v>
      </c>
      <c r="T43" s="506">
        <f>+'1.3.2 Coal1'!T48</f>
        <v>212.03919999999999</v>
      </c>
    </row>
    <row r="44" spans="1:20" x14ac:dyDescent="0.45">
      <c r="A44" s="14">
        <v>1934</v>
      </c>
      <c r="B44" s="506">
        <f>+'1.3.2 Coal1'!B49</f>
        <v>224.2312</v>
      </c>
      <c r="C44" s="506"/>
      <c r="D44" s="506"/>
      <c r="E44" s="506">
        <v>12.0773952</v>
      </c>
      <c r="F44" s="506">
        <v>11.5612672</v>
      </c>
      <c r="G44" s="506">
        <v>18.4773824</v>
      </c>
      <c r="H44" s="506">
        <v>17.445126399999996</v>
      </c>
      <c r="I44" s="506">
        <v>13.3161024</v>
      </c>
      <c r="J44" s="506">
        <v>42.753279999999997</v>
      </c>
      <c r="K44" s="506">
        <v>42.682159999999996</v>
      </c>
      <c r="L44" s="506">
        <v>5.8928000000000003</v>
      </c>
      <c r="M44" s="506">
        <v>4.3179999999999996</v>
      </c>
      <c r="N44" s="506">
        <v>1.4223999999999999</v>
      </c>
      <c r="O44" s="506"/>
      <c r="P44" s="506"/>
      <c r="Q44" s="603">
        <f t="shared" si="0"/>
        <v>110.38474239999998</v>
      </c>
      <c r="R44" s="506">
        <f>+'1.3.2 Coal1'!R49</f>
        <v>170.48480000000001</v>
      </c>
      <c r="S44" s="506">
        <f>+'1.3.2 Coal1'!S49</f>
        <v>53.746400000000001</v>
      </c>
      <c r="T44" s="506">
        <f>+'1.3.2 Coal1'!T49</f>
        <v>224.2312</v>
      </c>
    </row>
    <row r="45" spans="1:20" x14ac:dyDescent="0.45">
      <c r="A45" s="14">
        <v>1935</v>
      </c>
      <c r="B45" s="506">
        <f>+'1.3.2 Coal1'!B50</f>
        <v>227.38080000000002</v>
      </c>
      <c r="C45" s="506"/>
      <c r="D45" s="506"/>
      <c r="E45" s="506">
        <v>11.974169600000002</v>
      </c>
      <c r="F45" s="506">
        <v>12.5935232</v>
      </c>
      <c r="G45" s="506">
        <v>18.580608000000002</v>
      </c>
      <c r="H45" s="506">
        <v>17.961254400000001</v>
      </c>
      <c r="I45" s="506">
        <v>13.419328</v>
      </c>
      <c r="J45" s="506">
        <v>44.104559999999999</v>
      </c>
      <c r="K45" s="506">
        <v>44.846240000000002</v>
      </c>
      <c r="L45" s="506">
        <v>6.0858400000000001</v>
      </c>
      <c r="M45" s="506">
        <v>4.2671999999999999</v>
      </c>
      <c r="N45" s="506">
        <v>1.4223999999999999</v>
      </c>
      <c r="O45" s="506"/>
      <c r="P45" s="506"/>
      <c r="Q45" s="603">
        <f t="shared" si="0"/>
        <v>114.145568</v>
      </c>
      <c r="R45" s="506">
        <f>+'1.3.2 Coal1'!R50</f>
        <v>175.66640000000001</v>
      </c>
      <c r="S45" s="506">
        <f>+'1.3.2 Coal1'!S50</f>
        <v>51.714399999999998</v>
      </c>
      <c r="T45" s="506">
        <f>+'1.3.2 Coal1'!T50</f>
        <v>227.38080000000002</v>
      </c>
    </row>
    <row r="46" spans="1:20" x14ac:dyDescent="0.45">
      <c r="A46" s="14">
        <v>1936</v>
      </c>
      <c r="B46" s="506">
        <f>+'1.3.2 Coal1'!B51</f>
        <v>232.15600000000001</v>
      </c>
      <c r="C46" s="506"/>
      <c r="D46" s="506"/>
      <c r="E46" s="506">
        <v>12.180620800000002</v>
      </c>
      <c r="F46" s="506">
        <v>14.0386816</v>
      </c>
      <c r="G46" s="506">
        <v>19.716089600000004</v>
      </c>
      <c r="H46" s="506">
        <v>20.7483456</v>
      </c>
      <c r="I46" s="506">
        <v>13.935456000000002</v>
      </c>
      <c r="J46" s="506">
        <v>45.466000000000001</v>
      </c>
      <c r="K46" s="506">
        <v>46.644560000000006</v>
      </c>
      <c r="L46" s="506">
        <v>6.2484000000000002</v>
      </c>
      <c r="M46" s="506">
        <v>4.3992800000000001</v>
      </c>
      <c r="N46" s="506">
        <v>1.4325599999999998</v>
      </c>
      <c r="O46" s="506"/>
      <c r="P46" s="506"/>
      <c r="Q46" s="603">
        <f t="shared" si="0"/>
        <v>118.12625600000001</v>
      </c>
      <c r="R46" s="506">
        <f>+'1.3.2 Coal1'!R51</f>
        <v>185.11519999999999</v>
      </c>
      <c r="S46" s="506">
        <f>+'1.3.2 Coal1'!S51</f>
        <v>47.040799999999997</v>
      </c>
      <c r="T46" s="506">
        <f>+'1.3.2 Coal1'!T51</f>
        <v>232.15599999999998</v>
      </c>
    </row>
    <row r="47" spans="1:20" x14ac:dyDescent="0.45">
      <c r="A47" s="14">
        <v>1937</v>
      </c>
      <c r="B47" s="506">
        <f>+'1.3.2 Coal1'!B52</f>
        <v>244.7544</v>
      </c>
      <c r="C47" s="506"/>
      <c r="D47" s="506"/>
      <c r="E47" s="506">
        <v>12.5935232</v>
      </c>
      <c r="F47" s="506">
        <v>15.277388800000001</v>
      </c>
      <c r="G47" s="506">
        <v>20.025766400000002</v>
      </c>
      <c r="H47" s="506">
        <v>22.606406400000001</v>
      </c>
      <c r="I47" s="506">
        <v>14.245132800000002</v>
      </c>
      <c r="J47" s="506">
        <v>46.177200000000006</v>
      </c>
      <c r="K47" s="506">
        <v>47.93488</v>
      </c>
      <c r="L47" s="506">
        <v>6.35</v>
      </c>
      <c r="M47" s="506">
        <v>4.58216</v>
      </c>
      <c r="N47" s="506">
        <v>1.3817600000000001</v>
      </c>
      <c r="O47" s="506"/>
      <c r="P47" s="506"/>
      <c r="Q47" s="603">
        <f t="shared" si="0"/>
        <v>120.67113280000001</v>
      </c>
      <c r="R47" s="506">
        <f>+'1.3.2 Coal1'!R52</f>
        <v>192.12559999999999</v>
      </c>
      <c r="S47" s="506">
        <f>+'1.3.2 Coal1'!S52</f>
        <v>52.628799999999998</v>
      </c>
      <c r="T47" s="506">
        <f>+'1.3.2 Coal1'!T52</f>
        <v>244.75439999999998</v>
      </c>
    </row>
    <row r="48" spans="1:20" x14ac:dyDescent="0.45">
      <c r="A48" s="14">
        <v>1938</v>
      </c>
      <c r="B48" s="506">
        <f>+'1.3.2 Coal1'!B53</f>
        <v>227.68559999999999</v>
      </c>
      <c r="C48" s="506"/>
      <c r="D48" s="506"/>
      <c r="E48" s="506">
        <v>12.283846400000002</v>
      </c>
      <c r="F48" s="506">
        <v>15.380614400000001</v>
      </c>
      <c r="G48" s="506">
        <v>19.716089600000004</v>
      </c>
      <c r="H48" s="506">
        <v>19.716089600000004</v>
      </c>
      <c r="I48" s="506">
        <v>13.625779199999998</v>
      </c>
      <c r="J48" s="506">
        <v>45.526960000000003</v>
      </c>
      <c r="K48" s="506">
        <v>46.004480000000001</v>
      </c>
      <c r="L48" s="506">
        <v>6.2991999999999999</v>
      </c>
      <c r="M48" s="506">
        <v>4.6532800000000005</v>
      </c>
      <c r="N48" s="506">
        <v>1.2903200000000001</v>
      </c>
      <c r="O48" s="506"/>
      <c r="P48" s="506"/>
      <c r="Q48" s="603">
        <f t="shared" si="0"/>
        <v>117.40001919999999</v>
      </c>
      <c r="R48" s="506">
        <f>+'1.3.2 Coal1'!R53</f>
        <v>180.84800000000001</v>
      </c>
      <c r="S48" s="506">
        <f>+'1.3.2 Coal1'!S53</f>
        <v>46.837600000000002</v>
      </c>
      <c r="T48" s="506">
        <f>+'1.3.2 Coal1'!T53</f>
        <v>227.68560000000002</v>
      </c>
    </row>
    <row r="49" spans="1:20" x14ac:dyDescent="0.45">
      <c r="A49" s="14">
        <v>1939</v>
      </c>
      <c r="B49" s="506"/>
      <c r="C49" s="506"/>
      <c r="D49" s="506"/>
      <c r="E49" s="506"/>
      <c r="F49" s="506"/>
      <c r="G49" s="506"/>
      <c r="H49" s="506"/>
      <c r="I49" s="940"/>
      <c r="J49" s="940"/>
      <c r="K49" s="940"/>
      <c r="L49" s="940"/>
      <c r="M49" s="940"/>
      <c r="N49" s="940"/>
      <c r="O49" s="940"/>
      <c r="P49" s="506"/>
      <c r="Q49" s="603"/>
      <c r="R49" s="506"/>
      <c r="S49" s="506"/>
      <c r="T49" s="506"/>
    </row>
    <row r="50" spans="1:20" x14ac:dyDescent="0.45">
      <c r="A50" s="14">
        <v>1940</v>
      </c>
      <c r="B50" s="506"/>
      <c r="C50" s="506"/>
      <c r="D50" s="506"/>
      <c r="E50" s="506"/>
      <c r="F50" s="506"/>
      <c r="G50" s="506"/>
      <c r="H50" s="506"/>
      <c r="I50" s="940"/>
      <c r="J50" s="940"/>
      <c r="K50" s="940"/>
      <c r="L50" s="940"/>
      <c r="M50" s="940"/>
      <c r="N50" s="940"/>
      <c r="O50" s="940"/>
      <c r="P50" s="506"/>
      <c r="Q50" s="603"/>
      <c r="R50" s="506"/>
      <c r="S50" s="506"/>
      <c r="T50" s="506"/>
    </row>
    <row r="51" spans="1:20" x14ac:dyDescent="0.45">
      <c r="A51" s="14">
        <v>1941</v>
      </c>
      <c r="B51" s="506"/>
      <c r="C51" s="506"/>
      <c r="D51" s="506"/>
      <c r="E51" s="506"/>
      <c r="F51" s="506"/>
      <c r="G51" s="506"/>
      <c r="H51" s="506"/>
      <c r="I51" s="940"/>
      <c r="J51" s="940"/>
      <c r="K51" s="940"/>
      <c r="L51" s="940"/>
      <c r="M51" s="940"/>
      <c r="N51" s="940"/>
      <c r="O51" s="940"/>
      <c r="P51" s="506"/>
      <c r="Q51" s="603"/>
      <c r="R51" s="506"/>
      <c r="S51" s="506"/>
      <c r="T51" s="506"/>
    </row>
    <row r="52" spans="1:20" x14ac:dyDescent="0.45">
      <c r="A52" s="14">
        <v>1942</v>
      </c>
      <c r="B52" s="506"/>
      <c r="C52" s="506"/>
      <c r="D52" s="506"/>
      <c r="E52" s="506"/>
      <c r="F52" s="506"/>
      <c r="G52" s="506"/>
      <c r="H52" s="506"/>
      <c r="I52" s="940"/>
      <c r="J52" s="940"/>
      <c r="K52" s="940"/>
      <c r="L52" s="940"/>
      <c r="M52" s="940"/>
      <c r="N52" s="940"/>
      <c r="O52" s="940"/>
      <c r="P52" s="506"/>
      <c r="Q52" s="603"/>
      <c r="R52" s="506"/>
      <c r="S52" s="506"/>
      <c r="T52" s="506"/>
    </row>
    <row r="53" spans="1:20" x14ac:dyDescent="0.45">
      <c r="A53" s="14">
        <v>1943</v>
      </c>
      <c r="B53" s="506"/>
      <c r="C53" s="506"/>
      <c r="D53" s="506"/>
      <c r="E53" s="506"/>
      <c r="F53" s="506"/>
      <c r="G53" s="506"/>
      <c r="H53" s="506"/>
      <c r="I53" s="940"/>
      <c r="J53" s="940"/>
      <c r="K53" s="940"/>
      <c r="L53" s="940"/>
      <c r="M53" s="940"/>
      <c r="N53" s="940"/>
      <c r="O53" s="940"/>
      <c r="P53" s="506"/>
      <c r="Q53" s="603"/>
      <c r="R53" s="506"/>
      <c r="S53" s="506"/>
      <c r="T53" s="506"/>
    </row>
    <row r="54" spans="1:20" x14ac:dyDescent="0.45">
      <c r="A54" s="14">
        <v>1944</v>
      </c>
      <c r="B54" s="506"/>
      <c r="C54" s="506"/>
      <c r="D54" s="506"/>
      <c r="E54" s="506"/>
      <c r="F54" s="506"/>
      <c r="G54" s="506"/>
      <c r="H54" s="506"/>
      <c r="I54" s="940"/>
      <c r="J54" s="940"/>
      <c r="K54" s="940"/>
      <c r="L54" s="940"/>
      <c r="M54" s="940"/>
      <c r="N54" s="940"/>
      <c r="O54" s="940"/>
      <c r="P54" s="506"/>
      <c r="Q54" s="603"/>
      <c r="R54" s="506"/>
      <c r="S54" s="506"/>
      <c r="T54" s="506"/>
    </row>
    <row r="55" spans="1:20" x14ac:dyDescent="0.45">
      <c r="A55" s="14">
        <v>1945</v>
      </c>
      <c r="B55" s="506"/>
      <c r="C55" s="506"/>
      <c r="D55" s="506"/>
      <c r="E55" s="506"/>
      <c r="F55" s="506"/>
      <c r="G55" s="506"/>
      <c r="H55" s="506"/>
      <c r="I55" s="506"/>
      <c r="J55" s="506"/>
      <c r="K55" s="506"/>
      <c r="L55" s="506"/>
      <c r="M55" s="506"/>
      <c r="N55" s="506"/>
      <c r="O55" s="506"/>
      <c r="P55" s="506"/>
      <c r="Q55" s="603"/>
      <c r="R55" s="506"/>
      <c r="S55" s="506"/>
      <c r="T55" s="506"/>
    </row>
    <row r="56" spans="1:20" x14ac:dyDescent="0.45">
      <c r="A56" s="14">
        <v>1946</v>
      </c>
      <c r="B56" s="506"/>
      <c r="C56" s="506"/>
      <c r="D56" s="506"/>
      <c r="E56" s="506"/>
      <c r="F56" s="506"/>
      <c r="G56" s="506"/>
      <c r="H56" s="506"/>
      <c r="I56" s="506"/>
      <c r="J56" s="506"/>
      <c r="K56" s="506"/>
      <c r="L56" s="506"/>
      <c r="M56" s="506"/>
      <c r="N56" s="506"/>
      <c r="O56" s="506"/>
      <c r="P56" s="506"/>
      <c r="Q56" s="603"/>
      <c r="R56" s="506"/>
      <c r="S56" s="506"/>
      <c r="T56" s="506"/>
    </row>
    <row r="57" spans="1:20" x14ac:dyDescent="0.45">
      <c r="A57" s="14">
        <v>1947</v>
      </c>
      <c r="B57" s="506"/>
      <c r="C57" s="506"/>
      <c r="D57" s="506"/>
      <c r="E57" s="506"/>
      <c r="F57" s="506"/>
      <c r="G57" s="506"/>
      <c r="H57" s="506"/>
      <c r="I57" s="506"/>
      <c r="J57" s="506"/>
      <c r="K57" s="506"/>
      <c r="L57" s="506"/>
      <c r="M57" s="506"/>
      <c r="N57" s="506"/>
      <c r="O57" s="506"/>
      <c r="P57" s="506"/>
      <c r="Q57" s="603"/>
      <c r="R57" s="506"/>
      <c r="S57" s="506"/>
      <c r="T57" s="506"/>
    </row>
    <row r="58" spans="1:20" x14ac:dyDescent="0.45">
      <c r="A58" s="14">
        <v>1948</v>
      </c>
      <c r="B58" s="506"/>
      <c r="C58" s="506"/>
      <c r="D58" s="506"/>
      <c r="E58" s="506"/>
      <c r="F58" s="506"/>
      <c r="G58" s="506"/>
      <c r="H58" s="506"/>
      <c r="I58" s="506"/>
      <c r="J58" s="506"/>
      <c r="K58" s="506"/>
      <c r="L58" s="506"/>
      <c r="M58" s="506"/>
      <c r="N58" s="506"/>
      <c r="O58" s="506"/>
      <c r="P58" s="506"/>
      <c r="Q58" s="603"/>
      <c r="R58" s="506"/>
      <c r="S58" s="506"/>
      <c r="T58" s="506"/>
    </row>
    <row r="59" spans="1:20" x14ac:dyDescent="0.45">
      <c r="A59" s="14">
        <v>1949</v>
      </c>
      <c r="B59" s="506"/>
      <c r="C59" s="506"/>
      <c r="D59" s="506"/>
      <c r="E59" s="506"/>
      <c r="F59" s="506"/>
      <c r="G59" s="506"/>
      <c r="H59" s="506"/>
      <c r="I59" s="506"/>
      <c r="J59" s="506"/>
      <c r="K59" s="506"/>
      <c r="L59" s="506"/>
      <c r="M59" s="506"/>
      <c r="N59" s="506"/>
      <c r="O59" s="506"/>
      <c r="P59" s="506"/>
      <c r="Q59" s="603"/>
      <c r="R59" s="506"/>
      <c r="S59" s="506"/>
      <c r="T59" s="506"/>
    </row>
    <row r="60" spans="1:20" x14ac:dyDescent="0.45">
      <c r="A60" s="14">
        <v>1950</v>
      </c>
      <c r="B60" s="506"/>
      <c r="C60" s="506"/>
      <c r="D60" s="506"/>
      <c r="E60" s="506"/>
      <c r="F60" s="506"/>
      <c r="G60" s="506"/>
      <c r="H60" s="506"/>
      <c r="I60" s="506"/>
      <c r="J60" s="506"/>
      <c r="K60" s="506"/>
      <c r="L60" s="506"/>
      <c r="M60" s="506"/>
      <c r="N60" s="506"/>
      <c r="O60" s="506"/>
      <c r="P60" s="506"/>
      <c r="Q60" s="603"/>
      <c r="R60" s="506"/>
      <c r="S60" s="506"/>
      <c r="T60" s="506"/>
    </row>
    <row r="61" spans="1:20" x14ac:dyDescent="0.45">
      <c r="A61" s="14">
        <v>1951</v>
      </c>
      <c r="B61" s="506"/>
      <c r="C61" s="506"/>
      <c r="D61" s="506"/>
      <c r="E61" s="506"/>
      <c r="F61" s="506"/>
      <c r="G61" s="506"/>
      <c r="H61" s="506"/>
      <c r="I61" s="506"/>
      <c r="J61" s="506"/>
      <c r="K61" s="506"/>
      <c r="L61" s="506"/>
      <c r="M61" s="506"/>
      <c r="N61" s="506"/>
      <c r="O61" s="506"/>
      <c r="P61" s="506"/>
      <c r="Q61" s="603"/>
      <c r="R61" s="506"/>
      <c r="S61" s="506"/>
      <c r="T61" s="506"/>
    </row>
    <row r="62" spans="1:20" x14ac:dyDescent="0.45">
      <c r="A62" s="14">
        <v>1952</v>
      </c>
      <c r="B62" s="506"/>
      <c r="C62" s="506"/>
      <c r="D62" s="506"/>
      <c r="E62" s="506"/>
      <c r="F62" s="506"/>
      <c r="G62" s="506"/>
      <c r="H62" s="506"/>
      <c r="I62" s="506"/>
      <c r="J62" s="506"/>
      <c r="K62" s="506"/>
      <c r="L62" s="506"/>
      <c r="M62" s="506"/>
      <c r="N62" s="506"/>
      <c r="O62" s="506"/>
      <c r="P62" s="506"/>
      <c r="Q62" s="603"/>
      <c r="R62" s="506"/>
      <c r="S62" s="506"/>
      <c r="T62" s="506"/>
    </row>
    <row r="63" spans="1:20" x14ac:dyDescent="0.45">
      <c r="A63" s="14">
        <v>1953</v>
      </c>
      <c r="B63" s="506"/>
      <c r="C63" s="506"/>
      <c r="D63" s="506"/>
      <c r="E63" s="506"/>
      <c r="F63" s="506"/>
      <c r="G63" s="506"/>
      <c r="H63" s="506"/>
      <c r="I63" s="506"/>
      <c r="J63" s="506"/>
      <c r="K63" s="506"/>
      <c r="L63" s="506"/>
      <c r="M63" s="506"/>
      <c r="N63" s="506"/>
      <c r="O63" s="506"/>
      <c r="P63" s="506"/>
      <c r="Q63" s="603"/>
      <c r="R63" s="506"/>
      <c r="S63" s="506"/>
      <c r="T63" s="506"/>
    </row>
    <row r="64" spans="1:20" x14ac:dyDescent="0.45">
      <c r="A64" s="14">
        <v>1954</v>
      </c>
      <c r="B64" s="506"/>
      <c r="C64" s="506"/>
      <c r="D64" s="506"/>
      <c r="E64" s="506"/>
      <c r="F64" s="506"/>
      <c r="G64" s="506"/>
      <c r="H64" s="506"/>
      <c r="I64" s="506"/>
      <c r="J64" s="506"/>
      <c r="K64" s="506"/>
      <c r="L64" s="506"/>
      <c r="M64" s="506"/>
      <c r="N64" s="506"/>
      <c r="O64" s="506"/>
      <c r="P64" s="506"/>
      <c r="Q64" s="603"/>
      <c r="R64" s="506"/>
      <c r="S64" s="506"/>
      <c r="T64" s="506"/>
    </row>
    <row r="65" spans="1:20" x14ac:dyDescent="0.45">
      <c r="A65" s="14">
        <v>1955</v>
      </c>
      <c r="B65" s="506"/>
      <c r="C65" s="506"/>
      <c r="D65" s="506"/>
      <c r="E65" s="506"/>
      <c r="F65" s="506"/>
      <c r="G65" s="506"/>
      <c r="H65" s="506"/>
      <c r="I65" s="506"/>
      <c r="J65" s="506"/>
      <c r="K65" s="506"/>
      <c r="L65" s="506"/>
      <c r="M65" s="506"/>
      <c r="N65" s="506"/>
      <c r="O65" s="506"/>
      <c r="P65" s="506"/>
      <c r="Q65" s="603"/>
      <c r="R65" s="506"/>
      <c r="S65" s="506"/>
      <c r="T65" s="506"/>
    </row>
    <row r="66" spans="1:20" x14ac:dyDescent="0.45">
      <c r="A66" s="14">
        <v>1956</v>
      </c>
      <c r="B66" s="506"/>
      <c r="C66" s="506"/>
      <c r="D66" s="506"/>
      <c r="E66" s="506"/>
      <c r="F66" s="506"/>
      <c r="G66" s="506"/>
      <c r="H66" s="506"/>
      <c r="I66" s="506"/>
      <c r="J66" s="506"/>
      <c r="K66" s="506"/>
      <c r="L66" s="506"/>
      <c r="M66" s="506"/>
      <c r="N66" s="506"/>
      <c r="O66" s="506"/>
      <c r="P66" s="506"/>
      <c r="Q66" s="603"/>
      <c r="R66" s="506"/>
      <c r="S66" s="506"/>
      <c r="T66" s="506"/>
    </row>
    <row r="67" spans="1:20" x14ac:dyDescent="0.45">
      <c r="A67" s="14">
        <v>1957</v>
      </c>
      <c r="B67" s="506"/>
      <c r="C67" s="506"/>
      <c r="D67" s="506"/>
      <c r="E67" s="506"/>
      <c r="F67" s="506"/>
      <c r="G67" s="506"/>
      <c r="H67" s="506"/>
      <c r="I67" s="506"/>
      <c r="J67" s="506"/>
      <c r="K67" s="506"/>
      <c r="L67" s="506"/>
      <c r="M67" s="506"/>
      <c r="N67" s="506"/>
      <c r="O67" s="506"/>
      <c r="P67" s="506"/>
      <c r="Q67" s="603"/>
      <c r="R67" s="506"/>
      <c r="S67" s="506"/>
      <c r="T67" s="506"/>
    </row>
    <row r="68" spans="1:20" x14ac:dyDescent="0.45">
      <c r="A68" s="14">
        <v>1958</v>
      </c>
      <c r="B68" s="506"/>
      <c r="C68" s="506"/>
      <c r="D68" s="506"/>
      <c r="E68" s="506"/>
      <c r="F68" s="506"/>
      <c r="G68" s="506"/>
      <c r="H68" s="506"/>
      <c r="I68" s="506"/>
      <c r="J68" s="506"/>
      <c r="K68" s="506"/>
      <c r="L68" s="506"/>
      <c r="M68" s="506"/>
      <c r="N68" s="506"/>
      <c r="O68" s="506"/>
      <c r="P68" s="506"/>
      <c r="Q68" s="603"/>
      <c r="R68" s="506"/>
      <c r="S68" s="506"/>
      <c r="T68" s="506"/>
    </row>
    <row r="69" spans="1:20" x14ac:dyDescent="0.45">
      <c r="A69" s="14">
        <v>1959</v>
      </c>
      <c r="B69" s="506"/>
      <c r="C69" s="506"/>
      <c r="D69" s="506"/>
      <c r="E69" s="506"/>
      <c r="F69" s="506"/>
      <c r="G69" s="506"/>
      <c r="H69" s="506"/>
      <c r="I69" s="506"/>
      <c r="J69" s="506"/>
      <c r="K69" s="506"/>
      <c r="L69" s="506"/>
      <c r="M69" s="506"/>
      <c r="N69" s="506"/>
      <c r="O69" s="506"/>
      <c r="P69" s="506"/>
      <c r="Q69" s="603"/>
      <c r="R69" s="506"/>
      <c r="S69" s="506"/>
      <c r="T69" s="506"/>
    </row>
    <row r="70" spans="1:20" x14ac:dyDescent="0.45">
      <c r="A70" s="14">
        <v>1960</v>
      </c>
      <c r="B70" s="506"/>
      <c r="C70" s="506"/>
      <c r="D70" s="506"/>
      <c r="E70" s="506"/>
      <c r="F70" s="506"/>
      <c r="G70" s="506"/>
      <c r="H70" s="506"/>
      <c r="I70" s="506"/>
      <c r="J70" s="506"/>
      <c r="K70" s="506"/>
      <c r="L70" s="506"/>
      <c r="M70" s="506"/>
      <c r="N70" s="506"/>
      <c r="O70" s="506"/>
      <c r="P70" s="506"/>
      <c r="Q70" s="603"/>
      <c r="R70" s="506"/>
      <c r="S70" s="506"/>
      <c r="T70" s="506"/>
    </row>
    <row r="71" spans="1:20" x14ac:dyDescent="0.45">
      <c r="A71" s="14">
        <v>1961</v>
      </c>
      <c r="B71" s="506"/>
      <c r="C71" s="506"/>
      <c r="D71" s="506"/>
      <c r="E71" s="506"/>
      <c r="F71" s="506"/>
      <c r="G71" s="506"/>
      <c r="H71" s="506"/>
      <c r="I71" s="506"/>
      <c r="J71" s="506"/>
      <c r="K71" s="506"/>
      <c r="L71" s="506"/>
      <c r="M71" s="506"/>
      <c r="N71" s="506"/>
      <c r="O71" s="506"/>
      <c r="P71" s="506"/>
      <c r="Q71" s="603"/>
      <c r="R71" s="506"/>
      <c r="S71" s="506"/>
      <c r="T71" s="506"/>
    </row>
    <row r="72" spans="1:20" x14ac:dyDescent="0.45">
      <c r="A72" s="14">
        <v>1962</v>
      </c>
      <c r="B72" s="506"/>
      <c r="C72" s="506"/>
      <c r="D72" s="506"/>
      <c r="E72" s="506"/>
      <c r="F72" s="506"/>
      <c r="G72" s="506"/>
      <c r="H72" s="506"/>
      <c r="I72" s="506"/>
      <c r="J72" s="506"/>
      <c r="K72" s="506"/>
      <c r="L72" s="506"/>
      <c r="M72" s="506"/>
      <c r="N72" s="506"/>
      <c r="O72" s="506"/>
      <c r="P72" s="506"/>
      <c r="Q72" s="603"/>
      <c r="R72" s="506"/>
      <c r="S72" s="506"/>
      <c r="T72" s="506"/>
    </row>
    <row r="73" spans="1:20" x14ac:dyDescent="0.45">
      <c r="A73" s="14">
        <v>1963</v>
      </c>
      <c r="B73" s="506"/>
      <c r="C73" s="506"/>
      <c r="D73" s="506"/>
      <c r="E73" s="506"/>
      <c r="F73" s="506"/>
      <c r="G73" s="506"/>
      <c r="H73" s="506"/>
      <c r="I73" s="506"/>
      <c r="J73" s="506"/>
      <c r="K73" s="506"/>
      <c r="L73" s="506"/>
      <c r="M73" s="506"/>
      <c r="N73" s="506"/>
      <c r="O73" s="506"/>
      <c r="P73" s="506"/>
      <c r="Q73" s="603"/>
      <c r="R73" s="506"/>
      <c r="S73" s="506"/>
      <c r="T73" s="506"/>
    </row>
    <row r="74" spans="1:20" x14ac:dyDescent="0.45">
      <c r="A74" s="14">
        <v>1964</v>
      </c>
      <c r="B74" s="506"/>
      <c r="C74" s="506"/>
      <c r="D74" s="506"/>
      <c r="E74" s="506"/>
      <c r="F74" s="506"/>
      <c r="G74" s="506"/>
      <c r="H74" s="506"/>
      <c r="I74" s="506"/>
      <c r="J74" s="506"/>
      <c r="K74" s="506"/>
      <c r="L74" s="506"/>
      <c r="M74" s="506"/>
      <c r="N74" s="506"/>
      <c r="O74" s="506"/>
      <c r="P74" s="506"/>
      <c r="Q74" s="603"/>
      <c r="R74" s="506"/>
      <c r="S74" s="506"/>
      <c r="T74" s="506"/>
    </row>
    <row r="75" spans="1:20" x14ac:dyDescent="0.45">
      <c r="A75" s="14">
        <v>1965</v>
      </c>
      <c r="B75" s="506"/>
      <c r="C75" s="506"/>
      <c r="D75" s="506"/>
      <c r="E75" s="506"/>
      <c r="F75" s="506"/>
      <c r="G75" s="506"/>
      <c r="H75" s="506"/>
      <c r="I75" s="506"/>
      <c r="J75" s="506"/>
      <c r="K75" s="506"/>
      <c r="L75" s="506"/>
      <c r="M75" s="506"/>
      <c r="N75" s="506"/>
      <c r="O75" s="506"/>
      <c r="P75" s="506"/>
      <c r="Q75" s="603"/>
      <c r="R75" s="506"/>
      <c r="S75" s="506"/>
      <c r="T75" s="506"/>
    </row>
    <row r="76" spans="1:20" x14ac:dyDescent="0.45">
      <c r="A76" s="14">
        <v>1966</v>
      </c>
      <c r="B76" s="506"/>
      <c r="C76" s="506"/>
      <c r="D76" s="506"/>
      <c r="E76" s="506"/>
      <c r="F76" s="506"/>
      <c r="G76" s="506"/>
      <c r="H76" s="506"/>
      <c r="I76" s="506"/>
      <c r="J76" s="506"/>
      <c r="K76" s="506"/>
      <c r="L76" s="506"/>
      <c r="M76" s="506"/>
      <c r="N76" s="506"/>
      <c r="O76" s="506"/>
      <c r="P76" s="506"/>
      <c r="Q76" s="603"/>
      <c r="R76" s="506"/>
      <c r="S76" s="506"/>
      <c r="T76" s="506"/>
    </row>
    <row r="77" spans="1:20" x14ac:dyDescent="0.45">
      <c r="A77" s="14">
        <v>1967</v>
      </c>
      <c r="B77" s="506"/>
      <c r="C77" s="506"/>
      <c r="D77" s="506"/>
      <c r="E77" s="506"/>
      <c r="F77" s="506"/>
      <c r="G77" s="506"/>
      <c r="H77" s="506"/>
      <c r="I77" s="506"/>
      <c r="J77" s="506"/>
      <c r="K77" s="506"/>
      <c r="L77" s="506"/>
      <c r="M77" s="506"/>
      <c r="N77" s="506"/>
      <c r="O77" s="506"/>
      <c r="P77" s="506"/>
      <c r="Q77" s="603"/>
      <c r="R77" s="506"/>
      <c r="S77" s="506"/>
      <c r="T77" s="506"/>
    </row>
    <row r="78" spans="1:20" x14ac:dyDescent="0.45">
      <c r="A78" s="14">
        <v>1968</v>
      </c>
      <c r="B78" s="506"/>
      <c r="C78" s="506"/>
      <c r="D78" s="506"/>
      <c r="E78" s="506"/>
      <c r="F78" s="506"/>
      <c r="G78" s="506"/>
      <c r="H78" s="506"/>
      <c r="I78" s="506"/>
      <c r="J78" s="506"/>
      <c r="K78" s="506"/>
      <c r="L78" s="506"/>
      <c r="M78" s="506"/>
      <c r="N78" s="506"/>
      <c r="O78" s="506"/>
      <c r="P78" s="506"/>
      <c r="Q78" s="603"/>
      <c r="R78" s="506"/>
      <c r="S78" s="506"/>
      <c r="T78" s="506"/>
    </row>
    <row r="79" spans="1:20" x14ac:dyDescent="0.45">
      <c r="A79" s="14">
        <v>1969</v>
      </c>
      <c r="B79" s="506"/>
      <c r="C79" s="506"/>
      <c r="D79" s="506"/>
      <c r="E79" s="506"/>
      <c r="F79" s="506"/>
      <c r="G79" s="506"/>
      <c r="H79" s="506"/>
      <c r="I79" s="506"/>
      <c r="J79" s="506"/>
      <c r="K79" s="506"/>
      <c r="L79" s="506"/>
      <c r="M79" s="506"/>
      <c r="N79" s="506"/>
      <c r="O79" s="506"/>
      <c r="P79" s="506"/>
      <c r="Q79" s="603"/>
      <c r="R79" s="506"/>
      <c r="S79" s="506"/>
      <c r="T79" s="506"/>
    </row>
    <row r="80" spans="1:20" x14ac:dyDescent="0.45">
      <c r="A80" s="14">
        <v>1970</v>
      </c>
      <c r="B80" s="506"/>
      <c r="C80" s="506"/>
      <c r="D80" s="506"/>
      <c r="E80" s="506"/>
      <c r="F80" s="506"/>
      <c r="G80" s="506"/>
      <c r="H80" s="506"/>
      <c r="I80" s="506"/>
      <c r="J80" s="506"/>
      <c r="K80" s="506"/>
      <c r="L80" s="506"/>
      <c r="M80" s="506"/>
      <c r="N80" s="506"/>
      <c r="O80" s="506"/>
      <c r="P80" s="506"/>
      <c r="Q80" s="603"/>
      <c r="R80" s="506"/>
      <c r="S80" s="506"/>
      <c r="T80" s="506"/>
    </row>
    <row r="81" spans="1:20" x14ac:dyDescent="0.45">
      <c r="A81" s="14">
        <v>1971</v>
      </c>
      <c r="B81" s="506"/>
      <c r="C81" s="506"/>
      <c r="D81" s="506"/>
      <c r="E81" s="506"/>
      <c r="F81" s="506"/>
      <c r="G81" s="506"/>
      <c r="H81" s="506"/>
      <c r="I81" s="506"/>
      <c r="J81" s="506"/>
      <c r="K81" s="506"/>
      <c r="L81" s="506"/>
      <c r="M81" s="506"/>
      <c r="N81" s="506"/>
      <c r="O81" s="506"/>
      <c r="P81" s="506"/>
      <c r="Q81" s="603"/>
      <c r="R81" s="506"/>
      <c r="S81" s="506"/>
      <c r="T81" s="506"/>
    </row>
    <row r="82" spans="1:20" x14ac:dyDescent="0.45">
      <c r="A82" s="14">
        <v>1972</v>
      </c>
      <c r="B82" s="506"/>
      <c r="C82" s="506"/>
      <c r="D82" s="506"/>
      <c r="E82" s="506"/>
      <c r="F82" s="506"/>
      <c r="G82" s="506"/>
      <c r="H82" s="506"/>
      <c r="I82" s="506"/>
      <c r="J82" s="506"/>
      <c r="K82" s="506"/>
      <c r="L82" s="506"/>
      <c r="M82" s="506"/>
      <c r="N82" s="506"/>
      <c r="O82" s="506"/>
      <c r="P82" s="506"/>
      <c r="Q82" s="603"/>
      <c r="R82" s="506"/>
      <c r="S82" s="506"/>
      <c r="T82" s="506"/>
    </row>
    <row r="83" spans="1:20" x14ac:dyDescent="0.45">
      <c r="A83" s="14">
        <v>1973</v>
      </c>
      <c r="B83" s="506"/>
      <c r="C83" s="506"/>
      <c r="D83" s="506"/>
      <c r="E83" s="506"/>
      <c r="F83" s="506"/>
      <c r="G83" s="506"/>
      <c r="H83" s="506"/>
      <c r="I83" s="506"/>
      <c r="J83" s="506"/>
      <c r="K83" s="506"/>
      <c r="L83" s="506"/>
      <c r="M83" s="506"/>
      <c r="N83" s="506"/>
      <c r="O83" s="506"/>
      <c r="P83" s="506"/>
      <c r="Q83" s="603"/>
      <c r="R83" s="506"/>
      <c r="S83" s="506"/>
      <c r="T83" s="506"/>
    </row>
    <row r="84" spans="1:20" x14ac:dyDescent="0.45">
      <c r="A84" s="14">
        <v>1974</v>
      </c>
      <c r="B84" s="506"/>
      <c r="C84" s="506"/>
      <c r="D84" s="506"/>
      <c r="E84" s="506"/>
      <c r="F84" s="506"/>
      <c r="G84" s="506"/>
      <c r="H84" s="506"/>
      <c r="I84" s="506"/>
      <c r="J84" s="506"/>
      <c r="K84" s="506"/>
      <c r="L84" s="506"/>
      <c r="M84" s="506"/>
      <c r="N84" s="506"/>
      <c r="O84" s="506"/>
      <c r="P84" s="506"/>
      <c r="Q84" s="603"/>
      <c r="R84" s="506"/>
      <c r="S84" s="506"/>
      <c r="T84" s="506"/>
    </row>
    <row r="85" spans="1:20" x14ac:dyDescent="0.45">
      <c r="A85" s="14">
        <v>1975</v>
      </c>
      <c r="B85" s="506"/>
      <c r="C85" s="506"/>
      <c r="D85" s="506"/>
      <c r="E85" s="506"/>
      <c r="F85" s="506"/>
      <c r="G85" s="506"/>
      <c r="H85" s="506"/>
      <c r="I85" s="506"/>
      <c r="J85" s="506"/>
      <c r="K85" s="506"/>
      <c r="L85" s="506"/>
      <c r="M85" s="506"/>
      <c r="N85" s="506"/>
      <c r="O85" s="506"/>
      <c r="P85" s="506"/>
      <c r="Q85" s="603"/>
      <c r="R85" s="506"/>
      <c r="S85" s="506"/>
      <c r="T85" s="506"/>
    </row>
    <row r="86" spans="1:20" x14ac:dyDescent="0.45">
      <c r="A86" s="14">
        <v>1976</v>
      </c>
      <c r="B86" s="506"/>
      <c r="C86" s="506"/>
      <c r="D86" s="506"/>
      <c r="E86" s="506"/>
      <c r="F86" s="506"/>
      <c r="G86" s="506"/>
      <c r="H86" s="506"/>
      <c r="I86" s="506"/>
      <c r="J86" s="506"/>
      <c r="K86" s="506"/>
      <c r="L86" s="506"/>
      <c r="M86" s="506"/>
      <c r="N86" s="506"/>
      <c r="O86" s="506"/>
      <c r="P86" s="506"/>
      <c r="Q86" s="603"/>
      <c r="R86" s="506"/>
      <c r="S86" s="506"/>
      <c r="T86" s="506"/>
    </row>
    <row r="87" spans="1:20" x14ac:dyDescent="0.45">
      <c r="A87" s="14">
        <v>1977</v>
      </c>
      <c r="B87" s="506"/>
      <c r="C87" s="506"/>
      <c r="D87" s="506"/>
      <c r="E87" s="506"/>
      <c r="F87" s="506"/>
      <c r="G87" s="506"/>
      <c r="H87" s="506"/>
      <c r="I87" s="506"/>
      <c r="J87" s="506"/>
      <c r="K87" s="506"/>
      <c r="L87" s="506"/>
      <c r="M87" s="506"/>
      <c r="N87" s="506"/>
      <c r="O87" s="506"/>
      <c r="P87" s="506"/>
      <c r="Q87" s="603"/>
      <c r="R87" s="506"/>
      <c r="S87" s="506"/>
      <c r="T87" s="506"/>
    </row>
    <row r="88" spans="1:20" x14ac:dyDescent="0.45">
      <c r="A88" s="14">
        <v>1978</v>
      </c>
      <c r="B88" s="506"/>
      <c r="C88" s="506"/>
      <c r="D88" s="506"/>
      <c r="E88" s="506"/>
      <c r="F88" s="506"/>
      <c r="G88" s="506"/>
      <c r="H88" s="506"/>
      <c r="I88" s="506"/>
      <c r="J88" s="506"/>
      <c r="K88" s="506"/>
      <c r="L88" s="506"/>
      <c r="M88" s="506"/>
      <c r="N88" s="506"/>
      <c r="O88" s="506"/>
      <c r="P88" s="506"/>
      <c r="Q88" s="603"/>
      <c r="R88" s="506"/>
      <c r="S88" s="506"/>
      <c r="T88" s="506"/>
    </row>
    <row r="89" spans="1:20" x14ac:dyDescent="0.45">
      <c r="A89" s="14">
        <v>1979</v>
      </c>
      <c r="B89" s="506"/>
      <c r="C89" s="506"/>
      <c r="D89" s="506"/>
      <c r="E89" s="506"/>
      <c r="F89" s="506"/>
      <c r="G89" s="506"/>
      <c r="H89" s="506"/>
      <c r="I89" s="506"/>
      <c r="J89" s="506"/>
      <c r="K89" s="506"/>
      <c r="L89" s="506"/>
      <c r="M89" s="506"/>
      <c r="N89" s="506"/>
      <c r="O89" s="506"/>
      <c r="P89" s="506"/>
      <c r="Q89" s="603"/>
      <c r="R89" s="506"/>
      <c r="S89" s="506"/>
      <c r="T89" s="506"/>
    </row>
    <row r="90" spans="1:20" x14ac:dyDescent="0.45">
      <c r="A90" s="14">
        <v>1980</v>
      </c>
      <c r="B90" s="506"/>
      <c r="C90" s="506"/>
      <c r="D90" s="506"/>
      <c r="E90" s="506"/>
      <c r="F90" s="506"/>
      <c r="G90" s="506"/>
      <c r="H90" s="506"/>
      <c r="I90" s="506"/>
      <c r="J90" s="506"/>
      <c r="K90" s="506"/>
      <c r="L90" s="506"/>
      <c r="M90" s="506"/>
      <c r="N90" s="506"/>
      <c r="O90" s="506"/>
      <c r="P90" s="506"/>
      <c r="Q90" s="603"/>
      <c r="R90" s="506"/>
      <c r="S90" s="506"/>
      <c r="T90" s="506"/>
    </row>
    <row r="91" spans="1:20" x14ac:dyDescent="0.45">
      <c r="A91" s="14">
        <v>1981</v>
      </c>
      <c r="B91" s="506"/>
      <c r="C91" s="506"/>
      <c r="D91" s="506"/>
      <c r="E91" s="506"/>
      <c r="F91" s="506"/>
      <c r="G91" s="506"/>
      <c r="H91" s="506"/>
      <c r="I91" s="506"/>
      <c r="J91" s="506"/>
      <c r="K91" s="506"/>
      <c r="L91" s="506"/>
      <c r="M91" s="506"/>
      <c r="N91" s="506"/>
      <c r="O91" s="506"/>
      <c r="P91" s="506"/>
      <c r="Q91" s="603"/>
      <c r="R91" s="506"/>
      <c r="S91" s="506"/>
      <c r="T91" s="506"/>
    </row>
    <row r="92" spans="1:20" x14ac:dyDescent="0.45">
      <c r="A92" s="14">
        <v>1982</v>
      </c>
      <c r="B92" s="506"/>
      <c r="C92" s="506"/>
      <c r="D92" s="506"/>
      <c r="E92" s="506"/>
      <c r="F92" s="506"/>
      <c r="G92" s="506"/>
      <c r="H92" s="506"/>
      <c r="I92" s="506"/>
      <c r="J92" s="506"/>
      <c r="K92" s="506"/>
      <c r="L92" s="506"/>
      <c r="M92" s="506"/>
      <c r="N92" s="506"/>
      <c r="O92" s="506"/>
      <c r="P92" s="506"/>
      <c r="Q92" s="603"/>
      <c r="R92" s="506"/>
      <c r="S92" s="506"/>
      <c r="T92" s="506"/>
    </row>
    <row r="93" spans="1:20" x14ac:dyDescent="0.45">
      <c r="A93" s="14">
        <v>1983</v>
      </c>
      <c r="B93" s="506"/>
      <c r="C93" s="506"/>
      <c r="D93" s="506"/>
      <c r="E93" s="506"/>
      <c r="F93" s="506"/>
      <c r="G93" s="506"/>
      <c r="H93" s="506"/>
      <c r="I93" s="506"/>
      <c r="J93" s="506"/>
      <c r="K93" s="506"/>
      <c r="L93" s="506"/>
      <c r="M93" s="506"/>
      <c r="N93" s="506"/>
      <c r="O93" s="506"/>
      <c r="P93" s="506"/>
      <c r="Q93" s="603"/>
      <c r="R93" s="506"/>
      <c r="S93" s="506"/>
      <c r="T93" s="506"/>
    </row>
    <row r="94" spans="1:20" x14ac:dyDescent="0.45">
      <c r="A94" s="14">
        <v>1984</v>
      </c>
      <c r="B94" s="506"/>
      <c r="C94" s="506"/>
      <c r="D94" s="506"/>
      <c r="E94" s="506"/>
      <c r="F94" s="506"/>
      <c r="G94" s="506"/>
      <c r="H94" s="506"/>
      <c r="I94" s="506"/>
      <c r="J94" s="506"/>
      <c r="K94" s="506"/>
      <c r="L94" s="506"/>
      <c r="M94" s="506"/>
      <c r="N94" s="506"/>
      <c r="O94" s="506"/>
      <c r="P94" s="506"/>
      <c r="Q94" s="603"/>
      <c r="R94" s="506"/>
      <c r="S94" s="506"/>
      <c r="T94" s="506"/>
    </row>
    <row r="95" spans="1:20" x14ac:dyDescent="0.45">
      <c r="A95" s="14">
        <v>1985</v>
      </c>
      <c r="B95" s="506"/>
      <c r="C95" s="506"/>
      <c r="D95" s="506"/>
      <c r="E95" s="506"/>
      <c r="F95" s="506"/>
      <c r="G95" s="506"/>
      <c r="H95" s="506"/>
      <c r="I95" s="506"/>
      <c r="J95" s="506"/>
      <c r="K95" s="506"/>
      <c r="L95" s="506"/>
      <c r="M95" s="506"/>
      <c r="N95" s="506"/>
      <c r="O95" s="506"/>
      <c r="P95" s="506"/>
      <c r="Q95" s="603"/>
      <c r="R95" s="506"/>
      <c r="S95" s="506"/>
      <c r="T95" s="506"/>
    </row>
    <row r="96" spans="1:20" x14ac:dyDescent="0.45">
      <c r="A96" s="14">
        <v>1986</v>
      </c>
      <c r="B96" s="506"/>
      <c r="C96" s="506"/>
      <c r="D96" s="506"/>
      <c r="E96" s="506"/>
      <c r="F96" s="506"/>
      <c r="G96" s="506"/>
      <c r="H96" s="506"/>
      <c r="I96" s="506"/>
      <c r="J96" s="506"/>
      <c r="K96" s="506"/>
      <c r="L96" s="506"/>
      <c r="M96" s="506"/>
      <c r="N96" s="506"/>
      <c r="O96" s="506"/>
      <c r="P96" s="506"/>
      <c r="Q96" s="603"/>
      <c r="R96" s="506"/>
      <c r="S96" s="506"/>
      <c r="T96" s="506"/>
    </row>
    <row r="97" spans="1:20" x14ac:dyDescent="0.45">
      <c r="A97" s="14">
        <v>1987</v>
      </c>
      <c r="B97" s="506"/>
      <c r="C97" s="506"/>
      <c r="D97" s="506"/>
      <c r="E97" s="506"/>
      <c r="F97" s="506"/>
      <c r="G97" s="506"/>
      <c r="H97" s="506"/>
      <c r="I97" s="506"/>
      <c r="J97" s="506"/>
      <c r="K97" s="506"/>
      <c r="L97" s="506"/>
      <c r="M97" s="506"/>
      <c r="N97" s="506"/>
      <c r="O97" s="506"/>
      <c r="P97" s="506"/>
      <c r="Q97" s="603"/>
      <c r="R97" s="506"/>
      <c r="S97" s="506"/>
      <c r="T97" s="506"/>
    </row>
    <row r="98" spans="1:20" x14ac:dyDescent="0.45">
      <c r="A98" s="14">
        <v>1988</v>
      </c>
      <c r="B98" s="506"/>
      <c r="C98" s="506"/>
      <c r="D98" s="506"/>
      <c r="E98" s="506"/>
      <c r="F98" s="506"/>
      <c r="G98" s="506"/>
      <c r="H98" s="506"/>
      <c r="I98" s="506"/>
      <c r="J98" s="506"/>
      <c r="K98" s="506"/>
      <c r="L98" s="506"/>
      <c r="M98" s="506"/>
      <c r="N98" s="506"/>
      <c r="O98" s="506"/>
      <c r="P98" s="506"/>
      <c r="Q98" s="603"/>
      <c r="R98" s="506"/>
      <c r="S98" s="506"/>
      <c r="T98" s="506"/>
    </row>
    <row r="99" spans="1:20" x14ac:dyDescent="0.45">
      <c r="A99" s="14">
        <v>1989</v>
      </c>
      <c r="B99" s="506"/>
      <c r="C99" s="506"/>
      <c r="D99" s="506"/>
      <c r="E99" s="506"/>
      <c r="F99" s="506"/>
      <c r="G99" s="506"/>
      <c r="H99" s="506"/>
      <c r="I99" s="506"/>
      <c r="J99" s="506"/>
      <c r="K99" s="506"/>
      <c r="L99" s="506"/>
      <c r="M99" s="506"/>
      <c r="N99" s="506"/>
      <c r="O99" s="506"/>
      <c r="P99" s="506"/>
      <c r="Q99" s="603"/>
      <c r="R99" s="506"/>
      <c r="S99" s="506"/>
      <c r="T99" s="506"/>
    </row>
    <row r="100" spans="1:20" x14ac:dyDescent="0.45">
      <c r="A100" s="14">
        <v>1990</v>
      </c>
      <c r="B100" s="506"/>
      <c r="C100" s="506"/>
      <c r="D100" s="506"/>
      <c r="E100" s="506"/>
      <c r="F100" s="506"/>
      <c r="G100" s="506"/>
      <c r="H100" s="506"/>
      <c r="I100" s="506"/>
      <c r="J100" s="506"/>
      <c r="K100" s="506"/>
      <c r="L100" s="506"/>
      <c r="M100" s="506"/>
      <c r="N100" s="506"/>
      <c r="O100" s="506"/>
      <c r="P100" s="506"/>
      <c r="Q100" s="603"/>
      <c r="R100" s="506"/>
      <c r="S100" s="506"/>
      <c r="T100" s="506"/>
    </row>
    <row r="101" spans="1:20" x14ac:dyDescent="0.45">
      <c r="A101" s="14">
        <v>1991</v>
      </c>
      <c r="B101" s="506"/>
      <c r="C101" s="506"/>
      <c r="D101" s="506"/>
      <c r="E101" s="506"/>
      <c r="F101" s="506"/>
      <c r="G101" s="506"/>
      <c r="H101" s="506"/>
      <c r="I101" s="506"/>
      <c r="J101" s="506"/>
      <c r="K101" s="506"/>
      <c r="L101" s="506"/>
      <c r="M101" s="506"/>
      <c r="N101" s="506"/>
      <c r="O101" s="506"/>
      <c r="P101" s="506"/>
      <c r="Q101" s="603"/>
      <c r="R101" s="506"/>
      <c r="S101" s="506"/>
      <c r="T101" s="506"/>
    </row>
    <row r="102" spans="1:20" x14ac:dyDescent="0.45">
      <c r="A102" s="14">
        <v>1992</v>
      </c>
      <c r="B102" s="506"/>
      <c r="C102" s="506"/>
      <c r="D102" s="506"/>
      <c r="E102" s="506"/>
      <c r="F102" s="506"/>
      <c r="G102" s="506"/>
      <c r="H102" s="506"/>
      <c r="I102" s="506"/>
      <c r="J102" s="506"/>
      <c r="K102" s="506"/>
      <c r="L102" s="506"/>
      <c r="M102" s="506"/>
      <c r="N102" s="506"/>
      <c r="O102" s="506"/>
      <c r="P102" s="506"/>
      <c r="Q102" s="603"/>
      <c r="R102" s="506"/>
      <c r="S102" s="506"/>
      <c r="T102" s="506"/>
    </row>
    <row r="103" spans="1:20" x14ac:dyDescent="0.45">
      <c r="A103" s="14">
        <v>1993</v>
      </c>
      <c r="B103" s="506"/>
      <c r="C103" s="506"/>
      <c r="D103" s="506"/>
      <c r="E103" s="506"/>
      <c r="F103" s="506"/>
      <c r="G103" s="506"/>
      <c r="H103" s="506"/>
      <c r="I103" s="506"/>
      <c r="J103" s="506"/>
      <c r="K103" s="506"/>
      <c r="L103" s="506"/>
      <c r="M103" s="506"/>
      <c r="N103" s="506"/>
      <c r="O103" s="506"/>
      <c r="P103" s="506"/>
      <c r="Q103" s="603"/>
      <c r="R103" s="506"/>
      <c r="S103" s="506"/>
      <c r="T103" s="506"/>
    </row>
    <row r="104" spans="1:20" x14ac:dyDescent="0.45">
      <c r="A104" s="14">
        <v>1994</v>
      </c>
      <c r="B104" s="506"/>
      <c r="C104" s="506"/>
      <c r="D104" s="506"/>
      <c r="E104" s="506"/>
      <c r="F104" s="506"/>
      <c r="G104" s="506"/>
      <c r="H104" s="506"/>
      <c r="I104" s="506"/>
      <c r="J104" s="506"/>
      <c r="K104" s="506"/>
      <c r="L104" s="506"/>
      <c r="M104" s="506"/>
      <c r="N104" s="506"/>
      <c r="O104" s="506"/>
      <c r="P104" s="506"/>
      <c r="Q104" s="603"/>
      <c r="R104" s="506"/>
      <c r="S104" s="506"/>
      <c r="T104" s="506"/>
    </row>
    <row r="105" spans="1:20" x14ac:dyDescent="0.45">
      <c r="A105" s="14">
        <v>1995</v>
      </c>
      <c r="B105" s="506"/>
      <c r="C105" s="506"/>
      <c r="D105" s="506"/>
      <c r="E105" s="506"/>
      <c r="F105" s="506"/>
      <c r="G105" s="506"/>
      <c r="H105" s="506"/>
      <c r="I105" s="506"/>
      <c r="J105" s="506"/>
      <c r="K105" s="506"/>
      <c r="L105" s="506"/>
      <c r="M105" s="506"/>
      <c r="N105" s="506"/>
      <c r="O105" s="506"/>
      <c r="P105" s="506"/>
      <c r="Q105" s="603"/>
      <c r="R105" s="506"/>
      <c r="S105" s="506"/>
      <c r="T105" s="506"/>
    </row>
    <row r="106" spans="1:20" x14ac:dyDescent="0.45">
      <c r="A106" s="14">
        <v>1996</v>
      </c>
      <c r="B106" s="506"/>
      <c r="C106" s="506"/>
      <c r="D106" s="506"/>
      <c r="E106" s="506"/>
      <c r="F106" s="506"/>
      <c r="G106" s="506"/>
      <c r="H106" s="506"/>
      <c r="I106" s="506"/>
      <c r="J106" s="506"/>
      <c r="K106" s="506"/>
      <c r="L106" s="506"/>
      <c r="M106" s="506"/>
      <c r="N106" s="506"/>
      <c r="O106" s="506"/>
      <c r="P106" s="506"/>
      <c r="Q106" s="603"/>
      <c r="R106" s="506"/>
      <c r="S106" s="506"/>
      <c r="T106" s="506"/>
    </row>
    <row r="107" spans="1:20" x14ac:dyDescent="0.45">
      <c r="A107" s="14">
        <v>1997</v>
      </c>
      <c r="B107" s="506"/>
      <c r="C107" s="506"/>
      <c r="D107" s="506"/>
      <c r="E107" s="506"/>
      <c r="F107" s="506"/>
      <c r="G107" s="506"/>
      <c r="H107" s="506"/>
      <c r="I107" s="506"/>
      <c r="J107" s="506"/>
      <c r="K107" s="506"/>
      <c r="L107" s="506"/>
      <c r="M107" s="506"/>
      <c r="N107" s="506"/>
      <c r="O107" s="506"/>
      <c r="P107" s="506"/>
      <c r="Q107" s="603"/>
      <c r="R107" s="506"/>
      <c r="S107" s="506"/>
      <c r="T107" s="506"/>
    </row>
    <row r="108" spans="1:20" x14ac:dyDescent="0.45">
      <c r="A108" s="14">
        <v>1998</v>
      </c>
      <c r="B108" s="506"/>
      <c r="C108" s="506"/>
      <c r="D108" s="506"/>
      <c r="E108" s="506"/>
      <c r="F108" s="506"/>
      <c r="G108" s="506"/>
      <c r="H108" s="506"/>
      <c r="I108" s="506"/>
      <c r="J108" s="506"/>
      <c r="K108" s="506"/>
      <c r="L108" s="506"/>
      <c r="M108" s="506"/>
      <c r="N108" s="506"/>
      <c r="O108" s="506"/>
      <c r="P108" s="506"/>
      <c r="Q108" s="603"/>
      <c r="R108" s="506"/>
      <c r="S108" s="506"/>
      <c r="T108" s="506"/>
    </row>
    <row r="109" spans="1:20" x14ac:dyDescent="0.45">
      <c r="A109" s="14">
        <v>1999</v>
      </c>
      <c r="B109" s="506"/>
      <c r="C109" s="506"/>
      <c r="D109" s="506"/>
      <c r="E109" s="506"/>
      <c r="F109" s="506"/>
      <c r="G109" s="506"/>
      <c r="H109" s="506"/>
      <c r="I109" s="506"/>
      <c r="J109" s="506"/>
      <c r="K109" s="506"/>
      <c r="L109" s="506"/>
      <c r="M109" s="506"/>
      <c r="N109" s="506"/>
      <c r="O109" s="506"/>
      <c r="P109" s="506"/>
      <c r="Q109" s="603"/>
      <c r="R109" s="506"/>
      <c r="S109" s="506"/>
      <c r="T109" s="506"/>
    </row>
    <row r="110" spans="1:20" x14ac:dyDescent="0.45">
      <c r="A110" s="14">
        <v>2000</v>
      </c>
      <c r="B110" s="506"/>
      <c r="C110" s="506"/>
      <c r="D110" s="506"/>
      <c r="E110" s="506"/>
      <c r="F110" s="506"/>
      <c r="G110" s="506"/>
      <c r="H110" s="506"/>
      <c r="I110" s="506"/>
      <c r="J110" s="506"/>
      <c r="K110" s="506"/>
      <c r="L110" s="506"/>
      <c r="M110" s="506"/>
      <c r="N110" s="506"/>
      <c r="O110" s="506"/>
      <c r="P110" s="506"/>
      <c r="Q110" s="603"/>
      <c r="R110" s="506"/>
      <c r="S110" s="506"/>
      <c r="T110" s="506"/>
    </row>
    <row r="111" spans="1:20" x14ac:dyDescent="0.45">
      <c r="A111" s="14">
        <v>2001</v>
      </c>
      <c r="B111" s="506"/>
      <c r="C111" s="506"/>
      <c r="D111" s="506"/>
      <c r="E111" s="506"/>
      <c r="F111" s="506"/>
      <c r="G111" s="506"/>
      <c r="H111" s="506"/>
      <c r="I111" s="506"/>
      <c r="J111" s="506"/>
      <c r="K111" s="506"/>
      <c r="L111" s="506"/>
      <c r="M111" s="506"/>
      <c r="N111" s="506"/>
      <c r="O111" s="506"/>
      <c r="P111" s="506"/>
      <c r="Q111" s="603"/>
      <c r="R111" s="506"/>
      <c r="S111" s="506"/>
      <c r="T111" s="506"/>
    </row>
    <row r="112" spans="1:20" x14ac:dyDescent="0.45">
      <c r="A112" s="14">
        <v>2002</v>
      </c>
      <c r="B112" s="506"/>
      <c r="C112" s="506"/>
      <c r="D112" s="506"/>
      <c r="E112" s="506"/>
      <c r="F112" s="506"/>
      <c r="G112" s="506"/>
      <c r="H112" s="506"/>
      <c r="I112" s="506"/>
      <c r="J112" s="506"/>
      <c r="K112" s="506"/>
      <c r="L112" s="506"/>
      <c r="M112" s="506"/>
      <c r="N112" s="506"/>
      <c r="O112" s="506"/>
      <c r="P112" s="506"/>
      <c r="Q112" s="603"/>
      <c r="R112" s="506"/>
      <c r="S112" s="506"/>
      <c r="T112" s="506"/>
    </row>
    <row r="113" spans="1:20" x14ac:dyDescent="0.45">
      <c r="A113" s="14">
        <v>2003</v>
      </c>
      <c r="B113" s="506"/>
      <c r="C113" s="506"/>
      <c r="D113" s="506"/>
      <c r="E113" s="506"/>
      <c r="F113" s="506"/>
      <c r="G113" s="506"/>
      <c r="H113" s="506"/>
      <c r="I113" s="506"/>
      <c r="J113" s="506"/>
      <c r="K113" s="506"/>
      <c r="L113" s="506"/>
      <c r="M113" s="506"/>
      <c r="N113" s="506"/>
      <c r="O113" s="506"/>
      <c r="P113" s="506"/>
      <c r="Q113" s="603"/>
      <c r="R113" s="506"/>
      <c r="S113" s="506"/>
      <c r="T113" s="506"/>
    </row>
    <row r="114" spans="1:20" x14ac:dyDescent="0.45">
      <c r="A114" s="14">
        <v>2004</v>
      </c>
      <c r="B114" s="506"/>
      <c r="C114" s="506"/>
      <c r="D114" s="506"/>
      <c r="E114" s="506"/>
      <c r="F114" s="506"/>
      <c r="G114" s="506"/>
      <c r="H114" s="506"/>
      <c r="I114" s="506"/>
      <c r="J114" s="506"/>
      <c r="K114" s="506"/>
      <c r="L114" s="506"/>
      <c r="M114" s="506"/>
      <c r="N114" s="506"/>
      <c r="O114" s="506"/>
      <c r="P114" s="506"/>
      <c r="Q114" s="603"/>
      <c r="R114" s="506"/>
      <c r="S114" s="506"/>
      <c r="T114" s="506"/>
    </row>
    <row r="115" spans="1:20" x14ac:dyDescent="0.45">
      <c r="A115" s="14">
        <v>2005</v>
      </c>
      <c r="B115" s="506"/>
      <c r="C115" s="506"/>
      <c r="D115" s="506"/>
      <c r="E115" s="506"/>
      <c r="F115" s="506"/>
      <c r="G115" s="506"/>
      <c r="H115" s="506"/>
      <c r="I115" s="506"/>
      <c r="J115" s="506"/>
      <c r="K115" s="506"/>
      <c r="L115" s="506"/>
      <c r="M115" s="506"/>
      <c r="N115" s="506"/>
      <c r="O115" s="506"/>
      <c r="P115" s="506"/>
      <c r="Q115" s="603"/>
      <c r="R115" s="506"/>
      <c r="S115" s="506"/>
      <c r="T115" s="506"/>
    </row>
    <row r="116" spans="1:20" x14ac:dyDescent="0.45">
      <c r="A116" s="14">
        <v>2006</v>
      </c>
      <c r="B116" s="506"/>
      <c r="C116" s="506"/>
      <c r="D116" s="506"/>
      <c r="E116" s="506"/>
      <c r="F116" s="506"/>
      <c r="G116" s="506"/>
      <c r="H116" s="506"/>
      <c r="I116" s="506"/>
      <c r="J116" s="506"/>
      <c r="K116" s="506"/>
      <c r="L116" s="506"/>
      <c r="M116" s="506"/>
      <c r="N116" s="506"/>
      <c r="O116" s="506"/>
      <c r="P116" s="506"/>
      <c r="Q116" s="603"/>
      <c r="R116" s="506"/>
      <c r="S116" s="506"/>
      <c r="T116" s="506"/>
    </row>
    <row r="117" spans="1:20" x14ac:dyDescent="0.45">
      <c r="A117" s="14">
        <v>2007</v>
      </c>
      <c r="B117" s="506"/>
      <c r="C117" s="506"/>
      <c r="D117" s="506"/>
      <c r="E117" s="506"/>
      <c r="F117" s="506"/>
      <c r="G117" s="506"/>
      <c r="H117" s="506"/>
      <c r="I117" s="506"/>
      <c r="J117" s="506"/>
      <c r="K117" s="506"/>
      <c r="L117" s="506"/>
      <c r="M117" s="506"/>
      <c r="N117" s="506"/>
      <c r="O117" s="506"/>
      <c r="P117" s="506"/>
      <c r="Q117" s="603"/>
      <c r="R117" s="506"/>
      <c r="S117" s="506"/>
      <c r="T117" s="506"/>
    </row>
    <row r="118" spans="1:20" x14ac:dyDescent="0.45">
      <c r="A118" s="14">
        <v>2008</v>
      </c>
      <c r="B118" s="506"/>
      <c r="C118" s="506"/>
      <c r="D118" s="506"/>
      <c r="E118" s="506"/>
      <c r="F118" s="506"/>
      <c r="G118" s="506"/>
      <c r="H118" s="506"/>
      <c r="I118" s="506"/>
      <c r="J118" s="506"/>
      <c r="K118" s="506"/>
      <c r="L118" s="506"/>
      <c r="M118" s="506"/>
      <c r="N118" s="506"/>
      <c r="O118" s="506"/>
      <c r="P118" s="506"/>
      <c r="Q118" s="603"/>
      <c r="R118" s="506"/>
      <c r="S118" s="506"/>
      <c r="T118" s="506"/>
    </row>
    <row r="119" spans="1:20" x14ac:dyDescent="0.45">
      <c r="A119" s="14">
        <v>2009</v>
      </c>
      <c r="B119" s="506"/>
      <c r="C119" s="506"/>
      <c r="D119" s="506"/>
      <c r="E119" s="506"/>
      <c r="F119" s="506"/>
      <c r="G119" s="506"/>
      <c r="H119" s="506"/>
      <c r="I119" s="506"/>
      <c r="J119" s="506"/>
      <c r="K119" s="506"/>
      <c r="L119" s="506"/>
      <c r="M119" s="506"/>
      <c r="N119" s="506"/>
      <c r="O119" s="506"/>
      <c r="P119" s="506"/>
      <c r="Q119" s="603"/>
      <c r="R119" s="506"/>
      <c r="S119" s="506"/>
      <c r="T119" s="506"/>
    </row>
    <row r="120" spans="1:20" x14ac:dyDescent="0.45">
      <c r="A120" s="14">
        <v>2010</v>
      </c>
      <c r="B120" s="506"/>
      <c r="C120" s="506"/>
      <c r="D120" s="506"/>
      <c r="E120" s="506"/>
      <c r="F120" s="506"/>
      <c r="G120" s="506"/>
      <c r="H120" s="506"/>
      <c r="I120" s="506"/>
      <c r="J120" s="506"/>
      <c r="K120" s="506"/>
      <c r="L120" s="506"/>
      <c r="M120" s="506"/>
      <c r="N120" s="506"/>
      <c r="O120" s="506"/>
      <c r="P120" s="506"/>
      <c r="Q120" s="603"/>
      <c r="R120" s="506"/>
      <c r="S120" s="506"/>
      <c r="T120" s="506"/>
    </row>
    <row r="121" spans="1:20" x14ac:dyDescent="0.45">
      <c r="A121" s="14">
        <v>2011</v>
      </c>
      <c r="B121" s="506"/>
      <c r="C121" s="506"/>
      <c r="D121" s="506"/>
      <c r="E121" s="506"/>
      <c r="F121" s="506"/>
      <c r="G121" s="506"/>
      <c r="H121" s="506"/>
      <c r="I121" s="506"/>
      <c r="J121" s="506"/>
      <c r="K121" s="506"/>
      <c r="L121" s="506"/>
      <c r="M121" s="506"/>
      <c r="N121" s="506"/>
      <c r="O121" s="506"/>
      <c r="P121" s="506"/>
      <c r="Q121" s="603"/>
      <c r="R121" s="506"/>
      <c r="S121" s="506"/>
      <c r="T121" s="506"/>
    </row>
    <row r="122" spans="1:20" x14ac:dyDescent="0.45">
      <c r="A122" s="14">
        <v>2012</v>
      </c>
      <c r="B122" s="506"/>
      <c r="C122" s="506"/>
      <c r="D122" s="506"/>
      <c r="E122" s="506"/>
      <c r="F122" s="506"/>
      <c r="G122" s="506"/>
      <c r="H122" s="506"/>
      <c r="I122" s="506"/>
      <c r="J122" s="506"/>
      <c r="K122" s="506"/>
      <c r="L122" s="506"/>
      <c r="M122" s="506"/>
      <c r="N122" s="506"/>
      <c r="O122" s="506"/>
      <c r="P122" s="506"/>
      <c r="Q122" s="603"/>
      <c r="R122" s="506"/>
      <c r="S122" s="506"/>
      <c r="T122" s="506"/>
    </row>
    <row r="123" spans="1:20" x14ac:dyDescent="0.45">
      <c r="A123" s="14">
        <v>2013</v>
      </c>
      <c r="B123" s="506"/>
      <c r="C123" s="506"/>
      <c r="D123" s="506"/>
      <c r="E123" s="506"/>
      <c r="F123" s="506"/>
      <c r="G123" s="506"/>
      <c r="H123" s="506"/>
      <c r="I123" s="506"/>
      <c r="J123" s="506"/>
      <c r="K123" s="506"/>
      <c r="L123" s="506"/>
      <c r="M123" s="506"/>
      <c r="N123" s="506"/>
      <c r="O123" s="506"/>
      <c r="P123" s="506"/>
      <c r="Q123" s="603"/>
      <c r="R123" s="506"/>
      <c r="S123" s="506"/>
      <c r="T123" s="506"/>
    </row>
    <row r="124" spans="1:20" x14ac:dyDescent="0.45">
      <c r="A124" s="14">
        <v>2014</v>
      </c>
      <c r="B124" s="506"/>
      <c r="C124" s="506"/>
      <c r="D124" s="506"/>
      <c r="E124" s="506"/>
      <c r="F124" s="506"/>
      <c r="G124" s="506"/>
      <c r="H124" s="506"/>
      <c r="I124" s="506"/>
      <c r="J124" s="506"/>
      <c r="K124" s="506"/>
      <c r="L124" s="506"/>
      <c r="M124" s="506"/>
      <c r="N124" s="506"/>
      <c r="O124" s="506"/>
      <c r="P124" s="506"/>
      <c r="Q124" s="603"/>
      <c r="R124" s="506"/>
      <c r="S124" s="506"/>
      <c r="T124" s="506"/>
    </row>
    <row r="125" spans="1:20" x14ac:dyDescent="0.45">
      <c r="A125" s="14">
        <v>2015</v>
      </c>
      <c r="B125" s="506"/>
      <c r="C125" s="506"/>
      <c r="D125" s="506"/>
      <c r="E125" s="506"/>
      <c r="F125" s="506"/>
      <c r="G125" s="506"/>
      <c r="H125" s="506"/>
      <c r="I125" s="506"/>
      <c r="J125" s="506"/>
      <c r="K125" s="506"/>
      <c r="L125" s="506"/>
      <c r="M125" s="506"/>
      <c r="N125" s="506"/>
      <c r="O125" s="506"/>
      <c r="P125" s="506"/>
      <c r="Q125" s="603"/>
      <c r="R125" s="506"/>
      <c r="S125" s="506"/>
      <c r="T125" s="506"/>
    </row>
    <row r="126" spans="1:20" x14ac:dyDescent="0.45">
      <c r="A126" s="14">
        <v>2016</v>
      </c>
      <c r="B126" s="506"/>
      <c r="C126" s="506"/>
      <c r="D126" s="506"/>
      <c r="E126" s="506"/>
      <c r="F126" s="506"/>
      <c r="G126" s="506"/>
      <c r="H126" s="506"/>
      <c r="I126" s="506"/>
      <c r="J126" s="506"/>
      <c r="K126" s="506"/>
      <c r="L126" s="506"/>
      <c r="M126" s="506"/>
      <c r="N126" s="506"/>
      <c r="O126" s="506"/>
      <c r="P126" s="506"/>
      <c r="Q126" s="603"/>
      <c r="R126" s="506"/>
      <c r="S126" s="506"/>
      <c r="T126" s="506"/>
    </row>
    <row r="127" spans="1:20" x14ac:dyDescent="0.45">
      <c r="A127" s="14">
        <v>2017</v>
      </c>
      <c r="B127" s="506"/>
      <c r="C127" s="506"/>
      <c r="D127" s="506"/>
      <c r="E127" s="506"/>
      <c r="F127" s="506"/>
      <c r="G127" s="506"/>
      <c r="H127" s="506"/>
      <c r="I127" s="506"/>
      <c r="J127" s="506"/>
      <c r="K127" s="506"/>
      <c r="L127" s="506"/>
      <c r="M127" s="506"/>
      <c r="N127" s="506"/>
      <c r="O127" s="506"/>
      <c r="P127" s="506"/>
      <c r="Q127" s="603"/>
      <c r="R127" s="506"/>
      <c r="S127" s="506"/>
      <c r="T127" s="506"/>
    </row>
    <row r="128" spans="1:20" x14ac:dyDescent="0.45">
      <c r="A128" s="14">
        <v>2018</v>
      </c>
      <c r="B128" s="506"/>
      <c r="C128" s="506"/>
      <c r="D128" s="506"/>
      <c r="E128" s="506"/>
      <c r="F128" s="506"/>
      <c r="G128" s="506"/>
      <c r="H128" s="506"/>
      <c r="I128" s="506"/>
      <c r="J128" s="506"/>
      <c r="K128" s="506"/>
      <c r="L128" s="506"/>
      <c r="M128" s="506"/>
      <c r="N128" s="506"/>
      <c r="O128" s="506"/>
      <c r="P128" s="506"/>
      <c r="Q128" s="603"/>
      <c r="R128" s="506"/>
      <c r="S128" s="506"/>
      <c r="T128" s="506"/>
    </row>
    <row r="129" spans="1:20" x14ac:dyDescent="0.45">
      <c r="A129" s="14">
        <v>2019</v>
      </c>
      <c r="B129" s="506"/>
      <c r="C129" s="506"/>
      <c r="D129" s="506"/>
      <c r="E129" s="506"/>
      <c r="F129" s="506"/>
      <c r="G129" s="506"/>
      <c r="H129" s="506"/>
      <c r="I129" s="506"/>
      <c r="J129" s="506"/>
      <c r="K129" s="506"/>
      <c r="L129" s="506"/>
      <c r="M129" s="506"/>
      <c r="N129" s="506"/>
      <c r="O129" s="506"/>
      <c r="P129" s="506"/>
      <c r="Q129" s="506"/>
      <c r="R129" s="506"/>
      <c r="S129" s="506"/>
      <c r="T129" s="506"/>
    </row>
    <row r="130" spans="1:20" x14ac:dyDescent="0.45">
      <c r="A130" s="14">
        <v>2020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330"/>
  <sheetViews>
    <sheetView zoomScaleNormal="100" workbookViewId="0">
      <pane xSplit="1" ySplit="9" topLeftCell="B209" activePane="bottomRight" state="frozen"/>
      <selection pane="topRight" activeCell="B1" sqref="B1"/>
      <selection pane="bottomLeft" activeCell="A10" sqref="A10"/>
      <selection pane="bottomRight" activeCell="A2" sqref="A2"/>
    </sheetView>
  </sheetViews>
  <sheetFormatPr defaultRowHeight="14.25" x14ac:dyDescent="0.45"/>
  <cols>
    <col min="17" max="17" width="16.19921875" customWidth="1"/>
    <col min="18" max="18" width="16.73046875" customWidth="1"/>
    <col min="45" max="45" width="10.796875" customWidth="1"/>
  </cols>
  <sheetData>
    <row r="1" spans="1:72" ht="17.649999999999999" x14ac:dyDescent="0.5">
      <c r="A1" s="1090" t="s">
        <v>2502</v>
      </c>
      <c r="B1" s="1"/>
      <c r="C1" s="1"/>
      <c r="D1" s="1"/>
      <c r="E1" s="2"/>
      <c r="G1" s="2"/>
      <c r="H1" s="2"/>
      <c r="K1" s="3"/>
      <c r="L1" s="3"/>
      <c r="M1" s="3"/>
      <c r="N1" s="3"/>
      <c r="O1" s="3"/>
      <c r="P1" s="3"/>
      <c r="Q1" s="3"/>
      <c r="R1" s="3"/>
      <c r="S1" s="3"/>
      <c r="T1" s="3"/>
    </row>
    <row r="2" spans="1:72" x14ac:dyDescent="0.45">
      <c r="B2" s="1"/>
      <c r="C2" s="1"/>
      <c r="E2" s="2"/>
      <c r="G2" s="2"/>
      <c r="H2" s="2"/>
      <c r="K2" s="3"/>
      <c r="L2" s="3"/>
      <c r="M2" s="3"/>
      <c r="N2" s="3"/>
      <c r="O2" s="3"/>
      <c r="P2" s="3"/>
      <c r="Q2" s="3"/>
      <c r="R2" s="3"/>
      <c r="S2" s="3"/>
      <c r="T2" s="3"/>
    </row>
    <row r="3" spans="1:72" ht="15.75" x14ac:dyDescent="0.5">
      <c r="A3" s="4"/>
      <c r="B3" s="1091" t="s">
        <v>992</v>
      </c>
      <c r="C3" s="1092" t="s">
        <v>1203</v>
      </c>
      <c r="D3" s="5"/>
      <c r="E3" s="6"/>
      <c r="F3" s="6"/>
      <c r="G3" s="6"/>
      <c r="H3" s="2"/>
      <c r="I3" s="3"/>
      <c r="K3" s="3"/>
      <c r="L3" s="3"/>
      <c r="M3" s="3"/>
      <c r="N3" s="3"/>
      <c r="O3" s="3"/>
      <c r="P3" s="3"/>
      <c r="Q3" s="3"/>
      <c r="R3" s="3"/>
      <c r="S3" s="3"/>
      <c r="T3" s="3"/>
      <c r="Z3" s="955" t="s">
        <v>1239</v>
      </c>
      <c r="AA3" s="9"/>
      <c r="AD3" s="9"/>
      <c r="AE3" s="955" t="s">
        <v>1239</v>
      </c>
      <c r="AF3" s="9"/>
      <c r="AG3" s="9"/>
      <c r="AH3" s="9"/>
      <c r="AI3" s="9"/>
      <c r="AJ3" s="9"/>
      <c r="AK3" s="955" t="s">
        <v>1239</v>
      </c>
      <c r="AL3" s="9"/>
      <c r="AM3" s="9"/>
      <c r="AN3" s="9"/>
      <c r="AO3" s="9"/>
      <c r="AP3" s="9"/>
      <c r="AQ3" s="955" t="s">
        <v>1252</v>
      </c>
      <c r="AR3" s="9"/>
      <c r="AS3" s="9"/>
      <c r="AT3" s="955" t="s">
        <v>1253</v>
      </c>
      <c r="AU3" s="9"/>
      <c r="AV3" s="9"/>
      <c r="AW3" s="9"/>
      <c r="AX3" s="9"/>
      <c r="AY3" s="955" t="s">
        <v>1246</v>
      </c>
      <c r="AZ3" s="9"/>
      <c r="BA3" s="9"/>
      <c r="BB3" s="9"/>
      <c r="BC3" s="9"/>
      <c r="BD3" s="9"/>
      <c r="BE3" s="9"/>
      <c r="BF3" s="9"/>
    </row>
    <row r="4" spans="1:72" x14ac:dyDescent="0.45">
      <c r="C4" s="5"/>
      <c r="D4" s="7"/>
      <c r="E4" s="7"/>
      <c r="F4" s="7"/>
      <c r="G4" s="8"/>
      <c r="H4" s="7"/>
      <c r="I4" s="7"/>
      <c r="J4" s="7"/>
      <c r="K4" s="7"/>
      <c r="L4" s="7"/>
      <c r="M4" s="7"/>
      <c r="N4" s="7"/>
      <c r="O4" s="7"/>
      <c r="P4" s="7"/>
      <c r="Q4" s="7"/>
      <c r="R4" s="7"/>
      <c r="S4" s="7"/>
      <c r="T4" s="9"/>
      <c r="Z4" s="955" t="s">
        <v>17</v>
      </c>
      <c r="AA4" s="955" t="s">
        <v>1240</v>
      </c>
      <c r="AB4" s="955" t="s">
        <v>1241</v>
      </c>
      <c r="AC4" s="955"/>
      <c r="AD4" s="955"/>
      <c r="AE4" s="955" t="s">
        <v>17</v>
      </c>
      <c r="AF4" s="955" t="s">
        <v>1240</v>
      </c>
      <c r="AG4" s="955" t="s">
        <v>1241</v>
      </c>
      <c r="AH4" s="955" t="s">
        <v>1248</v>
      </c>
      <c r="AI4" s="955" t="s">
        <v>211</v>
      </c>
      <c r="AJ4" s="955"/>
      <c r="AK4" s="955" t="s">
        <v>17</v>
      </c>
      <c r="AL4" s="955" t="s">
        <v>1240</v>
      </c>
      <c r="AM4" s="955" t="s">
        <v>1241</v>
      </c>
      <c r="AN4" s="955" t="s">
        <v>1248</v>
      </c>
      <c r="AO4" s="955" t="s">
        <v>211</v>
      </c>
      <c r="AP4" s="955"/>
      <c r="AQ4" s="955" t="s">
        <v>17</v>
      </c>
      <c r="AR4" s="955" t="s">
        <v>1240</v>
      </c>
      <c r="AS4" s="955"/>
      <c r="AT4" s="955" t="s">
        <v>1248</v>
      </c>
      <c r="AU4" s="955"/>
      <c r="AV4" s="955"/>
      <c r="AW4" s="955"/>
      <c r="AX4" s="955"/>
      <c r="AY4" s="955" t="s">
        <v>17</v>
      </c>
      <c r="AZ4" s="955" t="s">
        <v>1240</v>
      </c>
      <c r="BA4" s="955" t="s">
        <v>1241</v>
      </c>
      <c r="BB4" s="955" t="s">
        <v>1248</v>
      </c>
      <c r="BC4" s="955" t="s">
        <v>211</v>
      </c>
      <c r="BE4" s="955"/>
      <c r="BF4" s="955" t="s">
        <v>883</v>
      </c>
    </row>
    <row r="5" spans="1:72" ht="14.65" thickBot="1" x14ac:dyDescent="0.5">
      <c r="A5" s="12"/>
      <c r="B5" s="12"/>
      <c r="C5" s="12"/>
      <c r="D5" s="12"/>
      <c r="E5" s="13"/>
      <c r="F5" s="12"/>
      <c r="G5" s="12"/>
      <c r="H5" s="14"/>
      <c r="I5" s="12"/>
      <c r="J5" s="12"/>
      <c r="K5" s="12"/>
      <c r="L5" s="12"/>
      <c r="M5" s="12"/>
      <c r="N5" s="12"/>
      <c r="O5" s="12"/>
      <c r="P5" s="12"/>
      <c r="Q5" s="12"/>
      <c r="R5" s="14"/>
      <c r="S5" s="12"/>
      <c r="T5" s="15" t="s">
        <v>0</v>
      </c>
      <c r="Z5" s="957" t="s">
        <v>1242</v>
      </c>
      <c r="AA5" s="957" t="s">
        <v>1242</v>
      </c>
      <c r="AB5" s="957" t="s">
        <v>1242</v>
      </c>
      <c r="AC5" s="957"/>
      <c r="AD5" s="957"/>
      <c r="AE5" s="957" t="s">
        <v>1242</v>
      </c>
      <c r="AF5" s="957" t="s">
        <v>1242</v>
      </c>
      <c r="AG5" s="957" t="s">
        <v>1242</v>
      </c>
      <c r="AH5" s="957" t="s">
        <v>1242</v>
      </c>
      <c r="AI5" s="957" t="s">
        <v>1242</v>
      </c>
      <c r="AJ5" s="957"/>
      <c r="AK5" s="957" t="s">
        <v>1242</v>
      </c>
      <c r="AL5" s="957" t="s">
        <v>1242</v>
      </c>
      <c r="AM5" s="957" t="s">
        <v>1242</v>
      </c>
      <c r="AN5" s="957" t="s">
        <v>1242</v>
      </c>
      <c r="AO5" s="957" t="s">
        <v>1242</v>
      </c>
      <c r="AP5" s="957"/>
      <c r="AQ5" s="957" t="s">
        <v>1242</v>
      </c>
      <c r="AR5" s="957" t="s">
        <v>1242</v>
      </c>
      <c r="AS5" s="957"/>
      <c r="AT5" s="957" t="s">
        <v>1242</v>
      </c>
      <c r="AU5" s="957"/>
      <c r="AV5" s="957"/>
      <c r="AW5" s="957"/>
      <c r="AX5" s="957"/>
      <c r="AY5" s="957" t="s">
        <v>1242</v>
      </c>
      <c r="AZ5" s="957" t="s">
        <v>1242</v>
      </c>
      <c r="BA5" s="957" t="s">
        <v>1242</v>
      </c>
      <c r="BB5" s="957" t="s">
        <v>1242</v>
      </c>
      <c r="BC5" s="957" t="s">
        <v>1242</v>
      </c>
      <c r="BE5" s="957"/>
      <c r="BF5" s="957" t="s">
        <v>1242</v>
      </c>
    </row>
    <row r="6" spans="1:72" ht="15.75" thickTop="1" x14ac:dyDescent="0.45">
      <c r="A6" s="17"/>
      <c r="B6" s="17"/>
      <c r="C6" s="17" t="s">
        <v>1</v>
      </c>
      <c r="D6" s="18" t="s">
        <v>2</v>
      </c>
      <c r="E6" s="18"/>
      <c r="F6" s="17"/>
      <c r="G6" s="17"/>
      <c r="H6" s="17" t="s">
        <v>3</v>
      </c>
      <c r="I6" s="17"/>
      <c r="J6" s="17"/>
      <c r="K6" s="17"/>
      <c r="L6" s="17"/>
      <c r="M6" s="17"/>
      <c r="N6" s="17" t="s">
        <v>4</v>
      </c>
      <c r="O6" s="17"/>
      <c r="P6" s="17" t="s">
        <v>5</v>
      </c>
      <c r="Q6" s="17" t="s">
        <v>1031</v>
      </c>
      <c r="R6" s="17" t="s">
        <v>6</v>
      </c>
      <c r="S6" s="17" t="s">
        <v>7</v>
      </c>
      <c r="T6" s="17" t="s">
        <v>8</v>
      </c>
      <c r="Z6" s="9" t="s">
        <v>1247</v>
      </c>
      <c r="AA6" s="9" t="s">
        <v>1247</v>
      </c>
      <c r="AB6" s="9" t="s">
        <v>1247</v>
      </c>
      <c r="AC6" s="9"/>
      <c r="AD6" s="9"/>
      <c r="AE6" s="9" t="s">
        <v>1247</v>
      </c>
      <c r="AF6" s="9" t="s">
        <v>1247</v>
      </c>
      <c r="AG6" s="9" t="s">
        <v>1247</v>
      </c>
      <c r="AH6" s="9" t="s">
        <v>1247</v>
      </c>
      <c r="AI6" s="9" t="s">
        <v>1247</v>
      </c>
      <c r="AJ6" s="9"/>
      <c r="AK6" s="9" t="s">
        <v>1247</v>
      </c>
      <c r="AL6" s="9" t="s">
        <v>1247</v>
      </c>
      <c r="AM6" s="9" t="s">
        <v>1247</v>
      </c>
      <c r="AN6" s="9" t="s">
        <v>1247</v>
      </c>
      <c r="AO6" s="9" t="s">
        <v>1247</v>
      </c>
      <c r="AP6" s="9"/>
      <c r="AQ6" s="9" t="s">
        <v>1247</v>
      </c>
      <c r="AR6" s="9" t="s">
        <v>1247</v>
      </c>
      <c r="AS6" s="9"/>
      <c r="AT6" s="9" t="s">
        <v>1247</v>
      </c>
      <c r="AU6" s="9"/>
      <c r="AV6" s="9"/>
      <c r="AW6" s="9"/>
      <c r="AX6" s="9"/>
      <c r="AY6" s="9" t="s">
        <v>1247</v>
      </c>
      <c r="AZ6" s="9" t="s">
        <v>1247</v>
      </c>
      <c r="BA6" s="9" t="s">
        <v>1247</v>
      </c>
      <c r="BB6" s="9" t="s">
        <v>1247</v>
      </c>
      <c r="BC6" s="9" t="s">
        <v>1247</v>
      </c>
      <c r="BE6" s="9"/>
      <c r="BF6" s="9" t="s">
        <v>1243</v>
      </c>
    </row>
    <row r="7" spans="1:72" ht="15.4" x14ac:dyDescent="0.45">
      <c r="A7" s="14" t="s">
        <v>9</v>
      </c>
      <c r="B7" s="14" t="s">
        <v>10</v>
      </c>
      <c r="C7" s="14" t="s">
        <v>11</v>
      </c>
      <c r="D7" s="14" t="s">
        <v>11</v>
      </c>
      <c r="E7" s="19" t="s">
        <v>12</v>
      </c>
      <c r="F7" s="14" t="s">
        <v>13</v>
      </c>
      <c r="G7" s="14" t="s">
        <v>14</v>
      </c>
      <c r="H7" s="14" t="s">
        <v>15</v>
      </c>
      <c r="I7" s="14" t="s">
        <v>16</v>
      </c>
      <c r="J7" s="14" t="s">
        <v>17</v>
      </c>
      <c r="K7" s="14" t="s">
        <v>18</v>
      </c>
      <c r="L7" s="14" t="s">
        <v>19</v>
      </c>
      <c r="M7" s="14" t="s">
        <v>20</v>
      </c>
      <c r="N7" s="14" t="s">
        <v>21</v>
      </c>
      <c r="O7" s="14" t="s">
        <v>22</v>
      </c>
      <c r="P7" s="14" t="s">
        <v>23</v>
      </c>
      <c r="Q7" s="14" t="s">
        <v>24</v>
      </c>
      <c r="R7" s="14" t="s">
        <v>24</v>
      </c>
      <c r="S7" s="14" t="s">
        <v>25</v>
      </c>
      <c r="T7" s="14" t="s">
        <v>26</v>
      </c>
      <c r="Z7" s="9" t="s">
        <v>1244</v>
      </c>
      <c r="AA7" s="9" t="s">
        <v>1244</v>
      </c>
      <c r="AB7" s="9" t="s">
        <v>1244</v>
      </c>
      <c r="AC7" s="9"/>
      <c r="AD7" s="9"/>
      <c r="AE7" s="9"/>
      <c r="AF7" s="9"/>
      <c r="AG7" s="9"/>
      <c r="AH7" s="9"/>
      <c r="AI7" s="9"/>
      <c r="AJ7" s="9"/>
      <c r="AK7" s="9" t="s">
        <v>2326</v>
      </c>
      <c r="AL7" s="9" t="s">
        <v>2326</v>
      </c>
      <c r="AM7" s="9" t="s">
        <v>2326</v>
      </c>
      <c r="AN7" s="9" t="s">
        <v>2326</v>
      </c>
      <c r="AO7" s="9" t="s">
        <v>2326</v>
      </c>
      <c r="AP7" s="9"/>
      <c r="AQ7" s="9" t="s">
        <v>2328</v>
      </c>
      <c r="AR7" s="9" t="s">
        <v>2327</v>
      </c>
      <c r="AS7" s="9"/>
      <c r="AT7" s="9" t="s">
        <v>2327</v>
      </c>
      <c r="AU7" s="9"/>
      <c r="AV7" s="9"/>
      <c r="AW7" s="9"/>
      <c r="AX7" s="9"/>
      <c r="AY7" s="9" t="s">
        <v>2326</v>
      </c>
      <c r="AZ7" s="9" t="s">
        <v>2326</v>
      </c>
      <c r="BA7" s="9" t="s">
        <v>2326</v>
      </c>
      <c r="BB7" s="9" t="s">
        <v>2326</v>
      </c>
      <c r="BC7" s="9" t="s">
        <v>2326</v>
      </c>
      <c r="BD7" s="9"/>
      <c r="BE7" s="9"/>
      <c r="BF7" s="955"/>
    </row>
    <row r="8" spans="1:72" x14ac:dyDescent="0.45">
      <c r="A8" s="20"/>
      <c r="B8" s="21" t="s">
        <v>27</v>
      </c>
      <c r="C8" s="21" t="s">
        <v>28</v>
      </c>
      <c r="D8" s="21" t="s">
        <v>29</v>
      </c>
      <c r="E8" s="22" t="s">
        <v>30</v>
      </c>
      <c r="F8" s="21" t="s">
        <v>31</v>
      </c>
      <c r="G8" s="21" t="s">
        <v>32</v>
      </c>
      <c r="H8" s="21" t="s">
        <v>33</v>
      </c>
      <c r="I8" s="21" t="s">
        <v>34</v>
      </c>
      <c r="J8" s="21" t="s">
        <v>35</v>
      </c>
      <c r="K8" s="21" t="s">
        <v>36</v>
      </c>
      <c r="L8" s="21" t="s">
        <v>37</v>
      </c>
      <c r="M8" s="21" t="s">
        <v>38</v>
      </c>
      <c r="N8" s="21" t="s">
        <v>39</v>
      </c>
      <c r="O8" s="21" t="s">
        <v>40</v>
      </c>
      <c r="P8" s="21" t="s">
        <v>41</v>
      </c>
      <c r="Q8" s="21" t="s">
        <v>42</v>
      </c>
      <c r="R8" s="21" t="s">
        <v>43</v>
      </c>
      <c r="S8" s="21" t="s">
        <v>44</v>
      </c>
      <c r="T8" s="21" t="s">
        <v>1033</v>
      </c>
      <c r="Z8" s="9" t="s">
        <v>1245</v>
      </c>
      <c r="AA8" s="9" t="s">
        <v>1245</v>
      </c>
      <c r="AB8" s="9" t="s">
        <v>1245</v>
      </c>
      <c r="AC8" s="9"/>
      <c r="AD8" s="9"/>
      <c r="AE8" s="9" t="s">
        <v>1245</v>
      </c>
      <c r="AF8" s="9" t="s">
        <v>1245</v>
      </c>
      <c r="AG8" s="9" t="s">
        <v>1245</v>
      </c>
      <c r="AH8" s="9" t="s">
        <v>1250</v>
      </c>
      <c r="AI8" s="9" t="s">
        <v>1251</v>
      </c>
      <c r="AJ8" s="9"/>
      <c r="AK8" s="9" t="s">
        <v>1245</v>
      </c>
      <c r="AL8" s="9" t="s">
        <v>1245</v>
      </c>
      <c r="AM8" s="9" t="s">
        <v>1245</v>
      </c>
      <c r="AN8" s="9" t="s">
        <v>1250</v>
      </c>
      <c r="AO8" s="9" t="s">
        <v>1251</v>
      </c>
      <c r="AP8" s="9"/>
      <c r="AQ8" s="9" t="s">
        <v>1245</v>
      </c>
      <c r="AR8" s="9" t="s">
        <v>1245</v>
      </c>
      <c r="AS8" s="9"/>
      <c r="AT8" s="9" t="s">
        <v>1250</v>
      </c>
      <c r="AU8" s="9"/>
      <c r="AV8" s="9"/>
      <c r="AW8" s="9"/>
      <c r="AX8" s="9"/>
      <c r="AY8" s="9" t="s">
        <v>1245</v>
      </c>
      <c r="AZ8" s="9" t="s">
        <v>1245</v>
      </c>
      <c r="BA8" s="9" t="s">
        <v>1245</v>
      </c>
      <c r="BB8" s="9" t="s">
        <v>1250</v>
      </c>
      <c r="BC8" s="9" t="s">
        <v>1251</v>
      </c>
      <c r="BD8" s="9"/>
      <c r="BE8" s="9" t="s">
        <v>1249</v>
      </c>
      <c r="BF8" s="959">
        <f>'1.4.1 MSFLR'!R110/'1.3.3 Coal2'!H10/1000</f>
        <v>0.88795686039544652</v>
      </c>
    </row>
    <row r="9" spans="1:72" x14ac:dyDescent="0.45">
      <c r="A9" s="23"/>
      <c r="B9" s="9" t="s">
        <v>2329</v>
      </c>
      <c r="C9" s="9" t="s">
        <v>2330</v>
      </c>
      <c r="D9" s="9" t="s">
        <v>2331</v>
      </c>
      <c r="E9" s="9" t="s">
        <v>2332</v>
      </c>
      <c r="F9" s="9" t="s">
        <v>2333</v>
      </c>
      <c r="G9" s="9" t="s">
        <v>2334</v>
      </c>
      <c r="H9" s="9" t="s">
        <v>2326</v>
      </c>
      <c r="I9" s="9" t="s">
        <v>2334</v>
      </c>
      <c r="J9" s="9" t="s">
        <v>2335</v>
      </c>
      <c r="K9" s="9" t="s">
        <v>2336</v>
      </c>
      <c r="L9" s="9" t="s">
        <v>2337</v>
      </c>
      <c r="M9" s="9" t="s">
        <v>2338</v>
      </c>
      <c r="N9" s="9" t="s">
        <v>2339</v>
      </c>
      <c r="O9" s="9" t="s">
        <v>2340</v>
      </c>
      <c r="P9" s="23"/>
      <c r="Q9" s="23" t="s">
        <v>1032</v>
      </c>
      <c r="R9" s="23" t="s">
        <v>45</v>
      </c>
      <c r="S9" s="23"/>
      <c r="T9" s="23" t="s">
        <v>46</v>
      </c>
    </row>
    <row r="10" spans="1:72" x14ac:dyDescent="0.45">
      <c r="A10" s="14">
        <v>1700</v>
      </c>
      <c r="B10" s="506">
        <v>3.0327600000000001</v>
      </c>
      <c r="E10" s="506"/>
      <c r="R10" s="506">
        <v>2.9636266124447621</v>
      </c>
      <c r="S10" s="506">
        <v>6.9133387555238013E-2</v>
      </c>
      <c r="T10" s="506">
        <v>3.0327600000000001</v>
      </c>
      <c r="Y10" s="1156">
        <v>1700</v>
      </c>
      <c r="Z10" s="964">
        <f>BT13/1000*1.016</f>
        <v>1.44272</v>
      </c>
      <c r="AA10" s="964">
        <f>BM13/1000*1.016</f>
        <v>0</v>
      </c>
      <c r="AB10" s="964">
        <f>(BN13+BO13+BQ13)/1000*1.016</f>
        <v>1.18872</v>
      </c>
      <c r="AH10" s="967">
        <f t="shared" ref="AH10:AH73" si="0">AB10*AT10</f>
        <v>9.5761750405186363E-2</v>
      </c>
      <c r="AQ10" s="963">
        <v>1</v>
      </c>
      <c r="AR10" s="966">
        <f t="shared" ref="AR10:AR73" si="1">AR11</f>
        <v>0.67110316092337996</v>
      </c>
      <c r="AT10" s="963">
        <f t="shared" ref="AT10:AT73" si="2">AT11</f>
        <v>8.0558710550160145E-2</v>
      </c>
      <c r="AZ10" s="956"/>
      <c r="BC10" s="956"/>
    </row>
    <row r="11" spans="1:72" x14ac:dyDescent="0.45">
      <c r="A11" s="14">
        <v>1701</v>
      </c>
      <c r="B11" s="507">
        <v>3.0783784000000001</v>
      </c>
      <c r="C11" s="1153"/>
      <c r="D11" s="1153"/>
      <c r="E11" s="507"/>
      <c r="F11" s="1153"/>
      <c r="G11" s="1153"/>
      <c r="H11" s="1153"/>
      <c r="I11" s="1153"/>
      <c r="J11" s="1153"/>
      <c r="K11" s="1153"/>
      <c r="L11" s="1153"/>
      <c r="M11" s="1153"/>
      <c r="N11" s="1153"/>
      <c r="O11" s="1153"/>
      <c r="P11" s="1153"/>
      <c r="Q11" s="1153"/>
      <c r="R11" s="507">
        <v>3.0020939014894457</v>
      </c>
      <c r="S11" s="507">
        <v>7.628449851055441E-2</v>
      </c>
      <c r="T11" s="507">
        <v>3.0783784000000001</v>
      </c>
      <c r="U11" s="1153"/>
      <c r="V11" s="1153"/>
      <c r="W11" s="1153"/>
      <c r="X11" s="1153"/>
      <c r="Y11" s="1156">
        <v>1701</v>
      </c>
      <c r="Z11" s="965"/>
      <c r="AA11" s="965"/>
      <c r="AB11" s="965"/>
      <c r="AC11" s="1153"/>
      <c r="AD11" s="1153"/>
      <c r="AE11" s="1153"/>
      <c r="AF11" s="1153"/>
      <c r="AG11" s="1153"/>
      <c r="AH11" s="958">
        <f t="shared" si="0"/>
        <v>0</v>
      </c>
      <c r="AI11" s="1153"/>
      <c r="AJ11" s="1153"/>
      <c r="AK11" s="1153"/>
      <c r="AL11" s="1153"/>
      <c r="AM11" s="1153"/>
      <c r="AN11" s="1153"/>
      <c r="AO11" s="1153"/>
      <c r="AP11" s="1153"/>
      <c r="AQ11" s="1154">
        <v>1</v>
      </c>
      <c r="AR11" s="962">
        <f t="shared" si="1"/>
        <v>0.67110316092337996</v>
      </c>
      <c r="AS11" s="1153"/>
      <c r="AT11" s="1154">
        <f t="shared" si="2"/>
        <v>8.0558710550160145E-2</v>
      </c>
      <c r="AU11" s="1153"/>
      <c r="AV11" s="1153"/>
      <c r="AW11" s="1153"/>
      <c r="AX11" s="1153"/>
      <c r="AY11" s="1153"/>
      <c r="AZ11" s="958"/>
      <c r="BA11" s="1153"/>
      <c r="BB11" s="1153"/>
      <c r="BC11" s="956"/>
      <c r="BD11" s="1153"/>
      <c r="BE11" s="1153"/>
      <c r="BF11" s="1153"/>
      <c r="BL11" s="9" t="s">
        <v>1232</v>
      </c>
      <c r="BM11" s="9"/>
      <c r="BN11" s="9"/>
      <c r="BO11" s="9"/>
      <c r="BP11" s="9"/>
      <c r="BQ11" s="9"/>
      <c r="BR11" s="9"/>
      <c r="BS11" s="9" t="s">
        <v>1233</v>
      </c>
      <c r="BT11" s="9"/>
    </row>
    <row r="12" spans="1:72" x14ac:dyDescent="0.45">
      <c r="A12" s="14">
        <v>1702</v>
      </c>
      <c r="B12" s="507">
        <v>3.1239968000000005</v>
      </c>
      <c r="C12" s="1153"/>
      <c r="D12" s="1153"/>
      <c r="E12" s="507"/>
      <c r="F12" s="1153"/>
      <c r="G12" s="1153"/>
      <c r="H12" s="1153"/>
      <c r="I12" s="1153"/>
      <c r="J12" s="1153"/>
      <c r="K12" s="1153"/>
      <c r="L12" s="1153"/>
      <c r="M12" s="1153"/>
      <c r="N12" s="1153"/>
      <c r="O12" s="1153"/>
      <c r="P12" s="1153"/>
      <c r="Q12" s="1153"/>
      <c r="R12" s="507">
        <v>3.067954273700459</v>
      </c>
      <c r="S12" s="507">
        <v>5.6042526299541429E-2</v>
      </c>
      <c r="T12" s="507">
        <v>3.1239968000000005</v>
      </c>
      <c r="U12" s="1153"/>
      <c r="V12" s="1153"/>
      <c r="W12" s="1153"/>
      <c r="X12" s="1153"/>
      <c r="Y12" s="1156">
        <v>1702</v>
      </c>
      <c r="Z12" s="1153"/>
      <c r="AA12" s="1153"/>
      <c r="AB12" s="1153"/>
      <c r="AC12" s="1153"/>
      <c r="AD12" s="1153"/>
      <c r="AE12" s="1153"/>
      <c r="AF12" s="1153"/>
      <c r="AG12" s="1153"/>
      <c r="AH12" s="958">
        <f t="shared" si="0"/>
        <v>0</v>
      </c>
      <c r="AI12" s="1153"/>
      <c r="AJ12" s="1153"/>
      <c r="AK12" s="1153"/>
      <c r="AL12" s="1153"/>
      <c r="AM12" s="1153"/>
      <c r="AN12" s="1153"/>
      <c r="AO12" s="1153"/>
      <c r="AP12" s="1153"/>
      <c r="AQ12" s="1154">
        <v>1</v>
      </c>
      <c r="AR12" s="962">
        <f t="shared" si="1"/>
        <v>0.67110316092337996</v>
      </c>
      <c r="AS12" s="1153"/>
      <c r="AT12" s="1154">
        <f t="shared" si="2"/>
        <v>8.0558710550160145E-2</v>
      </c>
      <c r="AU12" s="1153"/>
      <c r="AV12" s="1153"/>
      <c r="AW12" s="1153"/>
      <c r="AX12" s="1153"/>
      <c r="AY12" s="1153"/>
      <c r="AZ12" s="958"/>
      <c r="BA12" s="1153"/>
      <c r="BB12" s="1153"/>
      <c r="BC12" s="956"/>
      <c r="BD12" s="1153"/>
      <c r="BE12" s="1153"/>
      <c r="BF12" s="1153"/>
      <c r="BL12" s="9"/>
      <c r="BM12" s="9" t="s">
        <v>1234</v>
      </c>
      <c r="BN12" s="9" t="s">
        <v>1235</v>
      </c>
      <c r="BO12" s="9" t="s">
        <v>1236</v>
      </c>
      <c r="BP12" s="9" t="s">
        <v>1063</v>
      </c>
      <c r="BQ12" s="9" t="s">
        <v>1237</v>
      </c>
      <c r="BR12" s="9" t="s">
        <v>12</v>
      </c>
      <c r="BS12" s="9" t="s">
        <v>1238</v>
      </c>
      <c r="BT12" s="9" t="s">
        <v>17</v>
      </c>
    </row>
    <row r="13" spans="1:72" x14ac:dyDescent="0.45">
      <c r="A13" s="14">
        <v>1703</v>
      </c>
      <c r="B13" s="507">
        <v>3.1696152000000004</v>
      </c>
      <c r="C13" s="1153"/>
      <c r="D13" s="1153"/>
      <c r="E13" s="507"/>
      <c r="F13" s="1153"/>
      <c r="G13" s="1153"/>
      <c r="H13" s="1153"/>
      <c r="I13" s="1153"/>
      <c r="J13" s="1153"/>
      <c r="K13" s="1153"/>
      <c r="L13" s="1153"/>
      <c r="M13" s="1153"/>
      <c r="N13" s="1153"/>
      <c r="O13" s="1153"/>
      <c r="P13" s="1153"/>
      <c r="Q13" s="1153"/>
      <c r="R13" s="507">
        <v>3.1225985254643911</v>
      </c>
      <c r="S13" s="507">
        <v>4.7016674535609315E-2</v>
      </c>
      <c r="T13" s="507">
        <v>3.1696152000000004</v>
      </c>
      <c r="U13" s="1153"/>
      <c r="V13" s="1153"/>
      <c r="W13" s="1153"/>
      <c r="X13" s="1153"/>
      <c r="Y13" s="1156">
        <v>1703</v>
      </c>
      <c r="Z13" s="1153"/>
      <c r="AA13" s="1153"/>
      <c r="AB13" s="1153"/>
      <c r="AC13" s="1153"/>
      <c r="AD13" s="1153"/>
      <c r="AE13" s="1153"/>
      <c r="AF13" s="1153"/>
      <c r="AG13" s="1153"/>
      <c r="AH13" s="958">
        <f t="shared" si="0"/>
        <v>0</v>
      </c>
      <c r="AI13" s="1153"/>
      <c r="AJ13" s="1153"/>
      <c r="AK13" s="1153"/>
      <c r="AL13" s="1153"/>
      <c r="AM13" s="1153"/>
      <c r="AN13" s="1153"/>
      <c r="AO13" s="1153"/>
      <c r="AP13" s="1153"/>
      <c r="AQ13" s="1154">
        <v>1</v>
      </c>
      <c r="AR13" s="962">
        <f t="shared" si="1"/>
        <v>0.67110316092337996</v>
      </c>
      <c r="AS13" s="1153"/>
      <c r="AT13" s="1154">
        <f t="shared" si="2"/>
        <v>8.0558710550160145E-2</v>
      </c>
      <c r="AU13" s="1153"/>
      <c r="AV13" s="1153"/>
      <c r="AW13" s="1153"/>
      <c r="AX13" s="1153"/>
      <c r="AY13" s="1153"/>
      <c r="AZ13" s="958"/>
      <c r="BA13" s="1153"/>
      <c r="BB13" s="1153"/>
      <c r="BC13" s="956"/>
      <c r="BD13" s="1153"/>
      <c r="BE13" s="1153"/>
      <c r="BF13" s="1153"/>
      <c r="BL13" s="9">
        <v>1700</v>
      </c>
      <c r="BM13" s="9"/>
      <c r="BN13" s="9">
        <v>30</v>
      </c>
      <c r="BO13" s="9">
        <v>250</v>
      </c>
      <c r="BP13" s="9"/>
      <c r="BQ13" s="9">
        <v>890</v>
      </c>
      <c r="BR13" s="9">
        <v>55</v>
      </c>
      <c r="BS13" s="9">
        <v>200</v>
      </c>
      <c r="BT13" s="9">
        <v>1420</v>
      </c>
    </row>
    <row r="14" spans="1:72" x14ac:dyDescent="0.45">
      <c r="A14" s="14">
        <v>1704</v>
      </c>
      <c r="B14" s="507">
        <v>3.2152336000000004</v>
      </c>
      <c r="C14" s="1153"/>
      <c r="D14" s="1153"/>
      <c r="E14" s="507"/>
      <c r="F14" s="1153"/>
      <c r="G14" s="1153"/>
      <c r="H14" s="1153"/>
      <c r="I14" s="1153"/>
      <c r="J14" s="1153"/>
      <c r="K14" s="1153"/>
      <c r="L14" s="1153"/>
      <c r="M14" s="1153"/>
      <c r="N14" s="1153"/>
      <c r="O14" s="1153"/>
      <c r="P14" s="1153"/>
      <c r="Q14" s="1153"/>
      <c r="R14" s="507">
        <v>3.1639934159426715</v>
      </c>
      <c r="S14" s="507">
        <v>5.1240184057328886E-2</v>
      </c>
      <c r="T14" s="507">
        <v>3.2152336000000004</v>
      </c>
      <c r="U14" s="1153"/>
      <c r="V14" s="1153"/>
      <c r="W14" s="1153"/>
      <c r="X14" s="1153"/>
      <c r="Y14" s="1156">
        <v>1704</v>
      </c>
      <c r="Z14" s="1153"/>
      <c r="AA14" s="1153"/>
      <c r="AB14" s="1153"/>
      <c r="AC14" s="1153"/>
      <c r="AD14" s="1153"/>
      <c r="AE14" s="1153"/>
      <c r="AF14" s="1153"/>
      <c r="AG14" s="1153"/>
      <c r="AH14" s="958">
        <f t="shared" si="0"/>
        <v>0</v>
      </c>
      <c r="AI14" s="1153"/>
      <c r="AJ14" s="1153"/>
      <c r="AK14" s="1153"/>
      <c r="AL14" s="1153"/>
      <c r="AM14" s="1153"/>
      <c r="AN14" s="1153"/>
      <c r="AO14" s="1153"/>
      <c r="AP14" s="1153"/>
      <c r="AQ14" s="1154">
        <v>1</v>
      </c>
      <c r="AR14" s="962">
        <f t="shared" si="1"/>
        <v>0.67110316092337996</v>
      </c>
      <c r="AS14" s="1153"/>
      <c r="AT14" s="1154">
        <f t="shared" si="2"/>
        <v>8.0558710550160145E-2</v>
      </c>
      <c r="AU14" s="1153"/>
      <c r="AV14" s="1153"/>
      <c r="AW14" s="1153"/>
      <c r="AX14" s="1153"/>
      <c r="AY14" s="1153"/>
      <c r="AZ14" s="958"/>
      <c r="BA14" s="1153"/>
      <c r="BB14" s="1153"/>
      <c r="BC14" s="956"/>
      <c r="BD14" s="1153"/>
      <c r="BE14" s="1153"/>
      <c r="BF14" s="1153"/>
      <c r="BL14" s="9">
        <v>1750</v>
      </c>
      <c r="BM14" s="9">
        <v>20</v>
      </c>
      <c r="BN14" s="9">
        <v>50</v>
      </c>
      <c r="BO14" s="9">
        <v>300</v>
      </c>
      <c r="BP14" s="9"/>
      <c r="BQ14" s="9">
        <v>1700</v>
      </c>
      <c r="BR14" s="9">
        <v>130</v>
      </c>
      <c r="BS14" s="9">
        <v>410</v>
      </c>
      <c r="BT14" s="9">
        <v>2220</v>
      </c>
    </row>
    <row r="15" spans="1:72" x14ac:dyDescent="0.45">
      <c r="A15" s="14">
        <v>1705</v>
      </c>
      <c r="B15" s="507">
        <v>3.2608520000000007</v>
      </c>
      <c r="C15" s="1153"/>
      <c r="D15" s="1153"/>
      <c r="E15" s="507"/>
      <c r="F15" s="1153"/>
      <c r="G15" s="1153"/>
      <c r="H15" s="1153"/>
      <c r="I15" s="1153"/>
      <c r="J15" s="1153"/>
      <c r="K15" s="1153"/>
      <c r="L15" s="1153"/>
      <c r="M15" s="1153"/>
      <c r="N15" s="1153"/>
      <c r="O15" s="1153"/>
      <c r="P15" s="1153"/>
      <c r="Q15" s="1153"/>
      <c r="R15" s="507">
        <v>3.2094096659202802</v>
      </c>
      <c r="S15" s="507">
        <v>5.1442334079720542E-2</v>
      </c>
      <c r="T15" s="507">
        <v>3.2608520000000007</v>
      </c>
      <c r="U15" s="1153"/>
      <c r="V15" s="1153"/>
      <c r="W15" s="1153"/>
      <c r="X15" s="1153"/>
      <c r="Y15" s="1156">
        <v>1705</v>
      </c>
      <c r="Z15" s="1153"/>
      <c r="AA15" s="1153"/>
      <c r="AB15" s="1153"/>
      <c r="AC15" s="1153"/>
      <c r="AD15" s="1153"/>
      <c r="AE15" s="1153"/>
      <c r="AF15" s="1153"/>
      <c r="AG15" s="1153"/>
      <c r="AH15" s="958">
        <f t="shared" si="0"/>
        <v>0</v>
      </c>
      <c r="AI15" s="1153"/>
      <c r="AJ15" s="1153"/>
      <c r="AK15" s="1153"/>
      <c r="AL15" s="1153"/>
      <c r="AM15" s="1153"/>
      <c r="AN15" s="1153"/>
      <c r="AO15" s="1153"/>
      <c r="AP15" s="1153"/>
      <c r="AQ15" s="1154">
        <v>1</v>
      </c>
      <c r="AR15" s="962">
        <f t="shared" si="1"/>
        <v>0.67110316092337996</v>
      </c>
      <c r="AS15" s="1153"/>
      <c r="AT15" s="1154">
        <f t="shared" si="2"/>
        <v>8.0558710550160145E-2</v>
      </c>
      <c r="AU15" s="1153"/>
      <c r="AV15" s="1153"/>
      <c r="AW15" s="1153"/>
      <c r="AX15" s="1153"/>
      <c r="AY15" s="1153"/>
      <c r="AZ15" s="958"/>
      <c r="BA15" s="1153"/>
      <c r="BB15" s="1153"/>
      <c r="BC15" s="956"/>
      <c r="BD15" s="1153"/>
      <c r="BE15" s="1153"/>
      <c r="BF15" s="1153"/>
      <c r="BL15" s="9">
        <v>1775</v>
      </c>
      <c r="BM15" s="9">
        <v>200</v>
      </c>
      <c r="BN15" s="9">
        <v>80</v>
      </c>
      <c r="BO15" s="9">
        <v>310</v>
      </c>
      <c r="BP15" s="9"/>
      <c r="BQ15" s="9">
        <v>3160</v>
      </c>
      <c r="BR15" s="9">
        <v>250</v>
      </c>
      <c r="BS15" s="9">
        <v>670</v>
      </c>
      <c r="BT15" s="9">
        <v>3760</v>
      </c>
    </row>
    <row r="16" spans="1:72" x14ac:dyDescent="0.45">
      <c r="A16" s="14">
        <v>1706</v>
      </c>
      <c r="B16" s="507">
        <v>3.3064704000000007</v>
      </c>
      <c r="C16" s="1153"/>
      <c r="D16" s="1153"/>
      <c r="E16" s="507"/>
      <c r="F16" s="1153"/>
      <c r="G16" s="1153"/>
      <c r="H16" s="1153"/>
      <c r="I16" s="1153"/>
      <c r="J16" s="1153"/>
      <c r="K16" s="1153"/>
      <c r="L16" s="1153"/>
      <c r="M16" s="1153"/>
      <c r="N16" s="1153"/>
      <c r="O16" s="1153"/>
      <c r="P16" s="1153"/>
      <c r="Q16" s="1153"/>
      <c r="R16" s="507">
        <v>3.2578299566188456</v>
      </c>
      <c r="S16" s="507">
        <v>4.8640443381155141E-2</v>
      </c>
      <c r="T16" s="507">
        <v>3.3064704000000007</v>
      </c>
      <c r="U16" s="1153"/>
      <c r="V16" s="1153"/>
      <c r="W16" s="1153"/>
      <c r="X16" s="1153"/>
      <c r="Y16" s="1156">
        <v>1706</v>
      </c>
      <c r="Z16" s="1153"/>
      <c r="AA16" s="1153"/>
      <c r="AB16" s="1153"/>
      <c r="AC16" s="1153"/>
      <c r="AD16" s="1153"/>
      <c r="AE16" s="1153"/>
      <c r="AF16" s="1153"/>
      <c r="AG16" s="1153"/>
      <c r="AH16" s="958">
        <f t="shared" si="0"/>
        <v>0</v>
      </c>
      <c r="AI16" s="1153"/>
      <c r="AJ16" s="1153"/>
      <c r="AK16" s="1153"/>
      <c r="AL16" s="1153"/>
      <c r="AM16" s="1153"/>
      <c r="AN16" s="1153"/>
      <c r="AO16" s="1153"/>
      <c r="AP16" s="1153"/>
      <c r="AQ16" s="1154">
        <v>1</v>
      </c>
      <c r="AR16" s="962">
        <f t="shared" si="1"/>
        <v>0.67110316092337996</v>
      </c>
      <c r="AS16" s="1153"/>
      <c r="AT16" s="1154">
        <f t="shared" si="2"/>
        <v>8.0558710550160145E-2</v>
      </c>
      <c r="AU16" s="1153"/>
      <c r="AV16" s="1153"/>
      <c r="AW16" s="1153"/>
      <c r="AX16" s="1153"/>
      <c r="AY16" s="1153"/>
      <c r="AZ16" s="958"/>
      <c r="BA16" s="1153"/>
      <c r="BB16" s="1153"/>
      <c r="BC16" s="956"/>
      <c r="BD16" s="1153"/>
      <c r="BE16" s="1153"/>
      <c r="BF16" s="1153"/>
      <c r="BL16" s="9">
        <v>1800</v>
      </c>
      <c r="BM16" s="9">
        <v>1800</v>
      </c>
      <c r="BN16" s="9">
        <v>150</v>
      </c>
      <c r="BO16" s="9">
        <v>325</v>
      </c>
      <c r="BP16" s="9"/>
      <c r="BQ16" s="9">
        <v>5315</v>
      </c>
      <c r="BR16" s="9">
        <v>560</v>
      </c>
      <c r="BS16" s="9">
        <v>1045</v>
      </c>
      <c r="BT16" s="9">
        <v>5350</v>
      </c>
    </row>
    <row r="17" spans="1:72" x14ac:dyDescent="0.45">
      <c r="A17" s="14">
        <v>1707</v>
      </c>
      <c r="B17" s="507">
        <v>3.3520888000000011</v>
      </c>
      <c r="C17" s="1153"/>
      <c r="D17" s="1153"/>
      <c r="E17" s="507"/>
      <c r="F17" s="1153"/>
      <c r="G17" s="1153"/>
      <c r="H17" s="1153"/>
      <c r="I17" s="1153"/>
      <c r="J17" s="1153"/>
      <c r="K17" s="1153"/>
      <c r="L17" s="1153"/>
      <c r="M17" s="1153"/>
      <c r="N17" s="1153"/>
      <c r="O17" s="1153"/>
      <c r="P17" s="1153"/>
      <c r="Q17" s="1153"/>
      <c r="R17" s="507">
        <v>3.2929969284730372</v>
      </c>
      <c r="S17" s="507">
        <v>5.9091871526963935E-2</v>
      </c>
      <c r="T17" s="507">
        <v>3.3520888000000011</v>
      </c>
      <c r="U17" s="1153"/>
      <c r="V17" s="1153"/>
      <c r="W17" s="1153"/>
      <c r="X17" s="1153"/>
      <c r="Y17" s="1156">
        <v>1707</v>
      </c>
      <c r="Z17" s="1153"/>
      <c r="AA17" s="1153"/>
      <c r="AB17" s="1153"/>
      <c r="AC17" s="1153"/>
      <c r="AD17" s="1153"/>
      <c r="AE17" s="1153"/>
      <c r="AF17" s="1153"/>
      <c r="AG17" s="1153"/>
      <c r="AH17" s="958">
        <f t="shared" si="0"/>
        <v>0</v>
      </c>
      <c r="AI17" s="1153"/>
      <c r="AJ17" s="1153"/>
      <c r="AK17" s="1153"/>
      <c r="AL17" s="1153"/>
      <c r="AM17" s="1153"/>
      <c r="AN17" s="1153"/>
      <c r="AO17" s="1153"/>
      <c r="AP17" s="1153"/>
      <c r="AQ17" s="1154">
        <v>1</v>
      </c>
      <c r="AR17" s="962">
        <f t="shared" si="1"/>
        <v>0.67110316092337996</v>
      </c>
      <c r="AS17" s="1153"/>
      <c r="AT17" s="1154">
        <f t="shared" si="2"/>
        <v>8.0558710550160145E-2</v>
      </c>
      <c r="AU17" s="1153"/>
      <c r="AV17" s="1153"/>
      <c r="AW17" s="1153"/>
      <c r="AX17" s="1153"/>
      <c r="AY17" s="1153"/>
      <c r="AZ17" s="958"/>
      <c r="BA17" s="1153"/>
      <c r="BB17" s="1153"/>
      <c r="BC17" s="956"/>
      <c r="BD17" s="1153"/>
      <c r="BE17" s="1153"/>
      <c r="BF17" s="1153"/>
      <c r="BL17" s="9">
        <v>1830</v>
      </c>
      <c r="BM17" s="9">
        <v>5635</v>
      </c>
      <c r="BN17" s="9">
        <v>240</v>
      </c>
      <c r="BO17" s="9">
        <v>350</v>
      </c>
      <c r="BP17" s="9">
        <v>500</v>
      </c>
      <c r="BQ17" s="9">
        <v>7250</v>
      </c>
      <c r="BR17" s="9">
        <v>1500</v>
      </c>
      <c r="BS17" s="9">
        <v>2150</v>
      </c>
      <c r="BT17" s="9">
        <v>11500</v>
      </c>
    </row>
    <row r="18" spans="1:72" x14ac:dyDescent="0.45">
      <c r="A18" s="14">
        <v>1708</v>
      </c>
      <c r="B18" s="507">
        <v>3.397707200000001</v>
      </c>
      <c r="C18" s="1153"/>
      <c r="D18" s="1153"/>
      <c r="E18" s="507"/>
      <c r="F18" s="1153"/>
      <c r="G18" s="1153"/>
      <c r="H18" s="1153"/>
      <c r="I18" s="1153"/>
      <c r="J18" s="1153"/>
      <c r="K18" s="1153"/>
      <c r="L18" s="1153"/>
      <c r="M18" s="1153"/>
      <c r="N18" s="1153"/>
      <c r="O18" s="1153"/>
      <c r="P18" s="1153"/>
      <c r="Q18" s="1153"/>
      <c r="R18" s="507">
        <v>3.3352291798691103</v>
      </c>
      <c r="S18" s="507">
        <v>6.2478020130890766E-2</v>
      </c>
      <c r="T18" s="507">
        <v>3.397707200000001</v>
      </c>
      <c r="U18" s="1153"/>
      <c r="V18" s="1153"/>
      <c r="W18" s="1153"/>
      <c r="X18" s="1153"/>
      <c r="Y18" s="1156">
        <v>1708</v>
      </c>
      <c r="Z18" s="1153"/>
      <c r="AA18" s="1153"/>
      <c r="AB18" s="1153"/>
      <c r="AC18" s="1153"/>
      <c r="AD18" s="1153"/>
      <c r="AE18" s="1153"/>
      <c r="AF18" s="1153"/>
      <c r="AG18" s="1153"/>
      <c r="AH18" s="958">
        <f t="shared" si="0"/>
        <v>0</v>
      </c>
      <c r="AI18" s="1153"/>
      <c r="AJ18" s="1153"/>
      <c r="AK18" s="1153"/>
      <c r="AL18" s="1153"/>
      <c r="AM18" s="1153"/>
      <c r="AN18" s="1153"/>
      <c r="AO18" s="1153"/>
      <c r="AP18" s="1153"/>
      <c r="AQ18" s="1154">
        <v>1</v>
      </c>
      <c r="AR18" s="962">
        <f t="shared" si="1"/>
        <v>0.67110316092337996</v>
      </c>
      <c r="AS18" s="1153"/>
      <c r="AT18" s="1154">
        <f t="shared" si="2"/>
        <v>8.0558710550160145E-2</v>
      </c>
      <c r="AU18" s="1153"/>
      <c r="AV18" s="1153"/>
      <c r="AW18" s="1153"/>
      <c r="AX18" s="1153"/>
      <c r="AY18" s="1153"/>
      <c r="AZ18" s="958"/>
      <c r="BA18" s="1153"/>
      <c r="BB18" s="1153"/>
      <c r="BC18" s="956"/>
      <c r="BD18" s="1153"/>
      <c r="BE18" s="1153"/>
      <c r="BF18" s="1153"/>
    </row>
    <row r="19" spans="1:72" x14ac:dyDescent="0.45">
      <c r="A19" s="14">
        <v>1709</v>
      </c>
      <c r="B19" s="507">
        <v>3.4433256000000014</v>
      </c>
      <c r="C19" s="1153"/>
      <c r="D19" s="1153"/>
      <c r="E19" s="507"/>
      <c r="F19" s="1153"/>
      <c r="G19" s="1153"/>
      <c r="H19" s="1153"/>
      <c r="I19" s="1153"/>
      <c r="J19" s="1153"/>
      <c r="K19" s="1153"/>
      <c r="L19" s="1153"/>
      <c r="M19" s="1153"/>
      <c r="N19" s="1153"/>
      <c r="O19" s="1153"/>
      <c r="P19" s="1153"/>
      <c r="Q19" s="1153"/>
      <c r="R19" s="507">
        <v>3.3713172658444437</v>
      </c>
      <c r="S19" s="507">
        <v>7.2008334155557741E-2</v>
      </c>
      <c r="T19" s="507">
        <v>3.4433256000000014</v>
      </c>
      <c r="U19" s="1153"/>
      <c r="V19" s="1153"/>
      <c r="W19" s="1153"/>
      <c r="X19" s="1153"/>
      <c r="Y19" s="1156">
        <v>1709</v>
      </c>
      <c r="Z19" s="1153"/>
      <c r="AA19" s="1153"/>
      <c r="AB19" s="1153"/>
      <c r="AC19" s="1153"/>
      <c r="AD19" s="1153"/>
      <c r="AE19" s="1153"/>
      <c r="AF19" s="1153"/>
      <c r="AG19" s="1153"/>
      <c r="AH19" s="958">
        <f t="shared" si="0"/>
        <v>0</v>
      </c>
      <c r="AI19" s="1153"/>
      <c r="AJ19" s="1153"/>
      <c r="AK19" s="1153"/>
      <c r="AL19" s="1153"/>
      <c r="AM19" s="1153"/>
      <c r="AN19" s="1153"/>
      <c r="AO19" s="1153"/>
      <c r="AP19" s="1153"/>
      <c r="AQ19" s="1154">
        <v>1</v>
      </c>
      <c r="AR19" s="962">
        <f t="shared" si="1"/>
        <v>0.67110316092337996</v>
      </c>
      <c r="AS19" s="1153"/>
      <c r="AT19" s="1154">
        <f t="shared" si="2"/>
        <v>8.0558710550160145E-2</v>
      </c>
      <c r="AU19" s="1153"/>
      <c r="AV19" s="1153"/>
      <c r="AW19" s="1153"/>
      <c r="AX19" s="1153"/>
      <c r="AY19" s="1153"/>
      <c r="AZ19" s="958"/>
      <c r="BA19" s="1153"/>
      <c r="BB19" s="1153"/>
      <c r="BC19" s="956"/>
      <c r="BD19" s="1153"/>
      <c r="BE19" s="1153"/>
      <c r="BF19" s="1153"/>
    </row>
    <row r="20" spans="1:72" x14ac:dyDescent="0.45">
      <c r="A20" s="14">
        <v>1710</v>
      </c>
      <c r="B20" s="507">
        <v>3.4889440000000014</v>
      </c>
      <c r="C20" s="1153"/>
      <c r="D20" s="1153"/>
      <c r="E20" s="507"/>
      <c r="F20" s="1153"/>
      <c r="G20" s="1153"/>
      <c r="H20" s="1153"/>
      <c r="I20" s="1153"/>
      <c r="J20" s="1153"/>
      <c r="K20" s="1153"/>
      <c r="L20" s="1153"/>
      <c r="M20" s="1153"/>
      <c r="N20" s="1153"/>
      <c r="O20" s="1153"/>
      <c r="P20" s="1153"/>
      <c r="Q20" s="1153"/>
      <c r="R20" s="507">
        <v>3.421579696746849</v>
      </c>
      <c r="S20" s="507">
        <v>6.7364303253152347E-2</v>
      </c>
      <c r="T20" s="507">
        <v>3.4889440000000014</v>
      </c>
      <c r="U20" s="1153"/>
      <c r="V20" s="1153"/>
      <c r="W20" s="1153"/>
      <c r="X20" s="1153"/>
      <c r="Y20" s="1156">
        <v>1710</v>
      </c>
      <c r="Z20" s="1153"/>
      <c r="AA20" s="1153"/>
      <c r="AB20" s="1153"/>
      <c r="AC20" s="1153"/>
      <c r="AD20" s="1153"/>
      <c r="AE20" s="1153"/>
      <c r="AF20" s="1153"/>
      <c r="AG20" s="1153"/>
      <c r="AH20" s="958">
        <f t="shared" si="0"/>
        <v>0</v>
      </c>
      <c r="AI20" s="1153"/>
      <c r="AJ20" s="1153"/>
      <c r="AK20" s="1153"/>
      <c r="AL20" s="1153"/>
      <c r="AM20" s="1153"/>
      <c r="AN20" s="1153"/>
      <c r="AO20" s="1153"/>
      <c r="AP20" s="1153"/>
      <c r="AQ20" s="1154">
        <v>1</v>
      </c>
      <c r="AR20" s="962">
        <f t="shared" si="1"/>
        <v>0.67110316092337996</v>
      </c>
      <c r="AS20" s="1153"/>
      <c r="AT20" s="1154">
        <f t="shared" si="2"/>
        <v>8.0558710550160145E-2</v>
      </c>
      <c r="AU20" s="1153"/>
      <c r="AV20" s="1153"/>
      <c r="AW20" s="1153"/>
      <c r="AX20" s="1153"/>
      <c r="AY20" s="1153"/>
      <c r="AZ20" s="958"/>
      <c r="BA20" s="1153"/>
      <c r="BB20" s="1153"/>
      <c r="BC20" s="956"/>
      <c r="BD20" s="1153"/>
      <c r="BE20" s="1153"/>
      <c r="BF20" s="1153"/>
    </row>
    <row r="21" spans="1:72" x14ac:dyDescent="0.45">
      <c r="A21" s="14">
        <v>1711</v>
      </c>
      <c r="B21" s="507">
        <v>3.5345624000000018</v>
      </c>
      <c r="C21" s="1153"/>
      <c r="D21" s="1153"/>
      <c r="E21" s="507"/>
      <c r="F21" s="1153"/>
      <c r="G21" s="1153"/>
      <c r="H21" s="1153"/>
      <c r="I21" s="1153"/>
      <c r="J21" s="1153"/>
      <c r="K21" s="1153"/>
      <c r="L21" s="1153"/>
      <c r="M21" s="1153"/>
      <c r="N21" s="1153"/>
      <c r="O21" s="1153"/>
      <c r="P21" s="1153"/>
      <c r="Q21" s="1153"/>
      <c r="R21" s="507">
        <v>3.4636629368524221</v>
      </c>
      <c r="S21" s="507">
        <v>7.0899463147579667E-2</v>
      </c>
      <c r="T21" s="507">
        <v>3.5345624000000018</v>
      </c>
      <c r="U21" s="1153"/>
      <c r="V21" s="1153"/>
      <c r="W21" s="1153"/>
      <c r="X21" s="1153"/>
      <c r="Y21" s="1156">
        <v>1711</v>
      </c>
      <c r="Z21" s="1153"/>
      <c r="AA21" s="1153"/>
      <c r="AB21" s="1153"/>
      <c r="AC21" s="1153"/>
      <c r="AD21" s="1153"/>
      <c r="AE21" s="1153"/>
      <c r="AF21" s="1153"/>
      <c r="AG21" s="1153"/>
      <c r="AH21" s="958">
        <f t="shared" si="0"/>
        <v>0</v>
      </c>
      <c r="AI21" s="1153"/>
      <c r="AJ21" s="1153"/>
      <c r="AK21" s="1153"/>
      <c r="AL21" s="1153"/>
      <c r="AM21" s="1153"/>
      <c r="AN21" s="1153"/>
      <c r="AO21" s="1153"/>
      <c r="AP21" s="1153"/>
      <c r="AQ21" s="1154">
        <v>1</v>
      </c>
      <c r="AR21" s="962">
        <f t="shared" si="1"/>
        <v>0.67110316092337996</v>
      </c>
      <c r="AS21" s="1153"/>
      <c r="AT21" s="1154">
        <f t="shared" si="2"/>
        <v>8.0558710550160145E-2</v>
      </c>
      <c r="AU21" s="1153"/>
      <c r="AV21" s="1153"/>
      <c r="AW21" s="1153"/>
      <c r="AX21" s="1153"/>
      <c r="AY21" s="1153"/>
      <c r="AZ21" s="958"/>
      <c r="BA21" s="1153"/>
      <c r="BB21" s="1153"/>
      <c r="BC21" s="956"/>
      <c r="BD21" s="1153"/>
      <c r="BE21" s="1153"/>
      <c r="BF21" s="1153"/>
    </row>
    <row r="22" spans="1:72" x14ac:dyDescent="0.45">
      <c r="A22" s="14">
        <v>1712</v>
      </c>
      <c r="B22" s="507">
        <v>3.5801808000000017</v>
      </c>
      <c r="C22" s="1153"/>
      <c r="D22" s="1153"/>
      <c r="E22" s="507"/>
      <c r="F22" s="1153"/>
      <c r="G22" s="1153"/>
      <c r="H22" s="1153"/>
      <c r="I22" s="1153"/>
      <c r="J22" s="1153"/>
      <c r="K22" s="1153"/>
      <c r="L22" s="1153"/>
      <c r="M22" s="1153"/>
      <c r="N22" s="1153"/>
      <c r="O22" s="1153"/>
      <c r="P22" s="1153"/>
      <c r="Q22" s="1153"/>
      <c r="R22" s="507">
        <v>3.4752134029406418</v>
      </c>
      <c r="S22" s="507">
        <v>0.10496739705935987</v>
      </c>
      <c r="T22" s="507">
        <v>3.5801808000000017</v>
      </c>
      <c r="U22" s="1153"/>
      <c r="V22" s="1153"/>
      <c r="W22" s="1153"/>
      <c r="X22" s="1153"/>
      <c r="Y22" s="1156">
        <v>1712</v>
      </c>
      <c r="Z22" s="1153"/>
      <c r="AA22" s="1153"/>
      <c r="AB22" s="1153"/>
      <c r="AC22" s="1153"/>
      <c r="AD22" s="1153"/>
      <c r="AE22" s="1153"/>
      <c r="AF22" s="1153"/>
      <c r="AG22" s="1153"/>
      <c r="AH22" s="958">
        <f t="shared" si="0"/>
        <v>0</v>
      </c>
      <c r="AI22" s="1153"/>
      <c r="AJ22" s="1153"/>
      <c r="AK22" s="1153"/>
      <c r="AL22" s="1153"/>
      <c r="AM22" s="1153"/>
      <c r="AN22" s="1153"/>
      <c r="AO22" s="1153"/>
      <c r="AP22" s="1153"/>
      <c r="AQ22" s="1154">
        <v>1</v>
      </c>
      <c r="AR22" s="962">
        <f t="shared" si="1"/>
        <v>0.67110316092337996</v>
      </c>
      <c r="AS22" s="1153"/>
      <c r="AT22" s="1154">
        <f t="shared" si="2"/>
        <v>8.0558710550160145E-2</v>
      </c>
      <c r="AU22" s="1153"/>
      <c r="AV22" s="1153"/>
      <c r="AW22" s="1153"/>
      <c r="AX22" s="1153"/>
      <c r="AY22" s="1153"/>
      <c r="AZ22" s="958"/>
      <c r="BA22" s="1153"/>
      <c r="BB22" s="1153"/>
      <c r="BC22" s="956"/>
      <c r="BD22" s="1153"/>
      <c r="BE22" s="1153"/>
      <c r="BF22" s="1153"/>
    </row>
    <row r="23" spans="1:72" x14ac:dyDescent="0.45">
      <c r="A23" s="14">
        <v>1713</v>
      </c>
      <c r="B23" s="507">
        <v>3.6257992000000021</v>
      </c>
      <c r="C23" s="1153"/>
      <c r="D23" s="1153"/>
      <c r="E23" s="507"/>
      <c r="F23" s="1153"/>
      <c r="G23" s="1153"/>
      <c r="H23" s="1153"/>
      <c r="I23" s="1153"/>
      <c r="J23" s="1153"/>
      <c r="K23" s="1153"/>
      <c r="L23" s="1153"/>
      <c r="M23" s="1153"/>
      <c r="N23" s="1153"/>
      <c r="O23" s="1153"/>
      <c r="P23" s="1153"/>
      <c r="Q23" s="1153"/>
      <c r="R23" s="507">
        <v>3.5395414628254036</v>
      </c>
      <c r="S23" s="507">
        <v>8.6257737174598503E-2</v>
      </c>
      <c r="T23" s="507">
        <v>3.6257992000000021</v>
      </c>
      <c r="U23" s="1153"/>
      <c r="V23" s="1153"/>
      <c r="W23" s="1153"/>
      <c r="X23" s="1153"/>
      <c r="Y23" s="1156">
        <v>1713</v>
      </c>
      <c r="Z23" s="1153"/>
      <c r="AA23" s="1153"/>
      <c r="AB23" s="1153"/>
      <c r="AC23" s="1153"/>
      <c r="AD23" s="1153"/>
      <c r="AE23" s="1153"/>
      <c r="AF23" s="1153"/>
      <c r="AG23" s="1153"/>
      <c r="AH23" s="958">
        <f t="shared" si="0"/>
        <v>0</v>
      </c>
      <c r="AI23" s="1153"/>
      <c r="AJ23" s="1153"/>
      <c r="AK23" s="1153"/>
      <c r="AL23" s="1153"/>
      <c r="AM23" s="1153"/>
      <c r="AN23" s="1153"/>
      <c r="AO23" s="1153"/>
      <c r="AP23" s="1153"/>
      <c r="AQ23" s="1154">
        <v>1</v>
      </c>
      <c r="AR23" s="962">
        <f t="shared" si="1"/>
        <v>0.67110316092337996</v>
      </c>
      <c r="AS23" s="1153"/>
      <c r="AT23" s="1154">
        <f t="shared" si="2"/>
        <v>8.0558710550160145E-2</v>
      </c>
      <c r="AU23" s="1153"/>
      <c r="AV23" s="1153"/>
      <c r="AW23" s="1153"/>
      <c r="AX23" s="1153"/>
      <c r="AY23" s="1153"/>
      <c r="AZ23" s="958"/>
      <c r="BA23" s="1153"/>
      <c r="BB23" s="1153"/>
      <c r="BC23" s="956"/>
      <c r="BD23" s="1153"/>
      <c r="BE23" s="1153"/>
      <c r="BF23" s="1153"/>
    </row>
    <row r="24" spans="1:72" x14ac:dyDescent="0.45">
      <c r="A24" s="14">
        <v>1714</v>
      </c>
      <c r="B24" s="507">
        <v>3.6714176000000021</v>
      </c>
      <c r="C24" s="1153"/>
      <c r="D24" s="1153"/>
      <c r="E24" s="507"/>
      <c r="F24" s="1153"/>
      <c r="G24" s="1153"/>
      <c r="H24" s="1153"/>
      <c r="I24" s="1153"/>
      <c r="J24" s="1153"/>
      <c r="K24" s="1153"/>
      <c r="L24" s="1153"/>
      <c r="M24" s="1153"/>
      <c r="N24" s="1153"/>
      <c r="O24" s="1153"/>
      <c r="P24" s="1153"/>
      <c r="Q24" s="1153"/>
      <c r="R24" s="507">
        <v>3.562157433840623</v>
      </c>
      <c r="S24" s="507">
        <v>0.10926016615937906</v>
      </c>
      <c r="T24" s="507">
        <v>3.6714176000000021</v>
      </c>
      <c r="U24" s="1153"/>
      <c r="V24" s="1153"/>
      <c r="W24" s="1153"/>
      <c r="X24" s="1153"/>
      <c r="Y24" s="1156">
        <v>1714</v>
      </c>
      <c r="Z24" s="1153"/>
      <c r="AA24" s="1153"/>
      <c r="AB24" s="1153"/>
      <c r="AC24" s="1153"/>
      <c r="AD24" s="1153"/>
      <c r="AE24" s="1153"/>
      <c r="AF24" s="1153"/>
      <c r="AG24" s="1153"/>
      <c r="AH24" s="958">
        <f t="shared" si="0"/>
        <v>0</v>
      </c>
      <c r="AI24" s="1153"/>
      <c r="AJ24" s="1153"/>
      <c r="AK24" s="1153"/>
      <c r="AL24" s="1153"/>
      <c r="AM24" s="1153"/>
      <c r="AN24" s="1153"/>
      <c r="AO24" s="1153"/>
      <c r="AP24" s="1153"/>
      <c r="AQ24" s="1154">
        <v>1</v>
      </c>
      <c r="AR24" s="962">
        <f t="shared" si="1"/>
        <v>0.67110316092337996</v>
      </c>
      <c r="AS24" s="1153"/>
      <c r="AT24" s="1154">
        <f t="shared" si="2"/>
        <v>8.0558710550160145E-2</v>
      </c>
      <c r="AU24" s="1153"/>
      <c r="AV24" s="1153"/>
      <c r="AW24" s="1153"/>
      <c r="AX24" s="1153"/>
      <c r="AY24" s="1153"/>
      <c r="AZ24" s="958"/>
      <c r="BA24" s="1153"/>
      <c r="BB24" s="1153"/>
      <c r="BC24" s="956"/>
      <c r="BD24" s="1153"/>
      <c r="BE24" s="1153"/>
      <c r="BF24" s="1153"/>
    </row>
    <row r="25" spans="1:72" x14ac:dyDescent="0.45">
      <c r="A25" s="14">
        <v>1715</v>
      </c>
      <c r="B25" s="507">
        <v>3.7170360000000024</v>
      </c>
      <c r="C25" s="1153"/>
      <c r="D25" s="1153"/>
      <c r="E25" s="507"/>
      <c r="F25" s="1153"/>
      <c r="G25" s="1153"/>
      <c r="H25" s="1153"/>
      <c r="I25" s="1153"/>
      <c r="J25" s="1153"/>
      <c r="K25" s="1153"/>
      <c r="L25" s="1153"/>
      <c r="M25" s="1153"/>
      <c r="N25" s="1153"/>
      <c r="O25" s="1153"/>
      <c r="P25" s="1153"/>
      <c r="Q25" s="1153"/>
      <c r="R25" s="507">
        <v>3.6121475812789923</v>
      </c>
      <c r="S25" s="507">
        <v>0.10488841872101018</v>
      </c>
      <c r="T25" s="507">
        <v>3.7170360000000024</v>
      </c>
      <c r="U25" s="1153"/>
      <c r="V25" s="1153"/>
      <c r="W25" s="1153"/>
      <c r="X25" s="1153"/>
      <c r="Y25" s="1156">
        <v>1715</v>
      </c>
      <c r="Z25" s="1153"/>
      <c r="AA25" s="1153"/>
      <c r="AB25" s="1153"/>
      <c r="AC25" s="1153"/>
      <c r="AD25" s="1153"/>
      <c r="AE25" s="1153"/>
      <c r="AF25" s="1153"/>
      <c r="AG25" s="1153"/>
      <c r="AH25" s="958">
        <f t="shared" si="0"/>
        <v>0</v>
      </c>
      <c r="AI25" s="1153"/>
      <c r="AJ25" s="1153"/>
      <c r="AK25" s="1153"/>
      <c r="AL25" s="1153"/>
      <c r="AM25" s="1153"/>
      <c r="AN25" s="1153"/>
      <c r="AO25" s="1153"/>
      <c r="AP25" s="1153"/>
      <c r="AQ25" s="1154">
        <v>1</v>
      </c>
      <c r="AR25" s="962">
        <f t="shared" si="1"/>
        <v>0.67110316092337996</v>
      </c>
      <c r="AS25" s="1153"/>
      <c r="AT25" s="1154">
        <f t="shared" si="2"/>
        <v>8.0558710550160145E-2</v>
      </c>
      <c r="AU25" s="1153"/>
      <c r="AV25" s="1153"/>
      <c r="AW25" s="1153"/>
      <c r="AX25" s="1153"/>
      <c r="AY25" s="1153"/>
      <c r="AZ25" s="958"/>
      <c r="BA25" s="1153"/>
      <c r="BB25" s="1153"/>
      <c r="BC25" s="956"/>
      <c r="BD25" s="1153"/>
      <c r="BE25" s="1153"/>
      <c r="BF25" s="1153"/>
    </row>
    <row r="26" spans="1:72" x14ac:dyDescent="0.45">
      <c r="A26" s="14">
        <v>1716</v>
      </c>
      <c r="B26" s="507">
        <v>3.7626544000000024</v>
      </c>
      <c r="C26" s="1153"/>
      <c r="D26" s="1153"/>
      <c r="E26" s="507"/>
      <c r="F26" s="1153"/>
      <c r="G26" s="1153"/>
      <c r="H26" s="1153"/>
      <c r="I26" s="1153"/>
      <c r="J26" s="1153"/>
      <c r="K26" s="1153"/>
      <c r="L26" s="1153"/>
      <c r="M26" s="1153"/>
      <c r="N26" s="1153"/>
      <c r="O26" s="1153"/>
      <c r="P26" s="1153"/>
      <c r="Q26" s="1153"/>
      <c r="R26" s="507">
        <v>3.6549661167824663</v>
      </c>
      <c r="S26" s="507">
        <v>0.1076882832175361</v>
      </c>
      <c r="T26" s="507">
        <v>3.7626544000000024</v>
      </c>
      <c r="U26" s="1153"/>
      <c r="V26" s="1153"/>
      <c r="W26" s="1153"/>
      <c r="X26" s="1153"/>
      <c r="Y26" s="1156">
        <v>1716</v>
      </c>
      <c r="Z26" s="1153"/>
      <c r="AA26" s="1153"/>
      <c r="AB26" s="1153"/>
      <c r="AC26" s="1153"/>
      <c r="AD26" s="1153"/>
      <c r="AE26" s="1153"/>
      <c r="AF26" s="1153"/>
      <c r="AG26" s="1153"/>
      <c r="AH26" s="958">
        <f t="shared" si="0"/>
        <v>0</v>
      </c>
      <c r="AI26" s="1153"/>
      <c r="AJ26" s="1153"/>
      <c r="AK26" s="1153"/>
      <c r="AL26" s="1153"/>
      <c r="AM26" s="1153"/>
      <c r="AN26" s="1153"/>
      <c r="AO26" s="1153"/>
      <c r="AP26" s="1153"/>
      <c r="AQ26" s="1154">
        <v>1</v>
      </c>
      <c r="AR26" s="962">
        <f t="shared" si="1"/>
        <v>0.67110316092337996</v>
      </c>
      <c r="AS26" s="1153"/>
      <c r="AT26" s="1154">
        <f t="shared" si="2"/>
        <v>8.0558710550160145E-2</v>
      </c>
      <c r="AU26" s="1153"/>
      <c r="AV26" s="1153"/>
      <c r="AW26" s="1153"/>
      <c r="AX26" s="1153"/>
      <c r="AY26" s="1153"/>
      <c r="AZ26" s="958"/>
      <c r="BA26" s="1153"/>
      <c r="BB26" s="1153"/>
      <c r="BC26" s="956"/>
      <c r="BD26" s="1153"/>
      <c r="BE26" s="1153"/>
      <c r="BF26" s="1153"/>
    </row>
    <row r="27" spans="1:72" x14ac:dyDescent="0.45">
      <c r="A27" s="14">
        <v>1717</v>
      </c>
      <c r="B27" s="507">
        <v>3.8082728000000028</v>
      </c>
      <c r="C27" s="1153"/>
      <c r="D27" s="1153"/>
      <c r="E27" s="507"/>
      <c r="F27" s="1153"/>
      <c r="G27" s="1153"/>
      <c r="H27" s="1153"/>
      <c r="I27" s="1153"/>
      <c r="J27" s="1153"/>
      <c r="K27" s="1153"/>
      <c r="L27" s="1153"/>
      <c r="M27" s="1153"/>
      <c r="N27" s="1153"/>
      <c r="O27" s="1153"/>
      <c r="P27" s="1153"/>
      <c r="Q27" s="1153"/>
      <c r="R27" s="507">
        <v>3.7129631966829546</v>
      </c>
      <c r="S27" s="507">
        <v>9.5309603317048186E-2</v>
      </c>
      <c r="T27" s="507">
        <v>3.8082728000000028</v>
      </c>
      <c r="U27" s="1153"/>
      <c r="V27" s="1153"/>
      <c r="W27" s="1153"/>
      <c r="X27" s="1153"/>
      <c r="Y27" s="1156">
        <v>1717</v>
      </c>
      <c r="Z27" s="1153"/>
      <c r="AA27" s="1153"/>
      <c r="AB27" s="1153"/>
      <c r="AC27" s="1153"/>
      <c r="AD27" s="1153"/>
      <c r="AE27" s="1153"/>
      <c r="AF27" s="1153"/>
      <c r="AG27" s="1153"/>
      <c r="AH27" s="958">
        <f t="shared" si="0"/>
        <v>0</v>
      </c>
      <c r="AI27" s="1153"/>
      <c r="AJ27" s="1153"/>
      <c r="AK27" s="1153"/>
      <c r="AL27" s="1153"/>
      <c r="AM27" s="1153"/>
      <c r="AN27" s="1153"/>
      <c r="AO27" s="1153"/>
      <c r="AP27" s="1153"/>
      <c r="AQ27" s="1154">
        <v>1</v>
      </c>
      <c r="AR27" s="962">
        <f t="shared" si="1"/>
        <v>0.67110316092337996</v>
      </c>
      <c r="AS27" s="1153"/>
      <c r="AT27" s="1154">
        <f t="shared" si="2"/>
        <v>8.0558710550160145E-2</v>
      </c>
      <c r="AU27" s="1153"/>
      <c r="AV27" s="1153"/>
      <c r="AW27" s="1153"/>
      <c r="AX27" s="1153"/>
      <c r="AY27" s="1153"/>
      <c r="AZ27" s="958"/>
      <c r="BA27" s="1153"/>
      <c r="BB27" s="1153"/>
      <c r="BC27" s="956"/>
      <c r="BD27" s="1153"/>
      <c r="BE27" s="1153"/>
      <c r="BF27" s="1153"/>
    </row>
    <row r="28" spans="1:72" x14ac:dyDescent="0.45">
      <c r="A28" s="14">
        <v>1718</v>
      </c>
      <c r="B28" s="507">
        <v>3.8538912000000027</v>
      </c>
      <c r="C28" s="1153"/>
      <c r="D28" s="1153"/>
      <c r="E28" s="507"/>
      <c r="F28" s="1153"/>
      <c r="G28" s="1153"/>
      <c r="H28" s="1153"/>
      <c r="I28" s="1153"/>
      <c r="J28" s="1153"/>
      <c r="K28" s="1153"/>
      <c r="L28" s="1153"/>
      <c r="M28" s="1153"/>
      <c r="N28" s="1153"/>
      <c r="O28" s="1153"/>
      <c r="P28" s="1153"/>
      <c r="Q28" s="1153"/>
      <c r="R28" s="507">
        <v>3.7495609202917066</v>
      </c>
      <c r="S28" s="507">
        <v>0.10433027970829611</v>
      </c>
      <c r="T28" s="507">
        <v>3.8538912000000027</v>
      </c>
      <c r="U28" s="1153"/>
      <c r="V28" s="1153"/>
      <c r="W28" s="1153"/>
      <c r="X28" s="1153"/>
      <c r="Y28" s="1156">
        <v>1718</v>
      </c>
      <c r="Z28" s="1153"/>
      <c r="AA28" s="1153"/>
      <c r="AB28" s="1153"/>
      <c r="AC28" s="1153"/>
      <c r="AD28" s="1153"/>
      <c r="AE28" s="1153"/>
      <c r="AF28" s="1153"/>
      <c r="AG28" s="1153"/>
      <c r="AH28" s="958">
        <f t="shared" si="0"/>
        <v>0</v>
      </c>
      <c r="AI28" s="1153"/>
      <c r="AJ28" s="1153"/>
      <c r="AK28" s="1153"/>
      <c r="AL28" s="1153"/>
      <c r="AM28" s="1153"/>
      <c r="AN28" s="1153"/>
      <c r="AO28" s="1153"/>
      <c r="AP28" s="1153"/>
      <c r="AQ28" s="1154">
        <v>1</v>
      </c>
      <c r="AR28" s="962">
        <f t="shared" si="1"/>
        <v>0.67110316092337996</v>
      </c>
      <c r="AS28" s="1153"/>
      <c r="AT28" s="1154">
        <f t="shared" si="2"/>
        <v>8.0558710550160145E-2</v>
      </c>
      <c r="AU28" s="1153"/>
      <c r="AV28" s="1153"/>
      <c r="AW28" s="1153"/>
      <c r="AX28" s="1153"/>
      <c r="AY28" s="1153"/>
      <c r="AZ28" s="958"/>
      <c r="BA28" s="1153"/>
      <c r="BB28" s="1153"/>
      <c r="BC28" s="956"/>
      <c r="BD28" s="1153"/>
      <c r="BE28" s="1153"/>
      <c r="BF28" s="1153"/>
    </row>
    <row r="29" spans="1:72" x14ac:dyDescent="0.45">
      <c r="A29" s="14">
        <v>1719</v>
      </c>
      <c r="B29" s="507">
        <v>3.8995096000000031</v>
      </c>
      <c r="C29" s="1153"/>
      <c r="D29" s="1153"/>
      <c r="E29" s="507"/>
      <c r="F29" s="1153"/>
      <c r="G29" s="1153"/>
      <c r="H29" s="1153"/>
      <c r="I29" s="1153"/>
      <c r="J29" s="1153"/>
      <c r="K29" s="1153"/>
      <c r="L29" s="1153"/>
      <c r="M29" s="1153"/>
      <c r="N29" s="1153"/>
      <c r="O29" s="1153"/>
      <c r="P29" s="1153"/>
      <c r="Q29" s="1153"/>
      <c r="R29" s="507">
        <v>3.7860933281357796</v>
      </c>
      <c r="S29" s="507">
        <v>0.11341627186422354</v>
      </c>
      <c r="T29" s="507">
        <v>3.8995096000000031</v>
      </c>
      <c r="U29" s="1153"/>
      <c r="V29" s="1153"/>
      <c r="W29" s="1153"/>
      <c r="X29" s="1153"/>
      <c r="Y29" s="1156">
        <v>1719</v>
      </c>
      <c r="Z29" s="1153"/>
      <c r="AA29" s="1153"/>
      <c r="AB29" s="1153"/>
      <c r="AC29" s="1153"/>
      <c r="AD29" s="1153"/>
      <c r="AE29" s="1153"/>
      <c r="AF29" s="1153"/>
      <c r="AG29" s="1153"/>
      <c r="AH29" s="958">
        <f t="shared" si="0"/>
        <v>0</v>
      </c>
      <c r="AI29" s="1153"/>
      <c r="AJ29" s="1153"/>
      <c r="AK29" s="1153"/>
      <c r="AL29" s="1153"/>
      <c r="AM29" s="1153"/>
      <c r="AN29" s="1153"/>
      <c r="AO29" s="1153"/>
      <c r="AP29" s="1153"/>
      <c r="AQ29" s="1154">
        <v>1</v>
      </c>
      <c r="AR29" s="962">
        <f t="shared" si="1"/>
        <v>0.67110316092337996</v>
      </c>
      <c r="AS29" s="1153"/>
      <c r="AT29" s="1154">
        <f t="shared" si="2"/>
        <v>8.0558710550160145E-2</v>
      </c>
      <c r="AU29" s="1153"/>
      <c r="AV29" s="1153"/>
      <c r="AW29" s="1153"/>
      <c r="AX29" s="1153"/>
      <c r="AY29" s="1153"/>
      <c r="AZ29" s="958"/>
      <c r="BA29" s="1153"/>
      <c r="BB29" s="1153"/>
      <c r="BC29" s="956"/>
      <c r="BD29" s="1153"/>
      <c r="BE29" s="1153"/>
      <c r="BF29" s="1153"/>
    </row>
    <row r="30" spans="1:72" x14ac:dyDescent="0.45">
      <c r="A30" s="14">
        <v>1720</v>
      </c>
      <c r="B30" s="507">
        <v>3.9451280000000031</v>
      </c>
      <c r="C30" s="1153"/>
      <c r="D30" s="1153"/>
      <c r="E30" s="507"/>
      <c r="F30" s="1153"/>
      <c r="G30" s="1153"/>
      <c r="H30" s="1153"/>
      <c r="I30" s="1153"/>
      <c r="J30" s="1153"/>
      <c r="K30" s="1153"/>
      <c r="L30" s="1153"/>
      <c r="M30" s="1153"/>
      <c r="N30" s="1153"/>
      <c r="O30" s="1153"/>
      <c r="P30" s="1153"/>
      <c r="Q30" s="1153"/>
      <c r="R30" s="507">
        <v>3.8418624001399793</v>
      </c>
      <c r="S30" s="507">
        <v>0.10326559986002382</v>
      </c>
      <c r="T30" s="507">
        <v>3.9451280000000031</v>
      </c>
      <c r="U30" s="1153"/>
      <c r="V30" s="1153"/>
      <c r="W30" s="1153"/>
      <c r="X30" s="1153"/>
      <c r="Y30" s="1156">
        <v>1720</v>
      </c>
      <c r="Z30" s="1153"/>
      <c r="AA30" s="1153"/>
      <c r="AB30" s="1153"/>
      <c r="AC30" s="1153"/>
      <c r="AD30" s="1153"/>
      <c r="AE30" s="1153"/>
      <c r="AF30" s="1153"/>
      <c r="AG30" s="1153"/>
      <c r="AH30" s="958">
        <f t="shared" si="0"/>
        <v>0</v>
      </c>
      <c r="AI30" s="1153"/>
      <c r="AJ30" s="1153"/>
      <c r="AK30" s="1153"/>
      <c r="AL30" s="1153"/>
      <c r="AM30" s="1153"/>
      <c r="AN30" s="1153"/>
      <c r="AO30" s="1153"/>
      <c r="AP30" s="1153"/>
      <c r="AQ30" s="1154">
        <v>1</v>
      </c>
      <c r="AR30" s="962">
        <f t="shared" si="1"/>
        <v>0.67110316092337996</v>
      </c>
      <c r="AS30" s="1153"/>
      <c r="AT30" s="1154">
        <f t="shared" si="2"/>
        <v>8.0558710550160145E-2</v>
      </c>
      <c r="AU30" s="1153"/>
      <c r="AV30" s="1153"/>
      <c r="AW30" s="1153"/>
      <c r="AX30" s="1153"/>
      <c r="AY30" s="1153"/>
      <c r="AZ30" s="958"/>
      <c r="BA30" s="1153"/>
      <c r="BB30" s="1153"/>
      <c r="BC30" s="956"/>
      <c r="BD30" s="1153"/>
      <c r="BE30" s="1153"/>
      <c r="BF30" s="1153"/>
    </row>
    <row r="31" spans="1:72" x14ac:dyDescent="0.45">
      <c r="A31" s="14">
        <v>1721</v>
      </c>
      <c r="B31" s="507">
        <v>3.9907464000000035</v>
      </c>
      <c r="C31" s="1153"/>
      <c r="D31" s="1153"/>
      <c r="E31" s="507"/>
      <c r="F31" s="1153"/>
      <c r="G31" s="1153"/>
      <c r="H31" s="1153"/>
      <c r="I31" s="1153"/>
      <c r="J31" s="1153"/>
      <c r="K31" s="1153"/>
      <c r="L31" s="1153"/>
      <c r="M31" s="1153"/>
      <c r="N31" s="1153"/>
      <c r="O31" s="1153"/>
      <c r="P31" s="1153"/>
      <c r="Q31" s="1153"/>
      <c r="R31" s="507">
        <v>3.8741940537525559</v>
      </c>
      <c r="S31" s="507">
        <v>0.11655234624744759</v>
      </c>
      <c r="T31" s="507">
        <v>3.9907464000000035</v>
      </c>
      <c r="U31" s="1153"/>
      <c r="V31" s="1153"/>
      <c r="W31" s="1153"/>
      <c r="X31" s="1153"/>
      <c r="Y31" s="1156">
        <v>1721</v>
      </c>
      <c r="Z31" s="1153"/>
      <c r="AA31" s="1153"/>
      <c r="AB31" s="1153"/>
      <c r="AC31" s="1153"/>
      <c r="AD31" s="1153"/>
      <c r="AE31" s="1153"/>
      <c r="AF31" s="1153"/>
      <c r="AG31" s="1153"/>
      <c r="AH31" s="958">
        <f t="shared" si="0"/>
        <v>0</v>
      </c>
      <c r="AI31" s="1153"/>
      <c r="AJ31" s="1153"/>
      <c r="AK31" s="1153"/>
      <c r="AL31" s="1153"/>
      <c r="AM31" s="1153"/>
      <c r="AN31" s="1153"/>
      <c r="AO31" s="1153"/>
      <c r="AP31" s="1153"/>
      <c r="AQ31" s="1154">
        <v>1</v>
      </c>
      <c r="AR31" s="962">
        <f t="shared" si="1"/>
        <v>0.67110316092337996</v>
      </c>
      <c r="AS31" s="1153"/>
      <c r="AT31" s="1154">
        <f t="shared" si="2"/>
        <v>8.0558710550160145E-2</v>
      </c>
      <c r="AU31" s="1153"/>
      <c r="AV31" s="1153"/>
      <c r="AW31" s="1153"/>
      <c r="AX31" s="1153"/>
      <c r="AY31" s="1153"/>
      <c r="AZ31" s="958"/>
      <c r="BA31" s="1153"/>
      <c r="BB31" s="1153"/>
      <c r="BC31" s="956"/>
      <c r="BD31" s="1153"/>
      <c r="BE31" s="1153"/>
      <c r="BF31" s="1153"/>
    </row>
    <row r="32" spans="1:72" x14ac:dyDescent="0.45">
      <c r="A32" s="14">
        <v>1722</v>
      </c>
      <c r="B32" s="507">
        <v>4.0363648000000039</v>
      </c>
      <c r="C32" s="1153"/>
      <c r="D32" s="1153"/>
      <c r="E32" s="507"/>
      <c r="F32" s="1153"/>
      <c r="G32" s="1153"/>
      <c r="H32" s="1153"/>
      <c r="I32" s="1153"/>
      <c r="J32" s="1153"/>
      <c r="K32" s="1153"/>
      <c r="L32" s="1153"/>
      <c r="M32" s="1153"/>
      <c r="N32" s="1153"/>
      <c r="O32" s="1153"/>
      <c r="P32" s="1153"/>
      <c r="Q32" s="1153"/>
      <c r="R32" s="507">
        <v>3.917630142012944</v>
      </c>
      <c r="S32" s="507">
        <v>0.11873465798705984</v>
      </c>
      <c r="T32" s="507">
        <v>4.0363648000000039</v>
      </c>
      <c r="U32" s="1153"/>
      <c r="V32" s="1153"/>
      <c r="W32" s="1153"/>
      <c r="X32" s="1153"/>
      <c r="Y32" s="1156">
        <v>1722</v>
      </c>
      <c r="Z32" s="1153"/>
      <c r="AA32" s="1153"/>
      <c r="AB32" s="1153"/>
      <c r="AC32" s="1153"/>
      <c r="AD32" s="1153"/>
      <c r="AE32" s="1153"/>
      <c r="AF32" s="1153"/>
      <c r="AG32" s="1153"/>
      <c r="AH32" s="958">
        <f t="shared" si="0"/>
        <v>0</v>
      </c>
      <c r="AI32" s="1153"/>
      <c r="AJ32" s="1153"/>
      <c r="AK32" s="1153"/>
      <c r="AL32" s="1153"/>
      <c r="AM32" s="1153"/>
      <c r="AN32" s="1153"/>
      <c r="AO32" s="1153"/>
      <c r="AP32" s="1153"/>
      <c r="AQ32" s="1154">
        <v>1</v>
      </c>
      <c r="AR32" s="962">
        <f t="shared" si="1"/>
        <v>0.67110316092337996</v>
      </c>
      <c r="AS32" s="1153"/>
      <c r="AT32" s="1154">
        <f t="shared" si="2"/>
        <v>8.0558710550160145E-2</v>
      </c>
      <c r="AU32" s="1153"/>
      <c r="AV32" s="1153"/>
      <c r="AW32" s="1153"/>
      <c r="AX32" s="1153"/>
      <c r="AY32" s="1153"/>
      <c r="AZ32" s="958"/>
      <c r="BA32" s="1153"/>
      <c r="BB32" s="1153"/>
      <c r="BC32" s="956"/>
      <c r="BD32" s="1153"/>
      <c r="BE32" s="1153"/>
      <c r="BF32" s="1153"/>
    </row>
    <row r="33" spans="1:58" x14ac:dyDescent="0.45">
      <c r="A33" s="14">
        <v>1723</v>
      </c>
      <c r="B33" s="507">
        <v>4.0819832000000034</v>
      </c>
      <c r="C33" s="1153"/>
      <c r="D33" s="1153"/>
      <c r="E33" s="507"/>
      <c r="F33" s="1153"/>
      <c r="G33" s="1153"/>
      <c r="H33" s="1153"/>
      <c r="I33" s="1153"/>
      <c r="J33" s="1153"/>
      <c r="K33" s="1153"/>
      <c r="L33" s="1153"/>
      <c r="M33" s="1153"/>
      <c r="N33" s="1153"/>
      <c r="O33" s="1153"/>
      <c r="P33" s="1153"/>
      <c r="Q33" s="1153"/>
      <c r="R33" s="507">
        <v>3.959976451559736</v>
      </c>
      <c r="S33" s="507">
        <v>0.12200674844026738</v>
      </c>
      <c r="T33" s="507">
        <v>4.0819832000000034</v>
      </c>
      <c r="U33" s="1153"/>
      <c r="V33" s="1153"/>
      <c r="W33" s="1153"/>
      <c r="X33" s="1153"/>
      <c r="Y33" s="1156">
        <v>1723</v>
      </c>
      <c r="Z33" s="1153"/>
      <c r="AA33" s="1153"/>
      <c r="AB33" s="1153"/>
      <c r="AC33" s="1153"/>
      <c r="AD33" s="1153"/>
      <c r="AE33" s="1153"/>
      <c r="AF33" s="1153"/>
      <c r="AG33" s="1153"/>
      <c r="AH33" s="958">
        <f t="shared" si="0"/>
        <v>0</v>
      </c>
      <c r="AI33" s="1153"/>
      <c r="AJ33" s="1153"/>
      <c r="AK33" s="1153"/>
      <c r="AL33" s="1153"/>
      <c r="AM33" s="1153"/>
      <c r="AN33" s="1153"/>
      <c r="AO33" s="1153"/>
      <c r="AP33" s="1153"/>
      <c r="AQ33" s="1154">
        <v>1</v>
      </c>
      <c r="AR33" s="962">
        <f t="shared" si="1"/>
        <v>0.67110316092337996</v>
      </c>
      <c r="AS33" s="1153"/>
      <c r="AT33" s="1154">
        <f t="shared" si="2"/>
        <v>8.0558710550160145E-2</v>
      </c>
      <c r="AU33" s="1153"/>
      <c r="AV33" s="1153"/>
      <c r="AW33" s="1153"/>
      <c r="AX33" s="1153"/>
      <c r="AY33" s="1153"/>
      <c r="AZ33" s="958"/>
      <c r="BA33" s="1153"/>
      <c r="BB33" s="1153"/>
      <c r="BC33" s="956"/>
      <c r="BD33" s="1153"/>
      <c r="BE33" s="1153"/>
      <c r="BF33" s="1153"/>
    </row>
    <row r="34" spans="1:58" x14ac:dyDescent="0.45">
      <c r="A34" s="14">
        <v>1724</v>
      </c>
      <c r="B34" s="507">
        <v>4.1276016000000038</v>
      </c>
      <c r="C34" s="1153"/>
      <c r="D34" s="1153"/>
      <c r="E34" s="507"/>
      <c r="F34" s="1153"/>
      <c r="G34" s="1153"/>
      <c r="H34" s="1153"/>
      <c r="I34" s="1153"/>
      <c r="J34" s="1153"/>
      <c r="K34" s="1153"/>
      <c r="L34" s="1153"/>
      <c r="M34" s="1153"/>
      <c r="N34" s="1153"/>
      <c r="O34" s="1153"/>
      <c r="P34" s="1153"/>
      <c r="Q34" s="1153"/>
      <c r="R34" s="507">
        <v>3.9453507005770478</v>
      </c>
      <c r="S34" s="507">
        <v>0.18225089942295591</v>
      </c>
      <c r="T34" s="507">
        <v>4.1276016000000038</v>
      </c>
      <c r="U34" s="1153"/>
      <c r="V34" s="1153"/>
      <c r="W34" s="1153"/>
      <c r="X34" s="1153"/>
      <c r="Y34" s="1156">
        <v>1724</v>
      </c>
      <c r="Z34" s="1153"/>
      <c r="AA34" s="1153"/>
      <c r="AB34" s="1153"/>
      <c r="AC34" s="1153"/>
      <c r="AD34" s="1153"/>
      <c r="AE34" s="1153"/>
      <c r="AF34" s="1153"/>
      <c r="AG34" s="1153"/>
      <c r="AH34" s="958">
        <f t="shared" si="0"/>
        <v>0</v>
      </c>
      <c r="AI34" s="1153"/>
      <c r="AJ34" s="1153"/>
      <c r="AK34" s="1153"/>
      <c r="AL34" s="1153"/>
      <c r="AM34" s="1153"/>
      <c r="AN34" s="1153"/>
      <c r="AO34" s="1153"/>
      <c r="AP34" s="1153"/>
      <c r="AQ34" s="1154">
        <v>1</v>
      </c>
      <c r="AR34" s="962">
        <f t="shared" si="1"/>
        <v>0.67110316092337996</v>
      </c>
      <c r="AS34" s="1153"/>
      <c r="AT34" s="1154">
        <f t="shared" si="2"/>
        <v>8.0558710550160145E-2</v>
      </c>
      <c r="AU34" s="1153"/>
      <c r="AV34" s="1153"/>
      <c r="AW34" s="1153"/>
      <c r="AX34" s="1153"/>
      <c r="AY34" s="1153"/>
      <c r="AZ34" s="958"/>
      <c r="BA34" s="1153"/>
      <c r="BB34" s="1153"/>
      <c r="BC34" s="956"/>
      <c r="BD34" s="1153"/>
      <c r="BE34" s="1153"/>
      <c r="BF34" s="1153"/>
    </row>
    <row r="35" spans="1:58" x14ac:dyDescent="0.45">
      <c r="A35" s="14">
        <v>1725</v>
      </c>
      <c r="B35" s="507">
        <v>4.1732200000000033</v>
      </c>
      <c r="C35" s="1153"/>
      <c r="D35" s="1153"/>
      <c r="E35" s="507"/>
      <c r="F35" s="1153"/>
      <c r="G35" s="1153"/>
      <c r="H35" s="1153"/>
      <c r="I35" s="1153"/>
      <c r="J35" s="1153"/>
      <c r="K35" s="1153"/>
      <c r="L35" s="1153"/>
      <c r="M35" s="1153"/>
      <c r="N35" s="1153"/>
      <c r="O35" s="1153"/>
      <c r="P35" s="1153"/>
      <c r="Q35" s="1153"/>
      <c r="R35" s="507">
        <v>4.0556145366773686</v>
      </c>
      <c r="S35" s="507">
        <v>0.11760546332263466</v>
      </c>
      <c r="T35" s="507">
        <v>4.1732200000000033</v>
      </c>
      <c r="U35" s="1153"/>
      <c r="V35" s="1153"/>
      <c r="W35" s="1153"/>
      <c r="X35" s="1153"/>
      <c r="Y35" s="1156">
        <v>1725</v>
      </c>
      <c r="Z35" s="1153"/>
      <c r="AA35" s="1153"/>
      <c r="AB35" s="1153"/>
      <c r="AC35" s="1153"/>
      <c r="AD35" s="1153"/>
      <c r="AE35" s="1153"/>
      <c r="AF35" s="1153"/>
      <c r="AG35" s="1153"/>
      <c r="AH35" s="958">
        <f t="shared" si="0"/>
        <v>0</v>
      </c>
      <c r="AI35" s="1153"/>
      <c r="AJ35" s="1153"/>
      <c r="AK35" s="1153"/>
      <c r="AL35" s="1153"/>
      <c r="AM35" s="1153"/>
      <c r="AN35" s="1153"/>
      <c r="AO35" s="1153"/>
      <c r="AP35" s="1153"/>
      <c r="AQ35" s="1154">
        <v>1</v>
      </c>
      <c r="AR35" s="962">
        <f t="shared" si="1"/>
        <v>0.67110316092337996</v>
      </c>
      <c r="AS35" s="1153"/>
      <c r="AT35" s="1154">
        <f t="shared" si="2"/>
        <v>8.0558710550160145E-2</v>
      </c>
      <c r="AU35" s="1153"/>
      <c r="AV35" s="1153"/>
      <c r="AW35" s="1153"/>
      <c r="AX35" s="1153"/>
      <c r="AY35" s="1153"/>
      <c r="AZ35" s="958"/>
      <c r="BA35" s="1153"/>
      <c r="BB35" s="1153"/>
      <c r="BC35" s="956"/>
      <c r="BD35" s="1153"/>
      <c r="BE35" s="1153"/>
      <c r="BF35" s="1153"/>
    </row>
    <row r="36" spans="1:58" x14ac:dyDescent="0.45">
      <c r="A36" s="14">
        <v>1726</v>
      </c>
      <c r="B36" s="507">
        <v>4.2188384000000037</v>
      </c>
      <c r="C36" s="1153"/>
      <c r="D36" s="1153"/>
      <c r="E36" s="507"/>
      <c r="F36" s="1153"/>
      <c r="G36" s="1153"/>
      <c r="H36" s="1153"/>
      <c r="I36" s="1153"/>
      <c r="J36" s="1153"/>
      <c r="K36" s="1153"/>
      <c r="L36" s="1153"/>
      <c r="M36" s="1153"/>
      <c r="N36" s="1153"/>
      <c r="O36" s="1153"/>
      <c r="P36" s="1153"/>
      <c r="Q36" s="1153"/>
      <c r="R36" s="507">
        <v>4.0774055347189364</v>
      </c>
      <c r="S36" s="507">
        <v>0.14143286528106724</v>
      </c>
      <c r="T36" s="507">
        <v>4.2188384000000037</v>
      </c>
      <c r="U36" s="1153"/>
      <c r="V36" s="1153"/>
      <c r="W36" s="1153"/>
      <c r="X36" s="1153"/>
      <c r="Y36" s="1156">
        <v>1726</v>
      </c>
      <c r="Z36" s="1153"/>
      <c r="AA36" s="1153"/>
      <c r="AB36" s="1153"/>
      <c r="AC36" s="1153"/>
      <c r="AD36" s="1153"/>
      <c r="AE36" s="1153"/>
      <c r="AF36" s="1153"/>
      <c r="AG36" s="1153"/>
      <c r="AH36" s="958">
        <f t="shared" si="0"/>
        <v>0</v>
      </c>
      <c r="AI36" s="1153"/>
      <c r="AJ36" s="1153"/>
      <c r="AK36" s="1153"/>
      <c r="AL36" s="1153"/>
      <c r="AM36" s="1153"/>
      <c r="AN36" s="1153"/>
      <c r="AO36" s="1153"/>
      <c r="AP36" s="1153"/>
      <c r="AQ36" s="1154">
        <v>1</v>
      </c>
      <c r="AR36" s="962">
        <f t="shared" si="1"/>
        <v>0.67110316092337996</v>
      </c>
      <c r="AS36" s="1153"/>
      <c r="AT36" s="1154">
        <f t="shared" si="2"/>
        <v>8.0558710550160145E-2</v>
      </c>
      <c r="AU36" s="1153"/>
      <c r="AV36" s="1153"/>
      <c r="AW36" s="1153"/>
      <c r="AX36" s="1153"/>
      <c r="AY36" s="1153"/>
      <c r="AZ36" s="958"/>
      <c r="BA36" s="1153"/>
      <c r="BB36" s="1153"/>
      <c r="BC36" s="956"/>
      <c r="BD36" s="1153"/>
      <c r="BE36" s="1153"/>
      <c r="BF36" s="1153"/>
    </row>
    <row r="37" spans="1:58" x14ac:dyDescent="0.45">
      <c r="A37" s="14">
        <v>1727</v>
      </c>
      <c r="B37" s="507">
        <v>4.264456800000004</v>
      </c>
      <c r="C37" s="1153"/>
      <c r="D37" s="1153"/>
      <c r="E37" s="507"/>
      <c r="F37" s="1153"/>
      <c r="G37" s="1153"/>
      <c r="H37" s="1153"/>
      <c r="I37" s="1153"/>
      <c r="J37" s="1153"/>
      <c r="K37" s="1153"/>
      <c r="L37" s="1153"/>
      <c r="M37" s="1153"/>
      <c r="N37" s="1153"/>
      <c r="O37" s="1153"/>
      <c r="P37" s="1153"/>
      <c r="Q37" s="1153"/>
      <c r="R37" s="507">
        <v>4.1113051945556052</v>
      </c>
      <c r="S37" s="507">
        <v>0.15315160544439888</v>
      </c>
      <c r="T37" s="507">
        <v>4.264456800000004</v>
      </c>
      <c r="U37" s="1153"/>
      <c r="V37" s="1153"/>
      <c r="W37" s="1153"/>
      <c r="X37" s="1153"/>
      <c r="Y37" s="1156">
        <v>1727</v>
      </c>
      <c r="Z37" s="1153"/>
      <c r="AA37" s="1153"/>
      <c r="AB37" s="1153"/>
      <c r="AC37" s="1153"/>
      <c r="AD37" s="1153"/>
      <c r="AE37" s="1153"/>
      <c r="AF37" s="1153"/>
      <c r="AG37" s="1153"/>
      <c r="AH37" s="958">
        <f t="shared" si="0"/>
        <v>0</v>
      </c>
      <c r="AI37" s="1153"/>
      <c r="AJ37" s="1153"/>
      <c r="AK37" s="1153"/>
      <c r="AL37" s="1153"/>
      <c r="AM37" s="1153"/>
      <c r="AN37" s="1153"/>
      <c r="AO37" s="1153"/>
      <c r="AP37" s="1153"/>
      <c r="AQ37" s="1154">
        <v>1</v>
      </c>
      <c r="AR37" s="962">
        <f t="shared" si="1"/>
        <v>0.67110316092337996</v>
      </c>
      <c r="AS37" s="1153"/>
      <c r="AT37" s="1154">
        <f t="shared" si="2"/>
        <v>8.0558710550160145E-2</v>
      </c>
      <c r="AU37" s="1153"/>
      <c r="AV37" s="1153"/>
      <c r="AW37" s="1153"/>
      <c r="AX37" s="1153"/>
      <c r="AY37" s="1153"/>
      <c r="AZ37" s="958"/>
      <c r="BA37" s="1153"/>
      <c r="BB37" s="1153"/>
      <c r="BC37" s="956"/>
      <c r="BD37" s="1153"/>
      <c r="BE37" s="1153"/>
      <c r="BF37" s="1153"/>
    </row>
    <row r="38" spans="1:58" x14ac:dyDescent="0.45">
      <c r="A38" s="14">
        <v>1728</v>
      </c>
      <c r="B38" s="507">
        <v>4.3100752000000044</v>
      </c>
      <c r="C38" s="1153"/>
      <c r="D38" s="1153"/>
      <c r="E38" s="507"/>
      <c r="F38" s="1153"/>
      <c r="G38" s="1153"/>
      <c r="H38" s="1153"/>
      <c r="I38" s="1153"/>
      <c r="J38" s="1153"/>
      <c r="K38" s="1153"/>
      <c r="L38" s="1153"/>
      <c r="M38" s="1153"/>
      <c r="N38" s="1153"/>
      <c r="O38" s="1153"/>
      <c r="P38" s="1153"/>
      <c r="Q38" s="1153"/>
      <c r="R38" s="507">
        <v>4.1888069387171178</v>
      </c>
      <c r="S38" s="507">
        <v>0.12126826128288659</v>
      </c>
      <c r="T38" s="507">
        <v>4.3100752000000044</v>
      </c>
      <c r="U38" s="1153"/>
      <c r="V38" s="1153"/>
      <c r="W38" s="1153"/>
      <c r="X38" s="1153"/>
      <c r="Y38" s="1156">
        <v>1728</v>
      </c>
      <c r="Z38" s="1153"/>
      <c r="AA38" s="1153"/>
      <c r="AB38" s="1153"/>
      <c r="AC38" s="1153"/>
      <c r="AD38" s="1153"/>
      <c r="AE38" s="1153"/>
      <c r="AF38" s="1153"/>
      <c r="AG38" s="1153"/>
      <c r="AH38" s="958">
        <f t="shared" si="0"/>
        <v>0</v>
      </c>
      <c r="AI38" s="1153"/>
      <c r="AJ38" s="1153"/>
      <c r="AK38" s="1153"/>
      <c r="AL38" s="1153"/>
      <c r="AM38" s="1153"/>
      <c r="AN38" s="1153"/>
      <c r="AO38" s="1153"/>
      <c r="AP38" s="1153"/>
      <c r="AQ38" s="1154">
        <v>1</v>
      </c>
      <c r="AR38" s="962">
        <f t="shared" si="1"/>
        <v>0.67110316092337996</v>
      </c>
      <c r="AS38" s="1153"/>
      <c r="AT38" s="1154">
        <f t="shared" si="2"/>
        <v>8.0558710550160145E-2</v>
      </c>
      <c r="AU38" s="1153"/>
      <c r="AV38" s="1153"/>
      <c r="AW38" s="1153"/>
      <c r="AX38" s="1153"/>
      <c r="AY38" s="1153"/>
      <c r="AZ38" s="958"/>
      <c r="BA38" s="1153"/>
      <c r="BB38" s="1153"/>
      <c r="BC38" s="956"/>
      <c r="BD38" s="1153"/>
      <c r="BE38" s="1153"/>
      <c r="BF38" s="1153"/>
    </row>
    <row r="39" spans="1:58" x14ac:dyDescent="0.45">
      <c r="A39" s="14">
        <v>1729</v>
      </c>
      <c r="B39" s="507">
        <v>4.3556936000000039</v>
      </c>
      <c r="C39" s="1153"/>
      <c r="D39" s="1153"/>
      <c r="E39" s="507"/>
      <c r="F39" s="1153"/>
      <c r="G39" s="1153"/>
      <c r="H39" s="1153"/>
      <c r="I39" s="1153"/>
      <c r="J39" s="1153"/>
      <c r="K39" s="1153"/>
      <c r="L39" s="1153"/>
      <c r="M39" s="1153"/>
      <c r="N39" s="1153"/>
      <c r="O39" s="1153"/>
      <c r="P39" s="1153"/>
      <c r="Q39" s="1153"/>
      <c r="R39" s="507">
        <v>4.2042441100176475</v>
      </c>
      <c r="S39" s="507">
        <v>0.15144948998235641</v>
      </c>
      <c r="T39" s="507">
        <v>4.3556936000000039</v>
      </c>
      <c r="U39" s="1153"/>
      <c r="V39" s="1153"/>
      <c r="W39" s="1153"/>
      <c r="X39" s="1153"/>
      <c r="Y39" s="1156">
        <v>1729</v>
      </c>
      <c r="Z39" s="1153"/>
      <c r="AA39" s="1153"/>
      <c r="AB39" s="1153"/>
      <c r="AC39" s="1153"/>
      <c r="AD39" s="1153"/>
      <c r="AE39" s="1153"/>
      <c r="AF39" s="1153"/>
      <c r="AG39" s="1153"/>
      <c r="AH39" s="958">
        <f t="shared" si="0"/>
        <v>0</v>
      </c>
      <c r="AI39" s="1153"/>
      <c r="AJ39" s="1153"/>
      <c r="AK39" s="1153"/>
      <c r="AL39" s="1153"/>
      <c r="AM39" s="1153"/>
      <c r="AN39" s="1153"/>
      <c r="AO39" s="1153"/>
      <c r="AP39" s="1153"/>
      <c r="AQ39" s="1154">
        <v>1</v>
      </c>
      <c r="AR39" s="962">
        <f t="shared" si="1"/>
        <v>0.67110316092337996</v>
      </c>
      <c r="AS39" s="1153"/>
      <c r="AT39" s="1154">
        <f t="shared" si="2"/>
        <v>8.0558710550160145E-2</v>
      </c>
      <c r="AU39" s="1153"/>
      <c r="AV39" s="1153"/>
      <c r="AW39" s="1153"/>
      <c r="AX39" s="1153"/>
      <c r="AY39" s="1153"/>
      <c r="AZ39" s="958"/>
      <c r="BA39" s="1153"/>
      <c r="BB39" s="1153"/>
      <c r="BC39" s="956"/>
      <c r="BD39" s="1153"/>
      <c r="BE39" s="1153"/>
      <c r="BF39" s="1153"/>
    </row>
    <row r="40" spans="1:58" x14ac:dyDescent="0.45">
      <c r="A40" s="14">
        <v>1730</v>
      </c>
      <c r="B40" s="507">
        <v>4.4013120000000043</v>
      </c>
      <c r="C40" s="1153"/>
      <c r="D40" s="1153"/>
      <c r="E40" s="507"/>
      <c r="F40" s="1153"/>
      <c r="G40" s="1153"/>
      <c r="H40" s="1153"/>
      <c r="I40" s="1153"/>
      <c r="J40" s="1153"/>
      <c r="K40" s="1153"/>
      <c r="L40" s="1153"/>
      <c r="M40" s="1153"/>
      <c r="N40" s="1153"/>
      <c r="O40" s="1153"/>
      <c r="P40" s="1153"/>
      <c r="Q40" s="1153"/>
      <c r="R40" s="507">
        <v>4.2866459690903591</v>
      </c>
      <c r="S40" s="507">
        <v>0.11466603090964522</v>
      </c>
      <c r="T40" s="507">
        <v>4.4013120000000043</v>
      </c>
      <c r="U40" s="1153"/>
      <c r="V40" s="1153"/>
      <c r="W40" s="1153"/>
      <c r="X40" s="1153"/>
      <c r="Y40" s="1156">
        <v>1730</v>
      </c>
      <c r="Z40" s="1153"/>
      <c r="AA40" s="1153"/>
      <c r="AB40" s="1153"/>
      <c r="AC40" s="1153"/>
      <c r="AD40" s="1153"/>
      <c r="AE40" s="1153"/>
      <c r="AF40" s="1153"/>
      <c r="AG40" s="1153"/>
      <c r="AH40" s="958">
        <f t="shared" si="0"/>
        <v>0</v>
      </c>
      <c r="AI40" s="1153"/>
      <c r="AJ40" s="1153"/>
      <c r="AK40" s="1153"/>
      <c r="AL40" s="1153"/>
      <c r="AM40" s="1153"/>
      <c r="AN40" s="1153"/>
      <c r="AO40" s="1153"/>
      <c r="AP40" s="1153"/>
      <c r="AQ40" s="1154">
        <v>1</v>
      </c>
      <c r="AR40" s="962">
        <f t="shared" si="1"/>
        <v>0.67110316092337996</v>
      </c>
      <c r="AS40" s="1153"/>
      <c r="AT40" s="1154">
        <f t="shared" si="2"/>
        <v>8.0558710550160145E-2</v>
      </c>
      <c r="AU40" s="1153"/>
      <c r="AV40" s="1153"/>
      <c r="AW40" s="1153"/>
      <c r="AX40" s="1153"/>
      <c r="AY40" s="1153"/>
      <c r="AZ40" s="958"/>
      <c r="BA40" s="1153"/>
      <c r="BB40" s="1153"/>
      <c r="BC40" s="956"/>
      <c r="BD40" s="1153"/>
      <c r="BE40" s="1153"/>
      <c r="BF40" s="1153"/>
    </row>
    <row r="41" spans="1:58" x14ac:dyDescent="0.45">
      <c r="A41" s="14">
        <v>1731</v>
      </c>
      <c r="B41" s="507">
        <v>4.4469304000000047</v>
      </c>
      <c r="C41" s="1153"/>
      <c r="D41" s="1153"/>
      <c r="E41" s="507"/>
      <c r="F41" s="1153"/>
      <c r="G41" s="1153"/>
      <c r="H41" s="1153"/>
      <c r="I41" s="1153"/>
      <c r="J41" s="1153"/>
      <c r="K41" s="1153"/>
      <c r="L41" s="1153"/>
      <c r="M41" s="1153"/>
      <c r="N41" s="1153"/>
      <c r="O41" s="1153"/>
      <c r="P41" s="1153"/>
      <c r="Q41" s="1153"/>
      <c r="R41" s="507">
        <v>4.2988496918457306</v>
      </c>
      <c r="S41" s="507">
        <v>0.1480807081542741</v>
      </c>
      <c r="T41" s="507">
        <v>4.4469304000000047</v>
      </c>
      <c r="U41" s="1153"/>
      <c r="V41" s="1153"/>
      <c r="W41" s="1153"/>
      <c r="X41" s="1153"/>
      <c r="Y41" s="1156">
        <v>1731</v>
      </c>
      <c r="Z41" s="1153"/>
      <c r="AA41" s="1153"/>
      <c r="AB41" s="1153"/>
      <c r="AC41" s="1153"/>
      <c r="AD41" s="1153"/>
      <c r="AE41" s="1153"/>
      <c r="AF41" s="1153"/>
      <c r="AG41" s="1153"/>
      <c r="AH41" s="958">
        <f t="shared" si="0"/>
        <v>0</v>
      </c>
      <c r="AI41" s="1153"/>
      <c r="AJ41" s="1153"/>
      <c r="AK41" s="1153"/>
      <c r="AL41" s="1153"/>
      <c r="AM41" s="1153"/>
      <c r="AN41" s="1153"/>
      <c r="AO41" s="1153"/>
      <c r="AP41" s="1153"/>
      <c r="AQ41" s="1154">
        <v>1</v>
      </c>
      <c r="AR41" s="962">
        <f t="shared" si="1"/>
        <v>0.67110316092337996</v>
      </c>
      <c r="AS41" s="1153"/>
      <c r="AT41" s="1154">
        <f t="shared" si="2"/>
        <v>8.0558710550160145E-2</v>
      </c>
      <c r="AU41" s="1153"/>
      <c r="AV41" s="1153"/>
      <c r="AW41" s="1153"/>
      <c r="AX41" s="1153"/>
      <c r="AY41" s="1153"/>
      <c r="AZ41" s="958"/>
      <c r="BA41" s="1153"/>
      <c r="BB41" s="1153"/>
      <c r="BC41" s="956"/>
      <c r="BD41" s="1153"/>
      <c r="BE41" s="1153"/>
      <c r="BF41" s="1153"/>
    </row>
    <row r="42" spans="1:58" x14ac:dyDescent="0.45">
      <c r="A42" s="14">
        <v>1732</v>
      </c>
      <c r="B42" s="507">
        <v>4.4925488000000051</v>
      </c>
      <c r="C42" s="1153"/>
      <c r="D42" s="1153"/>
      <c r="E42" s="507"/>
      <c r="F42" s="1153"/>
      <c r="G42" s="1153"/>
      <c r="H42" s="1153"/>
      <c r="I42" s="1153"/>
      <c r="J42" s="1153"/>
      <c r="K42" s="1153"/>
      <c r="L42" s="1153"/>
      <c r="M42" s="1153"/>
      <c r="N42" s="1153"/>
      <c r="O42" s="1153"/>
      <c r="P42" s="1153"/>
      <c r="Q42" s="1153"/>
      <c r="R42" s="507">
        <v>4.3312763668512684</v>
      </c>
      <c r="S42" s="507">
        <v>0.16127243314873674</v>
      </c>
      <c r="T42" s="507">
        <v>4.4925488000000051</v>
      </c>
      <c r="U42" s="1153"/>
      <c r="V42" s="1153"/>
      <c r="W42" s="1153"/>
      <c r="X42" s="1153"/>
      <c r="Y42" s="1156">
        <v>1732</v>
      </c>
      <c r="Z42" s="1153"/>
      <c r="AA42" s="1153"/>
      <c r="AB42" s="1153"/>
      <c r="AC42" s="1153"/>
      <c r="AD42" s="1153"/>
      <c r="AE42" s="1153"/>
      <c r="AF42" s="1153"/>
      <c r="AG42" s="1153"/>
      <c r="AH42" s="958">
        <f t="shared" si="0"/>
        <v>0</v>
      </c>
      <c r="AI42" s="1153"/>
      <c r="AJ42" s="1153"/>
      <c r="AK42" s="1153"/>
      <c r="AL42" s="1153"/>
      <c r="AM42" s="1153"/>
      <c r="AN42" s="1153"/>
      <c r="AO42" s="1153"/>
      <c r="AP42" s="1153"/>
      <c r="AQ42" s="1154">
        <v>1</v>
      </c>
      <c r="AR42" s="962">
        <f t="shared" si="1"/>
        <v>0.67110316092337996</v>
      </c>
      <c r="AS42" s="1153"/>
      <c r="AT42" s="1154">
        <f t="shared" si="2"/>
        <v>8.0558710550160145E-2</v>
      </c>
      <c r="AU42" s="1153"/>
      <c r="AV42" s="1153"/>
      <c r="AW42" s="1153"/>
      <c r="AX42" s="1153"/>
      <c r="AY42" s="1153"/>
      <c r="AZ42" s="958"/>
      <c r="BA42" s="1153"/>
      <c r="BB42" s="1153"/>
      <c r="BC42" s="956"/>
      <c r="BD42" s="1153"/>
      <c r="BE42" s="1153"/>
      <c r="BF42" s="1153"/>
    </row>
    <row r="43" spans="1:58" x14ac:dyDescent="0.45">
      <c r="A43" s="14">
        <v>1733</v>
      </c>
      <c r="B43" s="507">
        <v>4.5381672000000046</v>
      </c>
      <c r="C43" s="1153"/>
      <c r="D43" s="1153"/>
      <c r="E43" s="507"/>
      <c r="F43" s="1153"/>
      <c r="G43" s="1153"/>
      <c r="H43" s="1153"/>
      <c r="I43" s="1153"/>
      <c r="J43" s="1153"/>
      <c r="K43" s="1153"/>
      <c r="L43" s="1153"/>
      <c r="M43" s="1153"/>
      <c r="N43" s="1153"/>
      <c r="O43" s="1153"/>
      <c r="P43" s="1153"/>
      <c r="Q43" s="1153"/>
      <c r="R43" s="507">
        <v>4.3818909926301748</v>
      </c>
      <c r="S43" s="507">
        <v>0.15627620736982983</v>
      </c>
      <c r="T43" s="507">
        <v>4.5381672000000046</v>
      </c>
      <c r="U43" s="1153"/>
      <c r="V43" s="1153"/>
      <c r="W43" s="1153"/>
      <c r="X43" s="1153"/>
      <c r="Y43" s="1156">
        <v>1733</v>
      </c>
      <c r="Z43" s="1153"/>
      <c r="AA43" s="1153"/>
      <c r="AB43" s="1153"/>
      <c r="AC43" s="1153"/>
      <c r="AD43" s="1153"/>
      <c r="AE43" s="1153"/>
      <c r="AF43" s="1153"/>
      <c r="AG43" s="1153"/>
      <c r="AH43" s="958">
        <f t="shared" si="0"/>
        <v>0</v>
      </c>
      <c r="AI43" s="1153"/>
      <c r="AJ43" s="1153"/>
      <c r="AK43" s="1153"/>
      <c r="AL43" s="1153"/>
      <c r="AM43" s="1153"/>
      <c r="AN43" s="1153"/>
      <c r="AO43" s="1153"/>
      <c r="AP43" s="1153"/>
      <c r="AQ43" s="1154">
        <v>1</v>
      </c>
      <c r="AR43" s="962">
        <f t="shared" si="1"/>
        <v>0.67110316092337996</v>
      </c>
      <c r="AS43" s="1153"/>
      <c r="AT43" s="1154">
        <f t="shared" si="2"/>
        <v>8.0558710550160145E-2</v>
      </c>
      <c r="AU43" s="1153"/>
      <c r="AV43" s="1153"/>
      <c r="AW43" s="1153"/>
      <c r="AX43" s="1153"/>
      <c r="AY43" s="1153"/>
      <c r="AZ43" s="958"/>
      <c r="BA43" s="1153"/>
      <c r="BB43" s="1153"/>
      <c r="BC43" s="956"/>
      <c r="BD43" s="1153"/>
      <c r="BE43" s="1153"/>
      <c r="BF43" s="1153"/>
    </row>
    <row r="44" spans="1:58" x14ac:dyDescent="0.45">
      <c r="A44" s="14">
        <v>1734</v>
      </c>
      <c r="B44" s="507">
        <v>4.583785600000005</v>
      </c>
      <c r="C44" s="1153"/>
      <c r="D44" s="1153"/>
      <c r="E44" s="507"/>
      <c r="F44" s="1153"/>
      <c r="G44" s="1153"/>
      <c r="H44" s="1153"/>
      <c r="I44" s="1153"/>
      <c r="J44" s="1153"/>
      <c r="K44" s="1153"/>
      <c r="L44" s="1153"/>
      <c r="M44" s="1153"/>
      <c r="N44" s="1153"/>
      <c r="O44" s="1153"/>
      <c r="P44" s="1153"/>
      <c r="Q44" s="1153"/>
      <c r="R44" s="507">
        <v>4.4130984748764686</v>
      </c>
      <c r="S44" s="507">
        <v>0.17068712512353645</v>
      </c>
      <c r="T44" s="507">
        <v>4.583785600000005</v>
      </c>
      <c r="U44" s="1153"/>
      <c r="V44" s="1153"/>
      <c r="W44" s="1153"/>
      <c r="X44" s="1153"/>
      <c r="Y44" s="1156">
        <v>1734</v>
      </c>
      <c r="Z44" s="1153"/>
      <c r="AA44" s="1153"/>
      <c r="AB44" s="1153"/>
      <c r="AC44" s="1153"/>
      <c r="AD44" s="1153"/>
      <c r="AE44" s="1153"/>
      <c r="AF44" s="1153"/>
      <c r="AG44" s="1153"/>
      <c r="AH44" s="958">
        <f t="shared" si="0"/>
        <v>0</v>
      </c>
      <c r="AI44" s="1153"/>
      <c r="AJ44" s="1153"/>
      <c r="AK44" s="1153"/>
      <c r="AL44" s="1153"/>
      <c r="AM44" s="1153"/>
      <c r="AN44" s="1153"/>
      <c r="AO44" s="1153"/>
      <c r="AP44" s="1153"/>
      <c r="AQ44" s="1154">
        <v>1</v>
      </c>
      <c r="AR44" s="962">
        <f t="shared" si="1"/>
        <v>0.67110316092337996</v>
      </c>
      <c r="AS44" s="1153"/>
      <c r="AT44" s="1154">
        <f t="shared" si="2"/>
        <v>8.0558710550160145E-2</v>
      </c>
      <c r="AU44" s="1153"/>
      <c r="AV44" s="1153"/>
      <c r="AW44" s="1153"/>
      <c r="AX44" s="1153"/>
      <c r="AY44" s="1153"/>
      <c r="AZ44" s="958"/>
      <c r="BA44" s="1153"/>
      <c r="BB44" s="1153"/>
      <c r="BC44" s="956"/>
      <c r="BD44" s="1153"/>
      <c r="BE44" s="1153"/>
      <c r="BF44" s="1153"/>
    </row>
    <row r="45" spans="1:58" x14ac:dyDescent="0.45">
      <c r="A45" s="14">
        <v>1735</v>
      </c>
      <c r="B45" s="507">
        <v>4.6294040000000054</v>
      </c>
      <c r="C45" s="1153"/>
      <c r="D45" s="1153"/>
      <c r="E45" s="507"/>
      <c r="F45" s="1153"/>
      <c r="G45" s="1153"/>
      <c r="H45" s="1153"/>
      <c r="I45" s="1153"/>
      <c r="J45" s="1153"/>
      <c r="K45" s="1153"/>
      <c r="L45" s="1153"/>
      <c r="M45" s="1153"/>
      <c r="N45" s="1153"/>
      <c r="O45" s="1153"/>
      <c r="P45" s="1153"/>
      <c r="Q45" s="1153"/>
      <c r="R45" s="507">
        <v>4.4543596235839882</v>
      </c>
      <c r="S45" s="507">
        <v>0.17504437641601722</v>
      </c>
      <c r="T45" s="507">
        <v>4.6294040000000054</v>
      </c>
      <c r="U45" s="1153"/>
      <c r="V45" s="1153"/>
      <c r="W45" s="1153"/>
      <c r="X45" s="1153"/>
      <c r="Y45" s="1156">
        <v>1735</v>
      </c>
      <c r="Z45" s="1153"/>
      <c r="AA45" s="1153"/>
      <c r="AB45" s="1153"/>
      <c r="AC45" s="1153"/>
      <c r="AD45" s="1153"/>
      <c r="AE45" s="1153"/>
      <c r="AF45" s="1153"/>
      <c r="AG45" s="1153"/>
      <c r="AH45" s="958">
        <f t="shared" si="0"/>
        <v>0</v>
      </c>
      <c r="AI45" s="1153"/>
      <c r="AJ45" s="1153"/>
      <c r="AK45" s="1153"/>
      <c r="AL45" s="1153"/>
      <c r="AM45" s="1153"/>
      <c r="AN45" s="1153"/>
      <c r="AO45" s="1153"/>
      <c r="AP45" s="1153"/>
      <c r="AQ45" s="1154">
        <v>1</v>
      </c>
      <c r="AR45" s="962">
        <f t="shared" si="1"/>
        <v>0.67110316092337996</v>
      </c>
      <c r="AS45" s="1153"/>
      <c r="AT45" s="1154">
        <f t="shared" si="2"/>
        <v>8.0558710550160145E-2</v>
      </c>
      <c r="AU45" s="1153"/>
      <c r="AV45" s="1153"/>
      <c r="AW45" s="1153"/>
      <c r="AX45" s="1153"/>
      <c r="AY45" s="1153"/>
      <c r="AZ45" s="958"/>
      <c r="BA45" s="1153"/>
      <c r="BB45" s="1153"/>
      <c r="BC45" s="956"/>
      <c r="BD45" s="1153"/>
      <c r="BE45" s="1153"/>
      <c r="BF45" s="1153"/>
    </row>
    <row r="46" spans="1:58" x14ac:dyDescent="0.45">
      <c r="A46" s="14">
        <v>1736</v>
      </c>
      <c r="B46" s="507">
        <v>4.6750224000000058</v>
      </c>
      <c r="C46" s="1153"/>
      <c r="D46" s="1153"/>
      <c r="E46" s="507"/>
      <c r="F46" s="1153"/>
      <c r="G46" s="1153"/>
      <c r="H46" s="1153"/>
      <c r="I46" s="1153"/>
      <c r="J46" s="1153"/>
      <c r="K46" s="1153"/>
      <c r="L46" s="1153"/>
      <c r="M46" s="1153"/>
      <c r="N46" s="1153"/>
      <c r="O46" s="1153"/>
      <c r="P46" s="1153"/>
      <c r="Q46" s="1153"/>
      <c r="R46" s="507">
        <v>4.4904311500865859</v>
      </c>
      <c r="S46" s="507">
        <v>0.18459124991341991</v>
      </c>
      <c r="T46" s="507">
        <v>4.6750224000000058</v>
      </c>
      <c r="U46" s="1153"/>
      <c r="V46" s="1153"/>
      <c r="W46" s="1153"/>
      <c r="X46" s="1153"/>
      <c r="Y46" s="1156">
        <v>1736</v>
      </c>
      <c r="Z46" s="1153"/>
      <c r="AA46" s="1153"/>
      <c r="AB46" s="1153"/>
      <c r="AC46" s="1153"/>
      <c r="AD46" s="1153"/>
      <c r="AE46" s="1153"/>
      <c r="AF46" s="1153"/>
      <c r="AG46" s="1153"/>
      <c r="AH46" s="958">
        <f t="shared" si="0"/>
        <v>0</v>
      </c>
      <c r="AI46" s="1153"/>
      <c r="AJ46" s="1153"/>
      <c r="AK46" s="1153"/>
      <c r="AL46" s="1153"/>
      <c r="AM46" s="1153"/>
      <c r="AN46" s="1153"/>
      <c r="AO46" s="1153"/>
      <c r="AP46" s="1153"/>
      <c r="AQ46" s="1154">
        <v>1</v>
      </c>
      <c r="AR46" s="962">
        <f t="shared" si="1"/>
        <v>0.67110316092337996</v>
      </c>
      <c r="AS46" s="1153"/>
      <c r="AT46" s="1154">
        <f t="shared" si="2"/>
        <v>8.0558710550160145E-2</v>
      </c>
      <c r="AU46" s="1153"/>
      <c r="AV46" s="1153"/>
      <c r="AW46" s="1153"/>
      <c r="AX46" s="1153"/>
      <c r="AY46" s="1153"/>
      <c r="AZ46" s="958"/>
      <c r="BA46" s="1153"/>
      <c r="BB46" s="1153"/>
      <c r="BC46" s="956"/>
      <c r="BD46" s="1153"/>
      <c r="BE46" s="1153"/>
      <c r="BF46" s="1153"/>
    </row>
    <row r="47" spans="1:58" x14ac:dyDescent="0.45">
      <c r="A47" s="14">
        <v>1737</v>
      </c>
      <c r="B47" s="507">
        <v>4.7206408000000053</v>
      </c>
      <c r="C47" s="1153"/>
      <c r="D47" s="1153"/>
      <c r="E47" s="507"/>
      <c r="F47" s="1153"/>
      <c r="G47" s="1153"/>
      <c r="H47" s="1153"/>
      <c r="I47" s="1153"/>
      <c r="J47" s="1153"/>
      <c r="K47" s="1153"/>
      <c r="L47" s="1153"/>
      <c r="M47" s="1153"/>
      <c r="N47" s="1153"/>
      <c r="O47" s="1153"/>
      <c r="P47" s="1153"/>
      <c r="Q47" s="1153"/>
      <c r="R47" s="507">
        <v>4.5436616640067893</v>
      </c>
      <c r="S47" s="507">
        <v>0.17697913599321602</v>
      </c>
      <c r="T47" s="507">
        <v>4.7206408000000053</v>
      </c>
      <c r="U47" s="1153"/>
      <c r="V47" s="1153"/>
      <c r="W47" s="1153"/>
      <c r="X47" s="1153"/>
      <c r="Y47" s="1156">
        <v>1737</v>
      </c>
      <c r="Z47" s="1153"/>
      <c r="AA47" s="1153"/>
      <c r="AB47" s="1153"/>
      <c r="AC47" s="1153"/>
      <c r="AD47" s="1153"/>
      <c r="AE47" s="1153"/>
      <c r="AF47" s="1153"/>
      <c r="AG47" s="1153"/>
      <c r="AH47" s="958">
        <f t="shared" si="0"/>
        <v>0</v>
      </c>
      <c r="AI47" s="1153"/>
      <c r="AJ47" s="1153"/>
      <c r="AK47" s="1153"/>
      <c r="AL47" s="1153"/>
      <c r="AM47" s="1153"/>
      <c r="AN47" s="1153"/>
      <c r="AO47" s="1153"/>
      <c r="AP47" s="1153"/>
      <c r="AQ47" s="1154">
        <v>1</v>
      </c>
      <c r="AR47" s="962">
        <f t="shared" si="1"/>
        <v>0.67110316092337996</v>
      </c>
      <c r="AS47" s="1153"/>
      <c r="AT47" s="1154">
        <f t="shared" si="2"/>
        <v>8.0558710550160145E-2</v>
      </c>
      <c r="AU47" s="1153"/>
      <c r="AV47" s="1153"/>
      <c r="AW47" s="1153"/>
      <c r="AX47" s="1153"/>
      <c r="AY47" s="1153"/>
      <c r="AZ47" s="958"/>
      <c r="BA47" s="1153"/>
      <c r="BB47" s="1153"/>
      <c r="BC47" s="956"/>
      <c r="BD47" s="1153"/>
      <c r="BE47" s="1153"/>
      <c r="BF47" s="1153"/>
    </row>
    <row r="48" spans="1:58" x14ac:dyDescent="0.45">
      <c r="A48" s="14">
        <v>1738</v>
      </c>
      <c r="B48" s="507">
        <v>4.7662592000000057</v>
      </c>
      <c r="C48" s="1153"/>
      <c r="D48" s="1153"/>
      <c r="E48" s="507"/>
      <c r="F48" s="1153"/>
      <c r="G48" s="1153"/>
      <c r="H48" s="1153"/>
      <c r="I48" s="1153"/>
      <c r="J48" s="1153"/>
      <c r="K48" s="1153"/>
      <c r="L48" s="1153"/>
      <c r="M48" s="1153"/>
      <c r="N48" s="1153"/>
      <c r="O48" s="1153"/>
      <c r="P48" s="1153"/>
      <c r="Q48" s="1153"/>
      <c r="R48" s="507">
        <v>4.586615670110092</v>
      </c>
      <c r="S48" s="507">
        <v>0.17964352988991372</v>
      </c>
      <c r="T48" s="507">
        <v>4.7662592000000057</v>
      </c>
      <c r="U48" s="1153"/>
      <c r="V48" s="1153"/>
      <c r="W48" s="1153"/>
      <c r="X48" s="1153"/>
      <c r="Y48" s="1156">
        <v>1738</v>
      </c>
      <c r="Z48" s="1153"/>
      <c r="AA48" s="1153"/>
      <c r="AB48" s="1153"/>
      <c r="AC48" s="1153"/>
      <c r="AD48" s="1153"/>
      <c r="AE48" s="1153"/>
      <c r="AF48" s="1153"/>
      <c r="AG48" s="1153"/>
      <c r="AH48" s="958">
        <f t="shared" si="0"/>
        <v>0</v>
      </c>
      <c r="AI48" s="1153"/>
      <c r="AJ48" s="1153"/>
      <c r="AK48" s="1153"/>
      <c r="AL48" s="1153"/>
      <c r="AM48" s="1153"/>
      <c r="AN48" s="1153"/>
      <c r="AO48" s="1153"/>
      <c r="AP48" s="1153"/>
      <c r="AQ48" s="1154">
        <v>1</v>
      </c>
      <c r="AR48" s="962">
        <f t="shared" si="1"/>
        <v>0.67110316092337996</v>
      </c>
      <c r="AS48" s="1153"/>
      <c r="AT48" s="1154">
        <f t="shared" si="2"/>
        <v>8.0558710550160145E-2</v>
      </c>
      <c r="AU48" s="1153"/>
      <c r="AV48" s="1153"/>
      <c r="AW48" s="1153"/>
      <c r="AX48" s="1153"/>
      <c r="AY48" s="1153"/>
      <c r="AZ48" s="958"/>
      <c r="BA48" s="1153"/>
      <c r="BB48" s="1153"/>
      <c r="BC48" s="956"/>
      <c r="BD48" s="1153"/>
      <c r="BE48" s="1153"/>
      <c r="BF48" s="1153"/>
    </row>
    <row r="49" spans="1:58" x14ac:dyDescent="0.45">
      <c r="A49" s="14">
        <v>1739</v>
      </c>
      <c r="B49" s="507">
        <v>4.8118776000000061</v>
      </c>
      <c r="C49" s="1153"/>
      <c r="D49" s="1153"/>
      <c r="E49" s="507"/>
      <c r="F49" s="1153"/>
      <c r="G49" s="1153"/>
      <c r="H49" s="1153"/>
      <c r="I49" s="1153"/>
      <c r="J49" s="1153"/>
      <c r="K49" s="1153"/>
      <c r="L49" s="1153"/>
      <c r="M49" s="1153"/>
      <c r="N49" s="1153"/>
      <c r="O49" s="1153"/>
      <c r="P49" s="1153"/>
      <c r="Q49" s="1153"/>
      <c r="R49" s="507">
        <v>4.6081135650619505</v>
      </c>
      <c r="S49" s="507">
        <v>0.20376403493805562</v>
      </c>
      <c r="T49" s="507">
        <v>4.8118776000000061</v>
      </c>
      <c r="U49" s="1153"/>
      <c r="V49" s="1153"/>
      <c r="W49" s="1153"/>
      <c r="X49" s="1153"/>
      <c r="Y49" s="1156">
        <v>1739</v>
      </c>
      <c r="Z49" s="1153"/>
      <c r="AA49" s="1153"/>
      <c r="AB49" s="1153"/>
      <c r="AC49" s="1153"/>
      <c r="AD49" s="1153"/>
      <c r="AE49" s="1153"/>
      <c r="AF49" s="1153"/>
      <c r="AG49" s="1153"/>
      <c r="AH49" s="958">
        <f t="shared" si="0"/>
        <v>0</v>
      </c>
      <c r="AI49" s="1153"/>
      <c r="AJ49" s="1153"/>
      <c r="AK49" s="1153"/>
      <c r="AL49" s="1153"/>
      <c r="AM49" s="1153"/>
      <c r="AN49" s="1153"/>
      <c r="AO49" s="1153"/>
      <c r="AP49" s="1153"/>
      <c r="AQ49" s="1154">
        <v>1</v>
      </c>
      <c r="AR49" s="962">
        <f t="shared" si="1"/>
        <v>0.67110316092337996</v>
      </c>
      <c r="AS49" s="1153"/>
      <c r="AT49" s="1154">
        <f t="shared" si="2"/>
        <v>8.0558710550160145E-2</v>
      </c>
      <c r="AU49" s="1153"/>
      <c r="AV49" s="1153"/>
      <c r="AW49" s="1153"/>
      <c r="AX49" s="1153"/>
      <c r="AY49" s="1153"/>
      <c r="AZ49" s="958"/>
      <c r="BA49" s="1153"/>
      <c r="BB49" s="1153"/>
      <c r="BC49" s="956"/>
      <c r="BD49" s="1153"/>
      <c r="BE49" s="1153"/>
      <c r="BF49" s="1153"/>
    </row>
    <row r="50" spans="1:58" x14ac:dyDescent="0.45">
      <c r="A50" s="14">
        <v>1740</v>
      </c>
      <c r="B50" s="507">
        <v>4.8574960000000065</v>
      </c>
      <c r="C50" s="1153"/>
      <c r="D50" s="1153"/>
      <c r="E50" s="507"/>
      <c r="F50" s="1153"/>
      <c r="G50" s="1153"/>
      <c r="H50" s="1153"/>
      <c r="I50" s="1153"/>
      <c r="J50" s="1153"/>
      <c r="K50" s="1153"/>
      <c r="L50" s="1153"/>
      <c r="M50" s="1153"/>
      <c r="N50" s="1153"/>
      <c r="O50" s="1153"/>
      <c r="P50" s="1153"/>
      <c r="Q50" s="1153"/>
      <c r="R50" s="507">
        <v>4.6274556340844848</v>
      </c>
      <c r="S50" s="507">
        <v>0.23004036591552168</v>
      </c>
      <c r="T50" s="507">
        <v>4.8574960000000065</v>
      </c>
      <c r="U50" s="1153"/>
      <c r="V50" s="1153"/>
      <c r="W50" s="1153"/>
      <c r="X50" s="1153"/>
      <c r="Y50" s="1156">
        <v>1740</v>
      </c>
      <c r="Z50" s="1153"/>
      <c r="AA50" s="1153"/>
      <c r="AB50" s="1153"/>
      <c r="AC50" s="1153"/>
      <c r="AD50" s="1153"/>
      <c r="AE50" s="1153"/>
      <c r="AF50" s="1153"/>
      <c r="AG50" s="1153"/>
      <c r="AH50" s="958">
        <f t="shared" si="0"/>
        <v>0</v>
      </c>
      <c r="AI50" s="1153"/>
      <c r="AJ50" s="1153"/>
      <c r="AK50" s="1153"/>
      <c r="AL50" s="1153"/>
      <c r="AM50" s="1153"/>
      <c r="AN50" s="1153"/>
      <c r="AO50" s="1153"/>
      <c r="AP50" s="1153"/>
      <c r="AQ50" s="1154">
        <v>1</v>
      </c>
      <c r="AR50" s="962">
        <f t="shared" si="1"/>
        <v>0.67110316092337996</v>
      </c>
      <c r="AS50" s="1153"/>
      <c r="AT50" s="1154">
        <f t="shared" si="2"/>
        <v>8.0558710550160145E-2</v>
      </c>
      <c r="AU50" s="1153"/>
      <c r="AV50" s="1153"/>
      <c r="AW50" s="1153"/>
      <c r="AX50" s="1153"/>
      <c r="AY50" s="1153"/>
      <c r="AZ50" s="958"/>
      <c r="BA50" s="1153"/>
      <c r="BB50" s="1153"/>
      <c r="BC50" s="956"/>
      <c r="BD50" s="1153"/>
      <c r="BE50" s="1153"/>
      <c r="BF50" s="1153"/>
    </row>
    <row r="51" spans="1:58" x14ac:dyDescent="0.45">
      <c r="A51" s="14">
        <v>1741</v>
      </c>
      <c r="B51" s="507">
        <v>4.903114400000006</v>
      </c>
      <c r="C51" s="1153"/>
      <c r="D51" s="1153"/>
      <c r="E51" s="507"/>
      <c r="F51" s="1153"/>
      <c r="G51" s="1153"/>
      <c r="H51" s="1153"/>
      <c r="I51" s="1153"/>
      <c r="J51" s="1153"/>
      <c r="K51" s="1153"/>
      <c r="L51" s="1153"/>
      <c r="M51" s="1153"/>
      <c r="N51" s="1153"/>
      <c r="O51" s="1153"/>
      <c r="P51" s="1153"/>
      <c r="Q51" s="1153"/>
      <c r="R51" s="507">
        <v>4.7076300475097792</v>
      </c>
      <c r="S51" s="507">
        <v>0.19548435249022678</v>
      </c>
      <c r="T51" s="507">
        <v>4.903114400000006</v>
      </c>
      <c r="U51" s="1153"/>
      <c r="V51" s="1153"/>
      <c r="W51" s="1153"/>
      <c r="X51" s="1153"/>
      <c r="Y51" s="1156">
        <v>1741</v>
      </c>
      <c r="Z51" s="1153"/>
      <c r="AA51" s="1153"/>
      <c r="AB51" s="1153"/>
      <c r="AC51" s="1153"/>
      <c r="AD51" s="1153"/>
      <c r="AE51" s="1153"/>
      <c r="AF51" s="1153"/>
      <c r="AG51" s="1153"/>
      <c r="AH51" s="958">
        <f t="shared" si="0"/>
        <v>0</v>
      </c>
      <c r="AI51" s="1153"/>
      <c r="AJ51" s="1153"/>
      <c r="AK51" s="1153"/>
      <c r="AL51" s="1153"/>
      <c r="AM51" s="1153"/>
      <c r="AN51" s="1153"/>
      <c r="AO51" s="1153"/>
      <c r="AP51" s="1153"/>
      <c r="AQ51" s="1154">
        <v>1</v>
      </c>
      <c r="AR51" s="962">
        <f t="shared" si="1"/>
        <v>0.67110316092337996</v>
      </c>
      <c r="AS51" s="1153"/>
      <c r="AT51" s="1154">
        <f t="shared" si="2"/>
        <v>8.0558710550160145E-2</v>
      </c>
      <c r="AU51" s="1153"/>
      <c r="AV51" s="1153"/>
      <c r="AW51" s="1153"/>
      <c r="AX51" s="1153"/>
      <c r="AY51" s="1153"/>
      <c r="AZ51" s="958"/>
      <c r="BA51" s="1153"/>
      <c r="BB51" s="1153"/>
      <c r="BC51" s="956"/>
      <c r="BD51" s="1153"/>
      <c r="BE51" s="1153"/>
      <c r="BF51" s="1153"/>
    </row>
    <row r="52" spans="1:58" x14ac:dyDescent="0.45">
      <c r="A52" s="14">
        <v>1742</v>
      </c>
      <c r="B52" s="507">
        <v>4.9487328000000064</v>
      </c>
      <c r="C52" s="1153"/>
      <c r="D52" s="1153"/>
      <c r="E52" s="507"/>
      <c r="F52" s="1153"/>
      <c r="G52" s="1153"/>
      <c r="H52" s="1153"/>
      <c r="I52" s="1153"/>
      <c r="J52" s="1153"/>
      <c r="K52" s="1153"/>
      <c r="L52" s="1153"/>
      <c r="M52" s="1153"/>
      <c r="N52" s="1153"/>
      <c r="O52" s="1153"/>
      <c r="P52" s="1153"/>
      <c r="Q52" s="1153"/>
      <c r="R52" s="507">
        <v>4.7612568572265754</v>
      </c>
      <c r="S52" s="507">
        <v>0.18747594277343094</v>
      </c>
      <c r="T52" s="507">
        <v>4.9487328000000064</v>
      </c>
      <c r="U52" s="1153"/>
      <c r="V52" s="1153"/>
      <c r="W52" s="1153"/>
      <c r="X52" s="1153"/>
      <c r="Y52" s="1156">
        <v>1742</v>
      </c>
      <c r="Z52" s="1153"/>
      <c r="AA52" s="1153"/>
      <c r="AB52" s="1153"/>
      <c r="AC52" s="1153"/>
      <c r="AD52" s="1153"/>
      <c r="AE52" s="1153"/>
      <c r="AF52" s="1153"/>
      <c r="AG52" s="1153"/>
      <c r="AH52" s="958">
        <f t="shared" si="0"/>
        <v>0</v>
      </c>
      <c r="AI52" s="1153"/>
      <c r="AJ52" s="1153"/>
      <c r="AK52" s="1153"/>
      <c r="AL52" s="1153"/>
      <c r="AM52" s="1153"/>
      <c r="AN52" s="1153"/>
      <c r="AO52" s="1153"/>
      <c r="AP52" s="1153"/>
      <c r="AQ52" s="1154">
        <v>1</v>
      </c>
      <c r="AR52" s="962">
        <f t="shared" si="1"/>
        <v>0.67110316092337996</v>
      </c>
      <c r="AS52" s="1153"/>
      <c r="AT52" s="1154">
        <f t="shared" si="2"/>
        <v>8.0558710550160145E-2</v>
      </c>
      <c r="AU52" s="1153"/>
      <c r="AV52" s="1153"/>
      <c r="AW52" s="1153"/>
      <c r="AX52" s="1153"/>
      <c r="AY52" s="1153"/>
      <c r="AZ52" s="958"/>
      <c r="BA52" s="1153"/>
      <c r="BB52" s="1153"/>
      <c r="BC52" s="956"/>
      <c r="BD52" s="1153"/>
      <c r="BE52" s="1153"/>
      <c r="BF52" s="1153"/>
    </row>
    <row r="53" spans="1:58" x14ac:dyDescent="0.45">
      <c r="A53" s="14">
        <v>1743</v>
      </c>
      <c r="B53" s="507">
        <v>4.9943512000000068</v>
      </c>
      <c r="C53" s="1153"/>
      <c r="D53" s="1153"/>
      <c r="E53" s="507"/>
      <c r="F53" s="1153"/>
      <c r="G53" s="1153"/>
      <c r="H53" s="1153"/>
      <c r="I53" s="1153"/>
      <c r="J53" s="1153"/>
      <c r="K53" s="1153"/>
      <c r="L53" s="1153"/>
      <c r="M53" s="1153"/>
      <c r="N53" s="1153"/>
      <c r="O53" s="1153"/>
      <c r="P53" s="1153"/>
      <c r="Q53" s="1153"/>
      <c r="R53" s="507">
        <v>4.783251993017088</v>
      </c>
      <c r="S53" s="507">
        <v>0.21109920698291873</v>
      </c>
      <c r="T53" s="507">
        <v>4.9943512000000068</v>
      </c>
      <c r="U53" s="1153"/>
      <c r="V53" s="1153"/>
      <c r="W53" s="1153"/>
      <c r="X53" s="1153"/>
      <c r="Y53" s="1156">
        <v>1743</v>
      </c>
      <c r="Z53" s="1153"/>
      <c r="AA53" s="1153"/>
      <c r="AB53" s="1153"/>
      <c r="AC53" s="1153"/>
      <c r="AD53" s="1153"/>
      <c r="AE53" s="1153"/>
      <c r="AF53" s="1153"/>
      <c r="AG53" s="1153"/>
      <c r="AH53" s="958">
        <f t="shared" si="0"/>
        <v>0</v>
      </c>
      <c r="AI53" s="1153"/>
      <c r="AJ53" s="1153"/>
      <c r="AK53" s="1153"/>
      <c r="AL53" s="1153"/>
      <c r="AM53" s="1153"/>
      <c r="AN53" s="1153"/>
      <c r="AO53" s="1153"/>
      <c r="AP53" s="1153"/>
      <c r="AQ53" s="1154">
        <v>1</v>
      </c>
      <c r="AR53" s="962">
        <f t="shared" si="1"/>
        <v>0.67110316092337996</v>
      </c>
      <c r="AS53" s="1153"/>
      <c r="AT53" s="1154">
        <f t="shared" si="2"/>
        <v>8.0558710550160145E-2</v>
      </c>
      <c r="AU53" s="1153"/>
      <c r="AV53" s="1153"/>
      <c r="AW53" s="1153"/>
      <c r="AX53" s="1153"/>
      <c r="AY53" s="1153"/>
      <c r="AZ53" s="958"/>
      <c r="BA53" s="1153"/>
      <c r="BB53" s="1153"/>
      <c r="BC53" s="956"/>
      <c r="BD53" s="1153"/>
      <c r="BE53" s="1153"/>
      <c r="BF53" s="1153"/>
    </row>
    <row r="54" spans="1:58" x14ac:dyDescent="0.45">
      <c r="A54" s="14">
        <v>1744</v>
      </c>
      <c r="B54" s="507">
        <v>5.0399696000000072</v>
      </c>
      <c r="C54" s="1153"/>
      <c r="D54" s="1153"/>
      <c r="E54" s="507"/>
      <c r="F54" s="1153"/>
      <c r="G54" s="1153"/>
      <c r="H54" s="1153"/>
      <c r="I54" s="1153"/>
      <c r="J54" s="1153"/>
      <c r="K54" s="1153"/>
      <c r="L54" s="1153"/>
      <c r="M54" s="1153"/>
      <c r="N54" s="1153"/>
      <c r="O54" s="1153"/>
      <c r="P54" s="1153"/>
      <c r="Q54" s="1153"/>
      <c r="R54" s="507">
        <v>4.8406672587805035</v>
      </c>
      <c r="S54" s="507">
        <v>0.19930234121950363</v>
      </c>
      <c r="T54" s="507">
        <v>5.0399696000000072</v>
      </c>
      <c r="U54" s="1153"/>
      <c r="V54" s="1153"/>
      <c r="W54" s="1153"/>
      <c r="X54" s="1153"/>
      <c r="Y54" s="1156">
        <v>1744</v>
      </c>
      <c r="Z54" s="1153"/>
      <c r="AA54" s="1153"/>
      <c r="AB54" s="1153"/>
      <c r="AC54" s="1153"/>
      <c r="AD54" s="1153"/>
      <c r="AE54" s="1153"/>
      <c r="AF54" s="1153"/>
      <c r="AG54" s="1153"/>
      <c r="AH54" s="958">
        <f t="shared" si="0"/>
        <v>0</v>
      </c>
      <c r="AI54" s="1153"/>
      <c r="AJ54" s="1153"/>
      <c r="AK54" s="1153"/>
      <c r="AL54" s="1153"/>
      <c r="AM54" s="1153"/>
      <c r="AN54" s="1153"/>
      <c r="AO54" s="1153"/>
      <c r="AP54" s="1153"/>
      <c r="AQ54" s="1154">
        <v>1</v>
      </c>
      <c r="AR54" s="962">
        <f t="shared" si="1"/>
        <v>0.67110316092337996</v>
      </c>
      <c r="AS54" s="1153"/>
      <c r="AT54" s="1154">
        <f t="shared" si="2"/>
        <v>8.0558710550160145E-2</v>
      </c>
      <c r="AU54" s="1153"/>
      <c r="AV54" s="1153"/>
      <c r="AW54" s="1153"/>
      <c r="AX54" s="1153"/>
      <c r="AY54" s="1153"/>
      <c r="AZ54" s="958"/>
      <c r="BA54" s="1153"/>
      <c r="BB54" s="1153"/>
      <c r="BC54" s="956"/>
      <c r="BD54" s="1153"/>
      <c r="BE54" s="1153"/>
      <c r="BF54" s="1153"/>
    </row>
    <row r="55" spans="1:58" x14ac:dyDescent="0.45">
      <c r="A55" s="14">
        <v>1745</v>
      </c>
      <c r="B55" s="507">
        <v>5.0855880000000067</v>
      </c>
      <c r="C55" s="1153"/>
      <c r="D55" s="1153"/>
      <c r="E55" s="507"/>
      <c r="F55" s="1153"/>
      <c r="G55" s="1153"/>
      <c r="H55" s="1153"/>
      <c r="I55" s="1153"/>
      <c r="J55" s="1153"/>
      <c r="K55" s="1153"/>
      <c r="L55" s="1153"/>
      <c r="M55" s="1153"/>
      <c r="N55" s="1153"/>
      <c r="O55" s="1153"/>
      <c r="P55" s="1153"/>
      <c r="Q55" s="1153"/>
      <c r="R55" s="507">
        <v>4.8796503286396939</v>
      </c>
      <c r="S55" s="507">
        <v>0.20593767136031271</v>
      </c>
      <c r="T55" s="507">
        <v>5.0855880000000067</v>
      </c>
      <c r="U55" s="1153"/>
      <c r="V55" s="1153"/>
      <c r="W55" s="1153"/>
      <c r="X55" s="1153"/>
      <c r="Y55" s="1156">
        <v>1745</v>
      </c>
      <c r="Z55" s="1153"/>
      <c r="AA55" s="1153"/>
      <c r="AB55" s="1153"/>
      <c r="AC55" s="1153"/>
      <c r="AD55" s="1153"/>
      <c r="AE55" s="1153"/>
      <c r="AF55" s="1153"/>
      <c r="AG55" s="1153"/>
      <c r="AH55" s="958">
        <f t="shared" si="0"/>
        <v>0</v>
      </c>
      <c r="AI55" s="1153"/>
      <c r="AJ55" s="1153"/>
      <c r="AK55" s="1153"/>
      <c r="AL55" s="1153"/>
      <c r="AM55" s="1153"/>
      <c r="AN55" s="1153"/>
      <c r="AO55" s="1153"/>
      <c r="AP55" s="1153"/>
      <c r="AQ55" s="1154">
        <v>1</v>
      </c>
      <c r="AR55" s="962">
        <f t="shared" si="1"/>
        <v>0.67110316092337996</v>
      </c>
      <c r="AS55" s="1153"/>
      <c r="AT55" s="1154">
        <f t="shared" si="2"/>
        <v>8.0558710550160145E-2</v>
      </c>
      <c r="AU55" s="1153"/>
      <c r="AV55" s="1153"/>
      <c r="AW55" s="1153"/>
      <c r="AX55" s="1153"/>
      <c r="AY55" s="1153"/>
      <c r="AZ55" s="958"/>
      <c r="BA55" s="1153"/>
      <c r="BB55" s="1153"/>
      <c r="BC55" s="956"/>
      <c r="BD55" s="1153"/>
      <c r="BE55" s="1153"/>
      <c r="BF55" s="1153"/>
    </row>
    <row r="56" spans="1:58" x14ac:dyDescent="0.45">
      <c r="A56" s="14">
        <v>1746</v>
      </c>
      <c r="B56" s="507">
        <v>5.1312064000000071</v>
      </c>
      <c r="C56" s="1153"/>
      <c r="D56" s="1153"/>
      <c r="E56" s="507"/>
      <c r="F56" s="1153"/>
      <c r="G56" s="1153"/>
      <c r="H56" s="1153"/>
      <c r="I56" s="1153"/>
      <c r="J56" s="1153"/>
      <c r="K56" s="1153"/>
      <c r="L56" s="1153"/>
      <c r="M56" s="1153"/>
      <c r="N56" s="1153"/>
      <c r="O56" s="1153"/>
      <c r="P56" s="1153"/>
      <c r="Q56" s="1153"/>
      <c r="R56" s="507">
        <v>4.9134047429275194</v>
      </c>
      <c r="S56" s="507">
        <v>0.21780165707248766</v>
      </c>
      <c r="T56" s="507">
        <v>5.1312064000000071</v>
      </c>
      <c r="U56" s="1153"/>
      <c r="V56" s="1153"/>
      <c r="W56" s="1153"/>
      <c r="X56" s="1153"/>
      <c r="Y56" s="1156">
        <v>1746</v>
      </c>
      <c r="Z56" s="1153"/>
      <c r="AA56" s="1153"/>
      <c r="AB56" s="1153"/>
      <c r="AC56" s="1153"/>
      <c r="AD56" s="1153"/>
      <c r="AE56" s="1153"/>
      <c r="AF56" s="1153"/>
      <c r="AG56" s="1153"/>
      <c r="AH56" s="958">
        <f t="shared" si="0"/>
        <v>0</v>
      </c>
      <c r="AI56" s="1153"/>
      <c r="AJ56" s="1153"/>
      <c r="AK56" s="1153"/>
      <c r="AL56" s="1153"/>
      <c r="AM56" s="1153"/>
      <c r="AN56" s="1153"/>
      <c r="AO56" s="1153"/>
      <c r="AP56" s="1153"/>
      <c r="AQ56" s="1154">
        <v>1</v>
      </c>
      <c r="AR56" s="962">
        <f t="shared" si="1"/>
        <v>0.67110316092337996</v>
      </c>
      <c r="AS56" s="1153"/>
      <c r="AT56" s="1154">
        <f t="shared" si="2"/>
        <v>8.0558710550160145E-2</v>
      </c>
      <c r="AU56" s="1153"/>
      <c r="AV56" s="1153"/>
      <c r="AW56" s="1153"/>
      <c r="AX56" s="1153"/>
      <c r="AY56" s="1153"/>
      <c r="AZ56" s="958"/>
      <c r="BA56" s="1153"/>
      <c r="BB56" s="1153"/>
      <c r="BC56" s="956"/>
      <c r="BD56" s="1153"/>
      <c r="BE56" s="1153"/>
      <c r="BF56" s="1153"/>
    </row>
    <row r="57" spans="1:58" x14ac:dyDescent="0.45">
      <c r="A57" s="14">
        <v>1747</v>
      </c>
      <c r="B57" s="507">
        <v>5.1768248000000074</v>
      </c>
      <c r="C57" s="1153"/>
      <c r="D57" s="1153"/>
      <c r="E57" s="507"/>
      <c r="F57" s="1153"/>
      <c r="G57" s="1153"/>
      <c r="H57" s="1153"/>
      <c r="I57" s="1153"/>
      <c r="J57" s="1153"/>
      <c r="K57" s="1153"/>
      <c r="L57" s="1153"/>
      <c r="M57" s="1153"/>
      <c r="N57" s="1153"/>
      <c r="O57" s="1153"/>
      <c r="P57" s="1153"/>
      <c r="Q57" s="1153"/>
      <c r="R57" s="507">
        <v>4.9764699040489893</v>
      </c>
      <c r="S57" s="507">
        <v>0.20035489595101819</v>
      </c>
      <c r="T57" s="507">
        <v>5.1768248000000074</v>
      </c>
      <c r="U57" s="1153"/>
      <c r="V57" s="1153"/>
      <c r="W57" s="1153"/>
      <c r="X57" s="1153"/>
      <c r="Y57" s="1156">
        <v>1747</v>
      </c>
      <c r="Z57" s="1153"/>
      <c r="AA57" s="1153"/>
      <c r="AB57" s="1153"/>
      <c r="AC57" s="1153"/>
      <c r="AD57" s="1153"/>
      <c r="AE57" s="1153"/>
      <c r="AF57" s="1153"/>
      <c r="AG57" s="1153"/>
      <c r="AH57" s="958">
        <f t="shared" si="0"/>
        <v>0</v>
      </c>
      <c r="AI57" s="1153"/>
      <c r="AJ57" s="1153"/>
      <c r="AK57" s="1153"/>
      <c r="AL57" s="1153"/>
      <c r="AM57" s="1153"/>
      <c r="AN57" s="1153"/>
      <c r="AO57" s="1153"/>
      <c r="AP57" s="1153"/>
      <c r="AQ57" s="1154">
        <v>1</v>
      </c>
      <c r="AR57" s="962">
        <f t="shared" si="1"/>
        <v>0.67110316092337996</v>
      </c>
      <c r="AS57" s="1153"/>
      <c r="AT57" s="1154">
        <f t="shared" si="2"/>
        <v>8.0558710550160145E-2</v>
      </c>
      <c r="AU57" s="1153"/>
      <c r="AV57" s="1153"/>
      <c r="AW57" s="1153"/>
      <c r="AX57" s="1153"/>
      <c r="AY57" s="1153"/>
      <c r="AZ57" s="958"/>
      <c r="BA57" s="1153"/>
      <c r="BB57" s="1153"/>
      <c r="BC57" s="956"/>
      <c r="BD57" s="1153"/>
      <c r="BE57" s="1153"/>
      <c r="BF57" s="1153"/>
    </row>
    <row r="58" spans="1:58" x14ac:dyDescent="0.45">
      <c r="A58" s="14">
        <v>1748</v>
      </c>
      <c r="B58" s="507">
        <v>5.2224432000000078</v>
      </c>
      <c r="C58" s="1153"/>
      <c r="D58" s="1153"/>
      <c r="E58" s="507"/>
      <c r="F58" s="1153"/>
      <c r="G58" s="1153"/>
      <c r="H58" s="1153"/>
      <c r="I58" s="1153"/>
      <c r="J58" s="1153"/>
      <c r="K58" s="1153"/>
      <c r="L58" s="1153"/>
      <c r="M58" s="1153"/>
      <c r="N58" s="1153"/>
      <c r="O58" s="1153"/>
      <c r="P58" s="1153"/>
      <c r="Q58" s="1153"/>
      <c r="R58" s="507">
        <v>4.9926410722154531</v>
      </c>
      <c r="S58" s="507">
        <v>0.22980212778455478</v>
      </c>
      <c r="T58" s="507">
        <v>5.2224432000000078</v>
      </c>
      <c r="U58" s="1153"/>
      <c r="V58" s="1153"/>
      <c r="W58" s="1153"/>
      <c r="X58" s="1153"/>
      <c r="Y58" s="1156">
        <v>1748</v>
      </c>
      <c r="Z58" s="1153"/>
      <c r="AA58" s="1153"/>
      <c r="AB58" s="1153"/>
      <c r="AC58" s="1153"/>
      <c r="AD58" s="1153"/>
      <c r="AE58" s="1153"/>
      <c r="AF58" s="1153"/>
      <c r="AG58" s="1153"/>
      <c r="AH58" s="958">
        <f t="shared" si="0"/>
        <v>0</v>
      </c>
      <c r="AI58" s="1153"/>
      <c r="AJ58" s="1153"/>
      <c r="AK58" s="1153"/>
      <c r="AL58" s="1153"/>
      <c r="AM58" s="1153"/>
      <c r="AN58" s="1153"/>
      <c r="AO58" s="1153"/>
      <c r="AP58" s="1153"/>
      <c r="AQ58" s="1154">
        <v>1</v>
      </c>
      <c r="AR58" s="962">
        <f t="shared" si="1"/>
        <v>0.67110316092337996</v>
      </c>
      <c r="AS58" s="1153"/>
      <c r="AT58" s="1154">
        <f t="shared" si="2"/>
        <v>8.0558710550160145E-2</v>
      </c>
      <c r="AU58" s="1153"/>
      <c r="AV58" s="1153"/>
      <c r="AW58" s="1153"/>
      <c r="AX58" s="1153"/>
      <c r="AY58" s="1153"/>
      <c r="AZ58" s="958"/>
      <c r="BA58" s="1153"/>
      <c r="BB58" s="1153"/>
      <c r="BC58" s="956"/>
      <c r="BD58" s="1153"/>
      <c r="BE58" s="1153"/>
      <c r="BF58" s="1153"/>
    </row>
    <row r="59" spans="1:58" x14ac:dyDescent="0.45">
      <c r="A59" s="14">
        <v>1749</v>
      </c>
      <c r="B59" s="507">
        <v>5.2680616000000073</v>
      </c>
      <c r="C59" s="1153"/>
      <c r="D59" s="1153"/>
      <c r="E59" s="507"/>
      <c r="F59" s="1153"/>
      <c r="G59" s="1153"/>
      <c r="H59" s="1153"/>
      <c r="I59" s="1153"/>
      <c r="J59" s="1153"/>
      <c r="K59" s="1153"/>
      <c r="L59" s="1153"/>
      <c r="M59" s="1153"/>
      <c r="N59" s="1153"/>
      <c r="O59" s="1153"/>
      <c r="P59" s="1153"/>
      <c r="Q59" s="1153"/>
      <c r="R59" s="507">
        <v>5.0096653610468582</v>
      </c>
      <c r="S59" s="507">
        <v>0.25839623895314912</v>
      </c>
      <c r="T59" s="507">
        <v>5.2680616000000073</v>
      </c>
      <c r="U59" s="1153"/>
      <c r="V59" s="1153"/>
      <c r="W59" s="1153"/>
      <c r="X59" s="1153"/>
      <c r="Y59" s="1156">
        <v>1749</v>
      </c>
      <c r="Z59" s="1153"/>
      <c r="AA59" s="1153"/>
      <c r="AB59" s="1153"/>
      <c r="AC59" s="1153"/>
      <c r="AD59" s="1153"/>
      <c r="AE59" s="1153"/>
      <c r="AF59" s="1153"/>
      <c r="AG59" s="1153"/>
      <c r="AH59" s="958">
        <f t="shared" si="0"/>
        <v>0</v>
      </c>
      <c r="AI59" s="1153"/>
      <c r="AJ59" s="1153"/>
      <c r="AK59" s="1153"/>
      <c r="AL59" s="1153"/>
      <c r="AM59" s="1153"/>
      <c r="AN59" s="1153"/>
      <c r="AO59" s="1153"/>
      <c r="AP59" s="1153"/>
      <c r="AQ59" s="1154">
        <v>1</v>
      </c>
      <c r="AR59" s="962">
        <f t="shared" si="1"/>
        <v>0.67110316092337996</v>
      </c>
      <c r="AS59" s="1153"/>
      <c r="AT59" s="1154">
        <f t="shared" si="2"/>
        <v>8.0558710550160145E-2</v>
      </c>
      <c r="AU59" s="1153"/>
      <c r="AV59" s="1153"/>
      <c r="AW59" s="1153"/>
      <c r="AX59" s="1153"/>
      <c r="AY59" s="1153"/>
      <c r="AZ59" s="958"/>
      <c r="BA59" s="1153"/>
      <c r="BB59" s="1153"/>
      <c r="BC59" s="956"/>
      <c r="BD59" s="1153"/>
      <c r="BE59" s="1153"/>
      <c r="BF59" s="1153"/>
    </row>
    <row r="60" spans="1:58" x14ac:dyDescent="0.45">
      <c r="A60" s="14">
        <v>1750</v>
      </c>
      <c r="B60" s="506">
        <v>5.3136800000000006</v>
      </c>
      <c r="E60" s="506"/>
      <c r="H60" s="602"/>
      <c r="R60" s="506">
        <v>5.0620817330379912</v>
      </c>
      <c r="S60" s="506">
        <v>0.25159826696200938</v>
      </c>
      <c r="T60" s="506">
        <v>5.3136800000000006</v>
      </c>
      <c r="Y60" s="1156">
        <v>1750</v>
      </c>
      <c r="Z60" s="964">
        <f>BT14/1000*1.016</f>
        <v>2.2555200000000002</v>
      </c>
      <c r="AA60" s="964">
        <f>BM14/1000*1.016</f>
        <v>2.0320000000000001E-2</v>
      </c>
      <c r="AB60" s="964">
        <f>(BN14+BO14+BQ14)/1000*1.016</f>
        <v>2.0827999999999998</v>
      </c>
      <c r="AH60" s="967">
        <f t="shared" si="0"/>
        <v>0.16778768233387353</v>
      </c>
      <c r="AQ60" s="963">
        <v>1</v>
      </c>
      <c r="AR60" s="966">
        <f t="shared" si="1"/>
        <v>0.67110316092337996</v>
      </c>
      <c r="AT60" s="963">
        <f t="shared" si="2"/>
        <v>8.0558710550160145E-2</v>
      </c>
      <c r="AZ60" s="956"/>
      <c r="BC60" s="956"/>
    </row>
    <row r="61" spans="1:58" x14ac:dyDescent="0.45">
      <c r="A61" s="14">
        <v>1751</v>
      </c>
      <c r="B61" s="507">
        <v>5.4607968000000007</v>
      </c>
      <c r="C61" s="1153"/>
      <c r="D61" s="1153"/>
      <c r="E61" s="507"/>
      <c r="F61" s="1153"/>
      <c r="G61" s="1153"/>
      <c r="H61" s="1155"/>
      <c r="I61" s="1153"/>
      <c r="J61" s="1153"/>
      <c r="K61" s="1153"/>
      <c r="L61" s="1153"/>
      <c r="M61" s="1153"/>
      <c r="N61" s="1153"/>
      <c r="O61" s="1153"/>
      <c r="P61" s="1153"/>
      <c r="Q61" s="1153"/>
      <c r="R61" s="507">
        <v>5.154253794884526</v>
      </c>
      <c r="S61" s="507">
        <v>0.30654300511547472</v>
      </c>
      <c r="T61" s="507">
        <v>5.4607968000000007</v>
      </c>
      <c r="U61" s="1153"/>
      <c r="V61" s="1153"/>
      <c r="W61" s="1153"/>
      <c r="X61" s="1153"/>
      <c r="Y61" s="1156">
        <v>1751</v>
      </c>
      <c r="Z61" s="1153"/>
      <c r="AA61" s="1153"/>
      <c r="AB61" s="1153"/>
      <c r="AC61" s="1153"/>
      <c r="AD61" s="1153"/>
      <c r="AE61" s="1153"/>
      <c r="AF61" s="1153"/>
      <c r="AG61" s="1153"/>
      <c r="AH61" s="958">
        <f t="shared" si="0"/>
        <v>0</v>
      </c>
      <c r="AI61" s="1153"/>
      <c r="AJ61" s="1153"/>
      <c r="AK61" s="1153"/>
      <c r="AL61" s="1153"/>
      <c r="AM61" s="1153"/>
      <c r="AN61" s="1153"/>
      <c r="AO61" s="1153"/>
      <c r="AP61" s="1153"/>
      <c r="AQ61" s="1154">
        <v>1</v>
      </c>
      <c r="AR61" s="962">
        <f t="shared" si="1"/>
        <v>0.67110316092337996</v>
      </c>
      <c r="AS61" s="1153"/>
      <c r="AT61" s="1154">
        <f t="shared" si="2"/>
        <v>8.0558710550160145E-2</v>
      </c>
      <c r="AU61" s="1153"/>
      <c r="AV61" s="1153"/>
      <c r="AW61" s="1153"/>
      <c r="AX61" s="1153"/>
      <c r="AY61" s="1153"/>
      <c r="AZ61" s="958"/>
      <c r="BA61" s="1153"/>
      <c r="BB61" s="1153"/>
      <c r="BC61" s="956"/>
      <c r="BD61" s="1153"/>
      <c r="BE61" s="1153"/>
      <c r="BF61" s="1153"/>
    </row>
    <row r="62" spans="1:58" x14ac:dyDescent="0.45">
      <c r="A62" s="14">
        <v>1752</v>
      </c>
      <c r="B62" s="507">
        <v>5.6079136000000007</v>
      </c>
      <c r="C62" s="1153"/>
      <c r="D62" s="1153"/>
      <c r="E62" s="507"/>
      <c r="F62" s="1153"/>
      <c r="G62" s="1153"/>
      <c r="H62" s="1155"/>
      <c r="I62" s="1153"/>
      <c r="J62" s="1153"/>
      <c r="K62" s="1153"/>
      <c r="L62" s="1153"/>
      <c r="M62" s="1153"/>
      <c r="N62" s="1153"/>
      <c r="O62" s="1153"/>
      <c r="P62" s="1153"/>
      <c r="Q62" s="1153"/>
      <c r="R62" s="507">
        <v>5.3143193926644612</v>
      </c>
      <c r="S62" s="507">
        <v>0.29359420733553954</v>
      </c>
      <c r="T62" s="507">
        <v>5.6079136000000007</v>
      </c>
      <c r="U62" s="1153"/>
      <c r="V62" s="1153"/>
      <c r="W62" s="1153"/>
      <c r="X62" s="1153"/>
      <c r="Y62" s="1156">
        <v>1752</v>
      </c>
      <c r="Z62" s="1153"/>
      <c r="AA62" s="1153"/>
      <c r="AB62" s="1153"/>
      <c r="AC62" s="1153"/>
      <c r="AD62" s="1153"/>
      <c r="AE62" s="1153"/>
      <c r="AF62" s="1153"/>
      <c r="AG62" s="1153"/>
      <c r="AH62" s="958">
        <f t="shared" si="0"/>
        <v>0</v>
      </c>
      <c r="AI62" s="1153"/>
      <c r="AJ62" s="1153"/>
      <c r="AK62" s="1153"/>
      <c r="AL62" s="1153"/>
      <c r="AM62" s="1153"/>
      <c r="AN62" s="1153"/>
      <c r="AO62" s="1153"/>
      <c r="AP62" s="1153"/>
      <c r="AQ62" s="1154">
        <v>1</v>
      </c>
      <c r="AR62" s="962">
        <f t="shared" si="1"/>
        <v>0.67110316092337996</v>
      </c>
      <c r="AS62" s="1153"/>
      <c r="AT62" s="1154">
        <f t="shared" si="2"/>
        <v>8.0558710550160145E-2</v>
      </c>
      <c r="AU62" s="1153"/>
      <c r="AV62" s="1153"/>
      <c r="AW62" s="1153"/>
      <c r="AX62" s="1153"/>
      <c r="AY62" s="1153"/>
      <c r="AZ62" s="958"/>
      <c r="BA62" s="1153"/>
      <c r="BB62" s="1153"/>
      <c r="BC62" s="956"/>
      <c r="BD62" s="1153"/>
      <c r="BE62" s="1153"/>
      <c r="BF62" s="1153"/>
    </row>
    <row r="63" spans="1:58" x14ac:dyDescent="0.45">
      <c r="A63" s="14">
        <v>1753</v>
      </c>
      <c r="B63" s="507">
        <v>5.7550304000000008</v>
      </c>
      <c r="C63" s="1153"/>
      <c r="D63" s="1153"/>
      <c r="E63" s="507"/>
      <c r="F63" s="1153"/>
      <c r="G63" s="1153"/>
      <c r="H63" s="1155"/>
      <c r="I63" s="1153"/>
      <c r="J63" s="1153"/>
      <c r="K63" s="1153"/>
      <c r="L63" s="1153"/>
      <c r="M63" s="1153"/>
      <c r="N63" s="1153"/>
      <c r="O63" s="1153"/>
      <c r="P63" s="1153"/>
      <c r="Q63" s="1153"/>
      <c r="R63" s="507">
        <v>5.4548970068705787</v>
      </c>
      <c r="S63" s="507">
        <v>0.30013339312942211</v>
      </c>
      <c r="T63" s="507">
        <v>5.7550304000000008</v>
      </c>
      <c r="U63" s="1153"/>
      <c r="V63" s="1153"/>
      <c r="W63" s="1153"/>
      <c r="X63" s="1153"/>
      <c r="Y63" s="1156">
        <v>1753</v>
      </c>
      <c r="Z63" s="1153"/>
      <c r="AA63" s="1153"/>
      <c r="AB63" s="1153"/>
      <c r="AC63" s="1153"/>
      <c r="AD63" s="1153"/>
      <c r="AE63" s="1153"/>
      <c r="AF63" s="1153"/>
      <c r="AG63" s="1153"/>
      <c r="AH63" s="958">
        <f t="shared" si="0"/>
        <v>0</v>
      </c>
      <c r="AI63" s="1153"/>
      <c r="AJ63" s="1153"/>
      <c r="AK63" s="1153"/>
      <c r="AL63" s="1153"/>
      <c r="AM63" s="1153"/>
      <c r="AN63" s="1153"/>
      <c r="AO63" s="1153"/>
      <c r="AP63" s="1153"/>
      <c r="AQ63" s="1154">
        <v>1</v>
      </c>
      <c r="AR63" s="962">
        <f t="shared" si="1"/>
        <v>0.67110316092337996</v>
      </c>
      <c r="AS63" s="1153"/>
      <c r="AT63" s="1154">
        <f t="shared" si="2"/>
        <v>8.0558710550160145E-2</v>
      </c>
      <c r="AU63" s="1153"/>
      <c r="AV63" s="1153"/>
      <c r="AW63" s="1153"/>
      <c r="AX63" s="1153"/>
      <c r="AY63" s="1153"/>
      <c r="AZ63" s="958"/>
      <c r="BA63" s="1153"/>
      <c r="BB63" s="1153"/>
      <c r="BC63" s="956"/>
      <c r="BD63" s="1153"/>
      <c r="BE63" s="1153"/>
      <c r="BF63" s="1153"/>
    </row>
    <row r="64" spans="1:58" x14ac:dyDescent="0.45">
      <c r="A64" s="14">
        <v>1754</v>
      </c>
      <c r="B64" s="507">
        <v>5.9021472000000008</v>
      </c>
      <c r="C64" s="1153"/>
      <c r="D64" s="1153"/>
      <c r="E64" s="507"/>
      <c r="F64" s="1153"/>
      <c r="G64" s="1153"/>
      <c r="H64" s="1155"/>
      <c r="I64" s="1153"/>
      <c r="J64" s="1153"/>
      <c r="K64" s="1153"/>
      <c r="L64" s="1153"/>
      <c r="M64" s="1153"/>
      <c r="N64" s="1153"/>
      <c r="O64" s="1153"/>
      <c r="P64" s="1153"/>
      <c r="Q64" s="1153"/>
      <c r="R64" s="507">
        <v>5.6145889472892554</v>
      </c>
      <c r="S64" s="507">
        <v>0.28755825271074542</v>
      </c>
      <c r="T64" s="507">
        <v>5.9021472000000008</v>
      </c>
      <c r="U64" s="1153"/>
      <c r="V64" s="1153"/>
      <c r="W64" s="1153"/>
      <c r="X64" s="1153"/>
      <c r="Y64" s="1156">
        <v>1754</v>
      </c>
      <c r="Z64" s="1153"/>
      <c r="AA64" s="1153"/>
      <c r="AB64" s="1153"/>
      <c r="AC64" s="1153"/>
      <c r="AD64" s="1153"/>
      <c r="AE64" s="1153"/>
      <c r="AF64" s="1153"/>
      <c r="AG64" s="1153"/>
      <c r="AH64" s="958">
        <f t="shared" si="0"/>
        <v>0</v>
      </c>
      <c r="AI64" s="1153"/>
      <c r="AJ64" s="1153"/>
      <c r="AK64" s="1153"/>
      <c r="AL64" s="1153"/>
      <c r="AM64" s="1153"/>
      <c r="AN64" s="1153"/>
      <c r="AO64" s="1153"/>
      <c r="AP64" s="1153"/>
      <c r="AQ64" s="1154">
        <v>1</v>
      </c>
      <c r="AR64" s="962">
        <f t="shared" si="1"/>
        <v>0.67110316092337996</v>
      </c>
      <c r="AS64" s="1153"/>
      <c r="AT64" s="1154">
        <f t="shared" si="2"/>
        <v>8.0558710550160145E-2</v>
      </c>
      <c r="AU64" s="1153"/>
      <c r="AV64" s="1153"/>
      <c r="AW64" s="1153"/>
      <c r="AX64" s="1153"/>
      <c r="AY64" s="1153"/>
      <c r="AZ64" s="958"/>
      <c r="BA64" s="1153"/>
      <c r="BB64" s="1153"/>
      <c r="BC64" s="956"/>
      <c r="BD64" s="1153"/>
      <c r="BE64" s="1153"/>
      <c r="BF64" s="1153"/>
    </row>
    <row r="65" spans="1:58" x14ac:dyDescent="0.45">
      <c r="A65" s="14">
        <v>1755</v>
      </c>
      <c r="B65" s="507">
        <v>6.0492640000000009</v>
      </c>
      <c r="C65" s="1153"/>
      <c r="D65" s="1153"/>
      <c r="E65" s="507"/>
      <c r="F65" s="1153"/>
      <c r="G65" s="1153"/>
      <c r="H65" s="1155"/>
      <c r="I65" s="1153"/>
      <c r="J65" s="1153"/>
      <c r="K65" s="1153"/>
      <c r="L65" s="1153"/>
      <c r="M65" s="1153"/>
      <c r="N65" s="1153"/>
      <c r="O65" s="1153"/>
      <c r="P65" s="1153"/>
      <c r="Q65" s="1153"/>
      <c r="R65" s="507">
        <v>5.7669733477208815</v>
      </c>
      <c r="S65" s="507">
        <v>0.28229065227911931</v>
      </c>
      <c r="T65" s="507">
        <v>6.0492640000000009</v>
      </c>
      <c r="U65" s="1153"/>
      <c r="V65" s="1153"/>
      <c r="W65" s="1153"/>
      <c r="X65" s="1153"/>
      <c r="Y65" s="1156">
        <v>1755</v>
      </c>
      <c r="Z65" s="1153"/>
      <c r="AA65" s="1153"/>
      <c r="AB65" s="1153"/>
      <c r="AC65" s="1153"/>
      <c r="AD65" s="1153"/>
      <c r="AE65" s="1153"/>
      <c r="AF65" s="1153"/>
      <c r="AG65" s="1153"/>
      <c r="AH65" s="958">
        <f t="shared" si="0"/>
        <v>0</v>
      </c>
      <c r="AI65" s="1153"/>
      <c r="AJ65" s="1153"/>
      <c r="AK65" s="1153"/>
      <c r="AL65" s="1153"/>
      <c r="AM65" s="1153"/>
      <c r="AN65" s="1153"/>
      <c r="AO65" s="1153"/>
      <c r="AP65" s="1153"/>
      <c r="AQ65" s="1154">
        <v>1</v>
      </c>
      <c r="AR65" s="962">
        <f t="shared" si="1"/>
        <v>0.67110316092337996</v>
      </c>
      <c r="AS65" s="1153"/>
      <c r="AT65" s="1154">
        <f t="shared" si="2"/>
        <v>8.0558710550160145E-2</v>
      </c>
      <c r="AU65" s="1153"/>
      <c r="AV65" s="1153"/>
      <c r="AW65" s="1153"/>
      <c r="AX65" s="1153"/>
      <c r="AY65" s="1153"/>
      <c r="AZ65" s="958"/>
      <c r="BA65" s="1153"/>
      <c r="BB65" s="1153"/>
      <c r="BC65" s="956"/>
      <c r="BD65" s="1153"/>
      <c r="BE65" s="1153"/>
      <c r="BF65" s="1153"/>
    </row>
    <row r="66" spans="1:58" x14ac:dyDescent="0.45">
      <c r="A66" s="14">
        <v>1756</v>
      </c>
      <c r="B66" s="507">
        <v>6.1963808000000009</v>
      </c>
      <c r="C66" s="1153"/>
      <c r="D66" s="1153"/>
      <c r="E66" s="507"/>
      <c r="F66" s="1153"/>
      <c r="G66" s="1153"/>
      <c r="H66" s="1155"/>
      <c r="I66" s="1153"/>
      <c r="J66" s="1153"/>
      <c r="K66" s="1153"/>
      <c r="L66" s="1153"/>
      <c r="M66" s="1153"/>
      <c r="N66" s="1153"/>
      <c r="O66" s="1153"/>
      <c r="P66" s="1153"/>
      <c r="Q66" s="1153"/>
      <c r="R66" s="507">
        <v>5.9120441605369916</v>
      </c>
      <c r="S66" s="507">
        <v>0.28433663946300936</v>
      </c>
      <c r="T66" s="507">
        <v>6.1963808000000009</v>
      </c>
      <c r="U66" s="1153"/>
      <c r="V66" s="1153"/>
      <c r="W66" s="1153"/>
      <c r="X66" s="1153"/>
      <c r="Y66" s="1156">
        <v>1756</v>
      </c>
      <c r="Z66" s="1153"/>
      <c r="AA66" s="1153"/>
      <c r="AB66" s="1153"/>
      <c r="AC66" s="1153"/>
      <c r="AD66" s="1153"/>
      <c r="AE66" s="1153"/>
      <c r="AF66" s="1153"/>
      <c r="AG66" s="1153"/>
      <c r="AH66" s="958">
        <f t="shared" si="0"/>
        <v>0</v>
      </c>
      <c r="AI66" s="1153"/>
      <c r="AJ66" s="1153"/>
      <c r="AK66" s="1153"/>
      <c r="AL66" s="1153"/>
      <c r="AM66" s="1153"/>
      <c r="AN66" s="1153"/>
      <c r="AO66" s="1153"/>
      <c r="AP66" s="1153"/>
      <c r="AQ66" s="1154">
        <v>1</v>
      </c>
      <c r="AR66" s="962">
        <f t="shared" si="1"/>
        <v>0.67110316092337996</v>
      </c>
      <c r="AS66" s="1153"/>
      <c r="AT66" s="1154">
        <f t="shared" si="2"/>
        <v>8.0558710550160145E-2</v>
      </c>
      <c r="AU66" s="1153"/>
      <c r="AV66" s="1153"/>
      <c r="AW66" s="1153"/>
      <c r="AX66" s="1153"/>
      <c r="AY66" s="1153"/>
      <c r="AZ66" s="958"/>
      <c r="BA66" s="1153"/>
      <c r="BB66" s="1153"/>
      <c r="BC66" s="956"/>
      <c r="BD66" s="1153"/>
      <c r="BE66" s="1153"/>
      <c r="BF66" s="1153"/>
    </row>
    <row r="67" spans="1:58" x14ac:dyDescent="0.45">
      <c r="A67" s="14">
        <v>1757</v>
      </c>
      <c r="B67" s="507">
        <v>6.343497600000001</v>
      </c>
      <c r="C67" s="1153"/>
      <c r="D67" s="1153"/>
      <c r="E67" s="507"/>
      <c r="F67" s="1153"/>
      <c r="G67" s="1153"/>
      <c r="H67" s="1155"/>
      <c r="I67" s="1153"/>
      <c r="J67" s="1153"/>
      <c r="K67" s="1153"/>
      <c r="L67" s="1153"/>
      <c r="M67" s="1153"/>
      <c r="N67" s="1153"/>
      <c r="O67" s="1153"/>
      <c r="P67" s="1153"/>
      <c r="Q67" s="1153"/>
      <c r="R67" s="507">
        <v>6.0812911510690633</v>
      </c>
      <c r="S67" s="507">
        <v>0.2622064489309377</v>
      </c>
      <c r="T67" s="507">
        <v>6.343497600000001</v>
      </c>
      <c r="U67" s="1153"/>
      <c r="V67" s="1153"/>
      <c r="W67" s="1153"/>
      <c r="X67" s="1153"/>
      <c r="Y67" s="1156">
        <v>1757</v>
      </c>
      <c r="Z67" s="1153"/>
      <c r="AA67" s="1153"/>
      <c r="AB67" s="1153"/>
      <c r="AC67" s="1153"/>
      <c r="AD67" s="1153"/>
      <c r="AE67" s="1153"/>
      <c r="AF67" s="1153"/>
      <c r="AG67" s="1153"/>
      <c r="AH67" s="958">
        <f t="shared" si="0"/>
        <v>0</v>
      </c>
      <c r="AI67" s="1153"/>
      <c r="AJ67" s="1153"/>
      <c r="AK67" s="1153"/>
      <c r="AL67" s="1153"/>
      <c r="AM67" s="1153"/>
      <c r="AN67" s="1153"/>
      <c r="AO67" s="1153"/>
      <c r="AP67" s="1153"/>
      <c r="AQ67" s="1154">
        <v>1</v>
      </c>
      <c r="AR67" s="962">
        <f t="shared" si="1"/>
        <v>0.67110316092337996</v>
      </c>
      <c r="AS67" s="1153"/>
      <c r="AT67" s="1154">
        <f t="shared" si="2"/>
        <v>8.0558710550160145E-2</v>
      </c>
      <c r="AU67" s="1153"/>
      <c r="AV67" s="1153"/>
      <c r="AW67" s="1153"/>
      <c r="AX67" s="1153"/>
      <c r="AY67" s="1153"/>
      <c r="AZ67" s="958"/>
      <c r="BA67" s="1153"/>
      <c r="BB67" s="1153"/>
      <c r="BC67" s="956"/>
      <c r="BD67" s="1153"/>
      <c r="BE67" s="1153"/>
      <c r="BF67" s="1153"/>
    </row>
    <row r="68" spans="1:58" x14ac:dyDescent="0.45">
      <c r="A68" s="14">
        <v>1758</v>
      </c>
      <c r="B68" s="507">
        <v>6.490614400000001</v>
      </c>
      <c r="C68" s="1153"/>
      <c r="D68" s="1153"/>
      <c r="E68" s="507"/>
      <c r="F68" s="1153"/>
      <c r="G68" s="1153"/>
      <c r="H68" s="1155"/>
      <c r="I68" s="1153"/>
      <c r="J68" s="1153"/>
      <c r="K68" s="1153"/>
      <c r="L68" s="1153"/>
      <c r="M68" s="1153"/>
      <c r="N68" s="1153"/>
      <c r="O68" s="1153"/>
      <c r="P68" s="1153"/>
      <c r="Q68" s="1153"/>
      <c r="R68" s="507">
        <v>6.2228918918237763</v>
      </c>
      <c r="S68" s="507">
        <v>0.26772250817622467</v>
      </c>
      <c r="T68" s="507">
        <v>6.490614400000001</v>
      </c>
      <c r="U68" s="1153"/>
      <c r="V68" s="1153"/>
      <c r="W68" s="1153"/>
      <c r="X68" s="1153"/>
      <c r="Y68" s="1156">
        <v>1758</v>
      </c>
      <c r="Z68" s="1153"/>
      <c r="AA68" s="1153"/>
      <c r="AB68" s="1153"/>
      <c r="AC68" s="1153"/>
      <c r="AD68" s="1153"/>
      <c r="AE68" s="1153"/>
      <c r="AF68" s="1153"/>
      <c r="AG68" s="1153"/>
      <c r="AH68" s="958">
        <f t="shared" si="0"/>
        <v>0</v>
      </c>
      <c r="AI68" s="1153"/>
      <c r="AJ68" s="1153"/>
      <c r="AK68" s="1153"/>
      <c r="AL68" s="1153"/>
      <c r="AM68" s="1153"/>
      <c r="AN68" s="1153"/>
      <c r="AO68" s="1153"/>
      <c r="AP68" s="1153"/>
      <c r="AQ68" s="1154">
        <v>1</v>
      </c>
      <c r="AR68" s="962">
        <f t="shared" si="1"/>
        <v>0.67110316092337996</v>
      </c>
      <c r="AS68" s="1153"/>
      <c r="AT68" s="1154">
        <f t="shared" si="2"/>
        <v>8.0558710550160145E-2</v>
      </c>
      <c r="AU68" s="1153"/>
      <c r="AV68" s="1153"/>
      <c r="AW68" s="1153"/>
      <c r="AX68" s="1153"/>
      <c r="AY68" s="1153"/>
      <c r="AZ68" s="958"/>
      <c r="BA68" s="1153"/>
      <c r="BB68" s="1153"/>
      <c r="BC68" s="956"/>
      <c r="BD68" s="1153"/>
      <c r="BE68" s="1153"/>
      <c r="BF68" s="1153"/>
    </row>
    <row r="69" spans="1:58" x14ac:dyDescent="0.45">
      <c r="A69" s="14">
        <v>1759</v>
      </c>
      <c r="B69" s="507">
        <v>6.6377312000000011</v>
      </c>
      <c r="C69" s="1153"/>
      <c r="D69" s="1153"/>
      <c r="E69" s="507"/>
      <c r="F69" s="1153"/>
      <c r="G69" s="1153"/>
      <c r="H69" s="1155"/>
      <c r="I69" s="1153"/>
      <c r="J69" s="1153"/>
      <c r="K69" s="1153"/>
      <c r="L69" s="1153"/>
      <c r="M69" s="1153"/>
      <c r="N69" s="1153"/>
      <c r="O69" s="1153"/>
      <c r="P69" s="1153"/>
      <c r="Q69" s="1153"/>
      <c r="R69" s="507">
        <v>6.3744317565193578</v>
      </c>
      <c r="S69" s="507">
        <v>0.26329944348064327</v>
      </c>
      <c r="T69" s="507">
        <v>6.6377312000000011</v>
      </c>
      <c r="U69" s="1153"/>
      <c r="V69" s="1153"/>
      <c r="W69" s="1153"/>
      <c r="X69" s="1153"/>
      <c r="Y69" s="1156">
        <v>1759</v>
      </c>
      <c r="Z69" s="1153"/>
      <c r="AA69" s="1153"/>
      <c r="AB69" s="1153"/>
      <c r="AC69" s="1153"/>
      <c r="AD69" s="1153"/>
      <c r="AE69" s="1153"/>
      <c r="AF69" s="1153"/>
      <c r="AG69" s="1153"/>
      <c r="AH69" s="958">
        <f t="shared" si="0"/>
        <v>0</v>
      </c>
      <c r="AI69" s="1153"/>
      <c r="AJ69" s="1153"/>
      <c r="AK69" s="1153"/>
      <c r="AL69" s="1153"/>
      <c r="AM69" s="1153"/>
      <c r="AN69" s="1153"/>
      <c r="AO69" s="1153"/>
      <c r="AP69" s="1153"/>
      <c r="AQ69" s="1154">
        <v>1</v>
      </c>
      <c r="AR69" s="962">
        <f t="shared" si="1"/>
        <v>0.67110316092337996</v>
      </c>
      <c r="AS69" s="1153"/>
      <c r="AT69" s="1154">
        <f t="shared" si="2"/>
        <v>8.0558710550160145E-2</v>
      </c>
      <c r="AU69" s="1153"/>
      <c r="AV69" s="1153"/>
      <c r="AW69" s="1153"/>
      <c r="AX69" s="1153"/>
      <c r="AY69" s="1153"/>
      <c r="AZ69" s="958"/>
      <c r="BA69" s="1153"/>
      <c r="BB69" s="1153"/>
      <c r="BC69" s="956"/>
      <c r="BD69" s="1153"/>
      <c r="BE69" s="1153"/>
      <c r="BF69" s="1153"/>
    </row>
    <row r="70" spans="1:58" x14ac:dyDescent="0.45">
      <c r="A70" s="14">
        <v>1760</v>
      </c>
      <c r="B70" s="507">
        <v>6.7848480000000011</v>
      </c>
      <c r="C70" s="1153"/>
      <c r="D70" s="1153"/>
      <c r="E70" s="507"/>
      <c r="F70" s="1153"/>
      <c r="G70" s="1153"/>
      <c r="H70" s="1155"/>
      <c r="I70" s="1153"/>
      <c r="J70" s="1153"/>
      <c r="K70" s="1153"/>
      <c r="L70" s="1153"/>
      <c r="M70" s="1153"/>
      <c r="N70" s="1153"/>
      <c r="O70" s="1153"/>
      <c r="P70" s="1153"/>
      <c r="Q70" s="1153"/>
      <c r="R70" s="507">
        <v>6.5176159139374823</v>
      </c>
      <c r="S70" s="507">
        <v>0.2672320860625188</v>
      </c>
      <c r="T70" s="507">
        <v>6.7848480000000011</v>
      </c>
      <c r="U70" s="1153"/>
      <c r="V70" s="1153"/>
      <c r="W70" s="1153"/>
      <c r="X70" s="1153"/>
      <c r="Y70" s="1156">
        <v>1760</v>
      </c>
      <c r="Z70" s="1153"/>
      <c r="AA70" s="1153"/>
      <c r="AB70" s="1153"/>
      <c r="AC70" s="1153"/>
      <c r="AD70" s="1153"/>
      <c r="AE70" s="1153"/>
      <c r="AF70" s="1153"/>
      <c r="AG70" s="1153"/>
      <c r="AH70" s="958">
        <f t="shared" si="0"/>
        <v>0</v>
      </c>
      <c r="AI70" s="1153"/>
      <c r="AJ70" s="1153"/>
      <c r="AK70" s="1153"/>
      <c r="AL70" s="1153"/>
      <c r="AM70" s="1153"/>
      <c r="AN70" s="1153"/>
      <c r="AO70" s="1153"/>
      <c r="AP70" s="1153"/>
      <c r="AQ70" s="1154">
        <v>1</v>
      </c>
      <c r="AR70" s="962">
        <f t="shared" si="1"/>
        <v>0.67110316092337996</v>
      </c>
      <c r="AS70" s="1153"/>
      <c r="AT70" s="1154">
        <f t="shared" si="2"/>
        <v>8.0558710550160145E-2</v>
      </c>
      <c r="AU70" s="1153"/>
      <c r="AV70" s="1153"/>
      <c r="AW70" s="1153"/>
      <c r="AX70" s="1153"/>
      <c r="AY70" s="1153"/>
      <c r="AZ70" s="958"/>
      <c r="BA70" s="1153"/>
      <c r="BB70" s="1153"/>
      <c r="BC70" s="956"/>
      <c r="BD70" s="1153"/>
      <c r="BE70" s="1153"/>
      <c r="BF70" s="1153"/>
    </row>
    <row r="71" spans="1:58" x14ac:dyDescent="0.45">
      <c r="A71" s="14">
        <v>1761</v>
      </c>
      <c r="B71" s="507">
        <v>6.9319648000000011</v>
      </c>
      <c r="C71" s="1153"/>
      <c r="D71" s="1153"/>
      <c r="E71" s="507"/>
      <c r="F71" s="1153"/>
      <c r="G71" s="1153"/>
      <c r="H71" s="1155"/>
      <c r="I71" s="1153"/>
      <c r="J71" s="1153"/>
      <c r="K71" s="1153"/>
      <c r="L71" s="1153"/>
      <c r="M71" s="1153"/>
      <c r="N71" s="1153"/>
      <c r="O71" s="1153"/>
      <c r="P71" s="1153"/>
      <c r="Q71" s="1153"/>
      <c r="R71" s="507">
        <v>6.6209413215850335</v>
      </c>
      <c r="S71" s="507">
        <v>0.31102347841496769</v>
      </c>
      <c r="T71" s="507">
        <v>6.9319648000000011</v>
      </c>
      <c r="U71" s="1153"/>
      <c r="V71" s="1153"/>
      <c r="W71" s="1153"/>
      <c r="X71" s="1153"/>
      <c r="Y71" s="1156">
        <v>1761</v>
      </c>
      <c r="Z71" s="1153"/>
      <c r="AA71" s="1153"/>
      <c r="AB71" s="1153"/>
      <c r="AC71" s="1153"/>
      <c r="AD71" s="1153"/>
      <c r="AE71" s="1153"/>
      <c r="AF71" s="1153"/>
      <c r="AG71" s="1153"/>
      <c r="AH71" s="958">
        <f t="shared" si="0"/>
        <v>0</v>
      </c>
      <c r="AI71" s="1153"/>
      <c r="AJ71" s="1153"/>
      <c r="AK71" s="1153"/>
      <c r="AL71" s="1153"/>
      <c r="AM71" s="1153"/>
      <c r="AN71" s="1153"/>
      <c r="AO71" s="1153"/>
      <c r="AP71" s="1153"/>
      <c r="AQ71" s="1154">
        <v>1</v>
      </c>
      <c r="AR71" s="962">
        <f t="shared" si="1"/>
        <v>0.67110316092337996</v>
      </c>
      <c r="AS71" s="1153"/>
      <c r="AT71" s="1154">
        <f t="shared" si="2"/>
        <v>8.0558710550160145E-2</v>
      </c>
      <c r="AU71" s="1153"/>
      <c r="AV71" s="1153"/>
      <c r="AW71" s="1153"/>
      <c r="AX71" s="1153"/>
      <c r="AY71" s="1153"/>
      <c r="AZ71" s="958"/>
      <c r="BA71" s="1153"/>
      <c r="BB71" s="1153"/>
      <c r="BC71" s="956"/>
      <c r="BD71" s="1153"/>
      <c r="BE71" s="1153"/>
      <c r="BF71" s="1153"/>
    </row>
    <row r="72" spans="1:58" x14ac:dyDescent="0.45">
      <c r="A72" s="14">
        <v>1762</v>
      </c>
      <c r="B72" s="507">
        <v>7.0790816000000012</v>
      </c>
      <c r="C72" s="1153"/>
      <c r="D72" s="1153"/>
      <c r="E72" s="507"/>
      <c r="F72" s="1153"/>
      <c r="G72" s="1153"/>
      <c r="H72" s="1155"/>
      <c r="I72" s="1153"/>
      <c r="J72" s="1153"/>
      <c r="K72" s="1153"/>
      <c r="L72" s="1153"/>
      <c r="M72" s="1153"/>
      <c r="N72" s="1153"/>
      <c r="O72" s="1153"/>
      <c r="P72" s="1153"/>
      <c r="Q72" s="1153"/>
      <c r="R72" s="507">
        <v>6.7636487191598276</v>
      </c>
      <c r="S72" s="507">
        <v>0.31543288084017362</v>
      </c>
      <c r="T72" s="507">
        <v>7.0790816000000012</v>
      </c>
      <c r="U72" s="1153"/>
      <c r="V72" s="1153"/>
      <c r="W72" s="1153"/>
      <c r="X72" s="1153"/>
      <c r="Y72" s="1156">
        <v>1762</v>
      </c>
      <c r="Z72" s="1153"/>
      <c r="AA72" s="1153"/>
      <c r="AB72" s="1153"/>
      <c r="AC72" s="1153"/>
      <c r="AD72" s="1153"/>
      <c r="AE72" s="1153"/>
      <c r="AF72" s="1153"/>
      <c r="AG72" s="1153"/>
      <c r="AH72" s="958">
        <f t="shared" si="0"/>
        <v>0</v>
      </c>
      <c r="AI72" s="1153"/>
      <c r="AJ72" s="1153"/>
      <c r="AK72" s="1153"/>
      <c r="AL72" s="1153"/>
      <c r="AM72" s="1153"/>
      <c r="AN72" s="1153"/>
      <c r="AO72" s="1153"/>
      <c r="AP72" s="1153"/>
      <c r="AQ72" s="1154">
        <v>1</v>
      </c>
      <c r="AR72" s="962">
        <f t="shared" si="1"/>
        <v>0.67110316092337996</v>
      </c>
      <c r="AS72" s="1153"/>
      <c r="AT72" s="1154">
        <f t="shared" si="2"/>
        <v>8.0558710550160145E-2</v>
      </c>
      <c r="AU72" s="1153"/>
      <c r="AV72" s="1153"/>
      <c r="AW72" s="1153"/>
      <c r="AX72" s="1153"/>
      <c r="AY72" s="1153"/>
      <c r="AZ72" s="958"/>
      <c r="BA72" s="1153"/>
      <c r="BB72" s="1153"/>
      <c r="BC72" s="956"/>
      <c r="BD72" s="1153"/>
      <c r="BE72" s="1153"/>
      <c r="BF72" s="1153"/>
    </row>
    <row r="73" spans="1:58" x14ac:dyDescent="0.45">
      <c r="A73" s="14">
        <v>1763</v>
      </c>
      <c r="B73" s="507">
        <v>7.2261984000000012</v>
      </c>
      <c r="C73" s="1153"/>
      <c r="D73" s="1153"/>
      <c r="E73" s="507"/>
      <c r="F73" s="1153"/>
      <c r="G73" s="1153"/>
      <c r="H73" s="1155"/>
      <c r="I73" s="1153"/>
      <c r="J73" s="1153"/>
      <c r="K73" s="1153"/>
      <c r="L73" s="1153"/>
      <c r="M73" s="1153"/>
      <c r="N73" s="1153"/>
      <c r="O73" s="1153"/>
      <c r="P73" s="1153"/>
      <c r="Q73" s="1153"/>
      <c r="R73" s="507">
        <v>6.8918826218142559</v>
      </c>
      <c r="S73" s="507">
        <v>0.33431577818574532</v>
      </c>
      <c r="T73" s="507">
        <v>7.2261984000000012</v>
      </c>
      <c r="U73" s="1153"/>
      <c r="V73" s="1153"/>
      <c r="W73" s="1153"/>
      <c r="X73" s="1153"/>
      <c r="Y73" s="1156">
        <v>1763</v>
      </c>
      <c r="Z73" s="1153"/>
      <c r="AA73" s="1153"/>
      <c r="AB73" s="1153"/>
      <c r="AC73" s="1153"/>
      <c r="AD73" s="1153"/>
      <c r="AE73" s="1153"/>
      <c r="AF73" s="1153"/>
      <c r="AG73" s="1153"/>
      <c r="AH73" s="958">
        <f t="shared" si="0"/>
        <v>0</v>
      </c>
      <c r="AI73" s="1153"/>
      <c r="AJ73" s="1153"/>
      <c r="AK73" s="1153"/>
      <c r="AL73" s="1153"/>
      <c r="AM73" s="1153"/>
      <c r="AN73" s="1153"/>
      <c r="AO73" s="1153"/>
      <c r="AP73" s="1153"/>
      <c r="AQ73" s="1154">
        <v>1</v>
      </c>
      <c r="AR73" s="962">
        <f t="shared" si="1"/>
        <v>0.67110316092337996</v>
      </c>
      <c r="AS73" s="1153"/>
      <c r="AT73" s="1154">
        <f t="shared" si="2"/>
        <v>8.0558710550160145E-2</v>
      </c>
      <c r="AU73" s="1153"/>
      <c r="AV73" s="1153"/>
      <c r="AW73" s="1153"/>
      <c r="AX73" s="1153"/>
      <c r="AY73" s="1153"/>
      <c r="AZ73" s="958"/>
      <c r="BA73" s="1153"/>
      <c r="BB73" s="1153"/>
      <c r="BC73" s="956"/>
      <c r="BD73" s="1153"/>
      <c r="BE73" s="1153"/>
      <c r="BF73" s="1153"/>
    </row>
    <row r="74" spans="1:58" x14ac:dyDescent="0.45">
      <c r="A74" s="14">
        <v>1764</v>
      </c>
      <c r="B74" s="507">
        <v>7.3733152000000013</v>
      </c>
      <c r="C74" s="1153"/>
      <c r="D74" s="1153"/>
      <c r="E74" s="507"/>
      <c r="F74" s="1153"/>
      <c r="G74" s="1153"/>
      <c r="H74" s="1155"/>
      <c r="I74" s="1153"/>
      <c r="J74" s="1153"/>
      <c r="K74" s="1153"/>
      <c r="L74" s="1153"/>
      <c r="M74" s="1153"/>
      <c r="N74" s="1153"/>
      <c r="O74" s="1153"/>
      <c r="P74" s="1153"/>
      <c r="Q74" s="1153"/>
      <c r="R74" s="507">
        <v>7.0198593132105724</v>
      </c>
      <c r="S74" s="507">
        <v>0.35345588678942885</v>
      </c>
      <c r="T74" s="507">
        <v>7.3733152000000013</v>
      </c>
      <c r="U74" s="1153"/>
      <c r="V74" s="1153"/>
      <c r="W74" s="1153"/>
      <c r="X74" s="1153"/>
      <c r="Y74" s="1156">
        <v>1764</v>
      </c>
      <c r="Z74" s="1153"/>
      <c r="AA74" s="1153"/>
      <c r="AB74" s="1153"/>
      <c r="AC74" s="1153"/>
      <c r="AD74" s="1153"/>
      <c r="AE74" s="1153"/>
      <c r="AF74" s="1153"/>
      <c r="AG74" s="1153"/>
      <c r="AH74" s="958">
        <f t="shared" ref="AH74:AH137" si="3">AB74*AT74</f>
        <v>0</v>
      </c>
      <c r="AI74" s="1153"/>
      <c r="AJ74" s="1153"/>
      <c r="AK74" s="1153"/>
      <c r="AL74" s="1153"/>
      <c r="AM74" s="1153"/>
      <c r="AN74" s="1153"/>
      <c r="AO74" s="1153"/>
      <c r="AP74" s="1153"/>
      <c r="AQ74" s="1154">
        <v>1</v>
      </c>
      <c r="AR74" s="962">
        <f t="shared" ref="AR74:AR137" si="4">AR75</f>
        <v>0.67110316092337996</v>
      </c>
      <c r="AS74" s="1153"/>
      <c r="AT74" s="1154">
        <f t="shared" ref="AT74:AT137" si="5">AT75</f>
        <v>8.0558710550160145E-2</v>
      </c>
      <c r="AU74" s="1153"/>
      <c r="AV74" s="1153"/>
      <c r="AW74" s="1153"/>
      <c r="AX74" s="1153"/>
      <c r="AY74" s="1153"/>
      <c r="AZ74" s="958"/>
      <c r="BA74" s="1153"/>
      <c r="BB74" s="1153"/>
      <c r="BC74" s="956"/>
      <c r="BD74" s="1153"/>
      <c r="BE74" s="1153"/>
      <c r="BF74" s="1153"/>
    </row>
    <row r="75" spans="1:58" x14ac:dyDescent="0.45">
      <c r="A75" s="14">
        <v>1765</v>
      </c>
      <c r="B75" s="507">
        <v>7.5204320000000013</v>
      </c>
      <c r="C75" s="1153"/>
      <c r="D75" s="1153"/>
      <c r="E75" s="507"/>
      <c r="F75" s="1153"/>
      <c r="G75" s="1153"/>
      <c r="H75" s="1155"/>
      <c r="I75" s="1153"/>
      <c r="J75" s="1153"/>
      <c r="K75" s="1153"/>
      <c r="L75" s="1153"/>
      <c r="M75" s="1153"/>
      <c r="N75" s="1153"/>
      <c r="O75" s="1153"/>
      <c r="P75" s="1153"/>
      <c r="Q75" s="1153"/>
      <c r="R75" s="507">
        <v>7.0652748383614155</v>
      </c>
      <c r="S75" s="507">
        <v>0.45515716163858588</v>
      </c>
      <c r="T75" s="507">
        <v>7.5204320000000013</v>
      </c>
      <c r="U75" s="1153"/>
      <c r="V75" s="1153"/>
      <c r="W75" s="1153"/>
      <c r="X75" s="1153"/>
      <c r="Y75" s="1156">
        <v>1765</v>
      </c>
      <c r="Z75" s="1153"/>
      <c r="AA75" s="1153"/>
      <c r="AB75" s="1153"/>
      <c r="AC75" s="1153"/>
      <c r="AD75" s="1153"/>
      <c r="AE75" s="1153"/>
      <c r="AF75" s="1153"/>
      <c r="AG75" s="1153"/>
      <c r="AH75" s="958">
        <f t="shared" si="3"/>
        <v>0</v>
      </c>
      <c r="AI75" s="1153"/>
      <c r="AJ75" s="1153"/>
      <c r="AK75" s="1153"/>
      <c r="AL75" s="1153"/>
      <c r="AM75" s="1153"/>
      <c r="AN75" s="1153"/>
      <c r="AO75" s="1153"/>
      <c r="AP75" s="1153"/>
      <c r="AQ75" s="1154">
        <v>1</v>
      </c>
      <c r="AR75" s="962">
        <f t="shared" si="4"/>
        <v>0.67110316092337996</v>
      </c>
      <c r="AS75" s="1153"/>
      <c r="AT75" s="1154">
        <f t="shared" si="5"/>
        <v>8.0558710550160145E-2</v>
      </c>
      <c r="AU75" s="1153"/>
      <c r="AV75" s="1153"/>
      <c r="AW75" s="1153"/>
      <c r="AX75" s="1153"/>
      <c r="AY75" s="1153"/>
      <c r="AZ75" s="958"/>
      <c r="BA75" s="1153"/>
      <c r="BB75" s="1153"/>
      <c r="BC75" s="956"/>
      <c r="BD75" s="1153"/>
      <c r="BE75" s="1153"/>
      <c r="BF75" s="1153"/>
    </row>
    <row r="76" spans="1:58" x14ac:dyDescent="0.45">
      <c r="A76" s="14">
        <v>1766</v>
      </c>
      <c r="B76" s="507">
        <v>7.6675488000000014</v>
      </c>
      <c r="C76" s="1153"/>
      <c r="D76" s="1153"/>
      <c r="E76" s="507"/>
      <c r="F76" s="1153"/>
      <c r="G76" s="1153"/>
      <c r="H76" s="1155"/>
      <c r="I76" s="1153"/>
      <c r="J76" s="1153"/>
      <c r="K76" s="1153"/>
      <c r="L76" s="1153"/>
      <c r="M76" s="1153"/>
      <c r="N76" s="1153"/>
      <c r="O76" s="1153"/>
      <c r="P76" s="1153"/>
      <c r="Q76" s="1153"/>
      <c r="R76" s="507">
        <v>7.0352329962488822</v>
      </c>
      <c r="S76" s="507">
        <v>0.63231580375111918</v>
      </c>
      <c r="T76" s="507">
        <v>7.6675488000000014</v>
      </c>
      <c r="U76" s="1153"/>
      <c r="V76" s="1153"/>
      <c r="W76" s="1153"/>
      <c r="X76" s="1153"/>
      <c r="Y76" s="1156">
        <v>1766</v>
      </c>
      <c r="Z76" s="1153"/>
      <c r="AA76" s="1153"/>
      <c r="AB76" s="1153"/>
      <c r="AC76" s="1153"/>
      <c r="AD76" s="1153"/>
      <c r="AE76" s="1153"/>
      <c r="AF76" s="1153"/>
      <c r="AG76" s="1153"/>
      <c r="AH76" s="958">
        <f t="shared" si="3"/>
        <v>0</v>
      </c>
      <c r="AI76" s="1153"/>
      <c r="AJ76" s="1153"/>
      <c r="AK76" s="1153"/>
      <c r="AL76" s="1153"/>
      <c r="AM76" s="1153"/>
      <c r="AN76" s="1153"/>
      <c r="AO76" s="1153"/>
      <c r="AP76" s="1153"/>
      <c r="AQ76" s="1154">
        <v>1</v>
      </c>
      <c r="AR76" s="962">
        <f t="shared" si="4"/>
        <v>0.67110316092337996</v>
      </c>
      <c r="AS76" s="1153"/>
      <c r="AT76" s="1154">
        <f t="shared" si="5"/>
        <v>8.0558710550160145E-2</v>
      </c>
      <c r="AU76" s="1153"/>
      <c r="AV76" s="1153"/>
      <c r="AW76" s="1153"/>
      <c r="AX76" s="1153"/>
      <c r="AY76" s="1153"/>
      <c r="AZ76" s="958"/>
      <c r="BA76" s="1153"/>
      <c r="BB76" s="1153"/>
      <c r="BC76" s="956"/>
      <c r="BD76" s="1153"/>
      <c r="BE76" s="1153"/>
      <c r="BF76" s="1153"/>
    </row>
    <row r="77" spans="1:58" x14ac:dyDescent="0.45">
      <c r="A77" s="14">
        <v>1767</v>
      </c>
      <c r="B77" s="507">
        <v>7.8146656000000014</v>
      </c>
      <c r="C77" s="1153"/>
      <c r="D77" s="1153"/>
      <c r="E77" s="507"/>
      <c r="F77" s="1153"/>
      <c r="G77" s="1153"/>
      <c r="H77" s="1155"/>
      <c r="I77" s="1153"/>
      <c r="J77" s="1153"/>
      <c r="K77" s="1153"/>
      <c r="L77" s="1153"/>
      <c r="M77" s="1153"/>
      <c r="N77" s="1153"/>
      <c r="O77" s="1153"/>
      <c r="P77" s="1153"/>
      <c r="Q77" s="1153"/>
      <c r="R77" s="507">
        <v>7.1938853322153413</v>
      </c>
      <c r="S77" s="507">
        <v>0.62078026778466011</v>
      </c>
      <c r="T77" s="507">
        <v>7.8146656000000014</v>
      </c>
      <c r="U77" s="1153"/>
      <c r="V77" s="1153"/>
      <c r="W77" s="1153"/>
      <c r="X77" s="1153"/>
      <c r="Y77" s="1156">
        <v>1767</v>
      </c>
      <c r="Z77" s="1153"/>
      <c r="AA77" s="1153"/>
      <c r="AB77" s="1153"/>
      <c r="AC77" s="1153"/>
      <c r="AD77" s="1153"/>
      <c r="AE77" s="1153"/>
      <c r="AF77" s="1153"/>
      <c r="AG77" s="1153"/>
      <c r="AH77" s="958">
        <f t="shared" si="3"/>
        <v>0</v>
      </c>
      <c r="AI77" s="1153"/>
      <c r="AJ77" s="1153"/>
      <c r="AK77" s="1153"/>
      <c r="AL77" s="1153"/>
      <c r="AM77" s="1153"/>
      <c r="AN77" s="1153"/>
      <c r="AO77" s="1153"/>
      <c r="AP77" s="1153"/>
      <c r="AQ77" s="1154">
        <v>1</v>
      </c>
      <c r="AR77" s="962">
        <f t="shared" si="4"/>
        <v>0.67110316092337996</v>
      </c>
      <c r="AS77" s="1153"/>
      <c r="AT77" s="1154">
        <f t="shared" si="5"/>
        <v>8.0558710550160145E-2</v>
      </c>
      <c r="AU77" s="1153"/>
      <c r="AV77" s="1153"/>
      <c r="AW77" s="1153"/>
      <c r="AX77" s="1153"/>
      <c r="AY77" s="1153"/>
      <c r="AZ77" s="958"/>
      <c r="BA77" s="1153"/>
      <c r="BB77" s="1153"/>
      <c r="BC77" s="956"/>
      <c r="BD77" s="1153"/>
      <c r="BE77" s="1153"/>
      <c r="BF77" s="1153"/>
    </row>
    <row r="78" spans="1:58" x14ac:dyDescent="0.45">
      <c r="A78" s="14">
        <v>1768</v>
      </c>
      <c r="B78" s="507">
        <v>7.9617824000000015</v>
      </c>
      <c r="C78" s="1153"/>
      <c r="D78" s="1153"/>
      <c r="E78" s="507"/>
      <c r="F78" s="1153"/>
      <c r="G78" s="1153"/>
      <c r="H78" s="1155"/>
      <c r="I78" s="1153"/>
      <c r="J78" s="1153"/>
      <c r="K78" s="1153"/>
      <c r="L78" s="1153"/>
      <c r="M78" s="1153"/>
      <c r="N78" s="1153"/>
      <c r="O78" s="1153"/>
      <c r="P78" s="1153"/>
      <c r="Q78" s="1153"/>
      <c r="R78" s="507">
        <v>7.43454313011891</v>
      </c>
      <c r="S78" s="507">
        <v>0.52723926988109149</v>
      </c>
      <c r="T78" s="507">
        <v>7.9617824000000015</v>
      </c>
      <c r="U78" s="1153"/>
      <c r="V78" s="1153"/>
      <c r="W78" s="1153"/>
      <c r="X78" s="1153"/>
      <c r="Y78" s="1156">
        <v>1768</v>
      </c>
      <c r="Z78" s="1153"/>
      <c r="AA78" s="1153"/>
      <c r="AB78" s="1153"/>
      <c r="AC78" s="1153"/>
      <c r="AD78" s="1153"/>
      <c r="AE78" s="1153"/>
      <c r="AF78" s="1153"/>
      <c r="AG78" s="1153"/>
      <c r="AH78" s="958">
        <f t="shared" si="3"/>
        <v>0</v>
      </c>
      <c r="AI78" s="1153"/>
      <c r="AJ78" s="1153"/>
      <c r="AK78" s="1153"/>
      <c r="AL78" s="1153"/>
      <c r="AM78" s="1153"/>
      <c r="AN78" s="1153"/>
      <c r="AO78" s="1153"/>
      <c r="AP78" s="1153"/>
      <c r="AQ78" s="1154">
        <v>1</v>
      </c>
      <c r="AR78" s="962">
        <f t="shared" si="4"/>
        <v>0.67110316092337996</v>
      </c>
      <c r="AS78" s="1153"/>
      <c r="AT78" s="1154">
        <f t="shared" si="5"/>
        <v>8.0558710550160145E-2</v>
      </c>
      <c r="AU78" s="1153"/>
      <c r="AV78" s="1153"/>
      <c r="AW78" s="1153"/>
      <c r="AX78" s="1153"/>
      <c r="AY78" s="1153"/>
      <c r="AZ78" s="958"/>
      <c r="BA78" s="1153"/>
      <c r="BB78" s="1153"/>
      <c r="BC78" s="956"/>
      <c r="BD78" s="1153"/>
      <c r="BE78" s="1153"/>
      <c r="BF78" s="1153"/>
    </row>
    <row r="79" spans="1:58" x14ac:dyDescent="0.45">
      <c r="A79" s="14">
        <v>1769</v>
      </c>
      <c r="B79" s="507">
        <v>8.1088992000000015</v>
      </c>
      <c r="C79" s="1153"/>
      <c r="D79" s="1153"/>
      <c r="E79" s="507"/>
      <c r="F79" s="1153"/>
      <c r="G79" s="1153"/>
      <c r="H79" s="1155"/>
      <c r="I79" s="1153"/>
      <c r="J79" s="1153"/>
      <c r="K79" s="1153"/>
      <c r="L79" s="1153"/>
      <c r="M79" s="1153"/>
      <c r="N79" s="1153"/>
      <c r="O79" s="1153"/>
      <c r="P79" s="1153"/>
      <c r="Q79" s="1153"/>
      <c r="R79" s="507">
        <v>7.6027654042462984</v>
      </c>
      <c r="S79" s="507">
        <v>0.5061337957537031</v>
      </c>
      <c r="T79" s="507">
        <v>8.1088992000000015</v>
      </c>
      <c r="U79" s="1153"/>
      <c r="V79" s="1153"/>
      <c r="W79" s="1153"/>
      <c r="X79" s="1153"/>
      <c r="Y79" s="1156">
        <v>1769</v>
      </c>
      <c r="Z79" s="1153"/>
      <c r="AA79" s="1153"/>
      <c r="AB79" s="1153"/>
      <c r="AC79" s="1153"/>
      <c r="AD79" s="1153"/>
      <c r="AE79" s="1153"/>
      <c r="AF79" s="1153"/>
      <c r="AG79" s="1153"/>
      <c r="AH79" s="958">
        <f t="shared" si="3"/>
        <v>0</v>
      </c>
      <c r="AI79" s="1153"/>
      <c r="AJ79" s="1153"/>
      <c r="AK79" s="1153"/>
      <c r="AL79" s="1153"/>
      <c r="AM79" s="1153"/>
      <c r="AN79" s="1153"/>
      <c r="AO79" s="1153"/>
      <c r="AP79" s="1153"/>
      <c r="AQ79" s="1154">
        <v>1</v>
      </c>
      <c r="AR79" s="962">
        <f t="shared" si="4"/>
        <v>0.67110316092337996</v>
      </c>
      <c r="AS79" s="1153"/>
      <c r="AT79" s="1154">
        <f t="shared" si="5"/>
        <v>8.0558710550160145E-2</v>
      </c>
      <c r="AU79" s="1153"/>
      <c r="AV79" s="1153"/>
      <c r="AW79" s="1153"/>
      <c r="AX79" s="1153"/>
      <c r="AY79" s="1153"/>
      <c r="AZ79" s="958"/>
      <c r="BA79" s="1153"/>
      <c r="BB79" s="1153"/>
      <c r="BC79" s="956"/>
      <c r="BD79" s="1153"/>
      <c r="BE79" s="1153"/>
      <c r="BF79" s="1153"/>
    </row>
    <row r="80" spans="1:58" x14ac:dyDescent="0.45">
      <c r="A80" s="14">
        <v>1770</v>
      </c>
      <c r="B80" s="507">
        <v>8.2560160000000007</v>
      </c>
      <c r="C80" s="1153"/>
      <c r="D80" s="1153"/>
      <c r="E80" s="507"/>
      <c r="F80" s="1153"/>
      <c r="G80" s="1153"/>
      <c r="H80" s="1155"/>
      <c r="I80" s="1153"/>
      <c r="J80" s="1153"/>
      <c r="K80" s="1153"/>
      <c r="L80" s="1153"/>
      <c r="M80" s="1153"/>
      <c r="N80" s="1153"/>
      <c r="O80" s="1153"/>
      <c r="P80" s="1153"/>
      <c r="Q80" s="1153"/>
      <c r="R80" s="507">
        <v>7.7940468909755651</v>
      </c>
      <c r="S80" s="507">
        <v>0.46196910902443555</v>
      </c>
      <c r="T80" s="507">
        <v>8.2560160000000007</v>
      </c>
      <c r="U80" s="1153"/>
      <c r="V80" s="1153"/>
      <c r="W80" s="1153"/>
      <c r="X80" s="1153"/>
      <c r="Y80" s="1156">
        <v>1770</v>
      </c>
      <c r="Z80" s="1153"/>
      <c r="AA80" s="1153"/>
      <c r="AB80" s="1153"/>
      <c r="AC80" s="1153"/>
      <c r="AD80" s="1153"/>
      <c r="AE80" s="1153"/>
      <c r="AF80" s="1153"/>
      <c r="AG80" s="1153"/>
      <c r="AH80" s="958">
        <f t="shared" si="3"/>
        <v>0</v>
      </c>
      <c r="AI80" s="1153"/>
      <c r="AJ80" s="1153"/>
      <c r="AK80" s="1153"/>
      <c r="AL80" s="1153"/>
      <c r="AM80" s="1153"/>
      <c r="AN80" s="1153"/>
      <c r="AO80" s="1153"/>
      <c r="AP80" s="1153"/>
      <c r="AQ80" s="1154">
        <v>1</v>
      </c>
      <c r="AR80" s="962">
        <f t="shared" si="4"/>
        <v>0.67110316092337996</v>
      </c>
      <c r="AS80" s="1153"/>
      <c r="AT80" s="1154">
        <f t="shared" si="5"/>
        <v>8.0558710550160145E-2</v>
      </c>
      <c r="AU80" s="1153"/>
      <c r="AV80" s="1153"/>
      <c r="AW80" s="1153"/>
      <c r="AX80" s="1153"/>
      <c r="AY80" s="1153"/>
      <c r="AZ80" s="958"/>
      <c r="BA80" s="1153"/>
      <c r="BB80" s="1153"/>
      <c r="BC80" s="956"/>
      <c r="BD80" s="1153"/>
      <c r="BE80" s="1153"/>
      <c r="BF80" s="1153"/>
    </row>
    <row r="81" spans="1:59" x14ac:dyDescent="0.45">
      <c r="A81" s="14">
        <v>1771</v>
      </c>
      <c r="B81" s="507">
        <v>8.4031328000000016</v>
      </c>
      <c r="C81" s="1153"/>
      <c r="D81" s="1153"/>
      <c r="E81" s="507"/>
      <c r="F81" s="1153"/>
      <c r="G81" s="1153"/>
      <c r="H81" s="1155"/>
      <c r="I81" s="1153"/>
      <c r="J81" s="1153"/>
      <c r="K81" s="1153"/>
      <c r="L81" s="1153"/>
      <c r="M81" s="1153"/>
      <c r="N81" s="1153"/>
      <c r="O81" s="1153"/>
      <c r="P81" s="1153"/>
      <c r="Q81" s="1153"/>
      <c r="R81" s="507">
        <v>7.8478500401809956</v>
      </c>
      <c r="S81" s="507">
        <v>0.55528275981900599</v>
      </c>
      <c r="T81" s="507">
        <v>8.4031328000000016</v>
      </c>
      <c r="U81" s="1153"/>
      <c r="V81" s="1153"/>
      <c r="W81" s="1153"/>
      <c r="X81" s="1153"/>
      <c r="Y81" s="1156">
        <v>1771</v>
      </c>
      <c r="Z81" s="1153"/>
      <c r="AA81" s="1153"/>
      <c r="AB81" s="1153"/>
      <c r="AC81" s="1153"/>
      <c r="AD81" s="1153"/>
      <c r="AE81" s="1153"/>
      <c r="AF81" s="1153"/>
      <c r="AG81" s="1153"/>
      <c r="AH81" s="958">
        <f t="shared" si="3"/>
        <v>0</v>
      </c>
      <c r="AI81" s="1153"/>
      <c r="AJ81" s="1153"/>
      <c r="AK81" s="1153"/>
      <c r="AL81" s="1153"/>
      <c r="AM81" s="1153"/>
      <c r="AN81" s="1153"/>
      <c r="AO81" s="1153"/>
      <c r="AP81" s="1153"/>
      <c r="AQ81" s="1154">
        <v>1</v>
      </c>
      <c r="AR81" s="962">
        <f t="shared" si="4"/>
        <v>0.67110316092337996</v>
      </c>
      <c r="AS81" s="1153"/>
      <c r="AT81" s="1154">
        <f t="shared" si="5"/>
        <v>8.0558710550160145E-2</v>
      </c>
      <c r="AU81" s="1153"/>
      <c r="AV81" s="1153"/>
      <c r="AW81" s="1153"/>
      <c r="AX81" s="1153"/>
      <c r="AY81" s="1153"/>
      <c r="AZ81" s="958"/>
      <c r="BA81" s="1153"/>
      <c r="BB81" s="1153"/>
      <c r="BC81" s="956"/>
      <c r="BD81" s="1153"/>
      <c r="BE81" s="1153"/>
      <c r="BF81" s="1153"/>
    </row>
    <row r="82" spans="1:59" x14ac:dyDescent="0.45">
      <c r="A82" s="14">
        <v>1772</v>
      </c>
      <c r="B82" s="507">
        <v>8.5502496000000008</v>
      </c>
      <c r="C82" s="1153"/>
      <c r="D82" s="1153"/>
      <c r="E82" s="507"/>
      <c r="F82" s="1153"/>
      <c r="G82" s="1153"/>
      <c r="H82" s="1155"/>
      <c r="I82" s="1153"/>
      <c r="J82" s="1153"/>
      <c r="K82" s="1153"/>
      <c r="L82" s="1153"/>
      <c r="M82" s="1153"/>
      <c r="N82" s="1153"/>
      <c r="O82" s="1153"/>
      <c r="P82" s="1153"/>
      <c r="Q82" s="1153"/>
      <c r="R82" s="507">
        <v>7.991749006372161</v>
      </c>
      <c r="S82" s="507">
        <v>0.55850059362783977</v>
      </c>
      <c r="T82" s="507">
        <v>8.5502496000000008</v>
      </c>
      <c r="U82" s="1153"/>
      <c r="V82" s="1153"/>
      <c r="W82" s="1153"/>
      <c r="X82" s="1153"/>
      <c r="Y82" s="1156">
        <v>1772</v>
      </c>
      <c r="Z82" s="1153"/>
      <c r="AA82" s="1153"/>
      <c r="AB82" s="1153"/>
      <c r="AC82" s="1153"/>
      <c r="AD82" s="1153"/>
      <c r="AE82" s="1153"/>
      <c r="AF82" s="1153"/>
      <c r="AG82" s="1153"/>
      <c r="AH82" s="958">
        <f t="shared" si="3"/>
        <v>0</v>
      </c>
      <c r="AI82" s="1153"/>
      <c r="AJ82" s="1153"/>
      <c r="AK82" s="1153"/>
      <c r="AL82" s="1153"/>
      <c r="AM82" s="1153"/>
      <c r="AN82" s="1153"/>
      <c r="AO82" s="1153"/>
      <c r="AP82" s="1153"/>
      <c r="AQ82" s="1154">
        <v>1</v>
      </c>
      <c r="AR82" s="962">
        <f t="shared" si="4"/>
        <v>0.67110316092337996</v>
      </c>
      <c r="AS82" s="1153"/>
      <c r="AT82" s="1154">
        <f t="shared" si="5"/>
        <v>8.0558710550160145E-2</v>
      </c>
      <c r="AU82" s="1153"/>
      <c r="AV82" s="1153"/>
      <c r="AW82" s="1153"/>
      <c r="AX82" s="1153"/>
      <c r="AY82" s="1153"/>
      <c r="AZ82" s="958"/>
      <c r="BA82" s="1153"/>
      <c r="BB82" s="1153"/>
      <c r="BC82" s="956"/>
      <c r="BD82" s="1153"/>
      <c r="BE82" s="1153"/>
      <c r="BF82" s="1153"/>
    </row>
    <row r="83" spans="1:59" x14ac:dyDescent="0.45">
      <c r="A83" s="14">
        <v>1773</v>
      </c>
      <c r="B83" s="507">
        <v>8.6973664000000017</v>
      </c>
      <c r="C83" s="1153"/>
      <c r="D83" s="1153"/>
      <c r="E83" s="507"/>
      <c r="F83" s="1153"/>
      <c r="G83" s="1153"/>
      <c r="H83" s="1155"/>
      <c r="I83" s="1153"/>
      <c r="J83" s="1153"/>
      <c r="K83" s="1153"/>
      <c r="L83" s="1153"/>
      <c r="M83" s="1153"/>
      <c r="N83" s="1153"/>
      <c r="O83" s="1153"/>
      <c r="P83" s="1153"/>
      <c r="Q83" s="1153"/>
      <c r="R83" s="507">
        <v>8.1546136395589279</v>
      </c>
      <c r="S83" s="507">
        <v>0.54275276044107379</v>
      </c>
      <c r="T83" s="507">
        <v>8.6973664000000017</v>
      </c>
      <c r="U83" s="1153"/>
      <c r="V83" s="1153"/>
      <c r="W83" s="1153"/>
      <c r="X83" s="1153"/>
      <c r="Y83" s="1156">
        <v>1773</v>
      </c>
      <c r="Z83" s="1153"/>
      <c r="AA83" s="1153"/>
      <c r="AB83" s="1153"/>
      <c r="AC83" s="1153"/>
      <c r="AD83" s="1153"/>
      <c r="AE83" s="1153"/>
      <c r="AF83" s="1153"/>
      <c r="AG83" s="1153"/>
      <c r="AH83" s="958">
        <f t="shared" si="3"/>
        <v>0</v>
      </c>
      <c r="AI83" s="1153"/>
      <c r="AJ83" s="1153"/>
      <c r="AK83" s="1153"/>
      <c r="AL83" s="1153"/>
      <c r="AM83" s="1153"/>
      <c r="AN83" s="1153"/>
      <c r="AO83" s="1153"/>
      <c r="AP83" s="1153"/>
      <c r="AQ83" s="1154">
        <v>1</v>
      </c>
      <c r="AR83" s="962">
        <f t="shared" si="4"/>
        <v>0.67110316092337996</v>
      </c>
      <c r="AS83" s="1153"/>
      <c r="AT83" s="1154">
        <f t="shared" si="5"/>
        <v>8.0558710550160145E-2</v>
      </c>
      <c r="AU83" s="1153"/>
      <c r="AV83" s="1153"/>
      <c r="AW83" s="1153"/>
      <c r="AX83" s="1153"/>
      <c r="AY83" s="1153"/>
      <c r="AZ83" s="958"/>
      <c r="BA83" s="1153"/>
      <c r="BB83" s="1153"/>
      <c r="BC83" s="956"/>
      <c r="BD83" s="1153"/>
      <c r="BE83" s="1153"/>
      <c r="BF83" s="1153"/>
    </row>
    <row r="84" spans="1:59" x14ac:dyDescent="0.45">
      <c r="A84" s="14">
        <v>1774</v>
      </c>
      <c r="B84" s="507">
        <v>8.8444832000000009</v>
      </c>
      <c r="C84" s="1153"/>
      <c r="D84" s="1153"/>
      <c r="E84" s="507"/>
      <c r="F84" s="1153"/>
      <c r="G84" s="1153"/>
      <c r="H84" s="1155"/>
      <c r="I84" s="1153"/>
      <c r="J84" s="1153"/>
      <c r="K84" s="1153"/>
      <c r="L84" s="1153"/>
      <c r="M84" s="1153"/>
      <c r="N84" s="1153"/>
      <c r="O84" s="1153"/>
      <c r="P84" s="1153"/>
      <c r="Q84" s="1153"/>
      <c r="R84" s="507">
        <v>8.2439774758339457</v>
      </c>
      <c r="S84" s="507">
        <v>0.60050572416605519</v>
      </c>
      <c r="T84" s="507">
        <v>8.8444832000000009</v>
      </c>
      <c r="U84" s="1153"/>
      <c r="V84" s="1153"/>
      <c r="W84" s="1153"/>
      <c r="X84" s="1153"/>
      <c r="Y84" s="1156">
        <v>1774</v>
      </c>
      <c r="Z84" s="1153"/>
      <c r="AA84" s="1153"/>
      <c r="AB84" s="1153"/>
      <c r="AC84" s="1153"/>
      <c r="AD84" s="1153"/>
      <c r="AE84" s="1153"/>
      <c r="AF84" s="1153"/>
      <c r="AG84" s="1153"/>
      <c r="AH84" s="958">
        <f t="shared" si="3"/>
        <v>0</v>
      </c>
      <c r="AI84" s="1153"/>
      <c r="AJ84" s="1153"/>
      <c r="AK84" s="1153"/>
      <c r="AL84" s="1153"/>
      <c r="AM84" s="1153"/>
      <c r="AN84" s="1153"/>
      <c r="AO84" s="1153"/>
      <c r="AP84" s="1153"/>
      <c r="AQ84" s="1154">
        <v>1</v>
      </c>
      <c r="AR84" s="962">
        <f t="shared" si="4"/>
        <v>0.67110316092337996</v>
      </c>
      <c r="AS84" s="1153"/>
      <c r="AT84" s="1154">
        <f t="shared" si="5"/>
        <v>8.0558710550160145E-2</v>
      </c>
      <c r="AU84" s="1153"/>
      <c r="AV84" s="1153"/>
      <c r="AW84" s="1153"/>
      <c r="AX84" s="1153"/>
      <c r="AY84" s="1153"/>
      <c r="AZ84" s="958"/>
      <c r="BA84" s="1153"/>
      <c r="BB84" s="1153"/>
      <c r="BC84" s="956"/>
      <c r="BD84" s="1153"/>
      <c r="BE84" s="1153"/>
      <c r="BF84" s="1153"/>
    </row>
    <row r="85" spans="1:59" x14ac:dyDescent="0.45">
      <c r="A85" s="14">
        <v>1775</v>
      </c>
      <c r="B85" s="506">
        <v>8.9916</v>
      </c>
      <c r="E85" s="506"/>
      <c r="H85" s="602"/>
      <c r="R85" s="506">
        <v>8.3868297276638604</v>
      </c>
      <c r="S85" s="506">
        <v>0.60477027233613967</v>
      </c>
      <c r="T85" s="506">
        <v>8.9916</v>
      </c>
      <c r="Y85" s="1156">
        <v>1775</v>
      </c>
      <c r="Z85" s="964">
        <f>BT15/1000*1.016</f>
        <v>3.82016</v>
      </c>
      <c r="AA85" s="964">
        <f>BM15/1000*1.016</f>
        <v>0.20320000000000002</v>
      </c>
      <c r="AB85" s="964">
        <f>(BN15+BO15+BQ15)/1000*1.016</f>
        <v>3.6067999999999998</v>
      </c>
      <c r="AH85" s="967">
        <f t="shared" si="3"/>
        <v>0.29055915721231762</v>
      </c>
      <c r="AQ85" s="963">
        <v>1</v>
      </c>
      <c r="AR85" s="966">
        <f t="shared" si="4"/>
        <v>0.67110316092337996</v>
      </c>
      <c r="AT85" s="963">
        <f t="shared" si="5"/>
        <v>8.0558710550160145E-2</v>
      </c>
      <c r="AZ85" s="956"/>
      <c r="BC85" s="956"/>
    </row>
    <row r="86" spans="1:59" x14ac:dyDescent="0.45">
      <c r="A86" s="14">
        <v>1776</v>
      </c>
      <c r="B86" s="507">
        <v>9.2433648000000002</v>
      </c>
      <c r="C86" s="1153"/>
      <c r="D86" s="1153"/>
      <c r="E86" s="507"/>
      <c r="F86" s="1153"/>
      <c r="G86" s="1153"/>
      <c r="H86" s="1155"/>
      <c r="I86" s="1153"/>
      <c r="J86" s="1153"/>
      <c r="K86" s="1153"/>
      <c r="L86" s="1153"/>
      <c r="M86" s="1153"/>
      <c r="N86" s="1153"/>
      <c r="O86" s="1153"/>
      <c r="P86" s="1153"/>
      <c r="Q86" s="1153"/>
      <c r="R86" s="507">
        <v>8.6114040738802693</v>
      </c>
      <c r="S86" s="507">
        <v>0.63196072611973086</v>
      </c>
      <c r="T86" s="507">
        <v>9.2433648000000002</v>
      </c>
      <c r="U86" s="1153"/>
      <c r="V86" s="1153"/>
      <c r="W86" s="1153"/>
      <c r="X86" s="1153"/>
      <c r="Y86" s="1156">
        <v>1776</v>
      </c>
      <c r="Z86" s="1153"/>
      <c r="AA86" s="1153"/>
      <c r="AB86" s="1153"/>
      <c r="AC86" s="1153"/>
      <c r="AD86" s="1153"/>
      <c r="AE86" s="1153"/>
      <c r="AF86" s="1153"/>
      <c r="AG86" s="1153"/>
      <c r="AH86" s="958">
        <f t="shared" si="3"/>
        <v>0</v>
      </c>
      <c r="AI86" s="1153"/>
      <c r="AJ86" s="1153"/>
      <c r="AK86" s="1153"/>
      <c r="AL86" s="1153"/>
      <c r="AM86" s="1153"/>
      <c r="AN86" s="1153"/>
      <c r="AO86" s="1153"/>
      <c r="AP86" s="1153"/>
      <c r="AQ86" s="1154">
        <v>1</v>
      </c>
      <c r="AR86" s="962">
        <f t="shared" si="4"/>
        <v>0.67110316092337996</v>
      </c>
      <c r="AS86" s="1153"/>
      <c r="AT86" s="1154">
        <f t="shared" si="5"/>
        <v>8.0558710550160145E-2</v>
      </c>
      <c r="AU86" s="1153"/>
      <c r="AV86" s="1153"/>
      <c r="AW86" s="1153"/>
      <c r="AX86" s="1153"/>
      <c r="AY86" s="1153"/>
      <c r="AZ86" s="958"/>
      <c r="BA86" s="1153"/>
      <c r="BB86" s="1153"/>
      <c r="BC86" s="956"/>
      <c r="BD86" s="1153"/>
      <c r="BE86" s="1153"/>
      <c r="BF86" s="1153"/>
      <c r="BG86" s="1152"/>
    </row>
    <row r="87" spans="1:59" x14ac:dyDescent="0.45">
      <c r="A87" s="14">
        <v>1777</v>
      </c>
      <c r="B87" s="507">
        <v>9.4951295999999985</v>
      </c>
      <c r="C87" s="1153"/>
      <c r="D87" s="1153"/>
      <c r="E87" s="507"/>
      <c r="F87" s="1153"/>
      <c r="G87" s="1153"/>
      <c r="H87" s="1155"/>
      <c r="I87" s="1153"/>
      <c r="J87" s="1153"/>
      <c r="K87" s="1153"/>
      <c r="L87" s="1153"/>
      <c r="M87" s="1153"/>
      <c r="N87" s="1153"/>
      <c r="O87" s="1153"/>
      <c r="P87" s="1153"/>
      <c r="Q87" s="1153"/>
      <c r="R87" s="507">
        <v>8.8488042493611001</v>
      </c>
      <c r="S87" s="507">
        <v>0.6463253506388984</v>
      </c>
      <c r="T87" s="507">
        <v>9.4951295999999985</v>
      </c>
      <c r="U87" s="1153"/>
      <c r="V87" s="1153"/>
      <c r="W87" s="1153"/>
      <c r="X87" s="1153"/>
      <c r="Y87" s="1156">
        <v>1777</v>
      </c>
      <c r="Z87" s="1153"/>
      <c r="AA87" s="1153"/>
      <c r="AB87" s="1153"/>
      <c r="AC87" s="1153"/>
      <c r="AD87" s="1153"/>
      <c r="AE87" s="1153"/>
      <c r="AF87" s="1153"/>
      <c r="AG87" s="1153"/>
      <c r="AH87" s="958">
        <f t="shared" si="3"/>
        <v>0</v>
      </c>
      <c r="AI87" s="1153"/>
      <c r="AJ87" s="1153"/>
      <c r="AK87" s="1153"/>
      <c r="AL87" s="1153"/>
      <c r="AM87" s="1153"/>
      <c r="AN87" s="1153"/>
      <c r="AO87" s="1153"/>
      <c r="AP87" s="1153"/>
      <c r="AQ87" s="1154">
        <v>1</v>
      </c>
      <c r="AR87" s="962">
        <f t="shared" si="4"/>
        <v>0.67110316092337996</v>
      </c>
      <c r="AS87" s="1153"/>
      <c r="AT87" s="1154">
        <f t="shared" si="5"/>
        <v>8.0558710550160145E-2</v>
      </c>
      <c r="AU87" s="1153"/>
      <c r="AV87" s="1153"/>
      <c r="AW87" s="1153"/>
      <c r="AX87" s="1153"/>
      <c r="AY87" s="1153"/>
      <c r="AZ87" s="958"/>
      <c r="BA87" s="1153"/>
      <c r="BB87" s="1153"/>
      <c r="BC87" s="956"/>
      <c r="BD87" s="1153"/>
      <c r="BE87" s="1153"/>
      <c r="BF87" s="1153"/>
      <c r="BG87" s="1152"/>
    </row>
    <row r="88" spans="1:59" x14ac:dyDescent="0.45">
      <c r="A88" s="14">
        <v>1778</v>
      </c>
      <c r="B88" s="507">
        <v>9.7468943999999986</v>
      </c>
      <c r="C88" s="1153"/>
      <c r="D88" s="1153"/>
      <c r="E88" s="507"/>
      <c r="F88" s="1153"/>
      <c r="G88" s="1153"/>
      <c r="H88" s="1155"/>
      <c r="I88" s="1153"/>
      <c r="J88" s="1153"/>
      <c r="K88" s="1153"/>
      <c r="L88" s="1153"/>
      <c r="M88" s="1153"/>
      <c r="N88" s="1153"/>
      <c r="O88" s="1153"/>
      <c r="P88" s="1153"/>
      <c r="Q88" s="1153"/>
      <c r="R88" s="507">
        <v>9.1559144343928871</v>
      </c>
      <c r="S88" s="507">
        <v>0.59097996560711152</v>
      </c>
      <c r="T88" s="507">
        <v>9.7468943999999986</v>
      </c>
      <c r="U88" s="1153"/>
      <c r="V88" s="1153"/>
      <c r="W88" s="1153"/>
      <c r="X88" s="1153"/>
      <c r="Y88" s="1156">
        <v>1778</v>
      </c>
      <c r="Z88" s="1153"/>
      <c r="AA88" s="1153"/>
      <c r="AB88" s="1153"/>
      <c r="AC88" s="1153"/>
      <c r="AD88" s="1153"/>
      <c r="AE88" s="1153"/>
      <c r="AF88" s="1153"/>
      <c r="AG88" s="1153"/>
      <c r="AH88" s="958">
        <f t="shared" si="3"/>
        <v>0</v>
      </c>
      <c r="AI88" s="1153"/>
      <c r="AJ88" s="1153"/>
      <c r="AK88" s="1153"/>
      <c r="AL88" s="1153"/>
      <c r="AM88" s="1153"/>
      <c r="AN88" s="1153"/>
      <c r="AO88" s="1153"/>
      <c r="AP88" s="1153"/>
      <c r="AQ88" s="1154">
        <v>1</v>
      </c>
      <c r="AR88" s="962">
        <f t="shared" si="4"/>
        <v>0.67110316092337996</v>
      </c>
      <c r="AS88" s="1153"/>
      <c r="AT88" s="1154">
        <f t="shared" si="5"/>
        <v>8.0558710550160145E-2</v>
      </c>
      <c r="AU88" s="1153"/>
      <c r="AV88" s="1153"/>
      <c r="AW88" s="1153"/>
      <c r="AX88" s="1153"/>
      <c r="AY88" s="1153"/>
      <c r="AZ88" s="958"/>
      <c r="BA88" s="1153"/>
      <c r="BB88" s="1153"/>
      <c r="BC88" s="956"/>
      <c r="BD88" s="1153"/>
      <c r="BE88" s="1153"/>
      <c r="BF88" s="1153"/>
      <c r="BG88" s="1152"/>
    </row>
    <row r="89" spans="1:59" x14ac:dyDescent="0.45">
      <c r="A89" s="14">
        <v>1779</v>
      </c>
      <c r="B89" s="507">
        <v>9.9986591999999987</v>
      </c>
      <c r="C89" s="1153"/>
      <c r="D89" s="1153"/>
      <c r="E89" s="507"/>
      <c r="F89" s="1153"/>
      <c r="G89" s="1153"/>
      <c r="H89" s="1155"/>
      <c r="I89" s="1153"/>
      <c r="J89" s="1153"/>
      <c r="K89" s="1153"/>
      <c r="L89" s="1153"/>
      <c r="M89" s="1153"/>
      <c r="N89" s="1153"/>
      <c r="O89" s="1153"/>
      <c r="P89" s="1153"/>
      <c r="Q89" s="1153"/>
      <c r="R89" s="507">
        <v>9.4331544437040087</v>
      </c>
      <c r="S89" s="507">
        <v>0.56550475629599006</v>
      </c>
      <c r="T89" s="507">
        <v>9.9986591999999987</v>
      </c>
      <c r="U89" s="1153"/>
      <c r="V89" s="1153"/>
      <c r="W89" s="1153"/>
      <c r="X89" s="1153"/>
      <c r="Y89" s="1156">
        <v>1779</v>
      </c>
      <c r="Z89" s="1153"/>
      <c r="AA89" s="1153"/>
      <c r="AB89" s="1153"/>
      <c r="AC89" s="1153"/>
      <c r="AD89" s="1153"/>
      <c r="AE89" s="1153"/>
      <c r="AF89" s="1153"/>
      <c r="AG89" s="1153"/>
      <c r="AH89" s="958">
        <f t="shared" si="3"/>
        <v>0</v>
      </c>
      <c r="AI89" s="1153"/>
      <c r="AJ89" s="1153"/>
      <c r="AK89" s="1153"/>
      <c r="AL89" s="1153"/>
      <c r="AM89" s="1153"/>
      <c r="AN89" s="1153"/>
      <c r="AO89" s="1153"/>
      <c r="AP89" s="1153"/>
      <c r="AQ89" s="1154">
        <v>1</v>
      </c>
      <c r="AR89" s="962">
        <f t="shared" si="4"/>
        <v>0.67110316092337996</v>
      </c>
      <c r="AS89" s="1153"/>
      <c r="AT89" s="1154">
        <f t="shared" si="5"/>
        <v>8.0558710550160145E-2</v>
      </c>
      <c r="AU89" s="1153"/>
      <c r="AV89" s="1153"/>
      <c r="AW89" s="1153"/>
      <c r="AX89" s="1153"/>
      <c r="AY89" s="1153"/>
      <c r="AZ89" s="958"/>
      <c r="BA89" s="1153"/>
      <c r="BB89" s="1153"/>
      <c r="BC89" s="956"/>
      <c r="BD89" s="1153"/>
      <c r="BE89" s="1153"/>
      <c r="BF89" s="1153"/>
      <c r="BG89" s="1152"/>
    </row>
    <row r="90" spans="1:59" x14ac:dyDescent="0.45">
      <c r="A90" s="14">
        <v>1780</v>
      </c>
      <c r="B90" s="507">
        <v>10.250423999999999</v>
      </c>
      <c r="C90" s="1153"/>
      <c r="D90" s="1153"/>
      <c r="E90" s="507"/>
      <c r="F90" s="1153"/>
      <c r="G90" s="1153"/>
      <c r="H90" s="1155"/>
      <c r="I90" s="1153"/>
      <c r="J90" s="1153"/>
      <c r="K90" s="1153"/>
      <c r="L90" s="1153"/>
      <c r="M90" s="1153"/>
      <c r="N90" s="1153"/>
      <c r="O90" s="1153"/>
      <c r="P90" s="1153"/>
      <c r="Q90" s="1153"/>
      <c r="R90" s="507">
        <v>9.6693357151587698</v>
      </c>
      <c r="S90" s="507">
        <v>0.5810882848412291</v>
      </c>
      <c r="T90" s="507">
        <v>10.250423999999999</v>
      </c>
      <c r="U90" s="1153"/>
      <c r="V90" s="1153"/>
      <c r="W90" s="1153"/>
      <c r="X90" s="1153"/>
      <c r="Y90" s="1156">
        <v>1780</v>
      </c>
      <c r="Z90" s="1153"/>
      <c r="AA90" s="1153"/>
      <c r="AB90" s="1153"/>
      <c r="AC90" s="1153"/>
      <c r="AD90" s="1153"/>
      <c r="AE90" s="1153"/>
      <c r="AF90" s="1153"/>
      <c r="AG90" s="1153"/>
      <c r="AH90" s="958">
        <f t="shared" si="3"/>
        <v>0</v>
      </c>
      <c r="AI90" s="1153"/>
      <c r="AJ90" s="1153"/>
      <c r="AK90" s="1153"/>
      <c r="AL90" s="1153"/>
      <c r="AM90" s="1153"/>
      <c r="AN90" s="1153"/>
      <c r="AO90" s="1153"/>
      <c r="AP90" s="1153"/>
      <c r="AQ90" s="1154">
        <v>1</v>
      </c>
      <c r="AR90" s="962">
        <f t="shared" si="4"/>
        <v>0.67110316092337996</v>
      </c>
      <c r="AS90" s="1153"/>
      <c r="AT90" s="1154">
        <f t="shared" si="5"/>
        <v>8.0558710550160145E-2</v>
      </c>
      <c r="AU90" s="1153"/>
      <c r="AV90" s="1153"/>
      <c r="AW90" s="1153"/>
      <c r="AX90" s="1153"/>
      <c r="AY90" s="1153"/>
      <c r="AZ90" s="958"/>
      <c r="BA90" s="1153"/>
      <c r="BB90" s="1153"/>
      <c r="BC90" s="956"/>
      <c r="BD90" s="1153"/>
      <c r="BE90" s="1153"/>
      <c r="BF90" s="1153"/>
      <c r="BG90" s="1152"/>
    </row>
    <row r="91" spans="1:59" x14ac:dyDescent="0.45">
      <c r="A91" s="14">
        <v>1781</v>
      </c>
      <c r="B91" s="507">
        <v>10.502188799999999</v>
      </c>
      <c r="C91" s="1153"/>
      <c r="D91" s="1153"/>
      <c r="E91" s="507"/>
      <c r="F91" s="1153"/>
      <c r="G91" s="1153"/>
      <c r="H91" s="1155"/>
      <c r="I91" s="1153"/>
      <c r="J91" s="1153"/>
      <c r="K91" s="1153"/>
      <c r="L91" s="1153"/>
      <c r="M91" s="1153"/>
      <c r="N91" s="1153"/>
      <c r="O91" s="1153"/>
      <c r="P91" s="1153"/>
      <c r="Q91" s="1153"/>
      <c r="R91" s="507">
        <v>9.9904292981018266</v>
      </c>
      <c r="S91" s="507">
        <v>0.51175950189817243</v>
      </c>
      <c r="T91" s="507">
        <v>10.502188799999999</v>
      </c>
      <c r="U91" s="1153"/>
      <c r="V91" s="1153"/>
      <c r="W91" s="1153"/>
      <c r="X91" s="1153"/>
      <c r="Y91" s="1156">
        <v>1781</v>
      </c>
      <c r="Z91" s="1153"/>
      <c r="AA91" s="1153"/>
      <c r="AB91" s="1153"/>
      <c r="AC91" s="1153"/>
      <c r="AD91" s="1153"/>
      <c r="AE91" s="1153"/>
      <c r="AF91" s="1153"/>
      <c r="AG91" s="1153"/>
      <c r="AH91" s="958">
        <f t="shared" si="3"/>
        <v>0</v>
      </c>
      <c r="AI91" s="1153"/>
      <c r="AJ91" s="1153"/>
      <c r="AK91" s="1153"/>
      <c r="AL91" s="1153"/>
      <c r="AM91" s="1153"/>
      <c r="AN91" s="1153"/>
      <c r="AO91" s="1153"/>
      <c r="AP91" s="1153"/>
      <c r="AQ91" s="1154">
        <v>1</v>
      </c>
      <c r="AR91" s="962">
        <f t="shared" si="4"/>
        <v>0.67110316092337996</v>
      </c>
      <c r="AS91" s="1153"/>
      <c r="AT91" s="1154">
        <f t="shared" si="5"/>
        <v>8.0558710550160145E-2</v>
      </c>
      <c r="AU91" s="1153"/>
      <c r="AV91" s="1153"/>
      <c r="AW91" s="1153"/>
      <c r="AX91" s="1153"/>
      <c r="AY91" s="1153"/>
      <c r="AZ91" s="958"/>
      <c r="BA91" s="1153"/>
      <c r="BB91" s="1153"/>
      <c r="BC91" s="956"/>
      <c r="BD91" s="1153"/>
      <c r="BE91" s="1153"/>
      <c r="BF91" s="1153"/>
      <c r="BG91" s="1152"/>
    </row>
    <row r="92" spans="1:59" x14ac:dyDescent="0.45">
      <c r="A92" s="14">
        <v>1782</v>
      </c>
      <c r="B92" s="507">
        <v>10.753953599999999</v>
      </c>
      <c r="C92" s="1153"/>
      <c r="D92" s="1153"/>
      <c r="E92" s="507"/>
      <c r="F92" s="1153"/>
      <c r="G92" s="1153"/>
      <c r="H92" s="1155"/>
      <c r="I92" s="1153"/>
      <c r="J92" s="1153"/>
      <c r="K92" s="1153"/>
      <c r="L92" s="1153"/>
      <c r="M92" s="1153"/>
      <c r="N92" s="1153"/>
      <c r="O92" s="1153"/>
      <c r="P92" s="1153"/>
      <c r="Q92" s="1153"/>
      <c r="R92" s="507">
        <v>10.226749841342089</v>
      </c>
      <c r="S92" s="507">
        <v>0.52720375865790992</v>
      </c>
      <c r="T92" s="507">
        <v>10.753953599999999</v>
      </c>
      <c r="U92" s="1153"/>
      <c r="V92" s="1153"/>
      <c r="W92" s="1153"/>
      <c r="X92" s="1153"/>
      <c r="Y92" s="1156">
        <v>1782</v>
      </c>
      <c r="Z92" s="1153"/>
      <c r="AA92" s="1153"/>
      <c r="AB92" s="1153"/>
      <c r="AC92" s="1153"/>
      <c r="AD92" s="1153"/>
      <c r="AE92" s="1153"/>
      <c r="AF92" s="1153"/>
      <c r="AG92" s="1153"/>
      <c r="AH92" s="958">
        <f t="shared" si="3"/>
        <v>0</v>
      </c>
      <c r="AI92" s="1153"/>
      <c r="AJ92" s="1153"/>
      <c r="AK92" s="1153"/>
      <c r="AL92" s="1153"/>
      <c r="AM92" s="1153"/>
      <c r="AN92" s="1153"/>
      <c r="AO92" s="1153"/>
      <c r="AP92" s="1153"/>
      <c r="AQ92" s="1154">
        <v>1</v>
      </c>
      <c r="AR92" s="962">
        <f t="shared" si="4"/>
        <v>0.67110316092337996</v>
      </c>
      <c r="AS92" s="1153"/>
      <c r="AT92" s="1154">
        <f t="shared" si="5"/>
        <v>8.0558710550160145E-2</v>
      </c>
      <c r="AU92" s="1153"/>
      <c r="AV92" s="1153"/>
      <c r="AW92" s="1153"/>
      <c r="AX92" s="1153"/>
      <c r="AY92" s="1153"/>
      <c r="AZ92" s="958"/>
      <c r="BA92" s="1153"/>
      <c r="BB92" s="1153"/>
      <c r="BC92" s="956"/>
      <c r="BD92" s="1153"/>
      <c r="BE92" s="1153"/>
      <c r="BF92" s="1153"/>
      <c r="BG92" s="1152"/>
    </row>
    <row r="93" spans="1:59" x14ac:dyDescent="0.45">
      <c r="A93" s="14">
        <v>1783</v>
      </c>
      <c r="B93" s="507">
        <v>11.005718399999997</v>
      </c>
      <c r="C93" s="1153"/>
      <c r="D93" s="1153"/>
      <c r="E93" s="507"/>
      <c r="F93" s="1153"/>
      <c r="G93" s="1153"/>
      <c r="H93" s="1155"/>
      <c r="I93" s="1153"/>
      <c r="J93" s="1153"/>
      <c r="K93" s="1153"/>
      <c r="L93" s="1153"/>
      <c r="M93" s="1153"/>
      <c r="N93" s="1153"/>
      <c r="O93" s="1153"/>
      <c r="P93" s="1153"/>
      <c r="Q93" s="1153"/>
      <c r="R93" s="507">
        <v>10.326467580765037</v>
      </c>
      <c r="S93" s="507">
        <v>0.67925081923496045</v>
      </c>
      <c r="T93" s="507">
        <v>11.005718399999997</v>
      </c>
      <c r="U93" s="1153"/>
      <c r="V93" s="1153"/>
      <c r="W93" s="1153"/>
      <c r="X93" s="1153"/>
      <c r="Y93" s="1156">
        <v>1783</v>
      </c>
      <c r="Z93" s="1153"/>
      <c r="AA93" s="1153"/>
      <c r="AB93" s="1153"/>
      <c r="AC93" s="1153"/>
      <c r="AD93" s="1153"/>
      <c r="AE93" s="1153"/>
      <c r="AF93" s="1153"/>
      <c r="AG93" s="1153"/>
      <c r="AH93" s="958">
        <f t="shared" si="3"/>
        <v>0</v>
      </c>
      <c r="AI93" s="1153"/>
      <c r="AJ93" s="1153"/>
      <c r="AK93" s="1153"/>
      <c r="AL93" s="1153"/>
      <c r="AM93" s="1153"/>
      <c r="AN93" s="1153"/>
      <c r="AO93" s="1153"/>
      <c r="AP93" s="1153"/>
      <c r="AQ93" s="1154">
        <v>1</v>
      </c>
      <c r="AR93" s="962">
        <f t="shared" si="4"/>
        <v>0.67110316092337996</v>
      </c>
      <c r="AS93" s="1153"/>
      <c r="AT93" s="1154">
        <f t="shared" si="5"/>
        <v>8.0558710550160145E-2</v>
      </c>
      <c r="AU93" s="1153"/>
      <c r="AV93" s="1153"/>
      <c r="AW93" s="1153"/>
      <c r="AX93" s="1153"/>
      <c r="AY93" s="1153"/>
      <c r="AZ93" s="958"/>
      <c r="BA93" s="1153"/>
      <c r="BB93" s="1153"/>
      <c r="BC93" s="956"/>
      <c r="BD93" s="1153"/>
      <c r="BE93" s="1153"/>
      <c r="BF93" s="1153"/>
      <c r="BG93" s="1152"/>
    </row>
    <row r="94" spans="1:59" x14ac:dyDescent="0.45">
      <c r="A94" s="14">
        <v>1784</v>
      </c>
      <c r="B94" s="507">
        <v>11.257483199999998</v>
      </c>
      <c r="C94" s="1153"/>
      <c r="D94" s="1153"/>
      <c r="E94" s="507"/>
      <c r="F94" s="1153"/>
      <c r="G94" s="1153"/>
      <c r="H94" s="1155"/>
      <c r="I94" s="1153"/>
      <c r="J94" s="1153"/>
      <c r="K94" s="1153"/>
      <c r="L94" s="1153"/>
      <c r="M94" s="1153"/>
      <c r="N94" s="1153"/>
      <c r="O94" s="1153"/>
      <c r="P94" s="1153"/>
      <c r="Q94" s="1153"/>
      <c r="R94" s="507">
        <v>10.576080326561897</v>
      </c>
      <c r="S94" s="507">
        <v>0.6814028734381008</v>
      </c>
      <c r="T94" s="507">
        <v>11.257483199999998</v>
      </c>
      <c r="U94" s="1153"/>
      <c r="V94" s="1153"/>
      <c r="W94" s="1153"/>
      <c r="X94" s="1153"/>
      <c r="Y94" s="1156">
        <v>1784</v>
      </c>
      <c r="Z94" s="1153"/>
      <c r="AA94" s="1153"/>
      <c r="AB94" s="1153"/>
      <c r="AC94" s="1153"/>
      <c r="AD94" s="1153"/>
      <c r="AE94" s="1153"/>
      <c r="AF94" s="1153"/>
      <c r="AG94" s="1153"/>
      <c r="AH94" s="958">
        <f t="shared" si="3"/>
        <v>0</v>
      </c>
      <c r="AI94" s="1153"/>
      <c r="AJ94" s="1153"/>
      <c r="AK94" s="1153"/>
      <c r="AL94" s="1153"/>
      <c r="AM94" s="1153"/>
      <c r="AN94" s="1153"/>
      <c r="AO94" s="1153"/>
      <c r="AP94" s="1153"/>
      <c r="AQ94" s="1154">
        <v>1</v>
      </c>
      <c r="AR94" s="962">
        <f t="shared" si="4"/>
        <v>0.67110316092337996</v>
      </c>
      <c r="AS94" s="1153"/>
      <c r="AT94" s="1154">
        <f t="shared" si="5"/>
        <v>8.0558710550160145E-2</v>
      </c>
      <c r="AU94" s="1153"/>
      <c r="AV94" s="1153"/>
      <c r="AW94" s="1153"/>
      <c r="AX94" s="1153"/>
      <c r="AY94" s="1153"/>
      <c r="AZ94" s="958"/>
      <c r="BA94" s="1153"/>
      <c r="BB94" s="1153"/>
      <c r="BC94" s="956"/>
      <c r="BD94" s="1153"/>
      <c r="BE94" s="1153"/>
      <c r="BF94" s="1153"/>
      <c r="BG94" s="1152"/>
    </row>
    <row r="95" spans="1:59" x14ac:dyDescent="0.45">
      <c r="A95" s="14">
        <v>1785</v>
      </c>
      <c r="B95" s="507">
        <v>11.509247999999998</v>
      </c>
      <c r="C95" s="1153"/>
      <c r="D95" s="1153"/>
      <c r="E95" s="507"/>
      <c r="F95" s="1153"/>
      <c r="G95" s="1153"/>
      <c r="H95" s="1155"/>
      <c r="I95" s="1153"/>
      <c r="J95" s="1153"/>
      <c r="K95" s="1153"/>
      <c r="L95" s="1153"/>
      <c r="M95" s="1153"/>
      <c r="N95" s="1153"/>
      <c r="O95" s="1153"/>
      <c r="P95" s="1153"/>
      <c r="Q95" s="1153"/>
      <c r="R95" s="507">
        <v>10.688045450063809</v>
      </c>
      <c r="S95" s="507">
        <v>0.82120254993618857</v>
      </c>
      <c r="T95" s="507">
        <v>11.509247999999998</v>
      </c>
      <c r="U95" s="1153"/>
      <c r="V95" s="1153"/>
      <c r="W95" s="1153"/>
      <c r="X95" s="1153"/>
      <c r="Y95" s="1156">
        <v>1785</v>
      </c>
      <c r="Z95" s="1153"/>
      <c r="AA95" s="1153"/>
      <c r="AB95" s="1153"/>
      <c r="AC95" s="1153"/>
      <c r="AD95" s="1153"/>
      <c r="AE95" s="1153"/>
      <c r="AF95" s="1153"/>
      <c r="AG95" s="1153"/>
      <c r="AH95" s="958">
        <f t="shared" si="3"/>
        <v>0</v>
      </c>
      <c r="AI95" s="1153"/>
      <c r="AJ95" s="1153"/>
      <c r="AK95" s="1153"/>
      <c r="AL95" s="1153"/>
      <c r="AM95" s="1153"/>
      <c r="AN95" s="1153"/>
      <c r="AO95" s="1153"/>
      <c r="AP95" s="1153"/>
      <c r="AQ95" s="1154">
        <v>1</v>
      </c>
      <c r="AR95" s="962">
        <f t="shared" si="4"/>
        <v>0.67110316092337996</v>
      </c>
      <c r="AS95" s="1153"/>
      <c r="AT95" s="1154">
        <f t="shared" si="5"/>
        <v>8.0558710550160145E-2</v>
      </c>
      <c r="AU95" s="1153"/>
      <c r="AV95" s="1153"/>
      <c r="AW95" s="1153"/>
      <c r="AX95" s="1153"/>
      <c r="AY95" s="1153"/>
      <c r="AZ95" s="958"/>
      <c r="BA95" s="1153"/>
      <c r="BB95" s="1153"/>
      <c r="BC95" s="956"/>
      <c r="BD95" s="1153"/>
      <c r="BE95" s="1153"/>
      <c r="BF95" s="1153"/>
      <c r="BG95" s="1152"/>
    </row>
    <row r="96" spans="1:59" x14ac:dyDescent="0.45">
      <c r="A96" s="14">
        <v>1786</v>
      </c>
      <c r="B96" s="507">
        <v>11.761012799999998</v>
      </c>
      <c r="C96" s="1153"/>
      <c r="D96" s="1153"/>
      <c r="E96" s="507"/>
      <c r="F96" s="1153"/>
      <c r="G96" s="1153"/>
      <c r="H96" s="1155"/>
      <c r="I96" s="1153"/>
      <c r="J96" s="1153"/>
      <c r="K96" s="1153"/>
      <c r="L96" s="1153"/>
      <c r="M96" s="1153"/>
      <c r="N96" s="1153"/>
      <c r="O96" s="1153"/>
      <c r="P96" s="1153"/>
      <c r="Q96" s="1153"/>
      <c r="R96" s="507">
        <v>10.973243870168876</v>
      </c>
      <c r="S96" s="507">
        <v>0.78776892983112212</v>
      </c>
      <c r="T96" s="507">
        <v>11.761012799999998</v>
      </c>
      <c r="U96" s="1153"/>
      <c r="V96" s="1153"/>
      <c r="W96" s="1153"/>
      <c r="X96" s="1153"/>
      <c r="Y96" s="1156">
        <v>1786</v>
      </c>
      <c r="Z96" s="1153"/>
      <c r="AA96" s="1153"/>
      <c r="AB96" s="1153"/>
      <c r="AC96" s="1153"/>
      <c r="AD96" s="1153"/>
      <c r="AE96" s="1153"/>
      <c r="AF96" s="1153"/>
      <c r="AG96" s="1153"/>
      <c r="AH96" s="958">
        <f t="shared" si="3"/>
        <v>0</v>
      </c>
      <c r="AI96" s="1153"/>
      <c r="AJ96" s="1153"/>
      <c r="AK96" s="1153"/>
      <c r="AL96" s="1153"/>
      <c r="AM96" s="1153"/>
      <c r="AN96" s="1153"/>
      <c r="AO96" s="1153"/>
      <c r="AP96" s="1153"/>
      <c r="AQ96" s="1154">
        <v>1</v>
      </c>
      <c r="AR96" s="962">
        <f t="shared" si="4"/>
        <v>0.67110316092337996</v>
      </c>
      <c r="AS96" s="1153"/>
      <c r="AT96" s="1154">
        <f t="shared" si="5"/>
        <v>8.0558710550160145E-2</v>
      </c>
      <c r="AU96" s="1153"/>
      <c r="AV96" s="1153"/>
      <c r="AW96" s="1153"/>
      <c r="AX96" s="1153"/>
      <c r="AY96" s="1153"/>
      <c r="AZ96" s="958"/>
      <c r="BA96" s="1153"/>
      <c r="BB96" s="1153"/>
      <c r="BC96" s="956"/>
      <c r="BD96" s="1153"/>
      <c r="BE96" s="1153"/>
      <c r="BF96" s="1153"/>
      <c r="BG96" s="1152"/>
    </row>
    <row r="97" spans="1:59" x14ac:dyDescent="0.45">
      <c r="A97" s="14">
        <v>1787</v>
      </c>
      <c r="B97" s="507">
        <v>12.012777599999998</v>
      </c>
      <c r="C97" s="1153"/>
      <c r="D97" s="1153"/>
      <c r="E97" s="507"/>
      <c r="F97" s="1153"/>
      <c r="G97" s="1153"/>
      <c r="H97" s="1155"/>
      <c r="I97" s="1153"/>
      <c r="J97" s="1153"/>
      <c r="K97" s="1153"/>
      <c r="L97" s="1153"/>
      <c r="M97" s="1153"/>
      <c r="N97" s="1153"/>
      <c r="O97" s="1153"/>
      <c r="P97" s="1153"/>
      <c r="Q97" s="1153"/>
      <c r="R97" s="507">
        <v>11.268084039349356</v>
      </c>
      <c r="S97" s="507">
        <v>0.74469356065064218</v>
      </c>
      <c r="T97" s="507">
        <v>12.012777599999998</v>
      </c>
      <c r="U97" s="1153"/>
      <c r="V97" s="1153"/>
      <c r="W97" s="1153"/>
      <c r="X97" s="1153"/>
      <c r="Y97" s="1156">
        <v>1787</v>
      </c>
      <c r="Z97" s="1153"/>
      <c r="AA97" s="1153"/>
      <c r="AB97" s="1153"/>
      <c r="AC97" s="1153"/>
      <c r="AD97" s="1153"/>
      <c r="AE97" s="1153"/>
      <c r="AF97" s="1153"/>
      <c r="AG97" s="1153"/>
      <c r="AH97" s="958">
        <f t="shared" si="3"/>
        <v>0</v>
      </c>
      <c r="AI97" s="1153"/>
      <c r="AJ97" s="1153"/>
      <c r="AK97" s="1153"/>
      <c r="AL97" s="1153"/>
      <c r="AM97" s="1153"/>
      <c r="AN97" s="1153"/>
      <c r="AO97" s="1153"/>
      <c r="AP97" s="1153"/>
      <c r="AQ97" s="1154">
        <v>1</v>
      </c>
      <c r="AR97" s="962">
        <f t="shared" si="4"/>
        <v>0.67110316092337996</v>
      </c>
      <c r="AS97" s="1153"/>
      <c r="AT97" s="1154">
        <f t="shared" si="5"/>
        <v>8.0558710550160145E-2</v>
      </c>
      <c r="AU97" s="1153"/>
      <c r="AV97" s="1153"/>
      <c r="AW97" s="1153"/>
      <c r="AX97" s="1153"/>
      <c r="AY97" s="1153"/>
      <c r="AZ97" s="958"/>
      <c r="BA97" s="1153"/>
      <c r="BB97" s="1153"/>
      <c r="BC97" s="956"/>
      <c r="BD97" s="1153"/>
      <c r="BE97" s="1153"/>
      <c r="BF97" s="1153"/>
      <c r="BG97" s="1152"/>
    </row>
    <row r="98" spans="1:59" x14ac:dyDescent="0.45">
      <c r="A98" s="14">
        <v>1788</v>
      </c>
      <c r="B98" s="507">
        <v>12.264542399999996</v>
      </c>
      <c r="C98" s="1153"/>
      <c r="D98" s="1153"/>
      <c r="E98" s="507"/>
      <c r="F98" s="1153"/>
      <c r="G98" s="1153"/>
      <c r="H98" s="1155"/>
      <c r="I98" s="1153"/>
      <c r="J98" s="1153"/>
      <c r="K98" s="1153"/>
      <c r="L98" s="1153"/>
      <c r="M98" s="1153"/>
      <c r="N98" s="1153"/>
      <c r="O98" s="1153"/>
      <c r="P98" s="1153"/>
      <c r="Q98" s="1153"/>
      <c r="R98" s="507">
        <v>11.353093929226141</v>
      </c>
      <c r="S98" s="507">
        <v>0.91144847077385549</v>
      </c>
      <c r="T98" s="507">
        <v>12.264542399999996</v>
      </c>
      <c r="U98" s="1153"/>
      <c r="V98" s="1153"/>
      <c r="W98" s="1153"/>
      <c r="X98" s="1153"/>
      <c r="Y98" s="1156">
        <v>1788</v>
      </c>
      <c r="Z98" s="1153"/>
      <c r="AA98" s="1153"/>
      <c r="AB98" s="1153"/>
      <c r="AC98" s="1153"/>
      <c r="AD98" s="1153"/>
      <c r="AE98" s="1153"/>
      <c r="AF98" s="1153"/>
      <c r="AG98" s="1153"/>
      <c r="AH98" s="958">
        <f t="shared" si="3"/>
        <v>0</v>
      </c>
      <c r="AI98" s="1153"/>
      <c r="AJ98" s="1153"/>
      <c r="AK98" s="1153"/>
      <c r="AL98" s="1153"/>
      <c r="AM98" s="1153"/>
      <c r="AN98" s="1153"/>
      <c r="AO98" s="1153"/>
      <c r="AP98" s="1153"/>
      <c r="AQ98" s="1154">
        <v>1</v>
      </c>
      <c r="AR98" s="962">
        <f t="shared" si="4"/>
        <v>0.67110316092337996</v>
      </c>
      <c r="AS98" s="1153"/>
      <c r="AT98" s="1154">
        <f t="shared" si="5"/>
        <v>8.0558710550160145E-2</v>
      </c>
      <c r="AU98" s="1153"/>
      <c r="AV98" s="1153"/>
      <c r="AW98" s="1153"/>
      <c r="AX98" s="1153"/>
      <c r="AY98" s="1153"/>
      <c r="AZ98" s="958"/>
      <c r="BA98" s="1153"/>
      <c r="BB98" s="1153"/>
      <c r="BC98" s="956"/>
      <c r="BD98" s="1153"/>
      <c r="BE98" s="1153"/>
      <c r="BF98" s="1153"/>
      <c r="BG98" s="1152"/>
    </row>
    <row r="99" spans="1:59" x14ac:dyDescent="0.45">
      <c r="A99" s="14">
        <v>1789</v>
      </c>
      <c r="B99" s="507">
        <v>12.516307199999996</v>
      </c>
      <c r="C99" s="1153"/>
      <c r="D99" s="1153"/>
      <c r="E99" s="507"/>
      <c r="F99" s="1153"/>
      <c r="G99" s="1153"/>
      <c r="H99" s="1155"/>
      <c r="I99" s="1153"/>
      <c r="J99" s="1153"/>
      <c r="K99" s="1153"/>
      <c r="L99" s="1153"/>
      <c r="M99" s="1153"/>
      <c r="N99" s="1153"/>
      <c r="O99" s="1153"/>
      <c r="P99" s="1153"/>
      <c r="Q99" s="1153"/>
      <c r="R99" s="507">
        <v>11.623481015697051</v>
      </c>
      <c r="S99" s="507">
        <v>0.89282618430294569</v>
      </c>
      <c r="T99" s="507">
        <v>12.516307199999996</v>
      </c>
      <c r="U99" s="1153"/>
      <c r="V99" s="1153"/>
      <c r="W99" s="1153"/>
      <c r="X99" s="1153"/>
      <c r="Y99" s="1156">
        <v>1789</v>
      </c>
      <c r="Z99" s="1153"/>
      <c r="AA99" s="1153"/>
      <c r="AB99" s="1153"/>
      <c r="AC99" s="1153"/>
      <c r="AD99" s="1153"/>
      <c r="AE99" s="1153"/>
      <c r="AF99" s="1153"/>
      <c r="AG99" s="1153"/>
      <c r="AH99" s="958">
        <f t="shared" si="3"/>
        <v>0</v>
      </c>
      <c r="AI99" s="1153"/>
      <c r="AJ99" s="1153"/>
      <c r="AK99" s="1153"/>
      <c r="AL99" s="1153"/>
      <c r="AM99" s="1153"/>
      <c r="AN99" s="1153"/>
      <c r="AO99" s="1153"/>
      <c r="AP99" s="1153"/>
      <c r="AQ99" s="1154">
        <v>1</v>
      </c>
      <c r="AR99" s="962">
        <f t="shared" si="4"/>
        <v>0.67110316092337996</v>
      </c>
      <c r="AS99" s="1153"/>
      <c r="AT99" s="1154">
        <f t="shared" si="5"/>
        <v>8.0558710550160145E-2</v>
      </c>
      <c r="AU99" s="1153"/>
      <c r="AV99" s="1153"/>
      <c r="AW99" s="1153"/>
      <c r="AX99" s="1153"/>
      <c r="AY99" s="1153"/>
      <c r="AZ99" s="958"/>
      <c r="BA99" s="1153"/>
      <c r="BB99" s="1153"/>
      <c r="BC99" s="956"/>
      <c r="BD99" s="1153"/>
      <c r="BE99" s="1153"/>
      <c r="BF99" s="1153"/>
      <c r="BG99" s="1152"/>
    </row>
    <row r="100" spans="1:59" x14ac:dyDescent="0.45">
      <c r="A100" s="14">
        <v>1790</v>
      </c>
      <c r="B100" s="507">
        <v>12.768071999999997</v>
      </c>
      <c r="C100" s="1153"/>
      <c r="D100" s="1153"/>
      <c r="E100" s="507"/>
      <c r="F100" s="1153"/>
      <c r="G100" s="1153"/>
      <c r="H100" s="1155"/>
      <c r="I100" s="1153"/>
      <c r="J100" s="1153"/>
      <c r="K100" s="1153"/>
      <c r="L100" s="1153"/>
      <c r="M100" s="1153"/>
      <c r="N100" s="1153"/>
      <c r="O100" s="1153"/>
      <c r="P100" s="1153"/>
      <c r="Q100" s="1153"/>
      <c r="R100" s="507">
        <v>11.843516263605208</v>
      </c>
      <c r="S100" s="507">
        <v>0.9245557363947885</v>
      </c>
      <c r="T100" s="507">
        <v>12.768071999999997</v>
      </c>
      <c r="U100" s="1153"/>
      <c r="V100" s="1153"/>
      <c r="W100" s="1153"/>
      <c r="X100" s="1153"/>
      <c r="Y100" s="1156">
        <v>1790</v>
      </c>
      <c r="Z100" s="1153"/>
      <c r="AA100" s="1153"/>
      <c r="AB100" s="1153"/>
      <c r="AC100" s="1153"/>
      <c r="AD100" s="1153"/>
      <c r="AE100" s="1153"/>
      <c r="AF100" s="1153"/>
      <c r="AG100" s="1153"/>
      <c r="AH100" s="958">
        <f t="shared" si="3"/>
        <v>0</v>
      </c>
      <c r="AI100" s="1153"/>
      <c r="AJ100" s="1153"/>
      <c r="AK100" s="1153"/>
      <c r="AL100" s="1153"/>
      <c r="AM100" s="1153"/>
      <c r="AN100" s="1153"/>
      <c r="AO100" s="1153"/>
      <c r="AP100" s="1153"/>
      <c r="AQ100" s="1154">
        <v>1</v>
      </c>
      <c r="AR100" s="962">
        <f t="shared" si="4"/>
        <v>0.67110316092337996</v>
      </c>
      <c r="AS100" s="1153"/>
      <c r="AT100" s="1154">
        <f t="shared" si="5"/>
        <v>8.0558710550160145E-2</v>
      </c>
      <c r="AU100" s="1153"/>
      <c r="AV100" s="1153"/>
      <c r="AW100" s="1153"/>
      <c r="AX100" s="1153"/>
      <c r="AY100" s="1153"/>
      <c r="AZ100" s="958"/>
      <c r="BA100" s="1153"/>
      <c r="BB100" s="1153"/>
      <c r="BC100" s="956"/>
      <c r="BD100" s="1153"/>
      <c r="BE100" s="1153"/>
      <c r="BF100" s="1153"/>
      <c r="BG100" s="1152"/>
    </row>
    <row r="101" spans="1:59" x14ac:dyDescent="0.45">
      <c r="A101" s="14">
        <v>1791</v>
      </c>
      <c r="B101" s="507">
        <v>13.019836799999997</v>
      </c>
      <c r="C101" s="1153"/>
      <c r="D101" s="1153"/>
      <c r="E101" s="507"/>
      <c r="F101" s="1153"/>
      <c r="G101" s="1153"/>
      <c r="H101" s="1155"/>
      <c r="I101" s="1153"/>
      <c r="J101" s="1153"/>
      <c r="K101" s="1153"/>
      <c r="L101" s="1153"/>
      <c r="M101" s="1153"/>
      <c r="N101" s="1153"/>
      <c r="O101" s="1153"/>
      <c r="P101" s="1153"/>
      <c r="Q101" s="1153"/>
      <c r="R101" s="507">
        <v>12.056870110933202</v>
      </c>
      <c r="S101" s="507">
        <v>0.9629666890667945</v>
      </c>
      <c r="T101" s="507">
        <v>13.019836799999997</v>
      </c>
      <c r="U101" s="1153"/>
      <c r="V101" s="1153"/>
      <c r="W101" s="1153"/>
      <c r="X101" s="1153"/>
      <c r="Y101" s="1156">
        <v>1791</v>
      </c>
      <c r="Z101" s="1153"/>
      <c r="AA101" s="1153"/>
      <c r="AB101" s="1153"/>
      <c r="AC101" s="1153"/>
      <c r="AD101" s="1153"/>
      <c r="AE101" s="1153"/>
      <c r="AF101" s="1153"/>
      <c r="AG101" s="1153"/>
      <c r="AH101" s="958">
        <f t="shared" si="3"/>
        <v>0</v>
      </c>
      <c r="AI101" s="1153"/>
      <c r="AJ101" s="1153"/>
      <c r="AK101" s="1153"/>
      <c r="AL101" s="1153"/>
      <c r="AM101" s="1153"/>
      <c r="AN101" s="1153"/>
      <c r="AO101" s="1153"/>
      <c r="AP101" s="1153"/>
      <c r="AQ101" s="1154">
        <v>1</v>
      </c>
      <c r="AR101" s="962">
        <f t="shared" si="4"/>
        <v>0.67110316092337996</v>
      </c>
      <c r="AS101" s="1153"/>
      <c r="AT101" s="1154">
        <f t="shared" si="5"/>
        <v>8.0558710550160145E-2</v>
      </c>
      <c r="AU101" s="1153"/>
      <c r="AV101" s="1153"/>
      <c r="AW101" s="1153"/>
      <c r="AX101" s="1153"/>
      <c r="AY101" s="1153"/>
      <c r="AZ101" s="958"/>
      <c r="BA101" s="1153"/>
      <c r="BB101" s="1153"/>
      <c r="BC101" s="956"/>
      <c r="BD101" s="1153"/>
      <c r="BE101" s="1153"/>
      <c r="BF101" s="1153"/>
      <c r="BG101" s="1152"/>
    </row>
    <row r="102" spans="1:59" x14ac:dyDescent="0.45">
      <c r="A102" s="14">
        <v>1792</v>
      </c>
      <c r="B102" s="507">
        <v>13.271601599999997</v>
      </c>
      <c r="C102" s="1153"/>
      <c r="D102" s="1153"/>
      <c r="E102" s="507"/>
      <c r="F102" s="1153"/>
      <c r="G102" s="1153"/>
      <c r="H102" s="1155"/>
      <c r="I102" s="1153"/>
      <c r="J102" s="1153"/>
      <c r="K102" s="1153"/>
      <c r="L102" s="1153"/>
      <c r="M102" s="1153"/>
      <c r="N102" s="1153"/>
      <c r="O102" s="1153"/>
      <c r="P102" s="1153"/>
      <c r="Q102" s="1153"/>
      <c r="R102" s="507">
        <v>12.261492452508458</v>
      </c>
      <c r="S102" s="507">
        <v>1.0101091474915389</v>
      </c>
      <c r="T102" s="507">
        <v>13.271601599999997</v>
      </c>
      <c r="U102" s="1153"/>
      <c r="V102" s="1153"/>
      <c r="W102" s="1153"/>
      <c r="X102" s="1153"/>
      <c r="Y102" s="1156">
        <v>1792</v>
      </c>
      <c r="Z102" s="1153"/>
      <c r="AA102" s="1153"/>
      <c r="AB102" s="1153"/>
      <c r="AC102" s="1153"/>
      <c r="AD102" s="1153"/>
      <c r="AE102" s="1153"/>
      <c r="AF102" s="1153"/>
      <c r="AG102" s="1153"/>
      <c r="AH102" s="958">
        <f t="shared" si="3"/>
        <v>0</v>
      </c>
      <c r="AI102" s="1153"/>
      <c r="AJ102" s="1153"/>
      <c r="AK102" s="1153"/>
      <c r="AL102" s="1153"/>
      <c r="AM102" s="1153"/>
      <c r="AN102" s="1153"/>
      <c r="AO102" s="1153"/>
      <c r="AP102" s="1153"/>
      <c r="AQ102" s="1154">
        <v>1</v>
      </c>
      <c r="AR102" s="962">
        <f t="shared" si="4"/>
        <v>0.67110316092337996</v>
      </c>
      <c r="AS102" s="1153"/>
      <c r="AT102" s="1154">
        <f t="shared" si="5"/>
        <v>8.0558710550160145E-2</v>
      </c>
      <c r="AU102" s="1153"/>
      <c r="AV102" s="1153"/>
      <c r="AW102" s="1153"/>
      <c r="AX102" s="1153"/>
      <c r="AY102" s="1153"/>
      <c r="AZ102" s="958"/>
      <c r="BA102" s="1153"/>
      <c r="BB102" s="1153"/>
      <c r="BC102" s="956"/>
      <c r="BD102" s="1153"/>
      <c r="BE102" s="1153"/>
      <c r="BF102" s="1153"/>
      <c r="BG102" s="1152"/>
    </row>
    <row r="103" spans="1:59" x14ac:dyDescent="0.45">
      <c r="A103" s="14">
        <v>1793</v>
      </c>
      <c r="B103" s="507">
        <v>13.523366399999997</v>
      </c>
      <c r="C103" s="1153"/>
      <c r="D103" s="1153"/>
      <c r="E103" s="507"/>
      <c r="F103" s="1153"/>
      <c r="G103" s="1153"/>
      <c r="H103" s="1155"/>
      <c r="I103" s="1153"/>
      <c r="J103" s="1153"/>
      <c r="K103" s="1153"/>
      <c r="L103" s="1153"/>
      <c r="M103" s="1153"/>
      <c r="N103" s="1153"/>
      <c r="O103" s="1153"/>
      <c r="P103" s="1153"/>
      <c r="Q103" s="1153"/>
      <c r="R103" s="507">
        <v>12.478700623204595</v>
      </c>
      <c r="S103" s="507">
        <v>1.0446657767954015</v>
      </c>
      <c r="T103" s="507">
        <v>13.523366399999997</v>
      </c>
      <c r="U103" s="1153"/>
      <c r="V103" s="1153"/>
      <c r="W103" s="1153"/>
      <c r="X103" s="1153"/>
      <c r="Y103" s="1156">
        <v>1793</v>
      </c>
      <c r="Z103" s="1153"/>
      <c r="AA103" s="1153"/>
      <c r="AB103" s="1153"/>
      <c r="AC103" s="1153"/>
      <c r="AD103" s="1153"/>
      <c r="AE103" s="1153"/>
      <c r="AF103" s="1153"/>
      <c r="AG103" s="1153"/>
      <c r="AH103" s="958">
        <f t="shared" si="3"/>
        <v>0</v>
      </c>
      <c r="AI103" s="1153"/>
      <c r="AJ103" s="1153"/>
      <c r="AK103" s="1153"/>
      <c r="AL103" s="1153"/>
      <c r="AM103" s="1153"/>
      <c r="AN103" s="1153"/>
      <c r="AO103" s="1153"/>
      <c r="AP103" s="1153"/>
      <c r="AQ103" s="1154">
        <v>1</v>
      </c>
      <c r="AR103" s="962">
        <f t="shared" si="4"/>
        <v>0.67110316092337996</v>
      </c>
      <c r="AS103" s="1153"/>
      <c r="AT103" s="1154">
        <f t="shared" si="5"/>
        <v>8.0558710550160145E-2</v>
      </c>
      <c r="AU103" s="1153"/>
      <c r="AV103" s="1153"/>
      <c r="AW103" s="1153"/>
      <c r="AX103" s="1153"/>
      <c r="AY103" s="1153"/>
      <c r="AZ103" s="958"/>
      <c r="BA103" s="1153"/>
      <c r="BB103" s="1153"/>
      <c r="BC103" s="956"/>
      <c r="BD103" s="1153"/>
      <c r="BE103" s="1153"/>
      <c r="BF103" s="1153"/>
      <c r="BG103" s="1152"/>
    </row>
    <row r="104" spans="1:59" x14ac:dyDescent="0.45">
      <c r="A104" s="14">
        <v>1794</v>
      </c>
      <c r="B104" s="507">
        <v>13.775131199999995</v>
      </c>
      <c r="C104" s="1153"/>
      <c r="D104" s="1153"/>
      <c r="E104" s="507"/>
      <c r="F104" s="1153"/>
      <c r="G104" s="1153"/>
      <c r="H104" s="1155"/>
      <c r="I104" s="1153"/>
      <c r="J104" s="1153"/>
      <c r="K104" s="1153"/>
      <c r="L104" s="1153"/>
      <c r="M104" s="1153"/>
      <c r="N104" s="1153"/>
      <c r="O104" s="1153"/>
      <c r="P104" s="1153"/>
      <c r="Q104" s="1153"/>
      <c r="R104" s="507">
        <v>12.802963380623295</v>
      </c>
      <c r="S104" s="507">
        <v>0.97216781937670049</v>
      </c>
      <c r="T104" s="507">
        <v>13.775131199999995</v>
      </c>
      <c r="U104" s="1153"/>
      <c r="V104" s="1153"/>
      <c r="W104" s="1153"/>
      <c r="X104" s="1153"/>
      <c r="Y104" s="1156">
        <v>1794</v>
      </c>
      <c r="Z104" s="1153"/>
      <c r="AA104" s="1153"/>
      <c r="AB104" s="1153"/>
      <c r="AC104" s="1153"/>
      <c r="AD104" s="1153"/>
      <c r="AE104" s="1153"/>
      <c r="AF104" s="1153"/>
      <c r="AG104" s="1153"/>
      <c r="AH104" s="958">
        <f t="shared" si="3"/>
        <v>0</v>
      </c>
      <c r="AI104" s="1153"/>
      <c r="AJ104" s="1153"/>
      <c r="AK104" s="1153"/>
      <c r="AL104" s="1153"/>
      <c r="AM104" s="1153"/>
      <c r="AN104" s="1153"/>
      <c r="AO104" s="1153"/>
      <c r="AP104" s="1153"/>
      <c r="AQ104" s="1154">
        <v>1</v>
      </c>
      <c r="AR104" s="962">
        <f t="shared" si="4"/>
        <v>0.67110316092337996</v>
      </c>
      <c r="AS104" s="1153"/>
      <c r="AT104" s="1154">
        <f t="shared" si="5"/>
        <v>8.0558710550160145E-2</v>
      </c>
      <c r="AU104" s="1153"/>
      <c r="AV104" s="1153"/>
      <c r="AW104" s="1153"/>
      <c r="AX104" s="1153"/>
      <c r="AY104" s="1153"/>
      <c r="AZ104" s="958"/>
      <c r="BA104" s="1153"/>
      <c r="BB104" s="1153"/>
      <c r="BC104" s="956"/>
      <c r="BD104" s="1153"/>
      <c r="BE104" s="1153"/>
      <c r="BF104" s="1153"/>
      <c r="BG104" s="1152"/>
    </row>
    <row r="105" spans="1:59" x14ac:dyDescent="0.45">
      <c r="A105" s="14">
        <v>1795</v>
      </c>
      <c r="B105" s="507">
        <v>14.026895999999995</v>
      </c>
      <c r="C105" s="1153"/>
      <c r="D105" s="1153"/>
      <c r="E105" s="507"/>
      <c r="F105" s="1153"/>
      <c r="G105" s="1153"/>
      <c r="H105" s="1155"/>
      <c r="I105" s="1153"/>
      <c r="J105" s="1153"/>
      <c r="K105" s="1153"/>
      <c r="L105" s="1153"/>
      <c r="M105" s="1153"/>
      <c r="N105" s="1153"/>
      <c r="O105" s="1153"/>
      <c r="P105" s="1153"/>
      <c r="Q105" s="1153"/>
      <c r="R105" s="507">
        <v>13.13367688724051</v>
      </c>
      <c r="S105" s="507">
        <v>0.89321911275948551</v>
      </c>
      <c r="T105" s="507">
        <v>14.026895999999995</v>
      </c>
      <c r="U105" s="1153"/>
      <c r="V105" s="1153"/>
      <c r="W105" s="1153"/>
      <c r="X105" s="1153"/>
      <c r="Y105" s="1156">
        <v>1795</v>
      </c>
      <c r="Z105" s="1153"/>
      <c r="AA105" s="1153"/>
      <c r="AB105" s="1153"/>
      <c r="AC105" s="1153"/>
      <c r="AD105" s="1153"/>
      <c r="AE105" s="1153"/>
      <c r="AF105" s="1153"/>
      <c r="AG105" s="1153"/>
      <c r="AH105" s="958">
        <f t="shared" si="3"/>
        <v>0</v>
      </c>
      <c r="AI105" s="1153"/>
      <c r="AJ105" s="1153"/>
      <c r="AK105" s="1153"/>
      <c r="AL105" s="1153"/>
      <c r="AM105" s="1153"/>
      <c r="AN105" s="1153"/>
      <c r="AO105" s="1153"/>
      <c r="AP105" s="1153"/>
      <c r="AQ105" s="1154">
        <v>1</v>
      </c>
      <c r="AR105" s="962">
        <f t="shared" si="4"/>
        <v>0.67110316092337996</v>
      </c>
      <c r="AS105" s="1153"/>
      <c r="AT105" s="1154">
        <f t="shared" si="5"/>
        <v>8.0558710550160145E-2</v>
      </c>
      <c r="AU105" s="1153"/>
      <c r="AV105" s="1153"/>
      <c r="AW105" s="1153"/>
      <c r="AX105" s="1153"/>
      <c r="AY105" s="1153"/>
      <c r="AZ105" s="958"/>
      <c r="BA105" s="1153"/>
      <c r="BB105" s="1153"/>
      <c r="BC105" s="956"/>
      <c r="BD105" s="1153"/>
      <c r="BE105" s="1153"/>
      <c r="BF105" s="1153"/>
      <c r="BG105" s="1152"/>
    </row>
    <row r="106" spans="1:59" x14ac:dyDescent="0.45">
      <c r="A106" s="14">
        <v>1796</v>
      </c>
      <c r="B106" s="507">
        <v>14.278660799999995</v>
      </c>
      <c r="C106" s="1153"/>
      <c r="D106" s="1153"/>
      <c r="E106" s="507"/>
      <c r="F106" s="1153"/>
      <c r="G106" s="1153"/>
      <c r="H106" s="1155"/>
      <c r="I106" s="1153"/>
      <c r="J106" s="1153"/>
      <c r="K106" s="1153"/>
      <c r="L106" s="1153"/>
      <c r="M106" s="1153"/>
      <c r="N106" s="1153"/>
      <c r="O106" s="1153"/>
      <c r="P106" s="1153"/>
      <c r="Q106" s="1153"/>
      <c r="R106" s="507">
        <v>13.294036692000525</v>
      </c>
      <c r="S106" s="507">
        <v>0.98462410799947087</v>
      </c>
      <c r="T106" s="507">
        <v>14.278660799999995</v>
      </c>
      <c r="U106" s="1153"/>
      <c r="V106" s="1153"/>
      <c r="W106" s="1153"/>
      <c r="X106" s="1153"/>
      <c r="Y106" s="1156">
        <v>1796</v>
      </c>
      <c r="Z106" s="1153"/>
      <c r="AA106" s="1153"/>
      <c r="AB106" s="1153"/>
      <c r="AC106" s="1153"/>
      <c r="AD106" s="1153"/>
      <c r="AE106" s="1153"/>
      <c r="AF106" s="1153"/>
      <c r="AG106" s="1153"/>
      <c r="AH106" s="958">
        <f t="shared" si="3"/>
        <v>0</v>
      </c>
      <c r="AI106" s="1153"/>
      <c r="AJ106" s="1153"/>
      <c r="AK106" s="1153"/>
      <c r="AL106" s="1153"/>
      <c r="AM106" s="1153"/>
      <c r="AN106" s="1153"/>
      <c r="AO106" s="1153"/>
      <c r="AP106" s="1153"/>
      <c r="AQ106" s="1154">
        <v>1</v>
      </c>
      <c r="AR106" s="962">
        <f t="shared" si="4"/>
        <v>0.67110316092337996</v>
      </c>
      <c r="AS106" s="1153"/>
      <c r="AT106" s="1154">
        <f t="shared" si="5"/>
        <v>8.0558710550160145E-2</v>
      </c>
      <c r="AU106" s="1153"/>
      <c r="AV106" s="1153"/>
      <c r="AW106" s="1153"/>
      <c r="AX106" s="1153"/>
      <c r="AY106" s="1153"/>
      <c r="AZ106" s="958"/>
      <c r="BA106" s="1153"/>
      <c r="BB106" s="1153"/>
      <c r="BC106" s="956"/>
      <c r="BD106" s="1153"/>
      <c r="BE106" s="1153"/>
      <c r="BF106" s="1153"/>
      <c r="BG106" s="1152"/>
    </row>
    <row r="107" spans="1:59" x14ac:dyDescent="0.45">
      <c r="A107" s="14">
        <v>1797</v>
      </c>
      <c r="B107" s="507">
        <v>14.530425599999996</v>
      </c>
      <c r="C107" s="1153"/>
      <c r="D107" s="1153"/>
      <c r="E107" s="507"/>
      <c r="F107" s="1153"/>
      <c r="G107" s="1153"/>
      <c r="H107" s="1155"/>
      <c r="I107" s="1153"/>
      <c r="J107" s="1153"/>
      <c r="K107" s="1153"/>
      <c r="L107" s="1153"/>
      <c r="M107" s="1153"/>
      <c r="N107" s="1153"/>
      <c r="O107" s="1153"/>
      <c r="P107" s="1153"/>
      <c r="Q107" s="1153"/>
      <c r="R107" s="507">
        <v>13.609141711340747</v>
      </c>
      <c r="S107" s="507">
        <v>0.92128388865924826</v>
      </c>
      <c r="T107" s="507">
        <v>14.530425599999996</v>
      </c>
      <c r="U107" s="1153"/>
      <c r="V107" s="1153"/>
      <c r="W107" s="1153"/>
      <c r="X107" s="1153"/>
      <c r="Y107" s="1156">
        <v>1797</v>
      </c>
      <c r="Z107" s="1153"/>
      <c r="AA107" s="1153"/>
      <c r="AB107" s="1153"/>
      <c r="AC107" s="1153"/>
      <c r="AD107" s="1153"/>
      <c r="AE107" s="1153"/>
      <c r="AF107" s="1153"/>
      <c r="AG107" s="1153"/>
      <c r="AH107" s="958">
        <f t="shared" si="3"/>
        <v>0</v>
      </c>
      <c r="AI107" s="1153"/>
      <c r="AJ107" s="1153"/>
      <c r="AK107" s="1153"/>
      <c r="AL107" s="1153"/>
      <c r="AM107" s="1153"/>
      <c r="AN107" s="1153"/>
      <c r="AO107" s="1153"/>
      <c r="AP107" s="1153"/>
      <c r="AQ107" s="1154">
        <v>1</v>
      </c>
      <c r="AR107" s="962">
        <f t="shared" si="4"/>
        <v>0.67110316092337996</v>
      </c>
      <c r="AS107" s="1153"/>
      <c r="AT107" s="1154">
        <f t="shared" si="5"/>
        <v>8.0558710550160145E-2</v>
      </c>
      <c r="AU107" s="1153"/>
      <c r="AV107" s="1153"/>
      <c r="AW107" s="1153"/>
      <c r="AX107" s="1153"/>
      <c r="AY107" s="1153"/>
      <c r="AZ107" s="958"/>
      <c r="BA107" s="1153"/>
      <c r="BB107" s="1153"/>
      <c r="BC107" s="956"/>
      <c r="BD107" s="1153"/>
      <c r="BE107" s="1153"/>
      <c r="BF107" s="1153"/>
      <c r="BG107" s="1152"/>
    </row>
    <row r="108" spans="1:59" x14ac:dyDescent="0.45">
      <c r="A108" s="14">
        <v>1798</v>
      </c>
      <c r="B108" s="507">
        <v>14.782190399999996</v>
      </c>
      <c r="C108" s="1153"/>
      <c r="D108" s="1153"/>
      <c r="E108" s="507"/>
      <c r="F108" s="1153"/>
      <c r="G108" s="1153"/>
      <c r="H108" s="1155"/>
      <c r="I108" s="1153"/>
      <c r="J108" s="1153"/>
      <c r="K108" s="1153"/>
      <c r="L108" s="1153"/>
      <c r="M108" s="1153"/>
      <c r="N108" s="1153"/>
      <c r="O108" s="1153"/>
      <c r="P108" s="1153"/>
      <c r="Q108" s="1153"/>
      <c r="R108" s="507">
        <v>13.846306209629635</v>
      </c>
      <c r="S108" s="507">
        <v>0.93588419037036097</v>
      </c>
      <c r="T108" s="507">
        <v>14.782190399999996</v>
      </c>
      <c r="U108" s="1153"/>
      <c r="V108" s="1153"/>
      <c r="W108" s="1153"/>
      <c r="X108" s="1153"/>
      <c r="Y108" s="1156">
        <v>1798</v>
      </c>
      <c r="Z108" s="1153"/>
      <c r="AA108" s="1153"/>
      <c r="AB108" s="1153"/>
      <c r="AC108" s="1153"/>
      <c r="AD108" s="1153"/>
      <c r="AE108" s="1153"/>
      <c r="AF108" s="1153"/>
      <c r="AG108" s="1153"/>
      <c r="AH108" s="958">
        <f t="shared" si="3"/>
        <v>0</v>
      </c>
      <c r="AI108" s="1153"/>
      <c r="AJ108" s="1153"/>
      <c r="AK108" s="1153"/>
      <c r="AL108" s="1153"/>
      <c r="AM108" s="1153"/>
      <c r="AN108" s="1153"/>
      <c r="AO108" s="1153"/>
      <c r="AP108" s="1153"/>
      <c r="AQ108" s="1154">
        <v>1</v>
      </c>
      <c r="AR108" s="962">
        <f t="shared" si="4"/>
        <v>0.67110316092337996</v>
      </c>
      <c r="AS108" s="1153"/>
      <c r="AT108" s="1154">
        <f t="shared" si="5"/>
        <v>8.0558710550160145E-2</v>
      </c>
      <c r="AU108" s="1153"/>
      <c r="AV108" s="1153"/>
      <c r="AW108" s="1153"/>
      <c r="AX108" s="1153"/>
      <c r="AY108" s="1153"/>
      <c r="AZ108" s="958"/>
      <c r="BA108" s="1153"/>
      <c r="BB108" s="1153"/>
      <c r="BC108" s="956"/>
      <c r="BD108" s="1153"/>
      <c r="BE108" s="1153"/>
      <c r="BF108" s="1153"/>
      <c r="BG108" s="1152"/>
    </row>
    <row r="109" spans="1:59" x14ac:dyDescent="0.45">
      <c r="A109" s="14">
        <v>1799</v>
      </c>
      <c r="B109" s="507">
        <v>15.033955199999994</v>
      </c>
      <c r="C109" s="1153"/>
      <c r="D109" s="1153"/>
      <c r="E109" s="507"/>
      <c r="F109" s="1153"/>
      <c r="G109" s="1153"/>
      <c r="H109" s="1155"/>
      <c r="I109" s="1153"/>
      <c r="J109" s="1153"/>
      <c r="K109" s="1153"/>
      <c r="L109" s="1153"/>
      <c r="M109" s="1153"/>
      <c r="N109" s="1153"/>
      <c r="O109" s="1153"/>
      <c r="P109" s="1153"/>
      <c r="Q109" s="1153"/>
      <c r="R109" s="507">
        <v>14.066467778999625</v>
      </c>
      <c r="S109" s="507">
        <v>0.967487421000369</v>
      </c>
      <c r="T109" s="507">
        <v>15.033955199999994</v>
      </c>
      <c r="U109" s="1153"/>
      <c r="V109" s="1153"/>
      <c r="W109" s="1153"/>
      <c r="X109" s="1153"/>
      <c r="Y109" s="1156">
        <v>1799</v>
      </c>
      <c r="Z109" s="1153"/>
      <c r="AA109" s="1153"/>
      <c r="AB109" s="1153"/>
      <c r="AC109" s="1153"/>
      <c r="AD109" s="1153"/>
      <c r="AE109" s="1153"/>
      <c r="AF109" s="1153"/>
      <c r="AG109" s="1153"/>
      <c r="AH109" s="958">
        <f t="shared" si="3"/>
        <v>0</v>
      </c>
      <c r="AI109" s="1153"/>
      <c r="AJ109" s="1153"/>
      <c r="AK109" s="1153"/>
      <c r="AL109" s="1153"/>
      <c r="AM109" s="1153"/>
      <c r="AN109" s="1153"/>
      <c r="AO109" s="1153"/>
      <c r="AP109" s="1153"/>
      <c r="AQ109" s="1154">
        <v>1</v>
      </c>
      <c r="AR109" s="962">
        <f t="shared" si="4"/>
        <v>0.67110316092337996</v>
      </c>
      <c r="AS109" s="1153"/>
      <c r="AT109" s="1154">
        <f t="shared" si="5"/>
        <v>8.0558710550160145E-2</v>
      </c>
      <c r="AU109" s="1153"/>
      <c r="AV109" s="1153"/>
      <c r="AW109" s="1153"/>
      <c r="AX109" s="1153"/>
      <c r="AY109" s="1153"/>
      <c r="AZ109" s="958"/>
      <c r="BA109" s="1153"/>
      <c r="BB109" s="1153"/>
      <c r="BC109" s="956"/>
      <c r="BD109" s="1153"/>
      <c r="BE109" s="1153"/>
      <c r="BF109" s="1153"/>
      <c r="BG109" s="1152"/>
    </row>
    <row r="110" spans="1:59" x14ac:dyDescent="0.45">
      <c r="A110" s="14">
        <v>1800</v>
      </c>
      <c r="B110" s="506">
        <v>15.28572</v>
      </c>
      <c r="E110" s="506"/>
      <c r="H110" s="1160"/>
      <c r="R110" s="506">
        <v>14.248267318556318</v>
      </c>
      <c r="S110" s="506">
        <v>1.037452681443682</v>
      </c>
      <c r="T110" s="506">
        <v>15.28572</v>
      </c>
      <c r="Y110" s="1156">
        <v>1800</v>
      </c>
      <c r="Z110" s="964">
        <f>BT16/1000*1.016</f>
        <v>5.4356</v>
      </c>
      <c r="AA110" s="964">
        <f>BM16/1000*1.016</f>
        <v>1.8288</v>
      </c>
      <c r="AB110" s="964">
        <f>(BN16+BO16+BQ16)/1000*1.016</f>
        <v>5.8826400000000003</v>
      </c>
      <c r="AH110" s="967">
        <f t="shared" si="3"/>
        <v>0.4738978930307941</v>
      </c>
      <c r="AQ110" s="963">
        <v>1</v>
      </c>
      <c r="AR110" s="966">
        <f t="shared" si="4"/>
        <v>0.67110316092337996</v>
      </c>
      <c r="AT110" s="963">
        <f t="shared" si="5"/>
        <v>8.0558710550160145E-2</v>
      </c>
      <c r="AZ110" s="956">
        <f t="shared" ref="AZ110:AZ137" si="6">+AA110*(1-AR110)</f>
        <v>0.60148653930332274</v>
      </c>
      <c r="BC110" s="956">
        <f t="shared" ref="BC110:BC137" si="7">AY110+AZ110+BA110+BB110</f>
        <v>0.60148653930332274</v>
      </c>
      <c r="BF110" s="956">
        <f t="shared" ref="BF110:BF173" si="8">BC110/BF$8</f>
        <v>0.67738261410070544</v>
      </c>
    </row>
    <row r="111" spans="1:59" x14ac:dyDescent="0.45">
      <c r="A111" s="14">
        <v>1801</v>
      </c>
      <c r="B111" s="507">
        <v>15.804895999999999</v>
      </c>
      <c r="C111" s="1153"/>
      <c r="D111" s="1153"/>
      <c r="E111" s="507"/>
      <c r="F111" s="1153"/>
      <c r="G111" s="1153"/>
      <c r="H111" s="1160"/>
      <c r="I111" s="1153"/>
      <c r="J111" s="1153"/>
      <c r="K111" s="1153"/>
      <c r="L111" s="1153"/>
      <c r="M111" s="1153"/>
      <c r="N111" s="1153"/>
      <c r="O111" s="1153"/>
      <c r="P111" s="1153"/>
      <c r="Q111" s="1153"/>
      <c r="R111" s="507">
        <v>14.817859146277991</v>
      </c>
      <c r="S111" s="507">
        <v>0.98703685372200844</v>
      </c>
      <c r="T111" s="507">
        <v>15.804895999999999</v>
      </c>
      <c r="U111" s="1153"/>
      <c r="V111" s="1153"/>
      <c r="W111" s="1153"/>
      <c r="X111" s="1153"/>
      <c r="Y111" s="1156">
        <v>1801</v>
      </c>
      <c r="Z111" s="965">
        <f>+Z110+(Z$140-Z$110)/30</f>
        <v>5.6489599999999998</v>
      </c>
      <c r="AA111" s="965">
        <f>+AA110+(AA$140-AA$110)/30</f>
        <v>1.9591866666666666</v>
      </c>
      <c r="AB111" s="965">
        <f>+AB110+(AB$140-AB$110)/30</f>
        <v>5.9778053333333334</v>
      </c>
      <c r="AC111" s="1153"/>
      <c r="AD111" s="1153"/>
      <c r="AE111" s="1153"/>
      <c r="AF111" s="1153"/>
      <c r="AG111" s="1153"/>
      <c r="AH111" s="958">
        <f t="shared" si="3"/>
        <v>0.48156428957320357</v>
      </c>
      <c r="AI111" s="1153"/>
      <c r="AJ111" s="1153"/>
      <c r="AK111" s="1153"/>
      <c r="AL111" s="1153"/>
      <c r="AM111" s="1153"/>
      <c r="AN111" s="1153"/>
      <c r="AO111" s="1153"/>
      <c r="AP111" s="1153"/>
      <c r="AQ111" s="1154">
        <v>1</v>
      </c>
      <c r="AR111" s="962">
        <f t="shared" si="4"/>
        <v>0.67110316092337996</v>
      </c>
      <c r="AS111" s="1153"/>
      <c r="AT111" s="1154">
        <f t="shared" si="5"/>
        <v>8.0558710550160145E-2</v>
      </c>
      <c r="AU111" s="1153"/>
      <c r="AV111" s="1153"/>
      <c r="AW111" s="1153"/>
      <c r="AX111" s="1153"/>
      <c r="AY111" s="1153"/>
      <c r="AZ111" s="958">
        <f t="shared" si="6"/>
        <v>0.64437030182772626</v>
      </c>
      <c r="BA111" s="1152"/>
      <c r="BB111" s="1152"/>
      <c r="BC111" s="956">
        <f t="shared" si="7"/>
        <v>0.64437030182772626</v>
      </c>
      <c r="BD111" s="1152"/>
      <c r="BE111" s="1152"/>
      <c r="BF111" s="956">
        <f t="shared" si="8"/>
        <v>0.72567748566158907</v>
      </c>
    </row>
    <row r="112" spans="1:59" x14ac:dyDescent="0.45">
      <c r="A112" s="14">
        <v>1802</v>
      </c>
      <c r="B112" s="507">
        <v>16.324072000000001</v>
      </c>
      <c r="C112" s="1153"/>
      <c r="D112" s="1153"/>
      <c r="E112" s="507"/>
      <c r="F112" s="1153"/>
      <c r="G112" s="1153"/>
      <c r="H112" s="1160"/>
      <c r="I112" s="1153"/>
      <c r="J112" s="1153"/>
      <c r="K112" s="1153"/>
      <c r="L112" s="1153"/>
      <c r="M112" s="1153"/>
      <c r="N112" s="1153"/>
      <c r="O112" s="1153"/>
      <c r="P112" s="1153"/>
      <c r="Q112" s="1153"/>
      <c r="R112" s="507">
        <v>15.245408576918894</v>
      </c>
      <c r="S112" s="507">
        <v>1.0786634230811067</v>
      </c>
      <c r="T112" s="507">
        <v>16.324072000000001</v>
      </c>
      <c r="U112" s="1153"/>
      <c r="V112" s="1153"/>
      <c r="W112" s="1153"/>
      <c r="X112" s="1153"/>
      <c r="Y112" s="1156">
        <v>1802</v>
      </c>
      <c r="Z112" s="965">
        <f t="shared" ref="Z112:AB139" si="9">+Z111+(Z$140-Z$110)/30</f>
        <v>5.8623199999999995</v>
      </c>
      <c r="AA112" s="965">
        <f t="shared" si="9"/>
        <v>2.0895733333333335</v>
      </c>
      <c r="AB112" s="965">
        <f t="shared" si="9"/>
        <v>6.0729706666666665</v>
      </c>
      <c r="AC112" s="1153"/>
      <c r="AD112" s="1153"/>
      <c r="AE112" s="1153"/>
      <c r="AF112" s="1153"/>
      <c r="AG112" s="1153"/>
      <c r="AH112" s="958">
        <f t="shared" si="3"/>
        <v>0.4892306861156131</v>
      </c>
      <c r="AI112" s="1153"/>
      <c r="AJ112" s="1153"/>
      <c r="AK112" s="1153"/>
      <c r="AL112" s="1153"/>
      <c r="AM112" s="1153"/>
      <c r="AN112" s="1153"/>
      <c r="AO112" s="1153"/>
      <c r="AP112" s="1153"/>
      <c r="AQ112" s="1154">
        <v>1</v>
      </c>
      <c r="AR112" s="962">
        <f t="shared" si="4"/>
        <v>0.67110316092337996</v>
      </c>
      <c r="AS112" s="1153"/>
      <c r="AT112" s="1154">
        <f t="shared" si="5"/>
        <v>8.0558710550160145E-2</v>
      </c>
      <c r="AU112" s="1153"/>
      <c r="AV112" s="1153"/>
      <c r="AW112" s="1153"/>
      <c r="AX112" s="1153"/>
      <c r="AY112" s="1153"/>
      <c r="AZ112" s="958">
        <f t="shared" si="6"/>
        <v>0.68725406435212988</v>
      </c>
      <c r="BA112" s="1152"/>
      <c r="BB112" s="1152"/>
      <c r="BC112" s="956">
        <f t="shared" si="7"/>
        <v>0.68725406435212988</v>
      </c>
      <c r="BD112" s="1152"/>
      <c r="BE112" s="1152"/>
      <c r="BF112" s="956">
        <f t="shared" si="8"/>
        <v>0.77397235722247271</v>
      </c>
    </row>
    <row r="113" spans="1:58" x14ac:dyDescent="0.45">
      <c r="A113" s="14">
        <v>1803</v>
      </c>
      <c r="B113" s="507">
        <v>16.843247999999999</v>
      </c>
      <c r="C113" s="1153"/>
      <c r="D113" s="1153"/>
      <c r="E113" s="507"/>
      <c r="F113" s="1153"/>
      <c r="G113" s="1153"/>
      <c r="H113" s="1160"/>
      <c r="I113" s="1153"/>
      <c r="J113" s="1153"/>
      <c r="K113" s="1153"/>
      <c r="L113" s="1153"/>
      <c r="M113" s="1153"/>
      <c r="N113" s="1153"/>
      <c r="O113" s="1153"/>
      <c r="P113" s="1153"/>
      <c r="Q113" s="1153"/>
      <c r="R113" s="507">
        <v>15.749330299229099</v>
      </c>
      <c r="S113" s="507">
        <v>1.0939177007709002</v>
      </c>
      <c r="T113" s="507">
        <v>16.843247999999999</v>
      </c>
      <c r="U113" s="1153"/>
      <c r="V113" s="1153"/>
      <c r="W113" s="1153"/>
      <c r="X113" s="1153"/>
      <c r="Y113" s="1156">
        <v>1803</v>
      </c>
      <c r="Z113" s="965">
        <f t="shared" si="9"/>
        <v>6.0756799999999993</v>
      </c>
      <c r="AA113" s="965">
        <f t="shared" si="9"/>
        <v>2.2199600000000004</v>
      </c>
      <c r="AB113" s="965">
        <f t="shared" si="9"/>
        <v>6.1681359999999996</v>
      </c>
      <c r="AC113" s="1153"/>
      <c r="AD113" s="1153"/>
      <c r="AE113" s="1153"/>
      <c r="AF113" s="1153"/>
      <c r="AG113" s="1153"/>
      <c r="AH113" s="958">
        <f t="shared" si="3"/>
        <v>0.49689708265802257</v>
      </c>
      <c r="AI113" s="1153"/>
      <c r="AJ113" s="1153"/>
      <c r="AK113" s="1153"/>
      <c r="AL113" s="1153"/>
      <c r="AM113" s="1153"/>
      <c r="AN113" s="1153"/>
      <c r="AO113" s="1153"/>
      <c r="AP113" s="1153"/>
      <c r="AQ113" s="1154">
        <v>1</v>
      </c>
      <c r="AR113" s="962">
        <f t="shared" si="4"/>
        <v>0.67110316092337996</v>
      </c>
      <c r="AS113" s="1153"/>
      <c r="AT113" s="1154">
        <f t="shared" si="5"/>
        <v>8.0558710550160145E-2</v>
      </c>
      <c r="AU113" s="1153"/>
      <c r="AV113" s="1153"/>
      <c r="AW113" s="1153"/>
      <c r="AX113" s="1153"/>
      <c r="AY113" s="1153"/>
      <c r="AZ113" s="958">
        <f t="shared" si="6"/>
        <v>0.7301378268765335</v>
      </c>
      <c r="BA113" s="1152"/>
      <c r="BB113" s="1152"/>
      <c r="BC113" s="956">
        <f t="shared" si="7"/>
        <v>0.7301378268765335</v>
      </c>
      <c r="BD113" s="1152"/>
      <c r="BE113" s="1152"/>
      <c r="BF113" s="956">
        <f t="shared" si="8"/>
        <v>0.82226722878335645</v>
      </c>
    </row>
    <row r="114" spans="1:58" x14ac:dyDescent="0.45">
      <c r="A114" s="14">
        <v>1804</v>
      </c>
      <c r="B114" s="507">
        <v>17.362423999999997</v>
      </c>
      <c r="C114" s="1153"/>
      <c r="D114" s="1153"/>
      <c r="E114" s="507"/>
      <c r="F114" s="1153"/>
      <c r="G114" s="1153"/>
      <c r="H114" s="1160"/>
      <c r="I114" s="1153"/>
      <c r="J114" s="1153"/>
      <c r="K114" s="1153"/>
      <c r="L114" s="1153"/>
      <c r="M114" s="1153"/>
      <c r="N114" s="1153"/>
      <c r="O114" s="1153"/>
      <c r="P114" s="1153"/>
      <c r="Q114" s="1153"/>
      <c r="R114" s="507">
        <v>16.253398219136525</v>
      </c>
      <c r="S114" s="507">
        <v>1.1090257808634725</v>
      </c>
      <c r="T114" s="507">
        <v>17.362423999999997</v>
      </c>
      <c r="U114" s="1153"/>
      <c r="V114" s="1153"/>
      <c r="W114" s="1153"/>
      <c r="X114" s="1153"/>
      <c r="Y114" s="1156">
        <v>1804</v>
      </c>
      <c r="Z114" s="965">
        <f t="shared" si="9"/>
        <v>6.2890399999999991</v>
      </c>
      <c r="AA114" s="965">
        <f t="shared" si="9"/>
        <v>2.3503466666666673</v>
      </c>
      <c r="AB114" s="965">
        <f t="shared" si="9"/>
        <v>6.2633013333333327</v>
      </c>
      <c r="AC114" s="1153"/>
      <c r="AD114" s="1153"/>
      <c r="AE114" s="1153"/>
      <c r="AF114" s="1153"/>
      <c r="AG114" s="1153"/>
      <c r="AH114" s="958">
        <f t="shared" si="3"/>
        <v>0.5045634792004321</v>
      </c>
      <c r="AI114" s="1153"/>
      <c r="AJ114" s="1153"/>
      <c r="AK114" s="1153"/>
      <c r="AL114" s="1153"/>
      <c r="AM114" s="1153"/>
      <c r="AN114" s="1153"/>
      <c r="AO114" s="1153"/>
      <c r="AP114" s="1153"/>
      <c r="AQ114" s="1154">
        <v>1</v>
      </c>
      <c r="AR114" s="962">
        <f t="shared" si="4"/>
        <v>0.67110316092337996</v>
      </c>
      <c r="AS114" s="1153"/>
      <c r="AT114" s="1154">
        <f t="shared" si="5"/>
        <v>8.0558710550160145E-2</v>
      </c>
      <c r="AU114" s="1153"/>
      <c r="AV114" s="1153"/>
      <c r="AW114" s="1153"/>
      <c r="AX114" s="1153"/>
      <c r="AY114" s="1153"/>
      <c r="AZ114" s="958">
        <f t="shared" si="6"/>
        <v>0.77302158940093713</v>
      </c>
      <c r="BA114" s="1152"/>
      <c r="BB114" s="1152"/>
      <c r="BC114" s="956">
        <f t="shared" si="7"/>
        <v>0.77302158940093713</v>
      </c>
      <c r="BD114" s="1152"/>
      <c r="BE114" s="1152"/>
      <c r="BF114" s="956">
        <f t="shared" si="8"/>
        <v>0.87056210034424009</v>
      </c>
    </row>
    <row r="115" spans="1:58" x14ac:dyDescent="0.45">
      <c r="A115" s="14">
        <v>1805</v>
      </c>
      <c r="B115" s="507">
        <v>17.881599999999999</v>
      </c>
      <c r="C115" s="1153"/>
      <c r="D115" s="1153"/>
      <c r="E115" s="507"/>
      <c r="F115" s="1153"/>
      <c r="G115" s="1153"/>
      <c r="H115" s="1160"/>
      <c r="I115" s="1153"/>
      <c r="J115" s="1153"/>
      <c r="K115" s="1153"/>
      <c r="L115" s="1153"/>
      <c r="M115" s="1153"/>
      <c r="N115" s="1153"/>
      <c r="O115" s="1153"/>
      <c r="P115" s="1153"/>
      <c r="Q115" s="1153"/>
      <c r="R115" s="507">
        <v>16.76164943553594</v>
      </c>
      <c r="S115" s="507">
        <v>1.1199505644640588</v>
      </c>
      <c r="T115" s="507">
        <v>17.881599999999999</v>
      </c>
      <c r="U115" s="1153"/>
      <c r="V115" s="1153"/>
      <c r="W115" s="1153"/>
      <c r="X115" s="1153"/>
      <c r="Y115" s="1156">
        <v>1805</v>
      </c>
      <c r="Z115" s="965">
        <f t="shared" si="9"/>
        <v>6.5023999999999988</v>
      </c>
      <c r="AA115" s="965">
        <f t="shared" si="9"/>
        <v>2.4807333333333341</v>
      </c>
      <c r="AB115" s="965">
        <f t="shared" si="9"/>
        <v>6.3584666666666658</v>
      </c>
      <c r="AC115" s="1153"/>
      <c r="AD115" s="1153"/>
      <c r="AE115" s="1153"/>
      <c r="AF115" s="1153"/>
      <c r="AG115" s="1153"/>
      <c r="AH115" s="958">
        <f t="shared" si="3"/>
        <v>0.51222987574284151</v>
      </c>
      <c r="AI115" s="1153"/>
      <c r="AJ115" s="1153"/>
      <c r="AK115" s="1153"/>
      <c r="AL115" s="1153"/>
      <c r="AM115" s="1153"/>
      <c r="AN115" s="1153"/>
      <c r="AO115" s="1153"/>
      <c r="AP115" s="1153"/>
      <c r="AQ115" s="1154">
        <v>1</v>
      </c>
      <c r="AR115" s="962">
        <f t="shared" si="4"/>
        <v>0.67110316092337996</v>
      </c>
      <c r="AS115" s="1153"/>
      <c r="AT115" s="1154">
        <f t="shared" si="5"/>
        <v>8.0558710550160145E-2</v>
      </c>
      <c r="AU115" s="1153"/>
      <c r="AV115" s="1153"/>
      <c r="AW115" s="1153"/>
      <c r="AX115" s="1153"/>
      <c r="AY115" s="1153"/>
      <c r="AZ115" s="958">
        <f t="shared" si="6"/>
        <v>0.81590535192534086</v>
      </c>
      <c r="BA115" s="1152"/>
      <c r="BB115" s="1152"/>
      <c r="BC115" s="956">
        <f t="shared" si="7"/>
        <v>0.81590535192534086</v>
      </c>
      <c r="BD115" s="1152"/>
      <c r="BE115" s="1152"/>
      <c r="BF115" s="956">
        <f t="shared" si="8"/>
        <v>0.91885697190512394</v>
      </c>
    </row>
    <row r="116" spans="1:58" x14ac:dyDescent="0.45">
      <c r="A116" s="14">
        <v>1806</v>
      </c>
      <c r="B116" s="507">
        <v>18.400775999999997</v>
      </c>
      <c r="C116" s="1153"/>
      <c r="D116" s="1153"/>
      <c r="E116" s="507"/>
      <c r="F116" s="1153"/>
      <c r="G116" s="1153"/>
      <c r="H116" s="1160"/>
      <c r="I116" s="1153"/>
      <c r="J116" s="1153"/>
      <c r="K116" s="1153"/>
      <c r="L116" s="1153"/>
      <c r="M116" s="1153"/>
      <c r="N116" s="1153"/>
      <c r="O116" s="1153"/>
      <c r="P116" s="1153"/>
      <c r="Q116" s="1153"/>
      <c r="R116" s="507">
        <v>17.222240215329144</v>
      </c>
      <c r="S116" s="507">
        <v>1.1785357846708528</v>
      </c>
      <c r="T116" s="507">
        <v>18.400775999999997</v>
      </c>
      <c r="U116" s="1153"/>
      <c r="V116" s="1153"/>
      <c r="W116" s="1153"/>
      <c r="X116" s="1153"/>
      <c r="Y116" s="1156">
        <v>1806</v>
      </c>
      <c r="Z116" s="965">
        <f t="shared" si="9"/>
        <v>6.7157599999999986</v>
      </c>
      <c r="AA116" s="965">
        <f t="shared" si="9"/>
        <v>2.611120000000001</v>
      </c>
      <c r="AB116" s="965">
        <f t="shared" si="9"/>
        <v>6.4536319999999989</v>
      </c>
      <c r="AC116" s="1153"/>
      <c r="AD116" s="1153"/>
      <c r="AE116" s="1153"/>
      <c r="AF116" s="1153"/>
      <c r="AG116" s="1153"/>
      <c r="AH116" s="958">
        <f t="shared" si="3"/>
        <v>0.51989627228525104</v>
      </c>
      <c r="AI116" s="1153"/>
      <c r="AJ116" s="1153"/>
      <c r="AK116" s="1153"/>
      <c r="AL116" s="1153"/>
      <c r="AM116" s="1153"/>
      <c r="AN116" s="1153"/>
      <c r="AO116" s="1153"/>
      <c r="AP116" s="1153"/>
      <c r="AQ116" s="1154">
        <v>1</v>
      </c>
      <c r="AR116" s="962">
        <f t="shared" si="4"/>
        <v>0.67110316092337996</v>
      </c>
      <c r="AS116" s="1153"/>
      <c r="AT116" s="1154">
        <f t="shared" si="5"/>
        <v>8.0558710550160145E-2</v>
      </c>
      <c r="AU116" s="1153"/>
      <c r="AV116" s="1153"/>
      <c r="AW116" s="1153"/>
      <c r="AX116" s="1153"/>
      <c r="AY116" s="1153"/>
      <c r="AZ116" s="958">
        <f t="shared" si="6"/>
        <v>0.85878911444974448</v>
      </c>
      <c r="BA116" s="1152"/>
      <c r="BB116" s="1152"/>
      <c r="BC116" s="956">
        <f t="shared" si="7"/>
        <v>0.85878911444974448</v>
      </c>
      <c r="BD116" s="1152"/>
      <c r="BE116" s="1152"/>
      <c r="BF116" s="956">
        <f t="shared" si="8"/>
        <v>0.96715184346600758</v>
      </c>
    </row>
    <row r="117" spans="1:58" x14ac:dyDescent="0.45">
      <c r="A117" s="14">
        <v>1807</v>
      </c>
      <c r="B117" s="507">
        <v>18.919951999999995</v>
      </c>
      <c r="C117" s="1153"/>
      <c r="D117" s="1153"/>
      <c r="E117" s="507"/>
      <c r="F117" s="1153"/>
      <c r="G117" s="1153"/>
      <c r="H117" s="1160"/>
      <c r="I117" s="1153"/>
      <c r="J117" s="1153"/>
      <c r="K117" s="1153"/>
      <c r="L117" s="1153"/>
      <c r="M117" s="1153"/>
      <c r="N117" s="1153"/>
      <c r="O117" s="1153"/>
      <c r="P117" s="1153"/>
      <c r="Q117" s="1153"/>
      <c r="R117" s="507">
        <v>17.818021967693277</v>
      </c>
      <c r="S117" s="507">
        <v>1.1019300323067185</v>
      </c>
      <c r="T117" s="507">
        <v>18.919951999999995</v>
      </c>
      <c r="U117" s="1153"/>
      <c r="V117" s="1153"/>
      <c r="W117" s="1153"/>
      <c r="X117" s="1153"/>
      <c r="Y117" s="1156">
        <v>1807</v>
      </c>
      <c r="Z117" s="965">
        <f t="shared" si="9"/>
        <v>6.9291199999999984</v>
      </c>
      <c r="AA117" s="965">
        <f t="shared" si="9"/>
        <v>2.7415066666666679</v>
      </c>
      <c r="AB117" s="965">
        <f t="shared" si="9"/>
        <v>6.548797333333332</v>
      </c>
      <c r="AC117" s="1153"/>
      <c r="AD117" s="1153"/>
      <c r="AE117" s="1153"/>
      <c r="AF117" s="1153"/>
      <c r="AG117" s="1153"/>
      <c r="AH117" s="958">
        <f t="shared" si="3"/>
        <v>0.52756266882766056</v>
      </c>
      <c r="AI117" s="1153"/>
      <c r="AJ117" s="1153"/>
      <c r="AK117" s="1153"/>
      <c r="AL117" s="1153"/>
      <c r="AM117" s="1153"/>
      <c r="AN117" s="1153"/>
      <c r="AO117" s="1153"/>
      <c r="AP117" s="1153"/>
      <c r="AQ117" s="1154">
        <v>1</v>
      </c>
      <c r="AR117" s="962">
        <f t="shared" si="4"/>
        <v>0.67110316092337996</v>
      </c>
      <c r="AS117" s="1153"/>
      <c r="AT117" s="1154">
        <f t="shared" si="5"/>
        <v>8.0558710550160145E-2</v>
      </c>
      <c r="AU117" s="1153"/>
      <c r="AV117" s="1153"/>
      <c r="AW117" s="1153"/>
      <c r="AX117" s="1153"/>
      <c r="AY117" s="1153"/>
      <c r="AZ117" s="958">
        <f t="shared" si="6"/>
        <v>0.90167287697414811</v>
      </c>
      <c r="BA117" s="1152"/>
      <c r="BB117" s="1152"/>
      <c r="BC117" s="956">
        <f t="shared" si="7"/>
        <v>0.90167287697414811</v>
      </c>
      <c r="BD117" s="1152"/>
      <c r="BE117" s="1152"/>
      <c r="BF117" s="956">
        <f t="shared" si="8"/>
        <v>1.0154467150268913</v>
      </c>
    </row>
    <row r="118" spans="1:58" x14ac:dyDescent="0.45">
      <c r="A118" s="14">
        <v>1808</v>
      </c>
      <c r="B118" s="507">
        <v>19.439127999999997</v>
      </c>
      <c r="C118" s="1153"/>
      <c r="D118" s="1153"/>
      <c r="E118" s="507"/>
      <c r="F118" s="1153"/>
      <c r="G118" s="1153"/>
      <c r="H118" s="1160"/>
      <c r="I118" s="1153"/>
      <c r="J118" s="1153"/>
      <c r="K118" s="1153"/>
      <c r="L118" s="1153"/>
      <c r="M118" s="1153"/>
      <c r="N118" s="1153"/>
      <c r="O118" s="1153"/>
      <c r="P118" s="1153"/>
      <c r="Q118" s="1153"/>
      <c r="R118" s="507">
        <v>18.258389217553205</v>
      </c>
      <c r="S118" s="507">
        <v>1.1807387824467916</v>
      </c>
      <c r="T118" s="507">
        <v>19.439127999999997</v>
      </c>
      <c r="U118" s="1153"/>
      <c r="V118" s="1153"/>
      <c r="W118" s="1153"/>
      <c r="X118" s="1153"/>
      <c r="Y118" s="1156">
        <v>1808</v>
      </c>
      <c r="Z118" s="965">
        <f t="shared" si="9"/>
        <v>7.1424799999999982</v>
      </c>
      <c r="AA118" s="965">
        <f t="shared" si="9"/>
        <v>2.8718933333333347</v>
      </c>
      <c r="AB118" s="965">
        <f t="shared" si="9"/>
        <v>6.6439626666666651</v>
      </c>
      <c r="AC118" s="1153"/>
      <c r="AD118" s="1153"/>
      <c r="AE118" s="1153"/>
      <c r="AF118" s="1153"/>
      <c r="AG118" s="1153"/>
      <c r="AH118" s="958">
        <f t="shared" si="3"/>
        <v>0.53522906537006998</v>
      </c>
      <c r="AI118" s="1153"/>
      <c r="AJ118" s="1153"/>
      <c r="AK118" s="1153"/>
      <c r="AL118" s="1153"/>
      <c r="AM118" s="1153"/>
      <c r="AN118" s="1153"/>
      <c r="AO118" s="1153"/>
      <c r="AP118" s="1153"/>
      <c r="AQ118" s="1154">
        <v>1</v>
      </c>
      <c r="AR118" s="962">
        <f t="shared" si="4"/>
        <v>0.67110316092337996</v>
      </c>
      <c r="AS118" s="1153"/>
      <c r="AT118" s="1154">
        <f t="shared" si="5"/>
        <v>8.0558710550160145E-2</v>
      </c>
      <c r="AU118" s="1153"/>
      <c r="AV118" s="1153"/>
      <c r="AW118" s="1153"/>
      <c r="AX118" s="1153"/>
      <c r="AY118" s="1153"/>
      <c r="AZ118" s="958">
        <f t="shared" si="6"/>
        <v>0.94455663949855173</v>
      </c>
      <c r="BA118" s="1152"/>
      <c r="BB118" s="1152"/>
      <c r="BC118" s="956">
        <f t="shared" si="7"/>
        <v>0.94455663949855173</v>
      </c>
      <c r="BD118" s="1152"/>
      <c r="BE118" s="1152"/>
      <c r="BF118" s="956">
        <f t="shared" si="8"/>
        <v>1.0637415865877751</v>
      </c>
    </row>
    <row r="119" spans="1:58" x14ac:dyDescent="0.45">
      <c r="A119" s="14">
        <v>1809</v>
      </c>
      <c r="B119" s="507">
        <v>19.958303999999995</v>
      </c>
      <c r="C119" s="1153"/>
      <c r="D119" s="1153"/>
      <c r="E119" s="507"/>
      <c r="F119" s="1153"/>
      <c r="G119" s="1153"/>
      <c r="H119" s="1160"/>
      <c r="I119" s="1153"/>
      <c r="J119" s="1153"/>
      <c r="K119" s="1153"/>
      <c r="L119" s="1153"/>
      <c r="M119" s="1153"/>
      <c r="N119" s="1153"/>
      <c r="O119" s="1153"/>
      <c r="P119" s="1153"/>
      <c r="Q119" s="1153"/>
      <c r="R119" s="507">
        <v>18.724709911566876</v>
      </c>
      <c r="S119" s="507">
        <v>1.2335940884331187</v>
      </c>
      <c r="T119" s="507">
        <v>19.958303999999995</v>
      </c>
      <c r="U119" s="1153"/>
      <c r="V119" s="1153"/>
      <c r="W119" s="1153"/>
      <c r="X119" s="1153"/>
      <c r="Y119" s="1156">
        <v>1809</v>
      </c>
      <c r="Z119" s="965">
        <f t="shared" si="9"/>
        <v>7.3558399999999979</v>
      </c>
      <c r="AA119" s="965">
        <f t="shared" si="9"/>
        <v>3.0022800000000016</v>
      </c>
      <c r="AB119" s="965">
        <f t="shared" si="9"/>
        <v>6.7391279999999982</v>
      </c>
      <c r="AC119" s="1153"/>
      <c r="AD119" s="1153"/>
      <c r="AE119" s="1153"/>
      <c r="AF119" s="1153"/>
      <c r="AG119" s="1153"/>
      <c r="AH119" s="958">
        <f t="shared" si="3"/>
        <v>0.5428954619124795</v>
      </c>
      <c r="AI119" s="1153"/>
      <c r="AJ119" s="1153"/>
      <c r="AK119" s="1153"/>
      <c r="AL119" s="1153"/>
      <c r="AM119" s="1153"/>
      <c r="AN119" s="1153"/>
      <c r="AO119" s="1153"/>
      <c r="AP119" s="1153"/>
      <c r="AQ119" s="1154">
        <v>1</v>
      </c>
      <c r="AR119" s="962">
        <f t="shared" si="4"/>
        <v>0.67110316092337996</v>
      </c>
      <c r="AS119" s="1153"/>
      <c r="AT119" s="1154">
        <f t="shared" si="5"/>
        <v>8.0558710550160145E-2</v>
      </c>
      <c r="AU119" s="1153"/>
      <c r="AV119" s="1153"/>
      <c r="AW119" s="1153"/>
      <c r="AX119" s="1153"/>
      <c r="AY119" s="1153"/>
      <c r="AZ119" s="958">
        <f t="shared" si="6"/>
        <v>0.98744040202295535</v>
      </c>
      <c r="BA119" s="1152"/>
      <c r="BB119" s="1152"/>
      <c r="BC119" s="956">
        <f t="shared" si="7"/>
        <v>0.98744040202295535</v>
      </c>
      <c r="BD119" s="1152"/>
      <c r="BE119" s="1152"/>
      <c r="BF119" s="956">
        <f t="shared" si="8"/>
        <v>1.1120364581486588</v>
      </c>
    </row>
    <row r="120" spans="1:58" x14ac:dyDescent="0.45">
      <c r="A120" s="14">
        <v>1810</v>
      </c>
      <c r="B120" s="507">
        <v>20.477479999999993</v>
      </c>
      <c r="C120" s="1153"/>
      <c r="D120" s="1153"/>
      <c r="E120" s="507"/>
      <c r="F120" s="1153"/>
      <c r="G120" s="1153"/>
      <c r="H120" s="1160"/>
      <c r="I120" s="1153"/>
      <c r="J120" s="1153"/>
      <c r="K120" s="1153"/>
      <c r="L120" s="1153"/>
      <c r="M120" s="1153"/>
      <c r="N120" s="1153"/>
      <c r="O120" s="1153"/>
      <c r="P120" s="1153"/>
      <c r="Q120" s="1153"/>
      <c r="R120" s="507">
        <v>19.189986389931487</v>
      </c>
      <c r="S120" s="507">
        <v>1.2874936100685055</v>
      </c>
      <c r="T120" s="507">
        <v>20.477479999999993</v>
      </c>
      <c r="U120" s="1153"/>
      <c r="V120" s="1153"/>
      <c r="W120" s="1153"/>
      <c r="X120" s="1153"/>
      <c r="Y120" s="1156">
        <v>1810</v>
      </c>
      <c r="Z120" s="965">
        <f t="shared" si="9"/>
        <v>7.5691999999999977</v>
      </c>
      <c r="AA120" s="965">
        <f t="shared" si="9"/>
        <v>3.1326666666666685</v>
      </c>
      <c r="AB120" s="965">
        <f t="shared" si="9"/>
        <v>6.8342933333333313</v>
      </c>
      <c r="AC120" s="1153"/>
      <c r="AD120" s="1153"/>
      <c r="AE120" s="1153"/>
      <c r="AF120" s="1153"/>
      <c r="AG120" s="1153"/>
      <c r="AH120" s="958">
        <f t="shared" si="3"/>
        <v>0.55056185845488903</v>
      </c>
      <c r="AI120" s="1153"/>
      <c r="AJ120" s="1153"/>
      <c r="AK120" s="1153"/>
      <c r="AL120" s="1153"/>
      <c r="AM120" s="1153"/>
      <c r="AN120" s="1153"/>
      <c r="AO120" s="1153"/>
      <c r="AP120" s="1153"/>
      <c r="AQ120" s="1154">
        <v>1</v>
      </c>
      <c r="AR120" s="962">
        <f t="shared" si="4"/>
        <v>0.67110316092337996</v>
      </c>
      <c r="AS120" s="1153"/>
      <c r="AT120" s="1154">
        <f t="shared" si="5"/>
        <v>8.0558710550160145E-2</v>
      </c>
      <c r="AU120" s="1153"/>
      <c r="AV120" s="1153"/>
      <c r="AW120" s="1153"/>
      <c r="AX120" s="1153"/>
      <c r="AY120" s="1153"/>
      <c r="AZ120" s="958">
        <f t="shared" si="6"/>
        <v>1.0303241645473589</v>
      </c>
      <c r="BA120" s="1152"/>
      <c r="BB120" s="1152"/>
      <c r="BC120" s="956">
        <f t="shared" si="7"/>
        <v>1.0303241645473589</v>
      </c>
      <c r="BD120" s="1152"/>
      <c r="BE120" s="1152"/>
      <c r="BF120" s="956">
        <f t="shared" si="8"/>
        <v>1.1603313297095423</v>
      </c>
    </row>
    <row r="121" spans="1:58" x14ac:dyDescent="0.45">
      <c r="A121" s="14">
        <v>1811</v>
      </c>
      <c r="B121" s="507">
        <v>20.996655999999994</v>
      </c>
      <c r="C121" s="1153"/>
      <c r="D121" s="1153"/>
      <c r="E121" s="507"/>
      <c r="F121" s="1153"/>
      <c r="G121" s="1153"/>
      <c r="H121" s="1160"/>
      <c r="I121" s="1153"/>
      <c r="J121" s="1153"/>
      <c r="K121" s="1153"/>
      <c r="L121" s="1153"/>
      <c r="M121" s="1153"/>
      <c r="N121" s="1153"/>
      <c r="O121" s="1153"/>
      <c r="P121" s="1153"/>
      <c r="Q121" s="1153"/>
      <c r="R121" s="507">
        <v>19.65418635731768</v>
      </c>
      <c r="S121" s="507">
        <v>1.3424696426823139</v>
      </c>
      <c r="T121" s="507">
        <v>20.996655999999994</v>
      </c>
      <c r="U121" s="1153"/>
      <c r="V121" s="1153"/>
      <c r="W121" s="1153"/>
      <c r="X121" s="1153"/>
      <c r="Y121" s="1156">
        <v>1811</v>
      </c>
      <c r="Z121" s="965">
        <f t="shared" si="9"/>
        <v>7.7825599999999975</v>
      </c>
      <c r="AA121" s="965">
        <f t="shared" si="9"/>
        <v>3.2630533333333354</v>
      </c>
      <c r="AB121" s="965">
        <f t="shared" si="9"/>
        <v>6.9294586666666644</v>
      </c>
      <c r="AC121" s="1153"/>
      <c r="AD121" s="1153"/>
      <c r="AE121" s="1153"/>
      <c r="AF121" s="1153"/>
      <c r="AG121" s="1153"/>
      <c r="AH121" s="958">
        <f t="shared" si="3"/>
        <v>0.55822825499729845</v>
      </c>
      <c r="AI121" s="1153"/>
      <c r="AJ121" s="1153"/>
      <c r="AK121" s="1153"/>
      <c r="AL121" s="1153"/>
      <c r="AM121" s="1153"/>
      <c r="AN121" s="1153"/>
      <c r="AO121" s="1153"/>
      <c r="AP121" s="1153"/>
      <c r="AQ121" s="1154">
        <v>1</v>
      </c>
      <c r="AR121" s="962">
        <f t="shared" si="4"/>
        <v>0.67110316092337996</v>
      </c>
      <c r="AS121" s="1153"/>
      <c r="AT121" s="1154">
        <f t="shared" si="5"/>
        <v>8.0558710550160145E-2</v>
      </c>
      <c r="AU121" s="1153"/>
      <c r="AV121" s="1153"/>
      <c r="AW121" s="1153"/>
      <c r="AX121" s="1153"/>
      <c r="AY121" s="1153"/>
      <c r="AZ121" s="958">
        <f t="shared" si="6"/>
        <v>1.0732079270717627</v>
      </c>
      <c r="BA121" s="1152"/>
      <c r="BB121" s="1152"/>
      <c r="BC121" s="956">
        <f t="shared" si="7"/>
        <v>1.0732079270717627</v>
      </c>
      <c r="BD121" s="1152"/>
      <c r="BE121" s="1152"/>
      <c r="BF121" s="956">
        <f t="shared" si="8"/>
        <v>1.2086262012704263</v>
      </c>
    </row>
    <row r="122" spans="1:58" x14ac:dyDescent="0.45">
      <c r="A122" s="14">
        <v>1812</v>
      </c>
      <c r="B122" s="507">
        <v>21.515831999999993</v>
      </c>
      <c r="C122" s="1153"/>
      <c r="D122" s="1153"/>
      <c r="E122" s="507"/>
      <c r="F122" s="1153"/>
      <c r="G122" s="1153"/>
      <c r="H122" s="1160"/>
      <c r="I122" s="1153"/>
      <c r="J122" s="1153"/>
      <c r="K122" s="1153"/>
      <c r="L122" s="1153"/>
      <c r="M122" s="1153"/>
      <c r="N122" s="1153"/>
      <c r="O122" s="1153"/>
      <c r="P122" s="1153"/>
      <c r="Q122" s="1153"/>
      <c r="R122" s="507">
        <v>20.117276519571497</v>
      </c>
      <c r="S122" s="507">
        <v>1.3985554804284952</v>
      </c>
      <c r="T122" s="507">
        <v>21.515831999999993</v>
      </c>
      <c r="U122" s="1153"/>
      <c r="V122" s="1153"/>
      <c r="W122" s="1153"/>
      <c r="X122" s="1153"/>
      <c r="Y122" s="1156">
        <v>1812</v>
      </c>
      <c r="Z122" s="965">
        <f t="shared" si="9"/>
        <v>7.9959199999999973</v>
      </c>
      <c r="AA122" s="965">
        <f t="shared" si="9"/>
        <v>3.3934400000000022</v>
      </c>
      <c r="AB122" s="965">
        <f t="shared" si="9"/>
        <v>7.0246239999999975</v>
      </c>
      <c r="AC122" s="1153"/>
      <c r="AD122" s="1153"/>
      <c r="AE122" s="1153"/>
      <c r="AF122" s="1153"/>
      <c r="AG122" s="1153"/>
      <c r="AH122" s="958">
        <f t="shared" si="3"/>
        <v>0.56589465153970797</v>
      </c>
      <c r="AI122" s="1153"/>
      <c r="AJ122" s="1153"/>
      <c r="AK122" s="1153"/>
      <c r="AL122" s="1153"/>
      <c r="AM122" s="1153"/>
      <c r="AN122" s="1153"/>
      <c r="AO122" s="1153"/>
      <c r="AP122" s="1153"/>
      <c r="AQ122" s="1154">
        <v>1</v>
      </c>
      <c r="AR122" s="962">
        <f t="shared" si="4"/>
        <v>0.67110316092337996</v>
      </c>
      <c r="AS122" s="1153"/>
      <c r="AT122" s="1154">
        <f t="shared" si="5"/>
        <v>8.0558710550160145E-2</v>
      </c>
      <c r="AU122" s="1153"/>
      <c r="AV122" s="1153"/>
      <c r="AW122" s="1153"/>
      <c r="AX122" s="1153"/>
      <c r="AY122" s="1153"/>
      <c r="AZ122" s="958">
        <f t="shared" si="6"/>
        <v>1.1160916895961663</v>
      </c>
      <c r="BA122" s="1152"/>
      <c r="BB122" s="1152"/>
      <c r="BC122" s="956">
        <f t="shared" si="7"/>
        <v>1.1160916895961663</v>
      </c>
      <c r="BD122" s="1152"/>
      <c r="BE122" s="1152"/>
      <c r="BF122" s="956">
        <f t="shared" si="8"/>
        <v>1.2569210728313098</v>
      </c>
    </row>
    <row r="123" spans="1:58" x14ac:dyDescent="0.45">
      <c r="A123" s="14">
        <v>1813</v>
      </c>
      <c r="B123" s="507">
        <v>22.035007999999991</v>
      </c>
      <c r="C123" s="1153"/>
      <c r="D123" s="1153"/>
      <c r="E123" s="507"/>
      <c r="F123" s="1153"/>
      <c r="G123" s="1153"/>
      <c r="H123" s="1160"/>
      <c r="I123" s="1153"/>
      <c r="J123" s="1153"/>
      <c r="K123" s="1153"/>
      <c r="L123" s="1153"/>
      <c r="M123" s="1153"/>
      <c r="N123" s="1153"/>
      <c r="O123" s="1153"/>
      <c r="P123" s="1153"/>
      <c r="Q123" s="1153"/>
      <c r="R123" s="507">
        <v>20.579222552822845</v>
      </c>
      <c r="S123" s="507">
        <v>1.4557854471771456</v>
      </c>
      <c r="T123" s="507">
        <v>22.035007999999991</v>
      </c>
      <c r="U123" s="1153"/>
      <c r="V123" s="1153"/>
      <c r="W123" s="1153"/>
      <c r="X123" s="1153"/>
      <c r="Y123" s="1156">
        <v>1813</v>
      </c>
      <c r="Z123" s="965">
        <f t="shared" si="9"/>
        <v>8.2092799999999979</v>
      </c>
      <c r="AA123" s="965">
        <f t="shared" si="9"/>
        <v>3.5238266666666691</v>
      </c>
      <c r="AB123" s="965">
        <f t="shared" si="9"/>
        <v>7.1197893333333306</v>
      </c>
      <c r="AC123" s="1153"/>
      <c r="AD123" s="1153"/>
      <c r="AE123" s="1153"/>
      <c r="AF123" s="1153"/>
      <c r="AG123" s="1153"/>
      <c r="AH123" s="958">
        <f t="shared" si="3"/>
        <v>0.5735610480821175</v>
      </c>
      <c r="AI123" s="1153"/>
      <c r="AJ123" s="1153"/>
      <c r="AK123" s="1153"/>
      <c r="AL123" s="1153"/>
      <c r="AM123" s="1153"/>
      <c r="AN123" s="1153"/>
      <c r="AO123" s="1153"/>
      <c r="AP123" s="1153"/>
      <c r="AQ123" s="1154">
        <v>1</v>
      </c>
      <c r="AR123" s="962">
        <f t="shared" si="4"/>
        <v>0.67110316092337996</v>
      </c>
      <c r="AS123" s="1153"/>
      <c r="AT123" s="1154">
        <f t="shared" si="5"/>
        <v>8.0558710550160145E-2</v>
      </c>
      <c r="AU123" s="1153"/>
      <c r="AV123" s="1153"/>
      <c r="AW123" s="1153"/>
      <c r="AX123" s="1153"/>
      <c r="AY123" s="1153"/>
      <c r="AZ123" s="958">
        <f t="shared" si="6"/>
        <v>1.15897545212057</v>
      </c>
      <c r="BA123" s="1152"/>
      <c r="BB123" s="1152"/>
      <c r="BC123" s="956">
        <f t="shared" si="7"/>
        <v>1.15897545212057</v>
      </c>
      <c r="BD123" s="1152"/>
      <c r="BE123" s="1152"/>
      <c r="BF123" s="956">
        <f t="shared" si="8"/>
        <v>1.3052159443921936</v>
      </c>
    </row>
    <row r="124" spans="1:58" x14ac:dyDescent="0.45">
      <c r="A124" s="14">
        <v>1814</v>
      </c>
      <c r="B124" s="507">
        <v>22.554183999999992</v>
      </c>
      <c r="C124" s="1153"/>
      <c r="D124" s="1153"/>
      <c r="E124" s="507"/>
      <c r="F124" s="1153"/>
      <c r="G124" s="1153"/>
      <c r="H124" s="1160"/>
      <c r="I124" s="1153"/>
      <c r="J124" s="1153"/>
      <c r="K124" s="1153"/>
      <c r="L124" s="1153"/>
      <c r="M124" s="1153"/>
      <c r="N124" s="1153"/>
      <c r="O124" s="1153"/>
      <c r="P124" s="1153"/>
      <c r="Q124" s="1153"/>
      <c r="R124" s="507">
        <v>21.039989071638672</v>
      </c>
      <c r="S124" s="507">
        <v>1.5141949283613201</v>
      </c>
      <c r="T124" s="507">
        <v>22.554183999999992</v>
      </c>
      <c r="U124" s="1153"/>
      <c r="V124" s="1153"/>
      <c r="W124" s="1153"/>
      <c r="X124" s="1153"/>
      <c r="Y124" s="1156">
        <v>1814</v>
      </c>
      <c r="Z124" s="965">
        <f t="shared" si="9"/>
        <v>8.4226399999999977</v>
      </c>
      <c r="AA124" s="965">
        <f t="shared" si="9"/>
        <v>3.654213333333336</v>
      </c>
      <c r="AB124" s="965">
        <f t="shared" si="9"/>
        <v>7.2149546666666637</v>
      </c>
      <c r="AC124" s="1153"/>
      <c r="AD124" s="1153"/>
      <c r="AE124" s="1153"/>
      <c r="AF124" s="1153"/>
      <c r="AG124" s="1153"/>
      <c r="AH124" s="958">
        <f t="shared" si="3"/>
        <v>0.58122744462452691</v>
      </c>
      <c r="AI124" s="1153"/>
      <c r="AJ124" s="1153"/>
      <c r="AK124" s="1153"/>
      <c r="AL124" s="1153"/>
      <c r="AM124" s="1153"/>
      <c r="AN124" s="1153"/>
      <c r="AO124" s="1153"/>
      <c r="AP124" s="1153"/>
      <c r="AQ124" s="1154">
        <v>1</v>
      </c>
      <c r="AR124" s="962">
        <f t="shared" si="4"/>
        <v>0.67110316092337996</v>
      </c>
      <c r="AS124" s="1153"/>
      <c r="AT124" s="1154">
        <f t="shared" si="5"/>
        <v>8.0558710550160145E-2</v>
      </c>
      <c r="AU124" s="1153"/>
      <c r="AV124" s="1153"/>
      <c r="AW124" s="1153"/>
      <c r="AX124" s="1153"/>
      <c r="AY124" s="1153"/>
      <c r="AZ124" s="958">
        <f t="shared" si="6"/>
        <v>1.2018592146449736</v>
      </c>
      <c r="BA124" s="1152"/>
      <c r="BB124" s="1152"/>
      <c r="BC124" s="956">
        <f t="shared" si="7"/>
        <v>1.2018592146449736</v>
      </c>
      <c r="BD124" s="1152"/>
      <c r="BE124" s="1152"/>
      <c r="BF124" s="956">
        <f t="shared" si="8"/>
        <v>1.3535108159530773</v>
      </c>
    </row>
    <row r="125" spans="1:58" x14ac:dyDescent="0.45">
      <c r="A125" s="14">
        <v>1815</v>
      </c>
      <c r="B125" s="507">
        <v>23.07335999999999</v>
      </c>
      <c r="C125" s="1153"/>
      <c r="D125" s="1153"/>
      <c r="E125" s="507"/>
      <c r="F125" s="1153"/>
      <c r="G125" s="1153"/>
      <c r="H125" s="1160"/>
      <c r="I125" s="1153"/>
      <c r="J125" s="1153"/>
      <c r="K125" s="1153"/>
      <c r="L125" s="1153"/>
      <c r="M125" s="1153"/>
      <c r="N125" s="1153"/>
      <c r="O125" s="1153"/>
      <c r="P125" s="1153"/>
      <c r="Q125" s="1153"/>
      <c r="R125" s="507">
        <v>21.49953959619107</v>
      </c>
      <c r="S125" s="507">
        <v>1.5738204038089201</v>
      </c>
      <c r="T125" s="507">
        <v>23.07335999999999</v>
      </c>
      <c r="U125" s="1153"/>
      <c r="V125" s="1153"/>
      <c r="W125" s="1153"/>
      <c r="X125" s="1153"/>
      <c r="Y125" s="1156">
        <v>1815</v>
      </c>
      <c r="Z125" s="965">
        <f t="shared" si="9"/>
        <v>8.6359999999999975</v>
      </c>
      <c r="AA125" s="965">
        <f t="shared" si="9"/>
        <v>3.7846000000000029</v>
      </c>
      <c r="AB125" s="965">
        <f t="shared" si="9"/>
        <v>7.3101199999999968</v>
      </c>
      <c r="AC125" s="1153"/>
      <c r="AD125" s="1153"/>
      <c r="AE125" s="1153"/>
      <c r="AF125" s="1153"/>
      <c r="AG125" s="1153"/>
      <c r="AH125" s="958">
        <f t="shared" si="3"/>
        <v>0.58889384116693644</v>
      </c>
      <c r="AI125" s="1153"/>
      <c r="AJ125" s="1153"/>
      <c r="AK125" s="1153"/>
      <c r="AL125" s="1153"/>
      <c r="AM125" s="1153"/>
      <c r="AN125" s="1153"/>
      <c r="AO125" s="1153"/>
      <c r="AP125" s="1153"/>
      <c r="AQ125" s="1154">
        <v>1</v>
      </c>
      <c r="AR125" s="962">
        <f t="shared" si="4"/>
        <v>0.67110316092337996</v>
      </c>
      <c r="AS125" s="1153"/>
      <c r="AT125" s="1154">
        <f t="shared" si="5"/>
        <v>8.0558710550160145E-2</v>
      </c>
      <c r="AU125" s="1153"/>
      <c r="AV125" s="1153"/>
      <c r="AW125" s="1153"/>
      <c r="AX125" s="1153"/>
      <c r="AY125" s="1153"/>
      <c r="AZ125" s="958">
        <f t="shared" si="6"/>
        <v>1.2447429771693772</v>
      </c>
      <c r="BA125" s="1152"/>
      <c r="BB125" s="1152"/>
      <c r="BC125" s="956">
        <f t="shared" si="7"/>
        <v>1.2447429771693772</v>
      </c>
      <c r="BD125" s="1152"/>
      <c r="BE125" s="1152"/>
      <c r="BF125" s="956">
        <f t="shared" si="8"/>
        <v>1.4018056875139611</v>
      </c>
    </row>
    <row r="126" spans="1:58" x14ac:dyDescent="0.45">
      <c r="A126" s="14">
        <v>1816</v>
      </c>
      <c r="B126" s="507">
        <v>23.592535999999988</v>
      </c>
      <c r="C126" s="1153"/>
      <c r="D126" s="1153"/>
      <c r="E126" s="507"/>
      <c r="F126" s="1153"/>
      <c r="G126" s="1153"/>
      <c r="H126" s="1160"/>
      <c r="I126" s="1153"/>
      <c r="J126" s="1153"/>
      <c r="K126" s="1153"/>
      <c r="L126" s="1153"/>
      <c r="M126" s="1153"/>
      <c r="N126" s="1153"/>
      <c r="O126" s="1153"/>
      <c r="P126" s="1153"/>
      <c r="Q126" s="1153"/>
      <c r="R126" s="507">
        <v>21.957836518410041</v>
      </c>
      <c r="S126" s="507">
        <v>1.6346994815899478</v>
      </c>
      <c r="T126" s="507">
        <v>23.592535999999988</v>
      </c>
      <c r="U126" s="1153"/>
      <c r="V126" s="1153"/>
      <c r="W126" s="1153"/>
      <c r="X126" s="1153"/>
      <c r="Y126" s="1156">
        <v>1816</v>
      </c>
      <c r="Z126" s="965">
        <f t="shared" si="9"/>
        <v>8.8493599999999972</v>
      </c>
      <c r="AA126" s="965">
        <f t="shared" si="9"/>
        <v>3.9149866666666697</v>
      </c>
      <c r="AB126" s="965">
        <f t="shared" si="9"/>
        <v>7.4052853333333299</v>
      </c>
      <c r="AC126" s="1153"/>
      <c r="AD126" s="1153"/>
      <c r="AE126" s="1153"/>
      <c r="AF126" s="1153"/>
      <c r="AG126" s="1153"/>
      <c r="AH126" s="958">
        <f t="shared" si="3"/>
        <v>0.59656023770934596</v>
      </c>
      <c r="AI126" s="1153"/>
      <c r="AJ126" s="1153"/>
      <c r="AK126" s="1153"/>
      <c r="AL126" s="1153"/>
      <c r="AM126" s="1153"/>
      <c r="AN126" s="1153"/>
      <c r="AO126" s="1153"/>
      <c r="AP126" s="1153"/>
      <c r="AQ126" s="1154">
        <v>1</v>
      </c>
      <c r="AR126" s="962">
        <f t="shared" si="4"/>
        <v>0.67110316092337996</v>
      </c>
      <c r="AS126" s="1153"/>
      <c r="AT126" s="1154">
        <f t="shared" si="5"/>
        <v>8.0558710550160145E-2</v>
      </c>
      <c r="AU126" s="1153"/>
      <c r="AV126" s="1153"/>
      <c r="AW126" s="1153"/>
      <c r="AX126" s="1153"/>
      <c r="AY126" s="1153"/>
      <c r="AZ126" s="958">
        <f t="shared" si="6"/>
        <v>1.2876267396937808</v>
      </c>
      <c r="BA126" s="1152"/>
      <c r="BB126" s="1152"/>
      <c r="BC126" s="956">
        <f t="shared" si="7"/>
        <v>1.2876267396937808</v>
      </c>
      <c r="BD126" s="1152"/>
      <c r="BE126" s="1152"/>
      <c r="BF126" s="956">
        <f t="shared" si="8"/>
        <v>1.4501005590748448</v>
      </c>
    </row>
    <row r="127" spans="1:58" x14ac:dyDescent="0.45">
      <c r="A127" s="14">
        <v>1817</v>
      </c>
      <c r="B127" s="507">
        <v>24.11171199999999</v>
      </c>
      <c r="C127" s="1153"/>
      <c r="D127" s="1153"/>
      <c r="E127" s="507"/>
      <c r="F127" s="1153"/>
      <c r="G127" s="1153"/>
      <c r="H127" s="1160"/>
      <c r="I127" s="1153"/>
      <c r="J127" s="1153"/>
      <c r="K127" s="1153"/>
      <c r="L127" s="1153"/>
      <c r="M127" s="1153"/>
      <c r="N127" s="1153"/>
      <c r="O127" s="1153"/>
      <c r="P127" s="1153"/>
      <c r="Q127" s="1153"/>
      <c r="R127" s="507">
        <v>22.418693400422718</v>
      </c>
      <c r="S127" s="507">
        <v>1.6930185995772717</v>
      </c>
      <c r="T127" s="507">
        <v>24.11171199999999</v>
      </c>
      <c r="U127" s="1153"/>
      <c r="V127" s="1153"/>
      <c r="W127" s="1153"/>
      <c r="X127" s="1153"/>
      <c r="Y127" s="1156">
        <v>1817</v>
      </c>
      <c r="Z127" s="965">
        <f t="shared" si="9"/>
        <v>9.062719999999997</v>
      </c>
      <c r="AA127" s="965">
        <f t="shared" si="9"/>
        <v>4.0453733333333366</v>
      </c>
      <c r="AB127" s="965">
        <f t="shared" si="9"/>
        <v>7.500450666666663</v>
      </c>
      <c r="AC127" s="1153"/>
      <c r="AD127" s="1153"/>
      <c r="AE127" s="1153"/>
      <c r="AF127" s="1153"/>
      <c r="AG127" s="1153"/>
      <c r="AH127" s="958">
        <f t="shared" si="3"/>
        <v>0.60422663425175538</v>
      </c>
      <c r="AI127" s="1153"/>
      <c r="AJ127" s="1153"/>
      <c r="AK127" s="1153"/>
      <c r="AL127" s="1153"/>
      <c r="AM127" s="1153"/>
      <c r="AN127" s="1153"/>
      <c r="AO127" s="1153"/>
      <c r="AP127" s="1153"/>
      <c r="AQ127" s="1154">
        <v>1</v>
      </c>
      <c r="AR127" s="962">
        <f t="shared" si="4"/>
        <v>0.67110316092337996</v>
      </c>
      <c r="AS127" s="1153"/>
      <c r="AT127" s="1154">
        <f t="shared" si="5"/>
        <v>8.0558710550160145E-2</v>
      </c>
      <c r="AU127" s="1153"/>
      <c r="AV127" s="1153"/>
      <c r="AW127" s="1153"/>
      <c r="AX127" s="1153"/>
      <c r="AY127" s="1153"/>
      <c r="AZ127" s="958">
        <f t="shared" si="6"/>
        <v>1.3305105022181845</v>
      </c>
      <c r="BA127" s="1152"/>
      <c r="BB127" s="1152"/>
      <c r="BC127" s="956">
        <f t="shared" si="7"/>
        <v>1.3305105022181845</v>
      </c>
      <c r="BD127" s="1152"/>
      <c r="BE127" s="1152"/>
      <c r="BF127" s="956">
        <f t="shared" si="8"/>
        <v>1.4983954306357283</v>
      </c>
    </row>
    <row r="128" spans="1:58" x14ac:dyDescent="0.45">
      <c r="A128" s="14">
        <v>1818</v>
      </c>
      <c r="B128" s="507">
        <v>24.630887999999988</v>
      </c>
      <c r="C128" s="1153"/>
      <c r="D128" s="1153"/>
      <c r="E128" s="507"/>
      <c r="F128" s="1153"/>
      <c r="G128" s="1153"/>
      <c r="H128" s="1160"/>
      <c r="I128" s="1153"/>
      <c r="J128" s="1153"/>
      <c r="K128" s="1153"/>
      <c r="L128" s="1153"/>
      <c r="M128" s="1153"/>
      <c r="N128" s="1153"/>
      <c r="O128" s="1153"/>
      <c r="P128" s="1153"/>
      <c r="Q128" s="1153"/>
      <c r="R128" s="507">
        <v>22.874153938580122</v>
      </c>
      <c r="S128" s="507">
        <v>1.7567340614198663</v>
      </c>
      <c r="T128" s="507">
        <v>24.630887999999988</v>
      </c>
      <c r="U128" s="1153"/>
      <c r="V128" s="1153"/>
      <c r="W128" s="1153"/>
      <c r="X128" s="1153"/>
      <c r="Y128" s="1156">
        <v>1818</v>
      </c>
      <c r="Z128" s="965">
        <f t="shared" si="9"/>
        <v>9.2760799999999968</v>
      </c>
      <c r="AA128" s="965">
        <f t="shared" si="9"/>
        <v>4.175760000000003</v>
      </c>
      <c r="AB128" s="965">
        <f t="shared" si="9"/>
        <v>7.5956159999999961</v>
      </c>
      <c r="AC128" s="1153"/>
      <c r="AD128" s="1153"/>
      <c r="AE128" s="1153"/>
      <c r="AF128" s="1153"/>
      <c r="AG128" s="1153"/>
      <c r="AH128" s="958">
        <f t="shared" si="3"/>
        <v>0.6118930307941649</v>
      </c>
      <c r="AI128" s="1153"/>
      <c r="AJ128" s="1153"/>
      <c r="AK128" s="1153"/>
      <c r="AL128" s="1153"/>
      <c r="AM128" s="1153"/>
      <c r="AN128" s="1153"/>
      <c r="AO128" s="1153"/>
      <c r="AP128" s="1153"/>
      <c r="AQ128" s="1154">
        <v>1</v>
      </c>
      <c r="AR128" s="962">
        <f t="shared" si="4"/>
        <v>0.67110316092337996</v>
      </c>
      <c r="AS128" s="1153"/>
      <c r="AT128" s="1154">
        <f t="shared" si="5"/>
        <v>8.0558710550160145E-2</v>
      </c>
      <c r="AU128" s="1153"/>
      <c r="AV128" s="1153"/>
      <c r="AW128" s="1153"/>
      <c r="AX128" s="1153"/>
      <c r="AY128" s="1153"/>
      <c r="AZ128" s="958">
        <f t="shared" si="6"/>
        <v>1.3733942647425879</v>
      </c>
      <c r="BA128" s="1152"/>
      <c r="BB128" s="1152"/>
      <c r="BC128" s="956">
        <f t="shared" si="7"/>
        <v>1.3733942647425879</v>
      </c>
      <c r="BD128" s="1152"/>
      <c r="BE128" s="1152"/>
      <c r="BF128" s="956">
        <f t="shared" si="8"/>
        <v>1.5466903021966119</v>
      </c>
    </row>
    <row r="129" spans="1:59" x14ac:dyDescent="0.45">
      <c r="A129" s="14">
        <v>1819</v>
      </c>
      <c r="B129" s="507">
        <v>25.150063999999986</v>
      </c>
      <c r="C129" s="1153"/>
      <c r="D129" s="1153"/>
      <c r="E129" s="507"/>
      <c r="F129" s="1153"/>
      <c r="G129" s="1153"/>
      <c r="H129" s="1160"/>
      <c r="I129" s="1153"/>
      <c r="J129" s="1153"/>
      <c r="K129" s="1153"/>
      <c r="L129" s="1153"/>
      <c r="M129" s="1153"/>
      <c r="N129" s="1153"/>
      <c r="O129" s="1153"/>
      <c r="P129" s="1153"/>
      <c r="Q129" s="1153"/>
      <c r="R129" s="507">
        <v>23.382088926371257</v>
      </c>
      <c r="S129" s="507">
        <v>1.7679750736287296</v>
      </c>
      <c r="T129" s="507">
        <v>25.150063999999986</v>
      </c>
      <c r="U129" s="1153"/>
      <c r="V129" s="1153"/>
      <c r="W129" s="1153"/>
      <c r="X129" s="1153"/>
      <c r="Y129" s="1156">
        <v>1819</v>
      </c>
      <c r="Z129" s="965">
        <f t="shared" si="9"/>
        <v>9.4894399999999965</v>
      </c>
      <c r="AA129" s="965">
        <f t="shared" si="9"/>
        <v>4.3061466666666695</v>
      </c>
      <c r="AB129" s="965">
        <f t="shared" si="9"/>
        <v>7.6907813333333293</v>
      </c>
      <c r="AC129" s="1153"/>
      <c r="AD129" s="1153"/>
      <c r="AE129" s="1153"/>
      <c r="AF129" s="1153"/>
      <c r="AG129" s="1153"/>
      <c r="AH129" s="958">
        <f t="shared" si="3"/>
        <v>0.61955942733657443</v>
      </c>
      <c r="AI129" s="1153"/>
      <c r="AJ129" s="1153"/>
      <c r="AK129" s="1153"/>
      <c r="AL129" s="1153"/>
      <c r="AM129" s="1153"/>
      <c r="AN129" s="1153"/>
      <c r="AO129" s="1153"/>
      <c r="AP129" s="1153"/>
      <c r="AQ129" s="1154">
        <v>1</v>
      </c>
      <c r="AR129" s="962">
        <f t="shared" si="4"/>
        <v>0.67110316092337996</v>
      </c>
      <c r="AS129" s="1153"/>
      <c r="AT129" s="1154">
        <f t="shared" si="5"/>
        <v>8.0558710550160145E-2</v>
      </c>
      <c r="AU129" s="1153"/>
      <c r="AV129" s="1153"/>
      <c r="AW129" s="1153"/>
      <c r="AX129" s="1153"/>
      <c r="AY129" s="1153"/>
      <c r="AZ129" s="958">
        <f t="shared" si="6"/>
        <v>1.4162780272669915</v>
      </c>
      <c r="BA129" s="1152"/>
      <c r="BB129" s="1152"/>
      <c r="BC129" s="956">
        <f t="shared" si="7"/>
        <v>1.4162780272669915</v>
      </c>
      <c r="BD129" s="1152"/>
      <c r="BE129" s="1152"/>
      <c r="BF129" s="956">
        <f t="shared" si="8"/>
        <v>1.5949851737574956</v>
      </c>
    </row>
    <row r="130" spans="1:59" x14ac:dyDescent="0.45">
      <c r="A130" s="14">
        <v>1820</v>
      </c>
      <c r="B130" s="507">
        <v>25.669239999999988</v>
      </c>
      <c r="C130" s="1153"/>
      <c r="D130" s="1153"/>
      <c r="E130" s="507"/>
      <c r="F130" s="1153"/>
      <c r="G130" s="1153"/>
      <c r="H130" s="1160"/>
      <c r="I130" s="1153"/>
      <c r="J130" s="1153"/>
      <c r="K130" s="1153"/>
      <c r="L130" s="1153"/>
      <c r="M130" s="1153"/>
      <c r="N130" s="1153"/>
      <c r="O130" s="1153"/>
      <c r="P130" s="1153"/>
      <c r="Q130" s="1153"/>
      <c r="R130" s="507">
        <v>23.840855882856967</v>
      </c>
      <c r="S130" s="507">
        <v>1.8283841171430204</v>
      </c>
      <c r="T130" s="507">
        <v>25.669239999999988</v>
      </c>
      <c r="U130" s="1153"/>
      <c r="V130" s="1153"/>
      <c r="W130" s="1153"/>
      <c r="X130" s="1153"/>
      <c r="Y130" s="1156">
        <v>1820</v>
      </c>
      <c r="Z130" s="965">
        <f t="shared" si="9"/>
        <v>9.7027999999999963</v>
      </c>
      <c r="AA130" s="965">
        <f t="shared" si="9"/>
        <v>4.4365333333333359</v>
      </c>
      <c r="AB130" s="965">
        <f t="shared" si="9"/>
        <v>7.7859466666666624</v>
      </c>
      <c r="AC130" s="1153"/>
      <c r="AD130" s="1153"/>
      <c r="AE130" s="1153"/>
      <c r="AF130" s="1153"/>
      <c r="AG130" s="1153"/>
      <c r="AH130" s="958">
        <f t="shared" si="3"/>
        <v>0.62722582387898385</v>
      </c>
      <c r="AI130" s="1153"/>
      <c r="AJ130" s="1153"/>
      <c r="AK130" s="1153"/>
      <c r="AL130" s="1153"/>
      <c r="AM130" s="1153"/>
      <c r="AN130" s="1153"/>
      <c r="AO130" s="1153"/>
      <c r="AP130" s="1153"/>
      <c r="AQ130" s="1154">
        <v>1</v>
      </c>
      <c r="AR130" s="962">
        <f t="shared" si="4"/>
        <v>0.67110316092337996</v>
      </c>
      <c r="AS130" s="1153"/>
      <c r="AT130" s="1154">
        <f t="shared" si="5"/>
        <v>8.0558710550160145E-2</v>
      </c>
      <c r="AU130" s="1153"/>
      <c r="AV130" s="1153"/>
      <c r="AW130" s="1153"/>
      <c r="AX130" s="1153"/>
      <c r="AY130" s="1153"/>
      <c r="AZ130" s="958">
        <f t="shared" si="6"/>
        <v>1.4591617897913949</v>
      </c>
      <c r="BA130" s="1152"/>
      <c r="BB130" s="1152"/>
      <c r="BC130" s="956">
        <f t="shared" si="7"/>
        <v>1.4591617897913949</v>
      </c>
      <c r="BD130" s="1152"/>
      <c r="BE130" s="1152"/>
      <c r="BF130" s="956">
        <f t="shared" si="8"/>
        <v>1.6432800453183789</v>
      </c>
    </row>
    <row r="131" spans="1:59" x14ac:dyDescent="0.45">
      <c r="A131" s="14">
        <v>1821</v>
      </c>
      <c r="B131" s="507">
        <v>26.188415999999986</v>
      </c>
      <c r="C131" s="1153"/>
      <c r="D131" s="1153"/>
      <c r="E131" s="507"/>
      <c r="F131" s="1153"/>
      <c r="G131" s="1153"/>
      <c r="H131" s="1160"/>
      <c r="I131" s="1153"/>
      <c r="J131" s="1153"/>
      <c r="K131" s="1153"/>
      <c r="L131" s="1153"/>
      <c r="M131" s="1153"/>
      <c r="N131" s="1153"/>
      <c r="O131" s="1153"/>
      <c r="P131" s="1153"/>
      <c r="Q131" s="1153"/>
      <c r="R131" s="507">
        <v>24.299179013254605</v>
      </c>
      <c r="S131" s="507">
        <v>1.8892369867453809</v>
      </c>
      <c r="T131" s="507">
        <v>26.188415999999986</v>
      </c>
      <c r="U131" s="1153"/>
      <c r="V131" s="1153"/>
      <c r="W131" s="1153"/>
      <c r="X131" s="1153"/>
      <c r="Y131" s="1156">
        <v>1821</v>
      </c>
      <c r="Z131" s="965">
        <f t="shared" si="9"/>
        <v>9.9161599999999961</v>
      </c>
      <c r="AA131" s="965">
        <f t="shared" si="9"/>
        <v>4.5669200000000023</v>
      </c>
      <c r="AB131" s="965">
        <f t="shared" si="9"/>
        <v>7.8811119999999955</v>
      </c>
      <c r="AC131" s="1153"/>
      <c r="AD131" s="1153"/>
      <c r="AE131" s="1153"/>
      <c r="AF131" s="1153"/>
      <c r="AG131" s="1153"/>
      <c r="AH131" s="958">
        <f t="shared" si="3"/>
        <v>0.63489222042139337</v>
      </c>
      <c r="AI131" s="1153"/>
      <c r="AJ131" s="1153"/>
      <c r="AK131" s="1153"/>
      <c r="AL131" s="1153"/>
      <c r="AM131" s="1153"/>
      <c r="AN131" s="1153"/>
      <c r="AO131" s="1153"/>
      <c r="AP131" s="1153"/>
      <c r="AQ131" s="1154">
        <v>1</v>
      </c>
      <c r="AR131" s="962">
        <f t="shared" si="4"/>
        <v>0.67110316092337996</v>
      </c>
      <c r="AS131" s="1153"/>
      <c r="AT131" s="1154">
        <f t="shared" si="5"/>
        <v>8.0558710550160145E-2</v>
      </c>
      <c r="AU131" s="1153"/>
      <c r="AV131" s="1153"/>
      <c r="AW131" s="1153"/>
      <c r="AX131" s="1153"/>
      <c r="AY131" s="1153"/>
      <c r="AZ131" s="958">
        <f t="shared" si="6"/>
        <v>1.5020455523157983</v>
      </c>
      <c r="BA131" s="1152"/>
      <c r="BB131" s="1152"/>
      <c r="BC131" s="956">
        <f t="shared" si="7"/>
        <v>1.5020455523157983</v>
      </c>
      <c r="BD131" s="1152"/>
      <c r="BE131" s="1152"/>
      <c r="BF131" s="956">
        <f t="shared" si="8"/>
        <v>1.6915749168792624</v>
      </c>
    </row>
    <row r="132" spans="1:59" x14ac:dyDescent="0.45">
      <c r="A132" s="14">
        <v>1822</v>
      </c>
      <c r="B132" s="507">
        <v>26.707591999999984</v>
      </c>
      <c r="C132" s="1153"/>
      <c r="D132" s="1153"/>
      <c r="E132" s="507"/>
      <c r="F132" s="1153"/>
      <c r="G132" s="1153"/>
      <c r="H132" s="1160"/>
      <c r="I132" s="1153"/>
      <c r="J132" s="1153"/>
      <c r="K132" s="1153"/>
      <c r="L132" s="1153"/>
      <c r="M132" s="1153"/>
      <c r="N132" s="1153"/>
      <c r="O132" s="1153"/>
      <c r="P132" s="1153"/>
      <c r="Q132" s="1153"/>
      <c r="R132" s="507">
        <v>24.743805168303719</v>
      </c>
      <c r="S132" s="507">
        <v>1.9637868316962646</v>
      </c>
      <c r="T132" s="507">
        <v>26.707591999999984</v>
      </c>
      <c r="U132" s="1153"/>
      <c r="V132" s="1153"/>
      <c r="W132" s="1153"/>
      <c r="X132" s="1153"/>
      <c r="Y132" s="1156">
        <v>1822</v>
      </c>
      <c r="Z132" s="965">
        <f t="shared" si="9"/>
        <v>10.129519999999996</v>
      </c>
      <c r="AA132" s="965">
        <f t="shared" si="9"/>
        <v>4.6973066666666687</v>
      </c>
      <c r="AB132" s="965">
        <f t="shared" si="9"/>
        <v>7.9762773333333286</v>
      </c>
      <c r="AC132" s="1153"/>
      <c r="AD132" s="1153"/>
      <c r="AE132" s="1153"/>
      <c r="AF132" s="1153"/>
      <c r="AG132" s="1153"/>
      <c r="AH132" s="958">
        <f t="shared" si="3"/>
        <v>0.6425586169638029</v>
      </c>
      <c r="AI132" s="1153"/>
      <c r="AJ132" s="1153"/>
      <c r="AK132" s="1153"/>
      <c r="AL132" s="1153"/>
      <c r="AM132" s="1153"/>
      <c r="AN132" s="1153"/>
      <c r="AO132" s="1153"/>
      <c r="AP132" s="1153"/>
      <c r="AQ132" s="1154">
        <v>1</v>
      </c>
      <c r="AR132" s="962">
        <f t="shared" si="4"/>
        <v>0.67110316092337996</v>
      </c>
      <c r="AS132" s="1153"/>
      <c r="AT132" s="1154">
        <f t="shared" si="5"/>
        <v>8.0558710550160145E-2</v>
      </c>
      <c r="AU132" s="1153"/>
      <c r="AV132" s="1153"/>
      <c r="AW132" s="1153"/>
      <c r="AX132" s="1153"/>
      <c r="AY132" s="1153"/>
      <c r="AZ132" s="958">
        <f t="shared" si="6"/>
        <v>1.5449293148402019</v>
      </c>
      <c r="BA132" s="1152"/>
      <c r="BB132" s="1152"/>
      <c r="BC132" s="956">
        <f t="shared" si="7"/>
        <v>1.5449293148402019</v>
      </c>
      <c r="BD132" s="1152"/>
      <c r="BE132" s="1152"/>
      <c r="BF132" s="956">
        <f t="shared" si="8"/>
        <v>1.7398697884401462</v>
      </c>
    </row>
    <row r="133" spans="1:59" x14ac:dyDescent="0.45">
      <c r="A133" s="14">
        <v>1823</v>
      </c>
      <c r="B133" s="507">
        <v>27.226767999999986</v>
      </c>
      <c r="C133" s="1153"/>
      <c r="D133" s="1153"/>
      <c r="E133" s="507"/>
      <c r="F133" s="1153"/>
      <c r="G133" s="1153"/>
      <c r="H133" s="1160"/>
      <c r="I133" s="1153"/>
      <c r="J133" s="1153"/>
      <c r="K133" s="1153"/>
      <c r="L133" s="1153"/>
      <c r="M133" s="1153"/>
      <c r="N133" s="1153"/>
      <c r="O133" s="1153"/>
      <c r="P133" s="1153"/>
      <c r="Q133" s="1153"/>
      <c r="R133" s="507">
        <v>25.244791802374966</v>
      </c>
      <c r="S133" s="507">
        <v>1.9819761976250199</v>
      </c>
      <c r="T133" s="507">
        <v>27.226767999999986</v>
      </c>
      <c r="U133" s="1153"/>
      <c r="V133" s="1153"/>
      <c r="W133" s="1153"/>
      <c r="X133" s="1153"/>
      <c r="Y133" s="1156">
        <v>1823</v>
      </c>
      <c r="Z133" s="965">
        <f t="shared" si="9"/>
        <v>10.342879999999996</v>
      </c>
      <c r="AA133" s="965">
        <f t="shared" si="9"/>
        <v>4.8276933333333352</v>
      </c>
      <c r="AB133" s="965">
        <f t="shared" si="9"/>
        <v>8.0714426666666625</v>
      </c>
      <c r="AC133" s="1153"/>
      <c r="AD133" s="1153"/>
      <c r="AE133" s="1153"/>
      <c r="AF133" s="1153"/>
      <c r="AG133" s="1153"/>
      <c r="AH133" s="958">
        <f t="shared" si="3"/>
        <v>0.65022501350621242</v>
      </c>
      <c r="AI133" s="1153"/>
      <c r="AJ133" s="1153"/>
      <c r="AK133" s="1153"/>
      <c r="AL133" s="1153"/>
      <c r="AM133" s="1153"/>
      <c r="AN133" s="1153"/>
      <c r="AO133" s="1153"/>
      <c r="AP133" s="1153"/>
      <c r="AQ133" s="1154">
        <v>1</v>
      </c>
      <c r="AR133" s="962">
        <f t="shared" si="4"/>
        <v>0.67110316092337996</v>
      </c>
      <c r="AS133" s="1153"/>
      <c r="AT133" s="1154">
        <f t="shared" si="5"/>
        <v>8.0558710550160145E-2</v>
      </c>
      <c r="AU133" s="1153"/>
      <c r="AV133" s="1153"/>
      <c r="AW133" s="1153"/>
      <c r="AX133" s="1153"/>
      <c r="AY133" s="1153"/>
      <c r="AZ133" s="958">
        <f t="shared" si="6"/>
        <v>1.5878130773646053</v>
      </c>
      <c r="BA133" s="1152"/>
      <c r="BB133" s="1152"/>
      <c r="BC133" s="956">
        <f t="shared" si="7"/>
        <v>1.5878130773646053</v>
      </c>
      <c r="BD133" s="1152"/>
      <c r="BE133" s="1152"/>
      <c r="BF133" s="956">
        <f t="shared" si="8"/>
        <v>1.7881646600010295</v>
      </c>
    </row>
    <row r="134" spans="1:59" x14ac:dyDescent="0.45">
      <c r="A134" s="14">
        <v>1824</v>
      </c>
      <c r="B134" s="507">
        <v>27.745943999999984</v>
      </c>
      <c r="C134" s="1153"/>
      <c r="D134" s="1153"/>
      <c r="E134" s="507"/>
      <c r="F134" s="1153"/>
      <c r="G134" s="1153"/>
      <c r="H134" s="1160"/>
      <c r="I134" s="1153"/>
      <c r="J134" s="1153"/>
      <c r="K134" s="1153"/>
      <c r="L134" s="1153"/>
      <c r="M134" s="1153"/>
      <c r="N134" s="1153"/>
      <c r="O134" s="1153"/>
      <c r="P134" s="1153"/>
      <c r="Q134" s="1153"/>
      <c r="R134" s="507">
        <v>25.68220293028347</v>
      </c>
      <c r="S134" s="507">
        <v>2.0637410697165137</v>
      </c>
      <c r="T134" s="507">
        <v>27.745943999999984</v>
      </c>
      <c r="U134" s="1153"/>
      <c r="V134" s="1153"/>
      <c r="W134" s="1153"/>
      <c r="X134" s="1153"/>
      <c r="Y134" s="1156">
        <v>1824</v>
      </c>
      <c r="Z134" s="965">
        <f t="shared" si="9"/>
        <v>10.556239999999995</v>
      </c>
      <c r="AA134" s="965">
        <f t="shared" si="9"/>
        <v>4.9580800000000016</v>
      </c>
      <c r="AB134" s="965">
        <f t="shared" si="9"/>
        <v>8.1666079999999965</v>
      </c>
      <c r="AC134" s="1153"/>
      <c r="AD134" s="1153"/>
      <c r="AE134" s="1153"/>
      <c r="AF134" s="1153"/>
      <c r="AG134" s="1153"/>
      <c r="AH134" s="958">
        <f t="shared" si="3"/>
        <v>0.65789141004862195</v>
      </c>
      <c r="AI134" s="1153"/>
      <c r="AJ134" s="1153"/>
      <c r="AK134" s="1153"/>
      <c r="AL134" s="1153"/>
      <c r="AM134" s="1153"/>
      <c r="AN134" s="1153"/>
      <c r="AO134" s="1153"/>
      <c r="AP134" s="1153"/>
      <c r="AQ134" s="1154">
        <v>1</v>
      </c>
      <c r="AR134" s="962">
        <f t="shared" si="4"/>
        <v>0.67110316092337996</v>
      </c>
      <c r="AS134" s="1153"/>
      <c r="AT134" s="1154">
        <f t="shared" si="5"/>
        <v>8.0558710550160145E-2</v>
      </c>
      <c r="AU134" s="1153"/>
      <c r="AV134" s="1153"/>
      <c r="AW134" s="1153"/>
      <c r="AX134" s="1153"/>
      <c r="AY134" s="1153"/>
      <c r="AZ134" s="958">
        <f t="shared" si="6"/>
        <v>1.6306968398890087</v>
      </c>
      <c r="BA134" s="1152"/>
      <c r="BB134" s="1152"/>
      <c r="BC134" s="956">
        <f t="shared" si="7"/>
        <v>1.6306968398890087</v>
      </c>
      <c r="BD134" s="1152"/>
      <c r="BE134" s="1152"/>
      <c r="BF134" s="956">
        <f t="shared" si="8"/>
        <v>1.836459531561913</v>
      </c>
    </row>
    <row r="135" spans="1:59" x14ac:dyDescent="0.45">
      <c r="A135" s="14">
        <v>1825</v>
      </c>
      <c r="B135" s="507">
        <v>28.265119999999982</v>
      </c>
      <c r="C135" s="1153"/>
      <c r="D135" s="1153"/>
      <c r="E135" s="507"/>
      <c r="F135" s="1153"/>
      <c r="G135" s="1153"/>
      <c r="H135" s="1160"/>
      <c r="I135" s="1153"/>
      <c r="J135" s="1153"/>
      <c r="K135" s="1153"/>
      <c r="L135" s="1153"/>
      <c r="M135" s="1153"/>
      <c r="N135" s="1153"/>
      <c r="O135" s="1153"/>
      <c r="P135" s="1153"/>
      <c r="Q135" s="1153"/>
      <c r="R135" s="507">
        <v>26.114917082766464</v>
      </c>
      <c r="S135" s="507">
        <v>2.1502029172335178</v>
      </c>
      <c r="T135" s="507">
        <v>28.265119999999982</v>
      </c>
      <c r="U135" s="1153"/>
      <c r="V135" s="1153"/>
      <c r="W135" s="1153"/>
      <c r="X135" s="1153"/>
      <c r="Y135" s="1156">
        <v>1825</v>
      </c>
      <c r="Z135" s="965">
        <f t="shared" si="9"/>
        <v>10.769599999999995</v>
      </c>
      <c r="AA135" s="965">
        <f t="shared" si="9"/>
        <v>5.088466666666668</v>
      </c>
      <c r="AB135" s="965">
        <f t="shared" si="9"/>
        <v>8.2617733333333305</v>
      </c>
      <c r="AC135" s="1153"/>
      <c r="AD135" s="1153"/>
      <c r="AE135" s="1153"/>
      <c r="AF135" s="1153"/>
      <c r="AG135" s="1153"/>
      <c r="AH135" s="958">
        <f t="shared" si="3"/>
        <v>0.66555780659103148</v>
      </c>
      <c r="AI135" s="1153"/>
      <c r="AJ135" s="1153"/>
      <c r="AK135" s="1153"/>
      <c r="AL135" s="1153"/>
      <c r="AM135" s="1153"/>
      <c r="AN135" s="1153"/>
      <c r="AO135" s="1153"/>
      <c r="AP135" s="1153"/>
      <c r="AQ135" s="1154">
        <v>1</v>
      </c>
      <c r="AR135" s="962">
        <f t="shared" si="4"/>
        <v>0.67110316092337996</v>
      </c>
      <c r="AS135" s="1153"/>
      <c r="AT135" s="1154">
        <f t="shared" si="5"/>
        <v>8.0558710550160145E-2</v>
      </c>
      <c r="AU135" s="1153"/>
      <c r="AV135" s="1153"/>
      <c r="AW135" s="1153"/>
      <c r="AX135" s="1153"/>
      <c r="AY135" s="1153"/>
      <c r="AZ135" s="958">
        <f t="shared" si="6"/>
        <v>1.6735806024134123</v>
      </c>
      <c r="BA135" s="1152"/>
      <c r="BB135" s="1152"/>
      <c r="BC135" s="956">
        <f t="shared" si="7"/>
        <v>1.6735806024134123</v>
      </c>
      <c r="BD135" s="1152"/>
      <c r="BE135" s="1152"/>
      <c r="BF135" s="956">
        <f t="shared" si="8"/>
        <v>1.8847544031227967</v>
      </c>
    </row>
    <row r="136" spans="1:59" x14ac:dyDescent="0.45">
      <c r="A136" s="14">
        <v>1826</v>
      </c>
      <c r="B136" s="507">
        <v>28.784295999999983</v>
      </c>
      <c r="C136" s="1153"/>
      <c r="D136" s="1153"/>
      <c r="E136" s="507"/>
      <c r="F136" s="1153"/>
      <c r="G136" s="1153"/>
      <c r="H136" s="1160"/>
      <c r="I136" s="1153"/>
      <c r="J136" s="1153"/>
      <c r="K136" s="1153"/>
      <c r="L136" s="1153"/>
      <c r="M136" s="1153"/>
      <c r="N136" s="1153"/>
      <c r="O136" s="1153"/>
      <c r="P136" s="1153"/>
      <c r="Q136" s="1153"/>
      <c r="R136" s="507">
        <v>26.541867260583984</v>
      </c>
      <c r="S136" s="507">
        <v>2.242428739415999</v>
      </c>
      <c r="T136" s="507">
        <v>28.784295999999983</v>
      </c>
      <c r="U136" s="1153"/>
      <c r="V136" s="1153"/>
      <c r="W136" s="1153"/>
      <c r="X136" s="1153"/>
      <c r="Y136" s="1156">
        <v>1826</v>
      </c>
      <c r="Z136" s="965">
        <f t="shared" si="9"/>
        <v>10.982959999999995</v>
      </c>
      <c r="AA136" s="965">
        <f t="shared" si="9"/>
        <v>5.2188533333333345</v>
      </c>
      <c r="AB136" s="965">
        <f t="shared" si="9"/>
        <v>8.3569386666666645</v>
      </c>
      <c r="AC136" s="1153"/>
      <c r="AD136" s="1153"/>
      <c r="AE136" s="1153"/>
      <c r="AF136" s="1153"/>
      <c r="AG136" s="1153"/>
      <c r="AH136" s="958">
        <f t="shared" si="3"/>
        <v>0.67322420313344111</v>
      </c>
      <c r="AI136" s="1153"/>
      <c r="AJ136" s="1153"/>
      <c r="AK136" s="1153"/>
      <c r="AL136" s="1153"/>
      <c r="AM136" s="1153"/>
      <c r="AN136" s="1153"/>
      <c r="AO136" s="1153"/>
      <c r="AP136" s="1153"/>
      <c r="AQ136" s="1154">
        <v>1</v>
      </c>
      <c r="AR136" s="962">
        <f t="shared" si="4"/>
        <v>0.67110316092337996</v>
      </c>
      <c r="AS136" s="1153"/>
      <c r="AT136" s="1154">
        <f t="shared" si="5"/>
        <v>8.0558710550160145E-2</v>
      </c>
      <c r="AU136" s="1153"/>
      <c r="AV136" s="1153"/>
      <c r="AW136" s="1153"/>
      <c r="AX136" s="1153"/>
      <c r="AY136" s="1153"/>
      <c r="AZ136" s="958">
        <f t="shared" si="6"/>
        <v>1.7164643649378157</v>
      </c>
      <c r="BA136" s="1152"/>
      <c r="BB136" s="1152"/>
      <c r="BC136" s="956">
        <f t="shared" si="7"/>
        <v>1.7164643649378157</v>
      </c>
      <c r="BD136" s="1152"/>
      <c r="BE136" s="1152"/>
      <c r="BF136" s="956">
        <f t="shared" si="8"/>
        <v>1.93304927468368</v>
      </c>
    </row>
    <row r="137" spans="1:59" x14ac:dyDescent="0.45">
      <c r="A137" s="14">
        <v>1827</v>
      </c>
      <c r="B137" s="507">
        <v>29.303471999999982</v>
      </c>
      <c r="C137" s="1153"/>
      <c r="D137" s="1153"/>
      <c r="E137" s="507"/>
      <c r="F137" s="1153"/>
      <c r="G137" s="1153"/>
      <c r="H137" s="1160"/>
      <c r="I137" s="1153"/>
      <c r="J137" s="1153"/>
      <c r="K137" s="1153"/>
      <c r="L137" s="1153"/>
      <c r="M137" s="1153"/>
      <c r="N137" s="1153"/>
      <c r="O137" s="1153"/>
      <c r="P137" s="1153"/>
      <c r="Q137" s="1153"/>
      <c r="R137" s="507">
        <v>26.981288887199984</v>
      </c>
      <c r="S137" s="507">
        <v>2.3221831127999977</v>
      </c>
      <c r="T137" s="507">
        <v>29.303471999999982</v>
      </c>
      <c r="U137" s="1153"/>
      <c r="V137" s="1153"/>
      <c r="W137" s="1153"/>
      <c r="X137" s="1153"/>
      <c r="Y137" s="1156">
        <v>1827</v>
      </c>
      <c r="Z137" s="965">
        <f t="shared" si="9"/>
        <v>11.196319999999995</v>
      </c>
      <c r="AA137" s="965">
        <f t="shared" si="9"/>
        <v>5.3492400000000009</v>
      </c>
      <c r="AB137" s="965">
        <f t="shared" si="9"/>
        <v>8.4521039999999985</v>
      </c>
      <c r="AC137" s="1153"/>
      <c r="AD137" s="1153"/>
      <c r="AE137" s="1153"/>
      <c r="AF137" s="1153"/>
      <c r="AG137" s="1153"/>
      <c r="AH137" s="958">
        <f t="shared" si="3"/>
        <v>0.68089059967585064</v>
      </c>
      <c r="AI137" s="1153"/>
      <c r="AJ137" s="1153"/>
      <c r="AK137" s="1153"/>
      <c r="AL137" s="1153"/>
      <c r="AM137" s="1153"/>
      <c r="AN137" s="1153"/>
      <c r="AO137" s="1153"/>
      <c r="AP137" s="1153"/>
      <c r="AQ137" s="1154">
        <v>1</v>
      </c>
      <c r="AR137" s="962">
        <f t="shared" si="4"/>
        <v>0.67110316092337996</v>
      </c>
      <c r="AS137" s="1153"/>
      <c r="AT137" s="1154">
        <f t="shared" si="5"/>
        <v>8.0558710550160145E-2</v>
      </c>
      <c r="AU137" s="1153"/>
      <c r="AV137" s="1153"/>
      <c r="AW137" s="1153"/>
      <c r="AX137" s="1153"/>
      <c r="AY137" s="1153"/>
      <c r="AZ137" s="958">
        <f t="shared" si="6"/>
        <v>1.7593481274622194</v>
      </c>
      <c r="BA137" s="1152"/>
      <c r="BB137" s="1152"/>
      <c r="BC137" s="956">
        <f t="shared" si="7"/>
        <v>1.7593481274622194</v>
      </c>
      <c r="BD137" s="1152"/>
      <c r="BE137" s="1152"/>
      <c r="BF137" s="956">
        <f t="shared" si="8"/>
        <v>1.9813441462445638</v>
      </c>
    </row>
    <row r="138" spans="1:59" x14ac:dyDescent="0.45">
      <c r="A138" s="14">
        <v>1828</v>
      </c>
      <c r="B138" s="507">
        <v>29.82264799999998</v>
      </c>
      <c r="C138" s="1153"/>
      <c r="D138" s="1153"/>
      <c r="E138" s="507"/>
      <c r="F138" s="1153"/>
      <c r="G138" s="1153"/>
      <c r="H138" s="1160"/>
      <c r="I138" s="1153"/>
      <c r="J138" s="1153"/>
      <c r="K138" s="1153"/>
      <c r="L138" s="1153"/>
      <c r="M138" s="1153"/>
      <c r="N138" s="1153"/>
      <c r="O138" s="1153"/>
      <c r="P138" s="1153"/>
      <c r="Q138" s="1153"/>
      <c r="R138" s="507">
        <v>27.451415759999978</v>
      </c>
      <c r="S138" s="507">
        <v>2.3712322400000012</v>
      </c>
      <c r="T138" s="507">
        <v>29.82264799999998</v>
      </c>
      <c r="U138" s="1153"/>
      <c r="V138" s="1153"/>
      <c r="W138" s="1153"/>
      <c r="X138" s="1153"/>
      <c r="Y138" s="1156">
        <v>1828</v>
      </c>
      <c r="Z138" s="965">
        <f t="shared" si="9"/>
        <v>11.409679999999994</v>
      </c>
      <c r="AA138" s="965">
        <f t="shared" si="9"/>
        <v>5.4796266666666673</v>
      </c>
      <c r="AB138" s="965">
        <f t="shared" si="9"/>
        <v>8.5472693333333325</v>
      </c>
      <c r="AC138" s="1153"/>
      <c r="AD138" s="1153"/>
      <c r="AE138" s="1153"/>
      <c r="AF138" s="1153"/>
      <c r="AG138" s="1153"/>
      <c r="AH138" s="958">
        <f t="shared" ref="AH138:AH201" si="10">AB138*AT138</f>
        <v>0.68855699621826016</v>
      </c>
      <c r="AI138" s="1153"/>
      <c r="AJ138" s="1153"/>
      <c r="AK138" s="1153"/>
      <c r="AL138" s="1153"/>
      <c r="AM138" s="1153"/>
      <c r="AN138" s="1153"/>
      <c r="AO138" s="1153"/>
      <c r="AP138" s="1153"/>
      <c r="AQ138" s="1154">
        <v>1</v>
      </c>
      <c r="AR138" s="962">
        <f t="shared" ref="AR138:AR201" si="11">AR139</f>
        <v>0.67110316092337996</v>
      </c>
      <c r="AS138" s="1153"/>
      <c r="AT138" s="1154">
        <f t="shared" ref="AT138:AT201" si="12">AT139</f>
        <v>8.0558710550160145E-2</v>
      </c>
      <c r="AU138" s="1153"/>
      <c r="AV138" s="1153"/>
      <c r="AW138" s="1153"/>
      <c r="AX138" s="1153"/>
      <c r="AY138" s="1153"/>
      <c r="AZ138" s="958">
        <f t="shared" ref="AZ138:AZ139" si="13">+AA138*(1-AR138)</f>
        <v>1.8022318899866228</v>
      </c>
      <c r="BA138" s="1152"/>
      <c r="BB138" s="1152"/>
      <c r="BC138" s="956">
        <f t="shared" ref="BC138:BC201" si="14">AY138+AZ138+BA138+BB138</f>
        <v>1.8022318899866228</v>
      </c>
      <c r="BD138" s="1152"/>
      <c r="BE138" s="1152"/>
      <c r="BF138" s="956">
        <f t="shared" si="8"/>
        <v>2.0296390178054473</v>
      </c>
    </row>
    <row r="139" spans="1:59" x14ac:dyDescent="0.45">
      <c r="A139" s="14">
        <v>1829</v>
      </c>
      <c r="B139" s="507">
        <v>30.341823999999981</v>
      </c>
      <c r="C139" s="1153"/>
      <c r="D139" s="1153"/>
      <c r="E139" s="507"/>
      <c r="F139" s="1153"/>
      <c r="G139" s="1153"/>
      <c r="H139" s="1160"/>
      <c r="I139" s="1153"/>
      <c r="J139" s="1153"/>
      <c r="K139" s="1153"/>
      <c r="L139" s="1153"/>
      <c r="M139" s="1153"/>
      <c r="N139" s="1153"/>
      <c r="O139" s="1153"/>
      <c r="P139" s="1153"/>
      <c r="Q139" s="1153"/>
      <c r="R139" s="507">
        <v>27.895295999999981</v>
      </c>
      <c r="S139" s="507">
        <v>2.4465280000000007</v>
      </c>
      <c r="T139" s="507">
        <v>30.341823999999981</v>
      </c>
      <c r="U139" s="1153"/>
      <c r="V139" s="1153"/>
      <c r="W139" s="1153"/>
      <c r="X139" s="1153"/>
      <c r="Y139" s="1156">
        <v>1829</v>
      </c>
      <c r="Z139" s="965">
        <f t="shared" si="9"/>
        <v>11.623039999999994</v>
      </c>
      <c r="AA139" s="965">
        <f t="shared" si="9"/>
        <v>5.6100133333333337</v>
      </c>
      <c r="AB139" s="965">
        <f t="shared" si="9"/>
        <v>8.6424346666666665</v>
      </c>
      <c r="AC139" s="1153"/>
      <c r="AD139" s="1153"/>
      <c r="AE139" s="1153"/>
      <c r="AF139" s="1153"/>
      <c r="AG139" s="1153"/>
      <c r="AH139" s="958">
        <f t="shared" si="10"/>
        <v>0.6962233927606698</v>
      </c>
      <c r="AI139" s="1153"/>
      <c r="AJ139" s="1153"/>
      <c r="AK139" s="1153"/>
      <c r="AL139" s="1153"/>
      <c r="AM139" s="1153"/>
      <c r="AN139" s="1153"/>
      <c r="AO139" s="1153"/>
      <c r="AP139" s="1153"/>
      <c r="AQ139" s="1154">
        <v>1</v>
      </c>
      <c r="AR139" s="962">
        <f t="shared" si="11"/>
        <v>0.67110316092337996</v>
      </c>
      <c r="AS139" s="1153"/>
      <c r="AT139" s="1154">
        <f t="shared" si="12"/>
        <v>8.0558710550160145E-2</v>
      </c>
      <c r="AU139" s="1153"/>
      <c r="AV139" s="1153"/>
      <c r="AW139" s="1153"/>
      <c r="AX139" s="1153"/>
      <c r="AY139" s="1153"/>
      <c r="AZ139" s="958">
        <f t="shared" si="13"/>
        <v>1.8451156525110262</v>
      </c>
      <c r="BA139" s="1152"/>
      <c r="BB139" s="1152"/>
      <c r="BC139" s="956">
        <f t="shared" si="14"/>
        <v>1.8451156525110262</v>
      </c>
      <c r="BD139" s="1152"/>
      <c r="BE139" s="1152"/>
      <c r="BF139" s="956">
        <f t="shared" si="8"/>
        <v>2.0779338893663306</v>
      </c>
    </row>
    <row r="140" spans="1:59" x14ac:dyDescent="0.45">
      <c r="A140" s="14">
        <v>1830</v>
      </c>
      <c r="B140" s="506">
        <v>30.988</v>
      </c>
      <c r="C140" s="506"/>
      <c r="D140" s="506"/>
      <c r="E140" s="506">
        <v>1.5</v>
      </c>
      <c r="F140" s="506">
        <v>0</v>
      </c>
      <c r="G140" s="506">
        <v>0.5</v>
      </c>
      <c r="H140" s="1160">
        <f t="shared" ref="H140:H173" si="15">BF140</f>
        <v>2.1262287609272144</v>
      </c>
      <c r="I140" s="506">
        <v>0</v>
      </c>
      <c r="J140" s="506">
        <v>11.836400000000001</v>
      </c>
      <c r="K140" s="506">
        <v>11.647881449769706</v>
      </c>
      <c r="L140" s="506">
        <v>0.70388978930307933</v>
      </c>
      <c r="M140" s="506"/>
      <c r="N140" s="506">
        <v>0</v>
      </c>
      <c r="O140" s="506"/>
      <c r="P140" s="506"/>
      <c r="Q140" s="506"/>
      <c r="R140" s="506">
        <v>26.188171239072787</v>
      </c>
      <c r="S140" s="506">
        <v>4.7998287609272126</v>
      </c>
      <c r="T140" s="506">
        <v>30.988</v>
      </c>
      <c r="V140" s="506">
        <v>26.188171239072787</v>
      </c>
      <c r="W140" s="506"/>
      <c r="Y140" s="1156">
        <v>1830</v>
      </c>
      <c r="Z140" s="956">
        <v>11.836400000000001</v>
      </c>
      <c r="AA140" s="956">
        <v>5.7404000000000002</v>
      </c>
      <c r="AB140" s="956">
        <v>8.7376000000000005</v>
      </c>
      <c r="AC140" s="956"/>
      <c r="AD140" s="956"/>
      <c r="AE140" s="956">
        <f t="shared" ref="AE140:AE164" si="16">Z140-AY140/$BF$8</f>
        <v>11.836400000000001</v>
      </c>
      <c r="AF140" s="956">
        <f t="shared" ref="AF140:AF164" si="17">AA140-AZ140/$BF$8</f>
        <v>3.6141712390727858</v>
      </c>
      <c r="AG140" s="967">
        <f t="shared" ref="AG140:AG164" si="18">AB140-BA140/$BF$8-AH140</f>
        <v>8.0337102106969205</v>
      </c>
      <c r="AH140" s="967">
        <f t="shared" si="10"/>
        <v>0.70388978930307933</v>
      </c>
      <c r="AI140" s="956"/>
      <c r="AJ140" s="956"/>
      <c r="AK140" s="967">
        <f t="shared" ref="AK140:AK179" si="19">AE140</f>
        <v>11.836400000000001</v>
      </c>
      <c r="AL140" s="967">
        <f t="shared" ref="AL140:AL179" si="20">AF140</f>
        <v>3.6141712390727858</v>
      </c>
      <c r="AM140" s="967">
        <f t="shared" ref="AM140:AM179" si="21">AG140</f>
        <v>8.0337102106969205</v>
      </c>
      <c r="AN140" s="967">
        <f t="shared" ref="AN140:AN179" si="22">AH140</f>
        <v>0.70388978930307933</v>
      </c>
      <c r="AO140" s="956"/>
      <c r="AP140" s="956"/>
      <c r="AQ140" s="963">
        <v>1</v>
      </c>
      <c r="AR140" s="966">
        <f t="shared" si="11"/>
        <v>0.67110316092337996</v>
      </c>
      <c r="AS140" s="963">
        <v>1</v>
      </c>
      <c r="AT140" s="963">
        <f t="shared" si="12"/>
        <v>8.0558710550160145E-2</v>
      </c>
      <c r="AU140" s="956"/>
      <c r="AV140" s="956"/>
      <c r="AW140" s="956"/>
      <c r="AX140" s="956"/>
      <c r="AY140" s="956"/>
      <c r="AZ140" s="956">
        <f t="shared" ref="AZ140:AZ195" si="23">+AA140*(1-AR140)</f>
        <v>1.8879994150354298</v>
      </c>
      <c r="BA140" s="956">
        <f t="shared" ref="BA140:BA203" si="24">+AB140*(1-AS140)</f>
        <v>0</v>
      </c>
      <c r="BB140" s="9"/>
      <c r="BC140" s="956">
        <f t="shared" si="14"/>
        <v>1.8879994150354298</v>
      </c>
      <c r="BD140" s="9"/>
      <c r="BE140" s="9"/>
      <c r="BF140" s="956">
        <f t="shared" si="8"/>
        <v>2.1262287609272144</v>
      </c>
      <c r="BG140" s="9"/>
    </row>
    <row r="141" spans="1:59" x14ac:dyDescent="0.45">
      <c r="A141" s="14">
        <v>1831</v>
      </c>
      <c r="B141" s="506">
        <v>31.597600000000003</v>
      </c>
      <c r="C141" s="506"/>
      <c r="D141" s="506"/>
      <c r="E141" s="507">
        <v>1.6</v>
      </c>
      <c r="F141" s="507">
        <v>0</v>
      </c>
      <c r="G141" s="507">
        <v>0.54</v>
      </c>
      <c r="H141" s="1160">
        <f t="shared" si="15"/>
        <v>2.2869916130408017</v>
      </c>
      <c r="I141" s="507">
        <v>0.03</v>
      </c>
      <c r="J141" s="507">
        <v>11.782532428394569</v>
      </c>
      <c r="K141" s="507">
        <v>12.215391920184482</v>
      </c>
      <c r="L141" s="507">
        <v>0.73253646677471618</v>
      </c>
      <c r="M141" s="507"/>
      <c r="N141" s="507">
        <v>2.0320000000000001E-2</v>
      </c>
      <c r="O141" s="507"/>
      <c r="P141" s="507"/>
      <c r="Q141" s="507"/>
      <c r="R141" s="507">
        <v>26.920780815353766</v>
      </c>
      <c r="S141" s="507">
        <v>4.6768191846462379</v>
      </c>
      <c r="T141" s="507">
        <v>31.597600000000003</v>
      </c>
      <c r="U141" s="1153"/>
      <c r="V141" s="507">
        <v>26.920780815353766</v>
      </c>
      <c r="W141" s="506"/>
      <c r="Y141" s="1156">
        <v>1831</v>
      </c>
      <c r="Z141" s="958">
        <v>11.782532428394569</v>
      </c>
      <c r="AA141" s="958">
        <v>6.1417200000000003</v>
      </c>
      <c r="AB141" s="958">
        <v>9.0931999999999995</v>
      </c>
      <c r="AC141" s="958"/>
      <c r="AD141" s="958"/>
      <c r="AE141" s="958">
        <f t="shared" si="16"/>
        <v>11.782532428394569</v>
      </c>
      <c r="AF141" s="958">
        <f t="shared" si="17"/>
        <v>3.8668433876451309</v>
      </c>
      <c r="AG141" s="958">
        <f t="shared" si="18"/>
        <v>8.3485485325393505</v>
      </c>
      <c r="AH141" s="958">
        <f t="shared" si="10"/>
        <v>0.73253646677471618</v>
      </c>
      <c r="AI141" s="958"/>
      <c r="AJ141" s="958"/>
      <c r="AK141" s="958">
        <f t="shared" si="19"/>
        <v>11.782532428394569</v>
      </c>
      <c r="AL141" s="958">
        <f t="shared" si="20"/>
        <v>3.8668433876451309</v>
      </c>
      <c r="AM141" s="958">
        <f t="shared" si="21"/>
        <v>8.3485485325393505</v>
      </c>
      <c r="AN141" s="958">
        <f t="shared" si="22"/>
        <v>0.73253646677471618</v>
      </c>
      <c r="AO141" s="958"/>
      <c r="AP141" s="958"/>
      <c r="AQ141" s="1154">
        <v>1</v>
      </c>
      <c r="AR141" s="962">
        <f t="shared" si="11"/>
        <v>0.67110316092337996</v>
      </c>
      <c r="AS141" s="962">
        <f>AS140+(AS$213-AS$140)/73</f>
        <v>0.99881696234848361</v>
      </c>
      <c r="AT141" s="1154">
        <f t="shared" si="12"/>
        <v>8.0558710550160145E-2</v>
      </c>
      <c r="AU141" s="958"/>
      <c r="AV141" s="958"/>
      <c r="AW141" s="958"/>
      <c r="AX141" s="958"/>
      <c r="AY141" s="958"/>
      <c r="AZ141" s="958">
        <f t="shared" si="23"/>
        <v>2.019992294493659</v>
      </c>
      <c r="BA141" s="958">
        <f t="shared" si="24"/>
        <v>1.0757597972768877E-2</v>
      </c>
      <c r="BB141" s="1157"/>
      <c r="BC141" s="956">
        <f t="shared" si="14"/>
        <v>2.030749892466428</v>
      </c>
      <c r="BD141" s="1157"/>
      <c r="BE141" s="1158"/>
      <c r="BF141" s="956">
        <f t="shared" si="8"/>
        <v>2.2869916130408017</v>
      </c>
      <c r="BG141" s="9"/>
    </row>
    <row r="142" spans="1:59" x14ac:dyDescent="0.45">
      <c r="A142" s="14">
        <v>1832</v>
      </c>
      <c r="B142" s="506">
        <v>32.512</v>
      </c>
      <c r="C142" s="506"/>
      <c r="D142" s="506"/>
      <c r="E142" s="507">
        <v>1.7000000000000002</v>
      </c>
      <c r="F142" s="507">
        <v>0</v>
      </c>
      <c r="G142" s="507">
        <v>0.58000000000000007</v>
      </c>
      <c r="H142" s="1160">
        <f t="shared" si="15"/>
        <v>2.4487020071074772</v>
      </c>
      <c r="I142" s="507">
        <v>0.06</v>
      </c>
      <c r="J142" s="507">
        <v>11.823302663297518</v>
      </c>
      <c r="K142" s="507">
        <v>12.781954848646167</v>
      </c>
      <c r="L142" s="507">
        <v>0.76118314424635303</v>
      </c>
      <c r="M142" s="507"/>
      <c r="N142" s="507">
        <v>4.0640000000000003E-2</v>
      </c>
      <c r="O142" s="507"/>
      <c r="P142" s="507"/>
      <c r="Q142" s="507"/>
      <c r="R142" s="507">
        <v>27.74708065619004</v>
      </c>
      <c r="S142" s="507">
        <v>4.7649193438099608</v>
      </c>
      <c r="T142" s="507">
        <v>32.512</v>
      </c>
      <c r="U142" s="1153"/>
      <c r="V142" s="507">
        <v>27.74708065619004</v>
      </c>
      <c r="W142" s="506"/>
      <c r="Y142" s="1156">
        <v>1832</v>
      </c>
      <c r="Z142" s="958">
        <v>11.823302663297518</v>
      </c>
      <c r="AA142" s="958">
        <v>6.5430399999999995</v>
      </c>
      <c r="AB142" s="958">
        <v>9.4487999999999985</v>
      </c>
      <c r="AC142" s="958"/>
      <c r="AD142" s="958"/>
      <c r="AE142" s="958">
        <f t="shared" si="16"/>
        <v>11.823302663297518</v>
      </c>
      <c r="AF142" s="958">
        <f t="shared" si="17"/>
        <v>4.1195155362174756</v>
      </c>
      <c r="AG142" s="958">
        <f t="shared" si="18"/>
        <v>8.6624393124286918</v>
      </c>
      <c r="AH142" s="958">
        <f t="shared" si="10"/>
        <v>0.76118314424635303</v>
      </c>
      <c r="AI142" s="958"/>
      <c r="AJ142" s="958"/>
      <c r="AK142" s="958">
        <f t="shared" si="19"/>
        <v>11.823302663297518</v>
      </c>
      <c r="AL142" s="958">
        <f t="shared" si="20"/>
        <v>4.1195155362174756</v>
      </c>
      <c r="AM142" s="958">
        <f t="shared" si="21"/>
        <v>8.6624393124286918</v>
      </c>
      <c r="AN142" s="958">
        <f t="shared" si="22"/>
        <v>0.76118314424635303</v>
      </c>
      <c r="AO142" s="958"/>
      <c r="AP142" s="958"/>
      <c r="AQ142" s="1154">
        <v>1</v>
      </c>
      <c r="AR142" s="962">
        <f t="shared" si="11"/>
        <v>0.67110316092337996</v>
      </c>
      <c r="AS142" s="962">
        <f t="shared" ref="AS142:AS205" si="25">AS141+(AS$213-AS$140)/73</f>
        <v>0.99763392469696721</v>
      </c>
      <c r="AT142" s="1154">
        <f t="shared" si="12"/>
        <v>8.0558710550160145E-2</v>
      </c>
      <c r="AU142" s="958"/>
      <c r="AV142" s="958"/>
      <c r="AW142" s="958"/>
      <c r="AX142" s="958"/>
      <c r="AY142" s="958"/>
      <c r="AZ142" s="958">
        <f t="shared" si="23"/>
        <v>2.1519851739518878</v>
      </c>
      <c r="BA142" s="958">
        <f t="shared" si="24"/>
        <v>2.2356572323296211E-2</v>
      </c>
      <c r="BB142" s="1157"/>
      <c r="BC142" s="956">
        <f t="shared" si="14"/>
        <v>2.174341746275184</v>
      </c>
      <c r="BD142" s="1157"/>
      <c r="BE142" s="1158"/>
      <c r="BF142" s="956">
        <f t="shared" si="8"/>
        <v>2.4487020071074772</v>
      </c>
      <c r="BG142" s="9"/>
    </row>
    <row r="143" spans="1:59" x14ac:dyDescent="0.45">
      <c r="A143" s="14">
        <v>1833</v>
      </c>
      <c r="B143" s="506">
        <v>33.324799999999996</v>
      </c>
      <c r="C143" s="506"/>
      <c r="D143" s="506"/>
      <c r="E143" s="507">
        <v>1.8000000000000003</v>
      </c>
      <c r="F143" s="507">
        <v>0</v>
      </c>
      <c r="G143" s="507">
        <v>0.62000000000000011</v>
      </c>
      <c r="H143" s="1160">
        <f t="shared" si="15"/>
        <v>2.6113599431272432</v>
      </c>
      <c r="I143" s="507">
        <v>0.09</v>
      </c>
      <c r="J143" s="507">
        <v>11.825987023928997</v>
      </c>
      <c r="K143" s="507">
        <v>13.347570235154766</v>
      </c>
      <c r="L143" s="507">
        <v>0.7898298217179901</v>
      </c>
      <c r="M143" s="507"/>
      <c r="N143" s="507">
        <v>6.096E-2</v>
      </c>
      <c r="O143" s="507"/>
      <c r="P143" s="507"/>
      <c r="Q143" s="507"/>
      <c r="R143" s="507">
        <v>28.534347080801755</v>
      </c>
      <c r="S143" s="507">
        <v>4.7904529191982412</v>
      </c>
      <c r="T143" s="507">
        <v>33.324799999999996</v>
      </c>
      <c r="U143" s="1153"/>
      <c r="V143" s="507">
        <v>28.534347080801755</v>
      </c>
      <c r="W143" s="506"/>
      <c r="Y143" s="1156">
        <v>1833</v>
      </c>
      <c r="Z143" s="958">
        <v>11.825987023928997</v>
      </c>
      <c r="AA143" s="958">
        <v>6.9443599999999988</v>
      </c>
      <c r="AB143" s="958">
        <v>9.8043999999999993</v>
      </c>
      <c r="AC143" s="958"/>
      <c r="AD143" s="958"/>
      <c r="AE143" s="958">
        <f t="shared" si="16"/>
        <v>11.825987023928997</v>
      </c>
      <c r="AF143" s="958">
        <f t="shared" si="17"/>
        <v>4.3721876847898207</v>
      </c>
      <c r="AG143" s="958">
        <f t="shared" si="18"/>
        <v>8.9753825503649445</v>
      </c>
      <c r="AH143" s="958">
        <f t="shared" si="10"/>
        <v>0.7898298217179901</v>
      </c>
      <c r="AI143" s="958"/>
      <c r="AJ143" s="958"/>
      <c r="AK143" s="958">
        <f t="shared" si="19"/>
        <v>11.825987023928997</v>
      </c>
      <c r="AL143" s="958">
        <f t="shared" si="20"/>
        <v>4.3721876847898207</v>
      </c>
      <c r="AM143" s="958">
        <f t="shared" si="21"/>
        <v>8.9753825503649445</v>
      </c>
      <c r="AN143" s="958">
        <f t="shared" si="22"/>
        <v>0.7898298217179901</v>
      </c>
      <c r="AO143" s="958"/>
      <c r="AP143" s="958"/>
      <c r="AQ143" s="1154">
        <v>1</v>
      </c>
      <c r="AR143" s="962">
        <f t="shared" si="11"/>
        <v>0.67110316092337996</v>
      </c>
      <c r="AS143" s="962">
        <f t="shared" si="25"/>
        <v>0.99645088704545082</v>
      </c>
      <c r="AT143" s="1154">
        <f t="shared" si="12"/>
        <v>8.0558710550160145E-2</v>
      </c>
      <c r="AU143" s="958"/>
      <c r="AV143" s="958"/>
      <c r="AW143" s="958"/>
      <c r="AX143" s="958"/>
      <c r="AY143" s="958"/>
      <c r="AZ143" s="958">
        <f t="shared" si="23"/>
        <v>2.2839780534101166</v>
      </c>
      <c r="BA143" s="958">
        <f t="shared" si="24"/>
        <v>3.4796923051582003E-2</v>
      </c>
      <c r="BB143" s="1157"/>
      <c r="BC143" s="956">
        <f t="shared" si="14"/>
        <v>2.3187749764616985</v>
      </c>
      <c r="BD143" s="1157"/>
      <c r="BE143" s="1158"/>
      <c r="BF143" s="956">
        <f t="shared" si="8"/>
        <v>2.6113599431272432</v>
      </c>
      <c r="BG143" s="9"/>
    </row>
    <row r="144" spans="1:59" x14ac:dyDescent="0.45">
      <c r="A144" s="14">
        <v>1834</v>
      </c>
      <c r="B144" s="506">
        <v>34.239200000000004</v>
      </c>
      <c r="C144" s="506"/>
      <c r="D144" s="506"/>
      <c r="E144" s="507">
        <v>1.9000000000000004</v>
      </c>
      <c r="F144" s="507">
        <v>0</v>
      </c>
      <c r="G144" s="507">
        <v>0.66000000000000014</v>
      </c>
      <c r="H144" s="1160">
        <f t="shared" si="15"/>
        <v>2.7749654211000991</v>
      </c>
      <c r="I144" s="507">
        <v>0.12</v>
      </c>
      <c r="J144" s="507">
        <v>11.886897424770327</v>
      </c>
      <c r="K144" s="507">
        <v>13.912238079710271</v>
      </c>
      <c r="L144" s="507">
        <v>0.81847649918962695</v>
      </c>
      <c r="M144" s="507"/>
      <c r="N144" s="507">
        <v>8.1280000000000005E-2</v>
      </c>
      <c r="O144" s="507"/>
      <c r="P144" s="507"/>
      <c r="Q144" s="507"/>
      <c r="R144" s="507">
        <v>29.378892003670224</v>
      </c>
      <c r="S144" s="507">
        <v>4.8603079963297802</v>
      </c>
      <c r="T144" s="507">
        <v>34.239200000000004</v>
      </c>
      <c r="U144" s="1153"/>
      <c r="V144" s="507">
        <v>29.378892003670224</v>
      </c>
      <c r="W144" s="506"/>
      <c r="Y144" s="1156">
        <v>1834</v>
      </c>
      <c r="Z144" s="958">
        <v>11.886897424770327</v>
      </c>
      <c r="AA144" s="958">
        <v>7.3456799999999989</v>
      </c>
      <c r="AB144" s="958">
        <v>10.159999999999998</v>
      </c>
      <c r="AC144" s="958"/>
      <c r="AD144" s="958"/>
      <c r="AE144" s="958">
        <f t="shared" si="16"/>
        <v>11.886897424770327</v>
      </c>
      <c r="AF144" s="958">
        <f t="shared" si="17"/>
        <v>4.6248598333621658</v>
      </c>
      <c r="AG144" s="958">
        <f t="shared" si="18"/>
        <v>9.2873782463481049</v>
      </c>
      <c r="AH144" s="958">
        <f t="shared" si="10"/>
        <v>0.81847649918962695</v>
      </c>
      <c r="AI144" s="958"/>
      <c r="AJ144" s="958"/>
      <c r="AK144" s="958">
        <f t="shared" si="19"/>
        <v>11.886897424770327</v>
      </c>
      <c r="AL144" s="958">
        <f t="shared" si="20"/>
        <v>4.6248598333621658</v>
      </c>
      <c r="AM144" s="958">
        <f t="shared" si="21"/>
        <v>9.2873782463481049</v>
      </c>
      <c r="AN144" s="958">
        <f t="shared" si="22"/>
        <v>0.81847649918962695</v>
      </c>
      <c r="AO144" s="958"/>
      <c r="AP144" s="958"/>
      <c r="AQ144" s="1154">
        <v>1</v>
      </c>
      <c r="AR144" s="962">
        <f t="shared" si="11"/>
        <v>0.67110316092337996</v>
      </c>
      <c r="AS144" s="962">
        <f t="shared" si="25"/>
        <v>0.99526784939393442</v>
      </c>
      <c r="AT144" s="1154">
        <f t="shared" si="12"/>
        <v>8.0558710550160145E-2</v>
      </c>
      <c r="AU144" s="958"/>
      <c r="AV144" s="958"/>
      <c r="AW144" s="958"/>
      <c r="AX144" s="958"/>
      <c r="AY144" s="958"/>
      <c r="AZ144" s="958">
        <f t="shared" si="23"/>
        <v>2.4159709328683459</v>
      </c>
      <c r="BA144" s="958">
        <f t="shared" si="24"/>
        <v>4.8078650157626253E-2</v>
      </c>
      <c r="BB144" s="1157"/>
      <c r="BC144" s="956">
        <f t="shared" si="14"/>
        <v>2.4640495830259721</v>
      </c>
      <c r="BD144" s="1157"/>
      <c r="BE144" s="1158"/>
      <c r="BF144" s="956">
        <f t="shared" si="8"/>
        <v>2.7749654211000991</v>
      </c>
      <c r="BG144" s="9"/>
    </row>
    <row r="145" spans="1:59" x14ac:dyDescent="0.45">
      <c r="A145" s="14">
        <v>1835</v>
      </c>
      <c r="B145" s="506">
        <v>35.6616</v>
      </c>
      <c r="C145" s="506"/>
      <c r="D145" s="506"/>
      <c r="E145" s="507">
        <v>2.0000000000000004</v>
      </c>
      <c r="F145" s="507">
        <v>0</v>
      </c>
      <c r="G145" s="507">
        <v>0.70000000000000018</v>
      </c>
      <c r="H145" s="1160">
        <f t="shared" si="15"/>
        <v>2.9395184410260438</v>
      </c>
      <c r="I145" s="507">
        <v>0.15</v>
      </c>
      <c r="J145" s="507">
        <v>12.085510040841607</v>
      </c>
      <c r="K145" s="507">
        <v>14.475958382312687</v>
      </c>
      <c r="L145" s="507">
        <v>0.8471231766612638</v>
      </c>
      <c r="M145" s="507"/>
      <c r="N145" s="507">
        <v>0.10160000000000001</v>
      </c>
      <c r="O145" s="507"/>
      <c r="P145" s="507"/>
      <c r="Q145" s="507"/>
      <c r="R145" s="507">
        <v>30.360191599815558</v>
      </c>
      <c r="S145" s="507">
        <v>5.3014084001844424</v>
      </c>
      <c r="T145" s="507">
        <v>35.6616</v>
      </c>
      <c r="U145" s="1153"/>
      <c r="V145" s="507">
        <v>30.360191599815558</v>
      </c>
      <c r="W145" s="506"/>
      <c r="Y145" s="1156">
        <v>1835</v>
      </c>
      <c r="Z145" s="958">
        <v>12.085510040841607</v>
      </c>
      <c r="AA145" s="958">
        <v>7.7469999999999981</v>
      </c>
      <c r="AB145" s="958">
        <v>10.515599999999997</v>
      </c>
      <c r="AC145" s="958"/>
      <c r="AD145" s="958"/>
      <c r="AE145" s="958">
        <f t="shared" si="16"/>
        <v>12.085510040841607</v>
      </c>
      <c r="AF145" s="958">
        <f t="shared" si="17"/>
        <v>4.8775319819345109</v>
      </c>
      <c r="AG145" s="958">
        <f t="shared" si="18"/>
        <v>9.5984264003781767</v>
      </c>
      <c r="AH145" s="958">
        <f t="shared" si="10"/>
        <v>0.8471231766612638</v>
      </c>
      <c r="AI145" s="958"/>
      <c r="AJ145" s="958"/>
      <c r="AK145" s="958">
        <f t="shared" si="19"/>
        <v>12.085510040841607</v>
      </c>
      <c r="AL145" s="958">
        <f t="shared" si="20"/>
        <v>4.8775319819345109</v>
      </c>
      <c r="AM145" s="958">
        <f t="shared" si="21"/>
        <v>9.5984264003781767</v>
      </c>
      <c r="AN145" s="958">
        <f t="shared" si="22"/>
        <v>0.8471231766612638</v>
      </c>
      <c r="AO145" s="958"/>
      <c r="AP145" s="958"/>
      <c r="AQ145" s="1154">
        <v>1</v>
      </c>
      <c r="AR145" s="962">
        <f t="shared" si="11"/>
        <v>0.67110316092337996</v>
      </c>
      <c r="AS145" s="962">
        <f t="shared" si="25"/>
        <v>0.99408481174241803</v>
      </c>
      <c r="AT145" s="1154">
        <f t="shared" si="12"/>
        <v>8.0558710550160145E-2</v>
      </c>
      <c r="AU145" s="958"/>
      <c r="AV145" s="958"/>
      <c r="AW145" s="958"/>
      <c r="AX145" s="958"/>
      <c r="AY145" s="958"/>
      <c r="AZ145" s="958">
        <f t="shared" si="23"/>
        <v>2.5479638123265747</v>
      </c>
      <c r="BA145" s="958">
        <f t="shared" si="24"/>
        <v>6.2201753641428964E-2</v>
      </c>
      <c r="BB145" s="1157"/>
      <c r="BC145" s="956">
        <f t="shared" si="14"/>
        <v>2.6101655659680034</v>
      </c>
      <c r="BD145" s="1157"/>
      <c r="BE145" s="1158"/>
      <c r="BF145" s="956">
        <f t="shared" si="8"/>
        <v>2.9395184410260438</v>
      </c>
      <c r="BG145" s="9"/>
    </row>
    <row r="146" spans="1:59" x14ac:dyDescent="0.45">
      <c r="A146" s="14">
        <v>1836</v>
      </c>
      <c r="B146" s="506">
        <v>37.084000000000003</v>
      </c>
      <c r="C146" s="506"/>
      <c r="D146" s="506"/>
      <c r="E146" s="507">
        <v>2.1000000000000005</v>
      </c>
      <c r="F146" s="507">
        <v>0</v>
      </c>
      <c r="G146" s="507">
        <v>0.74000000000000021</v>
      </c>
      <c r="H146" s="1160">
        <f t="shared" si="15"/>
        <v>3.1050190029050797</v>
      </c>
      <c r="I146" s="507">
        <v>0.18</v>
      </c>
      <c r="J146" s="507">
        <v>12.240196816236672</v>
      </c>
      <c r="K146" s="507">
        <v>15.038731142962016</v>
      </c>
      <c r="L146" s="507">
        <v>0.87576985413290087</v>
      </c>
      <c r="M146" s="507"/>
      <c r="N146" s="507">
        <v>0.12192000000000001</v>
      </c>
      <c r="O146" s="507"/>
      <c r="P146" s="507"/>
      <c r="Q146" s="507"/>
      <c r="R146" s="507">
        <v>31.29661781333159</v>
      </c>
      <c r="S146" s="507">
        <v>5.7873821866684132</v>
      </c>
      <c r="T146" s="507">
        <v>37.084000000000003</v>
      </c>
      <c r="U146" s="1153"/>
      <c r="V146" s="507">
        <v>31.29661781333159</v>
      </c>
      <c r="W146" s="506"/>
      <c r="Y146" s="1156">
        <v>1836</v>
      </c>
      <c r="Z146" s="958">
        <v>12.240196816236672</v>
      </c>
      <c r="AA146" s="958">
        <v>8.1483199999999982</v>
      </c>
      <c r="AB146" s="958">
        <v>10.871199999999998</v>
      </c>
      <c r="AC146" s="958"/>
      <c r="AD146" s="958"/>
      <c r="AE146" s="958">
        <f t="shared" si="16"/>
        <v>12.240196816236672</v>
      </c>
      <c r="AF146" s="958">
        <f t="shared" si="17"/>
        <v>5.130204130506856</v>
      </c>
      <c r="AG146" s="958">
        <f t="shared" si="18"/>
        <v>9.9085270124551599</v>
      </c>
      <c r="AH146" s="958">
        <f t="shared" si="10"/>
        <v>0.87576985413290087</v>
      </c>
      <c r="AI146" s="958"/>
      <c r="AJ146" s="958"/>
      <c r="AK146" s="958">
        <f t="shared" si="19"/>
        <v>12.240196816236672</v>
      </c>
      <c r="AL146" s="958">
        <f t="shared" si="20"/>
        <v>5.130204130506856</v>
      </c>
      <c r="AM146" s="958">
        <f t="shared" si="21"/>
        <v>9.9085270124551599</v>
      </c>
      <c r="AN146" s="958">
        <f t="shared" si="22"/>
        <v>0.87576985413290087</v>
      </c>
      <c r="AO146" s="958"/>
      <c r="AP146" s="958"/>
      <c r="AQ146" s="1154">
        <v>1</v>
      </c>
      <c r="AR146" s="962">
        <f t="shared" si="11"/>
        <v>0.67110316092337996</v>
      </c>
      <c r="AS146" s="962">
        <f t="shared" si="25"/>
        <v>0.99290177409090163</v>
      </c>
      <c r="AT146" s="1154">
        <f t="shared" si="12"/>
        <v>8.0558710550160145E-2</v>
      </c>
      <c r="AU146" s="958"/>
      <c r="AV146" s="958"/>
      <c r="AW146" s="958"/>
      <c r="AX146" s="958"/>
      <c r="AY146" s="958"/>
      <c r="AZ146" s="958">
        <f t="shared" si="23"/>
        <v>2.6799566917848039</v>
      </c>
      <c r="BA146" s="958">
        <f t="shared" si="24"/>
        <v>7.7166233502990136E-2</v>
      </c>
      <c r="BB146" s="1157"/>
      <c r="BC146" s="956">
        <f t="shared" si="14"/>
        <v>2.7571229252877942</v>
      </c>
      <c r="BD146" s="1157"/>
      <c r="BE146" s="1158"/>
      <c r="BF146" s="956">
        <f t="shared" si="8"/>
        <v>3.1050190029050797</v>
      </c>
      <c r="BG146" s="9"/>
    </row>
    <row r="147" spans="1:59" x14ac:dyDescent="0.45">
      <c r="A147" s="14">
        <v>1837</v>
      </c>
      <c r="B147" s="506">
        <v>38.303200000000004</v>
      </c>
      <c r="C147" s="506"/>
      <c r="D147" s="506"/>
      <c r="E147" s="507">
        <v>2.2000000000000006</v>
      </c>
      <c r="F147" s="507">
        <v>0</v>
      </c>
      <c r="G147" s="507">
        <v>0.78000000000000025</v>
      </c>
      <c r="H147" s="1160">
        <f t="shared" si="15"/>
        <v>3.2714671067372034</v>
      </c>
      <c r="I147" s="507">
        <v>0.21</v>
      </c>
      <c r="J147" s="507">
        <v>12.295464451705355</v>
      </c>
      <c r="K147" s="507">
        <v>15.600556361658253</v>
      </c>
      <c r="L147" s="507">
        <v>0.90441653160453772</v>
      </c>
      <c r="M147" s="507"/>
      <c r="N147" s="507">
        <v>0.14224000000000001</v>
      </c>
      <c r="O147" s="507"/>
      <c r="P147" s="507"/>
      <c r="Q147" s="507"/>
      <c r="R147" s="507">
        <v>32.132677344968151</v>
      </c>
      <c r="S147" s="507">
        <v>6.1705226550318528</v>
      </c>
      <c r="T147" s="507">
        <v>38.303200000000004</v>
      </c>
      <c r="U147" s="1153"/>
      <c r="V147" s="507">
        <v>32.132677344968151</v>
      </c>
      <c r="W147" s="506"/>
      <c r="Y147" s="1156">
        <v>1837</v>
      </c>
      <c r="Z147" s="958">
        <v>12.295464451705355</v>
      </c>
      <c r="AA147" s="958">
        <v>8.5496399999999966</v>
      </c>
      <c r="AB147" s="958">
        <v>11.226799999999997</v>
      </c>
      <c r="AC147" s="958"/>
      <c r="AD147" s="958"/>
      <c r="AE147" s="958">
        <f t="shared" si="16"/>
        <v>12.295464451705355</v>
      </c>
      <c r="AF147" s="958">
        <f t="shared" si="17"/>
        <v>5.3828762790792002</v>
      </c>
      <c r="AG147" s="958">
        <f t="shared" si="18"/>
        <v>10.217680082579053</v>
      </c>
      <c r="AH147" s="958">
        <f t="shared" si="10"/>
        <v>0.90441653160453772</v>
      </c>
      <c r="AI147" s="958"/>
      <c r="AJ147" s="958"/>
      <c r="AK147" s="958">
        <f t="shared" si="19"/>
        <v>12.295464451705355</v>
      </c>
      <c r="AL147" s="958">
        <f t="shared" si="20"/>
        <v>5.3828762790792002</v>
      </c>
      <c r="AM147" s="958">
        <f t="shared" si="21"/>
        <v>10.217680082579053</v>
      </c>
      <c r="AN147" s="958">
        <f t="shared" si="22"/>
        <v>0.90441653160453772</v>
      </c>
      <c r="AO147" s="958"/>
      <c r="AP147" s="958"/>
      <c r="AQ147" s="1154">
        <v>1</v>
      </c>
      <c r="AR147" s="962">
        <f t="shared" si="11"/>
        <v>0.67110316092337996</v>
      </c>
      <c r="AS147" s="962">
        <f t="shared" si="25"/>
        <v>0.99171873643938524</v>
      </c>
      <c r="AT147" s="1154">
        <f t="shared" si="12"/>
        <v>8.0558710550160145E-2</v>
      </c>
      <c r="AU147" s="958"/>
      <c r="AV147" s="958"/>
      <c r="AW147" s="958"/>
      <c r="AX147" s="958"/>
      <c r="AY147" s="958"/>
      <c r="AZ147" s="958">
        <f t="shared" si="23"/>
        <v>2.8119495712430327</v>
      </c>
      <c r="BA147" s="958">
        <f t="shared" si="24"/>
        <v>9.2972089742309763E-2</v>
      </c>
      <c r="BB147" s="1157"/>
      <c r="BC147" s="956">
        <f t="shared" si="14"/>
        <v>2.9049216609853423</v>
      </c>
      <c r="BD147" s="1157"/>
      <c r="BE147" s="1158"/>
      <c r="BF147" s="956">
        <f t="shared" si="8"/>
        <v>3.2714671067372034</v>
      </c>
      <c r="BG147" s="9"/>
    </row>
    <row r="148" spans="1:59" x14ac:dyDescent="0.45">
      <c r="A148" s="14">
        <v>1838</v>
      </c>
      <c r="B148" s="506">
        <v>39.827200000000005</v>
      </c>
      <c r="C148" s="506"/>
      <c r="D148" s="506"/>
      <c r="E148" s="507">
        <v>2.3000000000000007</v>
      </c>
      <c r="F148" s="507">
        <v>0</v>
      </c>
      <c r="G148" s="507">
        <v>0.82000000000000028</v>
      </c>
      <c r="H148" s="1160">
        <f t="shared" si="15"/>
        <v>3.4388627525224185</v>
      </c>
      <c r="I148" s="507">
        <v>0.24</v>
      </c>
      <c r="J148" s="507">
        <v>12.449150374245002</v>
      </c>
      <c r="K148" s="507">
        <v>16.161434038401403</v>
      </c>
      <c r="L148" s="507">
        <v>0.93306320907617457</v>
      </c>
      <c r="M148" s="507"/>
      <c r="N148" s="507">
        <v>0.16256000000000001</v>
      </c>
      <c r="O148" s="507"/>
      <c r="P148" s="507"/>
      <c r="Q148" s="507"/>
      <c r="R148" s="507">
        <v>33.066207621722583</v>
      </c>
      <c r="S148" s="507">
        <v>6.7609923782774217</v>
      </c>
      <c r="T148" s="507">
        <v>39.827200000000005</v>
      </c>
      <c r="U148" s="1153"/>
      <c r="V148" s="507">
        <v>33.066207621722583</v>
      </c>
      <c r="W148" s="506"/>
      <c r="Y148" s="1156">
        <v>1838</v>
      </c>
      <c r="Z148" s="958">
        <v>12.449150374245002</v>
      </c>
      <c r="AA148" s="958">
        <v>8.9509599999999967</v>
      </c>
      <c r="AB148" s="958">
        <v>11.582399999999996</v>
      </c>
      <c r="AC148" s="958"/>
      <c r="AD148" s="958"/>
      <c r="AE148" s="958">
        <f t="shared" si="16"/>
        <v>12.449150374245002</v>
      </c>
      <c r="AF148" s="958">
        <f t="shared" si="17"/>
        <v>5.6355484276515444</v>
      </c>
      <c r="AG148" s="958">
        <f t="shared" si="18"/>
        <v>10.525885610749857</v>
      </c>
      <c r="AH148" s="958">
        <f t="shared" si="10"/>
        <v>0.93306320907617457</v>
      </c>
      <c r="AI148" s="958"/>
      <c r="AJ148" s="958"/>
      <c r="AK148" s="958">
        <f t="shared" si="19"/>
        <v>12.449150374245002</v>
      </c>
      <c r="AL148" s="958">
        <f t="shared" si="20"/>
        <v>5.6355484276515444</v>
      </c>
      <c r="AM148" s="958">
        <f t="shared" si="21"/>
        <v>10.525885610749857</v>
      </c>
      <c r="AN148" s="958">
        <f t="shared" si="22"/>
        <v>0.93306320907617457</v>
      </c>
      <c r="AO148" s="958"/>
      <c r="AP148" s="958"/>
      <c r="AQ148" s="1154">
        <v>1</v>
      </c>
      <c r="AR148" s="962">
        <f t="shared" si="11"/>
        <v>0.67110316092337996</v>
      </c>
      <c r="AS148" s="962">
        <f t="shared" si="25"/>
        <v>0.99053569878786885</v>
      </c>
      <c r="AT148" s="1154">
        <f t="shared" si="12"/>
        <v>8.0558710550160145E-2</v>
      </c>
      <c r="AU148" s="958"/>
      <c r="AV148" s="958"/>
      <c r="AW148" s="958"/>
      <c r="AX148" s="958"/>
      <c r="AY148" s="958"/>
      <c r="AZ148" s="958">
        <f t="shared" si="23"/>
        <v>2.9439424507012619</v>
      </c>
      <c r="BA148" s="958">
        <f t="shared" si="24"/>
        <v>0.10961932235938784</v>
      </c>
      <c r="BB148" s="1157"/>
      <c r="BC148" s="956">
        <f t="shared" si="14"/>
        <v>3.0535617730606499</v>
      </c>
      <c r="BD148" s="1157"/>
      <c r="BE148" s="1158"/>
      <c r="BF148" s="956">
        <f t="shared" si="8"/>
        <v>3.4388627525224185</v>
      </c>
      <c r="BG148" s="9"/>
    </row>
    <row r="149" spans="1:59" x14ac:dyDescent="0.45">
      <c r="A149" s="14">
        <v>1839</v>
      </c>
      <c r="B149" s="506">
        <v>41.351200000000006</v>
      </c>
      <c r="C149" s="506"/>
      <c r="D149" s="506"/>
      <c r="E149" s="507">
        <v>2.4000000000000008</v>
      </c>
      <c r="F149" s="507">
        <v>0</v>
      </c>
      <c r="G149" s="507">
        <v>0.86000000000000032</v>
      </c>
      <c r="H149" s="1160">
        <f t="shared" si="15"/>
        <v>3.6072059402607222</v>
      </c>
      <c r="I149" s="507">
        <v>0.27</v>
      </c>
      <c r="J149" s="507">
        <v>12.610678474978529</v>
      </c>
      <c r="K149" s="507">
        <v>16.721364173191461</v>
      </c>
      <c r="L149" s="507">
        <v>0.96170988654781153</v>
      </c>
      <c r="M149" s="507"/>
      <c r="N149" s="507">
        <v>0.18287999999999999</v>
      </c>
      <c r="O149" s="507"/>
      <c r="P149" s="507"/>
      <c r="Q149" s="507"/>
      <c r="R149" s="507">
        <v>34.006632534717795</v>
      </c>
      <c r="S149" s="507">
        <v>7.3445674652822106</v>
      </c>
      <c r="T149" s="507">
        <v>41.351200000000006</v>
      </c>
      <c r="U149" s="1153"/>
      <c r="V149" s="507">
        <v>34.006632534717795</v>
      </c>
      <c r="W149" s="506"/>
      <c r="Y149" s="1156">
        <v>1839</v>
      </c>
      <c r="Z149" s="958">
        <v>12.610678474978529</v>
      </c>
      <c r="AA149" s="958">
        <v>9.3522799999999968</v>
      </c>
      <c r="AB149" s="958">
        <v>11.937999999999997</v>
      </c>
      <c r="AC149" s="958"/>
      <c r="AD149" s="958"/>
      <c r="AE149" s="958">
        <f t="shared" si="16"/>
        <v>12.610678474978529</v>
      </c>
      <c r="AF149" s="958">
        <f t="shared" si="17"/>
        <v>5.8882205762238904</v>
      </c>
      <c r="AG149" s="958">
        <f t="shared" si="18"/>
        <v>10.83314359696757</v>
      </c>
      <c r="AH149" s="958">
        <f t="shared" si="10"/>
        <v>0.96170988654781153</v>
      </c>
      <c r="AI149" s="958"/>
      <c r="AJ149" s="958"/>
      <c r="AK149" s="958">
        <f t="shared" si="19"/>
        <v>12.610678474978529</v>
      </c>
      <c r="AL149" s="958">
        <f t="shared" si="20"/>
        <v>5.8882205762238904</v>
      </c>
      <c r="AM149" s="958">
        <f t="shared" si="21"/>
        <v>10.83314359696757</v>
      </c>
      <c r="AN149" s="958">
        <f t="shared" si="22"/>
        <v>0.96170988654781153</v>
      </c>
      <c r="AO149" s="958"/>
      <c r="AP149" s="958"/>
      <c r="AQ149" s="1154">
        <v>1</v>
      </c>
      <c r="AR149" s="962">
        <f t="shared" si="11"/>
        <v>0.67110316092337996</v>
      </c>
      <c r="AS149" s="962">
        <f t="shared" si="25"/>
        <v>0.98935266113635245</v>
      </c>
      <c r="AT149" s="1154">
        <f t="shared" si="12"/>
        <v>8.0558710550160145E-2</v>
      </c>
      <c r="AU149" s="958"/>
      <c r="AV149" s="958"/>
      <c r="AW149" s="958"/>
      <c r="AX149" s="958"/>
      <c r="AY149" s="958"/>
      <c r="AZ149" s="958">
        <f t="shared" si="23"/>
        <v>3.0759353301594912</v>
      </c>
      <c r="BA149" s="958">
        <f t="shared" si="24"/>
        <v>0.12710793135422441</v>
      </c>
      <c r="BB149" s="1157"/>
      <c r="BC149" s="956">
        <f t="shared" si="14"/>
        <v>3.2030432615137157</v>
      </c>
      <c r="BD149" s="1157"/>
      <c r="BE149" s="1158"/>
      <c r="BF149" s="956">
        <f t="shared" si="8"/>
        <v>3.6072059402607222</v>
      </c>
      <c r="BG149" s="9"/>
    </row>
    <row r="150" spans="1:59" x14ac:dyDescent="0.45">
      <c r="A150" s="14">
        <v>1840</v>
      </c>
      <c r="B150" s="506">
        <v>43.18</v>
      </c>
      <c r="C150" s="506"/>
      <c r="D150" s="506"/>
      <c r="E150" s="506">
        <v>2.5</v>
      </c>
      <c r="F150" s="506">
        <v>0</v>
      </c>
      <c r="G150" s="506">
        <v>0.9</v>
      </c>
      <c r="H150" s="1160">
        <f t="shared" si="15"/>
        <v>3.7764966699521172</v>
      </c>
      <c r="I150" s="506">
        <v>0.3</v>
      </c>
      <c r="J150" s="506">
        <v>12.852400000000001</v>
      </c>
      <c r="K150" s="506">
        <v>17.280346766028437</v>
      </c>
      <c r="L150" s="506">
        <v>0.99035656401944872</v>
      </c>
      <c r="M150" s="506"/>
      <c r="N150" s="506">
        <v>0.20320000000000002</v>
      </c>
      <c r="O150" s="506"/>
      <c r="P150" s="506"/>
      <c r="Q150" s="506"/>
      <c r="R150" s="506">
        <v>35.026303330047888</v>
      </c>
      <c r="S150" s="506">
        <v>8.1536966699521116</v>
      </c>
      <c r="T150" s="506">
        <v>43.18</v>
      </c>
      <c r="V150" s="506">
        <v>35.026303330047888</v>
      </c>
      <c r="W150" s="506"/>
      <c r="Y150" s="1156">
        <v>1840</v>
      </c>
      <c r="Z150" s="956">
        <v>12.852400000000001</v>
      </c>
      <c r="AA150" s="956">
        <v>9.7536000000000005</v>
      </c>
      <c r="AB150" s="956">
        <v>12.2936</v>
      </c>
      <c r="AC150" s="956"/>
      <c r="AD150" s="45"/>
      <c r="AE150" s="956">
        <f t="shared" si="16"/>
        <v>12.852400000000001</v>
      </c>
      <c r="AF150" s="956">
        <f t="shared" si="17"/>
        <v>6.1408927247962382</v>
      </c>
      <c r="AG150" s="967">
        <f t="shared" si="18"/>
        <v>11.139454041232197</v>
      </c>
      <c r="AH150" s="967">
        <f t="shared" si="10"/>
        <v>0.99035656401944872</v>
      </c>
      <c r="AI150" s="45"/>
      <c r="AJ150" s="45"/>
      <c r="AK150" s="967">
        <f t="shared" si="19"/>
        <v>12.852400000000001</v>
      </c>
      <c r="AL150" s="967">
        <f t="shared" si="20"/>
        <v>6.1408927247962382</v>
      </c>
      <c r="AM150" s="967">
        <f t="shared" si="21"/>
        <v>11.139454041232197</v>
      </c>
      <c r="AN150" s="967">
        <f t="shared" si="22"/>
        <v>0.99035656401944872</v>
      </c>
      <c r="AO150" s="45"/>
      <c r="AP150" s="45"/>
      <c r="AQ150" s="963">
        <v>1</v>
      </c>
      <c r="AR150" s="966">
        <f t="shared" si="11"/>
        <v>0.67110316092337996</v>
      </c>
      <c r="AS150" s="962">
        <f t="shared" si="25"/>
        <v>0.98816962348483606</v>
      </c>
      <c r="AT150" s="963">
        <f t="shared" si="12"/>
        <v>8.0558710550160145E-2</v>
      </c>
      <c r="AU150" s="45"/>
      <c r="AV150" s="45"/>
      <c r="AW150" s="45"/>
      <c r="AX150" s="45"/>
      <c r="AY150" s="956"/>
      <c r="AZ150" s="956">
        <f t="shared" si="23"/>
        <v>3.2079282096177213</v>
      </c>
      <c r="BA150" s="956">
        <f t="shared" si="24"/>
        <v>0.14543791672681944</v>
      </c>
      <c r="BB150" s="9"/>
      <c r="BC150" s="956">
        <f t="shared" si="14"/>
        <v>3.3533661263445409</v>
      </c>
      <c r="BD150" s="9"/>
      <c r="BE150" s="9"/>
      <c r="BF150" s="956">
        <f t="shared" si="8"/>
        <v>3.7764966699521172</v>
      </c>
      <c r="BG150" s="9"/>
    </row>
    <row r="151" spans="1:59" x14ac:dyDescent="0.45">
      <c r="A151" s="14">
        <v>1841</v>
      </c>
      <c r="B151" s="506">
        <v>44.3992</v>
      </c>
      <c r="C151" s="506"/>
      <c r="D151" s="506"/>
      <c r="E151" s="507">
        <v>2.6666666666666665</v>
      </c>
      <c r="F151" s="507">
        <v>0</v>
      </c>
      <c r="G151" s="507">
        <v>0.95333333333333337</v>
      </c>
      <c r="H151" s="507">
        <f t="shared" si="15"/>
        <v>4.0395251387972415</v>
      </c>
      <c r="I151" s="507">
        <v>0.44</v>
      </c>
      <c r="J151" s="507">
        <v>12.861353616790574</v>
      </c>
      <c r="K151" s="507">
        <v>18.332829004908863</v>
      </c>
      <c r="L151" s="507">
        <v>1.0498325229605616</v>
      </c>
      <c r="M151" s="507"/>
      <c r="N151" s="507">
        <v>0.23029333333333335</v>
      </c>
      <c r="O151" s="507"/>
      <c r="P151" s="507"/>
      <c r="Q151" s="507"/>
      <c r="R151" s="506">
        <v>36.534308477993342</v>
      </c>
      <c r="S151" s="506">
        <v>7.8648915220066584</v>
      </c>
      <c r="T151" s="506">
        <v>44.3992</v>
      </c>
      <c r="V151" s="506">
        <v>36.534308477993342</v>
      </c>
      <c r="W151" s="506"/>
      <c r="Y151" s="1156">
        <v>1841</v>
      </c>
      <c r="Z151" s="958">
        <v>12.861353616790574</v>
      </c>
      <c r="AA151" s="958">
        <v>10.390293333333334</v>
      </c>
      <c r="AB151" s="958">
        <v>13.031893333333333</v>
      </c>
      <c r="AC151" s="958"/>
      <c r="AD151" s="1159"/>
      <c r="AE151" s="958">
        <f t="shared" si="16"/>
        <v>12.861353616790574</v>
      </c>
      <c r="AF151" s="958">
        <f t="shared" si="17"/>
        <v>6.5417565554426593</v>
      </c>
      <c r="AG151" s="958">
        <f t="shared" si="18"/>
        <v>11.791072449466204</v>
      </c>
      <c r="AH151" s="958">
        <f t="shared" si="10"/>
        <v>1.0498325229605616</v>
      </c>
      <c r="AI151" s="1159"/>
      <c r="AJ151" s="1159"/>
      <c r="AK151" s="958">
        <f t="shared" si="19"/>
        <v>12.861353616790574</v>
      </c>
      <c r="AL151" s="958">
        <f t="shared" si="20"/>
        <v>6.5417565554426593</v>
      </c>
      <c r="AM151" s="958">
        <f t="shared" si="21"/>
        <v>11.791072449466204</v>
      </c>
      <c r="AN151" s="958">
        <f t="shared" si="22"/>
        <v>1.0498325229605616</v>
      </c>
      <c r="AO151" s="1159"/>
      <c r="AP151" s="1159"/>
      <c r="AQ151" s="1154">
        <v>1</v>
      </c>
      <c r="AR151" s="962">
        <f t="shared" si="11"/>
        <v>0.67110316092337996</v>
      </c>
      <c r="AS151" s="962">
        <f t="shared" si="25"/>
        <v>0.98698658583331966</v>
      </c>
      <c r="AT151" s="1154">
        <f t="shared" si="12"/>
        <v>8.0558710550160145E-2</v>
      </c>
      <c r="AU151" s="1159"/>
      <c r="AV151" s="1159"/>
      <c r="AW151" s="1159"/>
      <c r="AX151" s="1159"/>
      <c r="AY151" s="1158"/>
      <c r="AZ151" s="958">
        <f t="shared" si="23"/>
        <v>3.4173346344122115</v>
      </c>
      <c r="BA151" s="958">
        <f t="shared" si="24"/>
        <v>0.16958942532266702</v>
      </c>
      <c r="BB151" s="1157"/>
      <c r="BC151" s="956">
        <f t="shared" si="14"/>
        <v>3.5869240597348786</v>
      </c>
      <c r="BD151" s="1157"/>
      <c r="BE151" s="1158"/>
      <c r="BF151" s="956">
        <f t="shared" si="8"/>
        <v>4.0395251387972415</v>
      </c>
      <c r="BG151" s="9"/>
    </row>
    <row r="152" spans="1:59" x14ac:dyDescent="0.45">
      <c r="A152" s="14">
        <v>1842</v>
      </c>
      <c r="B152" s="506">
        <v>44.805600000000005</v>
      </c>
      <c r="C152" s="506"/>
      <c r="D152" s="506"/>
      <c r="E152" s="507">
        <v>2.833333333333333</v>
      </c>
      <c r="F152" s="507">
        <v>0</v>
      </c>
      <c r="G152" s="507">
        <v>1.0066666666666666</v>
      </c>
      <c r="H152" s="507">
        <f t="shared" si="15"/>
        <v>4.3045208852211605</v>
      </c>
      <c r="I152" s="507">
        <v>0.58000000000000007</v>
      </c>
      <c r="J152" s="507">
        <v>12.610784722732353</v>
      </c>
      <c r="K152" s="507">
        <v>19.383343966210496</v>
      </c>
      <c r="L152" s="507">
        <v>1.1093084819016745</v>
      </c>
      <c r="M152" s="507"/>
      <c r="N152" s="507">
        <v>0.25738666666666671</v>
      </c>
      <c r="O152" s="507"/>
      <c r="P152" s="507"/>
      <c r="Q152" s="507"/>
      <c r="R152" s="506">
        <v>37.7808238375112</v>
      </c>
      <c r="S152" s="506">
        <v>7.0247761624888057</v>
      </c>
      <c r="T152" s="506">
        <v>44.805600000000005</v>
      </c>
      <c r="V152" s="506">
        <v>37.7808238375112</v>
      </c>
      <c r="W152" s="506"/>
      <c r="Y152" s="1156">
        <v>1842</v>
      </c>
      <c r="Z152" s="958">
        <v>12.610784722732353</v>
      </c>
      <c r="AA152" s="958">
        <v>11.026986666666668</v>
      </c>
      <c r="AB152" s="958">
        <v>13.770186666666666</v>
      </c>
      <c r="AC152" s="958"/>
      <c r="AD152" s="1159"/>
      <c r="AE152" s="958">
        <f t="shared" si="16"/>
        <v>12.610784722732353</v>
      </c>
      <c r="AF152" s="958">
        <f t="shared" si="17"/>
        <v>6.9426203860890805</v>
      </c>
      <c r="AG152" s="958">
        <f t="shared" si="18"/>
        <v>12.440723580121418</v>
      </c>
      <c r="AH152" s="958">
        <f t="shared" si="10"/>
        <v>1.1093084819016745</v>
      </c>
      <c r="AI152" s="1159"/>
      <c r="AJ152" s="1159"/>
      <c r="AK152" s="958">
        <f t="shared" si="19"/>
        <v>12.610784722732353</v>
      </c>
      <c r="AL152" s="958">
        <f t="shared" si="20"/>
        <v>6.9426203860890805</v>
      </c>
      <c r="AM152" s="958">
        <f t="shared" si="21"/>
        <v>12.440723580121418</v>
      </c>
      <c r="AN152" s="958">
        <f t="shared" si="22"/>
        <v>1.1093084819016745</v>
      </c>
      <c r="AO152" s="1159"/>
      <c r="AP152" s="1159"/>
      <c r="AQ152" s="1154">
        <v>1</v>
      </c>
      <c r="AR152" s="962">
        <f t="shared" si="11"/>
        <v>0.67110316092337996</v>
      </c>
      <c r="AS152" s="962">
        <f t="shared" si="25"/>
        <v>0.98580354818180327</v>
      </c>
      <c r="AT152" s="1154">
        <f t="shared" si="12"/>
        <v>8.0558710550160145E-2</v>
      </c>
      <c r="AU152" s="1159"/>
      <c r="AV152" s="1159"/>
      <c r="AW152" s="1159"/>
      <c r="AX152" s="1159"/>
      <c r="AY152" s="1158"/>
      <c r="AZ152" s="958">
        <f t="shared" si="23"/>
        <v>3.6267410592067018</v>
      </c>
      <c r="BA152" s="958">
        <f t="shared" si="24"/>
        <v>0.19548779154090837</v>
      </c>
      <c r="BB152" s="1157"/>
      <c r="BC152" s="956">
        <f t="shared" si="14"/>
        <v>3.8222288507476101</v>
      </c>
      <c r="BD152" s="1157"/>
      <c r="BE152" s="1158"/>
      <c r="BF152" s="956">
        <f t="shared" si="8"/>
        <v>4.3045208852211605</v>
      </c>
      <c r="BG152" s="9"/>
    </row>
    <row r="153" spans="1:59" x14ac:dyDescent="0.45">
      <c r="A153" s="14">
        <v>1843</v>
      </c>
      <c r="B153" s="506">
        <v>46.634399999999999</v>
      </c>
      <c r="C153" s="506"/>
      <c r="D153" s="506"/>
      <c r="E153" s="507">
        <v>2.9999999999999996</v>
      </c>
      <c r="F153" s="507">
        <v>0</v>
      </c>
      <c r="G153" s="507">
        <v>1.0599999999999998</v>
      </c>
      <c r="H153" s="507">
        <f t="shared" si="15"/>
        <v>4.5714839092238764</v>
      </c>
      <c r="I153" s="507">
        <v>0.72000000000000008</v>
      </c>
      <c r="J153" s="507">
        <v>12.951177821212015</v>
      </c>
      <c r="K153" s="507">
        <v>20.431891649933338</v>
      </c>
      <c r="L153" s="507">
        <v>1.1687844408427874</v>
      </c>
      <c r="M153" s="507"/>
      <c r="N153" s="507">
        <v>0.28448000000000001</v>
      </c>
      <c r="O153" s="507"/>
      <c r="P153" s="507"/>
      <c r="Q153" s="507"/>
      <c r="R153" s="506">
        <v>39.616333911988136</v>
      </c>
      <c r="S153" s="506">
        <v>7.0180660880118637</v>
      </c>
      <c r="T153" s="506">
        <v>46.634399999999999</v>
      </c>
      <c r="V153" s="506">
        <v>39.616333911988136</v>
      </c>
      <c r="W153" s="506"/>
      <c r="Y153" s="1156">
        <v>1843</v>
      </c>
      <c r="Z153" s="958">
        <v>12.951177821212015</v>
      </c>
      <c r="AA153" s="958">
        <v>11.663680000000001</v>
      </c>
      <c r="AB153" s="958">
        <v>14.508479999999999</v>
      </c>
      <c r="AC153" s="958"/>
      <c r="AD153" s="1159"/>
      <c r="AE153" s="958">
        <f t="shared" si="16"/>
        <v>12.951177821212015</v>
      </c>
      <c r="AF153" s="958">
        <f t="shared" si="17"/>
        <v>7.3434842167355017</v>
      </c>
      <c r="AG153" s="958">
        <f t="shared" si="18"/>
        <v>13.088407433197835</v>
      </c>
      <c r="AH153" s="958">
        <f t="shared" si="10"/>
        <v>1.1687844408427874</v>
      </c>
      <c r="AI153" s="1159"/>
      <c r="AJ153" s="1159"/>
      <c r="AK153" s="958">
        <f t="shared" si="19"/>
        <v>12.951177821212015</v>
      </c>
      <c r="AL153" s="958">
        <f t="shared" si="20"/>
        <v>7.3434842167355017</v>
      </c>
      <c r="AM153" s="958">
        <f t="shared" si="21"/>
        <v>13.088407433197835</v>
      </c>
      <c r="AN153" s="958">
        <f t="shared" si="22"/>
        <v>1.1687844408427874</v>
      </c>
      <c r="AO153" s="1159"/>
      <c r="AP153" s="1159"/>
      <c r="AQ153" s="1154">
        <v>1</v>
      </c>
      <c r="AR153" s="962">
        <f t="shared" si="11"/>
        <v>0.67110316092337996</v>
      </c>
      <c r="AS153" s="962">
        <f t="shared" si="25"/>
        <v>0.98462051053028687</v>
      </c>
      <c r="AT153" s="1154">
        <f t="shared" si="12"/>
        <v>8.0558710550160145E-2</v>
      </c>
      <c r="AU153" s="1159"/>
      <c r="AV153" s="1159"/>
      <c r="AW153" s="1159"/>
      <c r="AX153" s="1159"/>
      <c r="AY153" s="1158"/>
      <c r="AZ153" s="958">
        <f t="shared" si="23"/>
        <v>3.836147484001192</v>
      </c>
      <c r="BA153" s="958">
        <f t="shared" si="24"/>
        <v>0.22313301538154348</v>
      </c>
      <c r="BB153" s="1157"/>
      <c r="BC153" s="956">
        <f t="shared" si="14"/>
        <v>4.0592804993827354</v>
      </c>
      <c r="BD153" s="1157"/>
      <c r="BE153" s="1158"/>
      <c r="BF153" s="956">
        <f t="shared" si="8"/>
        <v>4.5714839092238764</v>
      </c>
      <c r="BG153" s="9"/>
    </row>
    <row r="154" spans="1:59" x14ac:dyDescent="0.45">
      <c r="A154" s="14">
        <v>1844</v>
      </c>
      <c r="B154" s="506">
        <v>48.26</v>
      </c>
      <c r="C154" s="506"/>
      <c r="D154" s="506"/>
      <c r="E154" s="507">
        <v>3.1666666666666661</v>
      </c>
      <c r="F154" s="507">
        <v>0</v>
      </c>
      <c r="G154" s="507">
        <v>1.1133333333333331</v>
      </c>
      <c r="H154" s="507">
        <f t="shared" si="15"/>
        <v>4.8404142108053874</v>
      </c>
      <c r="I154" s="507">
        <v>0.8600000000000001</v>
      </c>
      <c r="J154" s="507">
        <v>13.18897978221214</v>
      </c>
      <c r="K154" s="507">
        <v>21.478472056077379</v>
      </c>
      <c r="L154" s="507">
        <v>1.2282603997839003</v>
      </c>
      <c r="M154" s="507"/>
      <c r="N154" s="507">
        <v>0.31157333333333337</v>
      </c>
      <c r="O154" s="507"/>
      <c r="P154" s="507"/>
      <c r="Q154" s="507"/>
      <c r="R154" s="506">
        <v>41.347285571406758</v>
      </c>
      <c r="S154" s="506">
        <v>6.9127144285932403</v>
      </c>
      <c r="T154" s="506">
        <v>48.26</v>
      </c>
      <c r="V154" s="506">
        <v>41.347285571406758</v>
      </c>
      <c r="W154" s="506"/>
      <c r="Y154" s="1156">
        <v>1844</v>
      </c>
      <c r="Z154" s="958">
        <v>13.18897978221214</v>
      </c>
      <c r="AA154" s="958">
        <v>12.300373333333335</v>
      </c>
      <c r="AB154" s="958">
        <v>15.246773333333334</v>
      </c>
      <c r="AC154" s="958"/>
      <c r="AD154" s="1159"/>
      <c r="AE154" s="958">
        <f t="shared" si="16"/>
        <v>13.18897978221214</v>
      </c>
      <c r="AF154" s="958">
        <f t="shared" si="17"/>
        <v>7.7443480473819228</v>
      </c>
      <c r="AG154" s="958">
        <f t="shared" si="18"/>
        <v>13.734124008695458</v>
      </c>
      <c r="AH154" s="958">
        <f t="shared" si="10"/>
        <v>1.2282603997839003</v>
      </c>
      <c r="AI154" s="1159"/>
      <c r="AJ154" s="1159"/>
      <c r="AK154" s="958">
        <f t="shared" si="19"/>
        <v>13.18897978221214</v>
      </c>
      <c r="AL154" s="958">
        <f t="shared" si="20"/>
        <v>7.7443480473819228</v>
      </c>
      <c r="AM154" s="958">
        <f t="shared" si="21"/>
        <v>13.734124008695458</v>
      </c>
      <c r="AN154" s="958">
        <f t="shared" si="22"/>
        <v>1.2282603997839003</v>
      </c>
      <c r="AO154" s="1159"/>
      <c r="AP154" s="1159"/>
      <c r="AQ154" s="1154">
        <v>1</v>
      </c>
      <c r="AR154" s="962">
        <f t="shared" si="11"/>
        <v>0.67110316092337996</v>
      </c>
      <c r="AS154" s="962">
        <f t="shared" si="25"/>
        <v>0.98343747287877048</v>
      </c>
      <c r="AT154" s="1154">
        <f t="shared" si="12"/>
        <v>8.0558710550160145E-2</v>
      </c>
      <c r="AU154" s="1159"/>
      <c r="AV154" s="1159"/>
      <c r="AW154" s="1159"/>
      <c r="AX154" s="1159"/>
      <c r="AY154" s="1158"/>
      <c r="AZ154" s="958">
        <f t="shared" si="23"/>
        <v>4.0455539087956822</v>
      </c>
      <c r="BA154" s="958">
        <f t="shared" si="24"/>
        <v>0.25252509684457236</v>
      </c>
      <c r="BB154" s="1157"/>
      <c r="BC154" s="956">
        <f t="shared" si="14"/>
        <v>4.2980790056402549</v>
      </c>
      <c r="BD154" s="1157"/>
      <c r="BE154" s="1158"/>
      <c r="BF154" s="956">
        <f t="shared" si="8"/>
        <v>4.8404142108053874</v>
      </c>
      <c r="BG154" s="9"/>
    </row>
    <row r="155" spans="1:59" x14ac:dyDescent="0.45">
      <c r="A155" s="14">
        <v>1845</v>
      </c>
      <c r="B155" s="506">
        <v>51.816000000000003</v>
      </c>
      <c r="C155" s="506"/>
      <c r="D155" s="506"/>
      <c r="E155" s="507">
        <v>3.3333333333333326</v>
      </c>
      <c r="F155" s="507">
        <v>0</v>
      </c>
      <c r="G155" s="507">
        <v>1.1666666666666663</v>
      </c>
      <c r="H155" s="507">
        <f t="shared" si="15"/>
        <v>5.1113117899656935</v>
      </c>
      <c r="I155" s="507">
        <v>1</v>
      </c>
      <c r="J155" s="507">
        <v>13.755202431758565</v>
      </c>
      <c r="K155" s="507">
        <v>22.523085184642628</v>
      </c>
      <c r="L155" s="507">
        <v>1.2877363587250132</v>
      </c>
      <c r="M155" s="507"/>
      <c r="N155" s="507">
        <v>0.33866666666666673</v>
      </c>
      <c r="O155" s="507"/>
      <c r="P155" s="507"/>
      <c r="Q155" s="507"/>
      <c r="R155" s="506">
        <v>43.404690641792875</v>
      </c>
      <c r="S155" s="506">
        <v>8.4113093582071272</v>
      </c>
      <c r="T155" s="506">
        <v>51.816000000000003</v>
      </c>
      <c r="V155" s="506">
        <v>43.404690641792875</v>
      </c>
      <c r="W155" s="506"/>
      <c r="Y155" s="1156">
        <v>1845</v>
      </c>
      <c r="Z155" s="958">
        <v>13.755202431758565</v>
      </c>
      <c r="AA155" s="958">
        <v>12.937066666666668</v>
      </c>
      <c r="AB155" s="958">
        <v>15.985066666666667</v>
      </c>
      <c r="AC155" s="958"/>
      <c r="AD155" s="1159"/>
      <c r="AE155" s="958">
        <f t="shared" si="16"/>
        <v>13.755202431758565</v>
      </c>
      <c r="AF155" s="958">
        <f t="shared" si="17"/>
        <v>8.1452118780283449</v>
      </c>
      <c r="AG155" s="958">
        <f t="shared" si="18"/>
        <v>14.377873306614283</v>
      </c>
      <c r="AH155" s="958">
        <f t="shared" si="10"/>
        <v>1.2877363587250132</v>
      </c>
      <c r="AI155" s="1159"/>
      <c r="AJ155" s="1159"/>
      <c r="AK155" s="958">
        <f t="shared" si="19"/>
        <v>13.755202431758565</v>
      </c>
      <c r="AL155" s="958">
        <f t="shared" si="20"/>
        <v>8.1452118780283449</v>
      </c>
      <c r="AM155" s="958">
        <f t="shared" si="21"/>
        <v>14.377873306614283</v>
      </c>
      <c r="AN155" s="958">
        <f t="shared" si="22"/>
        <v>1.2877363587250132</v>
      </c>
      <c r="AO155" s="1159"/>
      <c r="AP155" s="1159"/>
      <c r="AQ155" s="1154">
        <v>1</v>
      </c>
      <c r="AR155" s="962">
        <f t="shared" si="11"/>
        <v>0.67110316092337996</v>
      </c>
      <c r="AS155" s="962">
        <f t="shared" si="25"/>
        <v>0.98225443522725409</v>
      </c>
      <c r="AT155" s="1154">
        <f t="shared" si="12"/>
        <v>8.0558710550160145E-2</v>
      </c>
      <c r="AU155" s="1159"/>
      <c r="AV155" s="1159"/>
      <c r="AW155" s="1159"/>
      <c r="AX155" s="1159"/>
      <c r="AY155" s="1158"/>
      <c r="AZ155" s="958">
        <f t="shared" si="23"/>
        <v>4.254960333590172</v>
      </c>
      <c r="BA155" s="958">
        <f t="shared" si="24"/>
        <v>0.28366403592999495</v>
      </c>
      <c r="BB155" s="1157"/>
      <c r="BC155" s="956">
        <f t="shared" si="14"/>
        <v>4.5386243695201669</v>
      </c>
      <c r="BD155" s="1157"/>
      <c r="BE155" s="1158"/>
      <c r="BF155" s="956">
        <f t="shared" si="8"/>
        <v>5.1113117899656935</v>
      </c>
      <c r="BG155" s="9"/>
    </row>
    <row r="156" spans="1:59" x14ac:dyDescent="0.45">
      <c r="A156" s="14">
        <v>1846</v>
      </c>
      <c r="B156" s="506">
        <v>53.847999999999999</v>
      </c>
      <c r="C156" s="506"/>
      <c r="D156" s="506"/>
      <c r="E156" s="507">
        <v>3.4999999999999991</v>
      </c>
      <c r="F156" s="507">
        <v>0</v>
      </c>
      <c r="G156" s="507">
        <v>1.2199999999999995</v>
      </c>
      <c r="H156" s="507">
        <f t="shared" si="15"/>
        <v>5.3841766467047965</v>
      </c>
      <c r="I156" s="507">
        <v>1.1400000000000001</v>
      </c>
      <c r="J156" s="507">
        <v>14.052975019622361</v>
      </c>
      <c r="K156" s="507">
        <v>23.565731035629078</v>
      </c>
      <c r="L156" s="507">
        <v>1.3472123176661261</v>
      </c>
      <c r="M156" s="507"/>
      <c r="N156" s="507">
        <v>0.36576000000000003</v>
      </c>
      <c r="O156" s="507"/>
      <c r="P156" s="507"/>
      <c r="Q156" s="507"/>
      <c r="R156" s="506">
        <v>45.191678372917565</v>
      </c>
      <c r="S156" s="506">
        <v>8.6563216270824341</v>
      </c>
      <c r="T156" s="506">
        <v>53.847999999999999</v>
      </c>
      <c r="V156" s="506">
        <v>45.191678372917565</v>
      </c>
      <c r="W156" s="506"/>
      <c r="Y156" s="1156">
        <v>1846</v>
      </c>
      <c r="Z156" s="958">
        <v>14.052975019622361</v>
      </c>
      <c r="AA156" s="958">
        <v>13.573760000000002</v>
      </c>
      <c r="AB156" s="958">
        <v>16.72336</v>
      </c>
      <c r="AC156" s="958"/>
      <c r="AD156" s="1159"/>
      <c r="AE156" s="958">
        <f t="shared" si="16"/>
        <v>14.052975019622361</v>
      </c>
      <c r="AF156" s="958">
        <f t="shared" si="17"/>
        <v>8.5460757086747652</v>
      </c>
      <c r="AG156" s="958">
        <f t="shared" si="18"/>
        <v>15.019655326954314</v>
      </c>
      <c r="AH156" s="958">
        <f t="shared" si="10"/>
        <v>1.3472123176661261</v>
      </c>
      <c r="AI156" s="1159"/>
      <c r="AJ156" s="1159"/>
      <c r="AK156" s="958">
        <f t="shared" si="19"/>
        <v>14.052975019622361</v>
      </c>
      <c r="AL156" s="958">
        <f t="shared" si="20"/>
        <v>8.5460757086747652</v>
      </c>
      <c r="AM156" s="958">
        <f t="shared" si="21"/>
        <v>15.019655326954314</v>
      </c>
      <c r="AN156" s="958">
        <f t="shared" si="22"/>
        <v>1.3472123176661261</v>
      </c>
      <c r="AO156" s="1159"/>
      <c r="AP156" s="1159"/>
      <c r="AQ156" s="1154">
        <v>1</v>
      </c>
      <c r="AR156" s="962">
        <f t="shared" si="11"/>
        <v>0.67110316092337996</v>
      </c>
      <c r="AS156" s="962">
        <f t="shared" si="25"/>
        <v>0.98107139757573769</v>
      </c>
      <c r="AT156" s="1154">
        <f t="shared" si="12"/>
        <v>8.0558710550160145E-2</v>
      </c>
      <c r="AU156" s="1159"/>
      <c r="AV156" s="1159"/>
      <c r="AW156" s="1159"/>
      <c r="AX156" s="1159"/>
      <c r="AY156" s="1158"/>
      <c r="AZ156" s="958">
        <f t="shared" si="23"/>
        <v>4.4643667583846627</v>
      </c>
      <c r="BA156" s="958">
        <f t="shared" si="24"/>
        <v>0.31654983263781133</v>
      </c>
      <c r="BB156" s="1157"/>
      <c r="BC156" s="956">
        <f t="shared" si="14"/>
        <v>4.780916591022474</v>
      </c>
      <c r="BD156" s="1157"/>
      <c r="BE156" s="1158"/>
      <c r="BF156" s="956">
        <f t="shared" si="8"/>
        <v>5.3841766467047965</v>
      </c>
      <c r="BG156" s="9"/>
    </row>
    <row r="157" spans="1:59" x14ac:dyDescent="0.45">
      <c r="A157" s="14">
        <v>1847</v>
      </c>
      <c r="B157" s="506">
        <v>54.7624</v>
      </c>
      <c r="C157" s="506"/>
      <c r="D157" s="506"/>
      <c r="E157" s="507">
        <v>3.6666666666666656</v>
      </c>
      <c r="F157" s="507">
        <v>0</v>
      </c>
      <c r="G157" s="507">
        <v>1.2733333333333328</v>
      </c>
      <c r="H157" s="507">
        <f t="shared" si="15"/>
        <v>5.6590087810226928</v>
      </c>
      <c r="I157" s="507">
        <v>1.2800000000000002</v>
      </c>
      <c r="J157" s="507">
        <v>14.084463365023488</v>
      </c>
      <c r="K157" s="507">
        <v>24.606409609036739</v>
      </c>
      <c r="L157" s="507">
        <v>1.4066882766072391</v>
      </c>
      <c r="M157" s="507"/>
      <c r="N157" s="507">
        <v>0.39285333333333339</v>
      </c>
      <c r="O157" s="507"/>
      <c r="P157" s="507"/>
      <c r="Q157" s="507"/>
      <c r="R157" s="506">
        <v>46.710414584000802</v>
      </c>
      <c r="S157" s="506">
        <v>8.0519854159991979</v>
      </c>
      <c r="T157" s="506">
        <v>54.7624</v>
      </c>
      <c r="V157" s="506">
        <v>46.710414584000802</v>
      </c>
      <c r="W157" s="506"/>
      <c r="Y157" s="1156">
        <v>1847</v>
      </c>
      <c r="Z157" s="958">
        <v>14.084463365023488</v>
      </c>
      <c r="AA157" s="958">
        <v>14.210453333333335</v>
      </c>
      <c r="AB157" s="958">
        <v>17.461653333333334</v>
      </c>
      <c r="AC157" s="958"/>
      <c r="AD157" s="1159"/>
      <c r="AE157" s="958">
        <f t="shared" si="16"/>
        <v>14.084463365023488</v>
      </c>
      <c r="AF157" s="958">
        <f t="shared" si="17"/>
        <v>8.9469395393211872</v>
      </c>
      <c r="AG157" s="958">
        <f t="shared" si="18"/>
        <v>15.659470069715551</v>
      </c>
      <c r="AH157" s="958">
        <f t="shared" si="10"/>
        <v>1.4066882766072391</v>
      </c>
      <c r="AI157" s="1159"/>
      <c r="AJ157" s="1159"/>
      <c r="AK157" s="958">
        <f t="shared" si="19"/>
        <v>14.084463365023488</v>
      </c>
      <c r="AL157" s="958">
        <f t="shared" si="20"/>
        <v>8.9469395393211872</v>
      </c>
      <c r="AM157" s="958">
        <f t="shared" si="21"/>
        <v>15.659470069715551</v>
      </c>
      <c r="AN157" s="958">
        <f t="shared" si="22"/>
        <v>1.4066882766072391</v>
      </c>
      <c r="AO157" s="1159"/>
      <c r="AP157" s="1159"/>
      <c r="AQ157" s="1154">
        <v>1</v>
      </c>
      <c r="AR157" s="962">
        <f t="shared" si="11"/>
        <v>0.67110316092337996</v>
      </c>
      <c r="AS157" s="962">
        <f t="shared" si="25"/>
        <v>0.9798883599242213</v>
      </c>
      <c r="AT157" s="1154">
        <f t="shared" si="12"/>
        <v>8.0558710550160145E-2</v>
      </c>
      <c r="AU157" s="1159"/>
      <c r="AV157" s="1159"/>
      <c r="AW157" s="1159"/>
      <c r="AX157" s="1159"/>
      <c r="AY157" s="1158"/>
      <c r="AZ157" s="958">
        <f t="shared" si="23"/>
        <v>4.6737731831791525</v>
      </c>
      <c r="BA157" s="958">
        <f t="shared" si="24"/>
        <v>0.35118248696802146</v>
      </c>
      <c r="BB157" s="1157"/>
      <c r="BC157" s="956">
        <f t="shared" si="14"/>
        <v>5.0249556701471736</v>
      </c>
      <c r="BD157" s="1157"/>
      <c r="BE157" s="1158"/>
      <c r="BF157" s="956">
        <f t="shared" si="8"/>
        <v>5.6590087810226928</v>
      </c>
      <c r="BG157" s="9"/>
    </row>
    <row r="158" spans="1:59" x14ac:dyDescent="0.45">
      <c r="A158" s="14">
        <v>1848</v>
      </c>
      <c r="B158" s="506">
        <v>57.404000000000003</v>
      </c>
      <c r="C158" s="506"/>
      <c r="D158" s="506"/>
      <c r="E158" s="507">
        <v>3.8333333333333321</v>
      </c>
      <c r="F158" s="507">
        <v>0</v>
      </c>
      <c r="G158" s="507">
        <v>1.326666666666666</v>
      </c>
      <c r="H158" s="507">
        <f t="shared" si="15"/>
        <v>5.9358081929193878</v>
      </c>
      <c r="I158" s="507">
        <v>1.4200000000000004</v>
      </c>
      <c r="J158" s="507">
        <v>14.286816578089656</v>
      </c>
      <c r="K158" s="507">
        <v>25.6451209048656</v>
      </c>
      <c r="L158" s="507">
        <v>1.4661642355483522</v>
      </c>
      <c r="M158" s="507"/>
      <c r="N158" s="507">
        <v>0.41994666666666675</v>
      </c>
      <c r="O158" s="507"/>
      <c r="P158" s="507"/>
      <c r="Q158" s="507"/>
      <c r="R158" s="506">
        <v>48.398048385170277</v>
      </c>
      <c r="S158" s="506">
        <v>9.0059516148297263</v>
      </c>
      <c r="T158" s="506">
        <v>57.404000000000003</v>
      </c>
      <c r="V158" s="506">
        <v>48.398048385170277</v>
      </c>
      <c r="W158" s="506"/>
      <c r="Y158" s="1156">
        <v>1848</v>
      </c>
      <c r="Z158" s="958">
        <v>14.286816578089656</v>
      </c>
      <c r="AA158" s="958">
        <v>14.847146666666669</v>
      </c>
      <c r="AB158" s="958">
        <v>18.199946666666669</v>
      </c>
      <c r="AC158" s="958"/>
      <c r="AD158" s="1159"/>
      <c r="AE158" s="958">
        <f t="shared" si="16"/>
        <v>14.286816578089656</v>
      </c>
      <c r="AF158" s="958">
        <f t="shared" si="17"/>
        <v>9.3478033699676075</v>
      </c>
      <c r="AG158" s="958">
        <f t="shared" si="18"/>
        <v>16.297317534897992</v>
      </c>
      <c r="AH158" s="958">
        <f t="shared" si="10"/>
        <v>1.4661642355483522</v>
      </c>
      <c r="AI158" s="1159"/>
      <c r="AJ158" s="1159"/>
      <c r="AK158" s="958">
        <f t="shared" si="19"/>
        <v>14.286816578089656</v>
      </c>
      <c r="AL158" s="958">
        <f t="shared" si="20"/>
        <v>9.3478033699676075</v>
      </c>
      <c r="AM158" s="958">
        <f t="shared" si="21"/>
        <v>16.297317534897992</v>
      </c>
      <c r="AN158" s="958">
        <f t="shared" si="22"/>
        <v>1.4661642355483522</v>
      </c>
      <c r="AO158" s="1159"/>
      <c r="AP158" s="1159"/>
      <c r="AQ158" s="1154">
        <v>1</v>
      </c>
      <c r="AR158" s="962">
        <f t="shared" si="11"/>
        <v>0.67110316092337996</v>
      </c>
      <c r="AS158" s="962">
        <f t="shared" si="25"/>
        <v>0.9787053222727049</v>
      </c>
      <c r="AT158" s="1154">
        <f t="shared" si="12"/>
        <v>8.0558710550160145E-2</v>
      </c>
      <c r="AU158" s="1159"/>
      <c r="AV158" s="1159"/>
      <c r="AW158" s="1159"/>
      <c r="AX158" s="1159"/>
      <c r="AY158" s="1158"/>
      <c r="AZ158" s="958">
        <f t="shared" si="23"/>
        <v>4.8831796079736431</v>
      </c>
      <c r="BA158" s="958">
        <f t="shared" si="24"/>
        <v>0.38756199892062537</v>
      </c>
      <c r="BB158" s="1157"/>
      <c r="BC158" s="956">
        <f t="shared" si="14"/>
        <v>5.2707416068942683</v>
      </c>
      <c r="BD158" s="1157"/>
      <c r="BE158" s="1158"/>
      <c r="BF158" s="956">
        <f t="shared" si="8"/>
        <v>5.9358081929193878</v>
      </c>
      <c r="BG158" s="9"/>
    </row>
    <row r="159" spans="1:59" x14ac:dyDescent="0.45">
      <c r="A159" s="14">
        <v>1849</v>
      </c>
      <c r="B159" s="506">
        <v>60.147200000000005</v>
      </c>
      <c r="C159" s="506"/>
      <c r="D159" s="506"/>
      <c r="E159" s="507">
        <v>3.9999999999999987</v>
      </c>
      <c r="F159" s="507">
        <v>0</v>
      </c>
      <c r="G159" s="507">
        <v>1.3799999999999992</v>
      </c>
      <c r="H159" s="507">
        <f t="shared" si="15"/>
        <v>6.214574882394877</v>
      </c>
      <c r="I159" s="507">
        <v>1.5600000000000005</v>
      </c>
      <c r="J159" s="507">
        <v>14.705943890842551</v>
      </c>
      <c r="K159" s="507">
        <v>26.681864923115661</v>
      </c>
      <c r="L159" s="507">
        <v>1.5256401944894649</v>
      </c>
      <c r="M159" s="507"/>
      <c r="N159" s="507">
        <v>0.44704000000000005</v>
      </c>
      <c r="O159" s="507"/>
      <c r="P159" s="507"/>
      <c r="Q159" s="507"/>
      <c r="R159" s="506">
        <v>50.300489008447677</v>
      </c>
      <c r="S159" s="506">
        <v>9.8467109915523281</v>
      </c>
      <c r="T159" s="506">
        <v>60.147200000000005</v>
      </c>
      <c r="V159" s="506">
        <v>50.300489008447677</v>
      </c>
      <c r="W159" s="506"/>
      <c r="Y159" s="1156">
        <v>1849</v>
      </c>
      <c r="Z159" s="958">
        <v>14.705943890842551</v>
      </c>
      <c r="AA159" s="958">
        <v>15.483840000000002</v>
      </c>
      <c r="AB159" s="958">
        <v>18.93824</v>
      </c>
      <c r="AC159" s="958"/>
      <c r="AD159" s="1159"/>
      <c r="AE159" s="958">
        <f t="shared" si="16"/>
        <v>14.705943890842551</v>
      </c>
      <c r="AF159" s="958">
        <f t="shared" si="17"/>
        <v>9.7486672006140296</v>
      </c>
      <c r="AG159" s="958">
        <f t="shared" si="18"/>
        <v>16.933197722501632</v>
      </c>
      <c r="AH159" s="958">
        <f t="shared" si="10"/>
        <v>1.5256401944894649</v>
      </c>
      <c r="AI159" s="1159"/>
      <c r="AJ159" s="1159"/>
      <c r="AK159" s="958">
        <f t="shared" si="19"/>
        <v>14.705943890842551</v>
      </c>
      <c r="AL159" s="958">
        <f t="shared" si="20"/>
        <v>9.7486672006140296</v>
      </c>
      <c r="AM159" s="958">
        <f t="shared" si="21"/>
        <v>16.933197722501632</v>
      </c>
      <c r="AN159" s="958">
        <f t="shared" si="22"/>
        <v>1.5256401944894649</v>
      </c>
      <c r="AO159" s="1159"/>
      <c r="AP159" s="1159"/>
      <c r="AQ159" s="1154">
        <v>1</v>
      </c>
      <c r="AR159" s="962">
        <f t="shared" si="11"/>
        <v>0.67110316092337996</v>
      </c>
      <c r="AS159" s="962">
        <f t="shared" si="25"/>
        <v>0.97752228462118851</v>
      </c>
      <c r="AT159" s="1154">
        <f t="shared" si="12"/>
        <v>8.0558710550160145E-2</v>
      </c>
      <c r="AU159" s="1159"/>
      <c r="AV159" s="1159"/>
      <c r="AW159" s="1159"/>
      <c r="AX159" s="1159"/>
      <c r="AY159" s="1158"/>
      <c r="AZ159" s="958">
        <f t="shared" si="23"/>
        <v>5.0925860327681329</v>
      </c>
      <c r="BA159" s="958">
        <f t="shared" si="24"/>
        <v>0.42568836849562297</v>
      </c>
      <c r="BB159" s="1157"/>
      <c r="BC159" s="956">
        <f t="shared" si="14"/>
        <v>5.5182744012637563</v>
      </c>
      <c r="BD159" s="1157"/>
      <c r="BE159" s="1158"/>
      <c r="BF159" s="956">
        <f t="shared" si="8"/>
        <v>6.214574882394877</v>
      </c>
      <c r="BG159" s="9"/>
    </row>
    <row r="160" spans="1:59" x14ac:dyDescent="0.45">
      <c r="A160" s="14">
        <v>1850</v>
      </c>
      <c r="B160" s="506">
        <v>63.398400000000002</v>
      </c>
      <c r="C160" s="506"/>
      <c r="D160" s="506"/>
      <c r="E160" s="507">
        <v>4.1666666666666652</v>
      </c>
      <c r="F160" s="507">
        <v>0</v>
      </c>
      <c r="G160" s="507">
        <v>1.4333333333333325</v>
      </c>
      <c r="H160" s="507">
        <f t="shared" si="15"/>
        <v>6.4953088494491604</v>
      </c>
      <c r="I160" s="507">
        <v>1.7000000000000006</v>
      </c>
      <c r="J160" s="507">
        <v>15.10913835672169</v>
      </c>
      <c r="K160" s="507">
        <v>27.716641663786927</v>
      </c>
      <c r="L160" s="507">
        <v>1.585116153430578</v>
      </c>
      <c r="M160" s="507"/>
      <c r="N160" s="507">
        <v>0.47413333333333341</v>
      </c>
      <c r="O160" s="507"/>
      <c r="P160" s="507"/>
      <c r="Q160" s="507"/>
      <c r="R160" s="506">
        <v>52.185029507272525</v>
      </c>
      <c r="S160" s="506">
        <v>11.213370492727478</v>
      </c>
      <c r="T160" s="506">
        <v>63.398400000000002</v>
      </c>
      <c r="V160" s="506">
        <v>52.185029507272525</v>
      </c>
      <c r="W160" s="506"/>
      <c r="Y160" s="1156">
        <v>1850</v>
      </c>
      <c r="Z160" s="958">
        <v>15.10913835672169</v>
      </c>
      <c r="AA160" s="958">
        <v>16.120533333333334</v>
      </c>
      <c r="AB160" s="958">
        <v>19.676533333333335</v>
      </c>
      <c r="AC160" s="958"/>
      <c r="AD160" s="1159"/>
      <c r="AE160" s="958">
        <f t="shared" si="16"/>
        <v>15.10913835672169</v>
      </c>
      <c r="AF160" s="958">
        <f t="shared" si="17"/>
        <v>10.149531031260448</v>
      </c>
      <c r="AG160" s="958">
        <f t="shared" si="18"/>
        <v>17.567110632526479</v>
      </c>
      <c r="AH160" s="958">
        <f t="shared" si="10"/>
        <v>1.585116153430578</v>
      </c>
      <c r="AI160" s="1159"/>
      <c r="AJ160" s="1159"/>
      <c r="AK160" s="958">
        <f t="shared" si="19"/>
        <v>15.10913835672169</v>
      </c>
      <c r="AL160" s="958">
        <f t="shared" si="20"/>
        <v>10.149531031260448</v>
      </c>
      <c r="AM160" s="958">
        <f t="shared" si="21"/>
        <v>17.567110632526479</v>
      </c>
      <c r="AN160" s="958">
        <f t="shared" si="22"/>
        <v>1.585116153430578</v>
      </c>
      <c r="AO160" s="1159"/>
      <c r="AP160" s="1159"/>
      <c r="AQ160" s="1154">
        <v>1</v>
      </c>
      <c r="AR160" s="962">
        <f t="shared" si="11"/>
        <v>0.67110316092337996</v>
      </c>
      <c r="AS160" s="962">
        <f t="shared" si="25"/>
        <v>0.97633924696967211</v>
      </c>
      <c r="AT160" s="1154">
        <f t="shared" si="12"/>
        <v>8.0558710550160145E-2</v>
      </c>
      <c r="AU160" s="1159"/>
      <c r="AV160" s="1159"/>
      <c r="AW160" s="1159"/>
      <c r="AX160" s="1159"/>
      <c r="AY160" s="1158"/>
      <c r="AZ160" s="958">
        <f t="shared" si="23"/>
        <v>5.3019924575626227</v>
      </c>
      <c r="BA160" s="958">
        <f t="shared" si="24"/>
        <v>0.46556159569301436</v>
      </c>
      <c r="BB160" s="1157"/>
      <c r="BC160" s="956">
        <f t="shared" si="14"/>
        <v>5.7675540532556369</v>
      </c>
      <c r="BD160" s="1157"/>
      <c r="BE160" s="1158"/>
      <c r="BF160" s="956">
        <f t="shared" si="8"/>
        <v>6.4953088494491604</v>
      </c>
      <c r="BG160" s="9"/>
    </row>
    <row r="161" spans="1:59" x14ac:dyDescent="0.45">
      <c r="A161" s="14">
        <v>1851</v>
      </c>
      <c r="B161" s="506">
        <v>66.141599999999997</v>
      </c>
      <c r="C161" s="506"/>
      <c r="D161" s="506"/>
      <c r="E161" s="507">
        <v>4.3333333333333321</v>
      </c>
      <c r="F161" s="507">
        <v>0</v>
      </c>
      <c r="G161" s="507">
        <v>1.4866666666666657</v>
      </c>
      <c r="H161" s="507">
        <f t="shared" si="15"/>
        <v>6.7780100940822416</v>
      </c>
      <c r="I161" s="507">
        <v>1.8400000000000007</v>
      </c>
      <c r="J161" s="507">
        <v>15.439417120723672</v>
      </c>
      <c r="K161" s="507">
        <v>28.749451126879404</v>
      </c>
      <c r="L161" s="507">
        <v>1.6445921123716907</v>
      </c>
      <c r="M161" s="507"/>
      <c r="N161" s="507">
        <v>0.50122666666666671</v>
      </c>
      <c r="O161" s="507"/>
      <c r="P161" s="507"/>
      <c r="Q161" s="507"/>
      <c r="R161" s="506">
        <v>53.994687026641436</v>
      </c>
      <c r="S161" s="506">
        <v>12.14691297335856</v>
      </c>
      <c r="T161" s="506">
        <v>66.141599999999997</v>
      </c>
      <c r="V161" s="506">
        <v>53.994687026641436</v>
      </c>
      <c r="W161" s="506"/>
      <c r="Y161" s="1156">
        <v>1851</v>
      </c>
      <c r="Z161" s="958">
        <v>15.439417120723672</v>
      </c>
      <c r="AA161" s="958">
        <v>16.757226666666668</v>
      </c>
      <c r="AB161" s="958">
        <v>20.414826666666666</v>
      </c>
      <c r="AC161" s="958"/>
      <c r="AD161" s="1158"/>
      <c r="AE161" s="958">
        <f t="shared" si="16"/>
        <v>15.439417120723672</v>
      </c>
      <c r="AF161" s="958">
        <f t="shared" si="17"/>
        <v>10.55039486190687</v>
      </c>
      <c r="AG161" s="958">
        <f t="shared" si="18"/>
        <v>18.199056264972533</v>
      </c>
      <c r="AH161" s="958">
        <f t="shared" si="10"/>
        <v>1.6445921123716907</v>
      </c>
      <c r="AI161" s="1158"/>
      <c r="AJ161" s="1158"/>
      <c r="AK161" s="958">
        <f t="shared" si="19"/>
        <v>15.439417120723672</v>
      </c>
      <c r="AL161" s="958">
        <f t="shared" si="20"/>
        <v>10.55039486190687</v>
      </c>
      <c r="AM161" s="958">
        <f t="shared" si="21"/>
        <v>18.199056264972533</v>
      </c>
      <c r="AN161" s="958">
        <f t="shared" si="22"/>
        <v>1.6445921123716907</v>
      </c>
      <c r="AO161" s="1158"/>
      <c r="AP161" s="1158"/>
      <c r="AQ161" s="1154">
        <v>1</v>
      </c>
      <c r="AR161" s="962">
        <f t="shared" si="11"/>
        <v>0.67110316092337996</v>
      </c>
      <c r="AS161" s="962">
        <f t="shared" si="25"/>
        <v>0.97515620931815572</v>
      </c>
      <c r="AT161" s="1154">
        <f t="shared" si="12"/>
        <v>8.0558710550160145E-2</v>
      </c>
      <c r="AU161" s="1158"/>
      <c r="AV161" s="1158"/>
      <c r="AW161" s="1158"/>
      <c r="AX161" s="1158"/>
      <c r="AY161" s="1158"/>
      <c r="AZ161" s="958">
        <f t="shared" si="23"/>
        <v>5.5113988823571134</v>
      </c>
      <c r="BA161" s="958">
        <f t="shared" si="24"/>
        <v>0.50718168051279944</v>
      </c>
      <c r="BB161" s="1157"/>
      <c r="BC161" s="956">
        <f t="shared" si="14"/>
        <v>6.0185805628699125</v>
      </c>
      <c r="BD161" s="1157"/>
      <c r="BE161" s="1158"/>
      <c r="BF161" s="956">
        <f t="shared" si="8"/>
        <v>6.7780100940822416</v>
      </c>
      <c r="BG161" s="9"/>
    </row>
    <row r="162" spans="1:59" x14ac:dyDescent="0.45">
      <c r="A162" s="14">
        <v>1852</v>
      </c>
      <c r="B162" s="506">
        <v>69.291200000000003</v>
      </c>
      <c r="C162" s="506"/>
      <c r="D162" s="506"/>
      <c r="E162" s="507">
        <v>4.4999999999999991</v>
      </c>
      <c r="F162" s="507">
        <v>0</v>
      </c>
      <c r="G162" s="507">
        <v>1.5399999999999989</v>
      </c>
      <c r="H162" s="507">
        <f t="shared" si="15"/>
        <v>7.062678616294118</v>
      </c>
      <c r="I162" s="507">
        <v>1.9800000000000009</v>
      </c>
      <c r="J162" s="507">
        <v>15.828309463091184</v>
      </c>
      <c r="K162" s="507">
        <v>29.780293312393081</v>
      </c>
      <c r="L162" s="507">
        <v>1.7040680713128036</v>
      </c>
      <c r="M162" s="507"/>
      <c r="N162" s="507">
        <v>0.52832000000000001</v>
      </c>
      <c r="O162" s="507"/>
      <c r="P162" s="507"/>
      <c r="Q162" s="507"/>
      <c r="R162" s="506">
        <v>55.860990846797073</v>
      </c>
      <c r="S162" s="506">
        <v>13.430209153202931</v>
      </c>
      <c r="T162" s="506">
        <v>69.291200000000003</v>
      </c>
      <c r="V162" s="506">
        <v>55.860990846797073</v>
      </c>
      <c r="W162" s="506"/>
      <c r="Y162" s="1156">
        <v>1852</v>
      </c>
      <c r="Z162" s="958">
        <v>15.828309463091184</v>
      </c>
      <c r="AA162" s="958">
        <v>17.393920000000001</v>
      </c>
      <c r="AB162" s="958">
        <v>21.153120000000001</v>
      </c>
      <c r="AC162" s="958"/>
      <c r="AD162" s="1158"/>
      <c r="AE162" s="958">
        <f t="shared" si="16"/>
        <v>15.828309463091184</v>
      </c>
      <c r="AF162" s="958">
        <f t="shared" si="17"/>
        <v>10.951258692553292</v>
      </c>
      <c r="AG162" s="958">
        <f t="shared" si="18"/>
        <v>18.829034619839788</v>
      </c>
      <c r="AH162" s="958">
        <f t="shared" si="10"/>
        <v>1.7040680713128036</v>
      </c>
      <c r="AI162" s="1158"/>
      <c r="AJ162" s="1158"/>
      <c r="AK162" s="958">
        <f t="shared" si="19"/>
        <v>15.828309463091184</v>
      </c>
      <c r="AL162" s="958">
        <f t="shared" si="20"/>
        <v>10.951258692553292</v>
      </c>
      <c r="AM162" s="958">
        <f t="shared" si="21"/>
        <v>18.829034619839788</v>
      </c>
      <c r="AN162" s="958">
        <f t="shared" si="22"/>
        <v>1.7040680713128036</v>
      </c>
      <c r="AO162" s="1158"/>
      <c r="AP162" s="1158"/>
      <c r="AQ162" s="1154">
        <v>1</v>
      </c>
      <c r="AR162" s="962">
        <f t="shared" si="11"/>
        <v>0.67110316092337996</v>
      </c>
      <c r="AS162" s="962">
        <f t="shared" si="25"/>
        <v>0.97397317166663933</v>
      </c>
      <c r="AT162" s="1154">
        <f t="shared" si="12"/>
        <v>8.0558710550160145E-2</v>
      </c>
      <c r="AU162" s="1158"/>
      <c r="AV162" s="1158"/>
      <c r="AW162" s="1158"/>
      <c r="AX162" s="1158"/>
      <c r="AY162" s="1158"/>
      <c r="AZ162" s="958">
        <f t="shared" si="23"/>
        <v>5.7208053071516032</v>
      </c>
      <c r="BA162" s="958">
        <f t="shared" si="24"/>
        <v>0.55054862295497842</v>
      </c>
      <c r="BB162" s="1157"/>
      <c r="BC162" s="956">
        <f t="shared" si="14"/>
        <v>6.2713539301065815</v>
      </c>
      <c r="BD162" s="1157"/>
      <c r="BE162" s="1158"/>
      <c r="BF162" s="956">
        <f t="shared" si="8"/>
        <v>7.062678616294118</v>
      </c>
      <c r="BG162" s="9"/>
    </row>
    <row r="163" spans="1:59" x14ac:dyDescent="0.45">
      <c r="A163" s="14">
        <v>1853</v>
      </c>
      <c r="B163" s="506">
        <v>72.2376</v>
      </c>
      <c r="C163" s="506"/>
      <c r="D163" s="506"/>
      <c r="E163" s="507">
        <v>4.6666666666666661</v>
      </c>
      <c r="F163" s="507">
        <v>0</v>
      </c>
      <c r="G163" s="507">
        <v>1.5933333333333322</v>
      </c>
      <c r="H163" s="507">
        <f t="shared" si="15"/>
        <v>7.3493144160847885</v>
      </c>
      <c r="I163" s="507">
        <v>2.120000000000001</v>
      </c>
      <c r="J163" s="507">
        <v>16.095989108286428</v>
      </c>
      <c r="K163" s="507">
        <v>30.809168220327958</v>
      </c>
      <c r="L163" s="507">
        <v>1.7635440302539165</v>
      </c>
      <c r="M163" s="507"/>
      <c r="N163" s="507">
        <v>0.55541333333333331</v>
      </c>
      <c r="O163" s="507"/>
      <c r="P163" s="507"/>
      <c r="Q163" s="507"/>
      <c r="R163" s="506">
        <v>57.604114692201641</v>
      </c>
      <c r="S163" s="506">
        <v>14.63348530779836</v>
      </c>
      <c r="T163" s="506">
        <v>72.2376</v>
      </c>
      <c r="V163" s="506">
        <v>57.604114692201641</v>
      </c>
      <c r="W163" s="506"/>
      <c r="Y163" s="1156">
        <v>1853</v>
      </c>
      <c r="Z163" s="958">
        <v>16.095989108286428</v>
      </c>
      <c r="AA163" s="958">
        <v>18.030613333333331</v>
      </c>
      <c r="AB163" s="958">
        <v>21.891413333333333</v>
      </c>
      <c r="AC163" s="958"/>
      <c r="AD163" s="1158"/>
      <c r="AE163" s="958">
        <f t="shared" si="16"/>
        <v>16.095989108286428</v>
      </c>
      <c r="AF163" s="958">
        <f t="shared" si="17"/>
        <v>11.352122523199711</v>
      </c>
      <c r="AG163" s="958">
        <f t="shared" si="18"/>
        <v>19.457045697128247</v>
      </c>
      <c r="AH163" s="958">
        <f t="shared" si="10"/>
        <v>1.7635440302539165</v>
      </c>
      <c r="AI163" s="1158"/>
      <c r="AJ163" s="1158"/>
      <c r="AK163" s="958">
        <f t="shared" si="19"/>
        <v>16.095989108286428</v>
      </c>
      <c r="AL163" s="958">
        <f t="shared" si="20"/>
        <v>11.352122523199711</v>
      </c>
      <c r="AM163" s="958">
        <f t="shared" si="21"/>
        <v>19.457045697128247</v>
      </c>
      <c r="AN163" s="958">
        <f t="shared" si="22"/>
        <v>1.7635440302539165</v>
      </c>
      <c r="AO163" s="1158"/>
      <c r="AP163" s="1158"/>
      <c r="AQ163" s="1154">
        <v>1</v>
      </c>
      <c r="AR163" s="962">
        <f t="shared" si="11"/>
        <v>0.67110316092337996</v>
      </c>
      <c r="AS163" s="962">
        <f t="shared" si="25"/>
        <v>0.97279013401512293</v>
      </c>
      <c r="AT163" s="1154">
        <f t="shared" si="12"/>
        <v>8.0558710550160145E-2</v>
      </c>
      <c r="AU163" s="1158"/>
      <c r="AV163" s="1158"/>
      <c r="AW163" s="1158"/>
      <c r="AX163" s="1158"/>
      <c r="AY163" s="1158"/>
      <c r="AZ163" s="958">
        <f t="shared" si="23"/>
        <v>5.9302117319460921</v>
      </c>
      <c r="BA163" s="958">
        <f t="shared" si="24"/>
        <v>0.59566242301955097</v>
      </c>
      <c r="BB163" s="1157"/>
      <c r="BC163" s="956">
        <f t="shared" si="14"/>
        <v>6.5258741549656429</v>
      </c>
      <c r="BD163" s="1157"/>
      <c r="BE163" s="1158"/>
      <c r="BF163" s="956">
        <f t="shared" si="8"/>
        <v>7.3493144160847885</v>
      </c>
      <c r="BG163" s="9"/>
    </row>
    <row r="164" spans="1:59" x14ac:dyDescent="0.45">
      <c r="A164" s="14">
        <v>1854</v>
      </c>
      <c r="B164" s="506">
        <v>76.2</v>
      </c>
      <c r="C164" s="506"/>
      <c r="D164" s="506"/>
      <c r="E164" s="507">
        <v>4.833333333333333</v>
      </c>
      <c r="F164" s="507">
        <v>0</v>
      </c>
      <c r="G164" s="507">
        <v>1.6466666666666654</v>
      </c>
      <c r="H164" s="507">
        <f t="shared" si="15"/>
        <v>7.6379174934542569</v>
      </c>
      <c r="I164" s="507">
        <v>2.2600000000000011</v>
      </c>
      <c r="J164" s="507">
        <v>16.58072687419449</v>
      </c>
      <c r="K164" s="507">
        <v>31.836075850684047</v>
      </c>
      <c r="L164" s="507">
        <v>1.8230199891950294</v>
      </c>
      <c r="M164" s="507"/>
      <c r="N164" s="507">
        <v>0.58250666666666662</v>
      </c>
      <c r="O164" s="507"/>
      <c r="P164" s="507"/>
      <c r="Q164" s="507"/>
      <c r="R164" s="506">
        <v>59.562329380740238</v>
      </c>
      <c r="S164" s="506">
        <v>16.637670619259765</v>
      </c>
      <c r="T164" s="506">
        <v>76.2</v>
      </c>
      <c r="V164" s="506">
        <v>59.562329380740238</v>
      </c>
      <c r="W164" s="506"/>
      <c r="Y164" s="1156">
        <v>1854</v>
      </c>
      <c r="Z164" s="958">
        <v>16.58072687419449</v>
      </c>
      <c r="AA164" s="958">
        <v>18.667306666666665</v>
      </c>
      <c r="AB164" s="958">
        <v>22.629706666666667</v>
      </c>
      <c r="AC164" s="958"/>
      <c r="AD164" s="1158"/>
      <c r="AE164" s="958">
        <f t="shared" si="16"/>
        <v>16.58072687419449</v>
      </c>
      <c r="AF164" s="958">
        <f t="shared" si="17"/>
        <v>11.752986353846131</v>
      </c>
      <c r="AG164" s="958">
        <f t="shared" si="18"/>
        <v>20.083089496837918</v>
      </c>
      <c r="AH164" s="958">
        <f t="shared" si="10"/>
        <v>1.8230199891950294</v>
      </c>
      <c r="AI164" s="1158"/>
      <c r="AJ164" s="1158"/>
      <c r="AK164" s="958">
        <f t="shared" si="19"/>
        <v>16.58072687419449</v>
      </c>
      <c r="AL164" s="958">
        <f t="shared" si="20"/>
        <v>11.752986353846131</v>
      </c>
      <c r="AM164" s="958">
        <f t="shared" si="21"/>
        <v>20.083089496837918</v>
      </c>
      <c r="AN164" s="958">
        <f t="shared" si="22"/>
        <v>1.8230199891950294</v>
      </c>
      <c r="AO164" s="1158"/>
      <c r="AP164" s="1158"/>
      <c r="AQ164" s="1154">
        <v>1</v>
      </c>
      <c r="AR164" s="962">
        <f t="shared" si="11"/>
        <v>0.67110316092337996</v>
      </c>
      <c r="AS164" s="962">
        <f t="shared" si="25"/>
        <v>0.97160709636360654</v>
      </c>
      <c r="AT164" s="1154">
        <f t="shared" si="12"/>
        <v>8.0558710550160145E-2</v>
      </c>
      <c r="AU164" s="1158"/>
      <c r="AV164" s="1158"/>
      <c r="AW164" s="1158"/>
      <c r="AX164" s="1158"/>
      <c r="AY164" s="1158"/>
      <c r="AZ164" s="958">
        <f t="shared" si="23"/>
        <v>6.1396181567405828</v>
      </c>
      <c r="BA164" s="958">
        <f t="shared" si="24"/>
        <v>0.64252308070651742</v>
      </c>
      <c r="BB164" s="1157"/>
      <c r="BC164" s="956">
        <f t="shared" si="14"/>
        <v>6.7821412374471004</v>
      </c>
      <c r="BD164" s="1157"/>
      <c r="BE164" s="1158"/>
      <c r="BF164" s="956">
        <f t="shared" si="8"/>
        <v>7.6379174934542569</v>
      </c>
      <c r="BG164" s="9"/>
    </row>
    <row r="165" spans="1:59" x14ac:dyDescent="0.45">
      <c r="A165" s="14">
        <v>1855</v>
      </c>
      <c r="B165" s="506">
        <v>77.520799999999994</v>
      </c>
      <c r="C165" s="506"/>
      <c r="D165" s="506"/>
      <c r="E165" s="506">
        <v>5</v>
      </c>
      <c r="F165" s="506">
        <v>0</v>
      </c>
      <c r="G165" s="506">
        <v>1.7</v>
      </c>
      <c r="H165" s="1160">
        <f t="shared" si="15"/>
        <v>7.9284878484025221</v>
      </c>
      <c r="I165" s="506">
        <v>2.4</v>
      </c>
      <c r="J165" s="506">
        <v>16.256</v>
      </c>
      <c r="K165" s="506">
        <v>32.86101620346134</v>
      </c>
      <c r="L165" s="506">
        <v>1.8824959481361425</v>
      </c>
      <c r="M165" s="506"/>
      <c r="N165" s="506">
        <v>0.60960000000000003</v>
      </c>
      <c r="O165" s="506"/>
      <c r="P165" s="506"/>
      <c r="Q165" s="506"/>
      <c r="R165" s="506">
        <v>60.709112151597481</v>
      </c>
      <c r="S165" s="506">
        <v>16.811687848402514</v>
      </c>
      <c r="T165" s="506">
        <v>77.520799999999994</v>
      </c>
      <c r="V165" s="506">
        <v>60.709112151597481</v>
      </c>
      <c r="W165" s="506"/>
      <c r="Y165" s="1156">
        <v>1855</v>
      </c>
      <c r="Z165" s="956">
        <v>16.256</v>
      </c>
      <c r="AA165" s="956">
        <v>19.304000000000002</v>
      </c>
      <c r="AB165" s="956">
        <v>23.368000000000002</v>
      </c>
      <c r="AC165" s="956"/>
      <c r="AD165" s="956"/>
      <c r="AE165" s="956">
        <f>Z165-AY165/$BF$8</f>
        <v>16.256</v>
      </c>
      <c r="AF165" s="956">
        <f>AA165-AZ165/$BF$8</f>
        <v>12.153850184492555</v>
      </c>
      <c r="AG165" s="967">
        <f>AB165-BA165/$BF$8-AH165</f>
        <v>20.707166018968785</v>
      </c>
      <c r="AH165" s="967">
        <f t="shared" si="10"/>
        <v>1.8824959481361425</v>
      </c>
      <c r="AI165" s="956"/>
      <c r="AJ165" s="956"/>
      <c r="AK165" s="967">
        <f t="shared" si="19"/>
        <v>16.256</v>
      </c>
      <c r="AL165" s="967">
        <f t="shared" si="20"/>
        <v>12.153850184492555</v>
      </c>
      <c r="AM165" s="967">
        <f t="shared" si="21"/>
        <v>20.707166018968785</v>
      </c>
      <c r="AN165" s="967">
        <f t="shared" si="22"/>
        <v>1.8824959481361425</v>
      </c>
      <c r="AO165" s="956"/>
      <c r="AP165" s="956"/>
      <c r="AQ165" s="963">
        <v>1</v>
      </c>
      <c r="AR165" s="966">
        <f t="shared" si="11"/>
        <v>0.67110316092337996</v>
      </c>
      <c r="AS165" s="962">
        <f t="shared" si="25"/>
        <v>0.97042405871209014</v>
      </c>
      <c r="AT165" s="963">
        <f t="shared" si="12"/>
        <v>8.0558710550160145E-2</v>
      </c>
      <c r="AU165" s="956"/>
      <c r="AV165" s="956"/>
      <c r="AW165" s="956"/>
      <c r="AX165" s="956"/>
      <c r="AY165" s="956"/>
      <c r="AZ165" s="956">
        <f t="shared" si="23"/>
        <v>6.3490245815350743</v>
      </c>
      <c r="BA165" s="956">
        <f t="shared" si="24"/>
        <v>0.69113059601587756</v>
      </c>
      <c r="BB165" s="9"/>
      <c r="BC165" s="956">
        <f t="shared" si="14"/>
        <v>7.0401551775509521</v>
      </c>
      <c r="BD165" s="9"/>
      <c r="BE165" s="9"/>
      <c r="BF165" s="956">
        <f t="shared" si="8"/>
        <v>7.9284878484025221</v>
      </c>
      <c r="BG165" s="9"/>
    </row>
    <row r="166" spans="1:59" x14ac:dyDescent="0.45">
      <c r="A166" s="14">
        <v>1856</v>
      </c>
      <c r="B166" s="506">
        <v>80.162400000000005</v>
      </c>
      <c r="C166" s="506"/>
      <c r="D166" s="506"/>
      <c r="E166" s="507">
        <v>5.1785714285714288</v>
      </c>
      <c r="F166" s="507">
        <v>0</v>
      </c>
      <c r="G166" s="507">
        <v>1.8428571428571427</v>
      </c>
      <c r="H166" s="507">
        <f t="shared" si="15"/>
        <v>8.2008078923017553</v>
      </c>
      <c r="I166" s="507">
        <v>2.4571428571428573</v>
      </c>
      <c r="J166" s="507">
        <v>16.51148755671915</v>
      </c>
      <c r="K166" s="507">
        <v>33.863209333908017</v>
      </c>
      <c r="L166" s="507">
        <v>1.9432970595045145</v>
      </c>
      <c r="M166" s="507"/>
      <c r="N166" s="507">
        <v>0.65314285714285714</v>
      </c>
      <c r="O166" s="507"/>
      <c r="P166" s="507"/>
      <c r="Q166" s="506"/>
      <c r="R166" s="506">
        <v>62.449708235845968</v>
      </c>
      <c r="S166" s="506">
        <v>17.712691764154037</v>
      </c>
      <c r="T166" s="506">
        <v>80.162400000000005</v>
      </c>
      <c r="V166" s="506">
        <v>62.449708235845968</v>
      </c>
      <c r="W166" s="506"/>
      <c r="Y166" s="1156">
        <v>1856</v>
      </c>
      <c r="Z166" s="958">
        <v>16.51148755671915</v>
      </c>
      <c r="AA166" s="958">
        <v>19.88457142857143</v>
      </c>
      <c r="AB166" s="958">
        <v>24.122742857142857</v>
      </c>
      <c r="AC166" s="958"/>
      <c r="AD166" s="1158"/>
      <c r="AE166" s="958">
        <f t="shared" ref="AE166:AE178" si="26">Z166-AY166/$BF$8</f>
        <v>16.51148755671915</v>
      </c>
      <c r="AF166" s="958">
        <f t="shared" ref="AF166:AF178" si="27">AA166-AZ166/$BF$8</f>
        <v>12.519379513349474</v>
      </c>
      <c r="AG166" s="958">
        <f t="shared" ref="AG166:AG178" si="28">AB166-BA166/$BF$8-AH166</f>
        <v>21.34382982055854</v>
      </c>
      <c r="AH166" s="958">
        <f t="shared" si="10"/>
        <v>1.9432970595045145</v>
      </c>
      <c r="AI166" s="1158"/>
      <c r="AJ166" s="1158"/>
      <c r="AK166" s="958">
        <f t="shared" si="19"/>
        <v>16.51148755671915</v>
      </c>
      <c r="AL166" s="958">
        <f t="shared" si="20"/>
        <v>12.519379513349474</v>
      </c>
      <c r="AM166" s="958">
        <f t="shared" si="21"/>
        <v>21.34382982055854</v>
      </c>
      <c r="AN166" s="958">
        <f t="shared" si="22"/>
        <v>1.9432970595045145</v>
      </c>
      <c r="AO166" s="1158"/>
      <c r="AP166" s="1158"/>
      <c r="AQ166" s="1154">
        <v>1</v>
      </c>
      <c r="AR166" s="962">
        <f t="shared" si="11"/>
        <v>0.67110316092337996</v>
      </c>
      <c r="AS166" s="962">
        <f t="shared" si="25"/>
        <v>0.96924102106057375</v>
      </c>
      <c r="AT166" s="1154">
        <f t="shared" si="12"/>
        <v>8.0558710550160145E-2</v>
      </c>
      <c r="AU166" s="1158"/>
      <c r="AV166" s="1158"/>
      <c r="AW166" s="1158"/>
      <c r="AX166" s="1158"/>
      <c r="AY166" s="1158"/>
      <c r="AZ166" s="958">
        <f t="shared" si="23"/>
        <v>6.5399726892504146</v>
      </c>
      <c r="BA166" s="958">
        <f t="shared" si="24"/>
        <v>0.74199093950405215</v>
      </c>
      <c r="BB166" s="9"/>
      <c r="BC166" s="956">
        <f t="shared" si="14"/>
        <v>7.2819636287544665</v>
      </c>
      <c r="BD166" s="9"/>
      <c r="BE166" s="58"/>
      <c r="BF166" s="956">
        <f t="shared" si="8"/>
        <v>8.2008078923017553</v>
      </c>
      <c r="BG166" s="9"/>
    </row>
    <row r="167" spans="1:59" x14ac:dyDescent="0.45">
      <c r="A167" s="14">
        <v>1857</v>
      </c>
      <c r="B167" s="506">
        <v>82.600799999999992</v>
      </c>
      <c r="C167" s="506"/>
      <c r="D167" s="506"/>
      <c r="E167" s="507">
        <v>5.3571428571428577</v>
      </c>
      <c r="F167" s="507">
        <v>0</v>
      </c>
      <c r="G167" s="507">
        <v>1.9857142857142855</v>
      </c>
      <c r="H167" s="507">
        <f t="shared" si="15"/>
        <v>8.4751390456524476</v>
      </c>
      <c r="I167" s="507">
        <v>2.5142857142857142</v>
      </c>
      <c r="J167" s="507">
        <v>16.699251646132787</v>
      </c>
      <c r="K167" s="507">
        <v>34.863391354903243</v>
      </c>
      <c r="L167" s="507">
        <v>2.0040981708728869</v>
      </c>
      <c r="M167" s="507"/>
      <c r="N167" s="507">
        <v>0.69668571428571424</v>
      </c>
      <c r="O167" s="507"/>
      <c r="P167" s="507"/>
      <c r="Q167" s="506"/>
      <c r="R167" s="506">
        <v>64.120569743337484</v>
      </c>
      <c r="S167" s="506">
        <v>18.480230256662509</v>
      </c>
      <c r="T167" s="506">
        <v>82.600799999999992</v>
      </c>
      <c r="V167" s="506">
        <v>64.120569743337484</v>
      </c>
      <c r="W167" s="506"/>
      <c r="Y167" s="1156">
        <v>1857</v>
      </c>
      <c r="Z167" s="958">
        <v>16.699251646132787</v>
      </c>
      <c r="AA167" s="958">
        <v>20.465142857142862</v>
      </c>
      <c r="AB167" s="958">
        <v>24.877485714285715</v>
      </c>
      <c r="AC167" s="958"/>
      <c r="AD167" s="1158"/>
      <c r="AE167" s="958">
        <f t="shared" si="26"/>
        <v>16.699251646132787</v>
      </c>
      <c r="AF167" s="958">
        <f t="shared" si="27"/>
        <v>12.884908842206395</v>
      </c>
      <c r="AG167" s="958">
        <f t="shared" si="28"/>
        <v>21.978482512696846</v>
      </c>
      <c r="AH167" s="958">
        <f t="shared" si="10"/>
        <v>2.0040981708728869</v>
      </c>
      <c r="AI167" s="1158"/>
      <c r="AJ167" s="1158"/>
      <c r="AK167" s="958">
        <f t="shared" si="19"/>
        <v>16.699251646132787</v>
      </c>
      <c r="AL167" s="958">
        <f t="shared" si="20"/>
        <v>12.884908842206395</v>
      </c>
      <c r="AM167" s="958">
        <f t="shared" si="21"/>
        <v>21.978482512696846</v>
      </c>
      <c r="AN167" s="958">
        <f t="shared" si="22"/>
        <v>2.0040981708728869</v>
      </c>
      <c r="AO167" s="1158"/>
      <c r="AP167" s="1158"/>
      <c r="AQ167" s="1154">
        <v>1</v>
      </c>
      <c r="AR167" s="962">
        <f t="shared" si="11"/>
        <v>0.67110316092337996</v>
      </c>
      <c r="AS167" s="962">
        <f t="shared" si="25"/>
        <v>0.96805798340905735</v>
      </c>
      <c r="AT167" s="1154">
        <f t="shared" si="12"/>
        <v>8.0558710550160145E-2</v>
      </c>
      <c r="AU167" s="1158"/>
      <c r="AV167" s="1158"/>
      <c r="AW167" s="1158"/>
      <c r="AX167" s="1158"/>
      <c r="AY167" s="1158"/>
      <c r="AZ167" s="958">
        <f t="shared" si="23"/>
        <v>6.7309207969657558</v>
      </c>
      <c r="BA167" s="958">
        <f t="shared" si="24"/>
        <v>0.79463706142665291</v>
      </c>
      <c r="BB167" s="9"/>
      <c r="BC167" s="956">
        <f t="shared" si="14"/>
        <v>7.5255578583924088</v>
      </c>
      <c r="BD167" s="9"/>
      <c r="BE167" s="58"/>
      <c r="BF167" s="956">
        <f t="shared" si="8"/>
        <v>8.4751390456524476</v>
      </c>
      <c r="BG167" s="9"/>
    </row>
    <row r="168" spans="1:59" x14ac:dyDescent="0.45">
      <c r="A168" s="14">
        <v>1858</v>
      </c>
      <c r="B168" s="506">
        <v>81.483200000000011</v>
      </c>
      <c r="C168" s="506"/>
      <c r="D168" s="506"/>
      <c r="E168" s="507">
        <v>5.5357142857142865</v>
      </c>
      <c r="F168" s="507">
        <v>0</v>
      </c>
      <c r="G168" s="507">
        <v>2.1285714285714286</v>
      </c>
      <c r="H168" s="507">
        <f t="shared" si="15"/>
        <v>8.7514813084545953</v>
      </c>
      <c r="I168" s="507">
        <v>2.5714285714285712</v>
      </c>
      <c r="J168" s="507">
        <v>16.171498229852869</v>
      </c>
      <c r="K168" s="507">
        <v>35.86156226644701</v>
      </c>
      <c r="L168" s="507">
        <v>2.0648992822412593</v>
      </c>
      <c r="M168" s="507"/>
      <c r="N168" s="507">
        <v>0.74022857142857124</v>
      </c>
      <c r="O168" s="507"/>
      <c r="P168" s="507"/>
      <c r="Q168" s="506"/>
      <c r="R168" s="506">
        <v>65.073902635683993</v>
      </c>
      <c r="S168" s="506">
        <v>16.409297364316018</v>
      </c>
      <c r="T168" s="506">
        <v>81.483200000000011</v>
      </c>
      <c r="V168" s="506">
        <v>65.073902635683993</v>
      </c>
      <c r="W168" s="506"/>
      <c r="Y168" s="1156">
        <v>1858</v>
      </c>
      <c r="Z168" s="958">
        <v>16.171498229852869</v>
      </c>
      <c r="AA168" s="958">
        <v>21.04571428571429</v>
      </c>
      <c r="AB168" s="958">
        <v>25.632228571428573</v>
      </c>
      <c r="AC168" s="958"/>
      <c r="AD168" s="1158"/>
      <c r="AE168" s="958">
        <f t="shared" si="26"/>
        <v>16.171498229852869</v>
      </c>
      <c r="AF168" s="958">
        <f t="shared" si="27"/>
        <v>13.250438171063312</v>
      </c>
      <c r="AG168" s="958">
        <f t="shared" si="28"/>
        <v>22.611124095383694</v>
      </c>
      <c r="AH168" s="958">
        <f t="shared" si="10"/>
        <v>2.0648992822412593</v>
      </c>
      <c r="AI168" s="1158"/>
      <c r="AJ168" s="1158"/>
      <c r="AK168" s="958">
        <f t="shared" si="19"/>
        <v>16.171498229852869</v>
      </c>
      <c r="AL168" s="958">
        <f t="shared" si="20"/>
        <v>13.250438171063312</v>
      </c>
      <c r="AM168" s="958">
        <f t="shared" si="21"/>
        <v>22.611124095383694</v>
      </c>
      <c r="AN168" s="958">
        <f t="shared" si="22"/>
        <v>2.0648992822412593</v>
      </c>
      <c r="AO168" s="1158"/>
      <c r="AP168" s="1158"/>
      <c r="AQ168" s="1154">
        <v>1</v>
      </c>
      <c r="AR168" s="962">
        <f t="shared" si="11"/>
        <v>0.67110316092337996</v>
      </c>
      <c r="AS168" s="962">
        <f t="shared" si="25"/>
        <v>0.96687494575754096</v>
      </c>
      <c r="AT168" s="1154">
        <f t="shared" si="12"/>
        <v>8.0558710550160145E-2</v>
      </c>
      <c r="AU168" s="1158"/>
      <c r="AV168" s="1158"/>
      <c r="AW168" s="1158"/>
      <c r="AX168" s="1158"/>
      <c r="AY168" s="1158"/>
      <c r="AZ168" s="958">
        <f t="shared" si="23"/>
        <v>6.9218689046810962</v>
      </c>
      <c r="BA168" s="958">
        <f t="shared" si="24"/>
        <v>0.84906896178367985</v>
      </c>
      <c r="BB168" s="9"/>
      <c r="BC168" s="956">
        <f t="shared" si="14"/>
        <v>7.7709378664647764</v>
      </c>
      <c r="BD168" s="9"/>
      <c r="BE168" s="58"/>
      <c r="BF168" s="956">
        <f t="shared" si="8"/>
        <v>8.7514813084545953</v>
      </c>
      <c r="BG168" s="9"/>
    </row>
    <row r="169" spans="1:59" x14ac:dyDescent="0.45">
      <c r="A169" s="14">
        <v>1859</v>
      </c>
      <c r="B169" s="506">
        <v>84.023200000000003</v>
      </c>
      <c r="C169" s="506"/>
      <c r="D169" s="506"/>
      <c r="E169" s="507">
        <v>5.7142857142857153</v>
      </c>
      <c r="F169" s="507">
        <v>0</v>
      </c>
      <c r="G169" s="507">
        <v>2.2714285714285714</v>
      </c>
      <c r="H169" s="507">
        <f t="shared" si="15"/>
        <v>9.0298346807081966</v>
      </c>
      <c r="I169" s="507">
        <v>2.6285714285714281</v>
      </c>
      <c r="J169" s="507">
        <v>16.479700147304154</v>
      </c>
      <c r="K169" s="507">
        <v>36.857722068539324</v>
      </c>
      <c r="L169" s="507">
        <v>2.1257003936096317</v>
      </c>
      <c r="M169" s="507"/>
      <c r="N169" s="507">
        <v>0.78377142857142834</v>
      </c>
      <c r="O169" s="507"/>
      <c r="P169" s="507"/>
      <c r="Q169" s="506"/>
      <c r="R169" s="506">
        <v>66.86117975231025</v>
      </c>
      <c r="S169" s="506">
        <v>17.162020247689753</v>
      </c>
      <c r="T169" s="506">
        <v>84.023200000000003</v>
      </c>
      <c r="V169" s="506">
        <v>66.86117975231025</v>
      </c>
      <c r="W169" s="506"/>
      <c r="Y169" s="1156">
        <v>1859</v>
      </c>
      <c r="Z169" s="958">
        <v>16.479700147304154</v>
      </c>
      <c r="AA169" s="958">
        <v>21.626285714285721</v>
      </c>
      <c r="AB169" s="958">
        <v>26.386971428571432</v>
      </c>
      <c r="AC169" s="958"/>
      <c r="AD169" s="1158"/>
      <c r="AE169" s="958">
        <f t="shared" si="26"/>
        <v>16.479700147304154</v>
      </c>
      <c r="AF169" s="958">
        <f t="shared" si="27"/>
        <v>13.615967499920234</v>
      </c>
      <c r="AG169" s="958">
        <f t="shared" si="28"/>
        <v>23.24175456861909</v>
      </c>
      <c r="AH169" s="958">
        <f t="shared" si="10"/>
        <v>2.1257003936096317</v>
      </c>
      <c r="AI169" s="1158"/>
      <c r="AJ169" s="1158"/>
      <c r="AK169" s="958">
        <f t="shared" si="19"/>
        <v>16.479700147304154</v>
      </c>
      <c r="AL169" s="958">
        <f t="shared" si="20"/>
        <v>13.615967499920234</v>
      </c>
      <c r="AM169" s="958">
        <f t="shared" si="21"/>
        <v>23.24175456861909</v>
      </c>
      <c r="AN169" s="958">
        <f t="shared" si="22"/>
        <v>2.1257003936096317</v>
      </c>
      <c r="AO169" s="1158"/>
      <c r="AP169" s="1158"/>
      <c r="AQ169" s="1154">
        <v>1</v>
      </c>
      <c r="AR169" s="962">
        <f t="shared" si="11"/>
        <v>0.67110316092337996</v>
      </c>
      <c r="AS169" s="962">
        <f t="shared" si="25"/>
        <v>0.96569190810602457</v>
      </c>
      <c r="AT169" s="1154">
        <f t="shared" si="12"/>
        <v>8.0558710550160145E-2</v>
      </c>
      <c r="AU169" s="1158"/>
      <c r="AV169" s="1158"/>
      <c r="AW169" s="1158"/>
      <c r="AX169" s="1158"/>
      <c r="AY169" s="1158"/>
      <c r="AZ169" s="958">
        <f t="shared" si="23"/>
        <v>7.1128170123964374</v>
      </c>
      <c r="BA169" s="958">
        <f t="shared" si="24"/>
        <v>0.90528664057513297</v>
      </c>
      <c r="BB169" s="9"/>
      <c r="BC169" s="956">
        <f t="shared" si="14"/>
        <v>8.0181036529715701</v>
      </c>
      <c r="BD169" s="9"/>
      <c r="BE169" s="58"/>
      <c r="BF169" s="956">
        <f t="shared" si="8"/>
        <v>9.0298346807081966</v>
      </c>
      <c r="BG169" s="9"/>
    </row>
    <row r="170" spans="1:59" x14ac:dyDescent="0.45">
      <c r="A170" s="14">
        <v>1860</v>
      </c>
      <c r="B170" s="506">
        <v>89.204799999999992</v>
      </c>
      <c r="C170" s="506"/>
      <c r="D170" s="506"/>
      <c r="E170" s="507">
        <v>5.8928571428571441</v>
      </c>
      <c r="F170" s="507">
        <v>0</v>
      </c>
      <c r="G170" s="507">
        <v>2.4142857142857141</v>
      </c>
      <c r="H170" s="507">
        <f t="shared" si="15"/>
        <v>9.310199162413257</v>
      </c>
      <c r="I170" s="507">
        <v>2.6857142857142851</v>
      </c>
      <c r="J170" s="507">
        <v>17.498992309519224</v>
      </c>
      <c r="K170" s="507">
        <v>37.85187076118018</v>
      </c>
      <c r="L170" s="507">
        <v>2.1865015049780041</v>
      </c>
      <c r="M170" s="507"/>
      <c r="N170" s="507">
        <v>0.82731428571428545</v>
      </c>
      <c r="O170" s="507"/>
      <c r="P170" s="507"/>
      <c r="Q170" s="506"/>
      <c r="R170" s="506">
        <v>69.357536004248843</v>
      </c>
      <c r="S170" s="506">
        <v>19.847263995751149</v>
      </c>
      <c r="T170" s="506">
        <v>89.204799999999992</v>
      </c>
      <c r="V170" s="506">
        <v>69.357536004248843</v>
      </c>
      <c r="W170" s="506"/>
      <c r="Y170" s="1156">
        <v>1860</v>
      </c>
      <c r="Z170" s="958">
        <v>17.498992309519224</v>
      </c>
      <c r="AA170" s="958">
        <v>22.20685714285715</v>
      </c>
      <c r="AB170" s="958">
        <v>27.14171428571429</v>
      </c>
      <c r="AC170" s="958"/>
      <c r="AD170" s="1158"/>
      <c r="AE170" s="958">
        <f t="shared" si="26"/>
        <v>17.498992309519224</v>
      </c>
      <c r="AF170" s="958">
        <f t="shared" si="27"/>
        <v>13.981496828777152</v>
      </c>
      <c r="AG170" s="958">
        <f t="shared" si="28"/>
        <v>23.870373932403027</v>
      </c>
      <c r="AH170" s="958">
        <f t="shared" si="10"/>
        <v>2.1865015049780041</v>
      </c>
      <c r="AI170" s="1158"/>
      <c r="AJ170" s="1158"/>
      <c r="AK170" s="958">
        <f t="shared" si="19"/>
        <v>17.498992309519224</v>
      </c>
      <c r="AL170" s="958">
        <f t="shared" si="20"/>
        <v>13.981496828777152</v>
      </c>
      <c r="AM170" s="958">
        <f t="shared" si="21"/>
        <v>23.870373932403027</v>
      </c>
      <c r="AN170" s="958">
        <f t="shared" si="22"/>
        <v>2.1865015049780041</v>
      </c>
      <c r="AO170" s="1158"/>
      <c r="AP170" s="1158"/>
      <c r="AQ170" s="1154">
        <v>1</v>
      </c>
      <c r="AR170" s="962">
        <f t="shared" si="11"/>
        <v>0.67110316092337996</v>
      </c>
      <c r="AS170" s="962">
        <f t="shared" si="25"/>
        <v>0.96450887045450817</v>
      </c>
      <c r="AT170" s="1154">
        <f t="shared" si="12"/>
        <v>8.0558710550160145E-2</v>
      </c>
      <c r="AU170" s="1158"/>
      <c r="AV170" s="1158"/>
      <c r="AW170" s="1158"/>
      <c r="AX170" s="1158"/>
      <c r="AY170" s="1158"/>
      <c r="AZ170" s="958">
        <f t="shared" si="23"/>
        <v>7.3037651201117786</v>
      </c>
      <c r="BA170" s="958">
        <f t="shared" si="24"/>
        <v>0.96329009780101205</v>
      </c>
      <c r="BB170" s="9"/>
      <c r="BC170" s="956">
        <f t="shared" si="14"/>
        <v>8.267055217912791</v>
      </c>
      <c r="BD170" s="9"/>
      <c r="BE170" s="58"/>
      <c r="BF170" s="956">
        <f t="shared" si="8"/>
        <v>9.310199162413257</v>
      </c>
      <c r="BG170" s="9"/>
    </row>
    <row r="171" spans="1:59" x14ac:dyDescent="0.45">
      <c r="A171" s="14">
        <v>1861</v>
      </c>
      <c r="B171" s="506">
        <v>90.525599999999997</v>
      </c>
      <c r="C171" s="506"/>
      <c r="D171" s="506"/>
      <c r="E171" s="507">
        <v>6.071428571428573</v>
      </c>
      <c r="F171" s="507">
        <v>0</v>
      </c>
      <c r="G171" s="507">
        <v>2.5571428571428569</v>
      </c>
      <c r="H171" s="507">
        <f t="shared" si="15"/>
        <v>9.592574753569771</v>
      </c>
      <c r="I171" s="507">
        <v>2.742857142857142</v>
      </c>
      <c r="J171" s="507">
        <v>17.485384630135957</v>
      </c>
      <c r="K171" s="507">
        <v>38.844008344369584</v>
      </c>
      <c r="L171" s="507">
        <v>2.2473026163463765</v>
      </c>
      <c r="M171" s="507"/>
      <c r="N171" s="507">
        <v>0.87085714285714255</v>
      </c>
      <c r="O171" s="507"/>
      <c r="P171" s="507"/>
      <c r="Q171" s="506"/>
      <c r="R171" s="506">
        <v>70.818981305137626</v>
      </c>
      <c r="S171" s="506">
        <v>19.706618694862371</v>
      </c>
      <c r="T171" s="506">
        <v>90.525599999999997</v>
      </c>
      <c r="V171" s="506">
        <v>70.818981305137626</v>
      </c>
      <c r="W171" s="506"/>
      <c r="Y171" s="1156">
        <v>1861</v>
      </c>
      <c r="Z171" s="958">
        <v>17.485384630135957</v>
      </c>
      <c r="AA171" s="958">
        <v>22.787428571428581</v>
      </c>
      <c r="AB171" s="958">
        <v>27.896457142857148</v>
      </c>
      <c r="AC171" s="958"/>
      <c r="AD171" s="1158"/>
      <c r="AE171" s="958">
        <f t="shared" si="26"/>
        <v>17.485384630135957</v>
      </c>
      <c r="AF171" s="958">
        <f t="shared" si="27"/>
        <v>14.347026157634073</v>
      </c>
      <c r="AG171" s="958">
        <f t="shared" si="28"/>
        <v>24.496982186735508</v>
      </c>
      <c r="AH171" s="958">
        <f t="shared" si="10"/>
        <v>2.2473026163463765</v>
      </c>
      <c r="AI171" s="1158"/>
      <c r="AJ171" s="1158"/>
      <c r="AK171" s="958">
        <f t="shared" si="19"/>
        <v>17.485384630135957</v>
      </c>
      <c r="AL171" s="958">
        <f t="shared" si="20"/>
        <v>14.347026157634073</v>
      </c>
      <c r="AM171" s="958">
        <f t="shared" si="21"/>
        <v>24.496982186735508</v>
      </c>
      <c r="AN171" s="958">
        <f t="shared" si="22"/>
        <v>2.2473026163463765</v>
      </c>
      <c r="AO171" s="1158"/>
      <c r="AP171" s="1158"/>
      <c r="AQ171" s="1154">
        <v>1</v>
      </c>
      <c r="AR171" s="962">
        <f t="shared" si="11"/>
        <v>0.67110316092337996</v>
      </c>
      <c r="AS171" s="962">
        <f t="shared" si="25"/>
        <v>0.96332583280299178</v>
      </c>
      <c r="AT171" s="1154">
        <f t="shared" si="12"/>
        <v>8.0558710550160145E-2</v>
      </c>
      <c r="AU171" s="1158"/>
      <c r="AV171" s="1158"/>
      <c r="AW171" s="1158"/>
      <c r="AX171" s="1158"/>
      <c r="AY171" s="1158"/>
      <c r="AZ171" s="958">
        <f t="shared" si="23"/>
        <v>7.4947132278271198</v>
      </c>
      <c r="BA171" s="958">
        <f t="shared" si="24"/>
        <v>1.0230793334613173</v>
      </c>
      <c r="BB171" s="9"/>
      <c r="BC171" s="956">
        <f t="shared" si="14"/>
        <v>8.517792561288438</v>
      </c>
      <c r="BD171" s="9"/>
      <c r="BE171" s="58"/>
      <c r="BF171" s="956">
        <f t="shared" si="8"/>
        <v>9.592574753569771</v>
      </c>
      <c r="BG171" s="9"/>
    </row>
    <row r="172" spans="1:59" x14ac:dyDescent="0.45">
      <c r="A172" s="14">
        <v>1862</v>
      </c>
      <c r="B172" s="506">
        <v>92.456000000000003</v>
      </c>
      <c r="C172" s="506"/>
      <c r="D172" s="506"/>
      <c r="E172" s="507">
        <v>6.2500000000000018</v>
      </c>
      <c r="F172" s="507">
        <v>0</v>
      </c>
      <c r="G172" s="507">
        <v>2.6999999999999997</v>
      </c>
      <c r="H172" s="507">
        <f t="shared" si="15"/>
        <v>9.8769614541777386</v>
      </c>
      <c r="I172" s="507">
        <v>2.7999999999999989</v>
      </c>
      <c r="J172" s="507">
        <v>17.621715723882499</v>
      </c>
      <c r="K172" s="507">
        <v>39.834134818107529</v>
      </c>
      <c r="L172" s="507">
        <v>2.3081037277147489</v>
      </c>
      <c r="M172" s="507"/>
      <c r="N172" s="507">
        <v>0.91439999999999966</v>
      </c>
      <c r="O172" s="507"/>
      <c r="P172" s="507"/>
      <c r="Q172" s="506"/>
      <c r="R172" s="506">
        <v>72.428354269704784</v>
      </c>
      <c r="S172" s="506">
        <v>20.02764573029522</v>
      </c>
      <c r="T172" s="506">
        <v>92.456000000000003</v>
      </c>
      <c r="V172" s="506">
        <v>72.428354269704784</v>
      </c>
      <c r="W172" s="506"/>
      <c r="Y172" s="1156">
        <v>1862</v>
      </c>
      <c r="Z172" s="958">
        <v>17.621715723882499</v>
      </c>
      <c r="AA172" s="958">
        <v>23.368000000000013</v>
      </c>
      <c r="AB172" s="958">
        <v>28.651200000000006</v>
      </c>
      <c r="AC172" s="958"/>
      <c r="AD172" s="1158"/>
      <c r="AE172" s="958">
        <f t="shared" si="26"/>
        <v>17.621715723882499</v>
      </c>
      <c r="AF172" s="958">
        <f t="shared" si="27"/>
        <v>14.712555486490995</v>
      </c>
      <c r="AG172" s="958">
        <f t="shared" si="28"/>
        <v>25.121579331616537</v>
      </c>
      <c r="AH172" s="958">
        <f t="shared" si="10"/>
        <v>2.3081037277147489</v>
      </c>
      <c r="AI172" s="1158"/>
      <c r="AJ172" s="1158"/>
      <c r="AK172" s="958">
        <f t="shared" si="19"/>
        <v>17.621715723882499</v>
      </c>
      <c r="AL172" s="958">
        <f t="shared" si="20"/>
        <v>14.712555486490995</v>
      </c>
      <c r="AM172" s="958">
        <f t="shared" si="21"/>
        <v>25.121579331616537</v>
      </c>
      <c r="AN172" s="958">
        <f t="shared" si="22"/>
        <v>2.3081037277147489</v>
      </c>
      <c r="AO172" s="1158"/>
      <c r="AP172" s="1158"/>
      <c r="AQ172" s="1154">
        <v>1</v>
      </c>
      <c r="AR172" s="962">
        <f t="shared" si="11"/>
        <v>0.67110316092337996</v>
      </c>
      <c r="AS172" s="962">
        <f t="shared" si="25"/>
        <v>0.96214279515147538</v>
      </c>
      <c r="AT172" s="1154">
        <f t="shared" si="12"/>
        <v>8.0558710550160145E-2</v>
      </c>
      <c r="AU172" s="1158"/>
      <c r="AV172" s="1158"/>
      <c r="AW172" s="1158"/>
      <c r="AX172" s="1158"/>
      <c r="AY172" s="1158"/>
      <c r="AZ172" s="958">
        <f t="shared" si="23"/>
        <v>7.685661335542461</v>
      </c>
      <c r="BA172" s="958">
        <f t="shared" si="24"/>
        <v>1.0846543475560488</v>
      </c>
      <c r="BB172" s="9"/>
      <c r="BC172" s="956">
        <f t="shared" si="14"/>
        <v>8.7703156830985094</v>
      </c>
      <c r="BD172" s="9"/>
      <c r="BE172" s="58"/>
      <c r="BF172" s="956">
        <f t="shared" si="8"/>
        <v>9.8769614541777386</v>
      </c>
      <c r="BG172" s="9"/>
    </row>
    <row r="173" spans="1:59" x14ac:dyDescent="0.45">
      <c r="A173" s="14">
        <v>1863</v>
      </c>
      <c r="B173" s="506">
        <v>97.129599999999996</v>
      </c>
      <c r="C173" s="506"/>
      <c r="D173" s="506"/>
      <c r="E173" s="507">
        <v>6.4285714285714306</v>
      </c>
      <c r="F173" s="507">
        <v>0</v>
      </c>
      <c r="G173" s="507">
        <v>2.8428571428571425</v>
      </c>
      <c r="H173" s="507">
        <f t="shared" si="15"/>
        <v>10.163359264237164</v>
      </c>
      <c r="I173" s="507">
        <v>2.8571428571428559</v>
      </c>
      <c r="J173" s="507">
        <v>18.581557099894528</v>
      </c>
      <c r="K173" s="507">
        <v>40.822250182394022</v>
      </c>
      <c r="L173" s="507">
        <v>2.3689048390831213</v>
      </c>
      <c r="M173" s="507"/>
      <c r="N173" s="507">
        <v>0.95794285714285676</v>
      </c>
      <c r="O173" s="507"/>
      <c r="P173" s="507"/>
      <c r="Q173" s="506"/>
      <c r="R173" s="506">
        <v>74.859226407085941</v>
      </c>
      <c r="S173" s="506">
        <v>22.270373592914055</v>
      </c>
      <c r="T173" s="506">
        <v>97.129599999999996</v>
      </c>
      <c r="V173" s="506">
        <v>74.859226407085941</v>
      </c>
      <c r="W173" s="506"/>
      <c r="Y173" s="1156">
        <v>1863</v>
      </c>
      <c r="Z173" s="958">
        <v>18.581557099894528</v>
      </c>
      <c r="AA173" s="958">
        <v>23.948571428571441</v>
      </c>
      <c r="AB173" s="958">
        <v>29.405942857142865</v>
      </c>
      <c r="AC173" s="958"/>
      <c r="AD173" s="1158"/>
      <c r="AE173" s="958">
        <f t="shared" si="26"/>
        <v>18.581557099894528</v>
      </c>
      <c r="AF173" s="958">
        <f t="shared" si="27"/>
        <v>15.078084815347912</v>
      </c>
      <c r="AG173" s="958">
        <f t="shared" si="28"/>
        <v>25.744165367046108</v>
      </c>
      <c r="AH173" s="958">
        <f t="shared" si="10"/>
        <v>2.3689048390831213</v>
      </c>
      <c r="AI173" s="1158"/>
      <c r="AJ173" s="1158"/>
      <c r="AK173" s="958">
        <f t="shared" si="19"/>
        <v>18.581557099894528</v>
      </c>
      <c r="AL173" s="958">
        <f t="shared" si="20"/>
        <v>15.078084815347912</v>
      </c>
      <c r="AM173" s="958">
        <f t="shared" si="21"/>
        <v>25.744165367046108</v>
      </c>
      <c r="AN173" s="958">
        <f t="shared" si="22"/>
        <v>2.3689048390831213</v>
      </c>
      <c r="AO173" s="1158"/>
      <c r="AP173" s="1158"/>
      <c r="AQ173" s="1154">
        <v>1</v>
      </c>
      <c r="AR173" s="962">
        <f t="shared" si="11"/>
        <v>0.67110316092337996</v>
      </c>
      <c r="AS173" s="962">
        <f t="shared" si="25"/>
        <v>0.96095975749995899</v>
      </c>
      <c r="AT173" s="1154">
        <f t="shared" si="12"/>
        <v>8.0558710550160145E-2</v>
      </c>
      <c r="AU173" s="1158"/>
      <c r="AV173" s="1158"/>
      <c r="AW173" s="1158"/>
      <c r="AX173" s="1158"/>
      <c r="AY173" s="1158"/>
      <c r="AZ173" s="958">
        <f t="shared" si="23"/>
        <v>7.8766094432578013</v>
      </c>
      <c r="BA173" s="958">
        <f t="shared" si="24"/>
        <v>1.1480151400852063</v>
      </c>
      <c r="BB173" s="9"/>
      <c r="BC173" s="956">
        <f t="shared" si="14"/>
        <v>9.024624583343007</v>
      </c>
      <c r="BD173" s="9"/>
      <c r="BE173" s="58"/>
      <c r="BF173" s="956">
        <f t="shared" si="8"/>
        <v>10.163359264237164</v>
      </c>
      <c r="BG173" s="9"/>
    </row>
    <row r="174" spans="1:59" x14ac:dyDescent="0.45">
      <c r="A174" s="14">
        <v>1864</v>
      </c>
      <c r="B174" s="506">
        <v>100.584</v>
      </c>
      <c r="C174" s="506"/>
      <c r="D174" s="506"/>
      <c r="E174" s="507">
        <v>6.6071428571428594</v>
      </c>
      <c r="F174" s="507">
        <v>0</v>
      </c>
      <c r="G174" s="507">
        <v>2.9857142857142853</v>
      </c>
      <c r="H174" s="507">
        <f t="shared" ref="H174:H208" si="29">BF174</f>
        <v>10.451768183748046</v>
      </c>
      <c r="I174" s="507">
        <v>2.9142857142857128</v>
      </c>
      <c r="J174" s="507">
        <v>19.053012937158218</v>
      </c>
      <c r="K174" s="507">
        <v>41.808354437229056</v>
      </c>
      <c r="L174" s="507">
        <v>2.4297059504514937</v>
      </c>
      <c r="M174" s="507"/>
      <c r="N174" s="507">
        <v>1.0014857142857139</v>
      </c>
      <c r="O174" s="507"/>
      <c r="P174" s="507"/>
      <c r="Q174" s="506"/>
      <c r="R174" s="506">
        <v>76.799701896267351</v>
      </c>
      <c r="S174" s="506">
        <v>23.784298103732652</v>
      </c>
      <c r="T174" s="506">
        <v>100.584</v>
      </c>
      <c r="V174" s="506">
        <v>76.799701896267351</v>
      </c>
      <c r="W174" s="506"/>
      <c r="Y174" s="1156">
        <v>1864</v>
      </c>
      <c r="Z174" s="958">
        <v>19.053012937158218</v>
      </c>
      <c r="AA174" s="958">
        <v>24.529142857142872</v>
      </c>
      <c r="AB174" s="958">
        <v>30.160685714285723</v>
      </c>
      <c r="AC174" s="958"/>
      <c r="AD174" s="1158"/>
      <c r="AE174" s="958">
        <f t="shared" si="26"/>
        <v>19.053012937158218</v>
      </c>
      <c r="AF174" s="958">
        <f t="shared" si="27"/>
        <v>15.443614144204833</v>
      </c>
      <c r="AG174" s="958">
        <f t="shared" si="28"/>
        <v>26.364740293024219</v>
      </c>
      <c r="AH174" s="958">
        <f t="shared" si="10"/>
        <v>2.4297059504514937</v>
      </c>
      <c r="AI174" s="1158"/>
      <c r="AJ174" s="1158"/>
      <c r="AK174" s="958">
        <f t="shared" si="19"/>
        <v>19.053012937158218</v>
      </c>
      <c r="AL174" s="958">
        <f t="shared" si="20"/>
        <v>15.443614144204833</v>
      </c>
      <c r="AM174" s="958">
        <f t="shared" si="21"/>
        <v>26.364740293024219</v>
      </c>
      <c r="AN174" s="958">
        <f t="shared" si="22"/>
        <v>2.4297059504514937</v>
      </c>
      <c r="AO174" s="1158"/>
      <c r="AP174" s="1158"/>
      <c r="AQ174" s="1154">
        <v>1</v>
      </c>
      <c r="AR174" s="962">
        <f t="shared" si="11"/>
        <v>0.67110316092337996</v>
      </c>
      <c r="AS174" s="962">
        <f t="shared" si="25"/>
        <v>0.95977671984844259</v>
      </c>
      <c r="AT174" s="1154">
        <f t="shared" si="12"/>
        <v>8.0558710550160145E-2</v>
      </c>
      <c r="AU174" s="1158"/>
      <c r="AV174" s="1158"/>
      <c r="AW174" s="1158"/>
      <c r="AX174" s="1158"/>
      <c r="AY174" s="1158"/>
      <c r="AZ174" s="958">
        <f t="shared" si="23"/>
        <v>8.0675575509731434</v>
      </c>
      <c r="BA174" s="958">
        <f t="shared" si="24"/>
        <v>1.21316171104879</v>
      </c>
      <c r="BB174" s="9"/>
      <c r="BC174" s="956">
        <f t="shared" si="14"/>
        <v>9.2807192620219325</v>
      </c>
      <c r="BD174" s="9"/>
      <c r="BE174" s="58"/>
      <c r="BF174" s="956">
        <f t="shared" ref="BF174:BF208" si="30">BC174/BF$8</f>
        <v>10.451768183748046</v>
      </c>
      <c r="BG174" s="9"/>
    </row>
    <row r="175" spans="1:59" x14ac:dyDescent="0.45">
      <c r="A175" s="14">
        <v>1865</v>
      </c>
      <c r="B175" s="506">
        <v>103.8352</v>
      </c>
      <c r="C175" s="506"/>
      <c r="D175" s="506"/>
      <c r="E175" s="507">
        <v>6.7857142857142883</v>
      </c>
      <c r="F175" s="507">
        <v>0</v>
      </c>
      <c r="G175" s="507">
        <v>3.1285714285714281</v>
      </c>
      <c r="H175" s="507">
        <f t="shared" si="29"/>
        <v>10.74218821271038</v>
      </c>
      <c r="I175" s="507">
        <v>2.9714285714285698</v>
      </c>
      <c r="J175" s="507">
        <v>19.515757445922528</v>
      </c>
      <c r="K175" s="507">
        <v>42.792447582612638</v>
      </c>
      <c r="L175" s="507">
        <v>2.4905070618198661</v>
      </c>
      <c r="M175" s="507"/>
      <c r="N175" s="507">
        <v>1.0450285714285712</v>
      </c>
      <c r="O175" s="507"/>
      <c r="P175" s="507"/>
      <c r="Q175" s="506"/>
      <c r="R175" s="506">
        <v>78.729454947497899</v>
      </c>
      <c r="S175" s="506">
        <v>25.105745052502101</v>
      </c>
      <c r="T175" s="506">
        <v>103.8352</v>
      </c>
      <c r="V175" s="506">
        <v>78.729454947497899</v>
      </c>
      <c r="W175" s="506"/>
      <c r="Y175" s="1156">
        <v>1865</v>
      </c>
      <c r="Z175" s="958">
        <v>19.515757445922528</v>
      </c>
      <c r="AA175" s="958">
        <v>25.109714285714301</v>
      </c>
      <c r="AB175" s="958">
        <v>30.915428571428581</v>
      </c>
      <c r="AC175" s="958"/>
      <c r="AD175" s="1158"/>
      <c r="AE175" s="958">
        <f t="shared" si="26"/>
        <v>19.515757445922528</v>
      </c>
      <c r="AF175" s="958">
        <f t="shared" si="27"/>
        <v>15.809143473061752</v>
      </c>
      <c r="AG175" s="958">
        <f t="shared" si="28"/>
        <v>26.983304109550883</v>
      </c>
      <c r="AH175" s="958">
        <f t="shared" si="10"/>
        <v>2.4905070618198661</v>
      </c>
      <c r="AI175" s="1158"/>
      <c r="AJ175" s="1158"/>
      <c r="AK175" s="958">
        <f t="shared" si="19"/>
        <v>19.515757445922528</v>
      </c>
      <c r="AL175" s="958">
        <f t="shared" si="20"/>
        <v>15.809143473061752</v>
      </c>
      <c r="AM175" s="958">
        <f t="shared" si="21"/>
        <v>26.983304109550883</v>
      </c>
      <c r="AN175" s="958">
        <f t="shared" si="22"/>
        <v>2.4905070618198661</v>
      </c>
      <c r="AO175" s="1158"/>
      <c r="AP175" s="1158"/>
      <c r="AQ175" s="1154">
        <v>1</v>
      </c>
      <c r="AR175" s="962">
        <f t="shared" si="11"/>
        <v>0.67110316092337996</v>
      </c>
      <c r="AS175" s="962">
        <f t="shared" si="25"/>
        <v>0.9585936821969262</v>
      </c>
      <c r="AT175" s="1154">
        <f t="shared" si="12"/>
        <v>8.0558710550160145E-2</v>
      </c>
      <c r="AU175" s="1158"/>
      <c r="AV175" s="1158"/>
      <c r="AW175" s="1158"/>
      <c r="AX175" s="1158"/>
      <c r="AY175" s="1158"/>
      <c r="AZ175" s="958">
        <f t="shared" si="23"/>
        <v>8.2585056586884829</v>
      </c>
      <c r="BA175" s="958">
        <f t="shared" si="24"/>
        <v>1.2800940604467996</v>
      </c>
      <c r="BB175" s="9"/>
      <c r="BC175" s="956">
        <f t="shared" si="14"/>
        <v>9.5385997191352825</v>
      </c>
      <c r="BD175" s="9"/>
      <c r="BE175" s="58"/>
      <c r="BF175" s="956">
        <f t="shared" si="30"/>
        <v>10.74218821271038</v>
      </c>
      <c r="BG175" s="9"/>
    </row>
    <row r="176" spans="1:59" x14ac:dyDescent="0.45">
      <c r="A176" s="14">
        <v>1866</v>
      </c>
      <c r="B176" s="506">
        <v>106.4768</v>
      </c>
      <c r="C176" s="506"/>
      <c r="D176" s="506"/>
      <c r="E176" s="507">
        <v>6.9642857142857171</v>
      </c>
      <c r="F176" s="507">
        <v>0</v>
      </c>
      <c r="G176" s="507">
        <v>3.2714285714285709</v>
      </c>
      <c r="H176" s="507">
        <f t="shared" si="29"/>
        <v>11.034619351124176</v>
      </c>
      <c r="I176" s="507">
        <v>3.0285714285714267</v>
      </c>
      <c r="J176" s="507">
        <v>19.724504550764888</v>
      </c>
      <c r="K176" s="507">
        <v>43.774529618544761</v>
      </c>
      <c r="L176" s="507">
        <v>2.5513081731882385</v>
      </c>
      <c r="M176" s="507"/>
      <c r="N176" s="507">
        <v>1.0885714285714283</v>
      </c>
      <c r="O176" s="507"/>
      <c r="P176" s="507"/>
      <c r="Q176" s="506"/>
      <c r="R176" s="506">
        <v>80.403199485355017</v>
      </c>
      <c r="S176" s="506">
        <v>26.07360051464498</v>
      </c>
      <c r="T176" s="506">
        <v>106.4768</v>
      </c>
      <c r="V176" s="506">
        <v>80.403199485355017</v>
      </c>
      <c r="W176" s="506"/>
      <c r="Y176" s="1156">
        <v>1866</v>
      </c>
      <c r="Z176" s="958">
        <v>19.724504550764888</v>
      </c>
      <c r="AA176" s="958">
        <v>25.690285714285732</v>
      </c>
      <c r="AB176" s="958">
        <v>31.67017142857144</v>
      </c>
      <c r="AC176" s="958"/>
      <c r="AD176" s="1158"/>
      <c r="AE176" s="958">
        <f t="shared" si="26"/>
        <v>19.724504550764888</v>
      </c>
      <c r="AF176" s="958">
        <f t="shared" si="27"/>
        <v>16.174672801918675</v>
      </c>
      <c r="AG176" s="958">
        <f t="shared" si="28"/>
        <v>27.599856816626087</v>
      </c>
      <c r="AH176" s="958">
        <f t="shared" si="10"/>
        <v>2.5513081731882385</v>
      </c>
      <c r="AI176" s="1158"/>
      <c r="AJ176" s="1158"/>
      <c r="AK176" s="958">
        <f t="shared" si="19"/>
        <v>19.724504550764888</v>
      </c>
      <c r="AL176" s="958">
        <f t="shared" si="20"/>
        <v>16.174672801918675</v>
      </c>
      <c r="AM176" s="958">
        <f t="shared" si="21"/>
        <v>27.599856816626087</v>
      </c>
      <c r="AN176" s="958">
        <f t="shared" si="22"/>
        <v>2.5513081731882385</v>
      </c>
      <c r="AO176" s="1158"/>
      <c r="AP176" s="1158"/>
      <c r="AQ176" s="1154">
        <v>1</v>
      </c>
      <c r="AR176" s="962">
        <f t="shared" si="11"/>
        <v>0.67110316092337996</v>
      </c>
      <c r="AS176" s="962">
        <f t="shared" si="25"/>
        <v>0.95741064454540981</v>
      </c>
      <c r="AT176" s="1154">
        <f t="shared" si="12"/>
        <v>8.0558710550160145E-2</v>
      </c>
      <c r="AU176" s="1158"/>
      <c r="AV176" s="1158"/>
      <c r="AW176" s="1158"/>
      <c r="AX176" s="1158"/>
      <c r="AY176" s="1158"/>
      <c r="AZ176" s="958">
        <f t="shared" si="23"/>
        <v>8.4494537664038258</v>
      </c>
      <c r="BA176" s="958">
        <f t="shared" si="24"/>
        <v>1.3488121882792357</v>
      </c>
      <c r="BB176" s="9"/>
      <c r="BC176" s="956">
        <f t="shared" si="14"/>
        <v>9.7982659546830622</v>
      </c>
      <c r="BD176" s="9"/>
      <c r="BE176" s="58"/>
      <c r="BF176" s="956">
        <f t="shared" si="30"/>
        <v>11.034619351124176</v>
      </c>
      <c r="BG176" s="9"/>
    </row>
    <row r="177" spans="1:59" x14ac:dyDescent="0.45">
      <c r="A177" s="14">
        <v>1867</v>
      </c>
      <c r="B177" s="506">
        <v>108.0008</v>
      </c>
      <c r="C177" s="506"/>
      <c r="D177" s="506"/>
      <c r="E177" s="507">
        <v>7.1428571428571459</v>
      </c>
      <c r="F177" s="507">
        <v>0</v>
      </c>
      <c r="G177" s="507">
        <v>3.4142857142857137</v>
      </c>
      <c r="H177" s="1160">
        <f t="shared" si="29"/>
        <v>11.329061598989421</v>
      </c>
      <c r="I177" s="507">
        <v>3.0857142857142836</v>
      </c>
      <c r="J177" s="507">
        <v>19.733333291434171</v>
      </c>
      <c r="K177" s="507">
        <v>44.754600545025426</v>
      </c>
      <c r="L177" s="507">
        <v>2.6121092845566105</v>
      </c>
      <c r="M177" s="507"/>
      <c r="N177" s="507">
        <v>1.1321142857142856</v>
      </c>
      <c r="O177" s="506"/>
      <c r="P177" s="506"/>
      <c r="Q177" s="506"/>
      <c r="R177" s="506">
        <v>81.875014549587632</v>
      </c>
      <c r="S177" s="506">
        <v>26.125785450412366</v>
      </c>
      <c r="T177" s="506">
        <v>108.0008</v>
      </c>
      <c r="V177" s="506">
        <v>81.875014549587632</v>
      </c>
      <c r="W177" s="506"/>
      <c r="Y177" s="1156">
        <v>1867</v>
      </c>
      <c r="Z177" s="958">
        <v>19.733333291434171</v>
      </c>
      <c r="AA177" s="958">
        <v>26.27085714285716</v>
      </c>
      <c r="AB177" s="958">
        <v>32.424914285714294</v>
      </c>
      <c r="AC177" s="958"/>
      <c r="AD177" s="1158"/>
      <c r="AE177" s="958">
        <f t="shared" si="26"/>
        <v>19.733333291434171</v>
      </c>
      <c r="AF177" s="958">
        <f t="shared" si="27"/>
        <v>16.54020213077559</v>
      </c>
      <c r="AG177" s="958">
        <f t="shared" si="28"/>
        <v>28.214398414249832</v>
      </c>
      <c r="AH177" s="958">
        <f t="shared" si="10"/>
        <v>2.6121092845566105</v>
      </c>
      <c r="AI177" s="1158"/>
      <c r="AJ177" s="1158"/>
      <c r="AK177" s="958">
        <f t="shared" si="19"/>
        <v>19.733333291434171</v>
      </c>
      <c r="AL177" s="958">
        <f t="shared" si="20"/>
        <v>16.54020213077559</v>
      </c>
      <c r="AM177" s="958">
        <f t="shared" si="21"/>
        <v>28.214398414249832</v>
      </c>
      <c r="AN177" s="958">
        <f t="shared" si="22"/>
        <v>2.6121092845566105</v>
      </c>
      <c r="AO177" s="1158"/>
      <c r="AP177" s="1158"/>
      <c r="AQ177" s="1154">
        <v>1</v>
      </c>
      <c r="AR177" s="962">
        <f t="shared" si="11"/>
        <v>0.67110316092337996</v>
      </c>
      <c r="AS177" s="962">
        <f t="shared" si="25"/>
        <v>0.95622760689389341</v>
      </c>
      <c r="AT177" s="1154">
        <f t="shared" si="12"/>
        <v>8.0558710550160145E-2</v>
      </c>
      <c r="AU177" s="1158"/>
      <c r="AV177" s="1158"/>
      <c r="AW177" s="1158"/>
      <c r="AX177" s="1158"/>
      <c r="AY177" s="1158"/>
      <c r="AZ177" s="958">
        <f t="shared" si="23"/>
        <v>8.6404018741191653</v>
      </c>
      <c r="BA177" s="958">
        <f t="shared" si="24"/>
        <v>1.4193160945460974</v>
      </c>
      <c r="BB177" s="9"/>
      <c r="BC177" s="956">
        <f t="shared" si="14"/>
        <v>10.059717968665263</v>
      </c>
      <c r="BD177" s="9"/>
      <c r="BE177" s="58"/>
      <c r="BF177" s="956">
        <f t="shared" si="30"/>
        <v>11.329061598989421</v>
      </c>
      <c r="BG177" s="9"/>
    </row>
    <row r="178" spans="1:59" x14ac:dyDescent="0.45">
      <c r="A178" s="14">
        <v>1868</v>
      </c>
      <c r="B178" s="506">
        <v>109.8296</v>
      </c>
      <c r="C178" s="506"/>
      <c r="D178" s="506"/>
      <c r="E178" s="506">
        <v>7.3214285714285747</v>
      </c>
      <c r="F178" s="506">
        <v>0</v>
      </c>
      <c r="G178" s="506">
        <v>3.5571428571428565</v>
      </c>
      <c r="H178" s="1160">
        <f t="shared" si="29"/>
        <v>11.625514956306125</v>
      </c>
      <c r="I178" s="506">
        <v>3.1428571428571406</v>
      </c>
      <c r="J178" s="506">
        <v>19.836586958437447</v>
      </c>
      <c r="K178" s="506">
        <v>45.732660362054638</v>
      </c>
      <c r="L178" s="506">
        <v>2.6729103959249829</v>
      </c>
      <c r="M178" s="506"/>
      <c r="N178" s="506">
        <v>1.1756571428571427</v>
      </c>
      <c r="O178" s="506"/>
      <c r="P178" s="506"/>
      <c r="Q178" s="506"/>
      <c r="R178" s="506">
        <v>83.439243430702788</v>
      </c>
      <c r="S178" s="506">
        <v>26.390356569297211</v>
      </c>
      <c r="T178" s="506">
        <v>109.8296</v>
      </c>
      <c r="V178" s="506">
        <v>83.439243430702788</v>
      </c>
      <c r="W178" s="506"/>
      <c r="Y178" s="1156">
        <v>1868</v>
      </c>
      <c r="Z178" s="956">
        <v>19.836586958437447</v>
      </c>
      <c r="AA178" s="956">
        <v>26.851428571428592</v>
      </c>
      <c r="AB178" s="956">
        <v>33.179657142857153</v>
      </c>
      <c r="AC178" s="956"/>
      <c r="AD178" s="58"/>
      <c r="AE178" s="1161">
        <f t="shared" si="26"/>
        <v>19.836586958437447</v>
      </c>
      <c r="AF178" s="1161">
        <f t="shared" si="27"/>
        <v>16.905731459632513</v>
      </c>
      <c r="AG178" s="1161">
        <f t="shared" si="28"/>
        <v>28.826928902422125</v>
      </c>
      <c r="AH178" s="1161">
        <f t="shared" si="10"/>
        <v>2.6729103959249829</v>
      </c>
      <c r="AI178" s="58"/>
      <c r="AJ178" s="58"/>
      <c r="AK178" s="967">
        <f t="shared" si="19"/>
        <v>19.836586958437447</v>
      </c>
      <c r="AL178" s="967">
        <f t="shared" si="20"/>
        <v>16.905731459632513</v>
      </c>
      <c r="AM178" s="967">
        <f t="shared" si="21"/>
        <v>28.826928902422125</v>
      </c>
      <c r="AN178" s="967">
        <f t="shared" si="22"/>
        <v>2.6729103959249829</v>
      </c>
      <c r="AO178" s="58"/>
      <c r="AP178" s="58"/>
      <c r="AQ178" s="963">
        <v>1</v>
      </c>
      <c r="AR178" s="966">
        <f t="shared" si="11"/>
        <v>0.67110316092337996</v>
      </c>
      <c r="AS178" s="962">
        <f t="shared" si="25"/>
        <v>0.95504456924237702</v>
      </c>
      <c r="AT178" s="963">
        <f t="shared" si="12"/>
        <v>8.0558710550160145E-2</v>
      </c>
      <c r="AU178" s="58"/>
      <c r="AV178" s="58"/>
      <c r="AW178" s="58"/>
      <c r="AX178" s="58"/>
      <c r="AY178" s="58"/>
      <c r="AZ178" s="956">
        <f t="shared" si="23"/>
        <v>8.8313499818345065</v>
      </c>
      <c r="BA178" s="956">
        <f t="shared" si="24"/>
        <v>1.4916057792473856</v>
      </c>
      <c r="BB178" s="9"/>
      <c r="BC178" s="956">
        <f t="shared" si="14"/>
        <v>10.322955761081893</v>
      </c>
      <c r="BD178" s="9"/>
      <c r="BE178" s="58"/>
      <c r="BF178" s="956">
        <f t="shared" si="30"/>
        <v>11.625514956306125</v>
      </c>
      <c r="BG178" s="9"/>
    </row>
    <row r="179" spans="1:59" x14ac:dyDescent="0.45">
      <c r="A179" s="14">
        <v>1869</v>
      </c>
      <c r="B179" s="506">
        <v>112.5728</v>
      </c>
      <c r="C179" s="506"/>
      <c r="D179" s="506"/>
      <c r="E179" s="507">
        <v>7.5</v>
      </c>
      <c r="F179" s="507">
        <v>0</v>
      </c>
      <c r="G179" s="507">
        <v>3.7</v>
      </c>
      <c r="H179" s="1160">
        <f t="shared" si="29"/>
        <v>11.923979423074277</v>
      </c>
      <c r="I179" s="507">
        <v>3.2</v>
      </c>
      <c r="J179" s="507">
        <v>20.32</v>
      </c>
      <c r="K179" s="507">
        <v>46.708709069632377</v>
      </c>
      <c r="L179" s="507">
        <v>2.733711507293354</v>
      </c>
      <c r="M179" s="507"/>
      <c r="N179" s="507">
        <v>1.2192000000000001</v>
      </c>
      <c r="O179" s="506"/>
      <c r="P179" s="506"/>
      <c r="Q179" s="506"/>
      <c r="R179" s="506">
        <v>85.381620576925727</v>
      </c>
      <c r="S179" s="506">
        <v>27.191179423074274</v>
      </c>
      <c r="T179" s="506">
        <v>112.5728</v>
      </c>
      <c r="V179" s="506">
        <v>85.381620576925727</v>
      </c>
      <c r="W179" s="506"/>
      <c r="Y179" s="1156">
        <v>1869</v>
      </c>
      <c r="Z179" s="958">
        <v>20.32</v>
      </c>
      <c r="AA179" s="958">
        <v>27.432000000000002</v>
      </c>
      <c r="AB179" s="958">
        <v>33.934399999999997</v>
      </c>
      <c r="AC179" s="956"/>
      <c r="AD179" s="956"/>
      <c r="AE179" s="958">
        <f>Z179-AY179/$BF$8</f>
        <v>20.32</v>
      </c>
      <c r="AF179" s="958">
        <f>AA179-AZ179/$BF$8</f>
        <v>17.271260788489421</v>
      </c>
      <c r="AG179" s="958">
        <f>AB179-BA179/$BF$8-AH179</f>
        <v>29.437448281142952</v>
      </c>
      <c r="AH179" s="967">
        <f t="shared" si="10"/>
        <v>2.733711507293354</v>
      </c>
      <c r="AI179" s="956"/>
      <c r="AJ179" s="956"/>
      <c r="AK179" s="958">
        <f t="shared" si="19"/>
        <v>20.32</v>
      </c>
      <c r="AL179" s="958">
        <f t="shared" si="20"/>
        <v>17.271260788489421</v>
      </c>
      <c r="AM179" s="958">
        <f t="shared" si="21"/>
        <v>29.437448281142952</v>
      </c>
      <c r="AN179" s="958">
        <f t="shared" si="22"/>
        <v>2.733711507293354</v>
      </c>
      <c r="AO179" s="956"/>
      <c r="AP179" s="956"/>
      <c r="AQ179" s="963">
        <v>1</v>
      </c>
      <c r="AR179" s="966">
        <f t="shared" si="11"/>
        <v>0.67110316092337996</v>
      </c>
      <c r="AS179" s="962">
        <f t="shared" si="25"/>
        <v>0.95386153159086062</v>
      </c>
      <c r="AT179" s="963">
        <f t="shared" si="12"/>
        <v>8.0558710550160145E-2</v>
      </c>
      <c r="AU179" s="956"/>
      <c r="AV179" s="956"/>
      <c r="AW179" s="956"/>
      <c r="AX179" s="956"/>
      <c r="AY179" s="956"/>
      <c r="AZ179" s="958">
        <f t="shared" si="23"/>
        <v>9.0222980895498424</v>
      </c>
      <c r="BA179" s="958">
        <f t="shared" si="24"/>
        <v>1.565681242383099</v>
      </c>
      <c r="BB179" s="9"/>
      <c r="BC179" s="956">
        <f t="shared" si="14"/>
        <v>10.587979331932942</v>
      </c>
      <c r="BD179" s="9"/>
      <c r="BE179" s="9"/>
      <c r="BF179" s="956">
        <f t="shared" si="30"/>
        <v>11.923979423074277</v>
      </c>
      <c r="BG179" s="9"/>
    </row>
    <row r="180" spans="1:59" x14ac:dyDescent="0.45">
      <c r="A180" s="14">
        <v>1870</v>
      </c>
      <c r="B180" s="506">
        <v>117.24640000000001</v>
      </c>
      <c r="C180" s="506"/>
      <c r="D180" s="506"/>
      <c r="E180" s="507">
        <v>7.6888888888888891</v>
      </c>
      <c r="F180" s="507">
        <v>0</v>
      </c>
      <c r="G180" s="507">
        <v>3.8000000000000003</v>
      </c>
      <c r="H180" s="1160">
        <f t="shared" si="29"/>
        <v>12.020583817177162</v>
      </c>
      <c r="I180" s="507">
        <v>3.3833333333333333</v>
      </c>
      <c r="J180" s="507">
        <v>21.111732899397261</v>
      </c>
      <c r="K180" s="507">
        <v>47.407498300597013</v>
      </c>
      <c r="L180" s="507">
        <v>2.8019178822258235</v>
      </c>
      <c r="M180" s="507"/>
      <c r="N180" s="507">
        <v>1.2361333333333333</v>
      </c>
      <c r="O180" s="506"/>
      <c r="P180" s="506"/>
      <c r="Q180" s="506"/>
      <c r="R180" s="506">
        <v>87.429504637775651</v>
      </c>
      <c r="S180" s="506">
        <v>29.816895362224358</v>
      </c>
      <c r="T180" s="506">
        <v>117.24640000000001</v>
      </c>
      <c r="V180" s="506">
        <v>87.429504637775651</v>
      </c>
      <c r="W180" s="506"/>
      <c r="Y180" s="1156">
        <v>1870</v>
      </c>
      <c r="Z180" s="958">
        <v>21.111732899397261</v>
      </c>
      <c r="AA180" s="958">
        <v>27.448933333333333</v>
      </c>
      <c r="AB180" s="958">
        <v>34.781066666666668</v>
      </c>
      <c r="AC180" s="956"/>
      <c r="AD180" s="58"/>
      <c r="AE180" s="958">
        <f t="shared" ref="AE180:AE196" si="31">Z180-AY180/$BF$8</f>
        <v>21.111732899397261</v>
      </c>
      <c r="AF180" s="958">
        <f t="shared" ref="AF180:AF196" si="32">AA180-AZ180/$BF$8</f>
        <v>17.281922060581078</v>
      </c>
      <c r="AG180" s="958">
        <f t="shared" ref="AG180:AG196" si="33">AB180-BA180/$BF$8-AH180</f>
        <v>30.125576240015938</v>
      </c>
      <c r="AH180" s="967">
        <f t="shared" si="10"/>
        <v>2.8019178822258235</v>
      </c>
      <c r="AI180" s="58"/>
      <c r="AJ180" s="58"/>
      <c r="AK180" s="958">
        <f t="shared" ref="AK180:AK195" si="34">AE180</f>
        <v>21.111732899397261</v>
      </c>
      <c r="AL180" s="958">
        <f t="shared" ref="AL180:AL195" si="35">AF180</f>
        <v>17.281922060581078</v>
      </c>
      <c r="AM180" s="958">
        <f t="shared" ref="AM180:AM195" si="36">AG180</f>
        <v>30.125576240015938</v>
      </c>
      <c r="AN180" s="958">
        <f t="shared" ref="AN180:AN195" si="37">AH180</f>
        <v>2.8019178822258235</v>
      </c>
      <c r="AO180" s="58"/>
      <c r="AP180" s="58"/>
      <c r="AQ180" s="963">
        <v>1</v>
      </c>
      <c r="AR180" s="966">
        <f t="shared" si="11"/>
        <v>0.67110316092337996</v>
      </c>
      <c r="AS180" s="962">
        <f t="shared" si="25"/>
        <v>0.95267849393934423</v>
      </c>
      <c r="AT180" s="963">
        <f t="shared" si="12"/>
        <v>8.0558710550160145E-2</v>
      </c>
      <c r="AU180" s="58"/>
      <c r="AV180" s="58"/>
      <c r="AW180" s="58"/>
      <c r="AX180" s="58"/>
      <c r="AY180" s="58"/>
      <c r="AZ180" s="958">
        <f t="shared" si="23"/>
        <v>9.0278674093582048</v>
      </c>
      <c r="BA180" s="958">
        <f t="shared" si="24"/>
        <v>1.6458924570627391</v>
      </c>
      <c r="BB180" s="9"/>
      <c r="BC180" s="956">
        <f t="shared" si="14"/>
        <v>10.673759866420944</v>
      </c>
      <c r="BD180" s="9"/>
      <c r="BE180" s="58"/>
      <c r="BF180" s="956">
        <f t="shared" si="30"/>
        <v>12.020583817177162</v>
      </c>
      <c r="BG180" s="9"/>
    </row>
    <row r="181" spans="1:59" x14ac:dyDescent="0.45">
      <c r="A181" s="14">
        <v>1871</v>
      </c>
      <c r="B181" s="506">
        <v>123.1392</v>
      </c>
      <c r="C181" s="506"/>
      <c r="D181" s="506"/>
      <c r="E181" s="507">
        <v>7.8777777777777782</v>
      </c>
      <c r="F181" s="507">
        <v>0</v>
      </c>
      <c r="G181" s="507">
        <v>3.9000000000000004</v>
      </c>
      <c r="H181" s="1160">
        <f t="shared" si="29"/>
        <v>12.11944426354931</v>
      </c>
      <c r="I181" s="507">
        <v>3.5666666666666664</v>
      </c>
      <c r="J181" s="507">
        <v>22.197166455164545</v>
      </c>
      <c r="K181" s="507">
        <v>48.104031479292402</v>
      </c>
      <c r="L181" s="507">
        <v>2.8701242571582926</v>
      </c>
      <c r="M181" s="507"/>
      <c r="N181" s="507">
        <v>1.2530666666666666</v>
      </c>
      <c r="O181" s="506"/>
      <c r="P181" s="506"/>
      <c r="Q181" s="506"/>
      <c r="R181" s="506">
        <v>89.76883330272635</v>
      </c>
      <c r="S181" s="506">
        <v>33.370366697273653</v>
      </c>
      <c r="T181" s="506">
        <v>123.1392</v>
      </c>
      <c r="V181" s="506">
        <v>89.76883330272635</v>
      </c>
      <c r="W181" s="506"/>
      <c r="Y181" s="1156">
        <v>1871</v>
      </c>
      <c r="Z181" s="958">
        <v>22.197166455164545</v>
      </c>
      <c r="AA181" s="958">
        <v>27.465866666666667</v>
      </c>
      <c r="AB181" s="958">
        <v>35.627733333333339</v>
      </c>
      <c r="AC181" s="956"/>
      <c r="AD181" s="58"/>
      <c r="AE181" s="958">
        <f t="shared" si="31"/>
        <v>22.197166455164545</v>
      </c>
      <c r="AF181" s="958">
        <f t="shared" si="32"/>
        <v>17.292583332672741</v>
      </c>
      <c r="AG181" s="958">
        <f t="shared" si="33"/>
        <v>30.811448146619664</v>
      </c>
      <c r="AH181" s="967">
        <f t="shared" si="10"/>
        <v>2.8701242571582926</v>
      </c>
      <c r="AI181" s="58"/>
      <c r="AJ181" s="58"/>
      <c r="AK181" s="958">
        <f t="shared" si="34"/>
        <v>22.197166455164545</v>
      </c>
      <c r="AL181" s="958">
        <f t="shared" si="35"/>
        <v>17.292583332672741</v>
      </c>
      <c r="AM181" s="958">
        <f t="shared" si="36"/>
        <v>30.811448146619664</v>
      </c>
      <c r="AN181" s="958">
        <f t="shared" si="37"/>
        <v>2.8701242571582926</v>
      </c>
      <c r="AO181" s="58"/>
      <c r="AP181" s="58"/>
      <c r="AQ181" s="963">
        <v>1</v>
      </c>
      <c r="AR181" s="966">
        <f t="shared" si="11"/>
        <v>0.67110316092337996</v>
      </c>
      <c r="AS181" s="962">
        <f t="shared" si="25"/>
        <v>0.95149545628782783</v>
      </c>
      <c r="AT181" s="963">
        <f t="shared" si="12"/>
        <v>8.0558710550160145E-2</v>
      </c>
      <c r="AU181" s="58"/>
      <c r="AV181" s="58"/>
      <c r="AW181" s="58"/>
      <c r="AX181" s="58"/>
      <c r="AY181" s="58"/>
      <c r="AZ181" s="958">
        <f t="shared" si="23"/>
        <v>9.0334367291665689</v>
      </c>
      <c r="BA181" s="958">
        <f t="shared" si="24"/>
        <v>1.7281069488322802</v>
      </c>
      <c r="BB181" s="9"/>
      <c r="BC181" s="956">
        <f t="shared" si="14"/>
        <v>10.76154367799885</v>
      </c>
      <c r="BD181" s="9"/>
      <c r="BE181" s="58"/>
      <c r="BF181" s="956">
        <f t="shared" si="30"/>
        <v>12.11944426354931</v>
      </c>
      <c r="BG181" s="9"/>
    </row>
    <row r="182" spans="1:59" x14ac:dyDescent="0.45">
      <c r="A182" s="14">
        <v>1872</v>
      </c>
      <c r="B182" s="506">
        <v>127</v>
      </c>
      <c r="C182" s="506"/>
      <c r="D182" s="506"/>
      <c r="E182" s="507">
        <v>8.0666666666666664</v>
      </c>
      <c r="F182" s="507">
        <v>0</v>
      </c>
      <c r="G182" s="507">
        <v>4</v>
      </c>
      <c r="H182" s="1160">
        <f t="shared" si="29"/>
        <v>12.220560762190718</v>
      </c>
      <c r="I182" s="507">
        <v>3.7499999999999996</v>
      </c>
      <c r="J182" s="507">
        <v>22.925477686295633</v>
      </c>
      <c r="K182" s="507">
        <v>48.798308605718518</v>
      </c>
      <c r="L182" s="507">
        <v>2.9383306320907616</v>
      </c>
      <c r="M182" s="507"/>
      <c r="N182" s="507">
        <v>1.2699999999999998</v>
      </c>
      <c r="O182" s="506"/>
      <c r="P182" s="506"/>
      <c r="Q182" s="506"/>
      <c r="R182" s="506">
        <v>91.748783590771581</v>
      </c>
      <c r="S182" s="506">
        <v>35.251216409228419</v>
      </c>
      <c r="T182" s="506">
        <v>127</v>
      </c>
      <c r="V182" s="506">
        <v>91.748783590771581</v>
      </c>
      <c r="W182" s="506"/>
      <c r="Y182" s="1156">
        <v>1872</v>
      </c>
      <c r="Z182" s="958">
        <v>22.925477686295633</v>
      </c>
      <c r="AA182" s="958">
        <v>27.482799999999997</v>
      </c>
      <c r="AB182" s="958">
        <v>36.474400000000003</v>
      </c>
      <c r="AC182" s="956"/>
      <c r="AD182" s="58"/>
      <c r="AE182" s="958">
        <f t="shared" si="31"/>
        <v>22.925477686295633</v>
      </c>
      <c r="AF182" s="958">
        <f t="shared" si="32"/>
        <v>17.303244604764394</v>
      </c>
      <c r="AG182" s="958">
        <f t="shared" si="33"/>
        <v>31.495064000954123</v>
      </c>
      <c r="AH182" s="967">
        <f t="shared" si="10"/>
        <v>2.9383306320907616</v>
      </c>
      <c r="AI182" s="58"/>
      <c r="AJ182" s="58"/>
      <c r="AK182" s="958">
        <f t="shared" si="34"/>
        <v>22.925477686295633</v>
      </c>
      <c r="AL182" s="958">
        <f t="shared" si="35"/>
        <v>17.303244604764394</v>
      </c>
      <c r="AM182" s="958">
        <f t="shared" si="36"/>
        <v>31.495064000954123</v>
      </c>
      <c r="AN182" s="958">
        <f t="shared" si="37"/>
        <v>2.9383306320907616</v>
      </c>
      <c r="AO182" s="58"/>
      <c r="AP182" s="58"/>
      <c r="AQ182" s="963">
        <v>1</v>
      </c>
      <c r="AR182" s="966">
        <f t="shared" si="11"/>
        <v>0.67110316092337996</v>
      </c>
      <c r="AS182" s="962">
        <f t="shared" si="25"/>
        <v>0.95031241863631144</v>
      </c>
      <c r="AT182" s="963">
        <f t="shared" si="12"/>
        <v>8.0558710550160145E-2</v>
      </c>
      <c r="AU182" s="58"/>
      <c r="AV182" s="58"/>
      <c r="AW182" s="58"/>
      <c r="AX182" s="58"/>
      <c r="AY182" s="58"/>
      <c r="AZ182" s="958">
        <f t="shared" si="23"/>
        <v>9.0390060489749331</v>
      </c>
      <c r="BA182" s="958">
        <f t="shared" si="24"/>
        <v>1.8123247176917221</v>
      </c>
      <c r="BB182" s="9"/>
      <c r="BC182" s="956">
        <f t="shared" si="14"/>
        <v>10.851330766666655</v>
      </c>
      <c r="BD182" s="9"/>
      <c r="BE182" s="58"/>
      <c r="BF182" s="956">
        <f t="shared" si="30"/>
        <v>12.220560762190718</v>
      </c>
      <c r="BG182" s="9"/>
    </row>
    <row r="183" spans="1:59" x14ac:dyDescent="0.45">
      <c r="A183" s="14">
        <v>1873</v>
      </c>
      <c r="B183" s="506">
        <v>129.94640000000001</v>
      </c>
      <c r="C183" s="506"/>
      <c r="D183" s="506"/>
      <c r="E183" s="507">
        <v>8.2555555555555546</v>
      </c>
      <c r="F183" s="507">
        <v>0</v>
      </c>
      <c r="G183" s="507">
        <v>4.0999999999999996</v>
      </c>
      <c r="H183" s="1160">
        <f t="shared" si="29"/>
        <v>12.323933313101389</v>
      </c>
      <c r="I183" s="507">
        <v>3.9333333333333327</v>
      </c>
      <c r="J183" s="507">
        <v>24.129353925575096</v>
      </c>
      <c r="K183" s="507">
        <v>49.490329679875387</v>
      </c>
      <c r="L183" s="507">
        <v>3.0065370070232307</v>
      </c>
      <c r="M183" s="507"/>
      <c r="N183" s="507">
        <v>1.286933333333333</v>
      </c>
      <c r="O183" s="506"/>
      <c r="P183" s="506"/>
      <c r="Q183" s="506"/>
      <c r="R183" s="506">
        <v>94.202042834695931</v>
      </c>
      <c r="S183" s="506">
        <v>35.744357165304081</v>
      </c>
      <c r="T183" s="506">
        <v>129.94640000000001</v>
      </c>
      <c r="V183" s="506">
        <v>94.202042834695931</v>
      </c>
      <c r="W183" s="506"/>
      <c r="Y183" s="1156">
        <v>1873</v>
      </c>
      <c r="Z183" s="958">
        <v>24.129353925575096</v>
      </c>
      <c r="AA183" s="958">
        <v>27.499733333333332</v>
      </c>
      <c r="AB183" s="958">
        <v>37.321066666666674</v>
      </c>
      <c r="AC183" s="956"/>
      <c r="AD183" s="58"/>
      <c r="AE183" s="958">
        <f t="shared" si="31"/>
        <v>24.129353925575096</v>
      </c>
      <c r="AF183" s="958">
        <f t="shared" si="32"/>
        <v>17.313905876856058</v>
      </c>
      <c r="AG183" s="958">
        <f t="shared" si="33"/>
        <v>32.176423803019325</v>
      </c>
      <c r="AH183" s="967">
        <f t="shared" si="10"/>
        <v>3.0065370070232307</v>
      </c>
      <c r="AI183" s="58"/>
      <c r="AJ183" s="58"/>
      <c r="AK183" s="958">
        <f t="shared" si="34"/>
        <v>24.129353925575096</v>
      </c>
      <c r="AL183" s="958">
        <f t="shared" si="35"/>
        <v>17.313905876856058</v>
      </c>
      <c r="AM183" s="958">
        <f t="shared" si="36"/>
        <v>32.176423803019325</v>
      </c>
      <c r="AN183" s="958">
        <f t="shared" si="37"/>
        <v>3.0065370070232307</v>
      </c>
      <c r="AO183" s="58"/>
      <c r="AP183" s="58"/>
      <c r="AQ183" s="963">
        <v>1</v>
      </c>
      <c r="AR183" s="966">
        <f t="shared" si="11"/>
        <v>0.67110316092337996</v>
      </c>
      <c r="AS183" s="962">
        <f t="shared" si="25"/>
        <v>0.94912938098479505</v>
      </c>
      <c r="AT183" s="963">
        <f t="shared" si="12"/>
        <v>8.0558710550160145E-2</v>
      </c>
      <c r="AU183" s="58"/>
      <c r="AV183" s="58"/>
      <c r="AW183" s="58"/>
      <c r="AX183" s="58"/>
      <c r="AY183" s="58"/>
      <c r="AZ183" s="958">
        <f t="shared" si="23"/>
        <v>9.0445753687832973</v>
      </c>
      <c r="BA183" s="958">
        <f t="shared" si="24"/>
        <v>1.8985457636410654</v>
      </c>
      <c r="BB183" s="9"/>
      <c r="BC183" s="956">
        <f t="shared" si="14"/>
        <v>10.943121132424363</v>
      </c>
      <c r="BD183" s="9"/>
      <c r="BE183" s="58"/>
      <c r="BF183" s="956">
        <f t="shared" si="30"/>
        <v>12.323933313101389</v>
      </c>
      <c r="BG183" s="9"/>
    </row>
    <row r="184" spans="1:59" x14ac:dyDescent="0.45">
      <c r="A184" s="14">
        <v>1874</v>
      </c>
      <c r="B184" s="506">
        <v>129.1336</v>
      </c>
      <c r="C184" s="506"/>
      <c r="D184" s="506"/>
      <c r="E184" s="507">
        <v>8.4444444444444429</v>
      </c>
      <c r="F184" s="507">
        <v>0</v>
      </c>
      <c r="G184" s="507">
        <v>4.1999999999999993</v>
      </c>
      <c r="H184" s="1160">
        <f t="shared" si="29"/>
        <v>12.429561916281319</v>
      </c>
      <c r="I184" s="507">
        <v>4.1166666666666663</v>
      </c>
      <c r="J184" s="507">
        <v>23.664761309737976</v>
      </c>
      <c r="K184" s="507">
        <v>50.180094701762989</v>
      </c>
      <c r="L184" s="507">
        <v>3.0747433819557002</v>
      </c>
      <c r="M184" s="507"/>
      <c r="N184" s="507">
        <v>1.3038666666666663</v>
      </c>
      <c r="O184" s="506"/>
      <c r="P184" s="506"/>
      <c r="Q184" s="506"/>
      <c r="R184" s="506">
        <v>94.984577171234434</v>
      </c>
      <c r="S184" s="506">
        <v>34.149022828765567</v>
      </c>
      <c r="T184" s="506">
        <v>129.1336</v>
      </c>
      <c r="V184" s="506">
        <v>94.984577171234434</v>
      </c>
      <c r="W184" s="506"/>
      <c r="Y184" s="1156">
        <v>1874</v>
      </c>
      <c r="Z184" s="958">
        <v>23.664761309737976</v>
      </c>
      <c r="AA184" s="958">
        <v>27.516666666666662</v>
      </c>
      <c r="AB184" s="958">
        <v>38.167733333333345</v>
      </c>
      <c r="AC184" s="956"/>
      <c r="AD184" s="58"/>
      <c r="AE184" s="958">
        <f t="shared" si="31"/>
        <v>23.664761309737976</v>
      </c>
      <c r="AF184" s="958">
        <f t="shared" si="32"/>
        <v>17.324567148947715</v>
      </c>
      <c r="AG184" s="958">
        <f t="shared" si="33"/>
        <v>32.855527552815275</v>
      </c>
      <c r="AH184" s="967">
        <f t="shared" si="10"/>
        <v>3.0747433819557002</v>
      </c>
      <c r="AI184" s="58"/>
      <c r="AJ184" s="58"/>
      <c r="AK184" s="958">
        <f t="shared" si="34"/>
        <v>23.664761309737976</v>
      </c>
      <c r="AL184" s="958">
        <f t="shared" si="35"/>
        <v>17.324567148947715</v>
      </c>
      <c r="AM184" s="958">
        <f t="shared" si="36"/>
        <v>32.855527552815275</v>
      </c>
      <c r="AN184" s="958">
        <f t="shared" si="37"/>
        <v>3.0747433819557002</v>
      </c>
      <c r="AO184" s="58"/>
      <c r="AP184" s="58"/>
      <c r="AQ184" s="963">
        <v>1</v>
      </c>
      <c r="AR184" s="966">
        <f t="shared" si="11"/>
        <v>0.67110316092337996</v>
      </c>
      <c r="AS184" s="962">
        <f t="shared" si="25"/>
        <v>0.94794634333327865</v>
      </c>
      <c r="AT184" s="963">
        <f t="shared" si="12"/>
        <v>8.0558710550160145E-2</v>
      </c>
      <c r="AU184" s="58"/>
      <c r="AV184" s="58"/>
      <c r="AW184" s="58"/>
      <c r="AX184" s="58"/>
      <c r="AY184" s="58"/>
      <c r="AZ184" s="958">
        <f t="shared" si="23"/>
        <v>9.0501446885916597</v>
      </c>
      <c r="BA184" s="958">
        <f t="shared" si="24"/>
        <v>1.98677008668031</v>
      </c>
      <c r="BB184" s="9"/>
      <c r="BC184" s="956">
        <f t="shared" si="14"/>
        <v>11.036914775271971</v>
      </c>
      <c r="BD184" s="9"/>
      <c r="BE184" s="58"/>
      <c r="BF184" s="956">
        <f t="shared" si="30"/>
        <v>12.429561916281319</v>
      </c>
      <c r="BG184" s="9"/>
    </row>
    <row r="185" spans="1:59" x14ac:dyDescent="0.45">
      <c r="A185" s="14">
        <v>1875</v>
      </c>
      <c r="B185" s="506">
        <v>135.43280000000001</v>
      </c>
      <c r="C185" s="506"/>
      <c r="D185" s="506"/>
      <c r="E185" s="507">
        <v>8.6333333333333311</v>
      </c>
      <c r="F185" s="507">
        <v>0</v>
      </c>
      <c r="G185" s="507">
        <v>4.2999999999999989</v>
      </c>
      <c r="H185" s="1160">
        <f t="shared" si="29"/>
        <v>12.537446571730513</v>
      </c>
      <c r="I185" s="507">
        <v>4.3</v>
      </c>
      <c r="J185" s="507">
        <v>24.978443990324774</v>
      </c>
      <c r="K185" s="507">
        <v>50.867603671381325</v>
      </c>
      <c r="L185" s="507">
        <v>3.1429497568881692</v>
      </c>
      <c r="M185" s="507"/>
      <c r="N185" s="507">
        <v>1.3207999999999995</v>
      </c>
      <c r="O185" s="506"/>
      <c r="P185" s="506"/>
      <c r="Q185" s="506"/>
      <c r="R185" s="506">
        <v>97.543130751927606</v>
      </c>
      <c r="S185" s="506">
        <v>37.889669248072408</v>
      </c>
      <c r="T185" s="506">
        <v>135.43280000000001</v>
      </c>
      <c r="V185" s="506">
        <v>97.543130751927606</v>
      </c>
      <c r="W185" s="506"/>
      <c r="Y185" s="1156">
        <v>1875</v>
      </c>
      <c r="Z185" s="958">
        <v>24.978443990324774</v>
      </c>
      <c r="AA185" s="958">
        <v>27.533599999999996</v>
      </c>
      <c r="AB185" s="958">
        <v>39.014400000000016</v>
      </c>
      <c r="AC185" s="956"/>
      <c r="AD185" s="58"/>
      <c r="AE185" s="958">
        <f t="shared" si="31"/>
        <v>24.978443990324774</v>
      </c>
      <c r="AF185" s="958">
        <f t="shared" si="32"/>
        <v>17.335228421039375</v>
      </c>
      <c r="AG185" s="958">
        <f t="shared" si="33"/>
        <v>33.53237525034195</v>
      </c>
      <c r="AH185" s="967">
        <f t="shared" si="10"/>
        <v>3.1429497568881692</v>
      </c>
      <c r="AI185" s="58"/>
      <c r="AJ185" s="58"/>
      <c r="AK185" s="958">
        <f t="shared" si="34"/>
        <v>24.978443990324774</v>
      </c>
      <c r="AL185" s="958">
        <f t="shared" si="35"/>
        <v>17.335228421039375</v>
      </c>
      <c r="AM185" s="958">
        <f t="shared" si="36"/>
        <v>33.53237525034195</v>
      </c>
      <c r="AN185" s="958">
        <f t="shared" si="37"/>
        <v>3.1429497568881692</v>
      </c>
      <c r="AO185" s="58"/>
      <c r="AP185" s="58"/>
      <c r="AQ185" s="963">
        <v>1</v>
      </c>
      <c r="AR185" s="966">
        <f t="shared" si="11"/>
        <v>0.67110316092337996</v>
      </c>
      <c r="AS185" s="962">
        <f t="shared" si="25"/>
        <v>0.94676330568176226</v>
      </c>
      <c r="AT185" s="963">
        <f t="shared" si="12"/>
        <v>8.0558710550160145E-2</v>
      </c>
      <c r="AU185" s="58"/>
      <c r="AV185" s="58"/>
      <c r="AW185" s="58"/>
      <c r="AX185" s="58"/>
      <c r="AY185" s="58"/>
      <c r="AZ185" s="958">
        <f t="shared" si="23"/>
        <v>9.0557140084000238</v>
      </c>
      <c r="BA185" s="958">
        <f t="shared" si="24"/>
        <v>2.0769976868094555</v>
      </c>
      <c r="BB185" s="9"/>
      <c r="BC185" s="956">
        <f t="shared" si="14"/>
        <v>11.13271169520948</v>
      </c>
      <c r="BD185" s="9"/>
      <c r="BE185" s="58"/>
      <c r="BF185" s="956">
        <f t="shared" si="30"/>
        <v>12.537446571730513</v>
      </c>
      <c r="BG185" s="9"/>
    </row>
    <row r="186" spans="1:59" x14ac:dyDescent="0.45">
      <c r="A186" s="14">
        <v>1876</v>
      </c>
      <c r="B186" s="506">
        <v>136.2456</v>
      </c>
      <c r="C186" s="506"/>
      <c r="D186" s="506"/>
      <c r="E186" s="507">
        <v>8.8222222222222193</v>
      </c>
      <c r="F186" s="507">
        <v>0</v>
      </c>
      <c r="G186" s="507">
        <v>4.3999999999999986</v>
      </c>
      <c r="H186" s="1160">
        <f t="shared" si="29"/>
        <v>12.647587279448965</v>
      </c>
      <c r="I186" s="507">
        <v>4.4833333333333334</v>
      </c>
      <c r="J186" s="507">
        <v>24.659671903102325</v>
      </c>
      <c r="K186" s="507">
        <v>51.552856588730407</v>
      </c>
      <c r="L186" s="507">
        <v>3.2111561318206379</v>
      </c>
      <c r="M186" s="507"/>
      <c r="N186" s="507">
        <v>1.337733333333333</v>
      </c>
      <c r="O186" s="506"/>
      <c r="P186" s="506"/>
      <c r="Q186" s="506"/>
      <c r="R186" s="506">
        <v>98.466973512542253</v>
      </c>
      <c r="S186" s="506">
        <v>37.778626487457743</v>
      </c>
      <c r="T186" s="506">
        <v>136.2456</v>
      </c>
      <c r="V186" s="506">
        <v>98.466973512542253</v>
      </c>
      <c r="W186" s="506"/>
      <c r="Y186" s="1156">
        <v>1876</v>
      </c>
      <c r="Z186" s="958">
        <v>24.659671903102325</v>
      </c>
      <c r="AA186" s="958">
        <v>27.550533333333327</v>
      </c>
      <c r="AB186" s="958">
        <v>39.86106666666668</v>
      </c>
      <c r="AC186" s="956"/>
      <c r="AD186" s="58"/>
      <c r="AE186" s="958">
        <f t="shared" si="31"/>
        <v>24.659671903102325</v>
      </c>
      <c r="AF186" s="958">
        <f t="shared" si="32"/>
        <v>17.345889693131035</v>
      </c>
      <c r="AG186" s="958">
        <f t="shared" si="33"/>
        <v>34.206966895599372</v>
      </c>
      <c r="AH186" s="967">
        <f t="shared" si="10"/>
        <v>3.2111561318206379</v>
      </c>
      <c r="AI186" s="58"/>
      <c r="AJ186" s="58"/>
      <c r="AK186" s="958">
        <f t="shared" si="34"/>
        <v>24.659671903102325</v>
      </c>
      <c r="AL186" s="958">
        <f t="shared" si="35"/>
        <v>17.345889693131035</v>
      </c>
      <c r="AM186" s="958">
        <f t="shared" si="36"/>
        <v>34.206966895599372</v>
      </c>
      <c r="AN186" s="958">
        <f t="shared" si="37"/>
        <v>3.2111561318206379</v>
      </c>
      <c r="AO186" s="58"/>
      <c r="AP186" s="58"/>
      <c r="AQ186" s="963">
        <v>1</v>
      </c>
      <c r="AR186" s="966">
        <f t="shared" si="11"/>
        <v>0.67110316092337996</v>
      </c>
      <c r="AS186" s="962">
        <f t="shared" si="25"/>
        <v>0.94558026803024586</v>
      </c>
      <c r="AT186" s="963">
        <f t="shared" si="12"/>
        <v>8.0558710550160145E-2</v>
      </c>
      <c r="AU186" s="58"/>
      <c r="AV186" s="58"/>
      <c r="AW186" s="58"/>
      <c r="AX186" s="58"/>
      <c r="AY186" s="58"/>
      <c r="AZ186" s="958">
        <f t="shared" si="23"/>
        <v>9.061283328208388</v>
      </c>
      <c r="BA186" s="958">
        <f t="shared" si="24"/>
        <v>2.1692285640285016</v>
      </c>
      <c r="BB186" s="9"/>
      <c r="BC186" s="956">
        <f t="shared" si="14"/>
        <v>11.230511892236891</v>
      </c>
      <c r="BD186" s="9"/>
      <c r="BE186" s="58"/>
      <c r="BF186" s="956">
        <f t="shared" si="30"/>
        <v>12.647587279448965</v>
      </c>
      <c r="BG186" s="9"/>
    </row>
    <row r="187" spans="1:59" x14ac:dyDescent="0.45">
      <c r="A187" s="14">
        <v>1877</v>
      </c>
      <c r="B187" s="506">
        <v>136.2456</v>
      </c>
      <c r="C187" s="506"/>
      <c r="D187" s="506"/>
      <c r="E187" s="507">
        <v>9.0111111111111075</v>
      </c>
      <c r="F187" s="507">
        <v>0</v>
      </c>
      <c r="G187" s="507">
        <v>4.4999999999999982</v>
      </c>
      <c r="H187" s="1160">
        <f t="shared" si="29"/>
        <v>12.759984039436681</v>
      </c>
      <c r="I187" s="507">
        <v>4.666666666666667</v>
      </c>
      <c r="J187" s="507">
        <v>24.854019064884959</v>
      </c>
      <c r="K187" s="507">
        <v>52.235853453810222</v>
      </c>
      <c r="L187" s="507">
        <v>3.2793625067531074</v>
      </c>
      <c r="M187" s="507"/>
      <c r="N187" s="507">
        <v>1.3546666666666662</v>
      </c>
      <c r="O187" s="506"/>
      <c r="P187" s="506"/>
      <c r="Q187" s="506"/>
      <c r="R187" s="506">
        <v>99.901679469892713</v>
      </c>
      <c r="S187" s="506">
        <v>36.343920530107283</v>
      </c>
      <c r="T187" s="506">
        <v>136.2456</v>
      </c>
      <c r="V187" s="506">
        <v>99.901679469892713</v>
      </c>
      <c r="W187" s="506"/>
      <c r="Y187" s="1156">
        <v>1877</v>
      </c>
      <c r="Z187" s="958">
        <v>24.854019064884959</v>
      </c>
      <c r="AA187" s="958">
        <v>27.567466666666661</v>
      </c>
      <c r="AB187" s="958">
        <v>40.707733333333351</v>
      </c>
      <c r="AC187" s="956"/>
      <c r="AD187" s="58"/>
      <c r="AE187" s="958">
        <f t="shared" si="31"/>
        <v>24.854019064884959</v>
      </c>
      <c r="AF187" s="958">
        <f t="shared" si="32"/>
        <v>17.356550965222695</v>
      </c>
      <c r="AG187" s="958">
        <f t="shared" si="33"/>
        <v>34.879302488587527</v>
      </c>
      <c r="AH187" s="967">
        <f t="shared" si="10"/>
        <v>3.2793625067531074</v>
      </c>
      <c r="AI187" s="58"/>
      <c r="AJ187" s="58"/>
      <c r="AK187" s="958">
        <f t="shared" si="34"/>
        <v>24.854019064884959</v>
      </c>
      <c r="AL187" s="958">
        <f t="shared" si="35"/>
        <v>17.356550965222695</v>
      </c>
      <c r="AM187" s="958">
        <f t="shared" si="36"/>
        <v>34.879302488587527</v>
      </c>
      <c r="AN187" s="958">
        <f t="shared" si="37"/>
        <v>3.2793625067531074</v>
      </c>
      <c r="AO187" s="58"/>
      <c r="AP187" s="58"/>
      <c r="AQ187" s="963">
        <v>1</v>
      </c>
      <c r="AR187" s="966">
        <f t="shared" si="11"/>
        <v>0.67110316092337996</v>
      </c>
      <c r="AS187" s="962">
        <f t="shared" si="25"/>
        <v>0.94439723037872947</v>
      </c>
      <c r="AT187" s="963">
        <f t="shared" si="12"/>
        <v>8.0558710550160145E-2</v>
      </c>
      <c r="AU187" s="58"/>
      <c r="AV187" s="58"/>
      <c r="AW187" s="58"/>
      <c r="AX187" s="58"/>
      <c r="AY187" s="58"/>
      <c r="AZ187" s="958">
        <f t="shared" si="23"/>
        <v>9.0668526480167522</v>
      </c>
      <c r="BA187" s="958">
        <f t="shared" si="24"/>
        <v>2.2634627183374496</v>
      </c>
      <c r="BB187" s="9"/>
      <c r="BC187" s="956">
        <f t="shared" si="14"/>
        <v>11.330315366354203</v>
      </c>
      <c r="BD187" s="9"/>
      <c r="BE187" s="58"/>
      <c r="BF187" s="956">
        <f t="shared" si="30"/>
        <v>12.759984039436681</v>
      </c>
      <c r="BG187" s="9"/>
    </row>
    <row r="188" spans="1:59" x14ac:dyDescent="0.45">
      <c r="A188" s="14">
        <v>1878</v>
      </c>
      <c r="B188" s="506">
        <v>134.7216</v>
      </c>
      <c r="C188" s="506"/>
      <c r="D188" s="506"/>
      <c r="E188" s="507">
        <v>9.1999999999999957</v>
      </c>
      <c r="F188" s="507">
        <v>0</v>
      </c>
      <c r="G188" s="507">
        <v>4.5999999999999979</v>
      </c>
      <c r="H188" s="1160">
        <f t="shared" si="29"/>
        <v>12.874636851693653</v>
      </c>
      <c r="I188" s="507">
        <v>4.8500000000000005</v>
      </c>
      <c r="J188" s="507">
        <v>24.384699251020123</v>
      </c>
      <c r="K188" s="507">
        <v>52.916594266620784</v>
      </c>
      <c r="L188" s="507">
        <v>3.3475688816855764</v>
      </c>
      <c r="M188" s="507"/>
      <c r="N188" s="507">
        <v>1.3715999999999995</v>
      </c>
      <c r="O188" s="506"/>
      <c r="P188" s="506"/>
      <c r="Q188" s="506"/>
      <c r="R188" s="506">
        <v>100.67046239932647</v>
      </c>
      <c r="S188" s="506">
        <v>34.051137600673528</v>
      </c>
      <c r="T188" s="506">
        <v>134.7216</v>
      </c>
      <c r="V188" s="506">
        <v>100.67046239932647</v>
      </c>
      <c r="W188" s="506"/>
      <c r="Y188" s="1156">
        <v>1878</v>
      </c>
      <c r="Z188" s="958">
        <v>24.384699251020123</v>
      </c>
      <c r="AA188" s="958">
        <v>27.584399999999992</v>
      </c>
      <c r="AB188" s="958">
        <v>41.554400000000022</v>
      </c>
      <c r="AC188" s="956"/>
      <c r="AD188" s="58"/>
      <c r="AE188" s="958">
        <f t="shared" si="31"/>
        <v>24.384699251020123</v>
      </c>
      <c r="AF188" s="958">
        <f t="shared" si="32"/>
        <v>17.367212237314355</v>
      </c>
      <c r="AG188" s="958">
        <f t="shared" si="33"/>
        <v>35.549382029306429</v>
      </c>
      <c r="AH188" s="967">
        <f t="shared" si="10"/>
        <v>3.3475688816855764</v>
      </c>
      <c r="AI188" s="58"/>
      <c r="AJ188" s="58"/>
      <c r="AK188" s="958">
        <f t="shared" si="34"/>
        <v>24.384699251020123</v>
      </c>
      <c r="AL188" s="958">
        <f t="shared" si="35"/>
        <v>17.367212237314355</v>
      </c>
      <c r="AM188" s="958">
        <f t="shared" si="36"/>
        <v>35.549382029306429</v>
      </c>
      <c r="AN188" s="958">
        <f t="shared" si="37"/>
        <v>3.3475688816855764</v>
      </c>
      <c r="AO188" s="58"/>
      <c r="AP188" s="58"/>
      <c r="AQ188" s="963">
        <v>1</v>
      </c>
      <c r="AR188" s="966">
        <f t="shared" si="11"/>
        <v>0.67110316092337996</v>
      </c>
      <c r="AS188" s="962">
        <f t="shared" si="25"/>
        <v>0.94321419272721307</v>
      </c>
      <c r="AT188" s="963">
        <f t="shared" si="12"/>
        <v>8.0558710550160145E-2</v>
      </c>
      <c r="AU188" s="58"/>
      <c r="AV188" s="58"/>
      <c r="AW188" s="58"/>
      <c r="AX188" s="58"/>
      <c r="AY188" s="58"/>
      <c r="AZ188" s="958">
        <f t="shared" si="23"/>
        <v>9.0724219678251146</v>
      </c>
      <c r="BA188" s="958">
        <f t="shared" si="24"/>
        <v>2.3597001497362982</v>
      </c>
      <c r="BB188" s="9"/>
      <c r="BC188" s="956">
        <f t="shared" si="14"/>
        <v>11.432122117561413</v>
      </c>
      <c r="BD188" s="9"/>
      <c r="BE188" s="58"/>
      <c r="BF188" s="956">
        <f t="shared" si="30"/>
        <v>12.874636851693653</v>
      </c>
      <c r="BG188" s="9"/>
    </row>
    <row r="189" spans="1:59" x14ac:dyDescent="0.45">
      <c r="A189" s="14">
        <v>1879</v>
      </c>
      <c r="B189" s="506">
        <v>135.83919999999998</v>
      </c>
      <c r="C189" s="506"/>
      <c r="D189" s="506"/>
      <c r="E189" s="507">
        <v>9.388888888888884</v>
      </c>
      <c r="F189" s="507">
        <v>0</v>
      </c>
      <c r="G189" s="507">
        <v>4.6999999999999975</v>
      </c>
      <c r="H189" s="1160">
        <f t="shared" si="29"/>
        <v>12.991545716219889</v>
      </c>
      <c r="I189" s="507">
        <v>5.0333333333333341</v>
      </c>
      <c r="J189" s="507">
        <v>24.331852466847163</v>
      </c>
      <c r="K189" s="507">
        <v>53.595079027162072</v>
      </c>
      <c r="L189" s="507">
        <v>3.415775256618045</v>
      </c>
      <c r="M189" s="507"/>
      <c r="N189" s="507">
        <v>1.3885333333333327</v>
      </c>
      <c r="O189" s="506"/>
      <c r="P189" s="506"/>
      <c r="Q189" s="506"/>
      <c r="R189" s="506">
        <v>101.85346230618282</v>
      </c>
      <c r="S189" s="506">
        <v>33.985737693817157</v>
      </c>
      <c r="T189" s="506">
        <v>135.83919999999998</v>
      </c>
      <c r="V189" s="506">
        <v>101.85346230618282</v>
      </c>
      <c r="W189" s="506"/>
      <c r="Y189" s="1156">
        <v>1879</v>
      </c>
      <c r="Z189" s="958">
        <v>24.331852466847163</v>
      </c>
      <c r="AA189" s="958">
        <v>27.601333333333326</v>
      </c>
      <c r="AB189" s="958">
        <v>42.401066666666686</v>
      </c>
      <c r="AC189" s="956"/>
      <c r="AD189" s="58"/>
      <c r="AE189" s="958">
        <f t="shared" si="31"/>
        <v>24.331852466847163</v>
      </c>
      <c r="AF189" s="958">
        <f t="shared" si="32"/>
        <v>17.377873509406015</v>
      </c>
      <c r="AG189" s="958">
        <f t="shared" si="33"/>
        <v>36.217205517756057</v>
      </c>
      <c r="AH189" s="967">
        <f t="shared" si="10"/>
        <v>3.415775256618045</v>
      </c>
      <c r="AI189" s="58"/>
      <c r="AJ189" s="58"/>
      <c r="AK189" s="958">
        <f t="shared" si="34"/>
        <v>24.331852466847163</v>
      </c>
      <c r="AL189" s="958">
        <f t="shared" si="35"/>
        <v>17.377873509406015</v>
      </c>
      <c r="AM189" s="958">
        <f t="shared" si="36"/>
        <v>36.217205517756057</v>
      </c>
      <c r="AN189" s="958">
        <f t="shared" si="37"/>
        <v>3.415775256618045</v>
      </c>
      <c r="AO189" s="58"/>
      <c r="AP189" s="58"/>
      <c r="AQ189" s="963">
        <v>1</v>
      </c>
      <c r="AR189" s="966">
        <f t="shared" si="11"/>
        <v>0.67110316092337996</v>
      </c>
      <c r="AS189" s="962">
        <f t="shared" si="25"/>
        <v>0.94203115507569668</v>
      </c>
      <c r="AT189" s="963">
        <f t="shared" si="12"/>
        <v>8.0558710550160145E-2</v>
      </c>
      <c r="AU189" s="58"/>
      <c r="AV189" s="58"/>
      <c r="AW189" s="58"/>
      <c r="AX189" s="58"/>
      <c r="AY189" s="58"/>
      <c r="AZ189" s="958">
        <f t="shared" si="23"/>
        <v>9.0779912876334787</v>
      </c>
      <c r="BA189" s="958">
        <f t="shared" si="24"/>
        <v>2.4579408582250477</v>
      </c>
      <c r="BB189" s="9"/>
      <c r="BC189" s="956">
        <f t="shared" si="14"/>
        <v>11.535932145858526</v>
      </c>
      <c r="BD189" s="9"/>
      <c r="BE189" s="58"/>
      <c r="BF189" s="956">
        <f t="shared" si="30"/>
        <v>12.991545716219889</v>
      </c>
      <c r="BG189" s="9"/>
    </row>
    <row r="190" spans="1:59" x14ac:dyDescent="0.45">
      <c r="A190" s="14">
        <v>1880</v>
      </c>
      <c r="B190" s="506">
        <v>149.352</v>
      </c>
      <c r="C190" s="506"/>
      <c r="D190" s="506"/>
      <c r="E190" s="507">
        <v>9.5777777777777722</v>
      </c>
      <c r="F190" s="507">
        <v>0</v>
      </c>
      <c r="G190" s="507">
        <v>4.7999999999999972</v>
      </c>
      <c r="H190" s="1160">
        <f t="shared" si="29"/>
        <v>13.110710633015387</v>
      </c>
      <c r="I190" s="507">
        <v>5.2166666666666677</v>
      </c>
      <c r="J190" s="507">
        <v>26.901090069040592</v>
      </c>
      <c r="K190" s="507">
        <v>54.271307735434114</v>
      </c>
      <c r="L190" s="507">
        <v>3.4839816315505145</v>
      </c>
      <c r="M190" s="507"/>
      <c r="N190" s="507">
        <v>1.405466666666666</v>
      </c>
      <c r="O190" s="506"/>
      <c r="P190" s="506"/>
      <c r="Q190" s="506"/>
      <c r="R190" s="506">
        <v>105.65629054713634</v>
      </c>
      <c r="S190" s="506">
        <v>43.695709452863667</v>
      </c>
      <c r="T190" s="506">
        <v>149.352</v>
      </c>
      <c r="V190" s="506">
        <v>105.65629054713634</v>
      </c>
      <c r="W190" s="506"/>
      <c r="Y190" s="1156">
        <v>1880</v>
      </c>
      <c r="Z190" s="958">
        <v>26.901090069040592</v>
      </c>
      <c r="AA190" s="958">
        <v>27.618266666666656</v>
      </c>
      <c r="AB190" s="958">
        <v>43.247733333333358</v>
      </c>
      <c r="AC190" s="956"/>
      <c r="AD190" s="58"/>
      <c r="AE190" s="958">
        <f t="shared" si="31"/>
        <v>26.901090069040592</v>
      </c>
      <c r="AF190" s="958">
        <f t="shared" si="32"/>
        <v>17.388534781497675</v>
      </c>
      <c r="AG190" s="958">
        <f t="shared" si="33"/>
        <v>36.882772953936438</v>
      </c>
      <c r="AH190" s="967">
        <f t="shared" si="10"/>
        <v>3.4839816315505145</v>
      </c>
      <c r="AI190" s="58"/>
      <c r="AJ190" s="58"/>
      <c r="AK190" s="958">
        <f t="shared" si="34"/>
        <v>26.901090069040592</v>
      </c>
      <c r="AL190" s="958">
        <f t="shared" si="35"/>
        <v>17.388534781497675</v>
      </c>
      <c r="AM190" s="958">
        <f t="shared" si="36"/>
        <v>36.882772953936438</v>
      </c>
      <c r="AN190" s="958">
        <f t="shared" si="37"/>
        <v>3.4839816315505145</v>
      </c>
      <c r="AO190" s="58"/>
      <c r="AP190" s="58"/>
      <c r="AQ190" s="963">
        <v>1</v>
      </c>
      <c r="AR190" s="966">
        <f t="shared" si="11"/>
        <v>0.67110316092337996</v>
      </c>
      <c r="AS190" s="962">
        <f t="shared" si="25"/>
        <v>0.94084811742418029</v>
      </c>
      <c r="AT190" s="963">
        <f t="shared" si="12"/>
        <v>8.0558710550160145E-2</v>
      </c>
      <c r="AU190" s="58"/>
      <c r="AV190" s="58"/>
      <c r="AW190" s="58"/>
      <c r="AX190" s="58"/>
      <c r="AY190" s="58"/>
      <c r="AZ190" s="958">
        <f t="shared" si="23"/>
        <v>9.0835606074418429</v>
      </c>
      <c r="BA190" s="958">
        <f t="shared" si="24"/>
        <v>2.5581848438036987</v>
      </c>
      <c r="BB190" s="9"/>
      <c r="BC190" s="956">
        <f t="shared" si="14"/>
        <v>11.641745451245541</v>
      </c>
      <c r="BD190" s="9"/>
      <c r="BE190" s="58"/>
      <c r="BF190" s="956">
        <f t="shared" si="30"/>
        <v>13.110710633015387</v>
      </c>
      <c r="BG190" s="9"/>
    </row>
    <row r="191" spans="1:59" x14ac:dyDescent="0.45">
      <c r="A191" s="14">
        <v>1881</v>
      </c>
      <c r="B191" s="506">
        <v>156.66719999999998</v>
      </c>
      <c r="C191" s="506"/>
      <c r="D191" s="506"/>
      <c r="E191" s="507">
        <v>9.7666666666666604</v>
      </c>
      <c r="F191" s="507">
        <v>0</v>
      </c>
      <c r="G191" s="507">
        <v>4.8999999999999968</v>
      </c>
      <c r="H191" s="1160">
        <f t="shared" si="29"/>
        <v>13.232131602080148</v>
      </c>
      <c r="I191" s="507">
        <v>5.4000000000000012</v>
      </c>
      <c r="J191" s="507">
        <v>28.417271419503784</v>
      </c>
      <c r="K191" s="507">
        <v>54.945280391436889</v>
      </c>
      <c r="L191" s="507">
        <v>3.5521880064829836</v>
      </c>
      <c r="M191" s="507"/>
      <c r="N191" s="507">
        <v>1.4223999999999992</v>
      </c>
      <c r="O191" s="506"/>
      <c r="P191" s="506"/>
      <c r="Q191" s="506"/>
      <c r="R191" s="506">
        <v>108.4038064840903</v>
      </c>
      <c r="S191" s="506">
        <v>48.263393515909684</v>
      </c>
      <c r="T191" s="506">
        <v>156.66719999999998</v>
      </c>
      <c r="V191" s="506">
        <v>108.4038064840903</v>
      </c>
      <c r="W191" s="506"/>
      <c r="Y191" s="1156">
        <v>1881</v>
      </c>
      <c r="Z191" s="958">
        <v>28.417271419503784</v>
      </c>
      <c r="AA191" s="958">
        <v>27.63519999999999</v>
      </c>
      <c r="AB191" s="958">
        <v>44.094400000000029</v>
      </c>
      <c r="AC191" s="956"/>
      <c r="AD191" s="58"/>
      <c r="AE191" s="958">
        <f t="shared" si="31"/>
        <v>28.417271419503784</v>
      </c>
      <c r="AF191" s="958">
        <f t="shared" si="32"/>
        <v>17.399196053589336</v>
      </c>
      <c r="AG191" s="958">
        <f t="shared" si="33"/>
        <v>37.546084337847553</v>
      </c>
      <c r="AH191" s="967">
        <f t="shared" si="10"/>
        <v>3.5521880064829836</v>
      </c>
      <c r="AI191" s="58"/>
      <c r="AJ191" s="58"/>
      <c r="AK191" s="958">
        <f t="shared" si="34"/>
        <v>28.417271419503784</v>
      </c>
      <c r="AL191" s="958">
        <f t="shared" si="35"/>
        <v>17.399196053589336</v>
      </c>
      <c r="AM191" s="958">
        <f t="shared" si="36"/>
        <v>37.546084337847553</v>
      </c>
      <c r="AN191" s="958">
        <f t="shared" si="37"/>
        <v>3.5521880064829836</v>
      </c>
      <c r="AO191" s="58"/>
      <c r="AP191" s="58"/>
      <c r="AQ191" s="963">
        <v>1</v>
      </c>
      <c r="AR191" s="966">
        <f t="shared" si="11"/>
        <v>0.67110316092337996</v>
      </c>
      <c r="AS191" s="962">
        <f t="shared" si="25"/>
        <v>0.93966507977266389</v>
      </c>
      <c r="AT191" s="963">
        <f t="shared" si="12"/>
        <v>8.0558710550160145E-2</v>
      </c>
      <c r="AU191" s="58"/>
      <c r="AV191" s="58"/>
      <c r="AW191" s="58"/>
      <c r="AX191" s="58"/>
      <c r="AY191" s="58"/>
      <c r="AZ191" s="958">
        <f t="shared" si="23"/>
        <v>9.0891299272502071</v>
      </c>
      <c r="BA191" s="958">
        <f t="shared" si="24"/>
        <v>2.6604321064722511</v>
      </c>
      <c r="BB191" s="9"/>
      <c r="BC191" s="956">
        <f t="shared" si="14"/>
        <v>11.749562033722459</v>
      </c>
      <c r="BD191" s="9"/>
      <c r="BE191" s="58"/>
      <c r="BF191" s="956">
        <f t="shared" si="30"/>
        <v>13.232131602080148</v>
      </c>
      <c r="BG191" s="9"/>
    </row>
    <row r="192" spans="1:59" x14ac:dyDescent="0.45">
      <c r="A192" s="14">
        <v>1882</v>
      </c>
      <c r="B192" s="506">
        <v>159.00399999999999</v>
      </c>
      <c r="C192" s="506"/>
      <c r="D192" s="506"/>
      <c r="E192" s="507">
        <v>9.9555555555555486</v>
      </c>
      <c r="F192" s="507">
        <v>0</v>
      </c>
      <c r="G192" s="507">
        <v>4.9999999999999964</v>
      </c>
      <c r="H192" s="1160">
        <f t="shared" si="29"/>
        <v>13.355808623414168</v>
      </c>
      <c r="I192" s="507">
        <v>5.5833333333333348</v>
      </c>
      <c r="J192" s="507">
        <v>28.548136113045619</v>
      </c>
      <c r="K192" s="507">
        <v>55.616996995170403</v>
      </c>
      <c r="L192" s="507">
        <v>3.6203943814154531</v>
      </c>
      <c r="M192" s="507"/>
      <c r="N192" s="507">
        <v>1.4393333333333325</v>
      </c>
      <c r="O192" s="506"/>
      <c r="P192" s="506"/>
      <c r="Q192" s="506"/>
      <c r="R192" s="506">
        <v>109.76374971185369</v>
      </c>
      <c r="S192" s="506">
        <v>49.240250288146299</v>
      </c>
      <c r="T192" s="506">
        <v>159.00399999999999</v>
      </c>
      <c r="V192" s="506">
        <v>109.76374971185369</v>
      </c>
      <c r="W192" s="506"/>
      <c r="Y192" s="1156">
        <v>1882</v>
      </c>
      <c r="Z192" s="958">
        <v>28.548136113045619</v>
      </c>
      <c r="AA192" s="958">
        <v>27.652133333333321</v>
      </c>
      <c r="AB192" s="958">
        <v>44.9410666666667</v>
      </c>
      <c r="AC192" s="956"/>
      <c r="AD192" s="58"/>
      <c r="AE192" s="958">
        <f t="shared" si="31"/>
        <v>28.548136113045619</v>
      </c>
      <c r="AF192" s="958">
        <f t="shared" si="32"/>
        <v>17.409857325680996</v>
      </c>
      <c r="AG192" s="958">
        <f t="shared" si="33"/>
        <v>38.207139669489408</v>
      </c>
      <c r="AH192" s="967">
        <f t="shared" si="10"/>
        <v>3.6203943814154531</v>
      </c>
      <c r="AI192" s="58"/>
      <c r="AJ192" s="58"/>
      <c r="AK192" s="958">
        <f t="shared" si="34"/>
        <v>28.548136113045619</v>
      </c>
      <c r="AL192" s="958">
        <f t="shared" si="35"/>
        <v>17.409857325680996</v>
      </c>
      <c r="AM192" s="958">
        <f t="shared" si="36"/>
        <v>38.207139669489408</v>
      </c>
      <c r="AN192" s="958">
        <f t="shared" si="37"/>
        <v>3.6203943814154531</v>
      </c>
      <c r="AO192" s="58"/>
      <c r="AP192" s="58"/>
      <c r="AQ192" s="963">
        <v>1</v>
      </c>
      <c r="AR192" s="966">
        <f t="shared" si="11"/>
        <v>0.67110316092337996</v>
      </c>
      <c r="AS192" s="962">
        <f t="shared" si="25"/>
        <v>0.9384820421211475</v>
      </c>
      <c r="AT192" s="963">
        <f t="shared" si="12"/>
        <v>8.0558710550160145E-2</v>
      </c>
      <c r="AU192" s="58"/>
      <c r="AV192" s="58"/>
      <c r="AW192" s="58"/>
      <c r="AX192" s="58"/>
      <c r="AY192" s="58"/>
      <c r="AZ192" s="958">
        <f t="shared" si="23"/>
        <v>9.0946992470585695</v>
      </c>
      <c r="BA192" s="958">
        <f t="shared" si="24"/>
        <v>2.7646826462307041</v>
      </c>
      <c r="BB192" s="9"/>
      <c r="BC192" s="956">
        <f t="shared" si="14"/>
        <v>11.859381893289275</v>
      </c>
      <c r="BD192" s="9"/>
      <c r="BE192" s="58"/>
      <c r="BF192" s="956">
        <f t="shared" si="30"/>
        <v>13.355808623414168</v>
      </c>
      <c r="BG192" s="9"/>
    </row>
    <row r="193" spans="1:59" x14ac:dyDescent="0.45">
      <c r="A193" s="14">
        <v>1883</v>
      </c>
      <c r="B193" s="506">
        <v>166.3192</v>
      </c>
      <c r="C193" s="506"/>
      <c r="D193" s="506"/>
      <c r="E193" s="507">
        <v>10.144444444444437</v>
      </c>
      <c r="F193" s="507">
        <v>0</v>
      </c>
      <c r="G193" s="507">
        <v>5.0999999999999961</v>
      </c>
      <c r="H193" s="1160">
        <f t="shared" si="29"/>
        <v>13.48174169701745</v>
      </c>
      <c r="I193" s="507">
        <v>5.7666666666666684</v>
      </c>
      <c r="J193" s="507">
        <v>29.702163940971722</v>
      </c>
      <c r="K193" s="507">
        <v>56.286457546634651</v>
      </c>
      <c r="L193" s="507">
        <v>3.6886007563479217</v>
      </c>
      <c r="M193" s="507"/>
      <c r="N193" s="507">
        <v>1.4562666666666657</v>
      </c>
      <c r="O193" s="506"/>
      <c r="P193" s="506"/>
      <c r="Q193" s="506"/>
      <c r="R193" s="506">
        <v>112.14460002173206</v>
      </c>
      <c r="S193" s="506">
        <v>54.174599978267935</v>
      </c>
      <c r="T193" s="506">
        <v>166.3192</v>
      </c>
      <c r="V193" s="506">
        <v>112.14460002173206</v>
      </c>
      <c r="W193" s="506"/>
      <c r="Y193" s="1156">
        <v>1883</v>
      </c>
      <c r="Z193" s="958">
        <v>29.702163940971722</v>
      </c>
      <c r="AA193" s="958">
        <v>27.669066666666655</v>
      </c>
      <c r="AB193" s="958">
        <v>45.787733333333364</v>
      </c>
      <c r="AC193" s="956"/>
      <c r="AD193" s="58"/>
      <c r="AE193" s="958">
        <f t="shared" si="31"/>
        <v>29.702163940971722</v>
      </c>
      <c r="AF193" s="958">
        <f t="shared" si="32"/>
        <v>17.420518597772652</v>
      </c>
      <c r="AG193" s="958">
        <f t="shared" si="33"/>
        <v>38.865938948861995</v>
      </c>
      <c r="AH193" s="967">
        <f t="shared" si="10"/>
        <v>3.6886007563479217</v>
      </c>
      <c r="AI193" s="58"/>
      <c r="AJ193" s="58"/>
      <c r="AK193" s="958">
        <f t="shared" si="34"/>
        <v>29.702163940971722</v>
      </c>
      <c r="AL193" s="958">
        <f t="shared" si="35"/>
        <v>17.420518597772652</v>
      </c>
      <c r="AM193" s="958">
        <f t="shared" si="36"/>
        <v>38.865938948861995</v>
      </c>
      <c r="AN193" s="958">
        <f t="shared" si="37"/>
        <v>3.6886007563479217</v>
      </c>
      <c r="AO193" s="58"/>
      <c r="AP193" s="58"/>
      <c r="AQ193" s="963">
        <v>1</v>
      </c>
      <c r="AR193" s="966">
        <f t="shared" si="11"/>
        <v>0.67110316092337996</v>
      </c>
      <c r="AS193" s="962">
        <f t="shared" si="25"/>
        <v>0.9372990044696311</v>
      </c>
      <c r="AT193" s="963">
        <f t="shared" si="12"/>
        <v>8.0558710550160145E-2</v>
      </c>
      <c r="AU193" s="58"/>
      <c r="AV193" s="58"/>
      <c r="AW193" s="58"/>
      <c r="AX193" s="58"/>
      <c r="AY193" s="58"/>
      <c r="AZ193" s="958">
        <f t="shared" si="23"/>
        <v>9.1002685668669354</v>
      </c>
      <c r="BA193" s="958">
        <f t="shared" si="24"/>
        <v>2.8709364630790581</v>
      </c>
      <c r="BB193" s="9"/>
      <c r="BC193" s="956">
        <f t="shared" si="14"/>
        <v>11.971205029945994</v>
      </c>
      <c r="BD193" s="9"/>
      <c r="BE193" s="58"/>
      <c r="BF193" s="956">
        <f t="shared" si="30"/>
        <v>13.48174169701745</v>
      </c>
      <c r="BG193" s="9"/>
    </row>
    <row r="194" spans="1:59" x14ac:dyDescent="0.45">
      <c r="A194" s="14">
        <v>1884</v>
      </c>
      <c r="B194" s="506">
        <v>163.37280000000001</v>
      </c>
      <c r="C194" s="506"/>
      <c r="D194" s="506"/>
      <c r="E194" s="507">
        <v>10.333333333333325</v>
      </c>
      <c r="F194" s="507">
        <v>0</v>
      </c>
      <c r="G194" s="507">
        <v>5.1999999999999957</v>
      </c>
      <c r="H194" s="1160">
        <f t="shared" si="29"/>
        <v>13.609930822889989</v>
      </c>
      <c r="I194" s="507">
        <v>5.950000000000002</v>
      </c>
      <c r="J194" s="507">
        <v>28.785715345296236</v>
      </c>
      <c r="K194" s="507">
        <v>56.953662045829638</v>
      </c>
      <c r="L194" s="507">
        <v>3.7568071312803912</v>
      </c>
      <c r="M194" s="507"/>
      <c r="N194" s="507">
        <v>1.4731999999999992</v>
      </c>
      <c r="O194" s="506"/>
      <c r="P194" s="506"/>
      <c r="Q194" s="506"/>
      <c r="R194" s="506">
        <v>112.45271785573961</v>
      </c>
      <c r="S194" s="506">
        <v>50.920082144260405</v>
      </c>
      <c r="T194" s="506">
        <v>163.37280000000001</v>
      </c>
      <c r="V194" s="506">
        <v>112.45271785573961</v>
      </c>
      <c r="W194" s="506"/>
      <c r="Y194" s="1156">
        <v>1884</v>
      </c>
      <c r="Z194" s="958">
        <v>28.785715345296236</v>
      </c>
      <c r="AA194" s="958">
        <v>27.685999999999986</v>
      </c>
      <c r="AB194" s="958">
        <v>46.634400000000035</v>
      </c>
      <c r="AC194" s="956"/>
      <c r="AD194" s="58"/>
      <c r="AE194" s="958">
        <f t="shared" si="31"/>
        <v>28.785715345296236</v>
      </c>
      <c r="AF194" s="958">
        <f t="shared" si="32"/>
        <v>17.431179869864309</v>
      </c>
      <c r="AG194" s="958">
        <f t="shared" si="33"/>
        <v>39.52248217596533</v>
      </c>
      <c r="AH194" s="967">
        <f t="shared" si="10"/>
        <v>3.7568071312803912</v>
      </c>
      <c r="AI194" s="58"/>
      <c r="AJ194" s="58"/>
      <c r="AK194" s="958">
        <f t="shared" si="34"/>
        <v>28.785715345296236</v>
      </c>
      <c r="AL194" s="958">
        <f t="shared" si="35"/>
        <v>17.431179869864309</v>
      </c>
      <c r="AM194" s="958">
        <f t="shared" si="36"/>
        <v>39.52248217596533</v>
      </c>
      <c r="AN194" s="958">
        <f t="shared" si="37"/>
        <v>3.7568071312803912</v>
      </c>
      <c r="AO194" s="58"/>
      <c r="AP194" s="58"/>
      <c r="AQ194" s="963">
        <v>1</v>
      </c>
      <c r="AR194" s="966">
        <f t="shared" si="11"/>
        <v>0.67110316092337996</v>
      </c>
      <c r="AS194" s="962">
        <f t="shared" si="25"/>
        <v>0.93611596681811471</v>
      </c>
      <c r="AT194" s="963">
        <f t="shared" si="12"/>
        <v>8.0558710550160145E-2</v>
      </c>
      <c r="AU194" s="58"/>
      <c r="AV194" s="58"/>
      <c r="AW194" s="58"/>
      <c r="AX194" s="58"/>
      <c r="AY194" s="58"/>
      <c r="AZ194" s="958">
        <f t="shared" si="23"/>
        <v>9.1058378866752978</v>
      </c>
      <c r="BA194" s="958">
        <f t="shared" si="24"/>
        <v>2.9791935570173136</v>
      </c>
      <c r="BB194" s="9"/>
      <c r="BC194" s="956">
        <f t="shared" si="14"/>
        <v>12.085031443692611</v>
      </c>
      <c r="BD194" s="9"/>
      <c r="BE194" s="58"/>
      <c r="BF194" s="956">
        <f t="shared" si="30"/>
        <v>13.609930822889989</v>
      </c>
      <c r="BG194" s="9"/>
    </row>
    <row r="195" spans="1:59" x14ac:dyDescent="0.45">
      <c r="A195" s="14">
        <v>1885</v>
      </c>
      <c r="B195" s="506">
        <v>161.9504</v>
      </c>
      <c r="C195" s="506"/>
      <c r="D195" s="506"/>
      <c r="E195" s="507">
        <v>10.522222222222213</v>
      </c>
      <c r="F195" s="507">
        <v>0</v>
      </c>
      <c r="G195" s="507">
        <v>5.2999999999999954</v>
      </c>
      <c r="H195" s="1160">
        <f t="shared" si="29"/>
        <v>13.740376001031795</v>
      </c>
      <c r="I195" s="507">
        <v>6.1333333333333355</v>
      </c>
      <c r="J195" s="507">
        <v>28.290254177429109</v>
      </c>
      <c r="K195" s="507">
        <v>57.618610492755366</v>
      </c>
      <c r="L195" s="507">
        <v>3.8250135062128603</v>
      </c>
      <c r="M195" s="507"/>
      <c r="N195" s="507">
        <v>1.4901333333333324</v>
      </c>
      <c r="O195" s="506"/>
      <c r="P195" s="506"/>
      <c r="Q195" s="506"/>
      <c r="R195" s="506">
        <v>113.17956706528621</v>
      </c>
      <c r="S195" s="506">
        <v>48.770832934713795</v>
      </c>
      <c r="T195" s="506">
        <v>161.9504</v>
      </c>
      <c r="V195" s="506">
        <v>113.17956706528621</v>
      </c>
      <c r="W195" s="506"/>
      <c r="Y195" s="1156">
        <v>1885</v>
      </c>
      <c r="Z195" s="958">
        <v>28.290254177429109</v>
      </c>
      <c r="AA195" s="958">
        <v>27.70293333333332</v>
      </c>
      <c r="AB195" s="958">
        <v>47.481066666666706</v>
      </c>
      <c r="AC195" s="956"/>
      <c r="AD195" s="58"/>
      <c r="AE195" s="958">
        <f t="shared" si="31"/>
        <v>28.290254177429109</v>
      </c>
      <c r="AF195" s="958">
        <f t="shared" si="32"/>
        <v>17.441841141955972</v>
      </c>
      <c r="AG195" s="958">
        <f t="shared" si="33"/>
        <v>40.176769350799397</v>
      </c>
      <c r="AH195" s="967">
        <f t="shared" si="10"/>
        <v>3.8250135062128603</v>
      </c>
      <c r="AI195" s="58"/>
      <c r="AJ195" s="58"/>
      <c r="AK195" s="958">
        <f t="shared" si="34"/>
        <v>28.290254177429109</v>
      </c>
      <c r="AL195" s="958">
        <f t="shared" si="35"/>
        <v>17.441841141955972</v>
      </c>
      <c r="AM195" s="958">
        <f t="shared" si="36"/>
        <v>40.176769350799397</v>
      </c>
      <c r="AN195" s="958">
        <f t="shared" si="37"/>
        <v>3.8250135062128603</v>
      </c>
      <c r="AO195" s="58"/>
      <c r="AP195" s="58"/>
      <c r="AQ195" s="963">
        <v>1</v>
      </c>
      <c r="AR195" s="966">
        <f t="shared" si="11"/>
        <v>0.67110316092337996</v>
      </c>
      <c r="AS195" s="962">
        <f t="shared" si="25"/>
        <v>0.93493292916659831</v>
      </c>
      <c r="AT195" s="963">
        <f t="shared" si="12"/>
        <v>8.0558710550160145E-2</v>
      </c>
      <c r="AU195" s="58"/>
      <c r="AV195" s="58"/>
      <c r="AW195" s="58"/>
      <c r="AX195" s="58"/>
      <c r="AY195" s="58"/>
      <c r="AZ195" s="958">
        <f t="shared" si="23"/>
        <v>9.111407206483662</v>
      </c>
      <c r="BA195" s="958">
        <f t="shared" si="24"/>
        <v>3.08945392804547</v>
      </c>
      <c r="BB195" s="9"/>
      <c r="BC195" s="956">
        <f t="shared" si="14"/>
        <v>12.200861134529132</v>
      </c>
      <c r="BD195" s="9"/>
      <c r="BE195" s="58"/>
      <c r="BF195" s="956">
        <f t="shared" si="30"/>
        <v>13.740376001031795</v>
      </c>
      <c r="BG195" s="9"/>
    </row>
    <row r="196" spans="1:59" x14ac:dyDescent="0.45">
      <c r="A196" s="14">
        <v>1886</v>
      </c>
      <c r="B196" s="506">
        <v>160.02000000000001</v>
      </c>
      <c r="C196" s="506"/>
      <c r="D196" s="506"/>
      <c r="E196" s="507">
        <v>10.711111111111101</v>
      </c>
      <c r="F196" s="507">
        <v>0</v>
      </c>
      <c r="G196" s="507">
        <v>5.399999999999995</v>
      </c>
      <c r="H196" s="1160">
        <f t="shared" si="29"/>
        <v>13.873077231442858</v>
      </c>
      <c r="I196" s="507">
        <v>6.3166666666666691</v>
      </c>
      <c r="J196" s="507">
        <v>27.917428582940904</v>
      </c>
      <c r="K196" s="507">
        <v>58.281302887411833</v>
      </c>
      <c r="L196" s="507">
        <v>3.8932198811453289</v>
      </c>
      <c r="M196" s="507"/>
      <c r="N196" s="507">
        <v>1.5070666666666657</v>
      </c>
      <c r="O196" s="506"/>
      <c r="P196" s="506"/>
      <c r="Q196" s="506"/>
      <c r="R196" s="506">
        <v>114.02679579594249</v>
      </c>
      <c r="S196" s="506">
        <v>45.99320420405752</v>
      </c>
      <c r="T196" s="506">
        <v>160.02000000000001</v>
      </c>
      <c r="V196" s="506">
        <v>114.02679579594249</v>
      </c>
      <c r="W196" s="506"/>
      <c r="Y196" s="1156">
        <v>1886</v>
      </c>
      <c r="Z196" s="958">
        <v>27.917428582940904</v>
      </c>
      <c r="AA196" s="958">
        <v>27.71986666666665</v>
      </c>
      <c r="AB196" s="958">
        <v>48.32773333333337</v>
      </c>
      <c r="AC196" s="956"/>
      <c r="AD196" s="58"/>
      <c r="AE196" s="958">
        <f t="shared" si="31"/>
        <v>27.917428582940904</v>
      </c>
      <c r="AF196" s="958">
        <f t="shared" si="32"/>
        <v>17.452502414047629</v>
      </c>
      <c r="AG196" s="958">
        <f t="shared" si="33"/>
        <v>40.828800473364204</v>
      </c>
      <c r="AH196" s="967">
        <f t="shared" si="10"/>
        <v>3.8932198811453289</v>
      </c>
      <c r="AI196" s="58"/>
      <c r="AJ196" s="58"/>
      <c r="AK196" s="958">
        <f t="shared" ref="AK196" si="38">AE196</f>
        <v>27.917428582940904</v>
      </c>
      <c r="AL196" s="958">
        <f t="shared" ref="AL196" si="39">AF196</f>
        <v>17.452502414047629</v>
      </c>
      <c r="AM196" s="958">
        <f t="shared" ref="AM196" si="40">AG196</f>
        <v>40.828800473364204</v>
      </c>
      <c r="AN196" s="958">
        <f t="shared" ref="AN196" si="41">AH196</f>
        <v>3.8932198811453289</v>
      </c>
      <c r="AO196" s="58"/>
      <c r="AP196" s="58"/>
      <c r="AQ196" s="963">
        <v>1</v>
      </c>
      <c r="AR196" s="966">
        <f t="shared" si="11"/>
        <v>0.67110316092337996</v>
      </c>
      <c r="AS196" s="962">
        <f t="shared" si="25"/>
        <v>0.93374989151508192</v>
      </c>
      <c r="AT196" s="963">
        <f t="shared" si="12"/>
        <v>8.0558710550160145E-2</v>
      </c>
      <c r="AU196" s="58"/>
      <c r="AV196" s="58"/>
      <c r="AW196" s="58"/>
      <c r="AX196" s="58"/>
      <c r="AY196" s="58"/>
      <c r="AZ196" s="958">
        <f t="shared" ref="AZ196:AZ208" si="42">+AA196*(1-AR196)</f>
        <v>9.1169765262920262</v>
      </c>
      <c r="BA196" s="958">
        <f t="shared" si="24"/>
        <v>3.2017175761635275</v>
      </c>
      <c r="BB196" s="9"/>
      <c r="BC196" s="956">
        <f t="shared" si="14"/>
        <v>12.318694102455554</v>
      </c>
      <c r="BD196" s="9"/>
      <c r="BE196" s="58"/>
      <c r="BF196" s="956">
        <f t="shared" si="30"/>
        <v>13.873077231442858</v>
      </c>
      <c r="BG196" s="9"/>
    </row>
    <row r="197" spans="1:59" x14ac:dyDescent="0.45">
      <c r="A197" s="14">
        <v>1887</v>
      </c>
      <c r="B197" s="506">
        <v>164.6936</v>
      </c>
      <c r="C197" s="506"/>
      <c r="D197" s="506"/>
      <c r="E197" s="506">
        <v>10.9</v>
      </c>
      <c r="F197" s="506">
        <v>0</v>
      </c>
      <c r="G197" s="506">
        <v>5.5</v>
      </c>
      <c r="H197" s="1160">
        <f t="shared" si="29"/>
        <v>14.008034514123187</v>
      </c>
      <c r="I197" s="506">
        <v>6.5</v>
      </c>
      <c r="J197" s="506">
        <v>28.752800000000001</v>
      </c>
      <c r="K197" s="506">
        <v>58.941739229799026</v>
      </c>
      <c r="L197" s="506">
        <v>3.9614262560777949</v>
      </c>
      <c r="M197" s="506"/>
      <c r="N197" s="506">
        <v>1.524</v>
      </c>
      <c r="O197" s="506"/>
      <c r="P197" s="506"/>
      <c r="Q197" s="506"/>
      <c r="R197" s="506">
        <v>116.07996548587683</v>
      </c>
      <c r="S197" s="506">
        <v>48.613634514123177</v>
      </c>
      <c r="T197" s="506">
        <v>164.6936</v>
      </c>
      <c r="V197" s="506">
        <v>116.07996548587683</v>
      </c>
      <c r="W197" s="506"/>
      <c r="Y197" s="1156">
        <v>1887</v>
      </c>
      <c r="Z197" s="956">
        <v>28.752800000000001</v>
      </c>
      <c r="AA197" s="956">
        <v>27.736800000000002</v>
      </c>
      <c r="AB197" s="956">
        <v>49.174399999999999</v>
      </c>
      <c r="AC197" s="956"/>
      <c r="AD197" s="9"/>
      <c r="AE197" s="956">
        <f>Z197-AY197/$BF$8</f>
        <v>28.752800000000001</v>
      </c>
      <c r="AF197" s="956">
        <f>AA197-AZ197/$BF$8</f>
        <v>17.463163686139303</v>
      </c>
      <c r="AG197" s="967">
        <f>AB197-BA197/$BF$8-AH197</f>
        <v>41.478575543659723</v>
      </c>
      <c r="AH197" s="967">
        <f t="shared" si="10"/>
        <v>3.9614262560777949</v>
      </c>
      <c r="AI197" s="956">
        <f t="shared" ref="AI197:AI213" si="43">AE197+AF197+AG197</f>
        <v>87.694539229799034</v>
      </c>
      <c r="AJ197" s="9"/>
      <c r="AK197" s="967">
        <f>AE197</f>
        <v>28.752800000000001</v>
      </c>
      <c r="AL197" s="967">
        <f>AF197</f>
        <v>17.463163686139303</v>
      </c>
      <c r="AM197" s="967">
        <f t="shared" ref="AM197:AN197" si="44">AG197</f>
        <v>41.478575543659723</v>
      </c>
      <c r="AN197" s="967">
        <f t="shared" si="44"/>
        <v>3.9614262560777949</v>
      </c>
      <c r="AO197" s="9"/>
      <c r="AP197" s="9"/>
      <c r="AQ197" s="963">
        <v>1</v>
      </c>
      <c r="AR197" s="966">
        <f t="shared" si="11"/>
        <v>0.67110316092337996</v>
      </c>
      <c r="AS197" s="962">
        <f t="shared" si="25"/>
        <v>0.93256685386356553</v>
      </c>
      <c r="AT197" s="963">
        <f t="shared" si="12"/>
        <v>8.0558710550160145E-2</v>
      </c>
      <c r="AU197" s="9"/>
      <c r="AV197" s="9"/>
      <c r="AW197" s="9"/>
      <c r="AX197" s="9"/>
      <c r="AY197" s="956">
        <f t="shared" ref="AY197:AY208" si="45">+Z197*(1-AQ197)</f>
        <v>0</v>
      </c>
      <c r="AZ197" s="956">
        <f t="shared" si="42"/>
        <v>9.1225458461003957</v>
      </c>
      <c r="BA197" s="956">
        <f t="shared" si="24"/>
        <v>3.3159845013714833</v>
      </c>
      <c r="BB197" s="956">
        <f t="shared" ref="BB197:BB208" si="46">+Z197*(1-AQ197)</f>
        <v>0</v>
      </c>
      <c r="BC197" s="956">
        <f t="shared" si="14"/>
        <v>12.438530347471879</v>
      </c>
      <c r="BD197" s="9"/>
      <c r="BE197" s="9"/>
      <c r="BF197" s="956">
        <f t="shared" si="30"/>
        <v>14.008034514123187</v>
      </c>
      <c r="BG197" s="9"/>
    </row>
    <row r="198" spans="1:59" x14ac:dyDescent="0.45">
      <c r="A198" s="14">
        <v>1888</v>
      </c>
      <c r="B198" s="506">
        <v>172.61840000000001</v>
      </c>
      <c r="C198" s="506"/>
      <c r="D198" s="506"/>
      <c r="E198" s="507">
        <v>11.21875</v>
      </c>
      <c r="F198" s="507">
        <v>0</v>
      </c>
      <c r="G198" s="507">
        <v>5.6875</v>
      </c>
      <c r="H198" s="1160">
        <f t="shared" si="29"/>
        <v>14.326744454767212</v>
      </c>
      <c r="I198" s="507">
        <v>6.90625</v>
      </c>
      <c r="J198" s="507">
        <v>29.8704</v>
      </c>
      <c r="K198" s="507">
        <v>58.200066981352947</v>
      </c>
      <c r="L198" s="507">
        <v>4.0259319286871955</v>
      </c>
      <c r="M198" s="507"/>
      <c r="N198" s="507">
        <v>1.5621</v>
      </c>
      <c r="O198" s="506"/>
      <c r="P198" s="506"/>
      <c r="Q198" s="506"/>
      <c r="R198" s="506">
        <v>117.47099891004015</v>
      </c>
      <c r="S198" s="506">
        <v>55.147401089959857</v>
      </c>
      <c r="T198" s="506">
        <v>172.61840000000001</v>
      </c>
      <c r="V198" s="506">
        <v>117.47099891004015</v>
      </c>
      <c r="W198" s="506"/>
      <c r="Y198" s="1156">
        <v>1888</v>
      </c>
      <c r="Z198" s="958">
        <v>29.725432840602522</v>
      </c>
      <c r="AA198" s="958">
        <v>27.927300000000002</v>
      </c>
      <c r="AB198" s="958">
        <v>50.018949999999997</v>
      </c>
      <c r="AC198" s="956"/>
      <c r="AD198" s="58"/>
      <c r="AE198" s="968">
        <f>AE197+(AE$213-AE$197)/16</f>
        <v>28.93075455094467</v>
      </c>
      <c r="AF198" s="968">
        <f>AF197+(AF$213-AF$197)/16</f>
        <v>17.662951992530225</v>
      </c>
      <c r="AG198" s="958">
        <f t="shared" ref="AG198:AG211" si="47">AB198-BA198/$BF$8-AH198</f>
        <v>42.124311974746185</v>
      </c>
      <c r="AH198" s="958">
        <f t="shared" si="10"/>
        <v>4.0294621150729322</v>
      </c>
      <c r="AI198" s="956"/>
      <c r="AJ198" s="58"/>
      <c r="AK198" s="968">
        <f>AK197+(AK$210-AK$197)/13</f>
        <v>29.8704</v>
      </c>
      <c r="AL198" s="968">
        <f t="shared" ref="AL198:AN198" si="48">AL197+(AL$210-AL$197)/13</f>
        <v>17.265997248743972</v>
      </c>
      <c r="AM198" s="968">
        <f t="shared" si="48"/>
        <v>40.934069732608975</v>
      </c>
      <c r="AN198" s="968">
        <f t="shared" si="48"/>
        <v>4.0259319286871955</v>
      </c>
      <c r="AO198" s="58"/>
      <c r="AP198" s="58"/>
      <c r="AQ198" s="962">
        <f>AQ197+(AQ$213-AQ$197)/16</f>
        <v>0.99824694115848511</v>
      </c>
      <c r="AR198" s="966">
        <f t="shared" si="11"/>
        <v>0.67110316092337996</v>
      </c>
      <c r="AS198" s="962">
        <f t="shared" si="25"/>
        <v>0.93138381621204913</v>
      </c>
      <c r="AT198" s="963">
        <f t="shared" si="12"/>
        <v>8.0558710550160145E-2</v>
      </c>
      <c r="AU198" s="58"/>
      <c r="AV198" s="58"/>
      <c r="AW198" s="58"/>
      <c r="AX198" s="58"/>
      <c r="AY198" s="958">
        <f t="shared" si="45"/>
        <v>5.2110432859075247E-2</v>
      </c>
      <c r="AZ198" s="958">
        <f t="shared" si="42"/>
        <v>9.1852006939444912</v>
      </c>
      <c r="BA198" s="958">
        <f t="shared" si="24"/>
        <v>3.4321094660803251</v>
      </c>
      <c r="BB198" s="958">
        <f t="shared" si="46"/>
        <v>5.2110432859075247E-2</v>
      </c>
      <c r="BC198" s="956">
        <f t="shared" si="14"/>
        <v>12.721531025742967</v>
      </c>
      <c r="BD198" s="9"/>
      <c r="BE198" s="58"/>
      <c r="BF198" s="956">
        <f t="shared" si="30"/>
        <v>14.326744454767212</v>
      </c>
      <c r="BG198" s="9"/>
    </row>
    <row r="199" spans="1:59" x14ac:dyDescent="0.45">
      <c r="A199" s="14">
        <v>1889</v>
      </c>
      <c r="B199" s="506">
        <v>179.7304</v>
      </c>
      <c r="C199" s="506"/>
      <c r="D199" s="506"/>
      <c r="E199" s="507">
        <v>11.5375</v>
      </c>
      <c r="F199" s="507">
        <v>0</v>
      </c>
      <c r="G199" s="507">
        <v>5.875</v>
      </c>
      <c r="H199" s="1160">
        <f t="shared" si="29"/>
        <v>14.654516806563215</v>
      </c>
      <c r="I199" s="507">
        <v>7.3125</v>
      </c>
      <c r="J199" s="507">
        <v>30.988</v>
      </c>
      <c r="K199" s="507">
        <v>57.458394732906868</v>
      </c>
      <c r="L199" s="507">
        <v>4.0904376012965962</v>
      </c>
      <c r="M199" s="507"/>
      <c r="N199" s="507">
        <v>1.6002000000000003</v>
      </c>
      <c r="O199" s="506"/>
      <c r="P199" s="506"/>
      <c r="Q199" s="506"/>
      <c r="R199" s="506">
        <v>118.86203233420346</v>
      </c>
      <c r="S199" s="506">
        <v>60.868367665796541</v>
      </c>
      <c r="T199" s="506">
        <v>179.7304</v>
      </c>
      <c r="V199" s="506">
        <v>118.86203233420346</v>
      </c>
      <c r="W199" s="506"/>
      <c r="Y199" s="1156">
        <v>1889</v>
      </c>
      <c r="Z199" s="958">
        <v>30.588033843162318</v>
      </c>
      <c r="AA199" s="958">
        <v>28.117800000000003</v>
      </c>
      <c r="AB199" s="958">
        <v>50.863499999999995</v>
      </c>
      <c r="AC199" s="956"/>
      <c r="AD199" s="58"/>
      <c r="AE199" s="968">
        <f t="shared" ref="AE199:AF212" si="49">AE198+(AE$213-AE$197)/16</f>
        <v>29.108709101889339</v>
      </c>
      <c r="AF199" s="968">
        <f t="shared" si="49"/>
        <v>17.862740298921146</v>
      </c>
      <c r="AG199" s="958">
        <f t="shared" si="47"/>
        <v>42.767797993694067</v>
      </c>
      <c r="AH199" s="958">
        <f t="shared" si="10"/>
        <v>4.0974979740680704</v>
      </c>
      <c r="AI199" s="956"/>
      <c r="AJ199" s="58"/>
      <c r="AK199" s="968">
        <f t="shared" ref="AK199:AK209" si="50">AK198+(AK$210-AK$197)/13</f>
        <v>30.988</v>
      </c>
      <c r="AL199" s="968">
        <f t="shared" ref="AL199:AL209" si="51">AL198+(AL$210-AL$197)/13</f>
        <v>17.06883081134864</v>
      </c>
      <c r="AM199" s="968">
        <f t="shared" ref="AM199:AM209" si="52">AM198+(AM$210-AM$197)/13</f>
        <v>40.389563921558228</v>
      </c>
      <c r="AN199" s="968">
        <f t="shared" ref="AN199:AN209" si="53">AN198+(AN$210-AN$197)/13</f>
        <v>4.0904376012965962</v>
      </c>
      <c r="AO199" s="58"/>
      <c r="AP199" s="58"/>
      <c r="AQ199" s="962">
        <f t="shared" ref="AQ199:AQ212" si="54">AQ198+(AQ$213-AQ$197)/16</f>
        <v>0.99649388231697023</v>
      </c>
      <c r="AR199" s="966">
        <f t="shared" si="11"/>
        <v>0.67110316092337996</v>
      </c>
      <c r="AS199" s="962">
        <f t="shared" si="25"/>
        <v>0.93020077856053274</v>
      </c>
      <c r="AT199" s="963">
        <f t="shared" si="12"/>
        <v>8.0558710550160145E-2</v>
      </c>
      <c r="AU199" s="58"/>
      <c r="AV199" s="58"/>
      <c r="AW199" s="58"/>
      <c r="AX199" s="58"/>
      <c r="AY199" s="958">
        <f t="shared" si="45"/>
        <v>0.10724524634662461</v>
      </c>
      <c r="AZ199" s="958">
        <f t="shared" si="42"/>
        <v>9.2478555417885886</v>
      </c>
      <c r="BA199" s="958">
        <f t="shared" si="24"/>
        <v>3.5502326996863429</v>
      </c>
      <c r="BB199" s="958">
        <f t="shared" si="46"/>
        <v>0.10724524634662461</v>
      </c>
      <c r="BC199" s="956">
        <f t="shared" si="14"/>
        <v>13.012578734168178</v>
      </c>
      <c r="BD199" s="9"/>
      <c r="BE199" s="58"/>
      <c r="BF199" s="956">
        <f t="shared" si="30"/>
        <v>14.654516806563215</v>
      </c>
      <c r="BG199" s="9"/>
    </row>
    <row r="200" spans="1:59" x14ac:dyDescent="0.45">
      <c r="A200" s="14">
        <v>1890</v>
      </c>
      <c r="B200" s="506">
        <v>184.50559999999999</v>
      </c>
      <c r="C200" s="506"/>
      <c r="D200" s="506"/>
      <c r="E200" s="507">
        <v>11.856249999999999</v>
      </c>
      <c r="F200" s="507">
        <v>0</v>
      </c>
      <c r="G200" s="507">
        <v>6.0625</v>
      </c>
      <c r="H200" s="1160">
        <f t="shared" si="29"/>
        <v>14.987117479890713</v>
      </c>
      <c r="I200" s="507">
        <v>7.71875</v>
      </c>
      <c r="J200" s="507">
        <v>32.105600000000003</v>
      </c>
      <c r="K200" s="507">
        <v>56.716722484460789</v>
      </c>
      <c r="L200" s="507">
        <v>4.1549432739059968</v>
      </c>
      <c r="M200" s="507"/>
      <c r="N200" s="507">
        <v>1.6383000000000003</v>
      </c>
      <c r="O200" s="506"/>
      <c r="P200" s="506"/>
      <c r="Q200" s="506"/>
      <c r="R200" s="506">
        <v>120.25306575836679</v>
      </c>
      <c r="S200" s="506">
        <v>64.252534241633199</v>
      </c>
      <c r="T200" s="506">
        <v>184.50559999999999</v>
      </c>
      <c r="V200" s="506">
        <v>120.25306575836679</v>
      </c>
      <c r="W200" s="506"/>
      <c r="Y200" s="1156">
        <v>1890</v>
      </c>
      <c r="Z200" s="958">
        <v>31.09319400793181</v>
      </c>
      <c r="AA200" s="958">
        <v>28.308300000000003</v>
      </c>
      <c r="AB200" s="958">
        <v>51.708049999999993</v>
      </c>
      <c r="AC200" s="956"/>
      <c r="AD200" s="58"/>
      <c r="AE200" s="968">
        <f t="shared" si="49"/>
        <v>29.286663652834008</v>
      </c>
      <c r="AF200" s="968">
        <f t="shared" si="49"/>
        <v>18.062528605312067</v>
      </c>
      <c r="AG200" s="958">
        <f t="shared" si="47"/>
        <v>43.409033600503363</v>
      </c>
      <c r="AH200" s="958">
        <f t="shared" si="10"/>
        <v>4.1655338330632077</v>
      </c>
      <c r="AI200" s="956"/>
      <c r="AJ200" s="58"/>
      <c r="AK200" s="968">
        <f t="shared" si="50"/>
        <v>32.105600000000003</v>
      </c>
      <c r="AL200" s="968">
        <f t="shared" si="51"/>
        <v>16.871664373953308</v>
      </c>
      <c r="AM200" s="968">
        <f t="shared" si="52"/>
        <v>39.84505811050748</v>
      </c>
      <c r="AN200" s="968">
        <f t="shared" si="53"/>
        <v>4.1549432739059968</v>
      </c>
      <c r="AO200" s="58"/>
      <c r="AP200" s="58"/>
      <c r="AQ200" s="962">
        <f t="shared" si="54"/>
        <v>0.99474082347545534</v>
      </c>
      <c r="AR200" s="966">
        <f t="shared" si="11"/>
        <v>0.67110316092337996</v>
      </c>
      <c r="AS200" s="962">
        <f t="shared" si="25"/>
        <v>0.92901774090901634</v>
      </c>
      <c r="AT200" s="963">
        <f t="shared" si="12"/>
        <v>8.0558710550160145E-2</v>
      </c>
      <c r="AU200" s="58"/>
      <c r="AV200" s="58"/>
      <c r="AW200" s="58"/>
      <c r="AX200" s="58"/>
      <c r="AY200" s="958">
        <f t="shared" si="45"/>
        <v>0.16352459599962774</v>
      </c>
      <c r="AZ200" s="958">
        <f t="shared" si="42"/>
        <v>9.3105103896326842</v>
      </c>
      <c r="BA200" s="958">
        <f t="shared" si="24"/>
        <v>3.6703542021895368</v>
      </c>
      <c r="BB200" s="958">
        <f t="shared" si="46"/>
        <v>0.16352459599962774</v>
      </c>
      <c r="BC200" s="956">
        <f t="shared" si="14"/>
        <v>13.307913783821474</v>
      </c>
      <c r="BD200" s="9"/>
      <c r="BE200" s="58"/>
      <c r="BF200" s="956">
        <f t="shared" si="30"/>
        <v>14.987117479890713</v>
      </c>
      <c r="BG200" s="9"/>
    </row>
    <row r="201" spans="1:59" x14ac:dyDescent="0.45">
      <c r="A201" s="14">
        <v>1891</v>
      </c>
      <c r="B201" s="506">
        <v>188.46799999999999</v>
      </c>
      <c r="C201" s="506"/>
      <c r="D201" s="506"/>
      <c r="E201" s="507">
        <v>12.174999999999999</v>
      </c>
      <c r="F201" s="507">
        <v>0</v>
      </c>
      <c r="G201" s="507">
        <v>6.25</v>
      </c>
      <c r="H201" s="1160">
        <f t="shared" si="29"/>
        <v>15.323517304954974</v>
      </c>
      <c r="I201" s="507">
        <v>8.125</v>
      </c>
      <c r="J201" s="507">
        <v>33.223200000000006</v>
      </c>
      <c r="K201" s="507">
        <v>55.97505023601471</v>
      </c>
      <c r="L201" s="507">
        <v>4.2194489465153975</v>
      </c>
      <c r="M201" s="507"/>
      <c r="N201" s="507">
        <v>1.6764000000000003</v>
      </c>
      <c r="O201" s="506"/>
      <c r="P201" s="506"/>
      <c r="Q201" s="506"/>
      <c r="R201" s="506">
        <v>121.64409918253011</v>
      </c>
      <c r="S201" s="506">
        <v>66.823900817469877</v>
      </c>
      <c r="T201" s="506">
        <v>188.46799999999999</v>
      </c>
      <c r="V201" s="506">
        <v>121.64409918253011</v>
      </c>
      <c r="W201" s="506"/>
      <c r="Y201" s="1156">
        <v>1891</v>
      </c>
      <c r="Z201" s="958">
        <v>31.443832261454002</v>
      </c>
      <c r="AA201" s="958">
        <v>28.498800000000003</v>
      </c>
      <c r="AB201" s="958">
        <v>52.552599999999991</v>
      </c>
      <c r="AC201" s="956"/>
      <c r="AD201" s="58"/>
      <c r="AE201" s="968">
        <f t="shared" si="49"/>
        <v>29.464618203778677</v>
      </c>
      <c r="AF201" s="968">
        <f t="shared" si="49"/>
        <v>18.262316911702989</v>
      </c>
      <c r="AG201" s="958">
        <f t="shared" si="47"/>
        <v>44.048018795174066</v>
      </c>
      <c r="AH201" s="958">
        <f t="shared" si="10"/>
        <v>4.233569692058345</v>
      </c>
      <c r="AI201" s="956"/>
      <c r="AJ201" s="58"/>
      <c r="AK201" s="968">
        <f t="shared" si="50"/>
        <v>33.223200000000006</v>
      </c>
      <c r="AL201" s="968">
        <f t="shared" si="51"/>
        <v>16.674497936557977</v>
      </c>
      <c r="AM201" s="968">
        <f t="shared" si="52"/>
        <v>39.300552299456733</v>
      </c>
      <c r="AN201" s="968">
        <f t="shared" si="53"/>
        <v>4.2194489465153975</v>
      </c>
      <c r="AO201" s="58"/>
      <c r="AP201" s="58"/>
      <c r="AQ201" s="962">
        <f t="shared" si="54"/>
        <v>0.99298776463394045</v>
      </c>
      <c r="AR201" s="966">
        <f t="shared" si="11"/>
        <v>0.67110316092337996</v>
      </c>
      <c r="AS201" s="962">
        <f t="shared" si="25"/>
        <v>0.92783470325749995</v>
      </c>
      <c r="AT201" s="963">
        <f t="shared" si="12"/>
        <v>8.0558710550160145E-2</v>
      </c>
      <c r="AU201" s="58"/>
      <c r="AV201" s="58"/>
      <c r="AW201" s="58"/>
      <c r="AX201" s="58"/>
      <c r="AY201" s="958">
        <f t="shared" si="45"/>
        <v>0.22049155262821196</v>
      </c>
      <c r="AZ201" s="958">
        <f t="shared" si="42"/>
        <v>9.3731652374767798</v>
      </c>
      <c r="BA201" s="958">
        <f t="shared" si="24"/>
        <v>3.7924739735899076</v>
      </c>
      <c r="BB201" s="958">
        <f t="shared" si="46"/>
        <v>0.22049155262821196</v>
      </c>
      <c r="BC201" s="956">
        <f t="shared" si="14"/>
        <v>13.606622316323113</v>
      </c>
      <c r="BD201" s="9"/>
      <c r="BE201" s="58"/>
      <c r="BF201" s="956">
        <f t="shared" si="30"/>
        <v>15.323517304954974</v>
      </c>
      <c r="BG201" s="9"/>
    </row>
    <row r="202" spans="1:59" x14ac:dyDescent="0.45">
      <c r="A202" s="14">
        <v>1892</v>
      </c>
      <c r="B202" s="506">
        <v>184.70880000000002</v>
      </c>
      <c r="C202" s="506"/>
      <c r="D202" s="506"/>
      <c r="E202" s="507">
        <v>12.493749999999999</v>
      </c>
      <c r="F202" s="507">
        <v>0</v>
      </c>
      <c r="G202" s="507">
        <v>6.4375</v>
      </c>
      <c r="H202" s="1160">
        <f t="shared" si="29"/>
        <v>15.638081121682838</v>
      </c>
      <c r="I202" s="507">
        <v>8.53125</v>
      </c>
      <c r="J202" s="507">
        <v>34.340800000000009</v>
      </c>
      <c r="K202" s="507">
        <v>55.23337798756863</v>
      </c>
      <c r="L202" s="507">
        <v>4.2839546191247981</v>
      </c>
      <c r="M202" s="507"/>
      <c r="N202" s="507">
        <v>1.7145000000000006</v>
      </c>
      <c r="O202" s="506"/>
      <c r="P202" s="506"/>
      <c r="Q202" s="506"/>
      <c r="R202" s="506">
        <v>123.03513260669344</v>
      </c>
      <c r="S202" s="506">
        <v>61.673667393306587</v>
      </c>
      <c r="T202" s="506">
        <v>184.70880000000002</v>
      </c>
      <c r="V202" s="506">
        <v>123.03513260669344</v>
      </c>
      <c r="W202" s="506"/>
      <c r="Y202" s="1156">
        <v>1892</v>
      </c>
      <c r="Z202" s="958">
        <v>30.434193284089837</v>
      </c>
      <c r="AA202" s="958">
        <v>28.689299999999999</v>
      </c>
      <c r="AB202" s="958">
        <v>53.397149999999982</v>
      </c>
      <c r="AC202" s="956"/>
      <c r="AD202" s="58"/>
      <c r="AE202" s="968">
        <f t="shared" si="49"/>
        <v>29.642572754723346</v>
      </c>
      <c r="AF202" s="968">
        <f t="shared" si="49"/>
        <v>18.46210521809391</v>
      </c>
      <c r="AG202" s="958">
        <f t="shared" si="47"/>
        <v>44.684753577706175</v>
      </c>
      <c r="AH202" s="958">
        <f t="shared" ref="AH202:AH211" si="55">AB202*AT202</f>
        <v>4.3016055510534823</v>
      </c>
      <c r="AI202" s="956"/>
      <c r="AJ202" s="58"/>
      <c r="AK202" s="968">
        <f t="shared" si="50"/>
        <v>34.340800000000009</v>
      </c>
      <c r="AL202" s="968">
        <f t="shared" si="51"/>
        <v>16.477331499162645</v>
      </c>
      <c r="AM202" s="968">
        <f t="shared" si="52"/>
        <v>38.756046488405985</v>
      </c>
      <c r="AN202" s="968">
        <f t="shared" si="53"/>
        <v>4.2839546191247981</v>
      </c>
      <c r="AO202" s="58"/>
      <c r="AP202" s="58"/>
      <c r="AQ202" s="962">
        <f t="shared" si="54"/>
        <v>0.99123470579242556</v>
      </c>
      <c r="AR202" s="966">
        <f t="shared" ref="AR202:AR211" si="56">AR203</f>
        <v>0.67110316092337996</v>
      </c>
      <c r="AS202" s="962">
        <f t="shared" si="25"/>
        <v>0.92665166560598355</v>
      </c>
      <c r="AT202" s="963">
        <f t="shared" ref="AT202:AT211" si="57">AT203</f>
        <v>8.0558710550160145E-2</v>
      </c>
      <c r="AU202" s="58"/>
      <c r="AV202" s="58"/>
      <c r="AW202" s="58"/>
      <c r="AX202" s="58"/>
      <c r="AY202" s="958">
        <f t="shared" si="45"/>
        <v>0.26676465810523348</v>
      </c>
      <c r="AZ202" s="958">
        <f t="shared" si="42"/>
        <v>9.4358200853208754</v>
      </c>
      <c r="BA202" s="958">
        <f t="shared" si="24"/>
        <v>3.9165920138874539</v>
      </c>
      <c r="BB202" s="958">
        <f t="shared" si="46"/>
        <v>0.26676465810523348</v>
      </c>
      <c r="BC202" s="956">
        <f t="shared" ref="BC202:BC209" si="58">AY202+AZ202+BA202+BB202</f>
        <v>13.885941415418795</v>
      </c>
      <c r="BD202" s="9"/>
      <c r="BE202" s="58"/>
      <c r="BF202" s="956">
        <f t="shared" si="30"/>
        <v>15.638081121682838</v>
      </c>
      <c r="BG202" s="9"/>
    </row>
    <row r="203" spans="1:59" x14ac:dyDescent="0.45">
      <c r="A203" s="14">
        <v>1893</v>
      </c>
      <c r="B203" s="506">
        <v>166.92880000000002</v>
      </c>
      <c r="C203" s="506"/>
      <c r="D203" s="506"/>
      <c r="E203" s="507">
        <v>12.812499999999998</v>
      </c>
      <c r="F203" s="507">
        <v>0</v>
      </c>
      <c r="G203" s="507">
        <v>6.625</v>
      </c>
      <c r="H203" s="1160">
        <f t="shared" si="29"/>
        <v>15.873873917782412</v>
      </c>
      <c r="I203" s="507">
        <v>8.9375</v>
      </c>
      <c r="J203" s="507">
        <v>35.458400000000012</v>
      </c>
      <c r="K203" s="507">
        <v>54.491705739122551</v>
      </c>
      <c r="L203" s="507">
        <v>4.3484602917341988</v>
      </c>
      <c r="M203" s="507"/>
      <c r="N203" s="507">
        <v>1.7526000000000006</v>
      </c>
      <c r="O203" s="506"/>
      <c r="P203" s="506"/>
      <c r="Q203" s="506"/>
      <c r="R203" s="506">
        <v>124.42616603085676</v>
      </c>
      <c r="S203" s="506">
        <v>42.502633969143261</v>
      </c>
      <c r="T203" s="506">
        <v>166.92880000000002</v>
      </c>
      <c r="V203" s="506">
        <v>124.42616603085676</v>
      </c>
      <c r="W203" s="506"/>
      <c r="Y203" s="1156">
        <v>1893</v>
      </c>
      <c r="Z203" s="958">
        <v>26.341195599441509</v>
      </c>
      <c r="AA203" s="958">
        <v>28.879799999999999</v>
      </c>
      <c r="AB203" s="958">
        <v>54.24169999999998</v>
      </c>
      <c r="AC203" s="956"/>
      <c r="AD203" s="58"/>
      <c r="AE203" s="968">
        <f t="shared" si="49"/>
        <v>29.820527305668016</v>
      </c>
      <c r="AF203" s="968">
        <f t="shared" si="49"/>
        <v>18.661893524484832</v>
      </c>
      <c r="AG203" s="958">
        <f t="shared" si="47"/>
        <v>45.319237948099705</v>
      </c>
      <c r="AH203" s="958">
        <f t="shared" si="55"/>
        <v>4.3696414100486196</v>
      </c>
      <c r="AI203" s="956"/>
      <c r="AJ203" s="58"/>
      <c r="AK203" s="968">
        <f t="shared" si="50"/>
        <v>35.458400000000012</v>
      </c>
      <c r="AL203" s="968">
        <f t="shared" si="51"/>
        <v>16.280165061767313</v>
      </c>
      <c r="AM203" s="968">
        <f t="shared" si="52"/>
        <v>38.211540677355238</v>
      </c>
      <c r="AN203" s="968">
        <f t="shared" si="53"/>
        <v>4.3484602917341988</v>
      </c>
      <c r="AO203" s="58"/>
      <c r="AP203" s="58"/>
      <c r="AQ203" s="962">
        <f t="shared" si="54"/>
        <v>0.98948164695091068</v>
      </c>
      <c r="AR203" s="966">
        <f t="shared" si="56"/>
        <v>0.67110316092337996</v>
      </c>
      <c r="AS203" s="962">
        <f t="shared" si="25"/>
        <v>0.92546862795446716</v>
      </c>
      <c r="AT203" s="963">
        <f t="shared" si="57"/>
        <v>8.0558710550160145E-2</v>
      </c>
      <c r="AU203" s="58"/>
      <c r="AV203" s="58"/>
      <c r="AW203" s="58"/>
      <c r="AX203" s="58"/>
      <c r="AY203" s="958">
        <f t="shared" si="45"/>
        <v>0.27706599505004387</v>
      </c>
      <c r="AZ203" s="958">
        <f t="shared" si="42"/>
        <v>9.4984749331649709</v>
      </c>
      <c r="BA203" s="958">
        <f t="shared" si="24"/>
        <v>4.0427083230821772</v>
      </c>
      <c r="BB203" s="958">
        <f t="shared" si="46"/>
        <v>0.27706599505004387</v>
      </c>
      <c r="BC203" s="956">
        <f t="shared" si="58"/>
        <v>14.095315246347237</v>
      </c>
      <c r="BD203" s="9"/>
      <c r="BE203" s="58"/>
      <c r="BF203" s="956">
        <f t="shared" si="30"/>
        <v>15.873873917782412</v>
      </c>
      <c r="BG203" s="9"/>
    </row>
    <row r="204" spans="1:59" x14ac:dyDescent="0.45">
      <c r="A204" s="14">
        <v>1894</v>
      </c>
      <c r="B204" s="506">
        <v>191.31280000000001</v>
      </c>
      <c r="C204" s="506"/>
      <c r="D204" s="506"/>
      <c r="E204" s="507">
        <v>13.131249999999998</v>
      </c>
      <c r="F204" s="507">
        <v>0</v>
      </c>
      <c r="G204" s="507">
        <v>6.8125</v>
      </c>
      <c r="H204" s="1160">
        <f t="shared" si="29"/>
        <v>16.312803418118268</v>
      </c>
      <c r="I204" s="507">
        <v>9.34375</v>
      </c>
      <c r="J204" s="507">
        <v>36.576000000000015</v>
      </c>
      <c r="K204" s="507">
        <v>53.750033490676472</v>
      </c>
      <c r="L204" s="507">
        <v>4.4129659643435994</v>
      </c>
      <c r="M204" s="507"/>
      <c r="N204" s="507">
        <v>1.7907000000000006</v>
      </c>
      <c r="O204" s="506"/>
      <c r="P204" s="506"/>
      <c r="Q204" s="506"/>
      <c r="R204" s="506">
        <v>125.81719945502009</v>
      </c>
      <c r="S204" s="506">
        <v>65.495600544979922</v>
      </c>
      <c r="T204" s="506">
        <v>191.31280000000001</v>
      </c>
      <c r="V204" s="506">
        <v>125.81719945502009</v>
      </c>
      <c r="W204" s="506"/>
      <c r="Y204" s="1156">
        <v>1894</v>
      </c>
      <c r="Z204" s="958">
        <v>30.685671377141723</v>
      </c>
      <c r="AA204" s="958">
        <v>29.0703</v>
      </c>
      <c r="AB204" s="958">
        <v>55.086249999999978</v>
      </c>
      <c r="AC204" s="956"/>
      <c r="AD204" s="58"/>
      <c r="AE204" s="968">
        <f t="shared" si="49"/>
        <v>29.998481856612685</v>
      </c>
      <c r="AF204" s="968">
        <f t="shared" si="49"/>
        <v>18.861681830875753</v>
      </c>
      <c r="AG204" s="958">
        <f t="shared" si="47"/>
        <v>45.951471906354641</v>
      </c>
      <c r="AH204" s="958">
        <f t="shared" si="55"/>
        <v>4.4376772690437578</v>
      </c>
      <c r="AI204" s="956"/>
      <c r="AJ204" s="58"/>
      <c r="AK204" s="968">
        <f t="shared" si="50"/>
        <v>36.576000000000015</v>
      </c>
      <c r="AL204" s="968">
        <f t="shared" si="51"/>
        <v>16.082998624371982</v>
      </c>
      <c r="AM204" s="968">
        <f t="shared" si="52"/>
        <v>37.66703486630449</v>
      </c>
      <c r="AN204" s="968">
        <f t="shared" si="53"/>
        <v>4.4129659643435994</v>
      </c>
      <c r="AO204" s="58"/>
      <c r="AP204" s="58"/>
      <c r="AQ204" s="962">
        <f t="shared" si="54"/>
        <v>0.98772858810939579</v>
      </c>
      <c r="AR204" s="966">
        <f t="shared" si="56"/>
        <v>0.67110316092337996</v>
      </c>
      <c r="AS204" s="962">
        <f t="shared" si="25"/>
        <v>0.92428559030295077</v>
      </c>
      <c r="AT204" s="963">
        <f t="shared" si="57"/>
        <v>8.0558710550160145E-2</v>
      </c>
      <c r="AU204" s="58"/>
      <c r="AV204" s="58"/>
      <c r="AW204" s="58"/>
      <c r="AX204" s="58"/>
      <c r="AY204" s="958">
        <f t="shared" si="45"/>
        <v>0.37655651260863027</v>
      </c>
      <c r="AZ204" s="958">
        <f t="shared" si="42"/>
        <v>9.5611297810090683</v>
      </c>
      <c r="BA204" s="958">
        <f t="shared" ref="BA204:BA208" si="59">+AB204*(1-AS204)</f>
        <v>4.1708229011740769</v>
      </c>
      <c r="BB204" s="958">
        <f t="shared" si="46"/>
        <v>0.37655651260863027</v>
      </c>
      <c r="BC204" s="956">
        <f t="shared" si="58"/>
        <v>14.485065707400405</v>
      </c>
      <c r="BD204" s="9"/>
      <c r="BE204" s="58"/>
      <c r="BF204" s="956">
        <f t="shared" si="30"/>
        <v>16.312803418118268</v>
      </c>
      <c r="BG204" s="9"/>
    </row>
    <row r="205" spans="1:59" x14ac:dyDescent="0.45">
      <c r="A205" s="14">
        <v>1895</v>
      </c>
      <c r="B205" s="506">
        <v>192.73519999999999</v>
      </c>
      <c r="C205" s="506"/>
      <c r="D205" s="506"/>
      <c r="E205" s="507">
        <v>13.449999999999998</v>
      </c>
      <c r="F205" s="507">
        <v>0.1</v>
      </c>
      <c r="G205" s="507">
        <v>7</v>
      </c>
      <c r="H205" s="1160">
        <f t="shared" si="29"/>
        <v>16.651072081911508</v>
      </c>
      <c r="I205" s="507">
        <v>9.75</v>
      </c>
      <c r="J205" s="507">
        <v>37.693600000000018</v>
      </c>
      <c r="K205" s="507">
        <v>53.008361242230393</v>
      </c>
      <c r="L205" s="507">
        <v>4.4774716369530001</v>
      </c>
      <c r="M205" s="507"/>
      <c r="N205" s="507">
        <v>1.8288000000000006</v>
      </c>
      <c r="O205" s="506"/>
      <c r="P205" s="506"/>
      <c r="Q205" s="506"/>
      <c r="R205" s="506">
        <v>127.30823287918341</v>
      </c>
      <c r="S205" s="506">
        <v>65.426967120816585</v>
      </c>
      <c r="T205" s="506">
        <v>192.73519999999999</v>
      </c>
      <c r="V205" s="506">
        <v>127.30823287918341</v>
      </c>
      <c r="W205" s="506"/>
      <c r="Y205" s="1156">
        <v>1895</v>
      </c>
      <c r="Z205" s="958">
        <v>30.686124542471291</v>
      </c>
      <c r="AA205" s="958">
        <v>29.2608</v>
      </c>
      <c r="AB205" s="958">
        <v>55.930799999999977</v>
      </c>
      <c r="AC205" s="956"/>
      <c r="AD205" s="58"/>
      <c r="AE205" s="968">
        <f t="shared" si="49"/>
        <v>30.176436407557354</v>
      </c>
      <c r="AF205" s="968">
        <f t="shared" si="49"/>
        <v>19.061470137266674</v>
      </c>
      <c r="AG205" s="958">
        <f t="shared" si="47"/>
        <v>46.581455452471005</v>
      </c>
      <c r="AH205" s="958">
        <f t="shared" si="55"/>
        <v>4.5057131280388951</v>
      </c>
      <c r="AI205" s="956"/>
      <c r="AJ205" s="58"/>
      <c r="AK205" s="968">
        <f t="shared" si="50"/>
        <v>37.693600000000018</v>
      </c>
      <c r="AL205" s="968">
        <f t="shared" si="51"/>
        <v>15.88583218697665</v>
      </c>
      <c r="AM205" s="968">
        <f t="shared" si="52"/>
        <v>37.122529055253743</v>
      </c>
      <c r="AN205" s="968">
        <f t="shared" si="53"/>
        <v>4.4774716369530001</v>
      </c>
      <c r="AO205" s="58"/>
      <c r="AP205" s="58"/>
      <c r="AQ205" s="962">
        <f t="shared" si="54"/>
        <v>0.9859755292678809</v>
      </c>
      <c r="AR205" s="966">
        <f t="shared" si="56"/>
        <v>0.67110316092337996</v>
      </c>
      <c r="AS205" s="962">
        <f t="shared" si="25"/>
        <v>0.92310255265143437</v>
      </c>
      <c r="AT205" s="963">
        <f t="shared" si="57"/>
        <v>8.0558710550160145E-2</v>
      </c>
      <c r="AU205" s="58"/>
      <c r="AV205" s="58"/>
      <c r="AW205" s="58"/>
      <c r="AX205" s="58"/>
      <c r="AY205" s="958">
        <f t="shared" si="45"/>
        <v>0.43035665552805019</v>
      </c>
      <c r="AZ205" s="958">
        <f t="shared" si="42"/>
        <v>9.6237846288531639</v>
      </c>
      <c r="BA205" s="958">
        <f t="shared" si="59"/>
        <v>4.3009357481631527</v>
      </c>
      <c r="BB205" s="958">
        <f t="shared" si="46"/>
        <v>0.43035665552805019</v>
      </c>
      <c r="BC205" s="956">
        <f t="shared" si="58"/>
        <v>14.785433688072414</v>
      </c>
      <c r="BD205" s="9"/>
      <c r="BE205" s="58"/>
      <c r="BF205" s="956">
        <f t="shared" si="30"/>
        <v>16.651072081911508</v>
      </c>
      <c r="BG205" s="9"/>
    </row>
    <row r="206" spans="1:59" x14ac:dyDescent="0.45">
      <c r="A206" s="14">
        <v>1896</v>
      </c>
      <c r="B206" s="506">
        <v>198.5264</v>
      </c>
      <c r="C206" s="506"/>
      <c r="D206" s="506"/>
      <c r="E206" s="507">
        <v>13.768749999999997</v>
      </c>
      <c r="F206" s="507">
        <v>0.46250000000000002</v>
      </c>
      <c r="G206" s="507">
        <v>7.1875</v>
      </c>
      <c r="H206" s="1160">
        <f t="shared" si="29"/>
        <v>17.013360824909444</v>
      </c>
      <c r="I206" s="507">
        <v>10.15625</v>
      </c>
      <c r="J206" s="507">
        <v>38.811200000000021</v>
      </c>
      <c r="K206" s="507">
        <v>52.266688993784314</v>
      </c>
      <c r="L206" s="507">
        <v>4.5419773095624008</v>
      </c>
      <c r="M206" s="507"/>
      <c r="N206" s="507">
        <v>1.8669000000000009</v>
      </c>
      <c r="O206" s="506"/>
      <c r="P206" s="506"/>
      <c r="Q206" s="506"/>
      <c r="R206" s="506">
        <v>129.06176630334673</v>
      </c>
      <c r="S206" s="506">
        <v>69.464633696653266</v>
      </c>
      <c r="T206" s="506">
        <v>198.5264</v>
      </c>
      <c r="V206" s="506">
        <v>129.06176630334673</v>
      </c>
      <c r="W206" s="506"/>
      <c r="Y206" s="1156">
        <v>1896</v>
      </c>
      <c r="Z206" s="958">
        <v>31.299073708132191</v>
      </c>
      <c r="AA206" s="958">
        <v>29.4513</v>
      </c>
      <c r="AB206" s="958">
        <v>56.775349999999975</v>
      </c>
      <c r="AC206" s="956"/>
      <c r="AD206" s="58"/>
      <c r="AE206" s="968">
        <f t="shared" si="49"/>
        <v>30.354390958502023</v>
      </c>
      <c r="AF206" s="968">
        <f t="shared" si="49"/>
        <v>19.261258443657596</v>
      </c>
      <c r="AG206" s="958">
        <f t="shared" si="47"/>
        <v>47.209188586448768</v>
      </c>
      <c r="AH206" s="958">
        <f t="shared" si="55"/>
        <v>4.5737489870340324</v>
      </c>
      <c r="AI206" s="956"/>
      <c r="AJ206" s="58"/>
      <c r="AK206" s="968">
        <f t="shared" si="50"/>
        <v>38.811200000000021</v>
      </c>
      <c r="AL206" s="968">
        <f t="shared" si="51"/>
        <v>15.688665749581318</v>
      </c>
      <c r="AM206" s="968">
        <f t="shared" si="52"/>
        <v>36.578023244202996</v>
      </c>
      <c r="AN206" s="968">
        <f t="shared" si="53"/>
        <v>4.5419773095624008</v>
      </c>
      <c r="AO206" s="58"/>
      <c r="AP206" s="58"/>
      <c r="AQ206" s="962">
        <f t="shared" si="54"/>
        <v>0.98422247042636601</v>
      </c>
      <c r="AR206" s="966">
        <f t="shared" si="56"/>
        <v>0.67110316092337996</v>
      </c>
      <c r="AS206" s="962">
        <f t="shared" ref="AS206:AS212" si="60">AS205+(AS$213-AS$140)/73</f>
        <v>0.92191951499991798</v>
      </c>
      <c r="AT206" s="963">
        <f t="shared" si="57"/>
        <v>8.0558710550160145E-2</v>
      </c>
      <c r="AU206" s="58"/>
      <c r="AV206" s="58"/>
      <c r="AW206" s="58"/>
      <c r="AX206" s="58"/>
      <c r="AY206" s="958">
        <f t="shared" si="45"/>
        <v>0.49382206105740561</v>
      </c>
      <c r="AZ206" s="958">
        <f t="shared" si="42"/>
        <v>9.6864394766972595</v>
      </c>
      <c r="BA206" s="958">
        <f t="shared" si="59"/>
        <v>4.4330468640494045</v>
      </c>
      <c r="BB206" s="958">
        <f t="shared" si="46"/>
        <v>0.49382206105740561</v>
      </c>
      <c r="BC206" s="956">
        <f t="shared" si="58"/>
        <v>15.107130462861475</v>
      </c>
      <c r="BD206" s="9"/>
      <c r="BE206" s="58"/>
      <c r="BF206" s="956">
        <f t="shared" si="30"/>
        <v>17.013360824909444</v>
      </c>
      <c r="BG206" s="9"/>
    </row>
    <row r="207" spans="1:59" x14ac:dyDescent="0.45">
      <c r="A207" s="14">
        <v>1897</v>
      </c>
      <c r="B207" s="506">
        <v>205.33359999999999</v>
      </c>
      <c r="C207" s="506"/>
      <c r="D207" s="506"/>
      <c r="E207" s="507">
        <v>14.087499999999997</v>
      </c>
      <c r="F207" s="507">
        <v>0.82499999999999996</v>
      </c>
      <c r="G207" s="507">
        <v>7.375</v>
      </c>
      <c r="H207" s="1160">
        <f t="shared" si="29"/>
        <v>17.374851919920435</v>
      </c>
      <c r="I207" s="507">
        <v>10.5625</v>
      </c>
      <c r="J207" s="507">
        <v>39.928800000000024</v>
      </c>
      <c r="K207" s="507">
        <v>51.525016745338235</v>
      </c>
      <c r="L207" s="507">
        <v>4.6064829821718014</v>
      </c>
      <c r="M207" s="507"/>
      <c r="N207" s="507">
        <v>1.9050000000000009</v>
      </c>
      <c r="O207" s="506"/>
      <c r="P207" s="506"/>
      <c r="Q207" s="506"/>
      <c r="R207" s="506">
        <v>130.81529972751005</v>
      </c>
      <c r="S207" s="506">
        <v>74.518300272489938</v>
      </c>
      <c r="T207" s="506">
        <v>205.33359999999999</v>
      </c>
      <c r="V207" s="506">
        <v>130.81529972751005</v>
      </c>
      <c r="W207" s="506"/>
      <c r="Y207" s="1156">
        <v>1897</v>
      </c>
      <c r="Z207" s="958">
        <v>31.712238087608871</v>
      </c>
      <c r="AA207" s="958">
        <v>29.6418</v>
      </c>
      <c r="AB207" s="958">
        <v>57.619899999999973</v>
      </c>
      <c r="AC207" s="956"/>
      <c r="AD207" s="58"/>
      <c r="AE207" s="968">
        <f t="shared" si="49"/>
        <v>30.532345509446692</v>
      </c>
      <c r="AF207" s="968">
        <f t="shared" si="49"/>
        <v>19.461046750048517</v>
      </c>
      <c r="AG207" s="958">
        <f t="shared" si="47"/>
        <v>47.834671308287945</v>
      </c>
      <c r="AH207" s="958">
        <f t="shared" si="55"/>
        <v>4.6417848460291706</v>
      </c>
      <c r="AI207" s="956"/>
      <c r="AJ207" s="58"/>
      <c r="AK207" s="968">
        <f t="shared" si="50"/>
        <v>39.928800000000024</v>
      </c>
      <c r="AL207" s="968">
        <f t="shared" si="51"/>
        <v>15.491499312185987</v>
      </c>
      <c r="AM207" s="968">
        <f t="shared" si="52"/>
        <v>36.033517433152248</v>
      </c>
      <c r="AN207" s="968">
        <f t="shared" si="53"/>
        <v>4.6064829821718014</v>
      </c>
      <c r="AO207" s="58"/>
      <c r="AP207" s="58"/>
      <c r="AQ207" s="962">
        <f t="shared" si="54"/>
        <v>0.98246941158485113</v>
      </c>
      <c r="AR207" s="966">
        <f t="shared" si="56"/>
        <v>0.67110316092337996</v>
      </c>
      <c r="AS207" s="962">
        <f t="shared" si="60"/>
        <v>0.92073647734840158</v>
      </c>
      <c r="AT207" s="963">
        <f t="shared" si="57"/>
        <v>8.0558710550160145E-2</v>
      </c>
      <c r="AU207" s="58"/>
      <c r="AV207" s="58"/>
      <c r="AW207" s="58"/>
      <c r="AX207" s="58"/>
      <c r="AY207" s="958">
        <f t="shared" si="45"/>
        <v>0.55593419363707897</v>
      </c>
      <c r="AZ207" s="958">
        <f t="shared" si="42"/>
        <v>9.749094324541355</v>
      </c>
      <c r="BA207" s="958">
        <f t="shared" si="59"/>
        <v>4.5671562488328332</v>
      </c>
      <c r="BB207" s="958">
        <f t="shared" si="46"/>
        <v>0.55593419363707897</v>
      </c>
      <c r="BC207" s="956">
        <f t="shared" si="58"/>
        <v>15.428118960648344</v>
      </c>
      <c r="BD207" s="9"/>
      <c r="BE207" s="58"/>
      <c r="BF207" s="956">
        <f t="shared" si="30"/>
        <v>17.374851919920435</v>
      </c>
      <c r="BG207" s="9"/>
    </row>
    <row r="208" spans="1:59" x14ac:dyDescent="0.45">
      <c r="A208" s="14">
        <v>1898</v>
      </c>
      <c r="B208" s="506">
        <v>205.232</v>
      </c>
      <c r="C208" s="506"/>
      <c r="D208" s="506"/>
      <c r="E208" s="507">
        <v>14.406249999999996</v>
      </c>
      <c r="F208" s="507">
        <v>1.1875</v>
      </c>
      <c r="G208" s="507">
        <v>7.5625</v>
      </c>
      <c r="H208" s="1160">
        <f t="shared" si="29"/>
        <v>17.705197203347915</v>
      </c>
      <c r="I208" s="507">
        <v>10.96875</v>
      </c>
      <c r="J208" s="507">
        <v>41.046400000000027</v>
      </c>
      <c r="K208" s="507">
        <v>50.783344496892155</v>
      </c>
      <c r="L208" s="507">
        <v>4.6709886547812021</v>
      </c>
      <c r="M208" s="507"/>
      <c r="N208" s="507">
        <v>1.9431000000000009</v>
      </c>
      <c r="O208" s="506"/>
      <c r="P208" s="506"/>
      <c r="Q208" s="506"/>
      <c r="R208" s="506">
        <v>132.56883315167337</v>
      </c>
      <c r="S208" s="506">
        <v>72.663166848326625</v>
      </c>
      <c r="T208" s="506">
        <v>205.232</v>
      </c>
      <c r="V208" s="506">
        <v>132.56883315167337</v>
      </c>
      <c r="W208" s="506"/>
      <c r="Y208" s="1156">
        <v>1898</v>
      </c>
      <c r="Z208" s="958">
        <v>31.28138132819403</v>
      </c>
      <c r="AA208" s="958">
        <v>29.8323</v>
      </c>
      <c r="AB208" s="958">
        <v>58.464449999999971</v>
      </c>
      <c r="AC208" s="956"/>
      <c r="AD208" s="58"/>
      <c r="AE208" s="968">
        <f t="shared" si="49"/>
        <v>30.710300060391361</v>
      </c>
      <c r="AF208" s="968">
        <f t="shared" si="49"/>
        <v>19.660835056439439</v>
      </c>
      <c r="AG208" s="958">
        <f t="shared" si="47"/>
        <v>48.457903617988535</v>
      </c>
      <c r="AH208" s="958">
        <f t="shared" si="55"/>
        <v>4.7098207050243079</v>
      </c>
      <c r="AI208" s="956"/>
      <c r="AJ208" s="58"/>
      <c r="AK208" s="968">
        <f t="shared" si="50"/>
        <v>41.046400000000027</v>
      </c>
      <c r="AL208" s="968">
        <f t="shared" si="51"/>
        <v>15.294332874790655</v>
      </c>
      <c r="AM208" s="968">
        <f t="shared" si="52"/>
        <v>35.489011622101501</v>
      </c>
      <c r="AN208" s="968">
        <f t="shared" si="53"/>
        <v>4.6709886547812021</v>
      </c>
      <c r="AO208" s="58"/>
      <c r="AP208" s="58"/>
      <c r="AQ208" s="962">
        <f t="shared" si="54"/>
        <v>0.98071635274333624</v>
      </c>
      <c r="AR208" s="966">
        <f t="shared" si="56"/>
        <v>0.67110316092337996</v>
      </c>
      <c r="AS208" s="962">
        <f t="shared" si="60"/>
        <v>0.91955343969688519</v>
      </c>
      <c r="AT208" s="963">
        <f t="shared" si="57"/>
        <v>8.0558710550160145E-2</v>
      </c>
      <c r="AU208" s="58"/>
      <c r="AV208" s="58"/>
      <c r="AW208" s="58"/>
      <c r="AX208" s="58"/>
      <c r="AY208" s="958">
        <f t="shared" si="45"/>
        <v>0.60321912323408178</v>
      </c>
      <c r="AZ208" s="958">
        <f t="shared" si="42"/>
        <v>9.8117491723854524</v>
      </c>
      <c r="BA208" s="958">
        <f t="shared" si="59"/>
        <v>4.703263902513438</v>
      </c>
      <c r="BB208" s="958">
        <f t="shared" si="46"/>
        <v>0.60321912323408178</v>
      </c>
      <c r="BC208" s="956">
        <f t="shared" si="58"/>
        <v>15.721451321367054</v>
      </c>
      <c r="BD208" s="9"/>
      <c r="BE208" s="58"/>
      <c r="BF208" s="956">
        <f t="shared" si="30"/>
        <v>17.705197203347915</v>
      </c>
      <c r="BG208" s="9"/>
    </row>
    <row r="209" spans="1:59" x14ac:dyDescent="0.45">
      <c r="A209" s="14">
        <v>1899</v>
      </c>
      <c r="B209" s="506">
        <v>223.6216</v>
      </c>
      <c r="C209" s="506"/>
      <c r="D209" s="506"/>
      <c r="E209" s="507">
        <v>14.724999999999996</v>
      </c>
      <c r="F209" s="507">
        <v>1.55</v>
      </c>
      <c r="G209" s="507">
        <v>7.75</v>
      </c>
      <c r="H209" s="1160">
        <f>BF209</f>
        <v>18.157683601824147</v>
      </c>
      <c r="I209" s="507">
        <v>11.375</v>
      </c>
      <c r="J209" s="507">
        <v>42.16400000000003</v>
      </c>
      <c r="K209" s="507">
        <v>50.041672248446076</v>
      </c>
      <c r="L209" s="507">
        <v>4.7354943273906027</v>
      </c>
      <c r="M209" s="507"/>
      <c r="N209" s="507">
        <v>1.9812000000000012</v>
      </c>
      <c r="O209" s="506"/>
      <c r="P209" s="506"/>
      <c r="Q209" s="506"/>
      <c r="R209" s="506">
        <v>134.3223665758367</v>
      </c>
      <c r="S209" s="506">
        <v>89.299233424163305</v>
      </c>
      <c r="T209" s="506">
        <v>223.6216</v>
      </c>
      <c r="V209" s="506">
        <v>134.3223665758367</v>
      </c>
      <c r="W209" s="506"/>
      <c r="Y209" s="1156">
        <v>1899</v>
      </c>
      <c r="Z209" s="958">
        <v>33.452620178278444</v>
      </c>
      <c r="AA209" s="958">
        <v>30.0228</v>
      </c>
      <c r="AB209" s="958">
        <v>59.308999999999962</v>
      </c>
      <c r="AC209" s="956"/>
      <c r="AD209" s="58"/>
      <c r="AE209" s="968">
        <f t="shared" si="49"/>
        <v>30.888254611336031</v>
      </c>
      <c r="AF209" s="968">
        <f t="shared" si="49"/>
        <v>19.86062336283036</v>
      </c>
      <c r="AG209" s="958">
        <f t="shared" si="47"/>
        <v>49.078885515550532</v>
      </c>
      <c r="AH209" s="958">
        <f t="shared" si="55"/>
        <v>4.7778565640194453</v>
      </c>
      <c r="AI209" s="956"/>
      <c r="AJ209" s="58"/>
      <c r="AK209" s="968">
        <f t="shared" si="50"/>
        <v>42.16400000000003</v>
      </c>
      <c r="AL209" s="968">
        <f t="shared" si="51"/>
        <v>15.097166437395323</v>
      </c>
      <c r="AM209" s="968">
        <f t="shared" si="52"/>
        <v>34.944505811050753</v>
      </c>
      <c r="AN209" s="968">
        <f t="shared" si="53"/>
        <v>4.7354943273906027</v>
      </c>
      <c r="AO209" s="58"/>
      <c r="AP209" s="58"/>
      <c r="AQ209" s="962">
        <f t="shared" si="54"/>
        <v>0.97896329390182135</v>
      </c>
      <c r="AR209" s="966">
        <f t="shared" si="56"/>
        <v>0.67110316092337996</v>
      </c>
      <c r="AS209" s="962">
        <f t="shared" si="60"/>
        <v>0.91837040204536879</v>
      </c>
      <c r="AT209" s="963">
        <f t="shared" si="57"/>
        <v>8.0558710550160145E-2</v>
      </c>
      <c r="AU209" s="58"/>
      <c r="AV209" s="58"/>
      <c r="AW209" s="58"/>
      <c r="AX209" s="58"/>
      <c r="AY209" s="958">
        <f>+Z209*(1-AQ209)</f>
        <v>0.70373293890444422</v>
      </c>
      <c r="AZ209" s="958">
        <f>+AA209*(1-AR209)</f>
        <v>9.874404020229548</v>
      </c>
      <c r="BA209" s="958">
        <f>+AB209*(1-AS209)</f>
        <v>4.8413698250912187</v>
      </c>
      <c r="BB209" s="958">
        <f>+Z209*(1-AQ209)</f>
        <v>0.70373293890444422</v>
      </c>
      <c r="BC209" s="956">
        <f t="shared" si="58"/>
        <v>16.123239723129654</v>
      </c>
      <c r="BD209" s="9"/>
      <c r="BE209" s="58"/>
      <c r="BF209" s="956">
        <f>BC209/BF$8</f>
        <v>18.157683601824147</v>
      </c>
      <c r="BG209" s="9"/>
    </row>
    <row r="210" spans="1:59" x14ac:dyDescent="0.45">
      <c r="A210" s="14">
        <v>1900</v>
      </c>
      <c r="B210" s="506">
        <v>228.8032</v>
      </c>
      <c r="C210" s="506"/>
      <c r="D210" s="506"/>
      <c r="E210" s="507">
        <v>15.043749999999996</v>
      </c>
      <c r="F210" s="507">
        <v>1.9125000000000001</v>
      </c>
      <c r="G210" s="507">
        <v>7.9375</v>
      </c>
      <c r="H210" s="506">
        <v>16.957039999999999</v>
      </c>
      <c r="I210" s="507">
        <v>11.78125</v>
      </c>
      <c r="J210" s="507">
        <v>43.281600000000005</v>
      </c>
      <c r="K210" s="507">
        <v>49.3</v>
      </c>
      <c r="L210" s="507">
        <v>4.8</v>
      </c>
      <c r="M210" s="507"/>
      <c r="N210" s="507">
        <v>2.0193000000000012</v>
      </c>
      <c r="O210" s="506"/>
      <c r="P210" s="506"/>
      <c r="Q210" s="506"/>
      <c r="R210" s="506">
        <v>153.03294</v>
      </c>
      <c r="S210" s="506">
        <v>75.770260000000007</v>
      </c>
      <c r="T210" s="506">
        <v>228.8032</v>
      </c>
      <c r="V210" s="506">
        <v>153.03294</v>
      </c>
      <c r="W210" s="506"/>
      <c r="Y210" s="1156">
        <v>1900</v>
      </c>
      <c r="Z210" s="958">
        <v>33.679171543390304</v>
      </c>
      <c r="AA210" s="958">
        <v>30.2133</v>
      </c>
      <c r="AB210" s="958">
        <v>60.15354999999996</v>
      </c>
      <c r="AC210" s="956"/>
      <c r="AD210" s="58"/>
      <c r="AE210" s="968">
        <f t="shared" si="49"/>
        <v>31.0662091622807</v>
      </c>
      <c r="AF210" s="968">
        <f t="shared" si="49"/>
        <v>20.060411669221281</v>
      </c>
      <c r="AG210" s="958">
        <f t="shared" si="47"/>
        <v>50.198805782113581</v>
      </c>
      <c r="AH210" s="958">
        <f t="shared" si="55"/>
        <v>4.8458924230145826</v>
      </c>
      <c r="AI210" s="956"/>
      <c r="AJ210" s="58"/>
      <c r="AK210" s="956">
        <f>'1.3.3 Coal2'!J10</f>
        <v>43.281600000000005</v>
      </c>
      <c r="AL210" s="956">
        <f>[3]Sheet1!$K10+[3]Sheet1!$L10</f>
        <v>14.899999999999999</v>
      </c>
      <c r="AM210" s="956">
        <f>[3]Sheet1!$M10</f>
        <v>34.4</v>
      </c>
      <c r="AN210" s="956">
        <f>[3]Sheet1!$P10</f>
        <v>4.8</v>
      </c>
      <c r="AO210" s="956">
        <f t="shared" ref="AO210:AO222" si="61">SUM(AK210:AN210)</f>
        <v>97.381600000000006</v>
      </c>
      <c r="AP210" s="58"/>
      <c r="AQ210" s="962">
        <f t="shared" si="54"/>
        <v>0.97721023506030646</v>
      </c>
      <c r="AR210" s="966">
        <f t="shared" si="56"/>
        <v>0.67110316092337996</v>
      </c>
      <c r="AS210" s="962">
        <f t="shared" si="60"/>
        <v>0.9171873643938524</v>
      </c>
      <c r="AT210" s="963">
        <f t="shared" si="57"/>
        <v>8.0558710550160145E-2</v>
      </c>
      <c r="AU210" s="58"/>
      <c r="AV210" s="58"/>
      <c r="AW210" s="58"/>
      <c r="AX210" s="58"/>
      <c r="AY210" s="956">
        <f>'1.4.1 MSFLR'!S110/1000</f>
        <v>0.55575200000000002</v>
      </c>
      <c r="AZ210" s="956">
        <f>'1.4.1 MSFLR'!T110/1000</f>
        <v>9.2273120000000013</v>
      </c>
      <c r="BA210" s="956">
        <f>'1.4.1 MSFLR'!U110/1000</f>
        <v>4.5364399999999998</v>
      </c>
      <c r="BB210" s="956">
        <f>'1.4.1 MSFLR'!X110/1000</f>
        <v>0.73761599999999994</v>
      </c>
      <c r="BC210" s="956">
        <f t="shared" ref="BC210:BC222" si="62">AY210+AZ210+BA210+BB210</f>
        <v>15.057120000000001</v>
      </c>
      <c r="BD210" s="9"/>
      <c r="BE210" s="58"/>
      <c r="BF210" s="956">
        <f t="shared" ref="BF210:BF222" si="63">H210</f>
        <v>16.957039999999999</v>
      </c>
      <c r="BG210" s="9"/>
    </row>
    <row r="211" spans="1:59" x14ac:dyDescent="0.45">
      <c r="A211" s="14">
        <v>1901</v>
      </c>
      <c r="B211" s="506">
        <v>222.50399999999999</v>
      </c>
      <c r="C211" s="506"/>
      <c r="D211" s="506"/>
      <c r="E211" s="507">
        <v>15.362499999999995</v>
      </c>
      <c r="F211" s="507">
        <v>2.2749999999999999</v>
      </c>
      <c r="G211" s="507">
        <v>8.125</v>
      </c>
      <c r="H211" s="506">
        <v>14.97584</v>
      </c>
      <c r="I211" s="506"/>
      <c r="J211" s="506"/>
      <c r="K211" s="506"/>
      <c r="L211" s="506"/>
      <c r="M211" s="506"/>
      <c r="N211" s="507">
        <v>2.0574000000000012</v>
      </c>
      <c r="O211" s="506"/>
      <c r="P211" s="506"/>
      <c r="Q211" s="506"/>
      <c r="R211" s="506">
        <v>42.795739999999995</v>
      </c>
      <c r="S211" s="506">
        <v>179.70826</v>
      </c>
      <c r="T211" s="506">
        <v>222.50399999999999</v>
      </c>
      <c r="V211" s="506">
        <v>42.795739999999995</v>
      </c>
      <c r="W211" s="506"/>
      <c r="Y211" s="1156">
        <v>1901</v>
      </c>
      <c r="Z211" s="958">
        <v>31.988856285892354</v>
      </c>
      <c r="AA211" s="958">
        <v>30.4038</v>
      </c>
      <c r="AB211" s="958">
        <v>60.998099999999958</v>
      </c>
      <c r="AC211" s="956"/>
      <c r="AD211" s="58"/>
      <c r="AE211" s="968">
        <f t="shared" si="49"/>
        <v>31.244163713225369</v>
      </c>
      <c r="AF211" s="968">
        <f t="shared" si="49"/>
        <v>20.260199975612203</v>
      </c>
      <c r="AG211" s="958">
        <f t="shared" si="47"/>
        <v>51.06113490287553</v>
      </c>
      <c r="AH211" s="958">
        <f t="shared" si="55"/>
        <v>4.9139282820097199</v>
      </c>
      <c r="AI211" s="956"/>
      <c r="AJ211" s="58"/>
      <c r="AK211" s="956">
        <f>'1.3.3 Coal2'!J11</f>
        <v>42.926000000000002</v>
      </c>
      <c r="AL211" s="956">
        <f>[3]Sheet1!$K11+[3]Sheet1!$L11</f>
        <v>13.49</v>
      </c>
      <c r="AM211" s="956">
        <f>[3]Sheet1!$M11</f>
        <v>33.9</v>
      </c>
      <c r="AN211" s="956">
        <f>[3]Sheet1!$P11</f>
        <v>5.69</v>
      </c>
      <c r="AO211" s="956">
        <f t="shared" si="61"/>
        <v>96.006</v>
      </c>
      <c r="AP211" s="58"/>
      <c r="AQ211" s="962">
        <f t="shared" si="54"/>
        <v>0.97545717621879158</v>
      </c>
      <c r="AR211" s="966">
        <f t="shared" si="56"/>
        <v>0.67110316092337996</v>
      </c>
      <c r="AS211" s="962">
        <f t="shared" si="60"/>
        <v>0.91600432674233601</v>
      </c>
      <c r="AT211" s="963">
        <f t="shared" si="57"/>
        <v>8.0558710550160145E-2</v>
      </c>
      <c r="AU211" s="58"/>
      <c r="AV211" s="58"/>
      <c r="AW211" s="58"/>
      <c r="AX211" s="58"/>
      <c r="AY211" s="956">
        <f>'1.4.1 MSFLR'!S111/1000</f>
        <v>0.53238400000000008</v>
      </c>
      <c r="AZ211" s="956">
        <f>'1.4.1 MSFLR'!T111/1000</f>
        <v>7.8455520000000005</v>
      </c>
      <c r="BA211" s="956">
        <f>'1.4.1 MSFLR'!U111/1000</f>
        <v>4.4602399999999998</v>
      </c>
      <c r="BB211" s="956">
        <f>'1.4.1 MSFLR'!X111/1000</f>
        <v>0.70408799999999994</v>
      </c>
      <c r="BC211" s="956">
        <f t="shared" si="62"/>
        <v>13.542264000000001</v>
      </c>
      <c r="BD211" s="9"/>
      <c r="BE211" s="58"/>
      <c r="BF211" s="956">
        <f t="shared" si="63"/>
        <v>14.97584</v>
      </c>
      <c r="BG211" s="9"/>
    </row>
    <row r="212" spans="1:59" x14ac:dyDescent="0.45">
      <c r="A212" s="14">
        <v>1902</v>
      </c>
      <c r="B212" s="506">
        <v>230.7336</v>
      </c>
      <c r="C212" s="506"/>
      <c r="D212" s="506"/>
      <c r="E212" s="507">
        <v>15.681249999999995</v>
      </c>
      <c r="F212" s="507">
        <v>2.6374999999999997</v>
      </c>
      <c r="G212" s="507">
        <v>8.3125</v>
      </c>
      <c r="H212" s="506">
        <v>16.398240000000001</v>
      </c>
      <c r="I212" s="506"/>
      <c r="J212" s="506"/>
      <c r="K212" s="506"/>
      <c r="L212" s="506"/>
      <c r="M212" s="506"/>
      <c r="N212" s="507">
        <v>2.0955000000000013</v>
      </c>
      <c r="O212" s="506"/>
      <c r="P212" s="506"/>
      <c r="Q212" s="506"/>
      <c r="R212" s="506">
        <v>45.124989999999997</v>
      </c>
      <c r="S212" s="506">
        <v>185.60861</v>
      </c>
      <c r="T212" s="506">
        <v>230.7336</v>
      </c>
      <c r="V212" s="506">
        <v>45.124989999999997</v>
      </c>
      <c r="W212" s="506"/>
      <c r="Y212" s="1156">
        <v>1902</v>
      </c>
      <c r="Z212" s="958">
        <v>32.922343371138631</v>
      </c>
      <c r="AA212" s="958">
        <v>30.5943</v>
      </c>
      <c r="AB212" s="958">
        <v>61.842649999999956</v>
      </c>
      <c r="AC212" s="956"/>
      <c r="AD212" s="58"/>
      <c r="AE212" s="968">
        <f t="shared" si="49"/>
        <v>31.422118264170038</v>
      </c>
      <c r="AF212" s="968">
        <f t="shared" si="49"/>
        <v>20.459988282003124</v>
      </c>
      <c r="AG212" s="958">
        <f>AB212-BA212/$BF$8-AH212</f>
        <v>51.746113065472834</v>
      </c>
      <c r="AH212" s="958">
        <f>AB212*AT212</f>
        <v>4.9819641410048581</v>
      </c>
      <c r="AI212" s="956"/>
      <c r="AJ212" s="58"/>
      <c r="AK212" s="956">
        <f>'1.3.3 Coal2'!J12</f>
        <v>44.592240000000004</v>
      </c>
      <c r="AL212" s="956">
        <f>[3]Sheet1!$K12+[3]Sheet1!$L12</f>
        <v>14.27</v>
      </c>
      <c r="AM212" s="956">
        <f>[3]Sheet1!$M12</f>
        <v>34.5</v>
      </c>
      <c r="AN212" s="956">
        <f>[3]Sheet1!$P12</f>
        <v>5.0200000000000005</v>
      </c>
      <c r="AO212" s="956">
        <f t="shared" si="61"/>
        <v>98.382239999999996</v>
      </c>
      <c r="AP212" s="58"/>
      <c r="AQ212" s="962">
        <f t="shared" si="54"/>
        <v>0.97370411737727669</v>
      </c>
      <c r="AR212" s="966">
        <f>AR213</f>
        <v>0.67110316092337996</v>
      </c>
      <c r="AS212" s="962">
        <f t="shared" si="60"/>
        <v>0.91482128909081961</v>
      </c>
      <c r="AT212" s="963">
        <f>AT213</f>
        <v>8.0558710550160145E-2</v>
      </c>
      <c r="AU212" s="58"/>
      <c r="AV212" s="58"/>
      <c r="AW212" s="58"/>
      <c r="AX212" s="58"/>
      <c r="AY212" s="956">
        <f>'1.4.1 MSFLR'!S112/1000</f>
        <v>0.70104</v>
      </c>
      <c r="AZ212" s="956">
        <f>'1.4.1 MSFLR'!T112/1000</f>
        <v>8.5841840000000005</v>
      </c>
      <c r="BA212" s="956">
        <f>'1.4.1 MSFLR'!U112/1000</f>
        <v>4.5415200000000002</v>
      </c>
      <c r="BB212" s="956">
        <f>'1.4.1 MSFLR'!X112/1000</f>
        <v>1.0993120000000001</v>
      </c>
      <c r="BC212" s="956">
        <f t="shared" si="62"/>
        <v>14.926056000000001</v>
      </c>
      <c r="BD212" s="9"/>
      <c r="BE212" s="58"/>
      <c r="BF212" s="956">
        <f t="shared" si="63"/>
        <v>16.398240000000001</v>
      </c>
      <c r="BG212" s="9"/>
    </row>
    <row r="213" spans="1:59" x14ac:dyDescent="0.45">
      <c r="A213" s="14">
        <v>1903</v>
      </c>
      <c r="B213" s="506">
        <v>233.98480000000001</v>
      </c>
      <c r="C213" s="506"/>
      <c r="D213" s="506"/>
      <c r="E213" s="506">
        <v>16</v>
      </c>
      <c r="F213" s="506">
        <v>3</v>
      </c>
      <c r="G213" s="506">
        <v>8.5</v>
      </c>
      <c r="H213" s="506">
        <v>17.2212</v>
      </c>
      <c r="I213" s="506"/>
      <c r="J213" s="506"/>
      <c r="K213" s="506"/>
      <c r="L213" s="506"/>
      <c r="M213" s="506"/>
      <c r="N213" s="506">
        <v>2.1335999999999999</v>
      </c>
      <c r="O213" s="506"/>
      <c r="P213" s="506"/>
      <c r="Q213" s="506"/>
      <c r="R213" s="506">
        <v>46.854799999999997</v>
      </c>
      <c r="S213" s="506">
        <v>187.13</v>
      </c>
      <c r="T213" s="506">
        <v>233.98480000000001</v>
      </c>
      <c r="U213" s="506"/>
      <c r="V213" s="506">
        <v>46.854799999999997</v>
      </c>
      <c r="W213" s="506"/>
      <c r="Y213" s="1156">
        <v>1903</v>
      </c>
      <c r="Z213" s="956">
        <v>32.512</v>
      </c>
      <c r="AA213" s="956">
        <v>30.784800000000001</v>
      </c>
      <c r="AB213" s="956">
        <v>62.687200000000004</v>
      </c>
      <c r="AC213" s="956"/>
      <c r="AD213" s="956"/>
      <c r="AE213" s="956">
        <f>Z213-AY213/$BF$8</f>
        <v>31.600072815114711</v>
      </c>
      <c r="AF213" s="956">
        <f>AA213-AZ213/$BF$8</f>
        <v>20.659776588394067</v>
      </c>
      <c r="AG213" s="956">
        <f>AB213-BA213/$BF$8-AH213</f>
        <v>52.528348205128211</v>
      </c>
      <c r="AH213" s="967">
        <f t="shared" ref="AH213:AH222" si="64">AN213</f>
        <v>5.05</v>
      </c>
      <c r="AI213" s="956">
        <f t="shared" si="43"/>
        <v>104.78819760863699</v>
      </c>
      <c r="AJ213" s="956"/>
      <c r="AK213" s="956">
        <f>'1.3.3 Coal2'!J13</f>
        <v>43.515279999999997</v>
      </c>
      <c r="AL213" s="956">
        <f>[3]Sheet1!$K13+[3]Sheet1!$L13</f>
        <v>13.870000000000001</v>
      </c>
      <c r="AM213" s="956">
        <f>[3]Sheet1!$M13</f>
        <v>34.4</v>
      </c>
      <c r="AN213" s="956">
        <f>[3]Sheet1!$P13</f>
        <v>5.05</v>
      </c>
      <c r="AO213" s="956">
        <f t="shared" si="61"/>
        <v>96.835279999999997</v>
      </c>
      <c r="AP213" s="956"/>
      <c r="AQ213" s="961">
        <f t="shared" ref="AQ213" si="65">AE213/Z213</f>
        <v>0.97195105853576247</v>
      </c>
      <c r="AR213" s="961">
        <f t="shared" ref="AR213" si="66">AF213/AA213</f>
        <v>0.67110316092337996</v>
      </c>
      <c r="AS213" s="961">
        <f>1-(BA213/AG213)</f>
        <v>0.91363825143930344</v>
      </c>
      <c r="AT213" s="960">
        <f>AN213/AB213</f>
        <v>8.0558710550160145E-2</v>
      </c>
      <c r="AU213" s="956"/>
      <c r="AV213" s="956"/>
      <c r="AW213" s="956"/>
      <c r="AX213" s="956"/>
      <c r="AY213" s="956">
        <f>'1.4.1 MSFLR'!S113/1000</f>
        <v>0.80975200000000003</v>
      </c>
      <c r="AZ213" s="956">
        <f>'1.4.1 MSFLR'!T113/1000</f>
        <v>8.9905840000000001</v>
      </c>
      <c r="BA213" s="956">
        <f>'1.4.1 MSFLR'!U113/1000</f>
        <v>4.5364399999999998</v>
      </c>
      <c r="BB213" s="956">
        <f>'1.4.1 MSFLR'!X113/1000</f>
        <v>1.1846559999999999</v>
      </c>
      <c r="BC213" s="956">
        <f t="shared" si="62"/>
        <v>15.521432000000001</v>
      </c>
      <c r="BD213" s="9"/>
      <c r="BE213" s="9"/>
      <c r="BF213" s="956">
        <f t="shared" si="63"/>
        <v>17.2212</v>
      </c>
      <c r="BG213" s="9"/>
    </row>
    <row r="214" spans="1:59" x14ac:dyDescent="0.45">
      <c r="A214" s="14">
        <v>1904</v>
      </c>
      <c r="B214" s="507">
        <v>239.78616</v>
      </c>
      <c r="C214" s="507"/>
      <c r="D214" s="507"/>
      <c r="E214" s="507">
        <v>16.45</v>
      </c>
      <c r="F214" s="507">
        <v>3.2</v>
      </c>
      <c r="G214" s="507">
        <v>9.43</v>
      </c>
      <c r="H214" s="506">
        <v>16.967200000000002</v>
      </c>
      <c r="I214" s="506"/>
      <c r="J214" s="506"/>
      <c r="K214" s="506"/>
      <c r="L214" s="506"/>
      <c r="M214" s="507"/>
      <c r="N214" s="507">
        <v>1.9202399999999999</v>
      </c>
      <c r="O214" s="507"/>
      <c r="P214" s="507">
        <v>0</v>
      </c>
      <c r="Q214" s="507"/>
      <c r="R214" s="507">
        <v>61.778120000000001</v>
      </c>
      <c r="S214" s="507">
        <v>178.00803999999999</v>
      </c>
      <c r="T214" s="507">
        <v>239.78616</v>
      </c>
      <c r="U214" s="507"/>
      <c r="V214" s="941">
        <v>47.967440000000003</v>
      </c>
      <c r="W214" s="941"/>
      <c r="Y214" s="1156">
        <v>1904</v>
      </c>
      <c r="Z214" s="958">
        <v>32.342869475414268</v>
      </c>
      <c r="AA214" s="958">
        <v>31.09976</v>
      </c>
      <c r="AB214" s="958">
        <v>63.113920000000007</v>
      </c>
      <c r="AC214" s="956"/>
      <c r="AD214" s="58"/>
      <c r="AE214" s="956"/>
      <c r="AF214" s="956"/>
      <c r="AG214" s="956"/>
      <c r="AH214" s="967">
        <f t="shared" si="64"/>
        <v>5.32</v>
      </c>
      <c r="AI214" s="956"/>
      <c r="AJ214" s="58"/>
      <c r="AK214" s="956">
        <f>'1.3.3 Coal2'!J14</f>
        <v>43.820080000000004</v>
      </c>
      <c r="AL214" s="956">
        <f>[3]Sheet1!$K14+[3]Sheet1!$L14</f>
        <v>13.55</v>
      </c>
      <c r="AM214" s="956">
        <f>[3]Sheet1!$M14</f>
        <v>34.4</v>
      </c>
      <c r="AN214" s="956">
        <f>[3]Sheet1!$P14</f>
        <v>5.32</v>
      </c>
      <c r="AO214" s="956">
        <f t="shared" si="61"/>
        <v>97.09008</v>
      </c>
      <c r="AP214" s="58"/>
      <c r="AQ214" s="961"/>
      <c r="AR214" s="961"/>
      <c r="AS214" s="58"/>
      <c r="AT214" s="58"/>
      <c r="AU214" s="58"/>
      <c r="AV214" s="58"/>
      <c r="AW214" s="58"/>
      <c r="AX214" s="58"/>
      <c r="AY214" s="956">
        <f>'1.4.1 MSFLR'!S114/1000</f>
        <v>0.921512</v>
      </c>
      <c r="AZ214" s="956">
        <f>'1.4.1 MSFLR'!T114/1000</f>
        <v>8.523223999999999</v>
      </c>
      <c r="BA214" s="956">
        <f>'1.4.1 MSFLR'!U114/1000</f>
        <v>4.5110400000000004</v>
      </c>
      <c r="BB214" s="956">
        <f>'1.4.1 MSFLR'!X114/1000</f>
        <v>1.3482319999999999</v>
      </c>
      <c r="BC214" s="956">
        <f t="shared" si="62"/>
        <v>15.304008</v>
      </c>
      <c r="BD214" s="9"/>
      <c r="BE214" s="58"/>
      <c r="BF214" s="956">
        <f t="shared" si="63"/>
        <v>16.967200000000002</v>
      </c>
      <c r="BG214" s="9"/>
    </row>
    <row r="215" spans="1:59" x14ac:dyDescent="0.45">
      <c r="A215" s="14">
        <v>1905</v>
      </c>
      <c r="B215" s="507">
        <v>245.58751999999998</v>
      </c>
      <c r="C215" s="507"/>
      <c r="D215" s="507"/>
      <c r="E215" s="507">
        <v>16.899999999999999</v>
      </c>
      <c r="F215" s="507">
        <v>3.4000000000000004</v>
      </c>
      <c r="G215" s="507">
        <v>10.36</v>
      </c>
      <c r="H215" s="506">
        <v>18.775680000000001</v>
      </c>
      <c r="I215" s="506"/>
      <c r="J215" s="506"/>
      <c r="K215" s="506"/>
      <c r="L215" s="506"/>
      <c r="M215" s="507"/>
      <c r="N215" s="507">
        <v>1.70688</v>
      </c>
      <c r="O215" s="507"/>
      <c r="P215" s="507">
        <v>0</v>
      </c>
      <c r="Q215" s="507"/>
      <c r="R215" s="507">
        <v>76.701440000000005</v>
      </c>
      <c r="S215" s="507">
        <v>168.88607999999999</v>
      </c>
      <c r="T215" s="507">
        <v>245.58751999999998</v>
      </c>
      <c r="U215" s="507"/>
      <c r="V215" s="941">
        <v>51.142559999999996</v>
      </c>
      <c r="W215" s="941"/>
      <c r="Y215" s="1156">
        <v>1905</v>
      </c>
      <c r="Z215" s="958">
        <v>32.690171194384398</v>
      </c>
      <c r="AA215" s="958">
        <v>31.414719999999999</v>
      </c>
      <c r="AB215" s="958">
        <v>63.54064000000001</v>
      </c>
      <c r="AC215" s="956"/>
      <c r="AD215" s="58"/>
      <c r="AE215" s="956"/>
      <c r="AF215" s="956"/>
      <c r="AG215" s="956"/>
      <c r="AH215" s="967">
        <f t="shared" si="64"/>
        <v>5.56</v>
      </c>
      <c r="AI215" s="956"/>
      <c r="AJ215" s="58"/>
      <c r="AK215" s="956">
        <f>'1.3.3 Coal2'!J15</f>
        <v>40.477440000000001</v>
      </c>
      <c r="AL215" s="956">
        <f>[3]Sheet1!$K15+[3]Sheet1!$L15</f>
        <v>14.29</v>
      </c>
      <c r="AM215" s="956">
        <f>[3]Sheet1!$M15</f>
        <v>36.5</v>
      </c>
      <c r="AN215" s="956">
        <f>[3]Sheet1!$P15</f>
        <v>5.56</v>
      </c>
      <c r="AO215" s="956">
        <f t="shared" si="61"/>
        <v>96.827439999999996</v>
      </c>
      <c r="AP215" s="58"/>
      <c r="AQ215" s="961"/>
      <c r="AR215" s="961"/>
      <c r="AS215" s="58"/>
      <c r="AT215" s="58"/>
      <c r="AU215" s="58"/>
      <c r="AV215" s="58"/>
      <c r="AW215" s="58"/>
      <c r="AX215" s="58"/>
      <c r="AY215" s="956">
        <f>'1.4.1 MSFLR'!S115/1000</f>
        <v>0.85343999999999998</v>
      </c>
      <c r="AZ215" s="956">
        <f>'1.4.1 MSFLR'!T115/1000</f>
        <v>9.5514159999999997</v>
      </c>
      <c r="BA215" s="956">
        <f>'1.4.1 MSFLR'!U115/1000</f>
        <v>4.8016160000000001</v>
      </c>
      <c r="BB215" s="956">
        <f>'1.4.1 MSFLR'!X115/1000</f>
        <v>1.2476480000000001</v>
      </c>
      <c r="BC215" s="956">
        <f t="shared" si="62"/>
        <v>16.45412</v>
      </c>
      <c r="BD215" s="9"/>
      <c r="BE215" s="58"/>
      <c r="BF215" s="956">
        <f t="shared" si="63"/>
        <v>18.775680000000001</v>
      </c>
      <c r="BG215" s="9"/>
    </row>
    <row r="216" spans="1:59" x14ac:dyDescent="0.45">
      <c r="A216" s="14">
        <v>1906</v>
      </c>
      <c r="B216" s="507">
        <v>251.38887999999997</v>
      </c>
      <c r="C216" s="507"/>
      <c r="D216" s="507"/>
      <c r="E216" s="507">
        <v>17.349999999999998</v>
      </c>
      <c r="F216" s="507">
        <v>3.6000000000000005</v>
      </c>
      <c r="G216" s="507">
        <v>11.29</v>
      </c>
      <c r="H216" s="506">
        <v>20.909279999999999</v>
      </c>
      <c r="I216" s="506"/>
      <c r="J216" s="506"/>
      <c r="K216" s="506"/>
      <c r="L216" s="506"/>
      <c r="M216" s="507"/>
      <c r="N216" s="507">
        <v>1.49352</v>
      </c>
      <c r="O216" s="507"/>
      <c r="P216" s="507">
        <v>0</v>
      </c>
      <c r="Q216" s="507"/>
      <c r="R216" s="507">
        <v>91.624760000000009</v>
      </c>
      <c r="S216" s="507">
        <v>159.76411999999999</v>
      </c>
      <c r="T216" s="507">
        <v>251.38887999999997</v>
      </c>
      <c r="U216" s="507"/>
      <c r="V216" s="941">
        <v>54.642799999999987</v>
      </c>
      <c r="W216" s="941"/>
      <c r="Y216" s="1156">
        <v>1906</v>
      </c>
      <c r="Z216" s="958">
        <v>33.776387137549378</v>
      </c>
      <c r="AA216" s="958">
        <v>31.729679999999998</v>
      </c>
      <c r="AB216" s="958">
        <v>63.967360000000006</v>
      </c>
      <c r="AC216" s="956"/>
      <c r="AD216" s="58"/>
      <c r="AE216" s="956"/>
      <c r="AF216" s="956"/>
      <c r="AG216" s="956"/>
      <c r="AH216" s="967">
        <f t="shared" si="64"/>
        <v>5.74</v>
      </c>
      <c r="AI216" s="956"/>
      <c r="AJ216" s="58"/>
      <c r="AK216" s="956">
        <f>'1.3.3 Coal2'!J16</f>
        <v>39.776400000000002</v>
      </c>
      <c r="AL216" s="956">
        <f>[3]Sheet1!$K16+[3]Sheet1!$L16</f>
        <v>15.149999999999999</v>
      </c>
      <c r="AM216" s="956">
        <f>[3]Sheet1!$M16</f>
        <v>37.979999999999997</v>
      </c>
      <c r="AN216" s="956">
        <f>[3]Sheet1!$P16</f>
        <v>5.74</v>
      </c>
      <c r="AO216" s="956">
        <f t="shared" si="61"/>
        <v>98.646399999999986</v>
      </c>
      <c r="AP216" s="58"/>
      <c r="AQ216" s="961"/>
      <c r="AR216" s="961"/>
      <c r="AS216" s="58"/>
      <c r="AT216" s="58"/>
      <c r="AU216" s="58"/>
      <c r="AV216" s="58"/>
      <c r="AW216" s="58"/>
      <c r="AX216" s="58"/>
      <c r="AY216" s="956">
        <f>'1.4.1 MSFLR'!S116/1000</f>
        <v>1.1155680000000001</v>
      </c>
      <c r="AZ216" s="956">
        <f>'1.4.1 MSFLR'!T116/1000</f>
        <v>10.518648000000001</v>
      </c>
      <c r="BA216" s="956">
        <f>'1.4.1 MSFLR'!U116/1000</f>
        <v>5.0098960000000003</v>
      </c>
      <c r="BB216" s="956">
        <f>'1.4.1 MSFLR'!X116/1000</f>
        <v>1.631696</v>
      </c>
      <c r="BC216" s="956">
        <f t="shared" si="62"/>
        <v>18.275808000000001</v>
      </c>
      <c r="BD216" s="9"/>
      <c r="BE216" s="58"/>
      <c r="BF216" s="956">
        <f t="shared" si="63"/>
        <v>20.909279999999999</v>
      </c>
      <c r="BG216" s="9"/>
    </row>
    <row r="217" spans="1:59" x14ac:dyDescent="0.45">
      <c r="A217" s="14">
        <v>1907</v>
      </c>
      <c r="B217" s="507">
        <v>257.19023999999996</v>
      </c>
      <c r="C217" s="507"/>
      <c r="D217" s="507"/>
      <c r="E217" s="507">
        <v>17.799999999999997</v>
      </c>
      <c r="F217" s="507">
        <v>3.8000000000000007</v>
      </c>
      <c r="G217" s="507">
        <v>12.219999999999999</v>
      </c>
      <c r="H217" s="506">
        <v>22.331679999999999</v>
      </c>
      <c r="I217" s="506"/>
      <c r="J217" s="506"/>
      <c r="K217" s="506"/>
      <c r="L217" s="506"/>
      <c r="M217" s="507"/>
      <c r="N217" s="507">
        <v>1.28016</v>
      </c>
      <c r="O217" s="507"/>
      <c r="P217" s="507">
        <v>0</v>
      </c>
      <c r="Q217" s="507"/>
      <c r="R217" s="507">
        <v>106.54808000000001</v>
      </c>
      <c r="S217" s="507">
        <v>150.64215999999999</v>
      </c>
      <c r="T217" s="507">
        <v>257.19023999999996</v>
      </c>
      <c r="U217" s="507"/>
      <c r="V217" s="941">
        <v>57.431839999999994</v>
      </c>
      <c r="W217" s="941"/>
      <c r="Y217" s="1156">
        <v>1907</v>
      </c>
      <c r="Z217" s="958">
        <v>35.565680173420759</v>
      </c>
      <c r="AA217" s="958">
        <v>32.044639999999994</v>
      </c>
      <c r="AB217" s="958">
        <v>64.394080000000017</v>
      </c>
      <c r="AC217" s="956"/>
      <c r="AD217" s="58"/>
      <c r="AE217" s="956"/>
      <c r="AF217" s="956"/>
      <c r="AG217" s="956"/>
      <c r="AH217" s="967">
        <f t="shared" si="64"/>
        <v>5.7799999999999994</v>
      </c>
      <c r="AI217" s="956"/>
      <c r="AJ217" s="58"/>
      <c r="AK217" s="956">
        <f>'1.3.3 Coal2'!J17</f>
        <v>43.647359999999999</v>
      </c>
      <c r="AL217" s="956">
        <f>[3]Sheet1!$K17+[3]Sheet1!$L17</f>
        <v>15.57</v>
      </c>
      <c r="AM217" s="956">
        <f>[3]Sheet1!$M17</f>
        <v>38.700000000000003</v>
      </c>
      <c r="AN217" s="956">
        <f>[3]Sheet1!$P17</f>
        <v>5.7799999999999994</v>
      </c>
      <c r="AO217" s="956">
        <f t="shared" si="61"/>
        <v>103.69736</v>
      </c>
      <c r="AP217" s="58"/>
      <c r="AQ217" s="961"/>
      <c r="AR217" s="961"/>
      <c r="AS217" s="58"/>
      <c r="AT217" s="58"/>
      <c r="AU217" s="58"/>
      <c r="AV217" s="58"/>
      <c r="AW217" s="58"/>
      <c r="AX217" s="58"/>
      <c r="AY217" s="956">
        <f>'1.4.1 MSFLR'!S117/1000</f>
        <v>1.301496</v>
      </c>
      <c r="AZ217" s="956">
        <f>'1.4.1 MSFLR'!T117/1000</f>
        <v>10.682224</v>
      </c>
      <c r="BA217" s="956">
        <f>'1.4.1 MSFLR'!U117/1000</f>
        <v>5.1033679999999997</v>
      </c>
      <c r="BB217" s="956">
        <f>'1.4.1 MSFLR'!X117/1000</f>
        <v>1.902968</v>
      </c>
      <c r="BC217" s="956">
        <f t="shared" si="62"/>
        <v>18.990056000000003</v>
      </c>
      <c r="BD217" s="9"/>
      <c r="BE217" s="58"/>
      <c r="BF217" s="956">
        <f t="shared" si="63"/>
        <v>22.331679999999999</v>
      </c>
      <c r="BG217" s="9"/>
    </row>
    <row r="218" spans="1:59" x14ac:dyDescent="0.45">
      <c r="A218" s="14">
        <v>1908</v>
      </c>
      <c r="B218" s="507">
        <v>262.99159999999995</v>
      </c>
      <c r="C218" s="507"/>
      <c r="D218" s="507"/>
      <c r="E218" s="507">
        <v>18.249999999999996</v>
      </c>
      <c r="F218" s="507">
        <v>4.0000000000000009</v>
      </c>
      <c r="G218" s="507">
        <v>13.149999999999999</v>
      </c>
      <c r="H218" s="506">
        <v>21.650960000000001</v>
      </c>
      <c r="I218" s="506"/>
      <c r="J218" s="506"/>
      <c r="K218" s="506"/>
      <c r="L218" s="506"/>
      <c r="M218" s="507"/>
      <c r="N218" s="507">
        <v>1.0668</v>
      </c>
      <c r="O218" s="507"/>
      <c r="P218" s="507">
        <v>0</v>
      </c>
      <c r="Q218" s="507"/>
      <c r="R218" s="507">
        <v>121.47140000000002</v>
      </c>
      <c r="S218" s="507">
        <v>141.52019999999999</v>
      </c>
      <c r="T218" s="507">
        <v>262.99159999999995</v>
      </c>
      <c r="U218" s="507"/>
      <c r="V218" s="941">
        <v>58.11775999999999</v>
      </c>
      <c r="W218" s="941"/>
      <c r="Y218" s="1156">
        <v>1908</v>
      </c>
      <c r="Z218" s="958">
        <v>33.83933377999891</v>
      </c>
      <c r="AA218" s="958">
        <v>32.359599999999993</v>
      </c>
      <c r="AB218" s="958">
        <v>64.820800000000006</v>
      </c>
      <c r="AC218" s="956"/>
      <c r="AD218" s="58"/>
      <c r="AE218" s="956"/>
      <c r="AF218" s="956"/>
      <c r="AG218" s="956"/>
      <c r="AH218" s="967">
        <f t="shared" si="64"/>
        <v>5.7700000000000005</v>
      </c>
      <c r="AI218" s="956"/>
      <c r="AJ218" s="58"/>
      <c r="AK218" s="956">
        <f>'1.3.3 Coal2'!J18</f>
        <v>41.960799999999999</v>
      </c>
      <c r="AL218" s="956">
        <f>[3]Sheet1!$K18+[3]Sheet1!$L18</f>
        <v>15.09</v>
      </c>
      <c r="AM218" s="956">
        <f>[3]Sheet1!$M18</f>
        <v>35.6</v>
      </c>
      <c r="AN218" s="956">
        <f>[3]Sheet1!$P18</f>
        <v>5.7700000000000005</v>
      </c>
      <c r="AO218" s="956">
        <f t="shared" si="61"/>
        <v>98.4208</v>
      </c>
      <c r="AP218" s="58"/>
      <c r="AQ218" s="961"/>
      <c r="AR218" s="961"/>
      <c r="AS218" s="58"/>
      <c r="AT218" s="58"/>
      <c r="AU218" s="58"/>
      <c r="AV218" s="58"/>
      <c r="AW218" s="58"/>
      <c r="AX218" s="58"/>
      <c r="AY218" s="956">
        <f>'1.4.1 MSFLR'!S118/1000</f>
        <v>1.4325600000000001</v>
      </c>
      <c r="AZ218" s="956">
        <f>'1.4.1 MSFLR'!T118/1000</f>
        <v>9.4345759999999999</v>
      </c>
      <c r="BA218" s="956">
        <f>'1.4.1 MSFLR'!U118/1000</f>
        <v>4.6614079999999998</v>
      </c>
      <c r="BB218" s="956">
        <f>'1.4.1 MSFLR'!X118/1000</f>
        <v>2.0960080000000003</v>
      </c>
      <c r="BC218" s="956">
        <f t="shared" si="62"/>
        <v>17.624552000000001</v>
      </c>
      <c r="BD218" s="9"/>
      <c r="BE218" s="58"/>
      <c r="BF218" s="956">
        <f t="shared" si="63"/>
        <v>21.650960000000001</v>
      </c>
      <c r="BG218" s="9"/>
    </row>
    <row r="219" spans="1:59" x14ac:dyDescent="0.45">
      <c r="A219" s="14">
        <v>1909</v>
      </c>
      <c r="B219" s="507">
        <v>268.79295999999994</v>
      </c>
      <c r="C219" s="507"/>
      <c r="D219" s="507"/>
      <c r="E219" s="507">
        <v>18.699999999999996</v>
      </c>
      <c r="F219" s="507">
        <v>4.2000000000000011</v>
      </c>
      <c r="G219" s="507">
        <v>14.079999999999998</v>
      </c>
      <c r="H219" s="506">
        <v>21.031199999999998</v>
      </c>
      <c r="I219" s="506"/>
      <c r="J219" s="506"/>
      <c r="K219" s="506"/>
      <c r="L219" s="506"/>
      <c r="M219" s="507"/>
      <c r="N219" s="507">
        <v>0.85343999999999998</v>
      </c>
      <c r="O219" s="507"/>
      <c r="P219" s="507">
        <v>0</v>
      </c>
      <c r="Q219" s="507"/>
      <c r="R219" s="507">
        <v>136.39472000000001</v>
      </c>
      <c r="S219" s="507">
        <v>132.39823999999999</v>
      </c>
      <c r="T219" s="507">
        <v>268.79295999999994</v>
      </c>
      <c r="U219" s="507"/>
      <c r="V219" s="941">
        <v>58.864639999999994</v>
      </c>
      <c r="W219" s="941"/>
      <c r="Y219" s="1156">
        <v>1909</v>
      </c>
      <c r="Z219" s="958">
        <v>34.025429266127169</v>
      </c>
      <c r="AA219" s="958">
        <v>32.67456</v>
      </c>
      <c r="AB219" s="958">
        <v>65.247520000000009</v>
      </c>
      <c r="AC219" s="956"/>
      <c r="AD219" s="58"/>
      <c r="AE219" s="956"/>
      <c r="AF219" s="956"/>
      <c r="AG219" s="956"/>
      <c r="AH219" s="967">
        <f t="shared" si="64"/>
        <v>6.01</v>
      </c>
      <c r="AI219" s="956"/>
      <c r="AJ219" s="58"/>
      <c r="AK219" s="956">
        <f>'1.3.3 Coal2'!J19</f>
        <v>41.79824</v>
      </c>
      <c r="AL219" s="956">
        <f>[3]Sheet1!$K19+[3]Sheet1!$L19</f>
        <v>15.440000000000001</v>
      </c>
      <c r="AM219" s="956">
        <f>[3]Sheet1!$M19</f>
        <v>37.299999999999997</v>
      </c>
      <c r="AN219" s="956">
        <f>[3]Sheet1!$P19</f>
        <v>6.01</v>
      </c>
      <c r="AO219" s="956">
        <f t="shared" si="61"/>
        <v>100.54824000000001</v>
      </c>
      <c r="AP219" s="58"/>
      <c r="AQ219" s="961"/>
      <c r="AR219" s="961"/>
      <c r="AS219" s="58"/>
      <c r="AT219" s="58"/>
      <c r="AU219" s="58"/>
      <c r="AV219" s="58"/>
      <c r="AW219" s="58"/>
      <c r="AX219" s="58"/>
      <c r="AY219" s="956">
        <f>'1.4.1 MSFLR'!S119/1000</f>
        <v>1.411224</v>
      </c>
      <c r="AZ219" s="956">
        <f>'1.4.1 MSFLR'!T119/1000</f>
        <v>9.7607119999999998</v>
      </c>
      <c r="BA219" s="956">
        <f>'1.4.1 MSFLR'!U119/1000</f>
        <v>4.7558959999999999</v>
      </c>
      <c r="BB219" s="956">
        <f>'1.4.1 MSFLR'!X119/1000</f>
        <v>2.0645120000000001</v>
      </c>
      <c r="BC219" s="956">
        <f t="shared" si="62"/>
        <v>17.992343999999999</v>
      </c>
      <c r="BD219" s="9"/>
      <c r="BE219" s="58"/>
      <c r="BF219" s="956">
        <f t="shared" si="63"/>
        <v>21.031199999999998</v>
      </c>
      <c r="BG219" s="9"/>
    </row>
    <row r="220" spans="1:59" x14ac:dyDescent="0.45">
      <c r="A220" s="14">
        <v>1910</v>
      </c>
      <c r="B220" s="507">
        <v>274.59431999999993</v>
      </c>
      <c r="C220" s="507"/>
      <c r="D220" s="507"/>
      <c r="E220" s="507">
        <v>19.149999999999995</v>
      </c>
      <c r="F220" s="507">
        <v>4.4000000000000012</v>
      </c>
      <c r="G220" s="507">
        <v>15.009999999999998</v>
      </c>
      <c r="H220" s="506">
        <v>21.427440000000001</v>
      </c>
      <c r="I220" s="506"/>
      <c r="J220" s="506"/>
      <c r="K220" s="506"/>
      <c r="L220" s="506"/>
      <c r="M220" s="507"/>
      <c r="N220" s="507">
        <v>0.64007999999999998</v>
      </c>
      <c r="O220" s="507"/>
      <c r="P220" s="507">
        <v>0</v>
      </c>
      <c r="Q220" s="507"/>
      <c r="R220" s="507">
        <v>151.31804</v>
      </c>
      <c r="S220" s="507">
        <v>123.27627999999999</v>
      </c>
      <c r="T220" s="507">
        <v>274.59431999999993</v>
      </c>
      <c r="U220" s="507"/>
      <c r="V220" s="941">
        <v>60.62751999999999</v>
      </c>
      <c r="W220" s="941"/>
      <c r="Y220" s="1156">
        <v>1910</v>
      </c>
      <c r="Z220" s="958">
        <v>34.333031715505328</v>
      </c>
      <c r="AA220" s="958">
        <v>32.989519999999999</v>
      </c>
      <c r="AB220" s="958">
        <v>65.674240000000012</v>
      </c>
      <c r="AC220" s="956"/>
      <c r="AD220" s="58"/>
      <c r="AE220" s="956"/>
      <c r="AF220" s="956"/>
      <c r="AG220" s="956"/>
      <c r="AH220" s="967">
        <f t="shared" si="64"/>
        <v>6.04</v>
      </c>
      <c r="AI220" s="956"/>
      <c r="AJ220" s="58"/>
      <c r="AK220" s="956">
        <f>'1.3.3 Coal2'!J20</f>
        <v>42.753279999999997</v>
      </c>
      <c r="AL220" s="956">
        <f>[3]Sheet1!$K20+[3]Sheet1!$L20</f>
        <v>15.69</v>
      </c>
      <c r="AM220" s="956">
        <f>[3]Sheet1!$M20</f>
        <v>36.82</v>
      </c>
      <c r="AN220" s="956">
        <f>[3]Sheet1!$P20</f>
        <v>6.04</v>
      </c>
      <c r="AO220" s="956">
        <f t="shared" si="61"/>
        <v>101.30328</v>
      </c>
      <c r="AP220" s="58"/>
      <c r="AQ220" s="961"/>
      <c r="AR220" s="961"/>
      <c r="AS220" s="58"/>
      <c r="AT220" s="58"/>
      <c r="AU220" s="58"/>
      <c r="AV220" s="58"/>
      <c r="AW220" s="58"/>
      <c r="AX220" s="58"/>
      <c r="AY220" s="956">
        <f>'1.4.1 MSFLR'!S120/1000</f>
        <v>1.4417040000000001</v>
      </c>
      <c r="AZ220" s="956">
        <f>'1.4.1 MSFLR'!T120/1000</f>
        <v>10.363199999999999</v>
      </c>
      <c r="BA220" s="956">
        <f>'1.4.1 MSFLR'!U120/1000</f>
        <v>4.7660559999999998</v>
      </c>
      <c r="BB220" s="956">
        <f>'1.4.1 MSFLR'!X120/1000</f>
        <v>2.109216</v>
      </c>
      <c r="BC220" s="956">
        <f t="shared" si="62"/>
        <v>18.680175999999999</v>
      </c>
      <c r="BD220" s="9"/>
      <c r="BE220" s="58"/>
      <c r="BF220" s="956">
        <f t="shared" si="63"/>
        <v>21.427440000000001</v>
      </c>
      <c r="BG220" s="9"/>
    </row>
    <row r="221" spans="1:59" x14ac:dyDescent="0.45">
      <c r="A221" s="14">
        <v>1911</v>
      </c>
      <c r="B221" s="507">
        <v>280.39567999999991</v>
      </c>
      <c r="C221" s="507"/>
      <c r="D221" s="507"/>
      <c r="E221" s="507">
        <v>19.599999999999994</v>
      </c>
      <c r="F221" s="507">
        <v>4.6000000000000014</v>
      </c>
      <c r="G221" s="507">
        <v>15.939999999999998</v>
      </c>
      <c r="H221" s="506">
        <v>20.797519999999999</v>
      </c>
      <c r="I221" s="506"/>
      <c r="J221" s="506"/>
      <c r="K221" s="506"/>
      <c r="L221" s="506"/>
      <c r="M221" s="507"/>
      <c r="N221" s="507">
        <v>0.42671999999999999</v>
      </c>
      <c r="O221" s="507"/>
      <c r="P221" s="507">
        <v>0</v>
      </c>
      <c r="Q221" s="507"/>
      <c r="R221" s="507">
        <v>166.24135999999999</v>
      </c>
      <c r="S221" s="507">
        <v>114.15431999999998</v>
      </c>
      <c r="T221" s="507">
        <v>280.39567999999991</v>
      </c>
      <c r="U221" s="507"/>
      <c r="V221" s="941">
        <v>61.364239999999995</v>
      </c>
      <c r="W221" s="941"/>
      <c r="Y221" s="1156">
        <v>1911</v>
      </c>
      <c r="Z221" s="958">
        <v>35.325728322877318</v>
      </c>
      <c r="AA221" s="958">
        <v>33.304479999999998</v>
      </c>
      <c r="AB221" s="958">
        <v>66.100960000000015</v>
      </c>
      <c r="AC221" s="956"/>
      <c r="AD221" s="58"/>
      <c r="AE221" s="956"/>
      <c r="AF221" s="956"/>
      <c r="AG221" s="956"/>
      <c r="AH221" s="967">
        <f t="shared" si="64"/>
        <v>6.3</v>
      </c>
      <c r="AI221" s="956"/>
      <c r="AJ221" s="58"/>
      <c r="AK221" s="956">
        <f>'1.3.3 Coal2'!J21</f>
        <v>44.145200000000003</v>
      </c>
      <c r="AL221" s="956">
        <f>[3]Sheet1!$K21+[3]Sheet1!$L21</f>
        <v>15.989999999999998</v>
      </c>
      <c r="AM221" s="956">
        <f>[3]Sheet1!$M21</f>
        <v>39.71</v>
      </c>
      <c r="AN221" s="956">
        <f>[3]Sheet1!$P21</f>
        <v>6.3</v>
      </c>
      <c r="AO221" s="956">
        <f t="shared" si="61"/>
        <v>106.1452</v>
      </c>
      <c r="AP221" s="58"/>
      <c r="AQ221" s="961"/>
      <c r="AR221" s="961"/>
      <c r="AS221" s="58"/>
      <c r="AT221" s="58"/>
      <c r="AU221" s="58"/>
      <c r="AV221" s="58"/>
      <c r="AW221" s="58"/>
      <c r="AX221" s="58"/>
      <c r="AY221" s="956">
        <f>'1.4.1 MSFLR'!S121/1000</f>
        <v>1.5311119999999998</v>
      </c>
      <c r="AZ221" s="956">
        <f>'1.4.1 MSFLR'!T121/1000</f>
        <v>9.6550480000000007</v>
      </c>
      <c r="BA221" s="956">
        <f>'1.4.1 MSFLR'!U121/1000</f>
        <v>4.8971200000000001</v>
      </c>
      <c r="BB221" s="956">
        <f>'1.4.1 MSFLR'!X121/1000</f>
        <v>2.238248</v>
      </c>
      <c r="BC221" s="956">
        <f t="shared" si="62"/>
        <v>18.321528000000001</v>
      </c>
      <c r="BD221" s="9"/>
      <c r="BE221" s="58"/>
      <c r="BF221" s="956">
        <f t="shared" si="63"/>
        <v>20.797519999999999</v>
      </c>
      <c r="BG221" s="9"/>
    </row>
    <row r="222" spans="1:59" x14ac:dyDescent="0.45">
      <c r="A222" s="14">
        <v>1912</v>
      </c>
      <c r="B222" s="507">
        <v>286.1970399999999</v>
      </c>
      <c r="C222" s="507"/>
      <c r="D222" s="507"/>
      <c r="E222" s="507">
        <v>20.049999999999994</v>
      </c>
      <c r="F222" s="507">
        <v>4.8000000000000016</v>
      </c>
      <c r="G222" s="507">
        <v>16.869999999999997</v>
      </c>
      <c r="H222" s="506">
        <v>19.588480000000001</v>
      </c>
      <c r="I222" s="506"/>
      <c r="J222" s="506"/>
      <c r="K222" s="506"/>
      <c r="L222" s="506"/>
      <c r="M222" s="507"/>
      <c r="N222" s="507">
        <v>0.21335999999999999</v>
      </c>
      <c r="O222" s="507"/>
      <c r="P222" s="507">
        <v>0</v>
      </c>
      <c r="Q222" s="507"/>
      <c r="R222" s="507">
        <v>181.16467999999998</v>
      </c>
      <c r="S222" s="507">
        <v>105.03235999999998</v>
      </c>
      <c r="T222" s="507">
        <v>286.1970399999999</v>
      </c>
      <c r="U222" s="507"/>
      <c r="V222" s="941">
        <v>61.52183999999999</v>
      </c>
      <c r="W222" s="941"/>
      <c r="Y222" s="1156">
        <v>1912</v>
      </c>
      <c r="Z222" s="958">
        <v>32.620139136470982</v>
      </c>
      <c r="AA222" s="958">
        <v>33.619440000000004</v>
      </c>
      <c r="AB222" s="958">
        <v>66.527680000000018</v>
      </c>
      <c r="AC222" s="956"/>
      <c r="AD222" s="58"/>
      <c r="AE222" s="956"/>
      <c r="AF222" s="956"/>
      <c r="AG222" s="956"/>
      <c r="AH222" s="967">
        <f t="shared" si="64"/>
        <v>6.52</v>
      </c>
      <c r="AI222" s="956"/>
      <c r="AJ222" s="58"/>
      <c r="AK222" s="956">
        <f>'1.3.3 Coal2'!J22</f>
        <v>37.795200000000001</v>
      </c>
      <c r="AL222" s="956">
        <f>[3]Sheet1!$K22+[3]Sheet1!$L22</f>
        <v>16.13</v>
      </c>
      <c r="AM222" s="956">
        <f>[3]Sheet1!$M22</f>
        <v>41.6</v>
      </c>
      <c r="AN222" s="956">
        <f>[3]Sheet1!$P22</f>
        <v>6.52</v>
      </c>
      <c r="AO222" s="956">
        <f t="shared" si="61"/>
        <v>102.04520000000001</v>
      </c>
      <c r="AP222" s="58"/>
      <c r="AQ222" s="961"/>
      <c r="AR222" s="961"/>
      <c r="AS222" s="58"/>
      <c r="AT222" s="58"/>
      <c r="AU222" s="58"/>
      <c r="AV222" s="58"/>
      <c r="AW222" s="58"/>
      <c r="AX222" s="58"/>
      <c r="AY222" s="956">
        <f>'1.4.1 MSFLR'!S122/1000</f>
        <v>1.504696</v>
      </c>
      <c r="AZ222" s="956">
        <f>'1.4.1 MSFLR'!T122/1000</f>
        <v>9.1358720000000009</v>
      </c>
      <c r="BA222" s="956">
        <f>'1.4.1 MSFLR'!U122/1000</f>
        <v>4.8066959999999996</v>
      </c>
      <c r="BB222" s="956">
        <f>'1.4.1 MSFLR'!X122/1000</f>
        <v>2.19964</v>
      </c>
      <c r="BC222" s="956">
        <f t="shared" si="62"/>
        <v>17.646903999999999</v>
      </c>
      <c r="BD222" s="9"/>
      <c r="BE222" s="58"/>
      <c r="BF222" s="956">
        <f t="shared" si="63"/>
        <v>19.588480000000001</v>
      </c>
      <c r="BG222" s="9"/>
    </row>
    <row r="223" spans="1:59" x14ac:dyDescent="0.45">
      <c r="A223" s="14">
        <v>1913</v>
      </c>
      <c r="B223" s="506">
        <v>291.9984</v>
      </c>
      <c r="C223" s="506"/>
      <c r="D223" s="506"/>
      <c r="E223" s="506">
        <v>20.5</v>
      </c>
      <c r="F223" s="506">
        <v>5</v>
      </c>
      <c r="G223" s="506">
        <v>17.8</v>
      </c>
      <c r="H223" s="506">
        <v>20.0152</v>
      </c>
      <c r="I223" s="506"/>
      <c r="J223" s="506"/>
      <c r="K223" s="506"/>
      <c r="L223" s="506"/>
      <c r="M223" s="506"/>
      <c r="N223" s="506">
        <v>0</v>
      </c>
      <c r="O223" s="506"/>
      <c r="P223" s="506">
        <v>0</v>
      </c>
      <c r="Q223" s="506"/>
      <c r="R223" s="506">
        <v>196.08799999999999</v>
      </c>
      <c r="S223" s="506">
        <v>95.91040000000001</v>
      </c>
      <c r="T223" s="506">
        <v>291.9984</v>
      </c>
      <c r="U223" s="506"/>
      <c r="V223" s="941">
        <v>63.315199999999997</v>
      </c>
      <c r="W223" s="941"/>
      <c r="Y223" s="1156">
        <v>1913</v>
      </c>
      <c r="Z223" s="956">
        <v>35.56</v>
      </c>
      <c r="AA223" s="956">
        <v>33.934399999999997</v>
      </c>
      <c r="AB223" s="956">
        <v>66.954400000000007</v>
      </c>
      <c r="AC223" s="956"/>
      <c r="AD223" s="956"/>
      <c r="AE223" s="956">
        <f>Z223-AY223/$BF$8</f>
        <v>33.938668982456143</v>
      </c>
      <c r="AF223" s="956">
        <f>AA223-AZ223/$BF$8</f>
        <v>21.585052313090415</v>
      </c>
      <c r="AG223" s="956">
        <f>AB223-BA223/$BF$8-AN223</f>
        <v>54.325799584345489</v>
      </c>
      <c r="AH223" s="956">
        <f>AN223</f>
        <v>6.76</v>
      </c>
      <c r="AI223" s="956">
        <f>AE223+AF223+AG223</f>
        <v>109.84952087989205</v>
      </c>
      <c r="AJ223" s="956"/>
      <c r="AK223" s="956">
        <f>'1.3.3 Coal2'!J23</f>
        <v>42.143679999999996</v>
      </c>
      <c r="AL223" s="956">
        <f>[3]Sheet1!$K23+[3]Sheet1!$L23</f>
        <v>16.53</v>
      </c>
      <c r="AM223" s="956">
        <f>[3]Sheet1!$M23</f>
        <v>42.4</v>
      </c>
      <c r="AN223" s="956">
        <f>[3]Sheet1!$P23</f>
        <v>6.76</v>
      </c>
      <c r="AO223" s="956">
        <f>SUM(AK223:AN223)</f>
        <v>107.83368</v>
      </c>
      <c r="AP223" s="956"/>
      <c r="AQ223" s="961">
        <f>AE223/Z223</f>
        <v>0.95440576441102754</v>
      </c>
      <c r="AR223" s="961">
        <f>AF223/AA223</f>
        <v>0.63608174339579948</v>
      </c>
      <c r="AS223" s="956">
        <f t="shared" ref="AS223" si="67">AG223/AB223</f>
        <v>0.81138505586407295</v>
      </c>
      <c r="AT223" s="956"/>
      <c r="AU223" s="956"/>
      <c r="AV223" s="956"/>
      <c r="AW223" s="956"/>
      <c r="AX223" s="956"/>
      <c r="AY223" s="956">
        <f>'1.4.1 MSFLR'!S123/1000</f>
        <v>1.4396720000000001</v>
      </c>
      <c r="AZ223" s="956">
        <f>'1.4.1 MSFLR'!T123/1000</f>
        <v>10.965688</v>
      </c>
      <c r="BA223" s="956">
        <f>'1.4.1 MSFLR'!U123/1000</f>
        <v>5.2110639999999995</v>
      </c>
      <c r="BB223" s="956">
        <f>'1.4.1 MSFLR'!X123/1000</f>
        <v>2.1051519999999999</v>
      </c>
      <c r="BC223" s="956">
        <f>AY223+AZ223+BA223+BB223</f>
        <v>19.721575999999999</v>
      </c>
      <c r="BD223" s="9"/>
      <c r="BE223" s="9"/>
      <c r="BF223" s="956">
        <f>H223</f>
        <v>20.0152</v>
      </c>
      <c r="BG223" s="9"/>
    </row>
    <row r="224" spans="1:59" x14ac:dyDescent="0.45">
      <c r="A224" s="14">
        <v>1914</v>
      </c>
      <c r="B224" s="506"/>
      <c r="C224" s="506"/>
      <c r="D224" s="506"/>
      <c r="E224" s="506"/>
      <c r="F224" s="506"/>
      <c r="G224" s="506"/>
      <c r="H224" s="506"/>
      <c r="I224" s="506"/>
      <c r="J224" s="506"/>
      <c r="K224" s="509"/>
      <c r="L224" s="506"/>
      <c r="M224" s="506"/>
      <c r="N224" s="506"/>
      <c r="O224" s="506"/>
      <c r="P224" s="506"/>
      <c r="Q224" s="506"/>
      <c r="R224" s="506"/>
      <c r="S224" s="506"/>
      <c r="T224" s="506"/>
      <c r="V224" s="941"/>
      <c r="W224" s="941"/>
    </row>
    <row r="225" spans="1:23" x14ac:dyDescent="0.45">
      <c r="A225" s="14">
        <v>1915</v>
      </c>
      <c r="B225" s="506"/>
      <c r="C225" s="506"/>
      <c r="D225" s="506"/>
      <c r="E225" s="506"/>
      <c r="F225" s="506"/>
      <c r="G225" s="506"/>
      <c r="H225" s="506"/>
      <c r="I225" s="506"/>
      <c r="J225" s="506"/>
      <c r="K225" s="509"/>
      <c r="L225" s="506"/>
      <c r="M225" s="506"/>
      <c r="N225" s="506"/>
      <c r="O225" s="506"/>
      <c r="P225" s="506"/>
      <c r="Q225" s="506"/>
      <c r="R225" s="506"/>
      <c r="S225" s="506"/>
      <c r="T225" s="506"/>
      <c r="V225" s="941"/>
      <c r="W225" s="941"/>
    </row>
    <row r="226" spans="1:23" x14ac:dyDescent="0.45">
      <c r="A226" s="14">
        <v>1916</v>
      </c>
      <c r="B226" s="506"/>
      <c r="C226" s="506"/>
      <c r="D226" s="506"/>
      <c r="E226" s="506"/>
      <c r="F226" s="506"/>
      <c r="G226" s="506"/>
      <c r="H226" s="506"/>
      <c r="I226" s="506"/>
      <c r="J226" s="506"/>
      <c r="K226" s="509"/>
      <c r="L226" s="506"/>
      <c r="M226" s="506"/>
      <c r="N226" s="506"/>
      <c r="O226" s="506"/>
      <c r="P226" s="506"/>
      <c r="Q226" s="506"/>
      <c r="R226" s="506"/>
      <c r="S226" s="506"/>
      <c r="T226" s="506"/>
      <c r="V226" s="941"/>
      <c r="W226" s="941"/>
    </row>
    <row r="227" spans="1:23" x14ac:dyDescent="0.45">
      <c r="A227" s="14">
        <v>1917</v>
      </c>
      <c r="B227" s="506"/>
      <c r="C227" s="506"/>
      <c r="D227" s="506"/>
      <c r="E227" s="506"/>
      <c r="F227" s="506"/>
      <c r="G227" s="506"/>
      <c r="H227" s="506"/>
      <c r="I227" s="506"/>
      <c r="J227" s="506"/>
      <c r="K227" s="509"/>
      <c r="L227" s="506"/>
      <c r="M227" s="506"/>
      <c r="N227" s="506"/>
      <c r="O227" s="506"/>
      <c r="P227" s="506"/>
      <c r="Q227" s="506"/>
      <c r="R227" s="506"/>
      <c r="S227" s="506"/>
      <c r="T227" s="506"/>
      <c r="V227" s="941"/>
      <c r="W227" s="941"/>
    </row>
    <row r="228" spans="1:23" x14ac:dyDescent="0.45">
      <c r="A228" s="14">
        <v>1918</v>
      </c>
      <c r="B228" s="506"/>
      <c r="C228" s="506"/>
      <c r="D228" s="506"/>
      <c r="E228" s="506"/>
      <c r="F228" s="506"/>
      <c r="G228" s="506"/>
      <c r="H228" s="506"/>
      <c r="I228" s="506"/>
      <c r="J228" s="506"/>
      <c r="K228" s="509"/>
      <c r="L228" s="506"/>
      <c r="M228" s="506"/>
      <c r="N228" s="506"/>
      <c r="O228" s="506"/>
      <c r="P228" s="506"/>
      <c r="Q228" s="506"/>
      <c r="R228" s="506"/>
      <c r="S228" s="506"/>
      <c r="T228" s="506"/>
      <c r="V228" s="941"/>
      <c r="W228" s="941"/>
    </row>
    <row r="229" spans="1:23" x14ac:dyDescent="0.45">
      <c r="A229" s="14">
        <v>1919</v>
      </c>
      <c r="B229" s="506"/>
      <c r="C229" s="506"/>
      <c r="D229" s="506"/>
      <c r="E229" s="506"/>
      <c r="F229" s="506"/>
      <c r="G229" s="506"/>
      <c r="H229" s="506"/>
      <c r="I229" s="506"/>
      <c r="J229" s="506"/>
      <c r="K229" s="509"/>
      <c r="L229" s="506"/>
      <c r="M229" s="506"/>
      <c r="N229" s="506"/>
      <c r="O229" s="506"/>
      <c r="P229" s="506"/>
      <c r="Q229" s="506"/>
      <c r="R229" s="506"/>
      <c r="S229" s="506"/>
      <c r="T229" s="506"/>
      <c r="V229" s="941"/>
      <c r="W229" s="941"/>
    </row>
    <row r="230" spans="1:23" x14ac:dyDescent="0.45">
      <c r="A230" s="14">
        <v>1920</v>
      </c>
      <c r="B230" s="506"/>
      <c r="C230" s="506"/>
      <c r="D230" s="506"/>
      <c r="E230" s="506"/>
      <c r="F230" s="506"/>
      <c r="G230" s="506"/>
      <c r="H230" s="506"/>
      <c r="I230" s="506"/>
      <c r="J230" s="506"/>
      <c r="K230" s="509"/>
      <c r="L230" s="506"/>
      <c r="M230" s="506"/>
      <c r="N230" s="506"/>
      <c r="O230" s="506"/>
      <c r="P230" s="506"/>
      <c r="Q230" s="506"/>
      <c r="R230" s="506"/>
      <c r="S230" s="506"/>
      <c r="T230" s="506"/>
      <c r="V230" s="941"/>
      <c r="W230" s="941"/>
    </row>
    <row r="231" spans="1:23" x14ac:dyDescent="0.45">
      <c r="A231" s="14">
        <v>1921</v>
      </c>
      <c r="B231" s="506"/>
      <c r="C231" s="506"/>
      <c r="D231" s="506"/>
      <c r="E231" s="506"/>
      <c r="F231" s="506"/>
      <c r="G231" s="506"/>
      <c r="H231" s="506"/>
      <c r="I231" s="506"/>
      <c r="J231" s="506"/>
      <c r="K231" s="509"/>
      <c r="L231" s="506"/>
      <c r="M231" s="506"/>
      <c r="N231" s="506"/>
      <c r="O231" s="506"/>
      <c r="P231" s="506"/>
      <c r="Q231" s="506"/>
      <c r="R231" s="506"/>
      <c r="S231" s="506"/>
      <c r="T231" s="506"/>
      <c r="V231" s="941"/>
      <c r="W231" s="941"/>
    </row>
    <row r="232" spans="1:23" x14ac:dyDescent="0.45">
      <c r="A232" s="14">
        <v>1922</v>
      </c>
      <c r="B232" s="506"/>
      <c r="C232" s="506"/>
      <c r="D232" s="506"/>
      <c r="E232" s="506"/>
      <c r="F232" s="506"/>
      <c r="G232" s="506"/>
      <c r="H232" s="506"/>
      <c r="I232" s="506"/>
      <c r="J232" s="506"/>
      <c r="K232" s="509"/>
      <c r="L232" s="506"/>
      <c r="M232" s="506"/>
      <c r="N232" s="506"/>
      <c r="O232" s="506"/>
      <c r="P232" s="506"/>
      <c r="Q232" s="506"/>
      <c r="R232" s="506"/>
      <c r="S232" s="506"/>
      <c r="T232" s="506"/>
      <c r="V232" s="941"/>
      <c r="W232" s="941"/>
    </row>
    <row r="233" spans="1:23" x14ac:dyDescent="0.45">
      <c r="A233" s="14">
        <v>1923</v>
      </c>
      <c r="B233" s="506"/>
      <c r="C233" s="506"/>
      <c r="D233" s="506"/>
      <c r="E233" s="506"/>
      <c r="F233" s="506"/>
      <c r="G233" s="506"/>
      <c r="H233" s="506"/>
      <c r="I233" s="506"/>
      <c r="J233" s="506"/>
      <c r="K233" s="509"/>
      <c r="L233" s="506"/>
      <c r="M233" s="506"/>
      <c r="N233" s="506"/>
      <c r="O233" s="506"/>
      <c r="P233" s="506"/>
      <c r="Q233" s="506"/>
      <c r="R233" s="506"/>
      <c r="S233" s="506"/>
      <c r="T233" s="506"/>
      <c r="V233" s="941"/>
      <c r="W233" s="941"/>
    </row>
    <row r="234" spans="1:23" x14ac:dyDescent="0.45">
      <c r="A234" s="14">
        <v>1924</v>
      </c>
      <c r="B234" s="506"/>
      <c r="C234" s="506"/>
      <c r="D234" s="506"/>
      <c r="E234" s="506"/>
      <c r="F234" s="506"/>
      <c r="G234" s="506"/>
      <c r="H234" s="506"/>
      <c r="I234" s="506"/>
      <c r="J234" s="506"/>
      <c r="K234" s="509"/>
      <c r="L234" s="506"/>
    </row>
    <row r="235" spans="1:23" x14ac:dyDescent="0.45">
      <c r="A235" s="14">
        <v>1925</v>
      </c>
      <c r="B235" s="506"/>
      <c r="C235" s="506"/>
      <c r="D235" s="506"/>
      <c r="E235" s="506"/>
      <c r="F235" s="506"/>
      <c r="G235" s="506"/>
      <c r="H235" s="506"/>
      <c r="I235" s="506"/>
      <c r="J235" s="506"/>
      <c r="K235" s="509"/>
      <c r="L235" s="506"/>
    </row>
    <row r="236" spans="1:23" x14ac:dyDescent="0.45">
      <c r="A236" s="14">
        <v>1926</v>
      </c>
      <c r="B236" s="506"/>
      <c r="C236" s="506"/>
      <c r="D236" s="506"/>
      <c r="E236" s="506"/>
      <c r="F236" s="506"/>
      <c r="G236" s="506"/>
      <c r="H236" s="506"/>
      <c r="I236" s="506"/>
      <c r="J236" s="506"/>
      <c r="K236" s="509"/>
      <c r="L236" s="506"/>
    </row>
    <row r="237" spans="1:23" x14ac:dyDescent="0.45">
      <c r="A237" s="14">
        <v>1927</v>
      </c>
      <c r="B237" s="506"/>
      <c r="C237" s="506"/>
      <c r="D237" s="506"/>
      <c r="E237" s="506"/>
      <c r="F237" s="506"/>
      <c r="G237" s="506"/>
      <c r="H237" s="506"/>
      <c r="I237" s="506"/>
      <c r="J237" s="506"/>
      <c r="K237" s="509"/>
      <c r="L237" s="506"/>
    </row>
    <row r="238" spans="1:23" x14ac:dyDescent="0.45">
      <c r="A238" s="14">
        <v>1928</v>
      </c>
      <c r="B238" s="506"/>
      <c r="C238" s="506"/>
      <c r="D238" s="506"/>
      <c r="E238" s="506"/>
      <c r="F238" s="506"/>
      <c r="G238" s="506"/>
      <c r="H238" s="506"/>
      <c r="I238" s="506"/>
      <c r="J238" s="506"/>
      <c r="K238" s="509"/>
      <c r="L238" s="506"/>
    </row>
    <row r="239" spans="1:23" x14ac:dyDescent="0.45">
      <c r="A239" s="14">
        <v>1929</v>
      </c>
      <c r="B239" s="506"/>
      <c r="C239" s="506"/>
      <c r="D239" s="506"/>
      <c r="E239" s="506"/>
      <c r="F239" s="506"/>
      <c r="G239" s="506"/>
      <c r="H239" s="506"/>
      <c r="I239" s="506"/>
      <c r="J239" s="506"/>
      <c r="K239" s="509"/>
      <c r="L239" s="506"/>
    </row>
    <row r="240" spans="1:23" x14ac:dyDescent="0.45">
      <c r="A240" s="14">
        <v>1930</v>
      </c>
      <c r="B240" s="506"/>
      <c r="C240" s="506"/>
      <c r="D240" s="506"/>
      <c r="E240" s="506"/>
      <c r="F240" s="506"/>
      <c r="G240" s="506"/>
      <c r="H240" s="506"/>
      <c r="I240" s="506"/>
      <c r="J240" s="506"/>
      <c r="K240" s="509"/>
      <c r="L240" s="506"/>
    </row>
    <row r="241" spans="1:14" x14ac:dyDescent="0.45">
      <c r="A241" s="14">
        <v>1931</v>
      </c>
      <c r="B241" s="506"/>
      <c r="C241" s="506"/>
      <c r="D241" s="506"/>
      <c r="E241" s="506"/>
      <c r="F241" s="506"/>
      <c r="G241" s="506"/>
      <c r="H241" s="506"/>
      <c r="I241" s="506"/>
      <c r="J241" s="506"/>
      <c r="K241" s="509"/>
      <c r="L241" s="506"/>
    </row>
    <row r="242" spans="1:14" x14ac:dyDescent="0.45">
      <c r="A242" s="14">
        <v>1932</v>
      </c>
      <c r="B242" s="506"/>
      <c r="C242" s="506"/>
      <c r="D242" s="506"/>
      <c r="E242" s="506"/>
      <c r="F242" s="506"/>
      <c r="G242" s="506"/>
      <c r="H242" s="506"/>
      <c r="I242" s="506"/>
      <c r="J242" s="506"/>
      <c r="K242" s="509"/>
      <c r="L242" s="506"/>
    </row>
    <row r="243" spans="1:14" x14ac:dyDescent="0.45">
      <c r="A243" s="14">
        <v>1933</v>
      </c>
      <c r="B243" s="506"/>
      <c r="C243" s="506"/>
      <c r="D243" s="506"/>
      <c r="E243" s="506"/>
      <c r="F243" s="506"/>
      <c r="G243" s="506"/>
      <c r="H243" s="506"/>
      <c r="I243" s="506"/>
      <c r="J243" s="506"/>
      <c r="K243" s="509"/>
      <c r="L243" s="506"/>
    </row>
    <row r="244" spans="1:14" x14ac:dyDescent="0.45">
      <c r="A244" s="14">
        <v>1934</v>
      </c>
      <c r="B244" s="506"/>
      <c r="C244" s="506"/>
      <c r="D244" s="506"/>
      <c r="E244" s="506"/>
      <c r="F244" s="506"/>
      <c r="G244" s="506"/>
      <c r="H244" s="506"/>
      <c r="I244" s="506"/>
      <c r="J244" s="506"/>
      <c r="K244" s="509"/>
      <c r="L244" s="506"/>
    </row>
    <row r="245" spans="1:14" x14ac:dyDescent="0.45">
      <c r="A245" s="14">
        <v>1935</v>
      </c>
      <c r="B245" s="506"/>
      <c r="C245" s="506"/>
      <c r="D245" s="506"/>
      <c r="E245" s="506"/>
      <c r="F245" s="506"/>
      <c r="G245" s="506"/>
      <c r="H245" s="506"/>
      <c r="I245" s="506"/>
      <c r="J245" s="506"/>
      <c r="K245" s="509"/>
      <c r="L245" s="506"/>
    </row>
    <row r="246" spans="1:14" x14ac:dyDescent="0.45">
      <c r="A246" s="14">
        <v>1936</v>
      </c>
      <c r="B246" s="506"/>
      <c r="C246" s="506"/>
      <c r="D246" s="506"/>
      <c r="E246" s="506"/>
      <c r="F246" s="506"/>
      <c r="G246" s="506"/>
      <c r="H246" s="506"/>
      <c r="I246" s="506"/>
      <c r="J246" s="506"/>
      <c r="K246" s="509"/>
      <c r="L246" s="506"/>
    </row>
    <row r="247" spans="1:14" x14ac:dyDescent="0.45">
      <c r="A247" s="14">
        <v>1937</v>
      </c>
      <c r="B247" s="506"/>
      <c r="C247" s="506"/>
      <c r="D247" s="506"/>
      <c r="E247" s="506"/>
      <c r="F247" s="506"/>
      <c r="G247" s="506"/>
      <c r="H247" s="506"/>
      <c r="I247" s="506"/>
      <c r="J247" s="506"/>
      <c r="K247" s="509"/>
      <c r="L247" s="506"/>
    </row>
    <row r="248" spans="1:14" x14ac:dyDescent="0.45">
      <c r="A248" s="14">
        <v>1938</v>
      </c>
      <c r="B248" s="506"/>
      <c r="C248" s="506"/>
      <c r="D248" s="506"/>
      <c r="E248" s="506"/>
      <c r="F248" s="506"/>
      <c r="G248" s="506"/>
      <c r="H248" s="506"/>
      <c r="I248" s="506"/>
      <c r="J248" s="506"/>
      <c r="K248" s="509"/>
      <c r="L248" s="506"/>
    </row>
    <row r="249" spans="1:14" x14ac:dyDescent="0.45">
      <c r="A249" s="14">
        <v>1939</v>
      </c>
      <c r="B249" s="506"/>
      <c r="C249" s="506"/>
      <c r="D249" s="506"/>
      <c r="E249" s="506"/>
      <c r="F249" s="506"/>
      <c r="G249" s="506"/>
      <c r="H249" s="506"/>
      <c r="I249" s="506"/>
      <c r="J249" s="506"/>
      <c r="K249" s="509"/>
      <c r="L249" s="506"/>
    </row>
    <row r="250" spans="1:14" x14ac:dyDescent="0.45">
      <c r="A250" s="14">
        <v>1940</v>
      </c>
      <c r="B250" s="506"/>
      <c r="C250" s="506"/>
      <c r="D250" s="506"/>
      <c r="E250" s="506"/>
      <c r="F250" s="506"/>
      <c r="G250" s="506"/>
      <c r="H250" s="506"/>
      <c r="I250" s="506"/>
      <c r="J250" s="506"/>
      <c r="K250" s="509"/>
      <c r="L250" s="506"/>
    </row>
    <row r="251" spans="1:14" x14ac:dyDescent="0.45">
      <c r="A251" s="14">
        <v>1941</v>
      </c>
      <c r="B251" s="506"/>
      <c r="C251" s="506"/>
      <c r="D251" s="506"/>
      <c r="E251" s="506"/>
      <c r="F251" s="506"/>
      <c r="G251" s="506"/>
      <c r="H251" s="506"/>
      <c r="I251" s="940"/>
      <c r="J251" s="940"/>
      <c r="K251" s="941"/>
      <c r="L251" s="940"/>
      <c r="M251" s="11"/>
      <c r="N251" s="11"/>
    </row>
    <row r="252" spans="1:14" x14ac:dyDescent="0.45">
      <c r="A252" s="14">
        <v>1942</v>
      </c>
      <c r="B252" s="506"/>
      <c r="C252" s="506"/>
      <c r="D252" s="506"/>
      <c r="E252" s="506"/>
      <c r="F252" s="506"/>
      <c r="G252" s="506"/>
      <c r="H252" s="506"/>
      <c r="I252" s="940"/>
      <c r="J252" s="940"/>
      <c r="K252" s="941"/>
      <c r="L252" s="940"/>
      <c r="M252" s="11"/>
      <c r="N252" s="11"/>
    </row>
    <row r="253" spans="1:14" x14ac:dyDescent="0.45">
      <c r="A253" s="14">
        <v>1943</v>
      </c>
      <c r="B253" s="506"/>
      <c r="C253" s="506"/>
      <c r="D253" s="506"/>
      <c r="E253" s="506"/>
      <c r="F253" s="506"/>
      <c r="G253" s="506"/>
      <c r="H253" s="506"/>
      <c r="I253" s="940"/>
      <c r="J253" s="940"/>
      <c r="K253" s="941"/>
      <c r="L253" s="940"/>
      <c r="M253" s="11"/>
      <c r="N253" s="11"/>
    </row>
    <row r="254" spans="1:14" x14ac:dyDescent="0.45">
      <c r="A254" s="14">
        <v>1944</v>
      </c>
      <c r="B254" s="506"/>
      <c r="C254" s="506"/>
      <c r="D254" s="506"/>
      <c r="E254" s="506"/>
      <c r="F254" s="506"/>
      <c r="G254" s="506"/>
      <c r="H254" s="506"/>
      <c r="I254" s="940"/>
      <c r="J254" s="11"/>
      <c r="K254" s="942"/>
      <c r="L254" s="11"/>
      <c r="M254" s="11"/>
      <c r="N254" s="11"/>
    </row>
    <row r="255" spans="1:14" x14ac:dyDescent="0.45">
      <c r="A255" s="14">
        <v>1945</v>
      </c>
      <c r="I255" s="11"/>
      <c r="J255" s="11"/>
      <c r="K255" s="11"/>
      <c r="L255" s="11"/>
      <c r="M255" s="11"/>
      <c r="N255" s="11"/>
    </row>
    <row r="256" spans="1:14" x14ac:dyDescent="0.45">
      <c r="A256" s="14">
        <v>1946</v>
      </c>
      <c r="I256" s="11"/>
      <c r="J256" s="11"/>
      <c r="K256" s="11"/>
      <c r="L256" s="11"/>
      <c r="M256" s="11"/>
      <c r="N256" s="11"/>
    </row>
    <row r="257" spans="1:14" x14ac:dyDescent="0.45">
      <c r="A257" s="14">
        <v>1947</v>
      </c>
      <c r="I257" s="11"/>
      <c r="J257" s="11"/>
      <c r="K257" s="11"/>
      <c r="L257" s="11"/>
      <c r="M257" s="11"/>
      <c r="N257" s="11"/>
    </row>
    <row r="258" spans="1:14" x14ac:dyDescent="0.45">
      <c r="A258" s="14">
        <v>1948</v>
      </c>
    </row>
    <row r="259" spans="1:14" x14ac:dyDescent="0.45">
      <c r="A259" s="14">
        <v>1949</v>
      </c>
    </row>
    <row r="260" spans="1:14" x14ac:dyDescent="0.45">
      <c r="A260" s="14">
        <v>1950</v>
      </c>
    </row>
    <row r="261" spans="1:14" x14ac:dyDescent="0.45">
      <c r="A261" s="14">
        <v>1951</v>
      </c>
    </row>
    <row r="262" spans="1:14" x14ac:dyDescent="0.45">
      <c r="A262" s="14">
        <v>1952</v>
      </c>
    </row>
    <row r="263" spans="1:14" x14ac:dyDescent="0.45">
      <c r="A263" s="14">
        <v>1953</v>
      </c>
    </row>
    <row r="264" spans="1:14" x14ac:dyDescent="0.45">
      <c r="A264" s="14">
        <v>1954</v>
      </c>
    </row>
    <row r="265" spans="1:14" x14ac:dyDescent="0.45">
      <c r="A265" s="14">
        <v>1955</v>
      </c>
    </row>
    <row r="266" spans="1:14" x14ac:dyDescent="0.45">
      <c r="A266" s="14">
        <v>1956</v>
      </c>
    </row>
    <row r="267" spans="1:14" x14ac:dyDescent="0.45">
      <c r="A267" s="14">
        <v>1957</v>
      </c>
    </row>
    <row r="268" spans="1:14" x14ac:dyDescent="0.45">
      <c r="A268" s="14">
        <v>1958</v>
      </c>
    </row>
    <row r="269" spans="1:14" x14ac:dyDescent="0.45">
      <c r="A269" s="14">
        <v>1959</v>
      </c>
    </row>
    <row r="270" spans="1:14" x14ac:dyDescent="0.45">
      <c r="A270" s="14">
        <v>1960</v>
      </c>
    </row>
    <row r="271" spans="1:14" x14ac:dyDescent="0.45">
      <c r="A271" s="14">
        <v>1961</v>
      </c>
    </row>
    <row r="272" spans="1:14" x14ac:dyDescent="0.45">
      <c r="A272" s="14">
        <v>1962</v>
      </c>
    </row>
    <row r="273" spans="1:1" x14ac:dyDescent="0.45">
      <c r="A273" s="14">
        <v>1963</v>
      </c>
    </row>
    <row r="274" spans="1:1" x14ac:dyDescent="0.45">
      <c r="A274" s="14">
        <v>1964</v>
      </c>
    </row>
    <row r="275" spans="1:1" x14ac:dyDescent="0.45">
      <c r="A275" s="14">
        <v>1965</v>
      </c>
    </row>
    <row r="276" spans="1:1" x14ac:dyDescent="0.45">
      <c r="A276" s="14">
        <v>1966</v>
      </c>
    </row>
    <row r="277" spans="1:1" x14ac:dyDescent="0.45">
      <c r="A277" s="14">
        <v>1967</v>
      </c>
    </row>
    <row r="278" spans="1:1" x14ac:dyDescent="0.45">
      <c r="A278" s="14">
        <v>1968</v>
      </c>
    </row>
    <row r="279" spans="1:1" x14ac:dyDescent="0.45">
      <c r="A279" s="14">
        <v>1969</v>
      </c>
    </row>
    <row r="280" spans="1:1" x14ac:dyDescent="0.45">
      <c r="A280" s="14">
        <v>1970</v>
      </c>
    </row>
    <row r="281" spans="1:1" x14ac:dyDescent="0.45">
      <c r="A281" s="14">
        <v>1971</v>
      </c>
    </row>
    <row r="282" spans="1:1" x14ac:dyDescent="0.45">
      <c r="A282" s="14">
        <v>1972</v>
      </c>
    </row>
    <row r="283" spans="1:1" x14ac:dyDescent="0.45">
      <c r="A283" s="14">
        <v>1973</v>
      </c>
    </row>
    <row r="284" spans="1:1" x14ac:dyDescent="0.45">
      <c r="A284" s="14">
        <v>1974</v>
      </c>
    </row>
    <row r="285" spans="1:1" x14ac:dyDescent="0.45">
      <c r="A285" s="14">
        <v>1975</v>
      </c>
    </row>
    <row r="286" spans="1:1" x14ac:dyDescent="0.45">
      <c r="A286" s="14">
        <v>1976</v>
      </c>
    </row>
    <row r="287" spans="1:1" x14ac:dyDescent="0.45">
      <c r="A287" s="14">
        <v>1977</v>
      </c>
    </row>
    <row r="288" spans="1:1" x14ac:dyDescent="0.45">
      <c r="A288" s="14">
        <v>1978</v>
      </c>
    </row>
    <row r="289" spans="1:1" x14ac:dyDescent="0.45">
      <c r="A289" s="14">
        <v>1979</v>
      </c>
    </row>
    <row r="290" spans="1:1" x14ac:dyDescent="0.45">
      <c r="A290" s="14">
        <v>1980</v>
      </c>
    </row>
    <row r="291" spans="1:1" x14ac:dyDescent="0.45">
      <c r="A291" s="14">
        <v>1981</v>
      </c>
    </row>
    <row r="292" spans="1:1" x14ac:dyDescent="0.45">
      <c r="A292" s="14">
        <v>1982</v>
      </c>
    </row>
    <row r="293" spans="1:1" x14ac:dyDescent="0.45">
      <c r="A293" s="14">
        <v>1983</v>
      </c>
    </row>
    <row r="294" spans="1:1" x14ac:dyDescent="0.45">
      <c r="A294" s="14">
        <v>1984</v>
      </c>
    </row>
    <row r="295" spans="1:1" x14ac:dyDescent="0.45">
      <c r="A295" s="14">
        <v>1985</v>
      </c>
    </row>
    <row r="296" spans="1:1" x14ac:dyDescent="0.45">
      <c r="A296" s="14">
        <v>1986</v>
      </c>
    </row>
    <row r="297" spans="1:1" x14ac:dyDescent="0.45">
      <c r="A297" s="14">
        <v>1987</v>
      </c>
    </row>
    <row r="298" spans="1:1" x14ac:dyDescent="0.45">
      <c r="A298" s="14">
        <v>1988</v>
      </c>
    </row>
    <row r="299" spans="1:1" x14ac:dyDescent="0.45">
      <c r="A299" s="14">
        <v>1989</v>
      </c>
    </row>
    <row r="300" spans="1:1" x14ac:dyDescent="0.45">
      <c r="A300" s="14">
        <v>1990</v>
      </c>
    </row>
    <row r="301" spans="1:1" x14ac:dyDescent="0.45">
      <c r="A301" s="14">
        <v>1991</v>
      </c>
    </row>
    <row r="302" spans="1:1" x14ac:dyDescent="0.45">
      <c r="A302" s="14">
        <v>1992</v>
      </c>
    </row>
    <row r="303" spans="1:1" x14ac:dyDescent="0.45">
      <c r="A303" s="14">
        <v>1993</v>
      </c>
    </row>
    <row r="304" spans="1:1" x14ac:dyDescent="0.45">
      <c r="A304" s="14">
        <v>1994</v>
      </c>
    </row>
    <row r="305" spans="1:1" x14ac:dyDescent="0.45">
      <c r="A305" s="14">
        <v>1995</v>
      </c>
    </row>
    <row r="306" spans="1:1" x14ac:dyDescent="0.45">
      <c r="A306" s="14">
        <v>1996</v>
      </c>
    </row>
    <row r="307" spans="1:1" x14ac:dyDescent="0.45">
      <c r="A307" s="14">
        <v>1997</v>
      </c>
    </row>
    <row r="308" spans="1:1" x14ac:dyDescent="0.45">
      <c r="A308" s="14">
        <v>1998</v>
      </c>
    </row>
    <row r="309" spans="1:1" x14ac:dyDescent="0.45">
      <c r="A309" s="14">
        <v>1999</v>
      </c>
    </row>
    <row r="310" spans="1:1" x14ac:dyDescent="0.45">
      <c r="A310" s="14">
        <v>2000</v>
      </c>
    </row>
    <row r="311" spans="1:1" x14ac:dyDescent="0.45">
      <c r="A311" s="14">
        <v>2001</v>
      </c>
    </row>
    <row r="312" spans="1:1" x14ac:dyDescent="0.45">
      <c r="A312" s="14">
        <v>2002</v>
      </c>
    </row>
    <row r="313" spans="1:1" x14ac:dyDescent="0.45">
      <c r="A313" s="14">
        <v>2003</v>
      </c>
    </row>
    <row r="314" spans="1:1" x14ac:dyDescent="0.45">
      <c r="A314" s="14">
        <v>2004</v>
      </c>
    </row>
    <row r="315" spans="1:1" x14ac:dyDescent="0.45">
      <c r="A315" s="14">
        <v>2005</v>
      </c>
    </row>
    <row r="316" spans="1:1" x14ac:dyDescent="0.45">
      <c r="A316" s="14">
        <v>2006</v>
      </c>
    </row>
    <row r="317" spans="1:1" x14ac:dyDescent="0.45">
      <c r="A317" s="14">
        <v>2007</v>
      </c>
    </row>
    <row r="318" spans="1:1" x14ac:dyDescent="0.45">
      <c r="A318" s="14">
        <v>2008</v>
      </c>
    </row>
    <row r="319" spans="1:1" x14ac:dyDescent="0.45">
      <c r="A319" s="14">
        <v>2009</v>
      </c>
    </row>
    <row r="320" spans="1:1" x14ac:dyDescent="0.45">
      <c r="A320" s="14">
        <v>2010</v>
      </c>
    </row>
    <row r="321" spans="1:1" x14ac:dyDescent="0.45">
      <c r="A321" s="14">
        <v>2011</v>
      </c>
    </row>
    <row r="322" spans="1:1" x14ac:dyDescent="0.45">
      <c r="A322" s="14">
        <v>2012</v>
      </c>
    </row>
    <row r="323" spans="1:1" x14ac:dyDescent="0.45">
      <c r="A323" s="14">
        <v>2013</v>
      </c>
    </row>
    <row r="324" spans="1:1" x14ac:dyDescent="0.45">
      <c r="A324" s="14">
        <v>2014</v>
      </c>
    </row>
    <row r="325" spans="1:1" x14ac:dyDescent="0.45">
      <c r="A325" s="14">
        <v>2015</v>
      </c>
    </row>
    <row r="326" spans="1:1" x14ac:dyDescent="0.45">
      <c r="A326" s="14">
        <v>2016</v>
      </c>
    </row>
    <row r="327" spans="1:1" x14ac:dyDescent="0.45">
      <c r="A327" s="14">
        <v>2017</v>
      </c>
    </row>
    <row r="328" spans="1:1" x14ac:dyDescent="0.45">
      <c r="A328" s="14">
        <v>2018</v>
      </c>
    </row>
    <row r="329" spans="1:1" x14ac:dyDescent="0.45">
      <c r="A329" s="14">
        <v>2019</v>
      </c>
    </row>
    <row r="330" spans="1:1" x14ac:dyDescent="0.45">
      <c r="A330" s="14">
        <v>2020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NIC Document" ma:contentTypeID="0x010100F3DA492754083E45834DB37B66A759800004E1FB21B81FFA46BD16BD54B19A8713" ma:contentTypeVersion="8" ma:contentTypeDescription="Create an InfoStore Document" ma:contentTypeScope="" ma:versionID="d03fce0a0a5e62a5f91c955fdd88b266">
  <xsd:schema xmlns:xsd="http://www.w3.org/2001/XMLSchema" xmlns:xs="http://www.w3.org/2001/XMLSchema" xmlns:p="http://schemas.microsoft.com/office/2006/metadata/properties" xmlns:ns1="http://schemas.microsoft.com/sharepoint/v3" xmlns:ns2="6644b02a-369f-4cc3-8110-4ca6386cfcb4" xmlns:ns3="317e6481-8171-4aa0-9f23-8019e711ab58" targetNamespace="http://schemas.microsoft.com/office/2006/metadata/properties" ma:root="true" ma:fieldsID="acd663ba6887e977aca2aaf3494d2b14" ns1:_="" ns2:_="" ns3:_="">
    <xsd:import namespace="http://schemas.microsoft.com/sharepoint/v3"/>
    <xsd:import namespace="6644b02a-369f-4cc3-8110-4ca6386cfcb4"/>
    <xsd:import namespace="317e6481-8171-4aa0-9f23-8019e711ab58"/>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description="" ma:internalName="dlc_EmailSubject">
      <xsd:simpleType>
        <xsd:restriction base="dms:Text">
          <xsd:maxLength value="255"/>
        </xsd:restriction>
      </xsd:simpleType>
    </xsd:element>
    <xsd:element name="dlc_EmailMailbox" ma:index="1" nillable="true" ma:displayName="Submitter" ma:description=""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description="" ma:internalName="dlc_EmailTo">
      <xsd:simpleType>
        <xsd:restriction base="dms:Text">
          <xsd:maxLength value="255"/>
        </xsd:restriction>
      </xsd:simpleType>
    </xsd:element>
    <xsd:element name="dlc_EmailFrom" ma:index="3" nillable="true" ma:displayName="From" ma:description="" ma:internalName="dlc_EmailFrom">
      <xsd:simpleType>
        <xsd:restriction base="dms:Text">
          <xsd:maxLength value="255"/>
        </xsd:restriction>
      </xsd:simpleType>
    </xsd:element>
    <xsd:element name="dlc_EmailCC" ma:index="4" nillable="true" ma:displayName="CC" ma:description="" ma:internalName="dlc_EmailCC">
      <xsd:simpleType>
        <xsd:restriction base="dms:Note">
          <xsd:maxLength value="1024"/>
        </xsd:restriction>
      </xsd:simpleType>
    </xsd:element>
    <xsd:element name="dlc_EmailBCC" ma:index="5" nillable="true" ma:displayName="BCC" ma:description="" ma:internalName="dlc_EmailBCC">
      <xsd:simpleType>
        <xsd:restriction base="dms:Note">
          <xsd:maxLength value="1024"/>
        </xsd:restriction>
      </xsd:simpleType>
    </xsd:element>
    <xsd:element name="dlc_EmailSentUTC" ma:index="6" nillable="true" ma:displayName="Date Sent" ma:description="" ma:internalName="dlc_EmailSentUTC">
      <xsd:simpleType>
        <xsd:restriction base="dms:DateTime"/>
      </xsd:simpleType>
    </xsd:element>
    <xsd:element name="dlc_EmailReceivedUTC" ma:index="7" nillable="true" ma:displayName="Date Received" ma:description=""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644b02a-369f-4cc3-8110-4ca6386cfcb4"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indexed="true" ma:default="-1;#Other|c235b5c2-f697-427b-a70a-43d69599f998" ma:fieldId="{64e205a0-0872-4e26-9aef-64ca7bdb5848}" ma:sspId="9002b6cd-6bc3-456d-8dd0-19fe32dddaf9" ma:termSetId="3c19b2b4-6767-49d7-bf7e-a6f60c064094" ma:anchorId="bd4325a7-7f6a-48f9-b0dc-cc3aef626e65"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indexed="true" ma:readOnly="true" ma:default="" ma:fieldId="{0727aac2-e220-4289-aa2b-5b6dcdadae03}" ma:sspId="9002b6cd-6bc3-456d-8dd0-19fe32dddaf9" ma:termSetId="235b8be1-2648-46e3-a889-490bb086ef3f"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indexed="true" ma:readOnly="true" ma:default="" ma:fieldId="{2eefa5c6-211a-4a5e-9a50-7e1c1c1599ef}" ma:sspId="9002b6cd-6bc3-456d-8dd0-19fe32dddaf9" ma:termSetId="235b8be1-2648-46e3-a889-490bb086ef3f"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indexed="true" ma:readOnly="true" ma:default="" ma:fieldId="{1b8bc039-1a2e-4089-a24d-47de9e4a6672}" ma:sspId="9002b6cd-6bc3-456d-8dd0-19fe32dddaf9" ma:termSetId="235b8be1-2648-46e3-a889-490bb086ef3f"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indexed="true" ma:readOnly="true" ma:default="" ma:fieldId="{03bf77b0-a02d-47ea-8bec-4fb357d1f3ee}" ma:sspId="9002b6cd-6bc3-456d-8dd0-19fe32dddaf9" ma:termSetId="3c19b2b4-6767-49d7-bf7e-a6f60c064094"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abce35c3-3e0b-43bf-804d-c71c587ccc5a}" ma:internalName="TaxCatchAllLabel" ma:readOnly="true" ma:showField="CatchAllDataLabel" ma:web="6644b02a-369f-4cc3-8110-4ca6386cfcb4">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abce35c3-3e0b-43bf-804d-c71c587ccc5a}" ma:internalName="TaxCatchAll" ma:showField="CatchAllData" ma:web="6644b02a-369f-4cc3-8110-4ca6386cfcb4">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indexed="true" ma:readOnly="true" ma:default="" ma:fieldId="{b9c42a30-6c8b-47fc-baf8-a41a71352f3a}" ma:sspId="9002b6cd-6bc3-456d-8dd0-19fe32dddaf9" ma:termSetId="dd1678d0-78a9-453e-aede-aa0175f7fe72"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5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17e6481-8171-4aa0-9f23-8019e711ab58"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AutoKeyPoints" ma:index="56" nillable="true" ma:displayName="MediaServiceAutoKeyPoints" ma:hidden="true" ma:internalName="MediaServiceAutoKeyPoints" ma:readOnly="true">
      <xsd:simpleType>
        <xsd:restriction base="dms:Note"/>
      </xsd:simpleType>
    </xsd:element>
    <xsd:element name="MediaServiceKeyPoints" ma:index="5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HMT_ClosedbyOrig xmlns="6644b02a-369f-4cc3-8110-4ca6386cfcb4">
      <UserInfo>
        <DisplayName/>
        <AccountId xsi:nil="true"/>
        <AccountType/>
      </UserInfo>
    </HMT_ClosedbyOrig>
    <dlc_EmailReceivedUTC xmlns="http://schemas.microsoft.com/sharepoint/v3" xsi:nil="true"/>
    <dlc_EmailSentUTC xmlns="http://schemas.microsoft.com/sharepoint/v3" xsi:nil="true"/>
    <TaxCatchAll xmlns="6644b02a-369f-4cc3-8110-4ca6386cfcb4">
      <Value>40</Value>
      <Value>38</Value>
      <Value>37</Value>
      <Value>36</Value>
      <Value>35</Value>
    </TaxCatchAll>
    <dlc_EmailSubject xmlns="http://schemas.microsoft.com/sharepoint/v3" xsi:nil="true"/>
    <dlc_EmailTo xmlns="http://schemas.microsoft.com/sharepoint/v3" xsi:nil="true"/>
    <dlc_EmailFrom xmlns="http://schemas.microsoft.com/sharepoint/v3" xsi:nil="true"/>
    <dlc_EmailCC xmlns="http://schemas.microsoft.com/sharepoint/v3" xsi:nil="true"/>
    <dlc_EmailMailbox xmlns="http://schemas.microsoft.com/sharepoint/v3">
      <UserInfo>
        <DisplayName/>
        <AccountId xsi:nil="true"/>
        <AccountType/>
      </UserInfo>
    </dlc_EmailMailbox>
    <HMT_DocumentTypeHTField0 xmlns="6644b02a-369f-4cc3-8110-4ca6386cfcb4">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c235b5c2-f697-427b-a70a-43d69599f998</TermId>
        </TermInfo>
      </Terms>
    </HMT_DocumentTypeHTField0>
    <HMT_ClosedArchive xmlns="6644b02a-369f-4cc3-8110-4ca6386cfcb4">false</HMT_ClosedArchive>
    <b9c42a306c8b47fcbaf8a41a71352f3a xmlns="6644b02a-369f-4cc3-8110-4ca6386cfcb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1803aa85-5d13-4a57-a135-e2ed4c221e1b</TermId>
        </TermInfo>
      </Terms>
    </b9c42a306c8b47fcbaf8a41a71352f3a>
    <HMT_GroupHTField0 xmlns="6644b02a-369f-4cc3-8110-4ca6386cfcb4">
      <Terms xmlns="http://schemas.microsoft.com/office/infopath/2007/PartnerControls">
        <TermInfo xmlns="http://schemas.microsoft.com/office/infopath/2007/PartnerControls">
          <TermName xmlns="http://schemas.microsoft.com/office/infopath/2007/PartnerControls">NIC</TermName>
          <TermId xmlns="http://schemas.microsoft.com/office/infopath/2007/PartnerControls">0cc92277-be5c-411f-aac2-6a54f41a702c</TermId>
        </TermInfo>
      </Terms>
    </HMT_GroupHTField0>
    <HMT_Topic xmlns="6644b02a-369f-4cc3-8110-4ca6386cfcb4">Historic Infrastructure Data</HMT_Topic>
    <HMT_LegacyRecord xmlns="6644b02a-369f-4cc3-8110-4ca6386cfcb4">false</HMT_LegacyRecord>
    <HMT_SubTeamHTField0 xmlns="6644b02a-369f-4cc3-8110-4ca6386cfcb4">
      <Terms xmlns="http://schemas.microsoft.com/office/infopath/2007/PartnerControls"/>
    </HMT_SubTeamHTField0>
    <HMT_Record xmlns="6644b02a-369f-4cc3-8110-4ca6386cfcb4">true</HMT_Record>
    <HMT_LegacySensitive xmlns="6644b02a-369f-4cc3-8110-4ca6386cfcb4">false</HMT_LegacySensitive>
    <HMT_TeamHTField0 xmlns="6644b02a-369f-4cc3-8110-4ca6386cfcb4">
      <Terms xmlns="http://schemas.microsoft.com/office/infopath/2007/PartnerControls">
        <TermInfo xmlns="http://schemas.microsoft.com/office/infopath/2007/PartnerControls">
          <TermName xmlns="http://schemas.microsoft.com/office/infopath/2007/PartnerControls">NIC Team</TermName>
          <TermId xmlns="http://schemas.microsoft.com/office/infopath/2007/PartnerControls">9b399fae-6714-4f60-913d-c470c9698865</TermId>
        </TermInfo>
      </Terms>
    </HMT_TeamHTField0>
    <HMT_CategoryHTField0 xmlns="6644b02a-369f-4cc3-8110-4ca6386cfcb4">
      <Terms xmlns="http://schemas.microsoft.com/office/infopath/2007/PartnerControls">
        <TermInfo xmlns="http://schemas.microsoft.com/office/infopath/2007/PartnerControls">
          <TermName xmlns="http://schemas.microsoft.com/office/infopath/2007/PartnerControls">Policy Document Types</TermName>
          <TermId xmlns="http://schemas.microsoft.com/office/infopath/2007/PartnerControls">bd4325a7-7f6a-48f9-b0dc-cc3aef626e65</TermId>
        </TermInfo>
      </Terms>
    </HMT_CategoryHTField0>
    <HMT_Theme xmlns="6644b02a-369f-4cc3-8110-4ca6386cfcb4">Data Hub</HMT_Theme>
    <_dlc_DocId xmlns="6644b02a-369f-4cc3-8110-4ca6386cfcb4">NIC-2026934563-184</_dlc_DocId>
    <_dlc_DocIdUrl xmlns="6644b02a-369f-4cc3-8110-4ca6386cfcb4">
      <Url>https://tris42.sharepoint.com/sites/nic_is_nic/_layouts/15/DocIdRedir.aspx?ID=NIC-2026934563-184</Url>
      <Description>NIC-2026934563-184</Description>
    </_dlc_DocIdUrl>
    <HMT_SubTopic xmlns="6644b02a-369f-4cc3-8110-4ca6386cfcb4">Final products</HMT_SubTopic>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F0AA7D6-E301-4B18-80E2-DF655207E560}">
  <ds:schemaRefs>
    <ds:schemaRef ds:uri="http://schemas.microsoft.com/sharepoint/v3/contenttype/forms"/>
  </ds:schemaRefs>
</ds:datastoreItem>
</file>

<file path=customXml/itemProps2.xml><?xml version="1.0" encoding="utf-8"?>
<ds:datastoreItem xmlns:ds="http://schemas.openxmlformats.org/officeDocument/2006/customXml" ds:itemID="{42A14390-F2F6-4B0C-8639-CBD09A2F98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644b02a-369f-4cc3-8110-4ca6386cfcb4"/>
    <ds:schemaRef ds:uri="317e6481-8171-4aa0-9f23-8019e711ab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A323EB-950C-4A37-AFBE-B54C5780FBDE}">
  <ds:schemaRefs>
    <ds:schemaRef ds:uri="http://schemas.microsoft.com/sharepoint/v3"/>
    <ds:schemaRef ds:uri="6644b02a-369f-4cc3-8110-4ca6386cfcb4"/>
    <ds:schemaRef ds:uri="http://purl.org/dc/terms/"/>
    <ds:schemaRef ds:uri="http://schemas.microsoft.com/office/2006/documentManagement/types"/>
    <ds:schemaRef ds:uri="http://purl.org/dc/elements/1.1/"/>
    <ds:schemaRef ds:uri="http://purl.org/dc/dcmitype/"/>
    <ds:schemaRef ds:uri="http://schemas.microsoft.com/office/infopath/2007/PartnerControls"/>
    <ds:schemaRef ds:uri="http://schemas.microsoft.com/office/2006/metadata/properties"/>
    <ds:schemaRef ds:uri="http://schemas.openxmlformats.org/package/2006/metadata/core-properties"/>
    <ds:schemaRef ds:uri="317e6481-8171-4aa0-9f23-8019e711ab58"/>
    <ds:schemaRef ds:uri="http://www.w3.org/XML/1998/namespace"/>
  </ds:schemaRefs>
</ds:datastoreItem>
</file>

<file path=customXml/itemProps4.xml><?xml version="1.0" encoding="utf-8"?>
<ds:datastoreItem xmlns:ds="http://schemas.openxmlformats.org/officeDocument/2006/customXml" ds:itemID="{0BCCFBE4-1F9A-44A0-BBB5-7EDD329E34B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Front</vt:lpstr>
      <vt:lpstr>Notes</vt:lpstr>
      <vt:lpstr>Units</vt:lpstr>
      <vt:lpstr>1.1.1 PrimEnLR</vt:lpstr>
      <vt:lpstr>1.2.1 FinUserLR</vt:lpstr>
      <vt:lpstr>1.3.1 CoalLR</vt:lpstr>
      <vt:lpstr>1.3.2 Coal1</vt:lpstr>
      <vt:lpstr>1.3.3 Coal2</vt:lpstr>
      <vt:lpstr>1.3.4 Coal3</vt:lpstr>
      <vt:lpstr>1.4.1 MSFLR</vt:lpstr>
      <vt:lpstr>1.4.2 MSF1</vt:lpstr>
      <vt:lpstr>1.4.3 MSF2</vt:lpstr>
      <vt:lpstr>1.5.1 OilLR</vt:lpstr>
      <vt:lpstr>1.6.1 GasLR</vt:lpstr>
      <vt:lpstr>1.6.2 Gas1</vt:lpstr>
      <vt:lpstr>1.6.3 Gas2</vt:lpstr>
      <vt:lpstr>1.7.1 ElecLR</vt:lpstr>
      <vt:lpstr>1.7.2 Elec1</vt:lpstr>
      <vt:lpstr>1.7.3 Elec2</vt:lpstr>
      <vt:lpstr>1.8.1 RenElLR</vt:lpstr>
      <vt:lpstr>1.8.2 RenHLR</vt:lpstr>
      <vt:lpstr>1.8.3 RenPTLR</vt:lpstr>
      <vt:lpstr>2.1.1 PricesLR</vt:lpstr>
      <vt:lpstr>2.1.2 Prices ONS</vt:lpstr>
      <vt:lpstr>2.2.1 Prices RoadLR</vt:lpstr>
      <vt:lpstr>2.2.2 Prices Road1</vt:lpstr>
      <vt:lpstr>2.3.1 Prices IndLR</vt:lpstr>
      <vt:lpstr>2.3.2 Prices Ind1</vt:lpstr>
      <vt:lpstr>2.3.3. Prices Ind2</vt:lpstr>
      <vt:lpstr>3.1.1 CO2LR</vt:lpstr>
      <vt:lpstr>3.1.2 CO21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Historical Energy Data Final Dataset.xlsx</dc:title>
  <dc:creator>User</dc:creator>
  <cp:lastModifiedBy>Winduss, Olivia - NIC</cp:lastModifiedBy>
  <dcterms:created xsi:type="dcterms:W3CDTF">2020-02-28T12:03:56Z</dcterms:created>
  <dcterms:modified xsi:type="dcterms:W3CDTF">2020-10-15T09:55:30Z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0x010100F3DA492754083E45834DB37B66A759800004E1FB21B81FFA46BD16BD54B19A8713</vt:lpwstr>
  </property>
  <property fmtid="{D5CDD505-2E9C-101B-9397-08002B2CF9AE}" pid="3" name="HMT_Group">
    <vt:lpwstr>36;#NIC|0cc92277-be5c-411f-aac2-6a54f41a702c</vt:lpwstr>
  </property>
  <property fmtid="{D5CDD505-2E9C-101B-9397-08002B2CF9AE}" pid="4" name="HMT_Category">
    <vt:lpwstr>38;#Policy Document Types|bd4325a7-7f6a-48f9-b0dc-cc3aef626e65</vt:lpwstr>
  </property>
  <property fmtid="{D5CDD505-2E9C-101B-9397-08002B2CF9AE}" pid="5" name="HMT_SubTeam">
    <vt:lpwstr/>
  </property>
  <property fmtid="{D5CDD505-2E9C-101B-9397-08002B2CF9AE}" pid="6" name="HMT_Classification">
    <vt:lpwstr>40;#Official|1803aa85-5d13-4a57-a135-e2ed4c221e1b</vt:lpwstr>
  </property>
  <property fmtid="{D5CDD505-2E9C-101B-9397-08002B2CF9AE}" pid="7" name="HMT_Review">
    <vt:bool>false</vt:bool>
  </property>
  <property fmtid="{D5CDD505-2E9C-101B-9397-08002B2CF9AE}" pid="8" name="HMT_DocumentType">
    <vt:lpwstr>35;#Other|c235b5c2-f697-427b-a70a-43d69599f998</vt:lpwstr>
  </property>
  <property fmtid="{D5CDD505-2E9C-101B-9397-08002B2CF9AE}" pid="9" name="HMT_Team">
    <vt:lpwstr>37;#NIC Team|9b399fae-6714-4f60-913d-c470c9698865</vt:lpwstr>
  </property>
  <property fmtid="{D5CDD505-2E9C-101B-9397-08002B2CF9AE}" pid="10" name="_dlc_DocIdItemGuid">
    <vt:lpwstr>9da7a0ef-2cc9-4b2c-b918-4115a3ab731c</vt:lpwstr>
  </property>
</Properties>
</file>